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worksheets/sheet16.xml" ContentType="application/vnd.openxmlformats-officedocument.spreadsheetml.work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8.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9.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0.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trlProps/ctrlProp1.xml" ContentType="application/vnd.ms-excel.controlproperti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4.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1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omments3.xml" ContentType="application/vnd.openxmlformats-officedocument.spreadsheetml.comments+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D:\Dropbox\AA_TALLER\SANMARINO\PLANTILLAS PONEDORA\"/>
    </mc:Choice>
  </mc:AlternateContent>
  <xr:revisionPtr revIDLastSave="0" documentId="13_ncr:1_{D5B3436D-4BE4-40B6-A19A-9E9D845B2D5C}" xr6:coauthVersionLast="47" xr6:coauthVersionMax="47" xr10:uidLastSave="{00000000-0000-0000-0000-000000000000}"/>
  <bookViews>
    <workbookView xWindow="-120" yWindow="-120" windowWidth="20730" windowHeight="11160" xr2:uid="{00000000-000D-0000-FFFF-FFFF00000000}"/>
  </bookViews>
  <sheets>
    <sheet name="Iniciar" sheetId="24" r:id="rId1"/>
    <sheet name="PROG-DENS" sheetId="47" r:id="rId2"/>
    <sheet name="PROGR-ALIM" sheetId="48" r:id="rId3"/>
    <sheet name="PROGR-ILUM" sheetId="49" r:id="rId4"/>
    <sheet name="Manejos" sheetId="19" r:id="rId5"/>
    <sheet name="LN" sheetId="46" state="veryHidden" r:id="rId6"/>
    <sheet name="TL" sheetId="43" state="hidden" r:id="rId7"/>
    <sheet name="Levante" sheetId="1" r:id="rId8"/>
    <sheet name="Sem-L" sheetId="3" r:id="rId9"/>
    <sheet name="CostosLev" sheetId="45" r:id="rId10"/>
    <sheet name="Gráfico1" sheetId="27" r:id="rId11"/>
    <sheet name="Gráfico2" sheetId="28" r:id="rId12"/>
    <sheet name="Gráfico3" sheetId="29" r:id="rId13"/>
    <sheet name="Gráfico4" sheetId="50" r:id="rId14"/>
    <sheet name="Gráfico Mort-Sel" sheetId="20" r:id="rId15"/>
    <sheet name="TP" sheetId="44" state="hidden" r:id="rId16"/>
    <sheet name="GSh" sheetId="26" state="veryHidden" r:id="rId17"/>
    <sheet name="PROD" sheetId="10" r:id="rId18"/>
    <sheet name="INVENTARIOS" sheetId="9" r:id="rId19"/>
    <sheet name="Pr-Sem" sheetId="12" r:id="rId20"/>
    <sheet name="Gráf Prod" sheetId="30" r:id="rId21"/>
    <sheet name="Gráf Masa - Conv" sheetId="32" r:id="rId22"/>
    <sheet name="Gráf HAA" sheetId="41" r:id="rId23"/>
    <sheet name="Gráf Cv-$" sheetId="35" r:id="rId24"/>
    <sheet name="Gráf Cumpl" sheetId="31" r:id="rId25"/>
    <sheet name="Cumpl" sheetId="42" state="hidden" r:id="rId26"/>
    <sheet name="Gráf ClasH" sheetId="34" r:id="rId27"/>
    <sheet name="Gráf H-Seg" sheetId="40" r:id="rId28"/>
    <sheet name="Clasif Acum H" sheetId="39" r:id="rId29"/>
    <sheet name="ECONO" sheetId="38" r:id="rId30"/>
    <sheet name="Var" sheetId="25" r:id="rId31"/>
  </sheets>
  <definedNames>
    <definedName name="_xlnm._FilterDatabase" localSheetId="18" hidden="1">INVENTARIOS!$B$3:$B$724</definedName>
    <definedName name="_xlnm._FilterDatabase" localSheetId="7" hidden="1">Levante!$C$5:$C$131</definedName>
    <definedName name="_xlnm._FilterDatabase" localSheetId="17" hidden="1">PROD!$B$4:$B$725</definedName>
    <definedName name="_xlnm._FilterDatabase" localSheetId="1" hidden="1">'PROG-DENS'!$C$4:$M$40</definedName>
    <definedName name="_xlnm._FilterDatabase" localSheetId="2" hidden="1">'PROGR-ALIM'!$C$4:$H$22</definedName>
    <definedName name="_xlnm._FilterDatabase" localSheetId="19" hidden="1">'Pr-Sem'!$A$5:$A$108</definedName>
    <definedName name="AA">GSh!$BY$6:$BY$108</definedName>
    <definedName name="AAA">GSh!$BX$6:$BX$108</definedName>
    <definedName name="AAAA">GSh!$BW$6:$BW$108</definedName>
    <definedName name="AGUA">GSh!$AW$6:$AW$108</definedName>
    <definedName name="_xlnm.Print_Area" localSheetId="4">Manejos!$A$1:$L$101</definedName>
    <definedName name="_xlnm.Print_Area" localSheetId="1">'PROG-DENS'!$A$1:$N$40</definedName>
    <definedName name="_xlnm.Print_Area" localSheetId="2">'PROGR-ALIM'!$A$1:$I$22</definedName>
    <definedName name="AvesIni">Iniciar!$C$12</definedName>
    <definedName name="BALANCE">GSh!$CN$6:$CN$108</definedName>
    <definedName name="CASC">GSh!$CH$6:$CH$108</definedName>
    <definedName name="CGADL">GSh!$Q$6:$Q$23</definedName>
    <definedName name="CGPL">GSh!$I$6:$I$23</definedName>
    <definedName name="CGrAcRL">GSh!$X$6:$X$23</definedName>
    <definedName name="ChartTitle">LN!#REF!</definedName>
    <definedName name="CLIMA">Var!$O$2:$O$4</definedName>
    <definedName name="COLOR">GSh!$CG$6:$CG$108</definedName>
    <definedName name="COSTO">GSh!$CL$6:$CL$108</definedName>
    <definedName name="CPL">GSh!$E$6:$E$23</definedName>
    <definedName name="Cuentas_de_Costos_Gastos">OFFSET(Var!$C$1,1,0,COUNTA(Var!$C:$C)-1,1)</definedName>
    <definedName name="DIAS">GSh!$J$6:$J$23</definedName>
    <definedName name="DURAPICO">GSh!$AD$110</definedName>
    <definedName name="Empaque_Alimto">Var!$P$2:$P$4</definedName>
    <definedName name="Equipo_Bebederos">OFFSET(Var!$E$2,0,0,COUNTA(Var!$E:$E)-1,1)</definedName>
    <definedName name="Equipo_Comederos">OFFSET(Var!$D$1,1,0,COUNTA(Var!$D:$D)-1,1)</definedName>
    <definedName name="Fnac">Iniciar!$C$5</definedName>
    <definedName name="GADL">GSh!$N$6:$N$23</definedName>
    <definedName name="GPR">GSh!$F$24</definedName>
    <definedName name="GPRL">GSh!$F$6:$F$23</definedName>
    <definedName name="GrAcRL">GSh!$U$6:$U$23</definedName>
    <definedName name="GRADP">GSh!$AT$6:$AT$108</definedName>
    <definedName name="GRANJALEV">Iniciar!$C$14</definedName>
    <definedName name="GRANJAPROD">Iniciar!$C$29</definedName>
    <definedName name="GXH">GSh!$BM$6:$BM$108</definedName>
    <definedName name="HA">GSh!$BZ$6:$BZ$108</definedName>
    <definedName name="HAA">GSh!$AI$6:$AI$108</definedName>
    <definedName name="HB">GSh!$CA$6:$CA$108</definedName>
    <definedName name="HC">GSh!$CB$6:$CB$108</definedName>
    <definedName name="HCG">GSh!$CC$6:$CC$108</definedName>
    <definedName name="IPP">TL!$BO$6:$BO$108</definedName>
    <definedName name="KLSEM">GSh!$AS$6:$AS$108</definedName>
    <definedName name="Linea">Iniciar!$C$3</definedName>
    <definedName name="Lineas">OFFSET(Var!$I$1,1,0,COUNTA(Var!$I:$I)-1,1)</definedName>
    <definedName name="LOTE">Iniciar!$C$4</definedName>
    <definedName name="MAC">TL!$BF$6:$BF$108</definedName>
    <definedName name="MACL">GSh!$Z$6:$Z$23</definedName>
    <definedName name="MACP">GSh!$AP$6:$AP$108</definedName>
    <definedName name="MHAC">GSh!$BG$6:$BG$108</definedName>
    <definedName name="MHS">GSh!$BD$6:$BD$108</definedName>
    <definedName name="MLADL">GSh!$S$6:$S$23</definedName>
    <definedName name="MOSL">Var!$N$2:$N$4</definedName>
    <definedName name="MSH">TL!$BC$6:$BC$108</definedName>
    <definedName name="MSL">GSh!$Y$6:$Y$23</definedName>
    <definedName name="MSP">GSh!$AO$6:$AO$108</definedName>
    <definedName name="PH">GSh!$AY$6:$AY$108</definedName>
    <definedName name="PP">GSh!$AD$6:$AD$108</definedName>
    <definedName name="PROG_LUZ_LEV">OFFSET(Var!$J$2,0,0,COUNTA(Var!$J:$J)-1,1)</definedName>
    <definedName name="PROG_LUZ_PROD">OFFSET(Var!$K$2,0,0,COUNTA(Var!$K:$K)-1,1)</definedName>
    <definedName name="PVENTAH">GSh!$CM$6:$CM$108</definedName>
    <definedName name="RELAGUA">GSh!$AX$6:$AX$108</definedName>
    <definedName name="Responsable_Técnico">Var!$L$2:$L$7</definedName>
    <definedName name="RMD">GSh!$CE$6:$CE$108</definedName>
    <definedName name="ROTO">GSh!$CJ$6:$CJ$108</definedName>
    <definedName name="RVG">GSh!$CD$6:$CD$108</definedName>
    <definedName name="RVP">GSh!$CF$6:$CF$108</definedName>
    <definedName name="SMxTb">'Pr-Sem'!$BH$5</definedName>
    <definedName name="SPVP">GSh!$AQ$6:$AQ$108</definedName>
    <definedName name="Tabmes">Var!$G$2:$H$13</definedName>
    <definedName name="TIPO_ALIMENTO">OFFSET(Var!$B$2,0,0,COUNTA(Var!$B:$B)-1,1)</definedName>
    <definedName name="Tipo_de_Serología">OFFSET(Var!$F$1,1,0,COUNTA(Var!$F:$F)-1,1)</definedName>
    <definedName name="TIPOS_DE_ALOJAMIENTO">OFFSET(Var!$A$1,1,0,COUNTA(Var!$A:$A)-1,1)</definedName>
    <definedName name="_xlnm.Print_Titles" localSheetId="4">Manejos!$1:$9</definedName>
    <definedName name="VENTA">GSh!$CL$6:$CL$108</definedName>
    <definedName name="VNC">GSh!$CI$6:$CI$108</definedName>
    <definedName name="Z_2AFB78BD_0AA0_48F7_9FB9_7ECB21AAFE3F_.wvu.Cols" localSheetId="29" hidden="1">ECONO!#REF!</definedName>
    <definedName name="Z_2AFB78BD_0AA0_48F7_9FB9_7ECB21AAFE3F_.wvu.Cols" localSheetId="0" hidden="1">Iniciar!$L:$XFD</definedName>
    <definedName name="Z_2AFB78BD_0AA0_48F7_9FB9_7ECB21AAFE3F_.wvu.Cols" localSheetId="18" hidden="1">INVENTARIOS!#REF!</definedName>
    <definedName name="Z_2AFB78BD_0AA0_48F7_9FB9_7ECB21AAFE3F_.wvu.Cols" localSheetId="7" hidden="1">Levante!$D:$D,Levante!$T:$U,Levante!$AO:$XFD</definedName>
    <definedName name="Z_2AFB78BD_0AA0_48F7_9FB9_7ECB21AAFE3F_.wvu.Cols" localSheetId="4" hidden="1">Manejos!$N:$XFD</definedName>
    <definedName name="Z_2AFB78BD_0AA0_48F7_9FB9_7ECB21AAFE3F_.wvu.Cols" localSheetId="17" hidden="1">PROD!$C:$C,PROD!$BL:$XFD</definedName>
    <definedName name="Z_2AFB78BD_0AA0_48F7_9FB9_7ECB21AAFE3F_.wvu.Cols" localSheetId="19" hidden="1">'Pr-Sem'!$BF:$BH,'Pr-Sem'!$BQ:$XFD</definedName>
    <definedName name="Z_2AFB78BD_0AA0_48F7_9FB9_7ECB21AAFE3F_.wvu.Cols" localSheetId="8" hidden="1">'Sem-L'!$BP:$XFD</definedName>
    <definedName name="Z_2AFB78BD_0AA0_48F7_9FB9_7ECB21AAFE3F_.wvu.FilterData" localSheetId="29" hidden="1">ECONO!#REF!</definedName>
    <definedName name="Z_2AFB78BD_0AA0_48F7_9FB9_7ECB21AAFE3F_.wvu.FilterData" localSheetId="18" hidden="1">INVENTARIOS!$B$3:$B$724</definedName>
    <definedName name="Z_2AFB78BD_0AA0_48F7_9FB9_7ECB21AAFE3F_.wvu.FilterData" localSheetId="7" hidden="1">Levante!$C$5:$C$131</definedName>
    <definedName name="Z_2AFB78BD_0AA0_48F7_9FB9_7ECB21AAFE3F_.wvu.FilterData" localSheetId="17" hidden="1">PROD!$B$4:$B$725</definedName>
    <definedName name="Z_2AFB78BD_0AA0_48F7_9FB9_7ECB21AAFE3F_.wvu.Rows" localSheetId="29" hidden="1">ECONO!#REF!</definedName>
    <definedName name="Z_2AFB78BD_0AA0_48F7_9FB9_7ECB21AAFE3F_.wvu.Rows" localSheetId="0" hidden="1">Iniciar!$62:$1048576,Iniciar!$35:$61</definedName>
    <definedName name="Z_2AFB78BD_0AA0_48F7_9FB9_7ECB21AAFE3F_.wvu.Rows" localSheetId="18" hidden="1">INVENTARIOS!#REF!</definedName>
    <definedName name="Z_2AFB78BD_0AA0_48F7_9FB9_7ECB21AAFE3F_.wvu.Rows" localSheetId="7" hidden="1">Levante!$162:$1048576,Levante!$135:$161</definedName>
    <definedName name="Z_2AFB78BD_0AA0_48F7_9FB9_7ECB21AAFE3F_.wvu.Rows" localSheetId="4" hidden="1">Manejos!$108:$1048576</definedName>
    <definedName name="Z_2AFB78BD_0AA0_48F7_9FB9_7ECB21AAFE3F_.wvu.Rows" localSheetId="17" hidden="1">PROD!$736:$1048576</definedName>
    <definedName name="Z_2AFB78BD_0AA0_48F7_9FB9_7ECB21AAFE3F_.wvu.Rows" localSheetId="19" hidden="1">'Pr-Sem'!$129:$1048576,'Pr-Sem'!$79:$108,'Pr-Sem'!$116:$128</definedName>
    <definedName name="Z_2AFB78BD_0AA0_48F7_9FB9_7ECB21AAFE3F_.wvu.Rows" localSheetId="8" hidden="1">'Sem-L'!$40:$1048576,'Sem-L'!$32:$39</definedName>
  </definedNames>
  <calcPr calcId="191029" concurrentCalc="0"/>
  <customWorkbookViews>
    <customWorkbookView name="HOJAPROD" guid="{2AFB78BD-0AA0-48F7-9FB9-7ECB21AAFE3F}" maximized="1" xWindow="-8" yWindow="-8" windowWidth="1382" windowHeight="754" activeSheetId="10"/>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5" i="12" l="1"/>
  <c r="AZ5" i="12"/>
  <c r="BA5" i="12"/>
  <c r="BB5" i="12"/>
  <c r="AX5" i="12"/>
  <c r="AV5" i="12"/>
  <c r="AW5" i="12"/>
  <c r="AU5" i="12"/>
  <c r="AO5" i="12"/>
  <c r="AP5" i="12"/>
  <c r="AQ5" i="12"/>
  <c r="AR5" i="12"/>
  <c r="AS5" i="12"/>
  <c r="AT5" i="12"/>
  <c r="C25" i="24"/>
  <c r="C26" i="24"/>
  <c r="G1" i="47"/>
  <c r="K2" i="47"/>
  <c r="M3" i="47"/>
  <c r="N1" i="1"/>
  <c r="C12" i="24"/>
  <c r="H6" i="1"/>
  <c r="H7" i="1"/>
  <c r="H8" i="1"/>
  <c r="H9" i="1"/>
  <c r="H10" i="1"/>
  <c r="H11" i="1"/>
  <c r="H12" i="1"/>
  <c r="H13" i="1"/>
  <c r="H14" i="1"/>
  <c r="H15" i="1"/>
  <c r="H16" i="1"/>
  <c r="H17" i="1"/>
  <c r="H18" i="1"/>
  <c r="H19" i="1"/>
  <c r="S13" i="1"/>
  <c r="U13" i="1"/>
  <c r="S14" i="1"/>
  <c r="U14" i="1"/>
  <c r="S15" i="1"/>
  <c r="U15" i="1"/>
  <c r="S16" i="1"/>
  <c r="U16" i="1"/>
  <c r="S17" i="1"/>
  <c r="U17" i="1"/>
  <c r="S18" i="1"/>
  <c r="U18" i="1"/>
  <c r="S19" i="1"/>
  <c r="U19" i="1"/>
  <c r="T19" i="1"/>
  <c r="X13" i="1"/>
  <c r="N7" i="26"/>
  <c r="C6" i="1"/>
  <c r="D6" i="1"/>
  <c r="C7" i="1"/>
  <c r="D7" i="1"/>
  <c r="C8" i="1"/>
  <c r="D8" i="1"/>
  <c r="C9" i="1"/>
  <c r="D9" i="1"/>
  <c r="C10" i="1"/>
  <c r="D10" i="1"/>
  <c r="C11" i="1"/>
  <c r="D11" i="1"/>
  <c r="C12" i="1"/>
  <c r="D12" i="1"/>
  <c r="C13" i="1"/>
  <c r="D13" i="1"/>
  <c r="C14" i="1"/>
  <c r="D14" i="1"/>
  <c r="C15" i="1"/>
  <c r="D15" i="1"/>
  <c r="C16" i="1"/>
  <c r="D16"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0" i="1"/>
  <c r="D90" i="1"/>
  <c r="C91" i="1"/>
  <c r="D91" i="1"/>
  <c r="C92" i="1"/>
  <c r="D92" i="1"/>
  <c r="C93" i="1"/>
  <c r="D93"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09" i="1"/>
  <c r="D109" i="1"/>
  <c r="C110" i="1"/>
  <c r="D110" i="1"/>
  <c r="C111" i="1"/>
  <c r="D111" i="1"/>
  <c r="C112" i="1"/>
  <c r="D112" i="1"/>
  <c r="C113" i="1"/>
  <c r="D113" i="1"/>
  <c r="C114" i="1"/>
  <c r="D114" i="1"/>
  <c r="C115" i="1"/>
  <c r="D115" i="1"/>
  <c r="C116" i="1"/>
  <c r="D116" i="1"/>
  <c r="C117" i="1"/>
  <c r="D117" i="1"/>
  <c r="C118" i="1"/>
  <c r="D118" i="1"/>
  <c r="C119" i="1"/>
  <c r="D119" i="1"/>
  <c r="C120" i="1"/>
  <c r="D120" i="1"/>
  <c r="C121" i="1"/>
  <c r="D121" i="1"/>
  <c r="C122" i="1"/>
  <c r="D122" i="1"/>
  <c r="C123" i="1"/>
  <c r="D123" i="1"/>
  <c r="C124" i="1"/>
  <c r="D124" i="1"/>
  <c r="C125" i="1"/>
  <c r="D125" i="1"/>
  <c r="C126" i="1"/>
  <c r="D126" i="1"/>
  <c r="C127" i="1"/>
  <c r="D127" i="1"/>
  <c r="C128" i="1"/>
  <c r="D128" i="1"/>
  <c r="C129" i="1"/>
  <c r="D129" i="1"/>
  <c r="C130" i="1"/>
  <c r="D130" i="1"/>
  <c r="C131" i="1"/>
  <c r="D131" i="1"/>
  <c r="C7" i="3"/>
  <c r="J7" i="26"/>
  <c r="Z7" i="3"/>
  <c r="H20" i="1"/>
  <c r="H21" i="1"/>
  <c r="H22" i="1"/>
  <c r="H23" i="1"/>
  <c r="H24" i="1"/>
  <c r="H25" i="1"/>
  <c r="H26" i="1"/>
  <c r="S20" i="1"/>
  <c r="U20" i="1"/>
  <c r="S21" i="1"/>
  <c r="U21" i="1"/>
  <c r="S22" i="1"/>
  <c r="U22" i="1"/>
  <c r="S23" i="1"/>
  <c r="U23" i="1"/>
  <c r="S24" i="1"/>
  <c r="U24" i="1"/>
  <c r="S25" i="1"/>
  <c r="U25" i="1"/>
  <c r="S26" i="1"/>
  <c r="U26" i="1"/>
  <c r="T26" i="1"/>
  <c r="X20" i="1"/>
  <c r="N8" i="26"/>
  <c r="C8" i="3"/>
  <c r="J8" i="26"/>
  <c r="Z8" i="3"/>
  <c r="H27" i="1"/>
  <c r="H28" i="1"/>
  <c r="H29" i="1"/>
  <c r="H30" i="1"/>
  <c r="H31" i="1"/>
  <c r="H32" i="1"/>
  <c r="H33" i="1"/>
  <c r="S27" i="1"/>
  <c r="U27" i="1"/>
  <c r="S28" i="1"/>
  <c r="U28" i="1"/>
  <c r="S29" i="1"/>
  <c r="U29" i="1"/>
  <c r="S30" i="1"/>
  <c r="U30" i="1"/>
  <c r="S31" i="1"/>
  <c r="U31" i="1"/>
  <c r="S32" i="1"/>
  <c r="U32" i="1"/>
  <c r="S33" i="1"/>
  <c r="U33" i="1"/>
  <c r="T33" i="1"/>
  <c r="X27" i="1"/>
  <c r="N9" i="26"/>
  <c r="C9" i="3"/>
  <c r="J9" i="26"/>
  <c r="Z9" i="3"/>
  <c r="H34" i="1"/>
  <c r="H35" i="1"/>
  <c r="H36" i="1"/>
  <c r="H37" i="1"/>
  <c r="H38" i="1"/>
  <c r="H39" i="1"/>
  <c r="H40" i="1"/>
  <c r="S34" i="1"/>
  <c r="U34" i="1"/>
  <c r="S35" i="1"/>
  <c r="U35" i="1"/>
  <c r="S36" i="1"/>
  <c r="U36" i="1"/>
  <c r="S37" i="1"/>
  <c r="U37" i="1"/>
  <c r="S38" i="1"/>
  <c r="U38" i="1"/>
  <c r="S39" i="1"/>
  <c r="U39" i="1"/>
  <c r="S40" i="1"/>
  <c r="U40" i="1"/>
  <c r="T40" i="1"/>
  <c r="X34" i="1"/>
  <c r="N10" i="26"/>
  <c r="C10" i="3"/>
  <c r="J10" i="26"/>
  <c r="Z10" i="3"/>
  <c r="H41" i="1"/>
  <c r="H42" i="1"/>
  <c r="H43" i="1"/>
  <c r="H44" i="1"/>
  <c r="H45" i="1"/>
  <c r="H46" i="1"/>
  <c r="H47" i="1"/>
  <c r="S41" i="1"/>
  <c r="U41" i="1"/>
  <c r="S42" i="1"/>
  <c r="U42" i="1"/>
  <c r="S43" i="1"/>
  <c r="U43" i="1"/>
  <c r="S44" i="1"/>
  <c r="U44" i="1"/>
  <c r="S45" i="1"/>
  <c r="U45" i="1"/>
  <c r="S46" i="1"/>
  <c r="U46" i="1"/>
  <c r="S47" i="1"/>
  <c r="U47" i="1"/>
  <c r="T47" i="1"/>
  <c r="X41" i="1"/>
  <c r="N11" i="26"/>
  <c r="C11" i="3"/>
  <c r="J11" i="26"/>
  <c r="Z11" i="3"/>
  <c r="H48" i="1"/>
  <c r="H49" i="1"/>
  <c r="H50" i="1"/>
  <c r="H51" i="1"/>
  <c r="H52" i="1"/>
  <c r="H53" i="1"/>
  <c r="H54" i="1"/>
  <c r="S48" i="1"/>
  <c r="U48" i="1"/>
  <c r="S49" i="1"/>
  <c r="U49" i="1"/>
  <c r="S50" i="1"/>
  <c r="U50" i="1"/>
  <c r="S51" i="1"/>
  <c r="U51" i="1"/>
  <c r="S52" i="1"/>
  <c r="U52" i="1"/>
  <c r="S53" i="1"/>
  <c r="U53" i="1"/>
  <c r="S54" i="1"/>
  <c r="U54" i="1"/>
  <c r="T54" i="1"/>
  <c r="X48" i="1"/>
  <c r="N12" i="26"/>
  <c r="C12" i="3"/>
  <c r="J12" i="26"/>
  <c r="Z12" i="3"/>
  <c r="H55" i="1"/>
  <c r="H56" i="1"/>
  <c r="H57" i="1"/>
  <c r="H58" i="1"/>
  <c r="H59" i="1"/>
  <c r="H60" i="1"/>
  <c r="H61" i="1"/>
  <c r="S55" i="1"/>
  <c r="U55" i="1"/>
  <c r="S56" i="1"/>
  <c r="U56" i="1"/>
  <c r="S57" i="1"/>
  <c r="U57" i="1"/>
  <c r="S58" i="1"/>
  <c r="U58" i="1"/>
  <c r="S59" i="1"/>
  <c r="U59" i="1"/>
  <c r="S60" i="1"/>
  <c r="U60" i="1"/>
  <c r="S61" i="1"/>
  <c r="U61" i="1"/>
  <c r="T61" i="1"/>
  <c r="X55" i="1"/>
  <c r="N13" i="26"/>
  <c r="C13" i="3"/>
  <c r="J13" i="26"/>
  <c r="Z13" i="3"/>
  <c r="H62" i="1"/>
  <c r="H63" i="1"/>
  <c r="H64" i="1"/>
  <c r="H65" i="1"/>
  <c r="H66" i="1"/>
  <c r="H67" i="1"/>
  <c r="H68" i="1"/>
  <c r="S62" i="1"/>
  <c r="U62" i="1"/>
  <c r="S63" i="1"/>
  <c r="U63" i="1"/>
  <c r="S64" i="1"/>
  <c r="U64" i="1"/>
  <c r="S65" i="1"/>
  <c r="U65" i="1"/>
  <c r="S66" i="1"/>
  <c r="U66" i="1"/>
  <c r="S67" i="1"/>
  <c r="U67" i="1"/>
  <c r="S68" i="1"/>
  <c r="U68" i="1"/>
  <c r="T68" i="1"/>
  <c r="X62" i="1"/>
  <c r="N14" i="26"/>
  <c r="C14" i="3"/>
  <c r="J14" i="26"/>
  <c r="Z14" i="3"/>
  <c r="H69" i="1"/>
  <c r="H70" i="1"/>
  <c r="H71" i="1"/>
  <c r="H72" i="1"/>
  <c r="H73" i="1"/>
  <c r="H74" i="1"/>
  <c r="H75" i="1"/>
  <c r="S69" i="1"/>
  <c r="U69" i="1"/>
  <c r="S70" i="1"/>
  <c r="U70" i="1"/>
  <c r="S71" i="1"/>
  <c r="U71" i="1"/>
  <c r="S72" i="1"/>
  <c r="U72" i="1"/>
  <c r="S73" i="1"/>
  <c r="U73" i="1"/>
  <c r="S74" i="1"/>
  <c r="U74" i="1"/>
  <c r="S75" i="1"/>
  <c r="U75" i="1"/>
  <c r="T75" i="1"/>
  <c r="X69" i="1"/>
  <c r="N15" i="26"/>
  <c r="C15" i="3"/>
  <c r="J15" i="26"/>
  <c r="Z15" i="3"/>
  <c r="H76" i="1"/>
  <c r="H77" i="1"/>
  <c r="H78" i="1"/>
  <c r="H79" i="1"/>
  <c r="H80" i="1"/>
  <c r="H81" i="1"/>
  <c r="H82" i="1"/>
  <c r="S76" i="1"/>
  <c r="U76" i="1"/>
  <c r="S77" i="1"/>
  <c r="U77" i="1"/>
  <c r="S78" i="1"/>
  <c r="U78" i="1"/>
  <c r="S79" i="1"/>
  <c r="U79" i="1"/>
  <c r="S80" i="1"/>
  <c r="U80" i="1"/>
  <c r="S81" i="1"/>
  <c r="U81" i="1"/>
  <c r="S82" i="1"/>
  <c r="U82" i="1"/>
  <c r="T82" i="1"/>
  <c r="X76" i="1"/>
  <c r="N16" i="26"/>
  <c r="C16" i="3"/>
  <c r="J16" i="26"/>
  <c r="Z16" i="3"/>
  <c r="H83" i="1"/>
  <c r="H84" i="1"/>
  <c r="H85" i="1"/>
  <c r="H86" i="1"/>
  <c r="H87" i="1"/>
  <c r="H88" i="1"/>
  <c r="H89" i="1"/>
  <c r="S83" i="1"/>
  <c r="U83" i="1"/>
  <c r="S84" i="1"/>
  <c r="U84" i="1"/>
  <c r="S85" i="1"/>
  <c r="U85" i="1"/>
  <c r="S86" i="1"/>
  <c r="U86" i="1"/>
  <c r="S87" i="1"/>
  <c r="U87" i="1"/>
  <c r="S88" i="1"/>
  <c r="U88" i="1"/>
  <c r="S89" i="1"/>
  <c r="U89" i="1"/>
  <c r="T89" i="1"/>
  <c r="X83" i="1"/>
  <c r="N17" i="26"/>
  <c r="C17" i="3"/>
  <c r="J17" i="26"/>
  <c r="Z17" i="3"/>
  <c r="H90" i="1"/>
  <c r="H91" i="1"/>
  <c r="H92" i="1"/>
  <c r="H93" i="1"/>
  <c r="H94" i="1"/>
  <c r="H95" i="1"/>
  <c r="H96" i="1"/>
  <c r="S90" i="1"/>
  <c r="U90" i="1"/>
  <c r="S91" i="1"/>
  <c r="U91" i="1"/>
  <c r="S92" i="1"/>
  <c r="U92" i="1"/>
  <c r="S93" i="1"/>
  <c r="U93" i="1"/>
  <c r="S94" i="1"/>
  <c r="U94" i="1"/>
  <c r="S95" i="1"/>
  <c r="U95" i="1"/>
  <c r="S96" i="1"/>
  <c r="U96" i="1"/>
  <c r="T96" i="1"/>
  <c r="X90" i="1"/>
  <c r="N18" i="26"/>
  <c r="C18" i="3"/>
  <c r="J18" i="26"/>
  <c r="Z18" i="3"/>
  <c r="H97" i="1"/>
  <c r="H98" i="1"/>
  <c r="H99" i="1"/>
  <c r="H100" i="1"/>
  <c r="H101" i="1"/>
  <c r="H102" i="1"/>
  <c r="H103" i="1"/>
  <c r="S97" i="1"/>
  <c r="U97" i="1"/>
  <c r="S98" i="1"/>
  <c r="U98" i="1"/>
  <c r="S99" i="1"/>
  <c r="U99" i="1"/>
  <c r="S100" i="1"/>
  <c r="U100" i="1"/>
  <c r="S101" i="1"/>
  <c r="U101" i="1"/>
  <c r="S102" i="1"/>
  <c r="U102" i="1"/>
  <c r="S103" i="1"/>
  <c r="U103" i="1"/>
  <c r="T103" i="1"/>
  <c r="X97" i="1"/>
  <c r="N19" i="26"/>
  <c r="C19" i="3"/>
  <c r="J19" i="26"/>
  <c r="Z19" i="3"/>
  <c r="H104" i="1"/>
  <c r="O4" i="1"/>
  <c r="B1" i="1"/>
  <c r="V104" i="1"/>
  <c r="P104" i="1"/>
  <c r="H105" i="1"/>
  <c r="V105" i="1"/>
  <c r="P105" i="1"/>
  <c r="H106" i="1"/>
  <c r="V106" i="1"/>
  <c r="P106" i="1"/>
  <c r="H107" i="1"/>
  <c r="V107" i="1"/>
  <c r="P107" i="1"/>
  <c r="H108" i="1"/>
  <c r="V108" i="1"/>
  <c r="P108" i="1"/>
  <c r="H109" i="1"/>
  <c r="V109" i="1"/>
  <c r="P109" i="1"/>
  <c r="H110" i="1"/>
  <c r="V110" i="1"/>
  <c r="P110" i="1"/>
  <c r="S104" i="1"/>
  <c r="U104" i="1"/>
  <c r="S105" i="1"/>
  <c r="U105" i="1"/>
  <c r="S106" i="1"/>
  <c r="U106" i="1"/>
  <c r="S107" i="1"/>
  <c r="U107" i="1"/>
  <c r="S108" i="1"/>
  <c r="U108" i="1"/>
  <c r="S109" i="1"/>
  <c r="U109" i="1"/>
  <c r="S110" i="1"/>
  <c r="U110" i="1"/>
  <c r="T110" i="1"/>
  <c r="X104" i="1"/>
  <c r="N20" i="26"/>
  <c r="C20" i="3"/>
  <c r="J20" i="26"/>
  <c r="Z20" i="3"/>
  <c r="H111" i="1"/>
  <c r="H112" i="1"/>
  <c r="H113" i="1"/>
  <c r="H114" i="1"/>
  <c r="H115" i="1"/>
  <c r="H116" i="1"/>
  <c r="H117" i="1"/>
  <c r="S111" i="1"/>
  <c r="U111" i="1"/>
  <c r="S112" i="1"/>
  <c r="U112" i="1"/>
  <c r="S113" i="1"/>
  <c r="U113" i="1"/>
  <c r="S114" i="1"/>
  <c r="U114" i="1"/>
  <c r="S115" i="1"/>
  <c r="U115" i="1"/>
  <c r="S116" i="1"/>
  <c r="U116" i="1"/>
  <c r="S117" i="1"/>
  <c r="U117" i="1"/>
  <c r="T117" i="1"/>
  <c r="X111" i="1"/>
  <c r="N21" i="26"/>
  <c r="C21" i="3"/>
  <c r="J21" i="26"/>
  <c r="Z21" i="3"/>
  <c r="H118" i="1"/>
  <c r="V118" i="1"/>
  <c r="P118" i="1"/>
  <c r="H119" i="1"/>
  <c r="V119" i="1"/>
  <c r="P119" i="1"/>
  <c r="H120" i="1"/>
  <c r="V120" i="1"/>
  <c r="P120" i="1"/>
  <c r="H121" i="1"/>
  <c r="V121" i="1"/>
  <c r="P121" i="1"/>
  <c r="H122" i="1"/>
  <c r="V122" i="1"/>
  <c r="P122" i="1"/>
  <c r="H123" i="1"/>
  <c r="V123" i="1"/>
  <c r="P123" i="1"/>
  <c r="H124" i="1"/>
  <c r="V124" i="1"/>
  <c r="P124" i="1"/>
  <c r="S118" i="1"/>
  <c r="U118" i="1"/>
  <c r="S119" i="1"/>
  <c r="U119" i="1"/>
  <c r="S120" i="1"/>
  <c r="U120" i="1"/>
  <c r="S121" i="1"/>
  <c r="U121" i="1"/>
  <c r="S122" i="1"/>
  <c r="U122" i="1"/>
  <c r="S123" i="1"/>
  <c r="U123" i="1"/>
  <c r="S124" i="1"/>
  <c r="U124" i="1"/>
  <c r="T124" i="1"/>
  <c r="X118" i="1"/>
  <c r="N22" i="26"/>
  <c r="C22" i="3"/>
  <c r="J22" i="26"/>
  <c r="Z22" i="3"/>
  <c r="H125" i="1"/>
  <c r="H126" i="1"/>
  <c r="H127" i="1"/>
  <c r="H128" i="1"/>
  <c r="H129" i="1"/>
  <c r="H130" i="1"/>
  <c r="H131" i="1"/>
  <c r="S125" i="1"/>
  <c r="U125" i="1"/>
  <c r="S126" i="1"/>
  <c r="U126" i="1"/>
  <c r="S127" i="1"/>
  <c r="U127" i="1"/>
  <c r="S128" i="1"/>
  <c r="U128" i="1"/>
  <c r="S129" i="1"/>
  <c r="U129" i="1"/>
  <c r="S130" i="1"/>
  <c r="U130" i="1"/>
  <c r="S131" i="1"/>
  <c r="U131" i="1"/>
  <c r="T131" i="1"/>
  <c r="X125" i="1"/>
  <c r="N23" i="26"/>
  <c r="C23" i="3"/>
  <c r="J23" i="26"/>
  <c r="Z23" i="3"/>
  <c r="AI6" i="1"/>
  <c r="H3" i="45"/>
  <c r="C3" i="45"/>
  <c r="B6" i="3"/>
  <c r="D3" i="45"/>
  <c r="D6" i="3"/>
  <c r="B3" i="45"/>
  <c r="A3" i="45"/>
  <c r="AI13" i="1"/>
  <c r="H4" i="45"/>
  <c r="C4" i="45"/>
  <c r="B7" i="3"/>
  <c r="D4" i="45"/>
  <c r="D7" i="3"/>
  <c r="B4" i="45"/>
  <c r="A4" i="45"/>
  <c r="AI20" i="1"/>
  <c r="H5" i="45"/>
  <c r="C5" i="45"/>
  <c r="B8" i="3"/>
  <c r="D5" i="45"/>
  <c r="D8" i="3"/>
  <c r="B5" i="45"/>
  <c r="A5" i="45"/>
  <c r="AI27" i="1"/>
  <c r="H6" i="45"/>
  <c r="C6" i="45"/>
  <c r="B9" i="3"/>
  <c r="D6" i="45"/>
  <c r="D9" i="3"/>
  <c r="B6" i="45"/>
  <c r="A6" i="45"/>
  <c r="AI34" i="1"/>
  <c r="H7" i="45"/>
  <c r="C7" i="45"/>
  <c r="B10" i="3"/>
  <c r="D7" i="45"/>
  <c r="D10" i="3"/>
  <c r="B7" i="45"/>
  <c r="A7" i="45"/>
  <c r="AI41" i="1"/>
  <c r="H8" i="45"/>
  <c r="C8" i="45"/>
  <c r="B11" i="3"/>
  <c r="D8" i="45"/>
  <c r="D11" i="3"/>
  <c r="B8" i="45"/>
  <c r="A8" i="45"/>
  <c r="AI48" i="1"/>
  <c r="H9" i="45"/>
  <c r="C9" i="45"/>
  <c r="B12" i="3"/>
  <c r="D9" i="45"/>
  <c r="D12" i="3"/>
  <c r="B9" i="45"/>
  <c r="A9" i="45"/>
  <c r="AI55" i="1"/>
  <c r="H10" i="45"/>
  <c r="C10" i="45"/>
  <c r="B13" i="3"/>
  <c r="D10" i="45"/>
  <c r="D13" i="3"/>
  <c r="B10" i="45"/>
  <c r="A10" i="45"/>
  <c r="AI62" i="1"/>
  <c r="H11" i="45"/>
  <c r="C11" i="45"/>
  <c r="B14" i="3"/>
  <c r="D11" i="45"/>
  <c r="D14" i="3"/>
  <c r="B11" i="45"/>
  <c r="A11" i="45"/>
  <c r="AI69" i="1"/>
  <c r="H12" i="45"/>
  <c r="C12" i="45"/>
  <c r="B15" i="3"/>
  <c r="D12" i="45"/>
  <c r="D15" i="3"/>
  <c r="B12" i="45"/>
  <c r="A12" i="45"/>
  <c r="AI76" i="1"/>
  <c r="H13" i="45"/>
  <c r="C13" i="45"/>
  <c r="B16" i="3"/>
  <c r="D13" i="45"/>
  <c r="D16" i="3"/>
  <c r="B13" i="45"/>
  <c r="A13" i="45"/>
  <c r="AI83" i="1"/>
  <c r="H14" i="45"/>
  <c r="C14" i="45"/>
  <c r="B17" i="3"/>
  <c r="D14" i="45"/>
  <c r="D17" i="3"/>
  <c r="B14" i="45"/>
  <c r="A14" i="45"/>
  <c r="AI90" i="1"/>
  <c r="H15" i="45"/>
  <c r="C15" i="45"/>
  <c r="B18" i="3"/>
  <c r="D15" i="45"/>
  <c r="D18" i="3"/>
  <c r="B15" i="45"/>
  <c r="A15" i="45"/>
  <c r="AI97" i="1"/>
  <c r="H16" i="45"/>
  <c r="C16" i="45"/>
  <c r="B19" i="3"/>
  <c r="D16" i="45"/>
  <c r="D19" i="3"/>
  <c r="B16" i="45"/>
  <c r="A16" i="45"/>
  <c r="AI104" i="1"/>
  <c r="H17" i="45"/>
  <c r="C17" i="45"/>
  <c r="B20" i="3"/>
  <c r="D17" i="45"/>
  <c r="D20" i="3"/>
  <c r="B17" i="45"/>
  <c r="A17" i="45"/>
  <c r="AI111" i="1"/>
  <c r="H18" i="45"/>
  <c r="C18" i="45"/>
  <c r="B21" i="3"/>
  <c r="D18" i="45"/>
  <c r="D21" i="3"/>
  <c r="B18" i="45"/>
  <c r="A18" i="45"/>
  <c r="AI118" i="1"/>
  <c r="H19" i="45"/>
  <c r="C19" i="45"/>
  <c r="B22" i="3"/>
  <c r="D19" i="45"/>
  <c r="D22" i="3"/>
  <c r="B19" i="45"/>
  <c r="A19" i="45"/>
  <c r="AI125" i="1"/>
  <c r="H20" i="45"/>
  <c r="C20" i="45"/>
  <c r="B23" i="3"/>
  <c r="D20" i="45"/>
  <c r="D23" i="3"/>
  <c r="B20" i="45"/>
  <c r="A20" i="45"/>
  <c r="C1" i="38"/>
  <c r="C2" i="38"/>
  <c r="C5" i="38"/>
  <c r="C7" i="38"/>
  <c r="BE5" i="10"/>
  <c r="Z6" i="12"/>
  <c r="BE12" i="10"/>
  <c r="Z7" i="12"/>
  <c r="BE467" i="10"/>
  <c r="Z72" i="12"/>
  <c r="BE19" i="10"/>
  <c r="Z8" i="12"/>
  <c r="BE26" i="10"/>
  <c r="Z9" i="12"/>
  <c r="BE33" i="10"/>
  <c r="Z10" i="12"/>
  <c r="BE40" i="10"/>
  <c r="Z11" i="12"/>
  <c r="BE47" i="10"/>
  <c r="Z12" i="12"/>
  <c r="BE54" i="10"/>
  <c r="Z13" i="12"/>
  <c r="BE61" i="10"/>
  <c r="Z14" i="12"/>
  <c r="BE68" i="10"/>
  <c r="Z15" i="12"/>
  <c r="BE75" i="10"/>
  <c r="Z16" i="12"/>
  <c r="BE82" i="10"/>
  <c r="Z17" i="12"/>
  <c r="BE89" i="10"/>
  <c r="Z18" i="12"/>
  <c r="BE96" i="10"/>
  <c r="Z19" i="12"/>
  <c r="BE103" i="10"/>
  <c r="Z20" i="12"/>
  <c r="BE110" i="10"/>
  <c r="Z21" i="12"/>
  <c r="BE117" i="10"/>
  <c r="Z22" i="12"/>
  <c r="BE124" i="10"/>
  <c r="Z23" i="12"/>
  <c r="BE131" i="10"/>
  <c r="Z24" i="12"/>
  <c r="BE138" i="10"/>
  <c r="Z25" i="12"/>
  <c r="BE145" i="10"/>
  <c r="Z26" i="12"/>
  <c r="BE152" i="10"/>
  <c r="Z27" i="12"/>
  <c r="BE159" i="10"/>
  <c r="Z28" i="12"/>
  <c r="BE166" i="10"/>
  <c r="Z29" i="12"/>
  <c r="BE173" i="10"/>
  <c r="Z30" i="12"/>
  <c r="BE180" i="10"/>
  <c r="Z31" i="12"/>
  <c r="BE187" i="10"/>
  <c r="Z32" i="12"/>
  <c r="BE194" i="10"/>
  <c r="Z33" i="12"/>
  <c r="BE201" i="10"/>
  <c r="Z34" i="12"/>
  <c r="BE208" i="10"/>
  <c r="Z35" i="12"/>
  <c r="BE215" i="10"/>
  <c r="Z36" i="12"/>
  <c r="BE222" i="10"/>
  <c r="Z37" i="12"/>
  <c r="BE229" i="10"/>
  <c r="Z38" i="12"/>
  <c r="BE236" i="10"/>
  <c r="Z39" i="12"/>
  <c r="BE243" i="10"/>
  <c r="Z40" i="12"/>
  <c r="BE250" i="10"/>
  <c r="Z41" i="12"/>
  <c r="BE257" i="10"/>
  <c r="Z42" i="12"/>
  <c r="BE264" i="10"/>
  <c r="Z43" i="12"/>
  <c r="BE271" i="10"/>
  <c r="Z44" i="12"/>
  <c r="BE278" i="10"/>
  <c r="Z45" i="12"/>
  <c r="BE285" i="10"/>
  <c r="Z46" i="12"/>
  <c r="BE292" i="10"/>
  <c r="Z47" i="12"/>
  <c r="BE299" i="10"/>
  <c r="Z48" i="12"/>
  <c r="BE306" i="10"/>
  <c r="Z49" i="12"/>
  <c r="BE313" i="10"/>
  <c r="Z50" i="12"/>
  <c r="BE320" i="10"/>
  <c r="Z51" i="12"/>
  <c r="BE327" i="10"/>
  <c r="Z52" i="12"/>
  <c r="BE334" i="10"/>
  <c r="Z53" i="12"/>
  <c r="BE341" i="10"/>
  <c r="Z54" i="12"/>
  <c r="BE348" i="10"/>
  <c r="Z55" i="12"/>
  <c r="BE355" i="10"/>
  <c r="Z56" i="12"/>
  <c r="BE362" i="10"/>
  <c r="Z57" i="12"/>
  <c r="BE369" i="10"/>
  <c r="Z58" i="12"/>
  <c r="BE376" i="10"/>
  <c r="Z59" i="12"/>
  <c r="BE383" i="10"/>
  <c r="Z60" i="12"/>
  <c r="BE390" i="10"/>
  <c r="Z61" i="12"/>
  <c r="BE397" i="10"/>
  <c r="Z62" i="12"/>
  <c r="BE404" i="10"/>
  <c r="Z63" i="12"/>
  <c r="BE411" i="10"/>
  <c r="Z64" i="12"/>
  <c r="BE418" i="10"/>
  <c r="Z65" i="12"/>
  <c r="BE425" i="10"/>
  <c r="Z66" i="12"/>
  <c r="BE432" i="10"/>
  <c r="Z67" i="12"/>
  <c r="BE439" i="10"/>
  <c r="Z68" i="12"/>
  <c r="BE446" i="10"/>
  <c r="Z69" i="12"/>
  <c r="BE453" i="10"/>
  <c r="Z70" i="12"/>
  <c r="BE460" i="10"/>
  <c r="Z71" i="12"/>
  <c r="BE474" i="10"/>
  <c r="Z73" i="12"/>
  <c r="O21" i="10"/>
  <c r="J124" i="1"/>
  <c r="J131" i="1"/>
  <c r="M4" i="25"/>
  <c r="L6" i="44"/>
  <c r="P6" i="44"/>
  <c r="Q6" i="44"/>
  <c r="R6" i="44"/>
  <c r="Y6" i="44"/>
  <c r="Z6" i="44"/>
  <c r="AA6" i="44"/>
  <c r="AH6" i="44"/>
  <c r="AI6" i="44"/>
  <c r="AJ6" i="44"/>
  <c r="AQ6" i="44"/>
  <c r="AR6" i="44"/>
  <c r="AS6" i="44"/>
  <c r="AZ6" i="44"/>
  <c r="BA6" i="44"/>
  <c r="BB6" i="44"/>
  <c r="BI6" i="44"/>
  <c r="BJ6" i="44"/>
  <c r="BK6" i="44"/>
  <c r="BR6" i="44"/>
  <c r="BS6" i="44"/>
  <c r="BT6" i="44"/>
  <c r="CA6" i="44"/>
  <c r="CB6" i="44"/>
  <c r="CC6" i="44"/>
  <c r="CJ6" i="44"/>
  <c r="CK6" i="44"/>
  <c r="CL6" i="44"/>
  <c r="CS6" i="44"/>
  <c r="CT6" i="44"/>
  <c r="CU6" i="44"/>
  <c r="DB6" i="44"/>
  <c r="DC6" i="44"/>
  <c r="DD6" i="44"/>
  <c r="P7" i="44"/>
  <c r="Q7" i="44"/>
  <c r="R7" i="44"/>
  <c r="Y7" i="44"/>
  <c r="Z7" i="44"/>
  <c r="AA7" i="44"/>
  <c r="AH7" i="44"/>
  <c r="AI7" i="44"/>
  <c r="AJ7" i="44"/>
  <c r="AQ7" i="44"/>
  <c r="AR7" i="44"/>
  <c r="AS7" i="44"/>
  <c r="AZ7" i="44"/>
  <c r="BA7" i="44"/>
  <c r="BB7" i="44"/>
  <c r="BI7" i="44"/>
  <c r="BJ7" i="44"/>
  <c r="BK7" i="44"/>
  <c r="BR7" i="44"/>
  <c r="BS7" i="44"/>
  <c r="BT7" i="44"/>
  <c r="CA7" i="44"/>
  <c r="CB7" i="44"/>
  <c r="CC7" i="44"/>
  <c r="CJ7" i="44"/>
  <c r="CK7" i="44"/>
  <c r="CL7" i="44"/>
  <c r="CS7" i="44"/>
  <c r="CT7" i="44"/>
  <c r="CU7" i="44"/>
  <c r="DB7" i="44"/>
  <c r="DC7" i="44"/>
  <c r="DD7" i="44"/>
  <c r="P8" i="44"/>
  <c r="Q8" i="44"/>
  <c r="R8" i="44"/>
  <c r="Y8" i="44"/>
  <c r="Z8" i="44"/>
  <c r="AA8" i="44"/>
  <c r="AH8" i="44"/>
  <c r="AI8" i="44"/>
  <c r="AJ8" i="44"/>
  <c r="AQ8" i="44"/>
  <c r="AR8" i="44"/>
  <c r="AS8" i="44"/>
  <c r="AZ8" i="44"/>
  <c r="BA8" i="44"/>
  <c r="BB8" i="44"/>
  <c r="BI8" i="44"/>
  <c r="BJ8" i="44"/>
  <c r="BK8" i="44"/>
  <c r="BR8" i="44"/>
  <c r="BS8" i="44"/>
  <c r="BT8" i="44"/>
  <c r="CA8" i="44"/>
  <c r="CB8" i="44"/>
  <c r="CC8" i="44"/>
  <c r="CJ8" i="44"/>
  <c r="CK8" i="44"/>
  <c r="CL8" i="44"/>
  <c r="CS8" i="44"/>
  <c r="CT8" i="44"/>
  <c r="CU8" i="44"/>
  <c r="DB8" i="44"/>
  <c r="DC8" i="44"/>
  <c r="DD8" i="44"/>
  <c r="P9" i="44"/>
  <c r="Q9" i="44"/>
  <c r="R9" i="44"/>
  <c r="Y9" i="44"/>
  <c r="Z9" i="44"/>
  <c r="AA9" i="44"/>
  <c r="AE9" i="44"/>
  <c r="AH9" i="44"/>
  <c r="AI9" i="44"/>
  <c r="AJ9" i="44"/>
  <c r="AN9" i="44"/>
  <c r="AQ9" i="44"/>
  <c r="AR9" i="44"/>
  <c r="AS9" i="44"/>
  <c r="AZ9" i="44"/>
  <c r="BA9" i="44"/>
  <c r="BB9" i="44"/>
  <c r="BI9" i="44"/>
  <c r="BJ9" i="44"/>
  <c r="BK9" i="44"/>
  <c r="BR9" i="44"/>
  <c r="BS9" i="44"/>
  <c r="BT9" i="44"/>
  <c r="CA9" i="44"/>
  <c r="CB9" i="44"/>
  <c r="CC9" i="44"/>
  <c r="CJ9" i="44"/>
  <c r="CK9" i="44"/>
  <c r="CL9" i="44"/>
  <c r="CS9" i="44"/>
  <c r="CT9" i="44"/>
  <c r="CU9" i="44"/>
  <c r="DB9" i="44"/>
  <c r="DC9" i="44"/>
  <c r="DD9" i="44"/>
  <c r="P10" i="44"/>
  <c r="Q10" i="44"/>
  <c r="R10" i="44"/>
  <c r="Y10" i="44"/>
  <c r="Z10" i="44"/>
  <c r="AA10" i="44"/>
  <c r="AE10" i="44"/>
  <c r="AH10" i="44"/>
  <c r="AI10" i="44"/>
  <c r="AJ10" i="44"/>
  <c r="AN10" i="44"/>
  <c r="AQ10" i="44"/>
  <c r="AR10" i="44"/>
  <c r="AS10" i="44"/>
  <c r="AZ10" i="44"/>
  <c r="BA10" i="44"/>
  <c r="BB10" i="44"/>
  <c r="BI10" i="44"/>
  <c r="BJ10" i="44"/>
  <c r="BK10" i="44"/>
  <c r="BR10" i="44"/>
  <c r="BS10" i="44"/>
  <c r="BT10" i="44"/>
  <c r="CA10" i="44"/>
  <c r="CB10" i="44"/>
  <c r="CC10" i="44"/>
  <c r="CJ10" i="44"/>
  <c r="CK10" i="44"/>
  <c r="CL10" i="44"/>
  <c r="CS10" i="44"/>
  <c r="CT10" i="44"/>
  <c r="CU10" i="44"/>
  <c r="DB10" i="44"/>
  <c r="DC10" i="44"/>
  <c r="DD10" i="44"/>
  <c r="P11" i="44"/>
  <c r="Q11" i="44"/>
  <c r="R11" i="44"/>
  <c r="Y11" i="44"/>
  <c r="Z11" i="44"/>
  <c r="AA11" i="44"/>
  <c r="AE11" i="44"/>
  <c r="AH11" i="44"/>
  <c r="AI11" i="44"/>
  <c r="AJ11" i="44"/>
  <c r="AN11" i="44"/>
  <c r="AQ11" i="44"/>
  <c r="AR11" i="44"/>
  <c r="AS11" i="44"/>
  <c r="AZ11" i="44"/>
  <c r="BA11" i="44"/>
  <c r="BB11" i="44"/>
  <c r="BI11" i="44"/>
  <c r="BJ11" i="44"/>
  <c r="BK11" i="44"/>
  <c r="BR11" i="44"/>
  <c r="BS11" i="44"/>
  <c r="BT11" i="44"/>
  <c r="CA11" i="44"/>
  <c r="CB11" i="44"/>
  <c r="CC11" i="44"/>
  <c r="CJ11" i="44"/>
  <c r="CK11" i="44"/>
  <c r="CL11" i="44"/>
  <c r="CS11" i="44"/>
  <c r="CT11" i="44"/>
  <c r="CU11" i="44"/>
  <c r="DB11" i="44"/>
  <c r="DC11" i="44"/>
  <c r="DD11" i="44"/>
  <c r="P12" i="44"/>
  <c r="Q12" i="44"/>
  <c r="R12" i="44"/>
  <c r="Y12" i="44"/>
  <c r="Z12" i="44"/>
  <c r="AA12" i="44"/>
  <c r="AE12" i="44"/>
  <c r="AH12" i="44"/>
  <c r="AI12" i="44"/>
  <c r="AJ12" i="44"/>
  <c r="AN12" i="44"/>
  <c r="AQ12" i="44"/>
  <c r="AR12" i="44"/>
  <c r="AS12" i="44"/>
  <c r="AZ12" i="44"/>
  <c r="BA12" i="44"/>
  <c r="BB12" i="44"/>
  <c r="BI12" i="44"/>
  <c r="BJ12" i="44"/>
  <c r="BK12" i="44"/>
  <c r="BR12" i="44"/>
  <c r="BS12" i="44"/>
  <c r="BT12" i="44"/>
  <c r="CA12" i="44"/>
  <c r="CB12" i="44"/>
  <c r="CC12" i="44"/>
  <c r="CJ12" i="44"/>
  <c r="CK12" i="44"/>
  <c r="CL12" i="44"/>
  <c r="CS12" i="44"/>
  <c r="CT12" i="44"/>
  <c r="CU12" i="44"/>
  <c r="DB12" i="44"/>
  <c r="DC12" i="44"/>
  <c r="DD12" i="44"/>
  <c r="P13" i="44"/>
  <c r="Q13" i="44"/>
  <c r="R13" i="44"/>
  <c r="Y13" i="44"/>
  <c r="Z13" i="44"/>
  <c r="AA13" i="44"/>
  <c r="AE13" i="44"/>
  <c r="AH13" i="44"/>
  <c r="AI13" i="44"/>
  <c r="AJ13" i="44"/>
  <c r="AN13" i="44"/>
  <c r="AQ13" i="44"/>
  <c r="AR13" i="44"/>
  <c r="AS13" i="44"/>
  <c r="AZ13" i="44"/>
  <c r="BA13" i="44"/>
  <c r="BB13" i="44"/>
  <c r="BI13" i="44"/>
  <c r="BJ13" i="44"/>
  <c r="BK13" i="44"/>
  <c r="BR13" i="44"/>
  <c r="BS13" i="44"/>
  <c r="BT13" i="44"/>
  <c r="CA13" i="44"/>
  <c r="CB13" i="44"/>
  <c r="CC13" i="44"/>
  <c r="CJ13" i="44"/>
  <c r="CK13" i="44"/>
  <c r="CL13" i="44"/>
  <c r="CS13" i="44"/>
  <c r="CT13" i="44"/>
  <c r="CU13" i="44"/>
  <c r="DB13" i="44"/>
  <c r="DC13" i="44"/>
  <c r="DD13" i="44"/>
  <c r="P14" i="44"/>
  <c r="Q14" i="44"/>
  <c r="R14" i="44"/>
  <c r="Y14" i="44"/>
  <c r="Z14" i="44"/>
  <c r="AA14" i="44"/>
  <c r="AE14" i="44"/>
  <c r="AH14" i="44"/>
  <c r="AI14" i="44"/>
  <c r="AJ14" i="44"/>
  <c r="AN14" i="44"/>
  <c r="AQ14" i="44"/>
  <c r="AR14" i="44"/>
  <c r="AS14" i="44"/>
  <c r="AZ14" i="44"/>
  <c r="BA14" i="44"/>
  <c r="BB14" i="44"/>
  <c r="BI14" i="44"/>
  <c r="BJ14" i="44"/>
  <c r="BK14" i="44"/>
  <c r="BR14" i="44"/>
  <c r="BS14" i="44"/>
  <c r="BT14" i="44"/>
  <c r="CA14" i="44"/>
  <c r="CB14" i="44"/>
  <c r="CC14" i="44"/>
  <c r="CJ14" i="44"/>
  <c r="CK14" i="44"/>
  <c r="CL14" i="44"/>
  <c r="CS14" i="44"/>
  <c r="CT14" i="44"/>
  <c r="CU14" i="44"/>
  <c r="DB14" i="44"/>
  <c r="DC14" i="44"/>
  <c r="DD14" i="44"/>
  <c r="P15" i="44"/>
  <c r="Q15" i="44"/>
  <c r="R15" i="44"/>
  <c r="Y15" i="44"/>
  <c r="Z15" i="44"/>
  <c r="AA15" i="44"/>
  <c r="AE15" i="44"/>
  <c r="AH15" i="44"/>
  <c r="AI15" i="44"/>
  <c r="AJ15" i="44"/>
  <c r="AN15" i="44"/>
  <c r="AQ15" i="44"/>
  <c r="AR15" i="44"/>
  <c r="AS15" i="44"/>
  <c r="AZ15" i="44"/>
  <c r="BA15" i="44"/>
  <c r="BB15" i="44"/>
  <c r="BI15" i="44"/>
  <c r="BJ15" i="44"/>
  <c r="BK15" i="44"/>
  <c r="BR15" i="44"/>
  <c r="BS15" i="44"/>
  <c r="BT15" i="44"/>
  <c r="CA15" i="44"/>
  <c r="CB15" i="44"/>
  <c r="CC15" i="44"/>
  <c r="CJ15" i="44"/>
  <c r="CK15" i="44"/>
  <c r="CL15" i="44"/>
  <c r="CS15" i="44"/>
  <c r="CT15" i="44"/>
  <c r="CU15" i="44"/>
  <c r="DB15" i="44"/>
  <c r="DC15" i="44"/>
  <c r="DD15" i="44"/>
  <c r="P16" i="44"/>
  <c r="Q16" i="44"/>
  <c r="R16" i="44"/>
  <c r="Y16" i="44"/>
  <c r="Z16" i="44"/>
  <c r="AA16" i="44"/>
  <c r="AE16" i="44"/>
  <c r="AH16" i="44"/>
  <c r="AI16" i="44"/>
  <c r="AJ16" i="44"/>
  <c r="AN16" i="44"/>
  <c r="AQ16" i="44"/>
  <c r="AR16" i="44"/>
  <c r="AS16" i="44"/>
  <c r="AZ16" i="44"/>
  <c r="BA16" i="44"/>
  <c r="BB16" i="44"/>
  <c r="BI16" i="44"/>
  <c r="BJ16" i="44"/>
  <c r="BK16" i="44"/>
  <c r="BR16" i="44"/>
  <c r="BS16" i="44"/>
  <c r="BT16" i="44"/>
  <c r="CA16" i="44"/>
  <c r="CB16" i="44"/>
  <c r="CC16" i="44"/>
  <c r="CJ16" i="44"/>
  <c r="CK16" i="44"/>
  <c r="CL16" i="44"/>
  <c r="CS16" i="44"/>
  <c r="CT16" i="44"/>
  <c r="CU16" i="44"/>
  <c r="DB16" i="44"/>
  <c r="DC16" i="44"/>
  <c r="DD16" i="44"/>
  <c r="P17" i="44"/>
  <c r="Q17" i="44"/>
  <c r="R17" i="44"/>
  <c r="Y17" i="44"/>
  <c r="Z17" i="44"/>
  <c r="AA17" i="44"/>
  <c r="AH17" i="44"/>
  <c r="AI17" i="44"/>
  <c r="AJ17" i="44"/>
  <c r="AQ17" i="44"/>
  <c r="AR17" i="44"/>
  <c r="AS17" i="44"/>
  <c r="AZ17" i="44"/>
  <c r="BA17" i="44"/>
  <c r="BB17" i="44"/>
  <c r="BI17" i="44"/>
  <c r="BJ17" i="44"/>
  <c r="BK17" i="44"/>
  <c r="BR17" i="44"/>
  <c r="BS17" i="44"/>
  <c r="BT17" i="44"/>
  <c r="CA17" i="44"/>
  <c r="CB17" i="44"/>
  <c r="CC17" i="44"/>
  <c r="CJ17" i="44"/>
  <c r="CK17" i="44"/>
  <c r="CL17" i="44"/>
  <c r="CS17" i="44"/>
  <c r="CT17" i="44"/>
  <c r="CU17" i="44"/>
  <c r="DB17" i="44"/>
  <c r="DC17" i="44"/>
  <c r="DD17" i="44"/>
  <c r="P18" i="44"/>
  <c r="Q18" i="44"/>
  <c r="R18" i="44"/>
  <c r="Y18" i="44"/>
  <c r="Z18" i="44"/>
  <c r="AA18" i="44"/>
  <c r="AH18" i="44"/>
  <c r="AI18" i="44"/>
  <c r="AJ18" i="44"/>
  <c r="AQ18" i="44"/>
  <c r="AR18" i="44"/>
  <c r="AS18" i="44"/>
  <c r="AZ18" i="44"/>
  <c r="BA18" i="44"/>
  <c r="BB18" i="44"/>
  <c r="BI18" i="44"/>
  <c r="BJ18" i="44"/>
  <c r="BK18" i="44"/>
  <c r="BR18" i="44"/>
  <c r="BS18" i="44"/>
  <c r="BT18" i="44"/>
  <c r="CA18" i="44"/>
  <c r="CB18" i="44"/>
  <c r="CC18" i="44"/>
  <c r="CJ18" i="44"/>
  <c r="CK18" i="44"/>
  <c r="CL18" i="44"/>
  <c r="CS18" i="44"/>
  <c r="CT18" i="44"/>
  <c r="CU18" i="44"/>
  <c r="DB18" i="44"/>
  <c r="DC18" i="44"/>
  <c r="DD18" i="44"/>
  <c r="P19" i="44"/>
  <c r="Q19" i="44"/>
  <c r="R19" i="44"/>
  <c r="Y19" i="44"/>
  <c r="Z19" i="44"/>
  <c r="AA19" i="44"/>
  <c r="AE19" i="44"/>
  <c r="AH19" i="44"/>
  <c r="AI19" i="44"/>
  <c r="AJ19" i="44"/>
  <c r="AN19" i="44"/>
  <c r="AQ19" i="44"/>
  <c r="AR19" i="44"/>
  <c r="AS19" i="44"/>
  <c r="AZ19" i="44"/>
  <c r="BA19" i="44"/>
  <c r="BB19" i="44"/>
  <c r="BI19" i="44"/>
  <c r="BJ19" i="44"/>
  <c r="BK19" i="44"/>
  <c r="BR19" i="44"/>
  <c r="BS19" i="44"/>
  <c r="BT19" i="44"/>
  <c r="CA19" i="44"/>
  <c r="CB19" i="44"/>
  <c r="CC19" i="44"/>
  <c r="CJ19" i="44"/>
  <c r="CK19" i="44"/>
  <c r="CL19" i="44"/>
  <c r="CS19" i="44"/>
  <c r="CT19" i="44"/>
  <c r="CU19" i="44"/>
  <c r="DB19" i="44"/>
  <c r="DC19" i="44"/>
  <c r="DD19" i="44"/>
  <c r="P20" i="44"/>
  <c r="Q20" i="44"/>
  <c r="R20" i="44"/>
  <c r="Y20" i="44"/>
  <c r="Z20" i="44"/>
  <c r="AA20" i="44"/>
  <c r="AH20" i="44"/>
  <c r="AI20" i="44"/>
  <c r="AJ20" i="44"/>
  <c r="AQ20" i="44"/>
  <c r="AR20" i="44"/>
  <c r="AS20" i="44"/>
  <c r="AZ20" i="44"/>
  <c r="BA20" i="44"/>
  <c r="BB20" i="44"/>
  <c r="BI20" i="44"/>
  <c r="BJ20" i="44"/>
  <c r="BK20" i="44"/>
  <c r="BR20" i="44"/>
  <c r="BS20" i="44"/>
  <c r="BT20" i="44"/>
  <c r="CA20" i="44"/>
  <c r="CB20" i="44"/>
  <c r="CC20" i="44"/>
  <c r="CJ20" i="44"/>
  <c r="CK20" i="44"/>
  <c r="CL20" i="44"/>
  <c r="CS20" i="44"/>
  <c r="CT20" i="44"/>
  <c r="CU20" i="44"/>
  <c r="DB20" i="44"/>
  <c r="DC20" i="44"/>
  <c r="DD20" i="44"/>
  <c r="P21" i="44"/>
  <c r="Q21" i="44"/>
  <c r="R21" i="44"/>
  <c r="Y21" i="44"/>
  <c r="Z21" i="44"/>
  <c r="AA21" i="44"/>
  <c r="AH21" i="44"/>
  <c r="AI21" i="44"/>
  <c r="AJ21" i="44"/>
  <c r="AQ21" i="44"/>
  <c r="AR21" i="44"/>
  <c r="AS21" i="44"/>
  <c r="AZ21" i="44"/>
  <c r="BA21" i="44"/>
  <c r="BB21" i="44"/>
  <c r="BI21" i="44"/>
  <c r="BJ21" i="44"/>
  <c r="BK21" i="44"/>
  <c r="BR21" i="44"/>
  <c r="BS21" i="44"/>
  <c r="BT21" i="44"/>
  <c r="CA21" i="44"/>
  <c r="CB21" i="44"/>
  <c r="CC21" i="44"/>
  <c r="CJ21" i="44"/>
  <c r="CK21" i="44"/>
  <c r="CL21" i="44"/>
  <c r="CS21" i="44"/>
  <c r="CT21" i="44"/>
  <c r="CU21" i="44"/>
  <c r="DB21" i="44"/>
  <c r="DC21" i="44"/>
  <c r="DD21" i="44"/>
  <c r="P22" i="44"/>
  <c r="Q22" i="44"/>
  <c r="R22" i="44"/>
  <c r="Y22" i="44"/>
  <c r="Z22" i="44"/>
  <c r="AA22" i="44"/>
  <c r="AE22" i="44"/>
  <c r="AH22" i="44"/>
  <c r="AI22" i="44"/>
  <c r="AJ22" i="44"/>
  <c r="AN22" i="44"/>
  <c r="AQ22" i="44"/>
  <c r="AR22" i="44"/>
  <c r="AS22" i="44"/>
  <c r="AZ22" i="44"/>
  <c r="BA22" i="44"/>
  <c r="BB22" i="44"/>
  <c r="BI22" i="44"/>
  <c r="BJ22" i="44"/>
  <c r="BK22" i="44"/>
  <c r="BR22" i="44"/>
  <c r="BS22" i="44"/>
  <c r="BT22" i="44"/>
  <c r="CA22" i="44"/>
  <c r="CB22" i="44"/>
  <c r="CC22" i="44"/>
  <c r="CJ22" i="44"/>
  <c r="CK22" i="44"/>
  <c r="CL22" i="44"/>
  <c r="CS22" i="44"/>
  <c r="CT22" i="44"/>
  <c r="CU22" i="44"/>
  <c r="DB22" i="44"/>
  <c r="DC22" i="44"/>
  <c r="DD22" i="44"/>
  <c r="P23" i="44"/>
  <c r="Q23" i="44"/>
  <c r="R23" i="44"/>
  <c r="Y23" i="44"/>
  <c r="Z23" i="44"/>
  <c r="AA23" i="44"/>
  <c r="AE23" i="44"/>
  <c r="AH23" i="44"/>
  <c r="AI23" i="44"/>
  <c r="AJ23" i="44"/>
  <c r="AN23" i="44"/>
  <c r="AQ23" i="44"/>
  <c r="AR23" i="44"/>
  <c r="AS23" i="44"/>
  <c r="AZ23" i="44"/>
  <c r="BA23" i="44"/>
  <c r="BB23" i="44"/>
  <c r="BI23" i="44"/>
  <c r="BJ23" i="44"/>
  <c r="BK23" i="44"/>
  <c r="BR23" i="44"/>
  <c r="BS23" i="44"/>
  <c r="BT23" i="44"/>
  <c r="CA23" i="44"/>
  <c r="CB23" i="44"/>
  <c r="CC23" i="44"/>
  <c r="CJ23" i="44"/>
  <c r="CK23" i="44"/>
  <c r="CL23" i="44"/>
  <c r="CS23" i="44"/>
  <c r="CT23" i="44"/>
  <c r="CU23" i="44"/>
  <c r="DB23" i="44"/>
  <c r="DC23" i="44"/>
  <c r="DD23" i="44"/>
  <c r="P24" i="44"/>
  <c r="Q24" i="44"/>
  <c r="R24" i="44"/>
  <c r="Y24" i="44"/>
  <c r="Z24" i="44"/>
  <c r="AA24" i="44"/>
  <c r="AE24" i="44"/>
  <c r="AH24" i="44"/>
  <c r="AI24" i="44"/>
  <c r="AJ24" i="44"/>
  <c r="AN24" i="44"/>
  <c r="AQ24" i="44"/>
  <c r="AR24" i="44"/>
  <c r="AS24" i="44"/>
  <c r="AZ24" i="44"/>
  <c r="BA24" i="44"/>
  <c r="BB24" i="44"/>
  <c r="BI24" i="44"/>
  <c r="BJ24" i="44"/>
  <c r="BK24" i="44"/>
  <c r="BR24" i="44"/>
  <c r="BS24" i="44"/>
  <c r="BT24" i="44"/>
  <c r="CA24" i="44"/>
  <c r="CB24" i="44"/>
  <c r="CC24" i="44"/>
  <c r="CJ24" i="44"/>
  <c r="CK24" i="44"/>
  <c r="CL24" i="44"/>
  <c r="CS24" i="44"/>
  <c r="CT24" i="44"/>
  <c r="CU24" i="44"/>
  <c r="DB24" i="44"/>
  <c r="DC24" i="44"/>
  <c r="DD24" i="44"/>
  <c r="P25" i="44"/>
  <c r="Q25" i="44"/>
  <c r="R25" i="44"/>
  <c r="Y25" i="44"/>
  <c r="Z25" i="44"/>
  <c r="AA25" i="44"/>
  <c r="AH25" i="44"/>
  <c r="AI25" i="44"/>
  <c r="AJ25" i="44"/>
  <c r="AQ25" i="44"/>
  <c r="AR25" i="44"/>
  <c r="AS25" i="44"/>
  <c r="AZ25" i="44"/>
  <c r="BA25" i="44"/>
  <c r="BB25" i="44"/>
  <c r="BI25" i="44"/>
  <c r="BJ25" i="44"/>
  <c r="BK25" i="44"/>
  <c r="BR25" i="44"/>
  <c r="BS25" i="44"/>
  <c r="BT25" i="44"/>
  <c r="CA25" i="44"/>
  <c r="CB25" i="44"/>
  <c r="CC25" i="44"/>
  <c r="CJ25" i="44"/>
  <c r="CK25" i="44"/>
  <c r="CL25" i="44"/>
  <c r="CS25" i="44"/>
  <c r="CT25" i="44"/>
  <c r="CU25" i="44"/>
  <c r="DB25" i="44"/>
  <c r="DC25" i="44"/>
  <c r="DD25" i="44"/>
  <c r="P26" i="44"/>
  <c r="Q26" i="44"/>
  <c r="R26" i="44"/>
  <c r="Y26" i="44"/>
  <c r="Z26" i="44"/>
  <c r="AA26" i="44"/>
  <c r="AH26" i="44"/>
  <c r="AI26" i="44"/>
  <c r="AJ26" i="44"/>
  <c r="AQ26" i="44"/>
  <c r="AR26" i="44"/>
  <c r="AS26" i="44"/>
  <c r="AZ26" i="44"/>
  <c r="BA26" i="44"/>
  <c r="BB26" i="44"/>
  <c r="BI26" i="44"/>
  <c r="BJ26" i="44"/>
  <c r="BK26" i="44"/>
  <c r="BR26" i="44"/>
  <c r="BS26" i="44"/>
  <c r="BT26" i="44"/>
  <c r="CA26" i="44"/>
  <c r="CB26" i="44"/>
  <c r="CC26" i="44"/>
  <c r="CJ26" i="44"/>
  <c r="CK26" i="44"/>
  <c r="CL26" i="44"/>
  <c r="CS26" i="44"/>
  <c r="CT26" i="44"/>
  <c r="CU26" i="44"/>
  <c r="DB26" i="44"/>
  <c r="DC26" i="44"/>
  <c r="DD26" i="44"/>
  <c r="P27" i="44"/>
  <c r="Q27" i="44"/>
  <c r="R27" i="44"/>
  <c r="Y27" i="44"/>
  <c r="Z27" i="44"/>
  <c r="AA27" i="44"/>
  <c r="AE27" i="44"/>
  <c r="AH27" i="44"/>
  <c r="AI27" i="44"/>
  <c r="AJ27" i="44"/>
  <c r="AN27" i="44"/>
  <c r="AQ27" i="44"/>
  <c r="AR27" i="44"/>
  <c r="AS27" i="44"/>
  <c r="AZ27" i="44"/>
  <c r="BA27" i="44"/>
  <c r="BB27" i="44"/>
  <c r="BI27" i="44"/>
  <c r="BJ27" i="44"/>
  <c r="BK27" i="44"/>
  <c r="BR27" i="44"/>
  <c r="BS27" i="44"/>
  <c r="BT27" i="44"/>
  <c r="CA27" i="44"/>
  <c r="CB27" i="44"/>
  <c r="CC27" i="44"/>
  <c r="CJ27" i="44"/>
  <c r="CK27" i="44"/>
  <c r="CL27" i="44"/>
  <c r="CS27" i="44"/>
  <c r="CT27" i="44"/>
  <c r="CU27" i="44"/>
  <c r="DB27" i="44"/>
  <c r="DC27" i="44"/>
  <c r="DD27" i="44"/>
  <c r="P28" i="44"/>
  <c r="Q28" i="44"/>
  <c r="R28" i="44"/>
  <c r="Y28" i="44"/>
  <c r="Z28" i="44"/>
  <c r="AA28" i="44"/>
  <c r="AH28" i="44"/>
  <c r="AI28" i="44"/>
  <c r="AJ28" i="44"/>
  <c r="AQ28" i="44"/>
  <c r="AR28" i="44"/>
  <c r="AS28" i="44"/>
  <c r="AZ28" i="44"/>
  <c r="BA28" i="44"/>
  <c r="BB28" i="44"/>
  <c r="BI28" i="44"/>
  <c r="BJ28" i="44"/>
  <c r="BK28" i="44"/>
  <c r="BR28" i="44"/>
  <c r="BS28" i="44"/>
  <c r="BT28" i="44"/>
  <c r="CA28" i="44"/>
  <c r="CB28" i="44"/>
  <c r="CC28" i="44"/>
  <c r="CJ28" i="44"/>
  <c r="CK28" i="44"/>
  <c r="CL28" i="44"/>
  <c r="CS28" i="44"/>
  <c r="CT28" i="44"/>
  <c r="CU28" i="44"/>
  <c r="DB28" i="44"/>
  <c r="DC28" i="44"/>
  <c r="DD28" i="44"/>
  <c r="P29" i="44"/>
  <c r="Q29" i="44"/>
  <c r="R29" i="44"/>
  <c r="Y29" i="44"/>
  <c r="Z29" i="44"/>
  <c r="AA29" i="44"/>
  <c r="AH29" i="44"/>
  <c r="AI29" i="44"/>
  <c r="AJ29" i="44"/>
  <c r="AQ29" i="44"/>
  <c r="AR29" i="44"/>
  <c r="AS29" i="44"/>
  <c r="AZ29" i="44"/>
  <c r="BA29" i="44"/>
  <c r="BB29" i="44"/>
  <c r="BI29" i="44"/>
  <c r="BJ29" i="44"/>
  <c r="BK29" i="44"/>
  <c r="BR29" i="44"/>
  <c r="BS29" i="44"/>
  <c r="BT29" i="44"/>
  <c r="CA29" i="44"/>
  <c r="CB29" i="44"/>
  <c r="CC29" i="44"/>
  <c r="CJ29" i="44"/>
  <c r="CK29" i="44"/>
  <c r="CL29" i="44"/>
  <c r="CS29" i="44"/>
  <c r="CT29" i="44"/>
  <c r="CU29" i="44"/>
  <c r="DB29" i="44"/>
  <c r="DC29" i="44"/>
  <c r="DD29" i="44"/>
  <c r="P30" i="44"/>
  <c r="Q30" i="44"/>
  <c r="R30" i="44"/>
  <c r="Y30" i="44"/>
  <c r="Z30" i="44"/>
  <c r="AA30" i="44"/>
  <c r="AE30" i="44"/>
  <c r="AH30" i="44"/>
  <c r="AI30" i="44"/>
  <c r="AJ30" i="44"/>
  <c r="AN30" i="44"/>
  <c r="AQ30" i="44"/>
  <c r="AR30" i="44"/>
  <c r="AS30" i="44"/>
  <c r="AZ30" i="44"/>
  <c r="BA30" i="44"/>
  <c r="BB30" i="44"/>
  <c r="BI30" i="44"/>
  <c r="BJ30" i="44"/>
  <c r="BK30" i="44"/>
  <c r="BR30" i="44"/>
  <c r="BS30" i="44"/>
  <c r="BT30" i="44"/>
  <c r="CA30" i="44"/>
  <c r="CB30" i="44"/>
  <c r="CC30" i="44"/>
  <c r="CJ30" i="44"/>
  <c r="CK30" i="44"/>
  <c r="CL30" i="44"/>
  <c r="CS30" i="44"/>
  <c r="CT30" i="44"/>
  <c r="CU30" i="44"/>
  <c r="DB30" i="44"/>
  <c r="DC30" i="44"/>
  <c r="DD30" i="44"/>
  <c r="P31" i="44"/>
  <c r="Q31" i="44"/>
  <c r="R31" i="44"/>
  <c r="Y31" i="44"/>
  <c r="Z31" i="44"/>
  <c r="AA31" i="44"/>
  <c r="AH31" i="44"/>
  <c r="AI31" i="44"/>
  <c r="AJ31" i="44"/>
  <c r="AQ31" i="44"/>
  <c r="AR31" i="44"/>
  <c r="AS31" i="44"/>
  <c r="AZ31" i="44"/>
  <c r="BA31" i="44"/>
  <c r="BB31" i="44"/>
  <c r="BI31" i="44"/>
  <c r="BJ31" i="44"/>
  <c r="BK31" i="44"/>
  <c r="BR31" i="44"/>
  <c r="BS31" i="44"/>
  <c r="BT31" i="44"/>
  <c r="CA31" i="44"/>
  <c r="CB31" i="44"/>
  <c r="CC31" i="44"/>
  <c r="CJ31" i="44"/>
  <c r="CK31" i="44"/>
  <c r="CL31" i="44"/>
  <c r="CS31" i="44"/>
  <c r="CT31" i="44"/>
  <c r="CU31" i="44"/>
  <c r="DB31" i="44"/>
  <c r="DC31" i="44"/>
  <c r="DD31" i="44"/>
  <c r="P32" i="44"/>
  <c r="Q32" i="44"/>
  <c r="R32" i="44"/>
  <c r="Y32" i="44"/>
  <c r="Z32" i="44"/>
  <c r="AA32" i="44"/>
  <c r="AH32" i="44"/>
  <c r="AI32" i="44"/>
  <c r="AJ32" i="44"/>
  <c r="AQ32" i="44"/>
  <c r="AR32" i="44"/>
  <c r="AS32" i="44"/>
  <c r="AZ32" i="44"/>
  <c r="BA32" i="44"/>
  <c r="BB32" i="44"/>
  <c r="BI32" i="44"/>
  <c r="BJ32" i="44"/>
  <c r="BK32" i="44"/>
  <c r="BR32" i="44"/>
  <c r="BS32" i="44"/>
  <c r="BT32" i="44"/>
  <c r="CA32" i="44"/>
  <c r="CB32" i="44"/>
  <c r="CC32" i="44"/>
  <c r="CJ32" i="44"/>
  <c r="CK32" i="44"/>
  <c r="CL32" i="44"/>
  <c r="CS32" i="44"/>
  <c r="CT32" i="44"/>
  <c r="CU32" i="44"/>
  <c r="DB32" i="44"/>
  <c r="DC32" i="44"/>
  <c r="DD32" i="44"/>
  <c r="P33" i="44"/>
  <c r="Q33" i="44"/>
  <c r="R33" i="44"/>
  <c r="Y33" i="44"/>
  <c r="Z33" i="44"/>
  <c r="AA33" i="44"/>
  <c r="AE33" i="44"/>
  <c r="AH33" i="44"/>
  <c r="AI33" i="44"/>
  <c r="AJ33" i="44"/>
  <c r="AN33" i="44"/>
  <c r="AQ33" i="44"/>
  <c r="AR33" i="44"/>
  <c r="AS33" i="44"/>
  <c r="AZ33" i="44"/>
  <c r="BA33" i="44"/>
  <c r="BB33" i="44"/>
  <c r="BI33" i="44"/>
  <c r="BJ33" i="44"/>
  <c r="BK33" i="44"/>
  <c r="BR33" i="44"/>
  <c r="BS33" i="44"/>
  <c r="BT33" i="44"/>
  <c r="CA33" i="44"/>
  <c r="CB33" i="44"/>
  <c r="CC33" i="44"/>
  <c r="CJ33" i="44"/>
  <c r="CK33" i="44"/>
  <c r="CL33" i="44"/>
  <c r="CS33" i="44"/>
  <c r="CT33" i="44"/>
  <c r="CU33" i="44"/>
  <c r="DB33" i="44"/>
  <c r="DC33" i="44"/>
  <c r="DD33" i="44"/>
  <c r="P34" i="44"/>
  <c r="Q34" i="44"/>
  <c r="R34" i="44"/>
  <c r="Y34" i="44"/>
  <c r="Z34" i="44"/>
  <c r="AA34" i="44"/>
  <c r="AE34" i="44"/>
  <c r="AH34" i="44"/>
  <c r="AI34" i="44"/>
  <c r="AJ34" i="44"/>
  <c r="AN34" i="44"/>
  <c r="AQ34" i="44"/>
  <c r="AR34" i="44"/>
  <c r="AS34" i="44"/>
  <c r="AZ34" i="44"/>
  <c r="BA34" i="44"/>
  <c r="BB34" i="44"/>
  <c r="BI34" i="44"/>
  <c r="BJ34" i="44"/>
  <c r="BK34" i="44"/>
  <c r="BR34" i="44"/>
  <c r="BS34" i="44"/>
  <c r="BT34" i="44"/>
  <c r="CA34" i="44"/>
  <c r="CB34" i="44"/>
  <c r="CC34" i="44"/>
  <c r="CJ34" i="44"/>
  <c r="CK34" i="44"/>
  <c r="CL34" i="44"/>
  <c r="CS34" i="44"/>
  <c r="CT34" i="44"/>
  <c r="CU34" i="44"/>
  <c r="DB34" i="44"/>
  <c r="DC34" i="44"/>
  <c r="DD34" i="44"/>
  <c r="P35" i="44"/>
  <c r="Q35" i="44"/>
  <c r="R35" i="44"/>
  <c r="Y35" i="44"/>
  <c r="Z35" i="44"/>
  <c r="AA35" i="44"/>
  <c r="AH35" i="44"/>
  <c r="AI35" i="44"/>
  <c r="AJ35" i="44"/>
  <c r="AQ35" i="44"/>
  <c r="AR35" i="44"/>
  <c r="AS35" i="44"/>
  <c r="AZ35" i="44"/>
  <c r="BA35" i="44"/>
  <c r="BB35" i="44"/>
  <c r="BI35" i="44"/>
  <c r="BJ35" i="44"/>
  <c r="BK35" i="44"/>
  <c r="BR35" i="44"/>
  <c r="BS35" i="44"/>
  <c r="BT35" i="44"/>
  <c r="CA35" i="44"/>
  <c r="CB35" i="44"/>
  <c r="CC35" i="44"/>
  <c r="CJ35" i="44"/>
  <c r="CK35" i="44"/>
  <c r="CL35" i="44"/>
  <c r="CS35" i="44"/>
  <c r="CT35" i="44"/>
  <c r="CU35" i="44"/>
  <c r="DB35" i="44"/>
  <c r="DC35" i="44"/>
  <c r="DD35" i="44"/>
  <c r="P36" i="44"/>
  <c r="Q36" i="44"/>
  <c r="R36" i="44"/>
  <c r="Y36" i="44"/>
  <c r="Z36" i="44"/>
  <c r="AA36" i="44"/>
  <c r="AH36" i="44"/>
  <c r="AI36" i="44"/>
  <c r="AJ36" i="44"/>
  <c r="AQ36" i="44"/>
  <c r="AR36" i="44"/>
  <c r="AS36" i="44"/>
  <c r="AZ36" i="44"/>
  <c r="BA36" i="44"/>
  <c r="BB36" i="44"/>
  <c r="BI36" i="44"/>
  <c r="BJ36" i="44"/>
  <c r="BK36" i="44"/>
  <c r="BR36" i="44"/>
  <c r="BS36" i="44"/>
  <c r="BT36" i="44"/>
  <c r="CA36" i="44"/>
  <c r="CB36" i="44"/>
  <c r="CC36" i="44"/>
  <c r="CJ36" i="44"/>
  <c r="CK36" i="44"/>
  <c r="CL36" i="44"/>
  <c r="CS36" i="44"/>
  <c r="CT36" i="44"/>
  <c r="CU36" i="44"/>
  <c r="DB36" i="44"/>
  <c r="DC36" i="44"/>
  <c r="DD36" i="44"/>
  <c r="P37" i="44"/>
  <c r="Q37" i="44"/>
  <c r="R37" i="44"/>
  <c r="Y37" i="44"/>
  <c r="Z37" i="44"/>
  <c r="AA37" i="44"/>
  <c r="AE37" i="44"/>
  <c r="AH37" i="44"/>
  <c r="AI37" i="44"/>
  <c r="AJ37" i="44"/>
  <c r="AN37" i="44"/>
  <c r="AQ37" i="44"/>
  <c r="AR37" i="44"/>
  <c r="AS37" i="44"/>
  <c r="AZ37" i="44"/>
  <c r="BA37" i="44"/>
  <c r="BB37" i="44"/>
  <c r="BI37" i="44"/>
  <c r="BJ37" i="44"/>
  <c r="BK37" i="44"/>
  <c r="BR37" i="44"/>
  <c r="BS37" i="44"/>
  <c r="BT37" i="44"/>
  <c r="CA37" i="44"/>
  <c r="CB37" i="44"/>
  <c r="CC37" i="44"/>
  <c r="CJ37" i="44"/>
  <c r="CK37" i="44"/>
  <c r="CL37" i="44"/>
  <c r="CS37" i="44"/>
  <c r="CT37" i="44"/>
  <c r="CU37" i="44"/>
  <c r="DB37" i="44"/>
  <c r="DC37" i="44"/>
  <c r="DD37" i="44"/>
  <c r="P38" i="44"/>
  <c r="Q38" i="44"/>
  <c r="R38" i="44"/>
  <c r="Y38" i="44"/>
  <c r="Z38" i="44"/>
  <c r="AA38" i="44"/>
  <c r="AH38" i="44"/>
  <c r="AI38" i="44"/>
  <c r="AJ38" i="44"/>
  <c r="AQ38" i="44"/>
  <c r="AR38" i="44"/>
  <c r="AS38" i="44"/>
  <c r="AZ38" i="44"/>
  <c r="BA38" i="44"/>
  <c r="BB38" i="44"/>
  <c r="BI38" i="44"/>
  <c r="BJ38" i="44"/>
  <c r="BK38" i="44"/>
  <c r="BR38" i="44"/>
  <c r="BS38" i="44"/>
  <c r="BT38" i="44"/>
  <c r="CA38" i="44"/>
  <c r="CB38" i="44"/>
  <c r="CC38" i="44"/>
  <c r="CJ38" i="44"/>
  <c r="CK38" i="44"/>
  <c r="CL38" i="44"/>
  <c r="CS38" i="44"/>
  <c r="CT38" i="44"/>
  <c r="CU38" i="44"/>
  <c r="DB38" i="44"/>
  <c r="DC38" i="44"/>
  <c r="DD38" i="44"/>
  <c r="P39" i="44"/>
  <c r="Q39" i="44"/>
  <c r="R39" i="44"/>
  <c r="Y39" i="44"/>
  <c r="Z39" i="44"/>
  <c r="AA39" i="44"/>
  <c r="AH39" i="44"/>
  <c r="AI39" i="44"/>
  <c r="AJ39" i="44"/>
  <c r="AQ39" i="44"/>
  <c r="AR39" i="44"/>
  <c r="AS39" i="44"/>
  <c r="AZ39" i="44"/>
  <c r="BA39" i="44"/>
  <c r="BB39" i="44"/>
  <c r="BI39" i="44"/>
  <c r="BJ39" i="44"/>
  <c r="BK39" i="44"/>
  <c r="BR39" i="44"/>
  <c r="BS39" i="44"/>
  <c r="BT39" i="44"/>
  <c r="CA39" i="44"/>
  <c r="CB39" i="44"/>
  <c r="CC39" i="44"/>
  <c r="CJ39" i="44"/>
  <c r="CK39" i="44"/>
  <c r="CL39" i="44"/>
  <c r="CS39" i="44"/>
  <c r="CT39" i="44"/>
  <c r="CU39" i="44"/>
  <c r="DB39" i="44"/>
  <c r="DC39" i="44"/>
  <c r="DD39" i="44"/>
  <c r="P40" i="44"/>
  <c r="Q40" i="44"/>
  <c r="R40" i="44"/>
  <c r="Y40" i="44"/>
  <c r="Z40" i="44"/>
  <c r="AA40" i="44"/>
  <c r="AE40" i="44"/>
  <c r="AH40" i="44"/>
  <c r="AI40" i="44"/>
  <c r="AJ40" i="44"/>
  <c r="AN40" i="44"/>
  <c r="AQ40" i="44"/>
  <c r="AR40" i="44"/>
  <c r="AS40" i="44"/>
  <c r="AZ40" i="44"/>
  <c r="BA40" i="44"/>
  <c r="BB40" i="44"/>
  <c r="BI40" i="44"/>
  <c r="BJ40" i="44"/>
  <c r="BK40" i="44"/>
  <c r="BR40" i="44"/>
  <c r="BS40" i="44"/>
  <c r="BT40" i="44"/>
  <c r="CA40" i="44"/>
  <c r="CB40" i="44"/>
  <c r="CC40" i="44"/>
  <c r="CJ40" i="44"/>
  <c r="CK40" i="44"/>
  <c r="CL40" i="44"/>
  <c r="CS40" i="44"/>
  <c r="CT40" i="44"/>
  <c r="CU40" i="44"/>
  <c r="DB40" i="44"/>
  <c r="DC40" i="44"/>
  <c r="DD40" i="44"/>
  <c r="P41" i="44"/>
  <c r="Q41" i="44"/>
  <c r="R41" i="44"/>
  <c r="Y41" i="44"/>
  <c r="Z41" i="44"/>
  <c r="AA41" i="44"/>
  <c r="AH41" i="44"/>
  <c r="AI41" i="44"/>
  <c r="AJ41" i="44"/>
  <c r="AQ41" i="44"/>
  <c r="AR41" i="44"/>
  <c r="AS41" i="44"/>
  <c r="AZ41" i="44"/>
  <c r="BA41" i="44"/>
  <c r="BB41" i="44"/>
  <c r="BI41" i="44"/>
  <c r="BJ41" i="44"/>
  <c r="BK41" i="44"/>
  <c r="BR41" i="44"/>
  <c r="BS41" i="44"/>
  <c r="BT41" i="44"/>
  <c r="CA41" i="44"/>
  <c r="CB41" i="44"/>
  <c r="CC41" i="44"/>
  <c r="CJ41" i="44"/>
  <c r="CK41" i="44"/>
  <c r="CL41" i="44"/>
  <c r="CS41" i="44"/>
  <c r="CT41" i="44"/>
  <c r="CU41" i="44"/>
  <c r="DB41" i="44"/>
  <c r="DC41" i="44"/>
  <c r="DD41" i="44"/>
  <c r="P42" i="44"/>
  <c r="Q42" i="44"/>
  <c r="R42" i="44"/>
  <c r="Y42" i="44"/>
  <c r="Z42" i="44"/>
  <c r="AA42" i="44"/>
  <c r="AH42" i="44"/>
  <c r="AI42" i="44"/>
  <c r="AJ42" i="44"/>
  <c r="AQ42" i="44"/>
  <c r="AR42" i="44"/>
  <c r="AS42" i="44"/>
  <c r="AZ42" i="44"/>
  <c r="BA42" i="44"/>
  <c r="BB42" i="44"/>
  <c r="BI42" i="44"/>
  <c r="BJ42" i="44"/>
  <c r="BK42" i="44"/>
  <c r="BR42" i="44"/>
  <c r="BS42" i="44"/>
  <c r="BT42" i="44"/>
  <c r="CA42" i="44"/>
  <c r="CB42" i="44"/>
  <c r="CC42" i="44"/>
  <c r="CJ42" i="44"/>
  <c r="CK42" i="44"/>
  <c r="CL42" i="44"/>
  <c r="CS42" i="44"/>
  <c r="CT42" i="44"/>
  <c r="CU42" i="44"/>
  <c r="DB42" i="44"/>
  <c r="DC42" i="44"/>
  <c r="DD42" i="44"/>
  <c r="P43" i="44"/>
  <c r="Q43" i="44"/>
  <c r="R43" i="44"/>
  <c r="Y43" i="44"/>
  <c r="Z43" i="44"/>
  <c r="AA43" i="44"/>
  <c r="AE43" i="44"/>
  <c r="AH43" i="44"/>
  <c r="AI43" i="44"/>
  <c r="AJ43" i="44"/>
  <c r="AN43" i="44"/>
  <c r="AQ43" i="44"/>
  <c r="AR43" i="44"/>
  <c r="AS43" i="44"/>
  <c r="AZ43" i="44"/>
  <c r="BA43" i="44"/>
  <c r="BB43" i="44"/>
  <c r="BI43" i="44"/>
  <c r="BJ43" i="44"/>
  <c r="BK43" i="44"/>
  <c r="BR43" i="44"/>
  <c r="BS43" i="44"/>
  <c r="BT43" i="44"/>
  <c r="CA43" i="44"/>
  <c r="CB43" i="44"/>
  <c r="CC43" i="44"/>
  <c r="CJ43" i="44"/>
  <c r="CK43" i="44"/>
  <c r="CL43" i="44"/>
  <c r="CS43" i="44"/>
  <c r="CT43" i="44"/>
  <c r="CU43" i="44"/>
  <c r="DB43" i="44"/>
  <c r="DC43" i="44"/>
  <c r="DD43" i="44"/>
  <c r="P44" i="44"/>
  <c r="Q44" i="44"/>
  <c r="R44" i="44"/>
  <c r="Y44" i="44"/>
  <c r="Z44" i="44"/>
  <c r="AA44" i="44"/>
  <c r="AE44" i="44"/>
  <c r="AH44" i="44"/>
  <c r="AI44" i="44"/>
  <c r="AJ44" i="44"/>
  <c r="AN44" i="44"/>
  <c r="AQ44" i="44"/>
  <c r="AR44" i="44"/>
  <c r="AS44" i="44"/>
  <c r="AZ44" i="44"/>
  <c r="BA44" i="44"/>
  <c r="BB44" i="44"/>
  <c r="BI44" i="44"/>
  <c r="BJ44" i="44"/>
  <c r="BK44" i="44"/>
  <c r="BR44" i="44"/>
  <c r="BS44" i="44"/>
  <c r="BT44" i="44"/>
  <c r="CA44" i="44"/>
  <c r="CB44" i="44"/>
  <c r="CC44" i="44"/>
  <c r="CJ44" i="44"/>
  <c r="CK44" i="44"/>
  <c r="CL44" i="44"/>
  <c r="CS44" i="44"/>
  <c r="CT44" i="44"/>
  <c r="CU44" i="44"/>
  <c r="DB44" i="44"/>
  <c r="DC44" i="44"/>
  <c r="DD44" i="44"/>
  <c r="P45" i="44"/>
  <c r="Q45" i="44"/>
  <c r="R45" i="44"/>
  <c r="Y45" i="44"/>
  <c r="Z45" i="44"/>
  <c r="AA45" i="44"/>
  <c r="AH45" i="44"/>
  <c r="AI45" i="44"/>
  <c r="AJ45" i="44"/>
  <c r="AQ45" i="44"/>
  <c r="AR45" i="44"/>
  <c r="AS45" i="44"/>
  <c r="AZ45" i="44"/>
  <c r="BA45" i="44"/>
  <c r="BB45" i="44"/>
  <c r="BI45" i="44"/>
  <c r="BJ45" i="44"/>
  <c r="BK45" i="44"/>
  <c r="BR45" i="44"/>
  <c r="BS45" i="44"/>
  <c r="BT45" i="44"/>
  <c r="CA45" i="44"/>
  <c r="CB45" i="44"/>
  <c r="CC45" i="44"/>
  <c r="CJ45" i="44"/>
  <c r="CK45" i="44"/>
  <c r="CL45" i="44"/>
  <c r="CS45" i="44"/>
  <c r="CT45" i="44"/>
  <c r="CU45" i="44"/>
  <c r="DB45" i="44"/>
  <c r="DC45" i="44"/>
  <c r="DD45" i="44"/>
  <c r="P46" i="44"/>
  <c r="Q46" i="44"/>
  <c r="R46" i="44"/>
  <c r="Y46" i="44"/>
  <c r="Z46" i="44"/>
  <c r="AA46" i="44"/>
  <c r="AH46" i="44"/>
  <c r="AI46" i="44"/>
  <c r="AJ46" i="44"/>
  <c r="AQ46" i="44"/>
  <c r="AR46" i="44"/>
  <c r="AS46" i="44"/>
  <c r="AZ46" i="44"/>
  <c r="BA46" i="44"/>
  <c r="BB46" i="44"/>
  <c r="BI46" i="44"/>
  <c r="BJ46" i="44"/>
  <c r="BK46" i="44"/>
  <c r="BR46" i="44"/>
  <c r="BS46" i="44"/>
  <c r="BT46" i="44"/>
  <c r="CA46" i="44"/>
  <c r="CB46" i="44"/>
  <c r="CC46" i="44"/>
  <c r="CJ46" i="44"/>
  <c r="CK46" i="44"/>
  <c r="CL46" i="44"/>
  <c r="CS46" i="44"/>
  <c r="CT46" i="44"/>
  <c r="CU46" i="44"/>
  <c r="DB46" i="44"/>
  <c r="DC46" i="44"/>
  <c r="DD46" i="44"/>
  <c r="P47" i="44"/>
  <c r="Q47" i="44"/>
  <c r="R47" i="44"/>
  <c r="Y47" i="44"/>
  <c r="Z47" i="44"/>
  <c r="AA47" i="44"/>
  <c r="AE47" i="44"/>
  <c r="AH47" i="44"/>
  <c r="AI47" i="44"/>
  <c r="AJ47" i="44"/>
  <c r="AN47" i="44"/>
  <c r="AQ47" i="44"/>
  <c r="AR47" i="44"/>
  <c r="AS47" i="44"/>
  <c r="AZ47" i="44"/>
  <c r="BA47" i="44"/>
  <c r="BB47" i="44"/>
  <c r="BI47" i="44"/>
  <c r="BJ47" i="44"/>
  <c r="BK47" i="44"/>
  <c r="BR47" i="44"/>
  <c r="BS47" i="44"/>
  <c r="BT47" i="44"/>
  <c r="CA47" i="44"/>
  <c r="CB47" i="44"/>
  <c r="CC47" i="44"/>
  <c r="CJ47" i="44"/>
  <c r="CK47" i="44"/>
  <c r="CL47" i="44"/>
  <c r="CS47" i="44"/>
  <c r="CT47" i="44"/>
  <c r="CU47" i="44"/>
  <c r="DB47" i="44"/>
  <c r="DC47" i="44"/>
  <c r="DD47" i="44"/>
  <c r="P48" i="44"/>
  <c r="Q48" i="44"/>
  <c r="R48" i="44"/>
  <c r="Y48" i="44"/>
  <c r="Z48" i="44"/>
  <c r="AA48" i="44"/>
  <c r="AE48" i="44"/>
  <c r="AH48" i="44"/>
  <c r="AI48" i="44"/>
  <c r="AJ48" i="44"/>
  <c r="AN48" i="44"/>
  <c r="AQ48" i="44"/>
  <c r="AR48" i="44"/>
  <c r="AS48" i="44"/>
  <c r="AZ48" i="44"/>
  <c r="BA48" i="44"/>
  <c r="BB48" i="44"/>
  <c r="BI48" i="44"/>
  <c r="BJ48" i="44"/>
  <c r="BK48" i="44"/>
  <c r="BR48" i="44"/>
  <c r="BS48" i="44"/>
  <c r="BT48" i="44"/>
  <c r="CA48" i="44"/>
  <c r="CB48" i="44"/>
  <c r="CC48" i="44"/>
  <c r="CJ48" i="44"/>
  <c r="CK48" i="44"/>
  <c r="CL48" i="44"/>
  <c r="CS48" i="44"/>
  <c r="CT48" i="44"/>
  <c r="CU48" i="44"/>
  <c r="DB48" i="44"/>
  <c r="DC48" i="44"/>
  <c r="DD48" i="44"/>
  <c r="P49" i="44"/>
  <c r="Q49" i="44"/>
  <c r="R49" i="44"/>
  <c r="Y49" i="44"/>
  <c r="Z49" i="44"/>
  <c r="AA49" i="44"/>
  <c r="AH49" i="44"/>
  <c r="AI49" i="44"/>
  <c r="AJ49" i="44"/>
  <c r="AQ49" i="44"/>
  <c r="AR49" i="44"/>
  <c r="AS49" i="44"/>
  <c r="AZ49" i="44"/>
  <c r="BA49" i="44"/>
  <c r="BB49" i="44"/>
  <c r="BI49" i="44"/>
  <c r="BJ49" i="44"/>
  <c r="BK49" i="44"/>
  <c r="BR49" i="44"/>
  <c r="BS49" i="44"/>
  <c r="BT49" i="44"/>
  <c r="CA49" i="44"/>
  <c r="CB49" i="44"/>
  <c r="CC49" i="44"/>
  <c r="CJ49" i="44"/>
  <c r="CK49" i="44"/>
  <c r="CL49" i="44"/>
  <c r="CS49" i="44"/>
  <c r="CT49" i="44"/>
  <c r="CU49" i="44"/>
  <c r="DB49" i="44"/>
  <c r="DC49" i="44"/>
  <c r="DD49" i="44"/>
  <c r="P50" i="44"/>
  <c r="Q50" i="44"/>
  <c r="R50" i="44"/>
  <c r="Y50" i="44"/>
  <c r="Z50" i="44"/>
  <c r="AA50" i="44"/>
  <c r="AH50" i="44"/>
  <c r="AI50" i="44"/>
  <c r="AJ50" i="44"/>
  <c r="AQ50" i="44"/>
  <c r="AR50" i="44"/>
  <c r="AS50" i="44"/>
  <c r="AZ50" i="44"/>
  <c r="BA50" i="44"/>
  <c r="BB50" i="44"/>
  <c r="BI50" i="44"/>
  <c r="BJ50" i="44"/>
  <c r="BK50" i="44"/>
  <c r="BR50" i="44"/>
  <c r="BS50" i="44"/>
  <c r="BT50" i="44"/>
  <c r="CA50" i="44"/>
  <c r="CB50" i="44"/>
  <c r="CC50" i="44"/>
  <c r="CJ50" i="44"/>
  <c r="CK50" i="44"/>
  <c r="CL50" i="44"/>
  <c r="CS50" i="44"/>
  <c r="CT50" i="44"/>
  <c r="CU50" i="44"/>
  <c r="DB50" i="44"/>
  <c r="DC50" i="44"/>
  <c r="DD50" i="44"/>
  <c r="P51" i="44"/>
  <c r="Q51" i="44"/>
  <c r="R51" i="44"/>
  <c r="Y51" i="44"/>
  <c r="Z51" i="44"/>
  <c r="AA51" i="44"/>
  <c r="AH51" i="44"/>
  <c r="AI51" i="44"/>
  <c r="AJ51" i="44"/>
  <c r="AQ51" i="44"/>
  <c r="AR51" i="44"/>
  <c r="AS51" i="44"/>
  <c r="AZ51" i="44"/>
  <c r="BA51" i="44"/>
  <c r="BB51" i="44"/>
  <c r="BI51" i="44"/>
  <c r="BJ51" i="44"/>
  <c r="BK51" i="44"/>
  <c r="BR51" i="44"/>
  <c r="BS51" i="44"/>
  <c r="BT51" i="44"/>
  <c r="CA51" i="44"/>
  <c r="CB51" i="44"/>
  <c r="CC51" i="44"/>
  <c r="CJ51" i="44"/>
  <c r="CK51" i="44"/>
  <c r="CL51" i="44"/>
  <c r="CS51" i="44"/>
  <c r="CT51" i="44"/>
  <c r="CU51" i="44"/>
  <c r="DB51" i="44"/>
  <c r="DC51" i="44"/>
  <c r="DD51" i="44"/>
  <c r="P52" i="44"/>
  <c r="Q52" i="44"/>
  <c r="R52" i="44"/>
  <c r="Y52" i="44"/>
  <c r="Z52" i="44"/>
  <c r="AA52" i="44"/>
  <c r="AE52" i="44"/>
  <c r="AH52" i="44"/>
  <c r="AI52" i="44"/>
  <c r="AJ52" i="44"/>
  <c r="AN52" i="44"/>
  <c r="AQ52" i="44"/>
  <c r="AR52" i="44"/>
  <c r="AS52" i="44"/>
  <c r="AZ52" i="44"/>
  <c r="BA52" i="44"/>
  <c r="BB52" i="44"/>
  <c r="BI52" i="44"/>
  <c r="BJ52" i="44"/>
  <c r="BK52" i="44"/>
  <c r="BR52" i="44"/>
  <c r="BS52" i="44"/>
  <c r="BT52" i="44"/>
  <c r="CA52" i="44"/>
  <c r="CB52" i="44"/>
  <c r="CC52" i="44"/>
  <c r="CJ52" i="44"/>
  <c r="CK52" i="44"/>
  <c r="CL52" i="44"/>
  <c r="CS52" i="44"/>
  <c r="CT52" i="44"/>
  <c r="CU52" i="44"/>
  <c r="DB52" i="44"/>
  <c r="DC52" i="44"/>
  <c r="DD52" i="44"/>
  <c r="P53" i="44"/>
  <c r="Q53" i="44"/>
  <c r="R53" i="44"/>
  <c r="Y53" i="44"/>
  <c r="Z53" i="44"/>
  <c r="AA53" i="44"/>
  <c r="AE53" i="44"/>
  <c r="AH53" i="44"/>
  <c r="AI53" i="44"/>
  <c r="AJ53" i="44"/>
  <c r="AN53" i="44"/>
  <c r="AQ53" i="44"/>
  <c r="AR53" i="44"/>
  <c r="AS53" i="44"/>
  <c r="AZ53" i="44"/>
  <c r="BA53" i="44"/>
  <c r="BB53" i="44"/>
  <c r="BI53" i="44"/>
  <c r="BJ53" i="44"/>
  <c r="BK53" i="44"/>
  <c r="BR53" i="44"/>
  <c r="BS53" i="44"/>
  <c r="BT53" i="44"/>
  <c r="CA53" i="44"/>
  <c r="CB53" i="44"/>
  <c r="CC53" i="44"/>
  <c r="CJ53" i="44"/>
  <c r="CK53" i="44"/>
  <c r="CL53" i="44"/>
  <c r="CS53" i="44"/>
  <c r="CT53" i="44"/>
  <c r="CU53" i="44"/>
  <c r="DB53" i="44"/>
  <c r="DC53" i="44"/>
  <c r="DD53" i="44"/>
  <c r="P54" i="44"/>
  <c r="Q54" i="44"/>
  <c r="R54" i="44"/>
  <c r="Y54" i="44"/>
  <c r="Z54" i="44"/>
  <c r="AA54" i="44"/>
  <c r="AE54" i="44"/>
  <c r="AH54" i="44"/>
  <c r="AI54" i="44"/>
  <c r="AJ54" i="44"/>
  <c r="AN54" i="44"/>
  <c r="AQ54" i="44"/>
  <c r="AR54" i="44"/>
  <c r="AS54" i="44"/>
  <c r="AZ54" i="44"/>
  <c r="BA54" i="44"/>
  <c r="BB54" i="44"/>
  <c r="BI54" i="44"/>
  <c r="BJ54" i="44"/>
  <c r="BK54" i="44"/>
  <c r="BR54" i="44"/>
  <c r="BS54" i="44"/>
  <c r="BT54" i="44"/>
  <c r="CA54" i="44"/>
  <c r="CB54" i="44"/>
  <c r="CC54" i="44"/>
  <c r="CJ54" i="44"/>
  <c r="CK54" i="44"/>
  <c r="CL54" i="44"/>
  <c r="CS54" i="44"/>
  <c r="CT54" i="44"/>
  <c r="CU54" i="44"/>
  <c r="DB54" i="44"/>
  <c r="DC54" i="44"/>
  <c r="DD54" i="44"/>
  <c r="P55" i="44"/>
  <c r="Q55" i="44"/>
  <c r="R55" i="44"/>
  <c r="Y55" i="44"/>
  <c r="Z55" i="44"/>
  <c r="AA55" i="44"/>
  <c r="AE55" i="44"/>
  <c r="AH55" i="44"/>
  <c r="AI55" i="44"/>
  <c r="AJ55" i="44"/>
  <c r="AN55" i="44"/>
  <c r="AQ55" i="44"/>
  <c r="AR55" i="44"/>
  <c r="AS55" i="44"/>
  <c r="AZ55" i="44"/>
  <c r="BA55" i="44"/>
  <c r="BB55" i="44"/>
  <c r="BI55" i="44"/>
  <c r="BJ55" i="44"/>
  <c r="BK55" i="44"/>
  <c r="BR55" i="44"/>
  <c r="BS55" i="44"/>
  <c r="BT55" i="44"/>
  <c r="CA55" i="44"/>
  <c r="CB55" i="44"/>
  <c r="CC55" i="44"/>
  <c r="CJ55" i="44"/>
  <c r="CK55" i="44"/>
  <c r="CL55" i="44"/>
  <c r="CS55" i="44"/>
  <c r="CT55" i="44"/>
  <c r="CU55" i="44"/>
  <c r="DB55" i="44"/>
  <c r="DC55" i="44"/>
  <c r="DD55" i="44"/>
  <c r="P56" i="44"/>
  <c r="Q56" i="44"/>
  <c r="R56" i="44"/>
  <c r="Y56" i="44"/>
  <c r="Z56" i="44"/>
  <c r="AA56" i="44"/>
  <c r="AH56" i="44"/>
  <c r="AI56" i="44"/>
  <c r="AJ56" i="44"/>
  <c r="AQ56" i="44"/>
  <c r="AR56" i="44"/>
  <c r="AS56" i="44"/>
  <c r="AZ56" i="44"/>
  <c r="BA56" i="44"/>
  <c r="BB56" i="44"/>
  <c r="BI56" i="44"/>
  <c r="BJ56" i="44"/>
  <c r="BK56" i="44"/>
  <c r="BR56" i="44"/>
  <c r="BS56" i="44"/>
  <c r="BT56" i="44"/>
  <c r="CA56" i="44"/>
  <c r="CB56" i="44"/>
  <c r="CC56" i="44"/>
  <c r="CJ56" i="44"/>
  <c r="CK56" i="44"/>
  <c r="CL56" i="44"/>
  <c r="CS56" i="44"/>
  <c r="CT56" i="44"/>
  <c r="CU56" i="44"/>
  <c r="DB56" i="44"/>
  <c r="DC56" i="44"/>
  <c r="DD56" i="44"/>
  <c r="P57" i="44"/>
  <c r="Q57" i="44"/>
  <c r="R57" i="44"/>
  <c r="Y57" i="44"/>
  <c r="Z57" i="44"/>
  <c r="AA57" i="44"/>
  <c r="AH57" i="44"/>
  <c r="AI57" i="44"/>
  <c r="AJ57" i="44"/>
  <c r="AQ57" i="44"/>
  <c r="AR57" i="44"/>
  <c r="AS57" i="44"/>
  <c r="AZ57" i="44"/>
  <c r="BA57" i="44"/>
  <c r="BB57" i="44"/>
  <c r="BI57" i="44"/>
  <c r="BJ57" i="44"/>
  <c r="BK57" i="44"/>
  <c r="BR57" i="44"/>
  <c r="BS57" i="44"/>
  <c r="BT57" i="44"/>
  <c r="CA57" i="44"/>
  <c r="CB57" i="44"/>
  <c r="CC57" i="44"/>
  <c r="CJ57" i="44"/>
  <c r="CK57" i="44"/>
  <c r="CL57" i="44"/>
  <c r="CS57" i="44"/>
  <c r="CT57" i="44"/>
  <c r="CU57" i="44"/>
  <c r="DB57" i="44"/>
  <c r="DC57" i="44"/>
  <c r="DD57" i="44"/>
  <c r="P58" i="44"/>
  <c r="Q58" i="44"/>
  <c r="R58" i="44"/>
  <c r="Y58" i="44"/>
  <c r="Z58" i="44"/>
  <c r="AA58" i="44"/>
  <c r="AE58" i="44"/>
  <c r="AH58" i="44"/>
  <c r="AI58" i="44"/>
  <c r="AJ58" i="44"/>
  <c r="AN58" i="44"/>
  <c r="AQ58" i="44"/>
  <c r="AR58" i="44"/>
  <c r="AS58" i="44"/>
  <c r="AZ58" i="44"/>
  <c r="BA58" i="44"/>
  <c r="BB58" i="44"/>
  <c r="BI58" i="44"/>
  <c r="BJ58" i="44"/>
  <c r="BK58" i="44"/>
  <c r="BR58" i="44"/>
  <c r="BS58" i="44"/>
  <c r="BT58" i="44"/>
  <c r="CA58" i="44"/>
  <c r="CB58" i="44"/>
  <c r="CC58" i="44"/>
  <c r="CJ58" i="44"/>
  <c r="CK58" i="44"/>
  <c r="CL58" i="44"/>
  <c r="CS58" i="44"/>
  <c r="CT58" i="44"/>
  <c r="CU58" i="44"/>
  <c r="DB58" i="44"/>
  <c r="DC58" i="44"/>
  <c r="DD58" i="44"/>
  <c r="P59" i="44"/>
  <c r="Q59" i="44"/>
  <c r="R59" i="44"/>
  <c r="Y59" i="44"/>
  <c r="Z59" i="44"/>
  <c r="AA59" i="44"/>
  <c r="AE59" i="44"/>
  <c r="AH59" i="44"/>
  <c r="AI59" i="44"/>
  <c r="AJ59" i="44"/>
  <c r="AN59" i="44"/>
  <c r="AQ59" i="44"/>
  <c r="AR59" i="44"/>
  <c r="AS59" i="44"/>
  <c r="AZ59" i="44"/>
  <c r="BA59" i="44"/>
  <c r="BB59" i="44"/>
  <c r="BI59" i="44"/>
  <c r="BJ59" i="44"/>
  <c r="BK59" i="44"/>
  <c r="BR59" i="44"/>
  <c r="BS59" i="44"/>
  <c r="BT59" i="44"/>
  <c r="CA59" i="44"/>
  <c r="CB59" i="44"/>
  <c r="CC59" i="44"/>
  <c r="CJ59" i="44"/>
  <c r="CK59" i="44"/>
  <c r="CL59" i="44"/>
  <c r="CS59" i="44"/>
  <c r="CT59" i="44"/>
  <c r="CU59" i="44"/>
  <c r="DB59" i="44"/>
  <c r="DC59" i="44"/>
  <c r="DD59" i="44"/>
  <c r="P60" i="44"/>
  <c r="Q60" i="44"/>
  <c r="R60" i="44"/>
  <c r="Y60" i="44"/>
  <c r="Z60" i="44"/>
  <c r="AA60" i="44"/>
  <c r="AH60" i="44"/>
  <c r="AI60" i="44"/>
  <c r="AJ60" i="44"/>
  <c r="AQ60" i="44"/>
  <c r="AR60" i="44"/>
  <c r="AS60" i="44"/>
  <c r="AZ60" i="44"/>
  <c r="BA60" i="44"/>
  <c r="BB60" i="44"/>
  <c r="BI60" i="44"/>
  <c r="BJ60" i="44"/>
  <c r="BK60" i="44"/>
  <c r="BR60" i="44"/>
  <c r="BS60" i="44"/>
  <c r="BT60" i="44"/>
  <c r="CA60" i="44"/>
  <c r="CB60" i="44"/>
  <c r="CC60" i="44"/>
  <c r="CJ60" i="44"/>
  <c r="CK60" i="44"/>
  <c r="CL60" i="44"/>
  <c r="CS60" i="44"/>
  <c r="CT60" i="44"/>
  <c r="CU60" i="44"/>
  <c r="DB60" i="44"/>
  <c r="DC60" i="44"/>
  <c r="DD60" i="44"/>
  <c r="P61" i="44"/>
  <c r="Q61" i="44"/>
  <c r="R61" i="44"/>
  <c r="Y61" i="44"/>
  <c r="Z61" i="44"/>
  <c r="AA61" i="44"/>
  <c r="AE61" i="44"/>
  <c r="AH61" i="44"/>
  <c r="AI61" i="44"/>
  <c r="AJ61" i="44"/>
  <c r="AN61" i="44"/>
  <c r="AQ61" i="44"/>
  <c r="AR61" i="44"/>
  <c r="AS61" i="44"/>
  <c r="AZ61" i="44"/>
  <c r="BA61" i="44"/>
  <c r="BB61" i="44"/>
  <c r="BI61" i="44"/>
  <c r="BJ61" i="44"/>
  <c r="BK61" i="44"/>
  <c r="BR61" i="44"/>
  <c r="BS61" i="44"/>
  <c r="BT61" i="44"/>
  <c r="CA61" i="44"/>
  <c r="CB61" i="44"/>
  <c r="CC61" i="44"/>
  <c r="CJ61" i="44"/>
  <c r="CK61" i="44"/>
  <c r="CL61" i="44"/>
  <c r="CS61" i="44"/>
  <c r="CT61" i="44"/>
  <c r="CU61" i="44"/>
  <c r="DB61" i="44"/>
  <c r="DC61" i="44"/>
  <c r="DD61" i="44"/>
  <c r="P62" i="44"/>
  <c r="Q62" i="44"/>
  <c r="R62" i="44"/>
  <c r="Y62" i="44"/>
  <c r="Z62" i="44"/>
  <c r="AA62" i="44"/>
  <c r="AH62" i="44"/>
  <c r="AI62" i="44"/>
  <c r="AJ62" i="44"/>
  <c r="AQ62" i="44"/>
  <c r="AR62" i="44"/>
  <c r="AS62" i="44"/>
  <c r="AZ62" i="44"/>
  <c r="BA62" i="44"/>
  <c r="BB62" i="44"/>
  <c r="BI62" i="44"/>
  <c r="BJ62" i="44"/>
  <c r="BK62" i="44"/>
  <c r="BR62" i="44"/>
  <c r="BS62" i="44"/>
  <c r="BT62" i="44"/>
  <c r="CA62" i="44"/>
  <c r="CB62" i="44"/>
  <c r="CC62" i="44"/>
  <c r="CJ62" i="44"/>
  <c r="CK62" i="44"/>
  <c r="CL62" i="44"/>
  <c r="CS62" i="44"/>
  <c r="CT62" i="44"/>
  <c r="CU62" i="44"/>
  <c r="DB62" i="44"/>
  <c r="DC62" i="44"/>
  <c r="DD62" i="44"/>
  <c r="P63" i="44"/>
  <c r="Q63" i="44"/>
  <c r="R63" i="44"/>
  <c r="Y63" i="44"/>
  <c r="Z63" i="44"/>
  <c r="AA63" i="44"/>
  <c r="AH63" i="44"/>
  <c r="AI63" i="44"/>
  <c r="AJ63" i="44"/>
  <c r="AQ63" i="44"/>
  <c r="AR63" i="44"/>
  <c r="AS63" i="44"/>
  <c r="AZ63" i="44"/>
  <c r="BA63" i="44"/>
  <c r="BB63" i="44"/>
  <c r="BI63" i="44"/>
  <c r="BJ63" i="44"/>
  <c r="BK63" i="44"/>
  <c r="BR63" i="44"/>
  <c r="BS63" i="44"/>
  <c r="BT63" i="44"/>
  <c r="CA63" i="44"/>
  <c r="CB63" i="44"/>
  <c r="CC63" i="44"/>
  <c r="CJ63" i="44"/>
  <c r="CK63" i="44"/>
  <c r="CL63" i="44"/>
  <c r="CS63" i="44"/>
  <c r="CT63" i="44"/>
  <c r="CU63" i="44"/>
  <c r="DB63" i="44"/>
  <c r="DC63" i="44"/>
  <c r="DD63" i="44"/>
  <c r="P64" i="44"/>
  <c r="Q64" i="44"/>
  <c r="R64" i="44"/>
  <c r="Y64" i="44"/>
  <c r="Z64" i="44"/>
  <c r="AA64" i="44"/>
  <c r="AE64" i="44"/>
  <c r="AH64" i="44"/>
  <c r="AI64" i="44"/>
  <c r="AJ64" i="44"/>
  <c r="AN64" i="44"/>
  <c r="AQ64" i="44"/>
  <c r="AR64" i="44"/>
  <c r="AS64" i="44"/>
  <c r="AZ64" i="44"/>
  <c r="BA64" i="44"/>
  <c r="BB64" i="44"/>
  <c r="BI64" i="44"/>
  <c r="BJ64" i="44"/>
  <c r="BK64" i="44"/>
  <c r="BR64" i="44"/>
  <c r="BS64" i="44"/>
  <c r="BT64" i="44"/>
  <c r="CA64" i="44"/>
  <c r="CB64" i="44"/>
  <c r="CC64" i="44"/>
  <c r="CJ64" i="44"/>
  <c r="CK64" i="44"/>
  <c r="CL64" i="44"/>
  <c r="CS64" i="44"/>
  <c r="CT64" i="44"/>
  <c r="CU64" i="44"/>
  <c r="DB64" i="44"/>
  <c r="DC64" i="44"/>
  <c r="DD64" i="44"/>
  <c r="P65" i="44"/>
  <c r="Q65" i="44"/>
  <c r="R65" i="44"/>
  <c r="Y65" i="44"/>
  <c r="Z65" i="44"/>
  <c r="AA65" i="44"/>
  <c r="AE65" i="44"/>
  <c r="AH65" i="44"/>
  <c r="AI65" i="44"/>
  <c r="AJ65" i="44"/>
  <c r="AN65" i="44"/>
  <c r="AQ65" i="44"/>
  <c r="AR65" i="44"/>
  <c r="AS65" i="44"/>
  <c r="AZ65" i="44"/>
  <c r="BA65" i="44"/>
  <c r="BB65" i="44"/>
  <c r="BI65" i="44"/>
  <c r="BJ65" i="44"/>
  <c r="BK65" i="44"/>
  <c r="BR65" i="44"/>
  <c r="BS65" i="44"/>
  <c r="BT65" i="44"/>
  <c r="CA65" i="44"/>
  <c r="CB65" i="44"/>
  <c r="CC65" i="44"/>
  <c r="CJ65" i="44"/>
  <c r="CK65" i="44"/>
  <c r="CL65" i="44"/>
  <c r="CS65" i="44"/>
  <c r="CT65" i="44"/>
  <c r="CU65" i="44"/>
  <c r="DB65" i="44"/>
  <c r="DC65" i="44"/>
  <c r="DD65" i="44"/>
  <c r="P66" i="44"/>
  <c r="Q66" i="44"/>
  <c r="R66" i="44"/>
  <c r="Y66" i="44"/>
  <c r="Z66" i="44"/>
  <c r="AA66" i="44"/>
  <c r="AE66" i="44"/>
  <c r="AH66" i="44"/>
  <c r="AI66" i="44"/>
  <c r="AJ66" i="44"/>
  <c r="AN66" i="44"/>
  <c r="AQ66" i="44"/>
  <c r="AR66" i="44"/>
  <c r="AS66" i="44"/>
  <c r="AZ66" i="44"/>
  <c r="BA66" i="44"/>
  <c r="BB66" i="44"/>
  <c r="BI66" i="44"/>
  <c r="BJ66" i="44"/>
  <c r="BK66" i="44"/>
  <c r="BR66" i="44"/>
  <c r="BS66" i="44"/>
  <c r="BT66" i="44"/>
  <c r="CA66" i="44"/>
  <c r="CB66" i="44"/>
  <c r="CC66" i="44"/>
  <c r="CJ66" i="44"/>
  <c r="CK66" i="44"/>
  <c r="CL66" i="44"/>
  <c r="CS66" i="44"/>
  <c r="CT66" i="44"/>
  <c r="CU66" i="44"/>
  <c r="DB66" i="44"/>
  <c r="DC66" i="44"/>
  <c r="DD66" i="44"/>
  <c r="P67" i="44"/>
  <c r="Q67" i="44"/>
  <c r="R67" i="44"/>
  <c r="Y67" i="44"/>
  <c r="Z67" i="44"/>
  <c r="AA67" i="44"/>
  <c r="AE67" i="44"/>
  <c r="AH67" i="44"/>
  <c r="AI67" i="44"/>
  <c r="AJ67" i="44"/>
  <c r="AN67" i="44"/>
  <c r="AQ67" i="44"/>
  <c r="AR67" i="44"/>
  <c r="AS67" i="44"/>
  <c r="AZ67" i="44"/>
  <c r="BA67" i="44"/>
  <c r="BB67" i="44"/>
  <c r="BI67" i="44"/>
  <c r="BJ67" i="44"/>
  <c r="BK67" i="44"/>
  <c r="BR67" i="44"/>
  <c r="BS67" i="44"/>
  <c r="BT67" i="44"/>
  <c r="CA67" i="44"/>
  <c r="CB67" i="44"/>
  <c r="CC67" i="44"/>
  <c r="CJ67" i="44"/>
  <c r="CK67" i="44"/>
  <c r="CL67" i="44"/>
  <c r="CS67" i="44"/>
  <c r="CT67" i="44"/>
  <c r="CU67" i="44"/>
  <c r="DB67" i="44"/>
  <c r="DC67" i="44"/>
  <c r="DD67" i="44"/>
  <c r="P68" i="44"/>
  <c r="Q68" i="44"/>
  <c r="R68" i="44"/>
  <c r="Y68" i="44"/>
  <c r="Z68" i="44"/>
  <c r="AA68" i="44"/>
  <c r="AE68" i="44"/>
  <c r="AH68" i="44"/>
  <c r="AI68" i="44"/>
  <c r="AJ68" i="44"/>
  <c r="AN68" i="44"/>
  <c r="AQ68" i="44"/>
  <c r="AR68" i="44"/>
  <c r="AS68" i="44"/>
  <c r="AZ68" i="44"/>
  <c r="BA68" i="44"/>
  <c r="BB68" i="44"/>
  <c r="BI68" i="44"/>
  <c r="BJ68" i="44"/>
  <c r="BK68" i="44"/>
  <c r="BR68" i="44"/>
  <c r="BS68" i="44"/>
  <c r="BT68" i="44"/>
  <c r="CA68" i="44"/>
  <c r="CB68" i="44"/>
  <c r="CC68" i="44"/>
  <c r="CJ68" i="44"/>
  <c r="CK68" i="44"/>
  <c r="CL68" i="44"/>
  <c r="CS68" i="44"/>
  <c r="CT68" i="44"/>
  <c r="CU68" i="44"/>
  <c r="DB68" i="44"/>
  <c r="DC68" i="44"/>
  <c r="DD68" i="44"/>
  <c r="P69" i="44"/>
  <c r="Q69" i="44"/>
  <c r="R69" i="44"/>
  <c r="V69" i="44"/>
  <c r="Y69" i="44"/>
  <c r="Z69" i="44"/>
  <c r="AA69" i="44"/>
  <c r="AH69" i="44"/>
  <c r="AI69" i="44"/>
  <c r="AJ69" i="44"/>
  <c r="AQ69" i="44"/>
  <c r="AR69" i="44"/>
  <c r="AS69" i="44"/>
  <c r="AZ69" i="44"/>
  <c r="BA69" i="44"/>
  <c r="BB69" i="44"/>
  <c r="BI69" i="44"/>
  <c r="BJ69" i="44"/>
  <c r="BK69" i="44"/>
  <c r="BR69" i="44"/>
  <c r="BS69" i="44"/>
  <c r="BT69" i="44"/>
  <c r="CA69" i="44"/>
  <c r="CB69" i="44"/>
  <c r="CC69" i="44"/>
  <c r="CJ69" i="44"/>
  <c r="CK69" i="44"/>
  <c r="CL69" i="44"/>
  <c r="CS69" i="44"/>
  <c r="CT69" i="44"/>
  <c r="CU69" i="44"/>
  <c r="CY69" i="44"/>
  <c r="DB69" i="44"/>
  <c r="DC69" i="44"/>
  <c r="DD69" i="44"/>
  <c r="P70" i="44"/>
  <c r="Q70" i="44"/>
  <c r="R70" i="44"/>
  <c r="V70" i="44"/>
  <c r="Y70" i="44"/>
  <c r="Z70" i="44"/>
  <c r="AA70" i="44"/>
  <c r="AE70" i="44"/>
  <c r="AH70" i="44"/>
  <c r="AI70" i="44"/>
  <c r="AJ70" i="44"/>
  <c r="AN70" i="44"/>
  <c r="AQ70" i="44"/>
  <c r="AR70" i="44"/>
  <c r="AS70" i="44"/>
  <c r="AZ70" i="44"/>
  <c r="BA70" i="44"/>
  <c r="BB70" i="44"/>
  <c r="BI70" i="44"/>
  <c r="BJ70" i="44"/>
  <c r="BK70" i="44"/>
  <c r="BR70" i="44"/>
  <c r="BS70" i="44"/>
  <c r="BT70" i="44"/>
  <c r="CA70" i="44"/>
  <c r="CB70" i="44"/>
  <c r="CC70" i="44"/>
  <c r="CJ70" i="44"/>
  <c r="CK70" i="44"/>
  <c r="CL70" i="44"/>
  <c r="CS70" i="44"/>
  <c r="CT70" i="44"/>
  <c r="CU70" i="44"/>
  <c r="CY70" i="44"/>
  <c r="DB70" i="44"/>
  <c r="DC70" i="44"/>
  <c r="DD70" i="44"/>
  <c r="P71" i="44"/>
  <c r="Q71" i="44"/>
  <c r="R71" i="44"/>
  <c r="V71" i="44"/>
  <c r="Y71" i="44"/>
  <c r="Z71" i="44"/>
  <c r="AA71" i="44"/>
  <c r="AH71" i="44"/>
  <c r="AI71" i="44"/>
  <c r="AJ71" i="44"/>
  <c r="AQ71" i="44"/>
  <c r="AR71" i="44"/>
  <c r="AS71" i="44"/>
  <c r="AZ71" i="44"/>
  <c r="BA71" i="44"/>
  <c r="BB71" i="44"/>
  <c r="BI71" i="44"/>
  <c r="BJ71" i="44"/>
  <c r="BK71" i="44"/>
  <c r="BR71" i="44"/>
  <c r="BS71" i="44"/>
  <c r="BT71" i="44"/>
  <c r="CA71" i="44"/>
  <c r="CB71" i="44"/>
  <c r="CC71" i="44"/>
  <c r="CJ71" i="44"/>
  <c r="CK71" i="44"/>
  <c r="CL71" i="44"/>
  <c r="CS71" i="44"/>
  <c r="CT71" i="44"/>
  <c r="CU71" i="44"/>
  <c r="CY71" i="44"/>
  <c r="DB71" i="44"/>
  <c r="DC71" i="44"/>
  <c r="DD71" i="44"/>
  <c r="P72" i="44"/>
  <c r="Q72" i="44"/>
  <c r="R72" i="44"/>
  <c r="V72" i="44"/>
  <c r="Y72" i="44"/>
  <c r="Z72" i="44"/>
  <c r="AA72" i="44"/>
  <c r="AE72" i="44"/>
  <c r="AH72" i="44"/>
  <c r="AI72" i="44"/>
  <c r="AJ72" i="44"/>
  <c r="AN72" i="44"/>
  <c r="AQ72" i="44"/>
  <c r="AR72" i="44"/>
  <c r="AS72" i="44"/>
  <c r="AZ72" i="44"/>
  <c r="BA72" i="44"/>
  <c r="BB72" i="44"/>
  <c r="BI72" i="44"/>
  <c r="BJ72" i="44"/>
  <c r="BK72" i="44"/>
  <c r="BR72" i="44"/>
  <c r="BS72" i="44"/>
  <c r="BT72" i="44"/>
  <c r="CA72" i="44"/>
  <c r="CB72" i="44"/>
  <c r="CC72" i="44"/>
  <c r="CJ72" i="44"/>
  <c r="CK72" i="44"/>
  <c r="CL72" i="44"/>
  <c r="CS72" i="44"/>
  <c r="CT72" i="44"/>
  <c r="CU72" i="44"/>
  <c r="CY72" i="44"/>
  <c r="DB72" i="44"/>
  <c r="DC72" i="44"/>
  <c r="DD72" i="44"/>
  <c r="P73" i="44"/>
  <c r="Q73" i="44"/>
  <c r="R73" i="44"/>
  <c r="V73" i="44"/>
  <c r="Y73" i="44"/>
  <c r="Z73" i="44"/>
  <c r="AA73" i="44"/>
  <c r="AH73" i="44"/>
  <c r="AI73" i="44"/>
  <c r="AJ73" i="44"/>
  <c r="AQ73" i="44"/>
  <c r="AR73" i="44"/>
  <c r="AS73" i="44"/>
  <c r="AZ73" i="44"/>
  <c r="BA73" i="44"/>
  <c r="BB73" i="44"/>
  <c r="BI73" i="44"/>
  <c r="BJ73" i="44"/>
  <c r="BK73" i="44"/>
  <c r="BR73" i="44"/>
  <c r="BS73" i="44"/>
  <c r="BT73" i="44"/>
  <c r="CA73" i="44"/>
  <c r="CB73" i="44"/>
  <c r="CC73" i="44"/>
  <c r="CJ73" i="44"/>
  <c r="CK73" i="44"/>
  <c r="CL73" i="44"/>
  <c r="CS73" i="44"/>
  <c r="CT73" i="44"/>
  <c r="CU73" i="44"/>
  <c r="CY73" i="44"/>
  <c r="DB73" i="44"/>
  <c r="DC73" i="44"/>
  <c r="DD73" i="44"/>
  <c r="P74" i="44"/>
  <c r="Q74" i="44"/>
  <c r="R74" i="44"/>
  <c r="V74" i="44"/>
  <c r="Y74" i="44"/>
  <c r="Z74" i="44"/>
  <c r="AA74" i="44"/>
  <c r="AE74" i="44"/>
  <c r="AH74" i="44"/>
  <c r="AI74" i="44"/>
  <c r="AJ74" i="44"/>
  <c r="AN74" i="44"/>
  <c r="AQ74" i="44"/>
  <c r="AR74" i="44"/>
  <c r="AS74" i="44"/>
  <c r="AZ74" i="44"/>
  <c r="BA74" i="44"/>
  <c r="BB74" i="44"/>
  <c r="BI74" i="44"/>
  <c r="BJ74" i="44"/>
  <c r="BK74" i="44"/>
  <c r="BR74" i="44"/>
  <c r="BS74" i="44"/>
  <c r="BT74" i="44"/>
  <c r="CA74" i="44"/>
  <c r="CB74" i="44"/>
  <c r="CC74" i="44"/>
  <c r="CJ74" i="44"/>
  <c r="CK74" i="44"/>
  <c r="CL74" i="44"/>
  <c r="CS74" i="44"/>
  <c r="CT74" i="44"/>
  <c r="CU74" i="44"/>
  <c r="CY74" i="44"/>
  <c r="DB74" i="44"/>
  <c r="DC74" i="44"/>
  <c r="DD74" i="44"/>
  <c r="P75" i="44"/>
  <c r="Q75" i="44"/>
  <c r="R75" i="44"/>
  <c r="V75" i="44"/>
  <c r="Y75" i="44"/>
  <c r="Z75" i="44"/>
  <c r="AA75" i="44"/>
  <c r="AH75" i="44"/>
  <c r="AI75" i="44"/>
  <c r="AJ75" i="44"/>
  <c r="AQ75" i="44"/>
  <c r="AR75" i="44"/>
  <c r="AS75" i="44"/>
  <c r="AZ75" i="44"/>
  <c r="BA75" i="44"/>
  <c r="BB75" i="44"/>
  <c r="BI75" i="44"/>
  <c r="BJ75" i="44"/>
  <c r="BK75" i="44"/>
  <c r="BR75" i="44"/>
  <c r="BS75" i="44"/>
  <c r="BT75" i="44"/>
  <c r="CA75" i="44"/>
  <c r="CB75" i="44"/>
  <c r="CC75" i="44"/>
  <c r="CJ75" i="44"/>
  <c r="CK75" i="44"/>
  <c r="CL75" i="44"/>
  <c r="CS75" i="44"/>
  <c r="CT75" i="44"/>
  <c r="CU75" i="44"/>
  <c r="CY75" i="44"/>
  <c r="DB75" i="44"/>
  <c r="DC75" i="44"/>
  <c r="DD75" i="44"/>
  <c r="P76" i="44"/>
  <c r="Q76" i="44"/>
  <c r="R76" i="44"/>
  <c r="V76" i="44"/>
  <c r="Y76" i="44"/>
  <c r="Z76" i="44"/>
  <c r="AA76" i="44"/>
  <c r="AE76" i="44"/>
  <c r="AH76" i="44"/>
  <c r="AI76" i="44"/>
  <c r="AJ76" i="44"/>
  <c r="AN76" i="44"/>
  <c r="AQ76" i="44"/>
  <c r="AR76" i="44"/>
  <c r="AS76" i="44"/>
  <c r="AZ76" i="44"/>
  <c r="BA76" i="44"/>
  <c r="BB76" i="44"/>
  <c r="BI76" i="44"/>
  <c r="BJ76" i="44"/>
  <c r="BK76" i="44"/>
  <c r="BR76" i="44"/>
  <c r="BS76" i="44"/>
  <c r="BT76" i="44"/>
  <c r="CA76" i="44"/>
  <c r="CB76" i="44"/>
  <c r="CC76" i="44"/>
  <c r="CJ76" i="44"/>
  <c r="CK76" i="44"/>
  <c r="CL76" i="44"/>
  <c r="CS76" i="44"/>
  <c r="CT76" i="44"/>
  <c r="CU76" i="44"/>
  <c r="CY76" i="44"/>
  <c r="DB76" i="44"/>
  <c r="DC76" i="44"/>
  <c r="DD76" i="44"/>
  <c r="P77" i="44"/>
  <c r="Q77" i="44"/>
  <c r="R77" i="44"/>
  <c r="V77" i="44"/>
  <c r="Y77" i="44"/>
  <c r="Z77" i="44"/>
  <c r="AA77" i="44"/>
  <c r="AH77" i="44"/>
  <c r="AI77" i="44"/>
  <c r="AJ77" i="44"/>
  <c r="AQ77" i="44"/>
  <c r="AR77" i="44"/>
  <c r="AS77" i="44"/>
  <c r="AZ77" i="44"/>
  <c r="BA77" i="44"/>
  <c r="BB77" i="44"/>
  <c r="BI77" i="44"/>
  <c r="BJ77" i="44"/>
  <c r="BK77" i="44"/>
  <c r="BR77" i="44"/>
  <c r="BS77" i="44"/>
  <c r="BT77" i="44"/>
  <c r="CA77" i="44"/>
  <c r="CB77" i="44"/>
  <c r="CC77" i="44"/>
  <c r="CJ77" i="44"/>
  <c r="CK77" i="44"/>
  <c r="CL77" i="44"/>
  <c r="CS77" i="44"/>
  <c r="CT77" i="44"/>
  <c r="CU77" i="44"/>
  <c r="CY77" i="44"/>
  <c r="DB77" i="44"/>
  <c r="DC77" i="44"/>
  <c r="DD77" i="44"/>
  <c r="P78" i="44"/>
  <c r="Q78" i="44"/>
  <c r="R78" i="44"/>
  <c r="V78" i="44"/>
  <c r="Y78" i="44"/>
  <c r="Z78" i="44"/>
  <c r="AA78" i="44"/>
  <c r="AE78" i="44"/>
  <c r="AH78" i="44"/>
  <c r="AI78" i="44"/>
  <c r="AJ78" i="44"/>
  <c r="AN78" i="44"/>
  <c r="AQ78" i="44"/>
  <c r="AR78" i="44"/>
  <c r="AS78" i="44"/>
  <c r="AZ78" i="44"/>
  <c r="BA78" i="44"/>
  <c r="BB78" i="44"/>
  <c r="BI78" i="44"/>
  <c r="BJ78" i="44"/>
  <c r="BK78" i="44"/>
  <c r="BR78" i="44"/>
  <c r="BS78" i="44"/>
  <c r="BT78" i="44"/>
  <c r="CA78" i="44"/>
  <c r="CB78" i="44"/>
  <c r="CC78" i="44"/>
  <c r="CJ78" i="44"/>
  <c r="CK78" i="44"/>
  <c r="CL78" i="44"/>
  <c r="CS78" i="44"/>
  <c r="CT78" i="44"/>
  <c r="CU78" i="44"/>
  <c r="CY78" i="44"/>
  <c r="DB78" i="44"/>
  <c r="DC78" i="44"/>
  <c r="DD78" i="44"/>
  <c r="P79" i="44"/>
  <c r="Q79" i="44"/>
  <c r="R79" i="44"/>
  <c r="T79" i="44"/>
  <c r="V79" i="44"/>
  <c r="U79" i="44"/>
  <c r="W79" i="44"/>
  <c r="X79" i="44"/>
  <c r="Y79" i="44"/>
  <c r="Z79" i="44"/>
  <c r="AA79" i="44"/>
  <c r="AB79" i="44"/>
  <c r="AC79" i="44"/>
  <c r="AE79" i="44"/>
  <c r="AD79" i="44"/>
  <c r="AF79" i="44"/>
  <c r="AG79" i="44"/>
  <c r="AH79" i="44"/>
  <c r="AI79" i="44"/>
  <c r="AJ79" i="44"/>
  <c r="AK79" i="44"/>
  <c r="AL79" i="44"/>
  <c r="AN79" i="44"/>
  <c r="AM79" i="44"/>
  <c r="AO79" i="44"/>
  <c r="AP79" i="44"/>
  <c r="AQ79" i="44"/>
  <c r="AR79" i="44"/>
  <c r="AS79" i="44"/>
  <c r="AT79" i="44"/>
  <c r="AZ79" i="44"/>
  <c r="BA79" i="44"/>
  <c r="BB79" i="44"/>
  <c r="BD79" i="44"/>
  <c r="BF79" i="44"/>
  <c r="BE79" i="44"/>
  <c r="BG79" i="44"/>
  <c r="BH79" i="44"/>
  <c r="BI79" i="44"/>
  <c r="BJ79" i="44"/>
  <c r="BK79" i="44"/>
  <c r="BM79" i="44"/>
  <c r="BO79" i="44"/>
  <c r="BN79" i="44"/>
  <c r="BP79" i="44"/>
  <c r="BQ79" i="44"/>
  <c r="BR79" i="44"/>
  <c r="BS79" i="44"/>
  <c r="BT79" i="44"/>
  <c r="CA79" i="44"/>
  <c r="CB79" i="44"/>
  <c r="CC79" i="44"/>
  <c r="CJ79" i="44"/>
  <c r="CK79" i="44"/>
  <c r="CL79" i="44"/>
  <c r="CS79" i="44"/>
  <c r="CT79" i="44"/>
  <c r="CU79" i="44"/>
  <c r="CW79" i="44"/>
  <c r="CY79" i="44"/>
  <c r="CX79" i="44"/>
  <c r="CZ79" i="44"/>
  <c r="DA79" i="44"/>
  <c r="DB79" i="44"/>
  <c r="DC79" i="44"/>
  <c r="DD79" i="44"/>
  <c r="DE79" i="44"/>
  <c r="P80" i="44"/>
  <c r="Q80" i="44"/>
  <c r="R80" i="44"/>
  <c r="T80" i="44"/>
  <c r="V80" i="44"/>
  <c r="U80" i="44"/>
  <c r="W80" i="44"/>
  <c r="X80" i="44"/>
  <c r="Y80" i="44"/>
  <c r="Z80" i="44"/>
  <c r="AA80" i="44"/>
  <c r="AB80" i="44"/>
  <c r="AC80" i="44"/>
  <c r="AE80" i="44"/>
  <c r="AD80" i="44"/>
  <c r="AF80" i="44"/>
  <c r="AG80" i="44"/>
  <c r="AH80" i="44"/>
  <c r="AI80" i="44"/>
  <c r="AJ80" i="44"/>
  <c r="AK80" i="44"/>
  <c r="AL80" i="44"/>
  <c r="AN80" i="44"/>
  <c r="AM80" i="44"/>
  <c r="AO80" i="44"/>
  <c r="AP80" i="44"/>
  <c r="AQ80" i="44"/>
  <c r="AR80" i="44"/>
  <c r="AS80" i="44"/>
  <c r="AT80" i="44"/>
  <c r="AZ80" i="44"/>
  <c r="BA80" i="44"/>
  <c r="BB80" i="44"/>
  <c r="BD80" i="44"/>
  <c r="BF80" i="44"/>
  <c r="BE80" i="44"/>
  <c r="BG80" i="44"/>
  <c r="BH80" i="44"/>
  <c r="BI80" i="44"/>
  <c r="BJ80" i="44"/>
  <c r="BK80" i="44"/>
  <c r="BM80" i="44"/>
  <c r="BO80" i="44"/>
  <c r="BN80" i="44"/>
  <c r="BP80" i="44"/>
  <c r="BQ80" i="44"/>
  <c r="BR80" i="44"/>
  <c r="BS80" i="44"/>
  <c r="BT80" i="44"/>
  <c r="CA80" i="44"/>
  <c r="CB80" i="44"/>
  <c r="CC80" i="44"/>
  <c r="CJ80" i="44"/>
  <c r="CK80" i="44"/>
  <c r="CL80" i="44"/>
  <c r="CS80" i="44"/>
  <c r="CT80" i="44"/>
  <c r="CU80" i="44"/>
  <c r="CW80" i="44"/>
  <c r="CY80" i="44"/>
  <c r="CX80" i="44"/>
  <c r="CZ80" i="44"/>
  <c r="DA80" i="44"/>
  <c r="DB80" i="44"/>
  <c r="DC80" i="44"/>
  <c r="DD80" i="44"/>
  <c r="DE80" i="44"/>
  <c r="P81" i="44"/>
  <c r="Q81" i="44"/>
  <c r="R81" i="44"/>
  <c r="T81" i="44"/>
  <c r="V81" i="44"/>
  <c r="U81" i="44"/>
  <c r="W81" i="44"/>
  <c r="X81" i="44"/>
  <c r="Y81" i="44"/>
  <c r="Z81" i="44"/>
  <c r="AA81" i="44"/>
  <c r="AB81" i="44"/>
  <c r="AC81" i="44"/>
  <c r="AE81" i="44"/>
  <c r="AD81" i="44"/>
  <c r="AF81" i="44"/>
  <c r="AG81" i="44"/>
  <c r="AH81" i="44"/>
  <c r="AI81" i="44"/>
  <c r="AJ81" i="44"/>
  <c r="AK81" i="44"/>
  <c r="AL81" i="44"/>
  <c r="AN81" i="44"/>
  <c r="AM81" i="44"/>
  <c r="AO81" i="44"/>
  <c r="AP81" i="44"/>
  <c r="AQ81" i="44"/>
  <c r="AR81" i="44"/>
  <c r="AS81" i="44"/>
  <c r="AT81" i="44"/>
  <c r="AZ81" i="44"/>
  <c r="BA81" i="44"/>
  <c r="BB81" i="44"/>
  <c r="BD81" i="44"/>
  <c r="BF81" i="44"/>
  <c r="BE81" i="44"/>
  <c r="BG81" i="44"/>
  <c r="BH81" i="44"/>
  <c r="BI81" i="44"/>
  <c r="BJ81" i="44"/>
  <c r="BK81" i="44"/>
  <c r="BM81" i="44"/>
  <c r="BO81" i="44"/>
  <c r="BN81" i="44"/>
  <c r="BP81" i="44"/>
  <c r="BQ81" i="44"/>
  <c r="BR81" i="44"/>
  <c r="BS81" i="44"/>
  <c r="BT81" i="44"/>
  <c r="CA81" i="44"/>
  <c r="CB81" i="44"/>
  <c r="CC81" i="44"/>
  <c r="CJ81" i="44"/>
  <c r="CK81" i="44"/>
  <c r="CL81" i="44"/>
  <c r="CS81" i="44"/>
  <c r="CT81" i="44"/>
  <c r="CU81" i="44"/>
  <c r="CW81" i="44"/>
  <c r="CY81" i="44"/>
  <c r="CX81" i="44"/>
  <c r="CZ81" i="44"/>
  <c r="DA81" i="44"/>
  <c r="DB81" i="44"/>
  <c r="DC81" i="44"/>
  <c r="DD81" i="44"/>
  <c r="DE81" i="44"/>
  <c r="P82" i="44"/>
  <c r="Q82" i="44"/>
  <c r="R82" i="44"/>
  <c r="T82" i="44"/>
  <c r="V82" i="44"/>
  <c r="U82" i="44"/>
  <c r="W82" i="44"/>
  <c r="X82" i="44"/>
  <c r="Y82" i="44"/>
  <c r="Z82" i="44"/>
  <c r="AA82" i="44"/>
  <c r="AB82" i="44"/>
  <c r="AC82" i="44"/>
  <c r="AE82" i="44"/>
  <c r="AD82" i="44"/>
  <c r="AF82" i="44"/>
  <c r="AG82" i="44"/>
  <c r="AH82" i="44"/>
  <c r="AI82" i="44"/>
  <c r="AJ82" i="44"/>
  <c r="AK82" i="44"/>
  <c r="AL82" i="44"/>
  <c r="AN82" i="44"/>
  <c r="AM82" i="44"/>
  <c r="AO82" i="44"/>
  <c r="AP82" i="44"/>
  <c r="AQ82" i="44"/>
  <c r="AR82" i="44"/>
  <c r="AS82" i="44"/>
  <c r="AT82" i="44"/>
  <c r="AZ82" i="44"/>
  <c r="BA82" i="44"/>
  <c r="BB82" i="44"/>
  <c r="BD82" i="44"/>
  <c r="BF82" i="44"/>
  <c r="BE82" i="44"/>
  <c r="BG82" i="44"/>
  <c r="BH82" i="44"/>
  <c r="BI82" i="44"/>
  <c r="BJ82" i="44"/>
  <c r="BK82" i="44"/>
  <c r="BM82" i="44"/>
  <c r="BO82" i="44"/>
  <c r="BN82" i="44"/>
  <c r="BP82" i="44"/>
  <c r="BQ82" i="44"/>
  <c r="BR82" i="44"/>
  <c r="BS82" i="44"/>
  <c r="BT82" i="44"/>
  <c r="CA82" i="44"/>
  <c r="CB82" i="44"/>
  <c r="CC82" i="44"/>
  <c r="CJ82" i="44"/>
  <c r="CK82" i="44"/>
  <c r="CL82" i="44"/>
  <c r="CS82" i="44"/>
  <c r="CT82" i="44"/>
  <c r="CU82" i="44"/>
  <c r="CW82" i="44"/>
  <c r="CY82" i="44"/>
  <c r="CX82" i="44"/>
  <c r="CZ82" i="44"/>
  <c r="DA82" i="44"/>
  <c r="DB82" i="44"/>
  <c r="DC82" i="44"/>
  <c r="DD82" i="44"/>
  <c r="DE82" i="44"/>
  <c r="P83" i="44"/>
  <c r="Q83" i="44"/>
  <c r="R83" i="44"/>
  <c r="T83" i="44"/>
  <c r="V83" i="44"/>
  <c r="U83" i="44"/>
  <c r="W83" i="44"/>
  <c r="X83" i="44"/>
  <c r="Y83" i="44"/>
  <c r="Z83" i="44"/>
  <c r="AA83" i="44"/>
  <c r="AB83" i="44"/>
  <c r="AC83" i="44"/>
  <c r="AE83" i="44"/>
  <c r="AD83" i="44"/>
  <c r="AF83" i="44"/>
  <c r="AG83" i="44"/>
  <c r="AH83" i="44"/>
  <c r="AI83" i="44"/>
  <c r="AJ83" i="44"/>
  <c r="AK83" i="44"/>
  <c r="AL83" i="44"/>
  <c r="AN83" i="44"/>
  <c r="AM83" i="44"/>
  <c r="AO83" i="44"/>
  <c r="AP83" i="44"/>
  <c r="AQ83" i="44"/>
  <c r="AR83" i="44"/>
  <c r="AS83" i="44"/>
  <c r="AT83" i="44"/>
  <c r="AZ83" i="44"/>
  <c r="BA83" i="44"/>
  <c r="BB83" i="44"/>
  <c r="BD83" i="44"/>
  <c r="BF83" i="44"/>
  <c r="BE83" i="44"/>
  <c r="BG83" i="44"/>
  <c r="BH83" i="44"/>
  <c r="BI83" i="44"/>
  <c r="BJ83" i="44"/>
  <c r="BK83" i="44"/>
  <c r="BM83" i="44"/>
  <c r="BO83" i="44"/>
  <c r="BN83" i="44"/>
  <c r="BP83" i="44"/>
  <c r="BQ83" i="44"/>
  <c r="BR83" i="44"/>
  <c r="BS83" i="44"/>
  <c r="BT83" i="44"/>
  <c r="CA83" i="44"/>
  <c r="CB83" i="44"/>
  <c r="CC83" i="44"/>
  <c r="CJ83" i="44"/>
  <c r="CK83" i="44"/>
  <c r="CL83" i="44"/>
  <c r="CS83" i="44"/>
  <c r="CT83" i="44"/>
  <c r="CU83" i="44"/>
  <c r="CW83" i="44"/>
  <c r="CY83" i="44"/>
  <c r="CX83" i="44"/>
  <c r="CZ83" i="44"/>
  <c r="DA83" i="44"/>
  <c r="DB83" i="44"/>
  <c r="DC83" i="44"/>
  <c r="DD83" i="44"/>
  <c r="DE83" i="44"/>
  <c r="P84" i="44"/>
  <c r="Q84" i="44"/>
  <c r="R84" i="44"/>
  <c r="T84" i="44"/>
  <c r="V84" i="44"/>
  <c r="U84" i="44"/>
  <c r="W84" i="44"/>
  <c r="X84" i="44"/>
  <c r="Y84" i="44"/>
  <c r="Z84" i="44"/>
  <c r="AA84" i="44"/>
  <c r="AB84" i="44"/>
  <c r="AC84" i="44"/>
  <c r="AE84" i="44"/>
  <c r="AD84" i="44"/>
  <c r="AF84" i="44"/>
  <c r="AG84" i="44"/>
  <c r="AH84" i="44"/>
  <c r="AI84" i="44"/>
  <c r="AJ84" i="44"/>
  <c r="AK84" i="44"/>
  <c r="AL84" i="44"/>
  <c r="AN84" i="44"/>
  <c r="AM84" i="44"/>
  <c r="AO84" i="44"/>
  <c r="AP84" i="44"/>
  <c r="AQ84" i="44"/>
  <c r="AR84" i="44"/>
  <c r="AS84" i="44"/>
  <c r="AT84" i="44"/>
  <c r="AZ84" i="44"/>
  <c r="BA84" i="44"/>
  <c r="BB84" i="44"/>
  <c r="BD84" i="44"/>
  <c r="BF84" i="44"/>
  <c r="BE84" i="44"/>
  <c r="BG84" i="44"/>
  <c r="BH84" i="44"/>
  <c r="BI84" i="44"/>
  <c r="BJ84" i="44"/>
  <c r="BK84" i="44"/>
  <c r="BM84" i="44"/>
  <c r="BO84" i="44"/>
  <c r="BN84" i="44"/>
  <c r="BP84" i="44"/>
  <c r="BQ84" i="44"/>
  <c r="BR84" i="44"/>
  <c r="BS84" i="44"/>
  <c r="BT84" i="44"/>
  <c r="CA84" i="44"/>
  <c r="CB84" i="44"/>
  <c r="CC84" i="44"/>
  <c r="CJ84" i="44"/>
  <c r="CK84" i="44"/>
  <c r="CL84" i="44"/>
  <c r="CS84" i="44"/>
  <c r="CT84" i="44"/>
  <c r="CU84" i="44"/>
  <c r="CW84" i="44"/>
  <c r="CY84" i="44"/>
  <c r="CX84" i="44"/>
  <c r="CZ84" i="44"/>
  <c r="DA84" i="44"/>
  <c r="DB84" i="44"/>
  <c r="DC84" i="44"/>
  <c r="DD84" i="44"/>
  <c r="DE84" i="44"/>
  <c r="P85" i="44"/>
  <c r="Q85" i="44"/>
  <c r="R85" i="44"/>
  <c r="T85" i="44"/>
  <c r="V85" i="44"/>
  <c r="U85" i="44"/>
  <c r="W85" i="44"/>
  <c r="X85" i="44"/>
  <c r="Y85" i="44"/>
  <c r="Z85" i="44"/>
  <c r="AA85" i="44"/>
  <c r="AB85" i="44"/>
  <c r="AC85" i="44"/>
  <c r="AE85" i="44"/>
  <c r="AD85" i="44"/>
  <c r="AF85" i="44"/>
  <c r="AG85" i="44"/>
  <c r="AH85" i="44"/>
  <c r="AI85" i="44"/>
  <c r="AJ85" i="44"/>
  <c r="AK85" i="44"/>
  <c r="AL85" i="44"/>
  <c r="AN85" i="44"/>
  <c r="AM85" i="44"/>
  <c r="AO85" i="44"/>
  <c r="AP85" i="44"/>
  <c r="AQ85" i="44"/>
  <c r="AR85" i="44"/>
  <c r="AS85" i="44"/>
  <c r="AT85" i="44"/>
  <c r="AZ85" i="44"/>
  <c r="BA85" i="44"/>
  <c r="BB85" i="44"/>
  <c r="BD85" i="44"/>
  <c r="BF85" i="44"/>
  <c r="BE85" i="44"/>
  <c r="BG85" i="44"/>
  <c r="BH85" i="44"/>
  <c r="BI85" i="44"/>
  <c r="BJ85" i="44"/>
  <c r="BK85" i="44"/>
  <c r="BM85" i="44"/>
  <c r="BO85" i="44"/>
  <c r="BN85" i="44"/>
  <c r="BP85" i="44"/>
  <c r="BQ85" i="44"/>
  <c r="BR85" i="44"/>
  <c r="BS85" i="44"/>
  <c r="BT85" i="44"/>
  <c r="CA85" i="44"/>
  <c r="CB85" i="44"/>
  <c r="CC85" i="44"/>
  <c r="CJ85" i="44"/>
  <c r="CK85" i="44"/>
  <c r="CL85" i="44"/>
  <c r="CS85" i="44"/>
  <c r="CT85" i="44"/>
  <c r="CU85" i="44"/>
  <c r="CW85" i="44"/>
  <c r="CY85" i="44"/>
  <c r="CX85" i="44"/>
  <c r="CZ85" i="44"/>
  <c r="DA85" i="44"/>
  <c r="DB85" i="44"/>
  <c r="DC85" i="44"/>
  <c r="DD85" i="44"/>
  <c r="DE85" i="44"/>
  <c r="P86" i="44"/>
  <c r="Q86" i="44"/>
  <c r="R86" i="44"/>
  <c r="T86" i="44"/>
  <c r="V86" i="44"/>
  <c r="U86" i="44"/>
  <c r="W86" i="44"/>
  <c r="X86" i="44"/>
  <c r="Y86" i="44"/>
  <c r="Z86" i="44"/>
  <c r="AA86" i="44"/>
  <c r="AB86" i="44"/>
  <c r="AC86" i="44"/>
  <c r="AE86" i="44"/>
  <c r="AD86" i="44"/>
  <c r="AF86" i="44"/>
  <c r="AG86" i="44"/>
  <c r="AH86" i="44"/>
  <c r="AI86" i="44"/>
  <c r="AJ86" i="44"/>
  <c r="AK86" i="44"/>
  <c r="AL86" i="44"/>
  <c r="AN86" i="44"/>
  <c r="AM86" i="44"/>
  <c r="AO86" i="44"/>
  <c r="AP86" i="44"/>
  <c r="AQ86" i="44"/>
  <c r="AR86" i="44"/>
  <c r="AS86" i="44"/>
  <c r="AT86" i="44"/>
  <c r="AZ86" i="44"/>
  <c r="BA86" i="44"/>
  <c r="BB86" i="44"/>
  <c r="BD86" i="44"/>
  <c r="BF86" i="44"/>
  <c r="BE86" i="44"/>
  <c r="BG86" i="44"/>
  <c r="BH86" i="44"/>
  <c r="BI86" i="44"/>
  <c r="BJ86" i="44"/>
  <c r="BK86" i="44"/>
  <c r="BM86" i="44"/>
  <c r="BO86" i="44"/>
  <c r="BN86" i="44"/>
  <c r="BP86" i="44"/>
  <c r="BQ86" i="44"/>
  <c r="BR86" i="44"/>
  <c r="BS86" i="44"/>
  <c r="BT86" i="44"/>
  <c r="CA86" i="44"/>
  <c r="CB86" i="44"/>
  <c r="CC86" i="44"/>
  <c r="CJ86" i="44"/>
  <c r="CK86" i="44"/>
  <c r="CL86" i="44"/>
  <c r="CS86" i="44"/>
  <c r="CT86" i="44"/>
  <c r="CU86" i="44"/>
  <c r="CW86" i="44"/>
  <c r="CY86" i="44"/>
  <c r="CX86" i="44"/>
  <c r="CZ86" i="44"/>
  <c r="DA86" i="44"/>
  <c r="DB86" i="44"/>
  <c r="DC86" i="44"/>
  <c r="DD86" i="44"/>
  <c r="DE86" i="44"/>
  <c r="P87" i="44"/>
  <c r="Q87" i="44"/>
  <c r="R87" i="44"/>
  <c r="T87" i="44"/>
  <c r="V87" i="44"/>
  <c r="U87" i="44"/>
  <c r="W87" i="44"/>
  <c r="X87" i="44"/>
  <c r="Y87" i="44"/>
  <c r="Z87" i="44"/>
  <c r="AA87" i="44"/>
  <c r="AB87" i="44"/>
  <c r="AC87" i="44"/>
  <c r="AE87" i="44"/>
  <c r="AD87" i="44"/>
  <c r="AF87" i="44"/>
  <c r="AG87" i="44"/>
  <c r="AH87" i="44"/>
  <c r="AI87" i="44"/>
  <c r="AJ87" i="44"/>
  <c r="AK87" i="44"/>
  <c r="AL87" i="44"/>
  <c r="AN87" i="44"/>
  <c r="AM87" i="44"/>
  <c r="AO87" i="44"/>
  <c r="AP87" i="44"/>
  <c r="AQ87" i="44"/>
  <c r="AR87" i="44"/>
  <c r="AS87" i="44"/>
  <c r="AT87" i="44"/>
  <c r="AZ87" i="44"/>
  <c r="BA87" i="44"/>
  <c r="BB87" i="44"/>
  <c r="BD87" i="44"/>
  <c r="BF87" i="44"/>
  <c r="BE87" i="44"/>
  <c r="BG87" i="44"/>
  <c r="BH87" i="44"/>
  <c r="BI87" i="44"/>
  <c r="BJ87" i="44"/>
  <c r="BK87" i="44"/>
  <c r="BM87" i="44"/>
  <c r="BO87" i="44"/>
  <c r="BN87" i="44"/>
  <c r="BP87" i="44"/>
  <c r="BQ87" i="44"/>
  <c r="BR87" i="44"/>
  <c r="BS87" i="44"/>
  <c r="BT87" i="44"/>
  <c r="CA87" i="44"/>
  <c r="CB87" i="44"/>
  <c r="CC87" i="44"/>
  <c r="CJ87" i="44"/>
  <c r="CK87" i="44"/>
  <c r="CL87" i="44"/>
  <c r="CS87" i="44"/>
  <c r="CT87" i="44"/>
  <c r="CU87" i="44"/>
  <c r="CW87" i="44"/>
  <c r="CY87" i="44"/>
  <c r="CX87" i="44"/>
  <c r="CZ87" i="44"/>
  <c r="DA87" i="44"/>
  <c r="DB87" i="44"/>
  <c r="DC87" i="44"/>
  <c r="DD87" i="44"/>
  <c r="DE87" i="44"/>
  <c r="P88" i="44"/>
  <c r="Q88" i="44"/>
  <c r="R88" i="44"/>
  <c r="T88" i="44"/>
  <c r="V88" i="44"/>
  <c r="U88" i="44"/>
  <c r="W88" i="44"/>
  <c r="X88" i="44"/>
  <c r="Y88" i="44"/>
  <c r="Z88" i="44"/>
  <c r="AA88" i="44"/>
  <c r="AB88" i="44"/>
  <c r="AC88" i="44"/>
  <c r="AE88" i="44"/>
  <c r="AD88" i="44"/>
  <c r="AF88" i="44"/>
  <c r="AG88" i="44"/>
  <c r="AH88" i="44"/>
  <c r="AI88" i="44"/>
  <c r="AJ88" i="44"/>
  <c r="AK88" i="44"/>
  <c r="AL88" i="44"/>
  <c r="AN88" i="44"/>
  <c r="AM88" i="44"/>
  <c r="AO88" i="44"/>
  <c r="AP88" i="44"/>
  <c r="AQ88" i="44"/>
  <c r="AR88" i="44"/>
  <c r="AS88" i="44"/>
  <c r="AT88" i="44"/>
  <c r="AZ88" i="44"/>
  <c r="BA88" i="44"/>
  <c r="BB88" i="44"/>
  <c r="BD88" i="44"/>
  <c r="BF88" i="44"/>
  <c r="BE88" i="44"/>
  <c r="BG88" i="44"/>
  <c r="BH88" i="44"/>
  <c r="BI88" i="44"/>
  <c r="BJ88" i="44"/>
  <c r="BK88" i="44"/>
  <c r="BM88" i="44"/>
  <c r="BO88" i="44"/>
  <c r="BN88" i="44"/>
  <c r="BP88" i="44"/>
  <c r="BQ88" i="44"/>
  <c r="BR88" i="44"/>
  <c r="BS88" i="44"/>
  <c r="BT88" i="44"/>
  <c r="CA88" i="44"/>
  <c r="CB88" i="44"/>
  <c r="CC88" i="44"/>
  <c r="CJ88" i="44"/>
  <c r="CK88" i="44"/>
  <c r="CL88" i="44"/>
  <c r="CS88" i="44"/>
  <c r="CT88" i="44"/>
  <c r="CU88" i="44"/>
  <c r="CW88" i="44"/>
  <c r="CY88" i="44"/>
  <c r="CX88" i="44"/>
  <c r="CZ88" i="44"/>
  <c r="DA88" i="44"/>
  <c r="DB88" i="44"/>
  <c r="DC88" i="44"/>
  <c r="DD88" i="44"/>
  <c r="DE88" i="44"/>
  <c r="K89" i="44"/>
  <c r="M89" i="44"/>
  <c r="L89" i="44"/>
  <c r="N89" i="44"/>
  <c r="O89" i="44"/>
  <c r="P89" i="44"/>
  <c r="Q89" i="44"/>
  <c r="R89" i="44"/>
  <c r="S89" i="44"/>
  <c r="T89" i="44"/>
  <c r="V89" i="44"/>
  <c r="U89" i="44"/>
  <c r="W89" i="44"/>
  <c r="X89" i="44"/>
  <c r="Y89" i="44"/>
  <c r="Z89" i="44"/>
  <c r="AA89" i="44"/>
  <c r="AB89" i="44"/>
  <c r="AC89" i="44"/>
  <c r="AE89" i="44"/>
  <c r="AD89" i="44"/>
  <c r="AF89" i="44"/>
  <c r="AG89" i="44"/>
  <c r="AH89" i="44"/>
  <c r="AI89" i="44"/>
  <c r="AJ89" i="44"/>
  <c r="AK89" i="44"/>
  <c r="AL89" i="44"/>
  <c r="AN89" i="44"/>
  <c r="AM89" i="44"/>
  <c r="AO89" i="44"/>
  <c r="AP89" i="44"/>
  <c r="AQ89" i="44"/>
  <c r="AR89" i="44"/>
  <c r="AS89" i="44"/>
  <c r="AT89" i="44"/>
  <c r="AU89" i="44"/>
  <c r="AW89" i="44"/>
  <c r="AV89" i="44"/>
  <c r="AX89" i="44"/>
  <c r="AY89" i="44"/>
  <c r="AZ89" i="44"/>
  <c r="BA89" i="44"/>
  <c r="BB89" i="44"/>
  <c r="BC89" i="44"/>
  <c r="BD89" i="44"/>
  <c r="BF89" i="44"/>
  <c r="BE89" i="44"/>
  <c r="BG89" i="44"/>
  <c r="BH89" i="44"/>
  <c r="BI89" i="44"/>
  <c r="BJ89" i="44"/>
  <c r="BK89" i="44"/>
  <c r="BM89" i="44"/>
  <c r="BO89" i="44"/>
  <c r="BN89" i="44"/>
  <c r="BP89" i="44"/>
  <c r="BQ89" i="44"/>
  <c r="BR89" i="44"/>
  <c r="BS89" i="44"/>
  <c r="BT89" i="44"/>
  <c r="BV89" i="44"/>
  <c r="BX89" i="44"/>
  <c r="BW89" i="44"/>
  <c r="BY89" i="44"/>
  <c r="BZ89" i="44"/>
  <c r="CA89" i="44"/>
  <c r="CB89" i="44"/>
  <c r="CC89" i="44"/>
  <c r="CD89" i="44"/>
  <c r="CE89" i="44"/>
  <c r="CG89" i="44"/>
  <c r="CF89" i="44"/>
  <c r="CH89" i="44"/>
  <c r="CI89" i="44"/>
  <c r="CJ89" i="44"/>
  <c r="CK89" i="44"/>
  <c r="CL89" i="44"/>
  <c r="CM89" i="44"/>
  <c r="CN89" i="44"/>
  <c r="CP89" i="44"/>
  <c r="CO89" i="44"/>
  <c r="CQ89" i="44"/>
  <c r="CR89" i="44"/>
  <c r="CS89" i="44"/>
  <c r="CT89" i="44"/>
  <c r="CU89" i="44"/>
  <c r="CV89" i="44"/>
  <c r="CW89" i="44"/>
  <c r="CY89" i="44"/>
  <c r="CX89" i="44"/>
  <c r="CZ89" i="44"/>
  <c r="DA89" i="44"/>
  <c r="DB89" i="44"/>
  <c r="DC89" i="44"/>
  <c r="DD89" i="44"/>
  <c r="DE89" i="44"/>
  <c r="K90" i="44"/>
  <c r="M90" i="44"/>
  <c r="L90" i="44"/>
  <c r="N90" i="44"/>
  <c r="O90" i="44"/>
  <c r="P90" i="44"/>
  <c r="Q90" i="44"/>
  <c r="R90" i="44"/>
  <c r="S90" i="44"/>
  <c r="T90" i="44"/>
  <c r="V90" i="44"/>
  <c r="U90" i="44"/>
  <c r="W90" i="44"/>
  <c r="X90" i="44"/>
  <c r="Y90" i="44"/>
  <c r="Z90" i="44"/>
  <c r="AA90" i="44"/>
  <c r="AB90" i="44"/>
  <c r="AC90" i="44"/>
  <c r="AE90" i="44"/>
  <c r="AD90" i="44"/>
  <c r="AF90" i="44"/>
  <c r="AG90" i="44"/>
  <c r="AH90" i="44"/>
  <c r="AI90" i="44"/>
  <c r="AJ90" i="44"/>
  <c r="AK90" i="44"/>
  <c r="AL90" i="44"/>
  <c r="AN90" i="44"/>
  <c r="AM90" i="44"/>
  <c r="AO90" i="44"/>
  <c r="AP90" i="44"/>
  <c r="AQ90" i="44"/>
  <c r="AR90" i="44"/>
  <c r="AS90" i="44"/>
  <c r="AT90" i="44"/>
  <c r="AU90" i="44"/>
  <c r="AW90" i="44"/>
  <c r="AV90" i="44"/>
  <c r="AX90" i="44"/>
  <c r="AY90" i="44"/>
  <c r="AZ90" i="44"/>
  <c r="BA90" i="44"/>
  <c r="BB90" i="44"/>
  <c r="BC90" i="44"/>
  <c r="BD90" i="44"/>
  <c r="BF90" i="44"/>
  <c r="BE90" i="44"/>
  <c r="BG90" i="44"/>
  <c r="BH90" i="44"/>
  <c r="BI90" i="44"/>
  <c r="BJ90" i="44"/>
  <c r="BK90" i="44"/>
  <c r="BM90" i="44"/>
  <c r="BO90" i="44"/>
  <c r="BN90" i="44"/>
  <c r="BP90" i="44"/>
  <c r="BQ90" i="44"/>
  <c r="BR90" i="44"/>
  <c r="BS90" i="44"/>
  <c r="BT90" i="44"/>
  <c r="BV90" i="44"/>
  <c r="BX90" i="44"/>
  <c r="BW90" i="44"/>
  <c r="BY90" i="44"/>
  <c r="BZ90" i="44"/>
  <c r="CA90" i="44"/>
  <c r="CB90" i="44"/>
  <c r="CC90" i="44"/>
  <c r="CD90" i="44"/>
  <c r="CE90" i="44"/>
  <c r="CG90" i="44"/>
  <c r="CF90" i="44"/>
  <c r="CH90" i="44"/>
  <c r="CI90" i="44"/>
  <c r="CJ90" i="44"/>
  <c r="CK90" i="44"/>
  <c r="CL90" i="44"/>
  <c r="CM90" i="44"/>
  <c r="CN90" i="44"/>
  <c r="CP90" i="44"/>
  <c r="CO90" i="44"/>
  <c r="CQ90" i="44"/>
  <c r="CR90" i="44"/>
  <c r="CS90" i="44"/>
  <c r="CT90" i="44"/>
  <c r="CU90" i="44"/>
  <c r="CV90" i="44"/>
  <c r="CW90" i="44"/>
  <c r="CY90" i="44"/>
  <c r="CX90" i="44"/>
  <c r="CZ90" i="44"/>
  <c r="DA90" i="44"/>
  <c r="DB90" i="44"/>
  <c r="DC90" i="44"/>
  <c r="DD90" i="44"/>
  <c r="DE90" i="44"/>
  <c r="K91" i="44"/>
  <c r="M91" i="44"/>
  <c r="L91" i="44"/>
  <c r="N91" i="44"/>
  <c r="O91" i="44"/>
  <c r="P91" i="44"/>
  <c r="Q91" i="44"/>
  <c r="R91" i="44"/>
  <c r="S91" i="44"/>
  <c r="T91" i="44"/>
  <c r="V91" i="44"/>
  <c r="U91" i="44"/>
  <c r="W91" i="44"/>
  <c r="X91" i="44"/>
  <c r="Y91" i="44"/>
  <c r="Z91" i="44"/>
  <c r="AA91" i="44"/>
  <c r="AB91" i="44"/>
  <c r="AC91" i="44"/>
  <c r="AE91" i="44"/>
  <c r="AD91" i="44"/>
  <c r="AF91" i="44"/>
  <c r="AG91" i="44"/>
  <c r="AH91" i="44"/>
  <c r="AI91" i="44"/>
  <c r="AJ91" i="44"/>
  <c r="AK91" i="44"/>
  <c r="AL91" i="44"/>
  <c r="AN91" i="44"/>
  <c r="AM91" i="44"/>
  <c r="AO91" i="44"/>
  <c r="AP91" i="44"/>
  <c r="AQ91" i="44"/>
  <c r="AR91" i="44"/>
  <c r="AS91" i="44"/>
  <c r="AT91" i="44"/>
  <c r="AU91" i="44"/>
  <c r="AW91" i="44"/>
  <c r="AV91" i="44"/>
  <c r="AX91" i="44"/>
  <c r="AY91" i="44"/>
  <c r="AZ91" i="44"/>
  <c r="BA91" i="44"/>
  <c r="BB91" i="44"/>
  <c r="BC91" i="44"/>
  <c r="BD91" i="44"/>
  <c r="BF91" i="44"/>
  <c r="BE91" i="44"/>
  <c r="BG91" i="44"/>
  <c r="BH91" i="44"/>
  <c r="BI91" i="44"/>
  <c r="BJ91" i="44"/>
  <c r="BK91" i="44"/>
  <c r="BM91" i="44"/>
  <c r="BO91" i="44"/>
  <c r="BN91" i="44"/>
  <c r="BP91" i="44"/>
  <c r="BQ91" i="44"/>
  <c r="BR91" i="44"/>
  <c r="BS91" i="44"/>
  <c r="BT91" i="44"/>
  <c r="BV91" i="44"/>
  <c r="BX91" i="44"/>
  <c r="BW91" i="44"/>
  <c r="BY91" i="44"/>
  <c r="BZ91" i="44"/>
  <c r="CA91" i="44"/>
  <c r="CB91" i="44"/>
  <c r="CC91" i="44"/>
  <c r="CD91" i="44"/>
  <c r="CE91" i="44"/>
  <c r="CG91" i="44"/>
  <c r="CF91" i="44"/>
  <c r="CH91" i="44"/>
  <c r="CI91" i="44"/>
  <c r="CJ91" i="44"/>
  <c r="CK91" i="44"/>
  <c r="CL91" i="44"/>
  <c r="CM91" i="44"/>
  <c r="CN91" i="44"/>
  <c r="CP91" i="44"/>
  <c r="CO91" i="44"/>
  <c r="CQ91" i="44"/>
  <c r="CR91" i="44"/>
  <c r="CS91" i="44"/>
  <c r="CT91" i="44"/>
  <c r="CU91" i="44"/>
  <c r="CV91" i="44"/>
  <c r="CW91" i="44"/>
  <c r="CY91" i="44"/>
  <c r="CX91" i="44"/>
  <c r="CZ91" i="44"/>
  <c r="DA91" i="44"/>
  <c r="DB91" i="44"/>
  <c r="DC91" i="44"/>
  <c r="DD91" i="44"/>
  <c r="DE91" i="44"/>
  <c r="K92" i="44"/>
  <c r="M92" i="44"/>
  <c r="L92" i="44"/>
  <c r="N92" i="44"/>
  <c r="O92" i="44"/>
  <c r="P92" i="44"/>
  <c r="Q92" i="44"/>
  <c r="R92" i="44"/>
  <c r="S92" i="44"/>
  <c r="T92" i="44"/>
  <c r="V92" i="44"/>
  <c r="U92" i="44"/>
  <c r="W92" i="44"/>
  <c r="X92" i="44"/>
  <c r="Y92" i="44"/>
  <c r="Z92" i="44"/>
  <c r="AA92" i="44"/>
  <c r="AB92" i="44"/>
  <c r="AC92" i="44"/>
  <c r="AE92" i="44"/>
  <c r="AD92" i="44"/>
  <c r="AF92" i="44"/>
  <c r="AG92" i="44"/>
  <c r="AH92" i="44"/>
  <c r="AI92" i="44"/>
  <c r="AJ92" i="44"/>
  <c r="AK92" i="44"/>
  <c r="AL92" i="44"/>
  <c r="AN92" i="44"/>
  <c r="AM92" i="44"/>
  <c r="AO92" i="44"/>
  <c r="AP92" i="44"/>
  <c r="AQ92" i="44"/>
  <c r="AR92" i="44"/>
  <c r="AS92" i="44"/>
  <c r="AT92" i="44"/>
  <c r="AU92" i="44"/>
  <c r="AW92" i="44"/>
  <c r="AV92" i="44"/>
  <c r="AX92" i="44"/>
  <c r="AY92" i="44"/>
  <c r="AZ92" i="44"/>
  <c r="BA92" i="44"/>
  <c r="BB92" i="44"/>
  <c r="BC92" i="44"/>
  <c r="BD92" i="44"/>
  <c r="BF92" i="44"/>
  <c r="BE92" i="44"/>
  <c r="BG92" i="44"/>
  <c r="BH92" i="44"/>
  <c r="BI92" i="44"/>
  <c r="BJ92" i="44"/>
  <c r="BK92" i="44"/>
  <c r="BM92" i="44"/>
  <c r="BO92" i="44"/>
  <c r="BN92" i="44"/>
  <c r="BP92" i="44"/>
  <c r="BQ92" i="44"/>
  <c r="BR92" i="44"/>
  <c r="BS92" i="44"/>
  <c r="BT92" i="44"/>
  <c r="BV92" i="44"/>
  <c r="BX92" i="44"/>
  <c r="BW92" i="44"/>
  <c r="BY92" i="44"/>
  <c r="BZ92" i="44"/>
  <c r="CA92" i="44"/>
  <c r="CB92" i="44"/>
  <c r="CC92" i="44"/>
  <c r="CD92" i="44"/>
  <c r="CE92" i="44"/>
  <c r="CG92" i="44"/>
  <c r="CF92" i="44"/>
  <c r="CH92" i="44"/>
  <c r="CI92" i="44"/>
  <c r="CJ92" i="44"/>
  <c r="CK92" i="44"/>
  <c r="CL92" i="44"/>
  <c r="CM92" i="44"/>
  <c r="CN92" i="44"/>
  <c r="CP92" i="44"/>
  <c r="CO92" i="44"/>
  <c r="CQ92" i="44"/>
  <c r="CR92" i="44"/>
  <c r="CS92" i="44"/>
  <c r="CT92" i="44"/>
  <c r="CU92" i="44"/>
  <c r="CV92" i="44"/>
  <c r="CW92" i="44"/>
  <c r="CY92" i="44"/>
  <c r="CX92" i="44"/>
  <c r="CZ92" i="44"/>
  <c r="DA92" i="44"/>
  <c r="DB92" i="44"/>
  <c r="DC92" i="44"/>
  <c r="DD92" i="44"/>
  <c r="DE92" i="44"/>
  <c r="K93" i="44"/>
  <c r="M93" i="44"/>
  <c r="L93" i="44"/>
  <c r="N93" i="44"/>
  <c r="O93" i="44"/>
  <c r="P93" i="44"/>
  <c r="Q93" i="44"/>
  <c r="R93" i="44"/>
  <c r="S93" i="44"/>
  <c r="T93" i="44"/>
  <c r="V93" i="44"/>
  <c r="U93" i="44"/>
  <c r="W93" i="44"/>
  <c r="X93" i="44"/>
  <c r="Y93" i="44"/>
  <c r="Z93" i="44"/>
  <c r="AA93" i="44"/>
  <c r="AB93" i="44"/>
  <c r="AC93" i="44"/>
  <c r="AE93" i="44"/>
  <c r="AD93" i="44"/>
  <c r="AF93" i="44"/>
  <c r="AG93" i="44"/>
  <c r="AH93" i="44"/>
  <c r="AI93" i="44"/>
  <c r="AJ93" i="44"/>
  <c r="AK93" i="44"/>
  <c r="AL93" i="44"/>
  <c r="AN93" i="44"/>
  <c r="AM93" i="44"/>
  <c r="AO93" i="44"/>
  <c r="AP93" i="44"/>
  <c r="AQ93" i="44"/>
  <c r="AR93" i="44"/>
  <c r="AS93" i="44"/>
  <c r="AT93" i="44"/>
  <c r="AU93" i="44"/>
  <c r="AW93" i="44"/>
  <c r="AV93" i="44"/>
  <c r="AX93" i="44"/>
  <c r="AY93" i="44"/>
  <c r="AZ93" i="44"/>
  <c r="BA93" i="44"/>
  <c r="BB93" i="44"/>
  <c r="BC93" i="44"/>
  <c r="BD93" i="44"/>
  <c r="BF93" i="44"/>
  <c r="BE93" i="44"/>
  <c r="BG93" i="44"/>
  <c r="BH93" i="44"/>
  <c r="BI93" i="44"/>
  <c r="BJ93" i="44"/>
  <c r="BK93" i="44"/>
  <c r="BM93" i="44"/>
  <c r="BO93" i="44"/>
  <c r="BN93" i="44"/>
  <c r="BP93" i="44"/>
  <c r="BQ93" i="44"/>
  <c r="BR93" i="44"/>
  <c r="BS93" i="44"/>
  <c r="BT93" i="44"/>
  <c r="BV93" i="44"/>
  <c r="BX93" i="44"/>
  <c r="BW93" i="44"/>
  <c r="BY93" i="44"/>
  <c r="BZ93" i="44"/>
  <c r="CA93" i="44"/>
  <c r="CB93" i="44"/>
  <c r="CC93" i="44"/>
  <c r="CD93" i="44"/>
  <c r="CE93" i="44"/>
  <c r="CG93" i="44"/>
  <c r="CF93" i="44"/>
  <c r="CH93" i="44"/>
  <c r="CI93" i="44"/>
  <c r="CJ93" i="44"/>
  <c r="CK93" i="44"/>
  <c r="CL93" i="44"/>
  <c r="CM93" i="44"/>
  <c r="CN93" i="44"/>
  <c r="CP93" i="44"/>
  <c r="CO93" i="44"/>
  <c r="CQ93" i="44"/>
  <c r="CR93" i="44"/>
  <c r="CS93" i="44"/>
  <c r="CT93" i="44"/>
  <c r="CU93" i="44"/>
  <c r="CV93" i="44"/>
  <c r="CW93" i="44"/>
  <c r="CY93" i="44"/>
  <c r="CX93" i="44"/>
  <c r="CZ93" i="44"/>
  <c r="DA93" i="44"/>
  <c r="DB93" i="44"/>
  <c r="DC93" i="44"/>
  <c r="DD93" i="44"/>
  <c r="DE93" i="44"/>
  <c r="K94" i="44"/>
  <c r="M94" i="44"/>
  <c r="L94" i="44"/>
  <c r="N94" i="44"/>
  <c r="O94" i="44"/>
  <c r="P94" i="44"/>
  <c r="Q94" i="44"/>
  <c r="R94" i="44"/>
  <c r="S94" i="44"/>
  <c r="T94" i="44"/>
  <c r="V94" i="44"/>
  <c r="U94" i="44"/>
  <c r="W94" i="44"/>
  <c r="X94" i="44"/>
  <c r="Y94" i="44"/>
  <c r="Z94" i="44"/>
  <c r="AA94" i="44"/>
  <c r="AB94" i="44"/>
  <c r="AC94" i="44"/>
  <c r="AE94" i="44"/>
  <c r="AD94" i="44"/>
  <c r="AF94" i="44"/>
  <c r="AG94" i="44"/>
  <c r="AH94" i="44"/>
  <c r="AI94" i="44"/>
  <c r="AJ94" i="44"/>
  <c r="AK94" i="44"/>
  <c r="AL94" i="44"/>
  <c r="AN94" i="44"/>
  <c r="AM94" i="44"/>
  <c r="AO94" i="44"/>
  <c r="AP94" i="44"/>
  <c r="AQ94" i="44"/>
  <c r="AR94" i="44"/>
  <c r="AS94" i="44"/>
  <c r="AT94" i="44"/>
  <c r="AU94" i="44"/>
  <c r="AW94" i="44"/>
  <c r="AV94" i="44"/>
  <c r="AX94" i="44"/>
  <c r="AY94" i="44"/>
  <c r="AZ94" i="44"/>
  <c r="BA94" i="44"/>
  <c r="BB94" i="44"/>
  <c r="BC94" i="44"/>
  <c r="BD94" i="44"/>
  <c r="BF94" i="44"/>
  <c r="BE94" i="44"/>
  <c r="BG94" i="44"/>
  <c r="BH94" i="44"/>
  <c r="BI94" i="44"/>
  <c r="BJ94" i="44"/>
  <c r="BK94" i="44"/>
  <c r="BM94" i="44"/>
  <c r="BO94" i="44"/>
  <c r="BN94" i="44"/>
  <c r="BP94" i="44"/>
  <c r="BQ94" i="44"/>
  <c r="BR94" i="44"/>
  <c r="BS94" i="44"/>
  <c r="BT94" i="44"/>
  <c r="BV94" i="44"/>
  <c r="BX94" i="44"/>
  <c r="BW94" i="44"/>
  <c r="BY94" i="44"/>
  <c r="BZ94" i="44"/>
  <c r="CA94" i="44"/>
  <c r="CB94" i="44"/>
  <c r="CC94" i="44"/>
  <c r="CD94" i="44"/>
  <c r="CE94" i="44"/>
  <c r="CG94" i="44"/>
  <c r="CF94" i="44"/>
  <c r="CH94" i="44"/>
  <c r="CI94" i="44"/>
  <c r="CJ94" i="44"/>
  <c r="CK94" i="44"/>
  <c r="CL94" i="44"/>
  <c r="CM94" i="44"/>
  <c r="CN94" i="44"/>
  <c r="CP94" i="44"/>
  <c r="CO94" i="44"/>
  <c r="CQ94" i="44"/>
  <c r="CR94" i="44"/>
  <c r="CS94" i="44"/>
  <c r="CT94" i="44"/>
  <c r="CU94" i="44"/>
  <c r="CV94" i="44"/>
  <c r="CW94" i="44"/>
  <c r="CY94" i="44"/>
  <c r="CX94" i="44"/>
  <c r="CZ94" i="44"/>
  <c r="DA94" i="44"/>
  <c r="DB94" i="44"/>
  <c r="DC94" i="44"/>
  <c r="DD94" i="44"/>
  <c r="DE94" i="44"/>
  <c r="K95" i="44"/>
  <c r="M95" i="44"/>
  <c r="L95" i="44"/>
  <c r="N95" i="44"/>
  <c r="O95" i="44"/>
  <c r="P95" i="44"/>
  <c r="Q95" i="44"/>
  <c r="R95" i="44"/>
  <c r="S95" i="44"/>
  <c r="T95" i="44"/>
  <c r="V95" i="44"/>
  <c r="U95" i="44"/>
  <c r="W95" i="44"/>
  <c r="X95" i="44"/>
  <c r="Y95" i="44"/>
  <c r="Z95" i="44"/>
  <c r="AA95" i="44"/>
  <c r="AB95" i="44"/>
  <c r="AC95" i="44"/>
  <c r="AE95" i="44"/>
  <c r="AD95" i="44"/>
  <c r="AF95" i="44"/>
  <c r="AG95" i="44"/>
  <c r="AH95" i="44"/>
  <c r="AI95" i="44"/>
  <c r="AJ95" i="44"/>
  <c r="AK95" i="44"/>
  <c r="AL95" i="44"/>
  <c r="AN95" i="44"/>
  <c r="AM95" i="44"/>
  <c r="AO95" i="44"/>
  <c r="AP95" i="44"/>
  <c r="AQ95" i="44"/>
  <c r="AR95" i="44"/>
  <c r="AS95" i="44"/>
  <c r="AT95" i="44"/>
  <c r="AU95" i="44"/>
  <c r="AW95" i="44"/>
  <c r="AV95" i="44"/>
  <c r="AX95" i="44"/>
  <c r="AY95" i="44"/>
  <c r="AZ95" i="44"/>
  <c r="BA95" i="44"/>
  <c r="BB95" i="44"/>
  <c r="BC95" i="44"/>
  <c r="BD95" i="44"/>
  <c r="BF95" i="44"/>
  <c r="BE95" i="44"/>
  <c r="BG95" i="44"/>
  <c r="BH95" i="44"/>
  <c r="BI95" i="44"/>
  <c r="BJ95" i="44"/>
  <c r="BK95" i="44"/>
  <c r="BM95" i="44"/>
  <c r="BO95" i="44"/>
  <c r="BN95" i="44"/>
  <c r="BP95" i="44"/>
  <c r="BQ95" i="44"/>
  <c r="BR95" i="44"/>
  <c r="BS95" i="44"/>
  <c r="BT95" i="44"/>
  <c r="BV95" i="44"/>
  <c r="BX95" i="44"/>
  <c r="BW95" i="44"/>
  <c r="BY95" i="44"/>
  <c r="BZ95" i="44"/>
  <c r="CA95" i="44"/>
  <c r="CB95" i="44"/>
  <c r="CC95" i="44"/>
  <c r="CD95" i="44"/>
  <c r="CE95" i="44"/>
  <c r="CG95" i="44"/>
  <c r="CF95" i="44"/>
  <c r="CH95" i="44"/>
  <c r="CI95" i="44"/>
  <c r="CJ95" i="44"/>
  <c r="CK95" i="44"/>
  <c r="CL95" i="44"/>
  <c r="CM95" i="44"/>
  <c r="CN95" i="44"/>
  <c r="CP95" i="44"/>
  <c r="CO95" i="44"/>
  <c r="CQ95" i="44"/>
  <c r="CR95" i="44"/>
  <c r="CS95" i="44"/>
  <c r="CT95" i="44"/>
  <c r="CU95" i="44"/>
  <c r="CV95" i="44"/>
  <c r="CW95" i="44"/>
  <c r="CY95" i="44"/>
  <c r="CX95" i="44"/>
  <c r="CZ95" i="44"/>
  <c r="DA95" i="44"/>
  <c r="DB95" i="44"/>
  <c r="DC95" i="44"/>
  <c r="DD95" i="44"/>
  <c r="DE95" i="44"/>
  <c r="K96" i="44"/>
  <c r="M96" i="44"/>
  <c r="L96" i="44"/>
  <c r="N96" i="44"/>
  <c r="O96" i="44"/>
  <c r="P96" i="44"/>
  <c r="Q96" i="44"/>
  <c r="R96" i="44"/>
  <c r="S96" i="44"/>
  <c r="T96" i="44"/>
  <c r="V96" i="44"/>
  <c r="U96" i="44"/>
  <c r="W96" i="44"/>
  <c r="X96" i="44"/>
  <c r="Y96" i="44"/>
  <c r="Z96" i="44"/>
  <c r="AA96" i="44"/>
  <c r="AB96" i="44"/>
  <c r="AC96" i="44"/>
  <c r="AE96" i="44"/>
  <c r="AD96" i="44"/>
  <c r="AF96" i="44"/>
  <c r="AG96" i="44"/>
  <c r="AH96" i="44"/>
  <c r="AI96" i="44"/>
  <c r="AJ96" i="44"/>
  <c r="AK96" i="44"/>
  <c r="AL96" i="44"/>
  <c r="AN96" i="44"/>
  <c r="AM96" i="44"/>
  <c r="AO96" i="44"/>
  <c r="AP96" i="44"/>
  <c r="AQ96" i="44"/>
  <c r="AR96" i="44"/>
  <c r="AS96" i="44"/>
  <c r="AT96" i="44"/>
  <c r="AU96" i="44"/>
  <c r="AW96" i="44"/>
  <c r="AV96" i="44"/>
  <c r="AX96" i="44"/>
  <c r="AY96" i="44"/>
  <c r="AZ96" i="44"/>
  <c r="BA96" i="44"/>
  <c r="BB96" i="44"/>
  <c r="BC96" i="44"/>
  <c r="BD96" i="44"/>
  <c r="BF96" i="44"/>
  <c r="BE96" i="44"/>
  <c r="BG96" i="44"/>
  <c r="BH96" i="44"/>
  <c r="BI96" i="44"/>
  <c r="BJ96" i="44"/>
  <c r="BK96" i="44"/>
  <c r="BM96" i="44"/>
  <c r="BO96" i="44"/>
  <c r="BN96" i="44"/>
  <c r="BP96" i="44"/>
  <c r="BQ96" i="44"/>
  <c r="BR96" i="44"/>
  <c r="BS96" i="44"/>
  <c r="BT96" i="44"/>
  <c r="BV96" i="44"/>
  <c r="BX96" i="44"/>
  <c r="BW96" i="44"/>
  <c r="BY96" i="44"/>
  <c r="BZ96" i="44"/>
  <c r="CA96" i="44"/>
  <c r="CB96" i="44"/>
  <c r="CC96" i="44"/>
  <c r="CD96" i="44"/>
  <c r="CE96" i="44"/>
  <c r="CG96" i="44"/>
  <c r="CF96" i="44"/>
  <c r="CH96" i="44"/>
  <c r="CI96" i="44"/>
  <c r="CJ96" i="44"/>
  <c r="CK96" i="44"/>
  <c r="CL96" i="44"/>
  <c r="CM96" i="44"/>
  <c r="CN96" i="44"/>
  <c r="CP96" i="44"/>
  <c r="CO96" i="44"/>
  <c r="CQ96" i="44"/>
  <c r="CR96" i="44"/>
  <c r="CS96" i="44"/>
  <c r="CT96" i="44"/>
  <c r="CU96" i="44"/>
  <c r="CV96" i="44"/>
  <c r="CW96" i="44"/>
  <c r="CY96" i="44"/>
  <c r="CX96" i="44"/>
  <c r="CZ96" i="44"/>
  <c r="DA96" i="44"/>
  <c r="DB96" i="44"/>
  <c r="DC96" i="44"/>
  <c r="DD96" i="44"/>
  <c r="DE96" i="44"/>
  <c r="K97" i="44"/>
  <c r="M97" i="44"/>
  <c r="L97" i="44"/>
  <c r="N97" i="44"/>
  <c r="O97" i="44"/>
  <c r="P97" i="44"/>
  <c r="Q97" i="44"/>
  <c r="R97" i="44"/>
  <c r="S97" i="44"/>
  <c r="T97" i="44"/>
  <c r="V97" i="44"/>
  <c r="U97" i="44"/>
  <c r="W97" i="44"/>
  <c r="X97" i="44"/>
  <c r="Y97" i="44"/>
  <c r="Z97" i="44"/>
  <c r="AA97" i="44"/>
  <c r="AB97" i="44"/>
  <c r="AC97" i="44"/>
  <c r="AE97" i="44"/>
  <c r="AD97" i="44"/>
  <c r="AF97" i="44"/>
  <c r="AG97" i="44"/>
  <c r="AH97" i="44"/>
  <c r="AI97" i="44"/>
  <c r="AJ97" i="44"/>
  <c r="AK97" i="44"/>
  <c r="AL97" i="44"/>
  <c r="AN97" i="44"/>
  <c r="AM97" i="44"/>
  <c r="AO97" i="44"/>
  <c r="AP97" i="44"/>
  <c r="AQ97" i="44"/>
  <c r="AR97" i="44"/>
  <c r="AS97" i="44"/>
  <c r="AT97" i="44"/>
  <c r="AU97" i="44"/>
  <c r="AW97" i="44"/>
  <c r="AV97" i="44"/>
  <c r="AX97" i="44"/>
  <c r="AY97" i="44"/>
  <c r="AZ97" i="44"/>
  <c r="BA97" i="44"/>
  <c r="BB97" i="44"/>
  <c r="BC97" i="44"/>
  <c r="BD97" i="44"/>
  <c r="BF97" i="44"/>
  <c r="BE97" i="44"/>
  <c r="BG97" i="44"/>
  <c r="BH97" i="44"/>
  <c r="BI97" i="44"/>
  <c r="BJ97" i="44"/>
  <c r="BK97" i="44"/>
  <c r="BM97" i="44"/>
  <c r="BO97" i="44"/>
  <c r="BN97" i="44"/>
  <c r="BP97" i="44"/>
  <c r="BQ97" i="44"/>
  <c r="BR97" i="44"/>
  <c r="BS97" i="44"/>
  <c r="BT97" i="44"/>
  <c r="BV97" i="44"/>
  <c r="BX97" i="44"/>
  <c r="BW97" i="44"/>
  <c r="BY97" i="44"/>
  <c r="BZ97" i="44"/>
  <c r="CA97" i="44"/>
  <c r="CB97" i="44"/>
  <c r="CC97" i="44"/>
  <c r="CD97" i="44"/>
  <c r="CE97" i="44"/>
  <c r="CG97" i="44"/>
  <c r="CF97" i="44"/>
  <c r="CH97" i="44"/>
  <c r="CI97" i="44"/>
  <c r="CJ97" i="44"/>
  <c r="CK97" i="44"/>
  <c r="CL97" i="44"/>
  <c r="CM97" i="44"/>
  <c r="CN97" i="44"/>
  <c r="CP97" i="44"/>
  <c r="CO97" i="44"/>
  <c r="CQ97" i="44"/>
  <c r="CR97" i="44"/>
  <c r="CS97" i="44"/>
  <c r="CT97" i="44"/>
  <c r="CU97" i="44"/>
  <c r="CV97" i="44"/>
  <c r="CW97" i="44"/>
  <c r="CY97" i="44"/>
  <c r="CX97" i="44"/>
  <c r="CZ97" i="44"/>
  <c r="DA97" i="44"/>
  <c r="DB97" i="44"/>
  <c r="DC97" i="44"/>
  <c r="DD97" i="44"/>
  <c r="DE97" i="44"/>
  <c r="K98" i="44"/>
  <c r="M98" i="44"/>
  <c r="L98" i="44"/>
  <c r="N98" i="44"/>
  <c r="O98" i="44"/>
  <c r="P98" i="44"/>
  <c r="Q98" i="44"/>
  <c r="R98" i="44"/>
  <c r="S98" i="44"/>
  <c r="T98" i="44"/>
  <c r="V98" i="44"/>
  <c r="U98" i="44"/>
  <c r="W98" i="44"/>
  <c r="X98" i="44"/>
  <c r="Y98" i="44"/>
  <c r="Z98" i="44"/>
  <c r="AA98" i="44"/>
  <c r="AB98" i="44"/>
  <c r="AC98" i="44"/>
  <c r="AE98" i="44"/>
  <c r="AD98" i="44"/>
  <c r="AF98" i="44"/>
  <c r="AG98" i="44"/>
  <c r="AH98" i="44"/>
  <c r="AI98" i="44"/>
  <c r="AJ98" i="44"/>
  <c r="AK98" i="44"/>
  <c r="AL98" i="44"/>
  <c r="AN98" i="44"/>
  <c r="AM98" i="44"/>
  <c r="AO98" i="44"/>
  <c r="AP98" i="44"/>
  <c r="AQ98" i="44"/>
  <c r="AR98" i="44"/>
  <c r="AS98" i="44"/>
  <c r="AT98" i="44"/>
  <c r="AU98" i="44"/>
  <c r="AW98" i="44"/>
  <c r="AV98" i="44"/>
  <c r="AX98" i="44"/>
  <c r="AY98" i="44"/>
  <c r="AZ98" i="44"/>
  <c r="BA98" i="44"/>
  <c r="BB98" i="44"/>
  <c r="BC98" i="44"/>
  <c r="BD98" i="44"/>
  <c r="BF98" i="44"/>
  <c r="BE98" i="44"/>
  <c r="BG98" i="44"/>
  <c r="BH98" i="44"/>
  <c r="BI98" i="44"/>
  <c r="BJ98" i="44"/>
  <c r="BK98" i="44"/>
  <c r="BM98" i="44"/>
  <c r="BO98" i="44"/>
  <c r="BN98" i="44"/>
  <c r="BP98" i="44"/>
  <c r="BQ98" i="44"/>
  <c r="BR98" i="44"/>
  <c r="BS98" i="44"/>
  <c r="BT98" i="44"/>
  <c r="BV98" i="44"/>
  <c r="BX98" i="44"/>
  <c r="BW98" i="44"/>
  <c r="BY98" i="44"/>
  <c r="BZ98" i="44"/>
  <c r="CA98" i="44"/>
  <c r="CB98" i="44"/>
  <c r="CC98" i="44"/>
  <c r="CD98" i="44"/>
  <c r="CE98" i="44"/>
  <c r="CG98" i="44"/>
  <c r="CF98" i="44"/>
  <c r="CH98" i="44"/>
  <c r="CI98" i="44"/>
  <c r="CJ98" i="44"/>
  <c r="CK98" i="44"/>
  <c r="CL98" i="44"/>
  <c r="CM98" i="44"/>
  <c r="CN98" i="44"/>
  <c r="CP98" i="44"/>
  <c r="CO98" i="44"/>
  <c r="CQ98" i="44"/>
  <c r="CR98" i="44"/>
  <c r="CS98" i="44"/>
  <c r="CT98" i="44"/>
  <c r="CU98" i="44"/>
  <c r="CV98" i="44"/>
  <c r="CW98" i="44"/>
  <c r="CY98" i="44"/>
  <c r="CX98" i="44"/>
  <c r="CZ98" i="44"/>
  <c r="DA98" i="44"/>
  <c r="DB98" i="44"/>
  <c r="DC98" i="44"/>
  <c r="DD98" i="44"/>
  <c r="DE98" i="44"/>
  <c r="K99" i="44"/>
  <c r="M99" i="44"/>
  <c r="L99" i="44"/>
  <c r="N99" i="44"/>
  <c r="O99" i="44"/>
  <c r="P99" i="44"/>
  <c r="Q99" i="44"/>
  <c r="R99" i="44"/>
  <c r="S99" i="44"/>
  <c r="T99" i="44"/>
  <c r="V99" i="44"/>
  <c r="U99" i="44"/>
  <c r="W99" i="44"/>
  <c r="X99" i="44"/>
  <c r="Y99" i="44"/>
  <c r="Z99" i="44"/>
  <c r="AA99" i="44"/>
  <c r="AB99" i="44"/>
  <c r="AC99" i="44"/>
  <c r="AE99" i="44"/>
  <c r="AD99" i="44"/>
  <c r="AF99" i="44"/>
  <c r="AG99" i="44"/>
  <c r="AH99" i="44"/>
  <c r="AI99" i="44"/>
  <c r="AJ99" i="44"/>
  <c r="AK99" i="44"/>
  <c r="AL99" i="44"/>
  <c r="AN99" i="44"/>
  <c r="AM99" i="44"/>
  <c r="AO99" i="44"/>
  <c r="AP99" i="44"/>
  <c r="AQ99" i="44"/>
  <c r="AR99" i="44"/>
  <c r="AS99" i="44"/>
  <c r="AT99" i="44"/>
  <c r="AU99" i="44"/>
  <c r="AW99" i="44"/>
  <c r="AV99" i="44"/>
  <c r="AX99" i="44"/>
  <c r="AY99" i="44"/>
  <c r="AZ99" i="44"/>
  <c r="BA99" i="44"/>
  <c r="BB99" i="44"/>
  <c r="BC99" i="44"/>
  <c r="BD99" i="44"/>
  <c r="BF99" i="44"/>
  <c r="BE99" i="44"/>
  <c r="BG99" i="44"/>
  <c r="BH99" i="44"/>
  <c r="BI99" i="44"/>
  <c r="BJ99" i="44"/>
  <c r="BK99" i="44"/>
  <c r="BM99" i="44"/>
  <c r="BO99" i="44"/>
  <c r="BN99" i="44"/>
  <c r="BP99" i="44"/>
  <c r="BQ99" i="44"/>
  <c r="BR99" i="44"/>
  <c r="BS99" i="44"/>
  <c r="BT99" i="44"/>
  <c r="BV99" i="44"/>
  <c r="BX99" i="44"/>
  <c r="BW99" i="44"/>
  <c r="BY99" i="44"/>
  <c r="BZ99" i="44"/>
  <c r="CA99" i="44"/>
  <c r="CB99" i="44"/>
  <c r="CC99" i="44"/>
  <c r="CD99" i="44"/>
  <c r="CE99" i="44"/>
  <c r="CG99" i="44"/>
  <c r="CF99" i="44"/>
  <c r="CH99" i="44"/>
  <c r="CI99" i="44"/>
  <c r="CJ99" i="44"/>
  <c r="CK99" i="44"/>
  <c r="CL99" i="44"/>
  <c r="CM99" i="44"/>
  <c r="CN99" i="44"/>
  <c r="CP99" i="44"/>
  <c r="CO99" i="44"/>
  <c r="CQ99" i="44"/>
  <c r="CR99" i="44"/>
  <c r="CS99" i="44"/>
  <c r="CT99" i="44"/>
  <c r="CU99" i="44"/>
  <c r="CV99" i="44"/>
  <c r="CW99" i="44"/>
  <c r="CY99" i="44"/>
  <c r="CX99" i="44"/>
  <c r="CZ99" i="44"/>
  <c r="DA99" i="44"/>
  <c r="DB99" i="44"/>
  <c r="DC99" i="44"/>
  <c r="DD99" i="44"/>
  <c r="DE99" i="44"/>
  <c r="K100" i="44"/>
  <c r="M100" i="44"/>
  <c r="L100" i="44"/>
  <c r="N100" i="44"/>
  <c r="O100" i="44"/>
  <c r="P100" i="44"/>
  <c r="Q100" i="44"/>
  <c r="R100" i="44"/>
  <c r="S100" i="44"/>
  <c r="T100" i="44"/>
  <c r="V100" i="44"/>
  <c r="U100" i="44"/>
  <c r="W100" i="44"/>
  <c r="X100" i="44"/>
  <c r="Y100" i="44"/>
  <c r="Z100" i="44"/>
  <c r="AA100" i="44"/>
  <c r="AB100" i="44"/>
  <c r="AC100" i="44"/>
  <c r="AE100" i="44"/>
  <c r="AD100" i="44"/>
  <c r="AF100" i="44"/>
  <c r="AG100" i="44"/>
  <c r="AH100" i="44"/>
  <c r="AI100" i="44"/>
  <c r="AJ100" i="44"/>
  <c r="AK100" i="44"/>
  <c r="AL100" i="44"/>
  <c r="AN100" i="44"/>
  <c r="AM100" i="44"/>
  <c r="AO100" i="44"/>
  <c r="AP100" i="44"/>
  <c r="AQ100" i="44"/>
  <c r="AR100" i="44"/>
  <c r="AS100" i="44"/>
  <c r="AT100" i="44"/>
  <c r="AU100" i="44"/>
  <c r="AW100" i="44"/>
  <c r="AV100" i="44"/>
  <c r="AX100" i="44"/>
  <c r="AY100" i="44"/>
  <c r="AZ100" i="44"/>
  <c r="BA100" i="44"/>
  <c r="BB100" i="44"/>
  <c r="BC100" i="44"/>
  <c r="BD100" i="44"/>
  <c r="BF100" i="44"/>
  <c r="BE100" i="44"/>
  <c r="BG100" i="44"/>
  <c r="BH100" i="44"/>
  <c r="BI100" i="44"/>
  <c r="BJ100" i="44"/>
  <c r="BK100" i="44"/>
  <c r="BM100" i="44"/>
  <c r="BO100" i="44"/>
  <c r="BN100" i="44"/>
  <c r="BP100" i="44"/>
  <c r="BQ100" i="44"/>
  <c r="BR100" i="44"/>
  <c r="BS100" i="44"/>
  <c r="BT100" i="44"/>
  <c r="BV100" i="44"/>
  <c r="BX100" i="44"/>
  <c r="BW100" i="44"/>
  <c r="BY100" i="44"/>
  <c r="BZ100" i="44"/>
  <c r="CA100" i="44"/>
  <c r="CB100" i="44"/>
  <c r="CC100" i="44"/>
  <c r="CD100" i="44"/>
  <c r="CE100" i="44"/>
  <c r="CG100" i="44"/>
  <c r="CF100" i="44"/>
  <c r="CH100" i="44"/>
  <c r="CI100" i="44"/>
  <c r="CJ100" i="44"/>
  <c r="CK100" i="44"/>
  <c r="CL100" i="44"/>
  <c r="CM100" i="44"/>
  <c r="CN100" i="44"/>
  <c r="CP100" i="44"/>
  <c r="CO100" i="44"/>
  <c r="CQ100" i="44"/>
  <c r="CR100" i="44"/>
  <c r="CS100" i="44"/>
  <c r="CT100" i="44"/>
  <c r="CU100" i="44"/>
  <c r="CV100" i="44"/>
  <c r="CW100" i="44"/>
  <c r="CY100" i="44"/>
  <c r="CX100" i="44"/>
  <c r="CZ100" i="44"/>
  <c r="DA100" i="44"/>
  <c r="DB100" i="44"/>
  <c r="DC100" i="44"/>
  <c r="DD100" i="44"/>
  <c r="DE100" i="44"/>
  <c r="K101" i="44"/>
  <c r="M101" i="44"/>
  <c r="L101" i="44"/>
  <c r="N101" i="44"/>
  <c r="O101" i="44"/>
  <c r="P101" i="44"/>
  <c r="Q101" i="44"/>
  <c r="R101" i="44"/>
  <c r="S101" i="44"/>
  <c r="T101" i="44"/>
  <c r="V101" i="44"/>
  <c r="U101" i="44"/>
  <c r="W101" i="44"/>
  <c r="X101" i="44"/>
  <c r="Y101" i="44"/>
  <c r="Z101" i="44"/>
  <c r="AA101" i="44"/>
  <c r="AB101" i="44"/>
  <c r="AC101" i="44"/>
  <c r="AE101" i="44"/>
  <c r="AD101" i="44"/>
  <c r="AF101" i="44"/>
  <c r="AG101" i="44"/>
  <c r="AH101" i="44"/>
  <c r="AI101" i="44"/>
  <c r="AJ101" i="44"/>
  <c r="AK101" i="44"/>
  <c r="AL101" i="44"/>
  <c r="AN101" i="44"/>
  <c r="AM101" i="44"/>
  <c r="AO101" i="44"/>
  <c r="AP101" i="44"/>
  <c r="AQ101" i="44"/>
  <c r="AR101" i="44"/>
  <c r="AS101" i="44"/>
  <c r="AT101" i="44"/>
  <c r="AU101" i="44"/>
  <c r="AW101" i="44"/>
  <c r="AV101" i="44"/>
  <c r="AX101" i="44"/>
  <c r="AY101" i="44"/>
  <c r="AZ101" i="44"/>
  <c r="BA101" i="44"/>
  <c r="BB101" i="44"/>
  <c r="BC101" i="44"/>
  <c r="BD101" i="44"/>
  <c r="BF101" i="44"/>
  <c r="BE101" i="44"/>
  <c r="BG101" i="44"/>
  <c r="BH101" i="44"/>
  <c r="BI101" i="44"/>
  <c r="BJ101" i="44"/>
  <c r="BK101" i="44"/>
  <c r="BM101" i="44"/>
  <c r="BO101" i="44"/>
  <c r="BN101" i="44"/>
  <c r="BP101" i="44"/>
  <c r="BQ101" i="44"/>
  <c r="BR101" i="44"/>
  <c r="BS101" i="44"/>
  <c r="BT101" i="44"/>
  <c r="BV101" i="44"/>
  <c r="BX101" i="44"/>
  <c r="BW101" i="44"/>
  <c r="BY101" i="44"/>
  <c r="BZ101" i="44"/>
  <c r="CA101" i="44"/>
  <c r="CB101" i="44"/>
  <c r="CC101" i="44"/>
  <c r="CD101" i="44"/>
  <c r="CE101" i="44"/>
  <c r="CG101" i="44"/>
  <c r="CF101" i="44"/>
  <c r="CH101" i="44"/>
  <c r="CI101" i="44"/>
  <c r="CJ101" i="44"/>
  <c r="CK101" i="44"/>
  <c r="CL101" i="44"/>
  <c r="CM101" i="44"/>
  <c r="CN101" i="44"/>
  <c r="CP101" i="44"/>
  <c r="CO101" i="44"/>
  <c r="CQ101" i="44"/>
  <c r="CR101" i="44"/>
  <c r="CS101" i="44"/>
  <c r="CT101" i="44"/>
  <c r="CU101" i="44"/>
  <c r="CV101" i="44"/>
  <c r="CW101" i="44"/>
  <c r="CY101" i="44"/>
  <c r="CX101" i="44"/>
  <c r="CZ101" i="44"/>
  <c r="DA101" i="44"/>
  <c r="DB101" i="44"/>
  <c r="DC101" i="44"/>
  <c r="DD101" i="44"/>
  <c r="DE101" i="44"/>
  <c r="K102" i="44"/>
  <c r="M102" i="44"/>
  <c r="L102" i="44"/>
  <c r="N102" i="44"/>
  <c r="O102" i="44"/>
  <c r="P102" i="44"/>
  <c r="Q102" i="44"/>
  <c r="R102" i="44"/>
  <c r="S102" i="44"/>
  <c r="T102" i="44"/>
  <c r="V102" i="44"/>
  <c r="U102" i="44"/>
  <c r="W102" i="44"/>
  <c r="X102" i="44"/>
  <c r="Y102" i="44"/>
  <c r="Z102" i="44"/>
  <c r="AA102" i="44"/>
  <c r="AB102" i="44"/>
  <c r="AC102" i="44"/>
  <c r="AE102" i="44"/>
  <c r="AD102" i="44"/>
  <c r="AF102" i="44"/>
  <c r="AG102" i="44"/>
  <c r="AH102" i="44"/>
  <c r="AI102" i="44"/>
  <c r="AJ102" i="44"/>
  <c r="AK102" i="44"/>
  <c r="AL102" i="44"/>
  <c r="AN102" i="44"/>
  <c r="AM102" i="44"/>
  <c r="AO102" i="44"/>
  <c r="AP102" i="44"/>
  <c r="AQ102" i="44"/>
  <c r="AR102" i="44"/>
  <c r="AS102" i="44"/>
  <c r="AT102" i="44"/>
  <c r="AU102" i="44"/>
  <c r="AW102" i="44"/>
  <c r="AV102" i="44"/>
  <c r="AX102" i="44"/>
  <c r="AY102" i="44"/>
  <c r="AZ102" i="44"/>
  <c r="BA102" i="44"/>
  <c r="BB102" i="44"/>
  <c r="BC102" i="44"/>
  <c r="BD102" i="44"/>
  <c r="BF102" i="44"/>
  <c r="BE102" i="44"/>
  <c r="BG102" i="44"/>
  <c r="BH102" i="44"/>
  <c r="BI102" i="44"/>
  <c r="BJ102" i="44"/>
  <c r="BK102" i="44"/>
  <c r="BM102" i="44"/>
  <c r="BO102" i="44"/>
  <c r="BN102" i="44"/>
  <c r="BP102" i="44"/>
  <c r="BQ102" i="44"/>
  <c r="BR102" i="44"/>
  <c r="BS102" i="44"/>
  <c r="BT102" i="44"/>
  <c r="BV102" i="44"/>
  <c r="BX102" i="44"/>
  <c r="BW102" i="44"/>
  <c r="BY102" i="44"/>
  <c r="BZ102" i="44"/>
  <c r="CA102" i="44"/>
  <c r="CB102" i="44"/>
  <c r="CC102" i="44"/>
  <c r="CD102" i="44"/>
  <c r="CE102" i="44"/>
  <c r="CG102" i="44"/>
  <c r="CF102" i="44"/>
  <c r="CH102" i="44"/>
  <c r="CI102" i="44"/>
  <c r="CJ102" i="44"/>
  <c r="CK102" i="44"/>
  <c r="CL102" i="44"/>
  <c r="CM102" i="44"/>
  <c r="CN102" i="44"/>
  <c r="CP102" i="44"/>
  <c r="CO102" i="44"/>
  <c r="CQ102" i="44"/>
  <c r="CR102" i="44"/>
  <c r="CS102" i="44"/>
  <c r="CT102" i="44"/>
  <c r="CU102" i="44"/>
  <c r="CV102" i="44"/>
  <c r="CW102" i="44"/>
  <c r="CY102" i="44"/>
  <c r="CX102" i="44"/>
  <c r="CZ102" i="44"/>
  <c r="DA102" i="44"/>
  <c r="DB102" i="44"/>
  <c r="DC102" i="44"/>
  <c r="DD102" i="44"/>
  <c r="DE102" i="44"/>
  <c r="K103" i="44"/>
  <c r="M103" i="44"/>
  <c r="L103" i="44"/>
  <c r="N103" i="44"/>
  <c r="O103" i="44"/>
  <c r="P103" i="44"/>
  <c r="Q103" i="44"/>
  <c r="R103" i="44"/>
  <c r="S103" i="44"/>
  <c r="T103" i="44"/>
  <c r="V103" i="44"/>
  <c r="U103" i="44"/>
  <c r="W103" i="44"/>
  <c r="X103" i="44"/>
  <c r="Y103" i="44"/>
  <c r="Z103" i="44"/>
  <c r="AA103" i="44"/>
  <c r="AB103" i="44"/>
  <c r="AC103" i="44"/>
  <c r="AE103" i="44"/>
  <c r="AD103" i="44"/>
  <c r="AF103" i="44"/>
  <c r="AG103" i="44"/>
  <c r="AH103" i="44"/>
  <c r="AI103" i="44"/>
  <c r="AJ103" i="44"/>
  <c r="AK103" i="44"/>
  <c r="AL103" i="44"/>
  <c r="AN103" i="44"/>
  <c r="AM103" i="44"/>
  <c r="AO103" i="44"/>
  <c r="AP103" i="44"/>
  <c r="AQ103" i="44"/>
  <c r="AR103" i="44"/>
  <c r="AS103" i="44"/>
  <c r="AT103" i="44"/>
  <c r="AU103" i="44"/>
  <c r="AW103" i="44"/>
  <c r="AV103" i="44"/>
  <c r="AX103" i="44"/>
  <c r="AY103" i="44"/>
  <c r="AZ103" i="44"/>
  <c r="BA103" i="44"/>
  <c r="BB103" i="44"/>
  <c r="BC103" i="44"/>
  <c r="BD103" i="44"/>
  <c r="BF103" i="44"/>
  <c r="BE103" i="44"/>
  <c r="BG103" i="44"/>
  <c r="BH103" i="44"/>
  <c r="BI103" i="44"/>
  <c r="BJ103" i="44"/>
  <c r="BK103" i="44"/>
  <c r="BM103" i="44"/>
  <c r="BO103" i="44"/>
  <c r="BN103" i="44"/>
  <c r="BP103" i="44"/>
  <c r="BQ103" i="44"/>
  <c r="BR103" i="44"/>
  <c r="BS103" i="44"/>
  <c r="BT103" i="44"/>
  <c r="BV103" i="44"/>
  <c r="BX103" i="44"/>
  <c r="BW103" i="44"/>
  <c r="BY103" i="44"/>
  <c r="BZ103" i="44"/>
  <c r="CA103" i="44"/>
  <c r="CB103" i="44"/>
  <c r="CC103" i="44"/>
  <c r="CD103" i="44"/>
  <c r="CE103" i="44"/>
  <c r="CG103" i="44"/>
  <c r="CF103" i="44"/>
  <c r="CH103" i="44"/>
  <c r="CI103" i="44"/>
  <c r="CJ103" i="44"/>
  <c r="CK103" i="44"/>
  <c r="CL103" i="44"/>
  <c r="CM103" i="44"/>
  <c r="CN103" i="44"/>
  <c r="CP103" i="44"/>
  <c r="CO103" i="44"/>
  <c r="CQ103" i="44"/>
  <c r="CR103" i="44"/>
  <c r="CS103" i="44"/>
  <c r="CT103" i="44"/>
  <c r="CU103" i="44"/>
  <c r="CV103" i="44"/>
  <c r="CW103" i="44"/>
  <c r="CY103" i="44"/>
  <c r="CX103" i="44"/>
  <c r="CZ103" i="44"/>
  <c r="DA103" i="44"/>
  <c r="DB103" i="44"/>
  <c r="DC103" i="44"/>
  <c r="DD103" i="44"/>
  <c r="DE103" i="44"/>
  <c r="K104" i="44"/>
  <c r="M104" i="44"/>
  <c r="L104" i="44"/>
  <c r="N104" i="44"/>
  <c r="O104" i="44"/>
  <c r="P104" i="44"/>
  <c r="Q104" i="44"/>
  <c r="R104" i="44"/>
  <c r="S104" i="44"/>
  <c r="T104" i="44"/>
  <c r="V104" i="44"/>
  <c r="U104" i="44"/>
  <c r="W104" i="44"/>
  <c r="X104" i="44"/>
  <c r="Y104" i="44"/>
  <c r="Z104" i="44"/>
  <c r="AA104" i="44"/>
  <c r="AB104" i="44"/>
  <c r="AC104" i="44"/>
  <c r="AE104" i="44"/>
  <c r="AD104" i="44"/>
  <c r="AF104" i="44"/>
  <c r="AG104" i="44"/>
  <c r="AH104" i="44"/>
  <c r="AI104" i="44"/>
  <c r="AJ104" i="44"/>
  <c r="AK104" i="44"/>
  <c r="AL104" i="44"/>
  <c r="AN104" i="44"/>
  <c r="AM104" i="44"/>
  <c r="AO104" i="44"/>
  <c r="AP104" i="44"/>
  <c r="AQ104" i="44"/>
  <c r="AR104" i="44"/>
  <c r="AS104" i="44"/>
  <c r="AT104" i="44"/>
  <c r="AU104" i="44"/>
  <c r="AW104" i="44"/>
  <c r="AV104" i="44"/>
  <c r="AX104" i="44"/>
  <c r="AY104" i="44"/>
  <c r="AZ104" i="44"/>
  <c r="BA104" i="44"/>
  <c r="BB104" i="44"/>
  <c r="BC104" i="44"/>
  <c r="BD104" i="44"/>
  <c r="BF104" i="44"/>
  <c r="BE104" i="44"/>
  <c r="BG104" i="44"/>
  <c r="BH104" i="44"/>
  <c r="BI104" i="44"/>
  <c r="BJ104" i="44"/>
  <c r="BK104" i="44"/>
  <c r="BM104" i="44"/>
  <c r="BO104" i="44"/>
  <c r="BN104" i="44"/>
  <c r="BP104" i="44"/>
  <c r="BQ104" i="44"/>
  <c r="BR104" i="44"/>
  <c r="BS104" i="44"/>
  <c r="BT104" i="44"/>
  <c r="BV104" i="44"/>
  <c r="BX104" i="44"/>
  <c r="BW104" i="44"/>
  <c r="BY104" i="44"/>
  <c r="BZ104" i="44"/>
  <c r="CA104" i="44"/>
  <c r="CB104" i="44"/>
  <c r="CC104" i="44"/>
  <c r="CD104" i="44"/>
  <c r="CE104" i="44"/>
  <c r="CG104" i="44"/>
  <c r="CF104" i="44"/>
  <c r="CH104" i="44"/>
  <c r="CI104" i="44"/>
  <c r="CJ104" i="44"/>
  <c r="CK104" i="44"/>
  <c r="CL104" i="44"/>
  <c r="CM104" i="44"/>
  <c r="CN104" i="44"/>
  <c r="CP104" i="44"/>
  <c r="CO104" i="44"/>
  <c r="CQ104" i="44"/>
  <c r="CR104" i="44"/>
  <c r="CS104" i="44"/>
  <c r="CT104" i="44"/>
  <c r="CU104" i="44"/>
  <c r="CV104" i="44"/>
  <c r="CW104" i="44"/>
  <c r="CY104" i="44"/>
  <c r="CX104" i="44"/>
  <c r="CZ104" i="44"/>
  <c r="DA104" i="44"/>
  <c r="DB104" i="44"/>
  <c r="DC104" i="44"/>
  <c r="DD104" i="44"/>
  <c r="DE104" i="44"/>
  <c r="K105" i="44"/>
  <c r="M105" i="44"/>
  <c r="L105" i="44"/>
  <c r="N105" i="44"/>
  <c r="O105" i="44"/>
  <c r="P105" i="44"/>
  <c r="Q105" i="44"/>
  <c r="R105" i="44"/>
  <c r="S105" i="44"/>
  <c r="T105" i="44"/>
  <c r="V105" i="44"/>
  <c r="U105" i="44"/>
  <c r="W105" i="44"/>
  <c r="X105" i="44"/>
  <c r="Y105" i="44"/>
  <c r="Z105" i="44"/>
  <c r="AA105" i="44"/>
  <c r="AB105" i="44"/>
  <c r="AC105" i="44"/>
  <c r="AE105" i="44"/>
  <c r="AD105" i="44"/>
  <c r="AF105" i="44"/>
  <c r="AG105" i="44"/>
  <c r="AH105" i="44"/>
  <c r="AI105" i="44"/>
  <c r="AJ105" i="44"/>
  <c r="AK105" i="44"/>
  <c r="AL105" i="44"/>
  <c r="AN105" i="44"/>
  <c r="AM105" i="44"/>
  <c r="AO105" i="44"/>
  <c r="AP105" i="44"/>
  <c r="AQ105" i="44"/>
  <c r="AR105" i="44"/>
  <c r="AS105" i="44"/>
  <c r="AT105" i="44"/>
  <c r="AU105" i="44"/>
  <c r="AW105" i="44"/>
  <c r="AV105" i="44"/>
  <c r="AX105" i="44"/>
  <c r="AY105" i="44"/>
  <c r="AZ105" i="44"/>
  <c r="BA105" i="44"/>
  <c r="BB105" i="44"/>
  <c r="BC105" i="44"/>
  <c r="BD105" i="44"/>
  <c r="BF105" i="44"/>
  <c r="BE105" i="44"/>
  <c r="BG105" i="44"/>
  <c r="BH105" i="44"/>
  <c r="BI105" i="44"/>
  <c r="BJ105" i="44"/>
  <c r="BK105" i="44"/>
  <c r="BM105" i="44"/>
  <c r="BO105" i="44"/>
  <c r="BN105" i="44"/>
  <c r="BP105" i="44"/>
  <c r="BQ105" i="44"/>
  <c r="BR105" i="44"/>
  <c r="BS105" i="44"/>
  <c r="BT105" i="44"/>
  <c r="BV105" i="44"/>
  <c r="BX105" i="44"/>
  <c r="BW105" i="44"/>
  <c r="BY105" i="44"/>
  <c r="BZ105" i="44"/>
  <c r="CA105" i="44"/>
  <c r="CB105" i="44"/>
  <c r="CC105" i="44"/>
  <c r="CD105" i="44"/>
  <c r="CE105" i="44"/>
  <c r="CG105" i="44"/>
  <c r="CF105" i="44"/>
  <c r="CH105" i="44"/>
  <c r="CI105" i="44"/>
  <c r="CJ105" i="44"/>
  <c r="CK105" i="44"/>
  <c r="CL105" i="44"/>
  <c r="CM105" i="44"/>
  <c r="CN105" i="44"/>
  <c r="CP105" i="44"/>
  <c r="CO105" i="44"/>
  <c r="CQ105" i="44"/>
  <c r="CR105" i="44"/>
  <c r="CS105" i="44"/>
  <c r="CT105" i="44"/>
  <c r="CU105" i="44"/>
  <c r="CV105" i="44"/>
  <c r="CW105" i="44"/>
  <c r="CY105" i="44"/>
  <c r="CX105" i="44"/>
  <c r="CZ105" i="44"/>
  <c r="DA105" i="44"/>
  <c r="DB105" i="44"/>
  <c r="DC105" i="44"/>
  <c r="DD105" i="44"/>
  <c r="DE105" i="44"/>
  <c r="K106" i="44"/>
  <c r="M106" i="44"/>
  <c r="L106" i="44"/>
  <c r="N106" i="44"/>
  <c r="O106" i="44"/>
  <c r="P106" i="44"/>
  <c r="Q106" i="44"/>
  <c r="R106" i="44"/>
  <c r="S106" i="44"/>
  <c r="T106" i="44"/>
  <c r="V106" i="44"/>
  <c r="U106" i="44"/>
  <c r="W106" i="44"/>
  <c r="X106" i="44"/>
  <c r="Y106" i="44"/>
  <c r="Z106" i="44"/>
  <c r="AA106" i="44"/>
  <c r="AB106" i="44"/>
  <c r="AC106" i="44"/>
  <c r="AE106" i="44"/>
  <c r="AD106" i="44"/>
  <c r="AF106" i="44"/>
  <c r="AG106" i="44"/>
  <c r="AH106" i="44"/>
  <c r="AI106" i="44"/>
  <c r="AJ106" i="44"/>
  <c r="AK106" i="44"/>
  <c r="AL106" i="44"/>
  <c r="AN106" i="44"/>
  <c r="AM106" i="44"/>
  <c r="AO106" i="44"/>
  <c r="AP106" i="44"/>
  <c r="AQ106" i="44"/>
  <c r="AR106" i="44"/>
  <c r="AS106" i="44"/>
  <c r="AT106" i="44"/>
  <c r="AU106" i="44"/>
  <c r="AW106" i="44"/>
  <c r="AV106" i="44"/>
  <c r="AX106" i="44"/>
  <c r="AY106" i="44"/>
  <c r="AZ106" i="44"/>
  <c r="BA106" i="44"/>
  <c r="BB106" i="44"/>
  <c r="BC106" i="44"/>
  <c r="BD106" i="44"/>
  <c r="BF106" i="44"/>
  <c r="BE106" i="44"/>
  <c r="BG106" i="44"/>
  <c r="BH106" i="44"/>
  <c r="BI106" i="44"/>
  <c r="BJ106" i="44"/>
  <c r="BK106" i="44"/>
  <c r="BM106" i="44"/>
  <c r="BO106" i="44"/>
  <c r="BN106" i="44"/>
  <c r="BP106" i="44"/>
  <c r="BQ106" i="44"/>
  <c r="BR106" i="44"/>
  <c r="BS106" i="44"/>
  <c r="BT106" i="44"/>
  <c r="BV106" i="44"/>
  <c r="BX106" i="44"/>
  <c r="BW106" i="44"/>
  <c r="BY106" i="44"/>
  <c r="BZ106" i="44"/>
  <c r="CA106" i="44"/>
  <c r="CB106" i="44"/>
  <c r="CC106" i="44"/>
  <c r="CD106" i="44"/>
  <c r="CE106" i="44"/>
  <c r="CG106" i="44"/>
  <c r="CF106" i="44"/>
  <c r="CH106" i="44"/>
  <c r="CI106" i="44"/>
  <c r="CJ106" i="44"/>
  <c r="CK106" i="44"/>
  <c r="CL106" i="44"/>
  <c r="CM106" i="44"/>
  <c r="CN106" i="44"/>
  <c r="CP106" i="44"/>
  <c r="CO106" i="44"/>
  <c r="CQ106" i="44"/>
  <c r="CR106" i="44"/>
  <c r="CS106" i="44"/>
  <c r="CT106" i="44"/>
  <c r="CU106" i="44"/>
  <c r="CV106" i="44"/>
  <c r="CW106" i="44"/>
  <c r="CY106" i="44"/>
  <c r="CX106" i="44"/>
  <c r="CZ106" i="44"/>
  <c r="DA106" i="44"/>
  <c r="DB106" i="44"/>
  <c r="DC106" i="44"/>
  <c r="DD106" i="44"/>
  <c r="DE106" i="44"/>
  <c r="K107" i="44"/>
  <c r="M107" i="44"/>
  <c r="L107" i="44"/>
  <c r="N107" i="44"/>
  <c r="O107" i="44"/>
  <c r="P107" i="44"/>
  <c r="Q107" i="44"/>
  <c r="R107" i="44"/>
  <c r="S107" i="44"/>
  <c r="T107" i="44"/>
  <c r="V107" i="44"/>
  <c r="U107" i="44"/>
  <c r="W107" i="44"/>
  <c r="X107" i="44"/>
  <c r="Y107" i="44"/>
  <c r="Z107" i="44"/>
  <c r="AA107" i="44"/>
  <c r="AB107" i="44"/>
  <c r="AC107" i="44"/>
  <c r="AE107" i="44"/>
  <c r="AD107" i="44"/>
  <c r="AF107" i="44"/>
  <c r="AG107" i="44"/>
  <c r="AH107" i="44"/>
  <c r="AI107" i="44"/>
  <c r="AJ107" i="44"/>
  <c r="AK107" i="44"/>
  <c r="AL107" i="44"/>
  <c r="AN107" i="44"/>
  <c r="AM107" i="44"/>
  <c r="AO107" i="44"/>
  <c r="AP107" i="44"/>
  <c r="AQ107" i="44"/>
  <c r="AR107" i="44"/>
  <c r="AS107" i="44"/>
  <c r="AT107" i="44"/>
  <c r="AU107" i="44"/>
  <c r="AW107" i="44"/>
  <c r="AV107" i="44"/>
  <c r="AX107" i="44"/>
  <c r="AY107" i="44"/>
  <c r="AZ107" i="44"/>
  <c r="BA107" i="44"/>
  <c r="BB107" i="44"/>
  <c r="BC107" i="44"/>
  <c r="BD107" i="44"/>
  <c r="BF107" i="44"/>
  <c r="BE107" i="44"/>
  <c r="BG107" i="44"/>
  <c r="BH107" i="44"/>
  <c r="BI107" i="44"/>
  <c r="BJ107" i="44"/>
  <c r="BK107" i="44"/>
  <c r="BM107" i="44"/>
  <c r="BO107" i="44"/>
  <c r="BN107" i="44"/>
  <c r="BP107" i="44"/>
  <c r="BQ107" i="44"/>
  <c r="BR107" i="44"/>
  <c r="BS107" i="44"/>
  <c r="BT107" i="44"/>
  <c r="BV107" i="44"/>
  <c r="BX107" i="44"/>
  <c r="BW107" i="44"/>
  <c r="BY107" i="44"/>
  <c r="BZ107" i="44"/>
  <c r="CA107" i="44"/>
  <c r="CB107" i="44"/>
  <c r="CC107" i="44"/>
  <c r="CD107" i="44"/>
  <c r="CE107" i="44"/>
  <c r="CG107" i="44"/>
  <c r="CF107" i="44"/>
  <c r="CH107" i="44"/>
  <c r="CI107" i="44"/>
  <c r="CJ107" i="44"/>
  <c r="CK107" i="44"/>
  <c r="CL107" i="44"/>
  <c r="CM107" i="44"/>
  <c r="CN107" i="44"/>
  <c r="CP107" i="44"/>
  <c r="CO107" i="44"/>
  <c r="CQ107" i="44"/>
  <c r="CR107" i="44"/>
  <c r="CS107" i="44"/>
  <c r="CT107" i="44"/>
  <c r="CU107" i="44"/>
  <c r="CV107" i="44"/>
  <c r="CW107" i="44"/>
  <c r="CY107" i="44"/>
  <c r="CX107" i="44"/>
  <c r="CZ107" i="44"/>
  <c r="DA107" i="44"/>
  <c r="DB107" i="44"/>
  <c r="DC107" i="44"/>
  <c r="DD107" i="44"/>
  <c r="DE107" i="44"/>
  <c r="K108" i="44"/>
  <c r="M108" i="44"/>
  <c r="L108" i="44"/>
  <c r="N108" i="44"/>
  <c r="O108" i="44"/>
  <c r="P108" i="44"/>
  <c r="Q108" i="44"/>
  <c r="R108" i="44"/>
  <c r="T108" i="44"/>
  <c r="V108" i="44"/>
  <c r="U108" i="44"/>
  <c r="W108" i="44"/>
  <c r="X108" i="44"/>
  <c r="Y108" i="44"/>
  <c r="Z108" i="44"/>
  <c r="AA108" i="44"/>
  <c r="AB108" i="44"/>
  <c r="AC108" i="44"/>
  <c r="AE108" i="44"/>
  <c r="AD108" i="44"/>
  <c r="AF108" i="44"/>
  <c r="AG108" i="44"/>
  <c r="AH108" i="44"/>
  <c r="AI108" i="44"/>
  <c r="AJ108" i="44"/>
  <c r="AK108" i="44"/>
  <c r="AL108" i="44"/>
  <c r="AN108" i="44"/>
  <c r="AM108" i="44"/>
  <c r="AO108" i="44"/>
  <c r="AP108" i="44"/>
  <c r="AQ108" i="44"/>
  <c r="AR108" i="44"/>
  <c r="AS108" i="44"/>
  <c r="AT108" i="44"/>
  <c r="AU108" i="44"/>
  <c r="AW108" i="44"/>
  <c r="AV108" i="44"/>
  <c r="AX108" i="44"/>
  <c r="AY108" i="44"/>
  <c r="AZ108" i="44"/>
  <c r="BA108" i="44"/>
  <c r="BB108" i="44"/>
  <c r="BC108" i="44"/>
  <c r="BD108" i="44"/>
  <c r="BF108" i="44"/>
  <c r="BE108" i="44"/>
  <c r="BG108" i="44"/>
  <c r="BH108" i="44"/>
  <c r="BI108" i="44"/>
  <c r="BJ108" i="44"/>
  <c r="BK108" i="44"/>
  <c r="BM108" i="44"/>
  <c r="BO108" i="44"/>
  <c r="BN108" i="44"/>
  <c r="BP108" i="44"/>
  <c r="BQ108" i="44"/>
  <c r="BR108" i="44"/>
  <c r="BS108" i="44"/>
  <c r="BT108" i="44"/>
  <c r="BV108" i="44"/>
  <c r="BX108" i="44"/>
  <c r="BW108" i="44"/>
  <c r="BY108" i="44"/>
  <c r="BZ108" i="44"/>
  <c r="CA108" i="44"/>
  <c r="CB108" i="44"/>
  <c r="CC108" i="44"/>
  <c r="CD108" i="44"/>
  <c r="CE108" i="44"/>
  <c r="CG108" i="44"/>
  <c r="CF108" i="44"/>
  <c r="CH108" i="44"/>
  <c r="CI108" i="44"/>
  <c r="CJ108" i="44"/>
  <c r="CK108" i="44"/>
  <c r="CL108" i="44"/>
  <c r="CM108" i="44"/>
  <c r="CN108" i="44"/>
  <c r="CP108" i="44"/>
  <c r="CO108" i="44"/>
  <c r="CQ108" i="44"/>
  <c r="CR108" i="44"/>
  <c r="CS108" i="44"/>
  <c r="CT108" i="44"/>
  <c r="CU108" i="44"/>
  <c r="CV108" i="44"/>
  <c r="CW108" i="44"/>
  <c r="CY108" i="44"/>
  <c r="CX108" i="44"/>
  <c r="CZ108" i="44"/>
  <c r="DA108" i="44"/>
  <c r="DB108" i="44"/>
  <c r="DC108" i="44"/>
  <c r="DD108" i="44"/>
  <c r="DE108" i="44"/>
  <c r="L6" i="43"/>
  <c r="M6" i="43"/>
  <c r="R6" i="43"/>
  <c r="S6" i="43"/>
  <c r="X6" i="43"/>
  <c r="Y6" i="43"/>
  <c r="AD6" i="43"/>
  <c r="AE6" i="43"/>
  <c r="AJ6" i="43"/>
  <c r="AK6" i="43"/>
  <c r="AP6" i="43"/>
  <c r="AQ6" i="43"/>
  <c r="AV6" i="43"/>
  <c r="AW6" i="43"/>
  <c r="BB6" i="43"/>
  <c r="BC6" i="43"/>
  <c r="BH6" i="43"/>
  <c r="BI6" i="43"/>
  <c r="BN6" i="43"/>
  <c r="BO6" i="43"/>
  <c r="BT6" i="43"/>
  <c r="BU6" i="43"/>
  <c r="L7" i="43"/>
  <c r="M7" i="43"/>
  <c r="R7" i="43"/>
  <c r="S7" i="43"/>
  <c r="X7" i="43"/>
  <c r="Y7" i="43"/>
  <c r="AD7" i="43"/>
  <c r="AE7" i="43"/>
  <c r="AJ7" i="43"/>
  <c r="AK7" i="43"/>
  <c r="AP7" i="43"/>
  <c r="AQ7" i="43"/>
  <c r="AV7" i="43"/>
  <c r="AW7" i="43"/>
  <c r="BB7" i="43"/>
  <c r="BC7" i="43"/>
  <c r="BH7" i="43"/>
  <c r="BI7" i="43"/>
  <c r="BN7" i="43"/>
  <c r="BO7" i="43"/>
  <c r="BT7" i="43"/>
  <c r="BU7" i="43"/>
  <c r="L8" i="43"/>
  <c r="M8" i="43"/>
  <c r="R8" i="43"/>
  <c r="S8" i="43"/>
  <c r="X8" i="43"/>
  <c r="Y8" i="43"/>
  <c r="AD8" i="43"/>
  <c r="AE8" i="43"/>
  <c r="AJ8" i="43"/>
  <c r="AK8" i="43"/>
  <c r="AP8" i="43"/>
  <c r="AQ8" i="43"/>
  <c r="AV8" i="43"/>
  <c r="AW8" i="43"/>
  <c r="BB8" i="43"/>
  <c r="BC8" i="43"/>
  <c r="BH8" i="43"/>
  <c r="BI8" i="43"/>
  <c r="BN8" i="43"/>
  <c r="BO8" i="43"/>
  <c r="BT8" i="43"/>
  <c r="BU8" i="43"/>
  <c r="L9" i="43"/>
  <c r="M9" i="43"/>
  <c r="R9" i="43"/>
  <c r="S9" i="43"/>
  <c r="X9" i="43"/>
  <c r="Y9" i="43"/>
  <c r="AD9" i="43"/>
  <c r="AE9" i="43"/>
  <c r="AJ9" i="43"/>
  <c r="AK9" i="43"/>
  <c r="AP9" i="43"/>
  <c r="AQ9" i="43"/>
  <c r="AV9" i="43"/>
  <c r="AW9" i="43"/>
  <c r="BB9" i="43"/>
  <c r="BC9" i="43"/>
  <c r="BH9" i="43"/>
  <c r="BI9" i="43"/>
  <c r="BN9" i="43"/>
  <c r="BO9" i="43"/>
  <c r="BT9" i="43"/>
  <c r="BU9" i="43"/>
  <c r="L10" i="43"/>
  <c r="M10" i="43"/>
  <c r="R10" i="43"/>
  <c r="S10" i="43"/>
  <c r="X10" i="43"/>
  <c r="Y10" i="43"/>
  <c r="AD10" i="43"/>
  <c r="AE10" i="43"/>
  <c r="AJ10" i="43"/>
  <c r="AK10" i="43"/>
  <c r="AP10" i="43"/>
  <c r="AQ10" i="43"/>
  <c r="AV10" i="43"/>
  <c r="AW10" i="43"/>
  <c r="BB10" i="43"/>
  <c r="BC10" i="43"/>
  <c r="BH10" i="43"/>
  <c r="BI10" i="43"/>
  <c r="BN10" i="43"/>
  <c r="BO10" i="43"/>
  <c r="BT10" i="43"/>
  <c r="BU10" i="43"/>
  <c r="L11" i="43"/>
  <c r="M11" i="43"/>
  <c r="R11" i="43"/>
  <c r="S11" i="43"/>
  <c r="X11" i="43"/>
  <c r="Y11" i="43"/>
  <c r="AD11" i="43"/>
  <c r="AE11" i="43"/>
  <c r="AJ11" i="43"/>
  <c r="AK11" i="43"/>
  <c r="AP11" i="43"/>
  <c r="AQ11" i="43"/>
  <c r="AV11" i="43"/>
  <c r="AW11" i="43"/>
  <c r="BB11" i="43"/>
  <c r="BC11" i="43"/>
  <c r="BH11" i="43"/>
  <c r="BI11" i="43"/>
  <c r="BN11" i="43"/>
  <c r="BO11" i="43"/>
  <c r="BT11" i="43"/>
  <c r="BU11" i="43"/>
  <c r="L12" i="43"/>
  <c r="M12" i="43"/>
  <c r="R12" i="43"/>
  <c r="S12" i="43"/>
  <c r="X12" i="43"/>
  <c r="Y12" i="43"/>
  <c r="AD12" i="43"/>
  <c r="AE12" i="43"/>
  <c r="AJ12" i="43"/>
  <c r="AK12" i="43"/>
  <c r="AP12" i="43"/>
  <c r="AQ12" i="43"/>
  <c r="AV12" i="43"/>
  <c r="AW12" i="43"/>
  <c r="BB12" i="43"/>
  <c r="BC12" i="43"/>
  <c r="BH12" i="43"/>
  <c r="BI12" i="43"/>
  <c r="BN12" i="43"/>
  <c r="BO12" i="43"/>
  <c r="BT12" i="43"/>
  <c r="BU12" i="43"/>
  <c r="L13" i="43"/>
  <c r="M13" i="43"/>
  <c r="R13" i="43"/>
  <c r="S13" i="43"/>
  <c r="X13" i="43"/>
  <c r="Y13" i="43"/>
  <c r="AD13" i="43"/>
  <c r="AE13" i="43"/>
  <c r="AJ13" i="43"/>
  <c r="AK13" i="43"/>
  <c r="AP13" i="43"/>
  <c r="AQ13" i="43"/>
  <c r="AV13" i="43"/>
  <c r="AW13" i="43"/>
  <c r="BB13" i="43"/>
  <c r="BC13" i="43"/>
  <c r="BH13" i="43"/>
  <c r="BI13" i="43"/>
  <c r="BN13" i="43"/>
  <c r="BO13" i="43"/>
  <c r="BT13" i="43"/>
  <c r="BU13" i="43"/>
  <c r="L14" i="43"/>
  <c r="M14" i="43"/>
  <c r="R14" i="43"/>
  <c r="S14" i="43"/>
  <c r="X14" i="43"/>
  <c r="Y14" i="43"/>
  <c r="AD14" i="43"/>
  <c r="AE14" i="43"/>
  <c r="AJ14" i="43"/>
  <c r="AK14" i="43"/>
  <c r="AP14" i="43"/>
  <c r="AQ14" i="43"/>
  <c r="AV14" i="43"/>
  <c r="AW14" i="43"/>
  <c r="BB14" i="43"/>
  <c r="BC14" i="43"/>
  <c r="BH14" i="43"/>
  <c r="BI14" i="43"/>
  <c r="BN14" i="43"/>
  <c r="BO14" i="43"/>
  <c r="BT14" i="43"/>
  <c r="BU14" i="43"/>
  <c r="L15" i="43"/>
  <c r="M15" i="43"/>
  <c r="R15" i="43"/>
  <c r="S15" i="43"/>
  <c r="X15" i="43"/>
  <c r="Y15" i="43"/>
  <c r="AD15" i="43"/>
  <c r="AE15" i="43"/>
  <c r="AJ15" i="43"/>
  <c r="AK15" i="43"/>
  <c r="AP15" i="43"/>
  <c r="AQ15" i="43"/>
  <c r="AV15" i="43"/>
  <c r="AW15" i="43"/>
  <c r="BB15" i="43"/>
  <c r="BC15" i="43"/>
  <c r="BH15" i="43"/>
  <c r="BI15" i="43"/>
  <c r="BN15" i="43"/>
  <c r="BO15" i="43"/>
  <c r="BT15" i="43"/>
  <c r="BU15" i="43"/>
  <c r="L16" i="43"/>
  <c r="M16" i="43"/>
  <c r="R16" i="43"/>
  <c r="S16" i="43"/>
  <c r="X16" i="43"/>
  <c r="Y16" i="43"/>
  <c r="AD16" i="43"/>
  <c r="AE16" i="43"/>
  <c r="AJ16" i="43"/>
  <c r="AK16" i="43"/>
  <c r="AP16" i="43"/>
  <c r="AQ16" i="43"/>
  <c r="AV16" i="43"/>
  <c r="AW16" i="43"/>
  <c r="BB16" i="43"/>
  <c r="BC16" i="43"/>
  <c r="BH16" i="43"/>
  <c r="BI16" i="43"/>
  <c r="BN16" i="43"/>
  <c r="BO16" i="43"/>
  <c r="BT16" i="43"/>
  <c r="BU16" i="43"/>
  <c r="L17" i="43"/>
  <c r="M17" i="43"/>
  <c r="R17" i="43"/>
  <c r="S17" i="43"/>
  <c r="X17" i="43"/>
  <c r="Y17" i="43"/>
  <c r="AD17" i="43"/>
  <c r="AE17" i="43"/>
  <c r="AJ17" i="43"/>
  <c r="AK17" i="43"/>
  <c r="AP17" i="43"/>
  <c r="AQ17" i="43"/>
  <c r="AV17" i="43"/>
  <c r="AW17" i="43"/>
  <c r="BB17" i="43"/>
  <c r="BC17" i="43"/>
  <c r="BH17" i="43"/>
  <c r="BI17" i="43"/>
  <c r="BN17" i="43"/>
  <c r="BO17" i="43"/>
  <c r="BT17" i="43"/>
  <c r="BU17" i="43"/>
  <c r="L18" i="43"/>
  <c r="M18" i="43"/>
  <c r="R18" i="43"/>
  <c r="S18" i="43"/>
  <c r="X18" i="43"/>
  <c r="Y18" i="43"/>
  <c r="AD18" i="43"/>
  <c r="AE18" i="43"/>
  <c r="AJ18" i="43"/>
  <c r="AK18" i="43"/>
  <c r="AP18" i="43"/>
  <c r="AQ18" i="43"/>
  <c r="AV18" i="43"/>
  <c r="AW18" i="43"/>
  <c r="BB18" i="43"/>
  <c r="BC18" i="43"/>
  <c r="BH18" i="43"/>
  <c r="BI18" i="43"/>
  <c r="BN18" i="43"/>
  <c r="BO18" i="43"/>
  <c r="BT18" i="43"/>
  <c r="BU18" i="43"/>
  <c r="L19" i="43"/>
  <c r="M19" i="43"/>
  <c r="R19" i="43"/>
  <c r="S19" i="43"/>
  <c r="X19" i="43"/>
  <c r="Y19" i="43"/>
  <c r="AD19" i="43"/>
  <c r="AE19" i="43"/>
  <c r="AJ19" i="43"/>
  <c r="AK19" i="43"/>
  <c r="AP19" i="43"/>
  <c r="AQ19" i="43"/>
  <c r="AV19" i="43"/>
  <c r="AW19" i="43"/>
  <c r="BB19" i="43"/>
  <c r="BC19" i="43"/>
  <c r="BH19" i="43"/>
  <c r="BI19" i="43"/>
  <c r="BN19" i="43"/>
  <c r="BO19" i="43"/>
  <c r="BT19" i="43"/>
  <c r="BU19" i="43"/>
  <c r="L20" i="43"/>
  <c r="M20" i="43"/>
  <c r="R20" i="43"/>
  <c r="S20" i="43"/>
  <c r="X20" i="43"/>
  <c r="Y20" i="43"/>
  <c r="AD20" i="43"/>
  <c r="AE20" i="43"/>
  <c r="AJ20" i="43"/>
  <c r="AK20" i="43"/>
  <c r="AP20" i="43"/>
  <c r="AQ20" i="43"/>
  <c r="AV20" i="43"/>
  <c r="AW20" i="43"/>
  <c r="BB20" i="43"/>
  <c r="BC20" i="43"/>
  <c r="BH20" i="43"/>
  <c r="BI20" i="43"/>
  <c r="BN20" i="43"/>
  <c r="BO20" i="43"/>
  <c r="BT20" i="43"/>
  <c r="BU20" i="43"/>
  <c r="L21" i="43"/>
  <c r="M21" i="43"/>
  <c r="R21" i="43"/>
  <c r="S21" i="43"/>
  <c r="X21" i="43"/>
  <c r="Y21" i="43"/>
  <c r="AD21" i="43"/>
  <c r="AE21" i="43"/>
  <c r="AJ21" i="43"/>
  <c r="AK21" i="43"/>
  <c r="AP21" i="43"/>
  <c r="AQ21" i="43"/>
  <c r="AV21" i="43"/>
  <c r="AW21" i="43"/>
  <c r="BB21" i="43"/>
  <c r="BC21" i="43"/>
  <c r="BH21" i="43"/>
  <c r="BI21" i="43"/>
  <c r="BN21" i="43"/>
  <c r="BO21" i="43"/>
  <c r="BT21" i="43"/>
  <c r="BU21" i="43"/>
  <c r="L22" i="43"/>
  <c r="M22" i="43"/>
  <c r="R22" i="43"/>
  <c r="S22" i="43"/>
  <c r="X22" i="43"/>
  <c r="Y22" i="43"/>
  <c r="AD22" i="43"/>
  <c r="AE22" i="43"/>
  <c r="AJ22" i="43"/>
  <c r="AK22" i="43"/>
  <c r="AP22" i="43"/>
  <c r="AQ22" i="43"/>
  <c r="AV22" i="43"/>
  <c r="AW22" i="43"/>
  <c r="BB22" i="43"/>
  <c r="BC22" i="43"/>
  <c r="BH22" i="43"/>
  <c r="BI22" i="43"/>
  <c r="BN22" i="43"/>
  <c r="BO22" i="43"/>
  <c r="BT22" i="43"/>
  <c r="BU22" i="43"/>
  <c r="L23" i="43"/>
  <c r="M23" i="43"/>
  <c r="R23" i="43"/>
  <c r="S23" i="43"/>
  <c r="X23" i="43"/>
  <c r="Y23" i="43"/>
  <c r="AD23" i="43"/>
  <c r="AE23" i="43"/>
  <c r="AJ23" i="43"/>
  <c r="AK23" i="43"/>
  <c r="AP23" i="43"/>
  <c r="AQ23" i="43"/>
  <c r="AV23" i="43"/>
  <c r="AW23" i="43"/>
  <c r="BB23" i="43"/>
  <c r="BC23" i="43"/>
  <c r="BH23" i="43"/>
  <c r="BI23" i="43"/>
  <c r="BN23" i="43"/>
  <c r="BO23" i="43"/>
  <c r="BT23" i="43"/>
  <c r="BU23" i="43"/>
  <c r="G3" i="49"/>
  <c r="B5" i="49"/>
  <c r="C5" i="49"/>
  <c r="B6" i="49"/>
  <c r="C6" i="49"/>
  <c r="B7" i="49"/>
  <c r="C7" i="49"/>
  <c r="B8" i="49"/>
  <c r="C8" i="49"/>
  <c r="B9" i="49"/>
  <c r="C9" i="49"/>
  <c r="B10" i="49"/>
  <c r="C10" i="49"/>
  <c r="B11" i="49"/>
  <c r="C11" i="49"/>
  <c r="B12" i="49"/>
  <c r="C12" i="49"/>
  <c r="B13" i="49"/>
  <c r="C13" i="49"/>
  <c r="B14" i="49"/>
  <c r="C14" i="49"/>
  <c r="B15" i="49"/>
  <c r="C15" i="49"/>
  <c r="B16" i="49"/>
  <c r="C16" i="49"/>
  <c r="B17" i="49"/>
  <c r="C17" i="49"/>
  <c r="B18" i="49"/>
  <c r="C18" i="49"/>
  <c r="B19" i="49"/>
  <c r="C19" i="49"/>
  <c r="B20" i="49"/>
  <c r="C20" i="49"/>
  <c r="B21" i="49"/>
  <c r="C21" i="49"/>
  <c r="B22" i="49"/>
  <c r="C22" i="49"/>
  <c r="B23" i="49"/>
  <c r="C23" i="49"/>
  <c r="B24" i="49"/>
  <c r="B4" i="46"/>
  <c r="F4" i="46"/>
  <c r="B5" i="46"/>
  <c r="F5" i="46"/>
  <c r="B6" i="46"/>
  <c r="F6" i="46"/>
  <c r="B7" i="46"/>
  <c r="F7" i="46"/>
  <c r="B8" i="46"/>
  <c r="F8" i="46"/>
  <c r="B9" i="46"/>
  <c r="F9" i="46"/>
  <c r="B10" i="46"/>
  <c r="F10" i="46"/>
  <c r="B11" i="46"/>
  <c r="F11" i="46"/>
  <c r="B12" i="46"/>
  <c r="F12" i="46"/>
  <c r="B13" i="46"/>
  <c r="F13" i="46"/>
  <c r="B14" i="46"/>
  <c r="F14" i="46"/>
  <c r="B15" i="46"/>
  <c r="F15" i="46"/>
  <c r="B16" i="46"/>
  <c r="F16" i="46"/>
  <c r="B17" i="46"/>
  <c r="F17" i="46"/>
  <c r="B18" i="46"/>
  <c r="F18" i="46"/>
  <c r="B19" i="46"/>
  <c r="F19" i="46"/>
  <c r="B20" i="46"/>
  <c r="F20" i="46"/>
  <c r="B21" i="46"/>
  <c r="F21" i="46"/>
  <c r="B22" i="46"/>
  <c r="F22" i="46"/>
  <c r="B23" i="46"/>
  <c r="F23" i="46"/>
  <c r="B24" i="46"/>
  <c r="F24" i="46"/>
  <c r="B25" i="46"/>
  <c r="F25" i="46"/>
  <c r="B26" i="46"/>
  <c r="F26" i="46"/>
  <c r="B27" i="46"/>
  <c r="F27" i="46"/>
  <c r="B28" i="46"/>
  <c r="F28" i="46"/>
  <c r="B29" i="46"/>
  <c r="F29" i="46"/>
  <c r="B30" i="46"/>
  <c r="F30" i="46"/>
  <c r="B31" i="46"/>
  <c r="F31" i="46"/>
  <c r="B32" i="46"/>
  <c r="F32" i="46"/>
  <c r="B33" i="46"/>
  <c r="F33" i="46"/>
  <c r="B34" i="46"/>
  <c r="F34" i="46"/>
  <c r="B35" i="46"/>
  <c r="F35" i="46"/>
  <c r="B36" i="46"/>
  <c r="F36" i="46"/>
  <c r="B37" i="46"/>
  <c r="F37" i="46"/>
  <c r="B38" i="46"/>
  <c r="F38" i="46"/>
  <c r="B39" i="46"/>
  <c r="F39" i="46"/>
  <c r="B40" i="46"/>
  <c r="F40" i="46"/>
  <c r="B41" i="46"/>
  <c r="F41" i="46"/>
  <c r="B42" i="46"/>
  <c r="F42" i="46"/>
  <c r="B43" i="46"/>
  <c r="F43" i="46"/>
  <c r="B44" i="46"/>
  <c r="F44" i="46"/>
  <c r="B45" i="46"/>
  <c r="F45" i="46"/>
  <c r="B46" i="46"/>
  <c r="F46" i="46"/>
  <c r="B47" i="46"/>
  <c r="F47" i="46"/>
  <c r="B48" i="46"/>
  <c r="F48" i="46"/>
  <c r="B49" i="46"/>
  <c r="F49" i="46"/>
  <c r="B50" i="46"/>
  <c r="F50" i="46"/>
  <c r="B51" i="46"/>
  <c r="F51" i="46"/>
  <c r="B52" i="46"/>
  <c r="F52" i="46"/>
  <c r="B53" i="46"/>
  <c r="F53" i="46"/>
  <c r="B54" i="46"/>
  <c r="F54" i="46"/>
  <c r="B55" i="46"/>
  <c r="F55" i="46"/>
  <c r="B56" i="46"/>
  <c r="F56" i="46"/>
  <c r="B57" i="46"/>
  <c r="F57" i="46"/>
  <c r="B58" i="46"/>
  <c r="F58" i="46"/>
  <c r="B59" i="46"/>
  <c r="F59" i="46"/>
  <c r="B60" i="46"/>
  <c r="F60" i="46"/>
  <c r="B61" i="46"/>
  <c r="F61" i="46"/>
  <c r="B62" i="46"/>
  <c r="F62" i="46"/>
  <c r="B63" i="46"/>
  <c r="F63" i="46"/>
  <c r="B64" i="46"/>
  <c r="F64" i="46"/>
  <c r="B65" i="46"/>
  <c r="F65" i="46"/>
  <c r="B66" i="46"/>
  <c r="F66" i="46"/>
  <c r="B67" i="46"/>
  <c r="F67" i="46"/>
  <c r="B68" i="46"/>
  <c r="F68" i="46"/>
  <c r="B69" i="46"/>
  <c r="F69" i="46"/>
  <c r="B70" i="46"/>
  <c r="F70" i="46"/>
  <c r="B71" i="46"/>
  <c r="F71" i="46"/>
  <c r="B72" i="46"/>
  <c r="F72" i="46"/>
  <c r="B73" i="46"/>
  <c r="F73" i="46"/>
  <c r="B74" i="46"/>
  <c r="F74" i="46"/>
  <c r="B75" i="46"/>
  <c r="F75" i="46"/>
  <c r="B76" i="46"/>
  <c r="F76" i="46"/>
  <c r="B77" i="46"/>
  <c r="F77" i="46"/>
  <c r="B78" i="46"/>
  <c r="F78" i="46"/>
  <c r="B79" i="46"/>
  <c r="F79" i="46"/>
  <c r="B80" i="46"/>
  <c r="F80" i="46"/>
  <c r="B81" i="46"/>
  <c r="F81" i="46"/>
  <c r="B82" i="46"/>
  <c r="F82" i="46"/>
  <c r="B83" i="46"/>
  <c r="F83" i="46"/>
  <c r="B84" i="46"/>
  <c r="F84" i="46"/>
  <c r="B85" i="46"/>
  <c r="F85" i="46"/>
  <c r="B86" i="46"/>
  <c r="F86" i="46"/>
  <c r="B87" i="46"/>
  <c r="F87" i="46"/>
  <c r="B88" i="46"/>
  <c r="F88" i="46"/>
  <c r="B89" i="46"/>
  <c r="F89" i="46"/>
  <c r="B90" i="46"/>
  <c r="F90" i="46"/>
  <c r="B91" i="46"/>
  <c r="F91" i="46"/>
  <c r="B92" i="46"/>
  <c r="F92" i="46"/>
  <c r="B93" i="46"/>
  <c r="F93" i="46"/>
  <c r="B94" i="46"/>
  <c r="F94" i="46"/>
  <c r="B95" i="46"/>
  <c r="F95" i="46"/>
  <c r="B96" i="46"/>
  <c r="F96" i="46"/>
  <c r="B97" i="46"/>
  <c r="F97" i="46"/>
  <c r="B98" i="46"/>
  <c r="F98" i="46"/>
  <c r="B99" i="46"/>
  <c r="F99" i="46"/>
  <c r="B100" i="46"/>
  <c r="F100" i="46"/>
  <c r="B101" i="46"/>
  <c r="F101" i="46"/>
  <c r="B102" i="46"/>
  <c r="F102" i="46"/>
  <c r="B103" i="46"/>
  <c r="F103" i="46"/>
  <c r="B104" i="46"/>
  <c r="F104" i="46"/>
  <c r="B105" i="46"/>
  <c r="F105" i="46"/>
  <c r="B106" i="46"/>
  <c r="F106" i="46"/>
  <c r="B107" i="46"/>
  <c r="F107" i="46"/>
  <c r="B108" i="46"/>
  <c r="F108" i="46"/>
  <c r="B109" i="46"/>
  <c r="F109" i="46"/>
  <c r="B163" i="46"/>
  <c r="F163" i="46"/>
  <c r="B164" i="46"/>
  <c r="F164" i="46"/>
  <c r="B165" i="46"/>
  <c r="F165" i="46"/>
  <c r="B166" i="46"/>
  <c r="F166" i="46"/>
  <c r="B167" i="46"/>
  <c r="F167" i="46"/>
  <c r="B168" i="46"/>
  <c r="F168" i="46"/>
  <c r="B169" i="46"/>
  <c r="F169" i="46"/>
  <c r="B170" i="46"/>
  <c r="F170" i="46"/>
  <c r="B171" i="46"/>
  <c r="F171" i="46"/>
  <c r="B172" i="46"/>
  <c r="F172" i="46"/>
  <c r="B173" i="46"/>
  <c r="F173" i="46"/>
  <c r="B174" i="46"/>
  <c r="F174" i="46"/>
  <c r="B175" i="46"/>
  <c r="F175" i="46"/>
  <c r="B176" i="46"/>
  <c r="F176" i="46"/>
  <c r="B177" i="46"/>
  <c r="F177" i="46"/>
  <c r="B178" i="46"/>
  <c r="F178" i="46"/>
  <c r="B179" i="46"/>
  <c r="F179" i="46"/>
  <c r="B180" i="46"/>
  <c r="F180" i="46"/>
  <c r="B181" i="46"/>
  <c r="F181" i="46"/>
  <c r="B182" i="46"/>
  <c r="F182" i="46"/>
  <c r="B183" i="46"/>
  <c r="F183" i="46"/>
  <c r="B184" i="46"/>
  <c r="F184" i="46"/>
  <c r="B185" i="46"/>
  <c r="F185" i="46"/>
  <c r="B186" i="46"/>
  <c r="F186" i="46"/>
  <c r="B187" i="46"/>
  <c r="F187" i="46"/>
  <c r="B188" i="46"/>
  <c r="F188" i="46"/>
  <c r="B189" i="46"/>
  <c r="F189" i="46"/>
  <c r="B190" i="46"/>
  <c r="F190" i="46"/>
  <c r="B191" i="46"/>
  <c r="F191" i="46"/>
  <c r="B192" i="46"/>
  <c r="F192" i="46"/>
  <c r="B193" i="46"/>
  <c r="F193" i="46"/>
  <c r="B194" i="46"/>
  <c r="F194" i="46"/>
  <c r="B195" i="46"/>
  <c r="F195" i="46"/>
  <c r="B196" i="46"/>
  <c r="F196" i="46"/>
  <c r="B197" i="46"/>
  <c r="F197" i="46"/>
  <c r="B198" i="46"/>
  <c r="F198" i="46"/>
  <c r="B199" i="46"/>
  <c r="F199" i="46"/>
  <c r="B200" i="46"/>
  <c r="F200" i="46"/>
  <c r="B201" i="46"/>
  <c r="F201" i="46"/>
  <c r="B202" i="46"/>
  <c r="F202" i="46"/>
  <c r="B203" i="46"/>
  <c r="F203" i="46"/>
  <c r="B204" i="46"/>
  <c r="F204" i="46"/>
  <c r="B205" i="46"/>
  <c r="F205" i="46"/>
  <c r="B206" i="46"/>
  <c r="F206" i="46"/>
  <c r="B207" i="46"/>
  <c r="F207" i="46"/>
  <c r="B208" i="46"/>
  <c r="F208" i="46"/>
  <c r="B209" i="46"/>
  <c r="F209" i="46"/>
  <c r="B210" i="46"/>
  <c r="F210" i="46"/>
  <c r="B211" i="46"/>
  <c r="F211" i="46"/>
  <c r="B212" i="46"/>
  <c r="F212" i="46"/>
  <c r="B213" i="46"/>
  <c r="F213" i="46"/>
  <c r="B214" i="46"/>
  <c r="F214" i="46"/>
  <c r="B215" i="46"/>
  <c r="F215" i="46"/>
  <c r="K24" i="49"/>
  <c r="J24" i="49"/>
  <c r="N24" i="49"/>
  <c r="F24" i="49"/>
  <c r="C24" i="49"/>
  <c r="B25" i="49"/>
  <c r="K25" i="49"/>
  <c r="J25" i="49"/>
  <c r="N25" i="49"/>
  <c r="F25" i="49"/>
  <c r="C25" i="49"/>
  <c r="B26" i="49"/>
  <c r="K26" i="49"/>
  <c r="J26" i="49"/>
  <c r="N26" i="49"/>
  <c r="F26" i="49"/>
  <c r="K23" i="49"/>
  <c r="J23" i="49"/>
  <c r="N23" i="49"/>
  <c r="F23" i="49"/>
  <c r="N2" i="49"/>
  <c r="M2" i="49"/>
  <c r="K2" i="49"/>
  <c r="D3" i="49"/>
  <c r="D2" i="49"/>
  <c r="G2" i="49"/>
  <c r="AL3" i="43"/>
  <c r="T3" i="43"/>
  <c r="N3" i="43"/>
  <c r="H3" i="43"/>
  <c r="O6" i="26"/>
  <c r="K6" i="3"/>
  <c r="E5" i="48"/>
  <c r="G5" i="48"/>
  <c r="P6" i="26"/>
  <c r="M6" i="3"/>
  <c r="F5" i="48"/>
  <c r="H5" i="48"/>
  <c r="P7" i="26"/>
  <c r="M7" i="3"/>
  <c r="F6" i="48"/>
  <c r="H6" i="48"/>
  <c r="P8" i="26"/>
  <c r="M8" i="3"/>
  <c r="F7" i="48"/>
  <c r="H7" i="48"/>
  <c r="P9" i="26"/>
  <c r="M9" i="3"/>
  <c r="F8" i="48"/>
  <c r="H8" i="48"/>
  <c r="P10" i="26"/>
  <c r="M10" i="3"/>
  <c r="F9" i="48"/>
  <c r="H9" i="48"/>
  <c r="P11" i="26"/>
  <c r="M11" i="3"/>
  <c r="F10" i="48"/>
  <c r="H10" i="48"/>
  <c r="P12" i="26"/>
  <c r="M12" i="3"/>
  <c r="F11" i="48"/>
  <c r="H11" i="48"/>
  <c r="P13" i="26"/>
  <c r="M13" i="3"/>
  <c r="F12" i="48"/>
  <c r="H12" i="48"/>
  <c r="P14" i="26"/>
  <c r="M14" i="3"/>
  <c r="F13" i="48"/>
  <c r="H13" i="48"/>
  <c r="P15" i="26"/>
  <c r="M15" i="3"/>
  <c r="F14" i="48"/>
  <c r="H14" i="48"/>
  <c r="P16" i="26"/>
  <c r="M16" i="3"/>
  <c r="F15" i="48"/>
  <c r="H15" i="48"/>
  <c r="P17" i="26"/>
  <c r="M17" i="3"/>
  <c r="F16" i="48"/>
  <c r="H16" i="48"/>
  <c r="P18" i="26"/>
  <c r="M18" i="3"/>
  <c r="F17" i="48"/>
  <c r="H17" i="48"/>
  <c r="P19" i="26"/>
  <c r="M19" i="3"/>
  <c r="F18" i="48"/>
  <c r="H18" i="48"/>
  <c r="P20" i="26"/>
  <c r="M20" i="3"/>
  <c r="F19" i="48"/>
  <c r="H19" i="48"/>
  <c r="P21" i="26"/>
  <c r="M21" i="3"/>
  <c r="F20" i="48"/>
  <c r="H20" i="48"/>
  <c r="P22" i="26"/>
  <c r="M22" i="3"/>
  <c r="F21" i="48"/>
  <c r="H21" i="48"/>
  <c r="P23" i="26"/>
  <c r="M23" i="3"/>
  <c r="F22" i="48"/>
  <c r="H22" i="48"/>
  <c r="O7" i="26"/>
  <c r="K7" i="3"/>
  <c r="E6" i="48"/>
  <c r="G6" i="48"/>
  <c r="O8" i="26"/>
  <c r="K8" i="3"/>
  <c r="E7" i="48"/>
  <c r="G7" i="48"/>
  <c r="O9" i="26"/>
  <c r="K9" i="3"/>
  <c r="E8" i="48"/>
  <c r="G8" i="48"/>
  <c r="O10" i="26"/>
  <c r="K10" i="3"/>
  <c r="E9" i="48"/>
  <c r="G9" i="48"/>
  <c r="O11" i="26"/>
  <c r="K11" i="3"/>
  <c r="E10" i="48"/>
  <c r="G10" i="48"/>
  <c r="O12" i="26"/>
  <c r="K12" i="3"/>
  <c r="E11" i="48"/>
  <c r="G11" i="48"/>
  <c r="O13" i="26"/>
  <c r="K13" i="3"/>
  <c r="E12" i="48"/>
  <c r="G12" i="48"/>
  <c r="O14" i="26"/>
  <c r="K14" i="3"/>
  <c r="E13" i="48"/>
  <c r="G13" i="48"/>
  <c r="O15" i="26"/>
  <c r="K15" i="3"/>
  <c r="E14" i="48"/>
  <c r="G14" i="48"/>
  <c r="O16" i="26"/>
  <c r="K16" i="3"/>
  <c r="E15" i="48"/>
  <c r="G15" i="48"/>
  <c r="O17" i="26"/>
  <c r="K17" i="3"/>
  <c r="E16" i="48"/>
  <c r="G16" i="48"/>
  <c r="O18" i="26"/>
  <c r="K18" i="3"/>
  <c r="E17" i="48"/>
  <c r="G17" i="48"/>
  <c r="O19" i="26"/>
  <c r="K19" i="3"/>
  <c r="E18" i="48"/>
  <c r="G18" i="48"/>
  <c r="O20" i="26"/>
  <c r="K20" i="3"/>
  <c r="E19" i="48"/>
  <c r="G19" i="48"/>
  <c r="O21" i="26"/>
  <c r="K21" i="3"/>
  <c r="E20" i="48"/>
  <c r="G20" i="48"/>
  <c r="O22" i="26"/>
  <c r="K22" i="3"/>
  <c r="E21" i="48"/>
  <c r="G21" i="48"/>
  <c r="O23" i="26"/>
  <c r="K23" i="3"/>
  <c r="E22" i="48"/>
  <c r="G22" i="48"/>
  <c r="H4" i="48"/>
  <c r="G4" i="48"/>
  <c r="F4" i="48"/>
  <c r="E4" i="48"/>
  <c r="I2" i="48"/>
  <c r="I1" i="48"/>
  <c r="C17" i="24"/>
  <c r="E3" i="48"/>
  <c r="D3" i="48"/>
  <c r="E2" i="48"/>
  <c r="D2" i="48"/>
  <c r="C3" i="48"/>
  <c r="C12" i="47"/>
  <c r="D12" i="47"/>
  <c r="C11" i="47"/>
  <c r="D11" i="47"/>
  <c r="C5" i="47"/>
  <c r="D5" i="47"/>
  <c r="C6" i="47"/>
  <c r="D6" i="47"/>
  <c r="C7" i="47"/>
  <c r="D7" i="47"/>
  <c r="C8" i="47"/>
  <c r="D8" i="47"/>
  <c r="C9" i="47"/>
  <c r="D9" i="47"/>
  <c r="C10" i="47"/>
  <c r="D10" i="47"/>
  <c r="C13" i="47"/>
  <c r="D13" i="47"/>
  <c r="C14" i="47"/>
  <c r="D14" i="47"/>
  <c r="C15" i="47"/>
  <c r="D15" i="47"/>
  <c r="C16" i="47"/>
  <c r="D16" i="47"/>
  <c r="C17" i="47"/>
  <c r="D17" i="47"/>
  <c r="C18" i="47"/>
  <c r="D18" i="47"/>
  <c r="C19" i="47"/>
  <c r="D19" i="47"/>
  <c r="C20" i="47"/>
  <c r="D20" i="47"/>
  <c r="C21" i="47"/>
  <c r="D21" i="47"/>
  <c r="C22" i="47"/>
  <c r="D22" i="47"/>
  <c r="C23" i="47"/>
  <c r="D23" i="47"/>
  <c r="C24" i="47"/>
  <c r="D24" i="47"/>
  <c r="C25" i="47"/>
  <c r="D25" i="47"/>
  <c r="C26" i="47"/>
  <c r="D26" i="47"/>
  <c r="C27" i="47"/>
  <c r="D27" i="47"/>
  <c r="C28" i="47"/>
  <c r="D28" i="47"/>
  <c r="C29" i="47"/>
  <c r="D29" i="47"/>
  <c r="C30" i="47"/>
  <c r="D30" i="47"/>
  <c r="C31" i="47"/>
  <c r="D31" i="47"/>
  <c r="C32" i="47"/>
  <c r="D32" i="47"/>
  <c r="C33" i="47"/>
  <c r="D33" i="47"/>
  <c r="C34" i="47"/>
  <c r="D34" i="47"/>
  <c r="C35" i="47"/>
  <c r="D35" i="47"/>
  <c r="C36" i="47"/>
  <c r="D36" i="47"/>
  <c r="C37" i="47"/>
  <c r="D37" i="47"/>
  <c r="C38" i="47"/>
  <c r="D38" i="47"/>
  <c r="C39" i="47"/>
  <c r="D39" i="47"/>
  <c r="C40" i="47"/>
  <c r="D40" i="47"/>
  <c r="M1" i="47"/>
  <c r="K1" i="47"/>
  <c r="H3" i="47"/>
  <c r="G2" i="47"/>
  <c r="J5" i="48"/>
  <c r="J6" i="48"/>
  <c r="J7" i="48"/>
  <c r="J8" i="48"/>
  <c r="J9" i="48"/>
  <c r="J10" i="48"/>
  <c r="J11" i="48"/>
  <c r="J12" i="48"/>
  <c r="J13" i="48"/>
  <c r="J14" i="48"/>
  <c r="J15" i="48"/>
  <c r="J16" i="48"/>
  <c r="J17" i="48"/>
  <c r="J18" i="48"/>
  <c r="J19" i="48"/>
  <c r="J20" i="48"/>
  <c r="J21" i="48"/>
  <c r="J22" i="48"/>
  <c r="B5" i="48"/>
  <c r="C4" i="48"/>
  <c r="B4" i="48"/>
  <c r="A4" i="48"/>
  <c r="C1" i="48"/>
  <c r="O40" i="47"/>
  <c r="B40" i="47"/>
  <c r="O39" i="47"/>
  <c r="M39" i="47"/>
  <c r="B39" i="47"/>
  <c r="O38" i="47"/>
  <c r="B38" i="47"/>
  <c r="O37" i="47"/>
  <c r="M37" i="47"/>
  <c r="B37" i="47"/>
  <c r="O36" i="47"/>
  <c r="B36" i="47"/>
  <c r="O35" i="47"/>
  <c r="M35" i="47"/>
  <c r="B35" i="47"/>
  <c r="O34" i="47"/>
  <c r="K34" i="47"/>
  <c r="B34" i="47"/>
  <c r="O33" i="47"/>
  <c r="B33" i="47"/>
  <c r="O32" i="47"/>
  <c r="B32" i="47"/>
  <c r="O31" i="47"/>
  <c r="B31" i="47"/>
  <c r="O30" i="47"/>
  <c r="M30" i="47"/>
  <c r="B30" i="47"/>
  <c r="O29" i="47"/>
  <c r="B29" i="47"/>
  <c r="O28" i="47"/>
  <c r="B28" i="47"/>
  <c r="O27" i="47"/>
  <c r="M27" i="47"/>
  <c r="B27" i="47"/>
  <c r="O26" i="47"/>
  <c r="M26" i="47"/>
  <c r="B26" i="47"/>
  <c r="O25" i="47"/>
  <c r="B25" i="47"/>
  <c r="O24" i="47"/>
  <c r="B24" i="47"/>
  <c r="O23" i="47"/>
  <c r="B23" i="47"/>
  <c r="O22" i="47"/>
  <c r="M22" i="47"/>
  <c r="B22" i="47"/>
  <c r="O21" i="47"/>
  <c r="B21" i="47"/>
  <c r="O20" i="47"/>
  <c r="M20" i="47"/>
  <c r="B20" i="47"/>
  <c r="O19" i="47"/>
  <c r="M19" i="47"/>
  <c r="B19" i="47"/>
  <c r="O18" i="47"/>
  <c r="M18" i="47"/>
  <c r="B18" i="47"/>
  <c r="O17" i="47"/>
  <c r="B17" i="47"/>
  <c r="O16" i="47"/>
  <c r="B16" i="47"/>
  <c r="O15" i="47"/>
  <c r="B15" i="47"/>
  <c r="O14" i="47"/>
  <c r="M14" i="47"/>
  <c r="B14" i="47"/>
  <c r="O13" i="47"/>
  <c r="B13" i="47"/>
  <c r="O12" i="47"/>
  <c r="B12" i="47"/>
  <c r="O11" i="47"/>
  <c r="B11" i="47"/>
  <c r="O10" i="47"/>
  <c r="M10" i="47"/>
  <c r="B10" i="47"/>
  <c r="O9" i="47"/>
  <c r="B9" i="47"/>
  <c r="O8" i="47"/>
  <c r="B8" i="47"/>
  <c r="O7" i="47"/>
  <c r="M7" i="47"/>
  <c r="B7" i="47"/>
  <c r="O6" i="47"/>
  <c r="B6" i="47"/>
  <c r="O5" i="47"/>
  <c r="B5" i="47"/>
  <c r="E215" i="46"/>
  <c r="E214" i="46"/>
  <c r="E213" i="46"/>
  <c r="E212" i="46"/>
  <c r="E211" i="46"/>
  <c r="E210" i="46"/>
  <c r="E209" i="46"/>
  <c r="E208" i="46"/>
  <c r="E207" i="46"/>
  <c r="E206" i="46"/>
  <c r="E205" i="46"/>
  <c r="E204" i="46"/>
  <c r="E203" i="46"/>
  <c r="E202" i="46"/>
  <c r="E201" i="46"/>
  <c r="E200" i="46"/>
  <c r="E199" i="46"/>
  <c r="E198" i="46"/>
  <c r="E197" i="46"/>
  <c r="E196" i="46"/>
  <c r="E195" i="46"/>
  <c r="E194" i="46"/>
  <c r="E193" i="46"/>
  <c r="E192" i="46"/>
  <c r="E191" i="46"/>
  <c r="E190" i="46"/>
  <c r="E189" i="46"/>
  <c r="E188" i="46"/>
  <c r="E187" i="46"/>
  <c r="E186" i="46"/>
  <c r="E185" i="46"/>
  <c r="E184" i="46"/>
  <c r="E183" i="46"/>
  <c r="E182" i="46"/>
  <c r="E181" i="46"/>
  <c r="E180" i="46"/>
  <c r="E179" i="46"/>
  <c r="E178" i="46"/>
  <c r="E177" i="46"/>
  <c r="E176" i="46"/>
  <c r="E175" i="46"/>
  <c r="E174" i="46"/>
  <c r="E173" i="46"/>
  <c r="E172" i="46"/>
  <c r="E171" i="46"/>
  <c r="E170" i="46"/>
  <c r="E169" i="46"/>
  <c r="E168" i="46"/>
  <c r="E167" i="46"/>
  <c r="E166" i="46"/>
  <c r="E165" i="46"/>
  <c r="E164" i="46"/>
  <c r="E163" i="46"/>
  <c r="E162" i="46"/>
  <c r="E161" i="46"/>
  <c r="E160" i="46"/>
  <c r="E159" i="46"/>
  <c r="E158" i="46"/>
  <c r="E157" i="46"/>
  <c r="E156" i="46"/>
  <c r="E155" i="46"/>
  <c r="E154" i="46"/>
  <c r="E153" i="46"/>
  <c r="E152" i="46"/>
  <c r="E151" i="46"/>
  <c r="E150" i="46"/>
  <c r="E149" i="46"/>
  <c r="E148" i="46"/>
  <c r="E147" i="46"/>
  <c r="E146" i="46"/>
  <c r="E145" i="46"/>
  <c r="E144" i="46"/>
  <c r="E143" i="46"/>
  <c r="E142" i="46"/>
  <c r="E141" i="46"/>
  <c r="E140" i="46"/>
  <c r="E139" i="46"/>
  <c r="E138" i="46"/>
  <c r="E137" i="46"/>
  <c r="E136" i="46"/>
  <c r="E135" i="46"/>
  <c r="E134" i="46"/>
  <c r="E133" i="46"/>
  <c r="E132" i="46"/>
  <c r="E131" i="46"/>
  <c r="E130" i="46"/>
  <c r="E129" i="46"/>
  <c r="E128" i="46"/>
  <c r="E127" i="46"/>
  <c r="E126" i="46"/>
  <c r="E125" i="46"/>
  <c r="E124" i="46"/>
  <c r="E123" i="46"/>
  <c r="E122" i="46"/>
  <c r="E121" i="46"/>
  <c r="E120" i="46"/>
  <c r="E119" i="46"/>
  <c r="E118" i="46"/>
  <c r="E117" i="46"/>
  <c r="E116" i="46"/>
  <c r="E115" i="46"/>
  <c r="E114" i="46"/>
  <c r="E113" i="46"/>
  <c r="E112" i="46"/>
  <c r="B112" i="46"/>
  <c r="E111" i="46"/>
  <c r="B111" i="46"/>
  <c r="F111" i="46"/>
  <c r="F110" i="46"/>
  <c r="E110" i="46"/>
  <c r="E109" i="46"/>
  <c r="E108" i="46"/>
  <c r="E107" i="46"/>
  <c r="E106" i="46"/>
  <c r="E105" i="46"/>
  <c r="E104" i="46"/>
  <c r="E103" i="46"/>
  <c r="E102" i="46"/>
  <c r="E101" i="46"/>
  <c r="E100" i="46"/>
  <c r="E99" i="46"/>
  <c r="E98" i="46"/>
  <c r="E97" i="46"/>
  <c r="E96" i="46"/>
  <c r="E95" i="46"/>
  <c r="E94" i="46"/>
  <c r="E93" i="46"/>
  <c r="E92" i="46"/>
  <c r="E91" i="46"/>
  <c r="E90" i="46"/>
  <c r="E89" i="46"/>
  <c r="E88" i="46"/>
  <c r="E87" i="46"/>
  <c r="E86" i="46"/>
  <c r="E85" i="46"/>
  <c r="E84" i="46"/>
  <c r="E83" i="46"/>
  <c r="E82" i="46"/>
  <c r="E81" i="46"/>
  <c r="E80" i="46"/>
  <c r="E79" i="46"/>
  <c r="E78" i="46"/>
  <c r="E77" i="46"/>
  <c r="E76" i="46"/>
  <c r="E75" i="46"/>
  <c r="E74" i="46"/>
  <c r="E73" i="46"/>
  <c r="E72" i="46"/>
  <c r="E71" i="46"/>
  <c r="E70" i="46"/>
  <c r="E69" i="46"/>
  <c r="E68" i="46"/>
  <c r="E67" i="46"/>
  <c r="E66" i="46"/>
  <c r="E65" i="46"/>
  <c r="E64" i="46"/>
  <c r="E63" i="46"/>
  <c r="E62" i="46"/>
  <c r="E61" i="46"/>
  <c r="E60" i="46"/>
  <c r="E59" i="46"/>
  <c r="E58" i="46"/>
  <c r="E57" i="46"/>
  <c r="E56" i="46"/>
  <c r="E55" i="46"/>
  <c r="E54" i="46"/>
  <c r="E53" i="46"/>
  <c r="E52" i="46"/>
  <c r="E51" i="46"/>
  <c r="E50" i="46"/>
  <c r="E49" i="46"/>
  <c r="E48" i="46"/>
  <c r="E47" i="46"/>
  <c r="E46" i="46"/>
  <c r="E45" i="46"/>
  <c r="E44" i="46"/>
  <c r="E43" i="46"/>
  <c r="E42" i="46"/>
  <c r="E41" i="46"/>
  <c r="E40" i="46"/>
  <c r="E39" i="46"/>
  <c r="E38" i="46"/>
  <c r="E37" i="46"/>
  <c r="E36" i="46"/>
  <c r="E35" i="46"/>
  <c r="E34" i="46"/>
  <c r="E33" i="46"/>
  <c r="E32" i="46"/>
  <c r="E31" i="46"/>
  <c r="E30" i="46"/>
  <c r="E29" i="46"/>
  <c r="E28" i="46"/>
  <c r="E27" i="46"/>
  <c r="E26" i="46"/>
  <c r="E25" i="46"/>
  <c r="E24" i="46"/>
  <c r="E23" i="46"/>
  <c r="E22" i="46"/>
  <c r="E21" i="46"/>
  <c r="E20" i="46"/>
  <c r="E19" i="46"/>
  <c r="E18" i="46"/>
  <c r="E17" i="46"/>
  <c r="E16" i="46"/>
  <c r="E15" i="46"/>
  <c r="E14" i="46"/>
  <c r="E13" i="46"/>
  <c r="E12" i="46"/>
  <c r="E11" i="46"/>
  <c r="E10" i="46"/>
  <c r="E9" i="46"/>
  <c r="E8" i="46"/>
  <c r="E7" i="46"/>
  <c r="E6" i="46"/>
  <c r="E5" i="46"/>
  <c r="E4" i="46"/>
  <c r="M36" i="47"/>
  <c r="M40" i="47"/>
  <c r="M12" i="47"/>
  <c r="M38" i="47"/>
  <c r="M5" i="47"/>
  <c r="K11" i="47"/>
  <c r="H11" i="47"/>
  <c r="I11" i="47"/>
  <c r="K23" i="47"/>
  <c r="H23" i="47"/>
  <c r="I23" i="47"/>
  <c r="K31" i="47"/>
  <c r="H31" i="47"/>
  <c r="I31" i="47"/>
  <c r="K8" i="47"/>
  <c r="H8" i="47"/>
  <c r="I8" i="47"/>
  <c r="M11" i="47"/>
  <c r="K16" i="47"/>
  <c r="H16" i="47"/>
  <c r="I16" i="47"/>
  <c r="K24" i="47"/>
  <c r="H24" i="47"/>
  <c r="I24" i="47"/>
  <c r="K28" i="47"/>
  <c r="H28" i="47"/>
  <c r="I28" i="47"/>
  <c r="M31" i="47"/>
  <c r="K32" i="47"/>
  <c r="H32" i="47"/>
  <c r="I32" i="47"/>
  <c r="M8" i="47"/>
  <c r="K9" i="47"/>
  <c r="H9" i="47"/>
  <c r="I9" i="47"/>
  <c r="K13" i="47"/>
  <c r="H13" i="47"/>
  <c r="I13" i="47"/>
  <c r="M16" i="47"/>
  <c r="K17" i="47"/>
  <c r="H17" i="47"/>
  <c r="I17" i="47"/>
  <c r="K21" i="47"/>
  <c r="H21" i="47"/>
  <c r="I21" i="47"/>
  <c r="M24" i="47"/>
  <c r="K25" i="47"/>
  <c r="H25" i="47"/>
  <c r="I25" i="47"/>
  <c r="M28" i="47"/>
  <c r="K29" i="47"/>
  <c r="H29" i="47"/>
  <c r="I29" i="47"/>
  <c r="M32" i="47"/>
  <c r="K33" i="47"/>
  <c r="H33" i="47"/>
  <c r="I33" i="47"/>
  <c r="K15" i="47"/>
  <c r="H15" i="47"/>
  <c r="I15" i="47"/>
  <c r="K19" i="47"/>
  <c r="H19" i="47"/>
  <c r="I19" i="47"/>
  <c r="K27" i="47"/>
  <c r="H27" i="47"/>
  <c r="I27" i="47"/>
  <c r="K6" i="47"/>
  <c r="H6" i="47"/>
  <c r="I6" i="47"/>
  <c r="K12" i="47"/>
  <c r="H12" i="47"/>
  <c r="I12" i="47"/>
  <c r="M15" i="47"/>
  <c r="K20" i="47"/>
  <c r="H20" i="47"/>
  <c r="I20" i="47"/>
  <c r="M23" i="47"/>
  <c r="K5" i="47"/>
  <c r="H5" i="47"/>
  <c r="I5" i="47"/>
  <c r="M6" i="47"/>
  <c r="K7" i="47"/>
  <c r="H7" i="47"/>
  <c r="I7" i="47"/>
  <c r="M9" i="47"/>
  <c r="K10" i="47"/>
  <c r="H10" i="47"/>
  <c r="I10" i="47"/>
  <c r="M13" i="47"/>
  <c r="K14" i="47"/>
  <c r="H14" i="47"/>
  <c r="I14" i="47"/>
  <c r="M17" i="47"/>
  <c r="K18" i="47"/>
  <c r="H18" i="47"/>
  <c r="I18" i="47"/>
  <c r="M21" i="47"/>
  <c r="K22" i="47"/>
  <c r="H22" i="47"/>
  <c r="I22" i="47"/>
  <c r="M25" i="47"/>
  <c r="K26" i="47"/>
  <c r="H26" i="47"/>
  <c r="I26" i="47"/>
  <c r="M29" i="47"/>
  <c r="K30" i="47"/>
  <c r="H30" i="47"/>
  <c r="I30" i="47"/>
  <c r="M33" i="47"/>
  <c r="M34" i="47"/>
  <c r="H34" i="47"/>
  <c r="I34" i="47"/>
  <c r="H35" i="47"/>
  <c r="I35" i="47"/>
  <c r="K36" i="47"/>
  <c r="H37" i="47"/>
  <c r="I37" i="47"/>
  <c r="K38" i="47"/>
  <c r="H39" i="47"/>
  <c r="I39" i="47"/>
  <c r="K40" i="47"/>
  <c r="K35" i="47"/>
  <c r="H36" i="47"/>
  <c r="I36" i="47"/>
  <c r="K37" i="47"/>
  <c r="H38" i="47"/>
  <c r="I38" i="47"/>
  <c r="K39" i="47"/>
  <c r="H40" i="47"/>
  <c r="I40" i="47"/>
  <c r="B6" i="48"/>
  <c r="C5" i="48"/>
  <c r="B113" i="46"/>
  <c r="F112" i="46"/>
  <c r="B7" i="48"/>
  <c r="C6" i="48"/>
  <c r="B114" i="46"/>
  <c r="F113" i="46"/>
  <c r="B8" i="48"/>
  <c r="C7" i="48"/>
  <c r="B115" i="46"/>
  <c r="F114" i="46"/>
  <c r="B9" i="48"/>
  <c r="C8" i="48"/>
  <c r="F115" i="46"/>
  <c r="B116" i="46"/>
  <c r="B10" i="48"/>
  <c r="C9" i="48"/>
  <c r="B117" i="46"/>
  <c r="F116" i="46"/>
  <c r="B11" i="48"/>
  <c r="C10" i="48"/>
  <c r="B118" i="46"/>
  <c r="F117" i="46"/>
  <c r="B12" i="48"/>
  <c r="C11" i="48"/>
  <c r="B119" i="46"/>
  <c r="F118" i="46"/>
  <c r="B13" i="48"/>
  <c r="C12" i="48"/>
  <c r="F119" i="46"/>
  <c r="B120" i="46"/>
  <c r="B14" i="48"/>
  <c r="C13" i="48"/>
  <c r="B121" i="46"/>
  <c r="F120" i="46"/>
  <c r="B15" i="48"/>
  <c r="C14" i="48"/>
  <c r="B122" i="46"/>
  <c r="F121" i="46"/>
  <c r="B16" i="48"/>
  <c r="C15" i="48"/>
  <c r="B123" i="46"/>
  <c r="F122" i="46"/>
  <c r="B17" i="48"/>
  <c r="C16" i="48"/>
  <c r="F123" i="46"/>
  <c r="B124" i="46"/>
  <c r="B18" i="48"/>
  <c r="C17" i="48"/>
  <c r="B125" i="46"/>
  <c r="F124" i="46"/>
  <c r="B19" i="48"/>
  <c r="C18" i="48"/>
  <c r="B126" i="46"/>
  <c r="F125" i="46"/>
  <c r="B20" i="48"/>
  <c r="C19" i="48"/>
  <c r="B127" i="46"/>
  <c r="F126" i="46"/>
  <c r="B21" i="48"/>
  <c r="C20" i="48"/>
  <c r="F127" i="46"/>
  <c r="B128" i="46"/>
  <c r="B22" i="48"/>
  <c r="C21" i="48"/>
  <c r="B129" i="46"/>
  <c r="F128" i="46"/>
  <c r="C22" i="48"/>
  <c r="B130" i="46"/>
  <c r="F129" i="46"/>
  <c r="B131" i="46"/>
  <c r="F130" i="46"/>
  <c r="F131" i="46"/>
  <c r="B132" i="46"/>
  <c r="B133" i="46"/>
  <c r="F132" i="46"/>
  <c r="C26" i="49"/>
  <c r="B27" i="49"/>
  <c r="B134" i="46"/>
  <c r="F133" i="46"/>
  <c r="C27" i="49"/>
  <c r="B28" i="49"/>
  <c r="B135" i="46"/>
  <c r="F134" i="46"/>
  <c r="C28" i="49"/>
  <c r="F135" i="46"/>
  <c r="B136" i="46"/>
  <c r="B137" i="46"/>
  <c r="F136" i="46"/>
  <c r="B138" i="46"/>
  <c r="F137" i="46"/>
  <c r="B139" i="46"/>
  <c r="F138" i="46"/>
  <c r="F139" i="46"/>
  <c r="B140" i="46"/>
  <c r="B141" i="46"/>
  <c r="F140" i="46"/>
  <c r="B142" i="46"/>
  <c r="F141" i="46"/>
  <c r="B143" i="46"/>
  <c r="F142" i="46"/>
  <c r="F143" i="46"/>
  <c r="B144" i="46"/>
  <c r="B145" i="46"/>
  <c r="F144" i="46"/>
  <c r="B146" i="46"/>
  <c r="F145" i="46"/>
  <c r="B147" i="46"/>
  <c r="F146" i="46"/>
  <c r="F147" i="46"/>
  <c r="B148" i="46"/>
  <c r="B149" i="46"/>
  <c r="F148" i="46"/>
  <c r="B150" i="46"/>
  <c r="F149" i="46"/>
  <c r="B151" i="46"/>
  <c r="F150" i="46"/>
  <c r="F151" i="46"/>
  <c r="B152" i="46"/>
  <c r="B153" i="46"/>
  <c r="F152" i="46"/>
  <c r="B154" i="46"/>
  <c r="F153" i="46"/>
  <c r="B155" i="46"/>
  <c r="F154" i="46"/>
  <c r="F155" i="46"/>
  <c r="B156" i="46"/>
  <c r="B157" i="46"/>
  <c r="F156" i="46"/>
  <c r="B158" i="46"/>
  <c r="F157" i="46"/>
  <c r="B159" i="46"/>
  <c r="F158" i="46"/>
  <c r="F159" i="46"/>
  <c r="B160" i="46"/>
  <c r="B161" i="46"/>
  <c r="F160" i="46"/>
  <c r="B162" i="46"/>
  <c r="F162" i="46"/>
  <c r="F161" i="46"/>
  <c r="K27" i="49"/>
  <c r="J14" i="49"/>
  <c r="K9" i="49"/>
  <c r="K7" i="49"/>
  <c r="K10" i="49"/>
  <c r="K16" i="49"/>
  <c r="J28" i="49"/>
  <c r="K18" i="49"/>
  <c r="K19" i="49"/>
  <c r="J9" i="49"/>
  <c r="K17" i="49"/>
  <c r="J18" i="49"/>
  <c r="J17" i="49"/>
  <c r="J27" i="49"/>
  <c r="J19" i="49"/>
  <c r="J22" i="49"/>
  <c r="K20" i="49"/>
  <c r="J20" i="49"/>
  <c r="K8" i="49"/>
  <c r="J16" i="49"/>
  <c r="J15" i="49"/>
  <c r="K22" i="49"/>
  <c r="K28" i="49"/>
  <c r="K15" i="49"/>
  <c r="K11" i="49"/>
  <c r="J13" i="49"/>
  <c r="J7" i="49"/>
  <c r="K12" i="49"/>
  <c r="J6" i="49"/>
  <c r="K5" i="49"/>
  <c r="J11" i="49"/>
  <c r="J12" i="49"/>
  <c r="J21" i="49"/>
  <c r="K14" i="49"/>
  <c r="J10" i="49"/>
  <c r="K13" i="49"/>
  <c r="K6" i="49"/>
  <c r="J8" i="49"/>
  <c r="K21" i="49"/>
  <c r="J5" i="49"/>
  <c r="I9" i="49"/>
  <c r="N9" i="49"/>
  <c r="F9" i="49"/>
  <c r="H9" i="49"/>
  <c r="L9" i="49"/>
  <c r="M9" i="49"/>
  <c r="I6" i="49"/>
  <c r="I5" i="49"/>
  <c r="I8" i="49"/>
  <c r="I10" i="49"/>
  <c r="I24" i="49"/>
  <c r="I12" i="49"/>
  <c r="I17" i="49"/>
  <c r="I28" i="49"/>
  <c r="I21" i="49"/>
  <c r="I7" i="49"/>
  <c r="I22" i="49"/>
  <c r="I14" i="49"/>
  <c r="I16" i="49"/>
  <c r="I26" i="49"/>
  <c r="I13" i="49"/>
  <c r="I11" i="49"/>
  <c r="N17" i="49"/>
  <c r="F17" i="49"/>
  <c r="H17" i="49"/>
  <c r="L17" i="49"/>
  <c r="M17" i="49"/>
  <c r="I15" i="49"/>
  <c r="I19" i="49"/>
  <c r="I25" i="49"/>
  <c r="I18" i="49"/>
  <c r="I23" i="49"/>
  <c r="I20" i="49"/>
  <c r="I27" i="49"/>
  <c r="N5" i="49"/>
  <c r="F5" i="49"/>
  <c r="H5" i="49"/>
  <c r="L5" i="49"/>
  <c r="M5" i="49"/>
  <c r="H24" i="49"/>
  <c r="L24" i="49"/>
  <c r="M24" i="49"/>
  <c r="N20" i="49"/>
  <c r="F20" i="49"/>
  <c r="H20" i="49"/>
  <c r="L20" i="49"/>
  <c r="M20" i="49"/>
  <c r="N14" i="49"/>
  <c r="F14" i="49"/>
  <c r="H14" i="49"/>
  <c r="L14" i="49"/>
  <c r="M14" i="49"/>
  <c r="N16" i="49"/>
  <c r="F16" i="49"/>
  <c r="H16" i="49"/>
  <c r="L16" i="49"/>
  <c r="M16" i="49"/>
  <c r="N12" i="49"/>
  <c r="F12" i="49"/>
  <c r="H12" i="49"/>
  <c r="L12" i="49"/>
  <c r="M12" i="49"/>
  <c r="N15" i="49"/>
  <c r="F15" i="49"/>
  <c r="H15" i="49"/>
  <c r="L15" i="49"/>
  <c r="M15" i="49"/>
  <c r="N10" i="49"/>
  <c r="F10" i="49"/>
  <c r="H10" i="49"/>
  <c r="L10" i="49"/>
  <c r="M10" i="49"/>
  <c r="N6" i="49"/>
  <c r="F6" i="49"/>
  <c r="H6" i="49"/>
  <c r="L6" i="49"/>
  <c r="M6" i="49"/>
  <c r="N28" i="49"/>
  <c r="F28" i="49"/>
  <c r="H28" i="49"/>
  <c r="L28" i="49"/>
  <c r="M28" i="49"/>
  <c r="N21" i="49"/>
  <c r="F21" i="49"/>
  <c r="H21" i="49"/>
  <c r="L21" i="49"/>
  <c r="M21" i="49"/>
  <c r="H23" i="49"/>
  <c r="L23" i="49"/>
  <c r="M23" i="49"/>
  <c r="H26" i="49"/>
  <c r="L26" i="49"/>
  <c r="M26" i="49"/>
  <c r="N19" i="49"/>
  <c r="F19" i="49"/>
  <c r="H19" i="49"/>
  <c r="L19" i="49"/>
  <c r="M19" i="49"/>
  <c r="N13" i="49"/>
  <c r="F13" i="49"/>
  <c r="H13" i="49"/>
  <c r="L13" i="49"/>
  <c r="M13" i="49"/>
  <c r="N11" i="49"/>
  <c r="F11" i="49"/>
  <c r="H11" i="49"/>
  <c r="L11" i="49"/>
  <c r="M11" i="49"/>
  <c r="N7" i="49"/>
  <c r="F7" i="49"/>
  <c r="H7" i="49"/>
  <c r="L7" i="49"/>
  <c r="M7" i="49"/>
  <c r="N18" i="49"/>
  <c r="F18" i="49"/>
  <c r="H18" i="49"/>
  <c r="L18" i="49"/>
  <c r="M18" i="49"/>
  <c r="N27" i="49"/>
  <c r="F27" i="49"/>
  <c r="H27" i="49"/>
  <c r="L27" i="49"/>
  <c r="M27" i="49"/>
  <c r="H25" i="49"/>
  <c r="L25" i="49"/>
  <c r="M25" i="49"/>
  <c r="N22" i="49"/>
  <c r="F22" i="49"/>
  <c r="H22" i="49"/>
  <c r="L22" i="49"/>
  <c r="M22" i="49"/>
  <c r="N8" i="49"/>
  <c r="F8" i="49"/>
  <c r="H8" i="49"/>
  <c r="L8" i="49"/>
  <c r="M8" i="49"/>
  <c r="C1" i="45"/>
  <c r="I1" i="3"/>
  <c r="F1" i="45"/>
  <c r="K3" i="3"/>
  <c r="S1" i="45"/>
  <c r="R1" i="45"/>
  <c r="Q1" i="45"/>
  <c r="O1" i="45"/>
  <c r="L1" i="45"/>
  <c r="H1" i="45"/>
  <c r="M2" i="25"/>
  <c r="W718" i="38"/>
  <c r="W719" i="38"/>
  <c r="W720" i="38"/>
  <c r="W721" i="38"/>
  <c r="W722" i="38"/>
  <c r="W723" i="38"/>
  <c r="W724" i="38"/>
  <c r="S718" i="38"/>
  <c r="S719" i="38"/>
  <c r="S720" i="38"/>
  <c r="S721" i="38"/>
  <c r="S722" i="38"/>
  <c r="S723" i="38"/>
  <c r="S724" i="38"/>
  <c r="AA721" i="38"/>
  <c r="AA718" i="38"/>
  <c r="AA719" i="38"/>
  <c r="AA723" i="38"/>
  <c r="X724" i="38"/>
  <c r="V17" i="38"/>
  <c r="V24" i="38"/>
  <c r="V31" i="38"/>
  <c r="V38" i="38"/>
  <c r="V45" i="38"/>
  <c r="V52" i="38"/>
  <c r="V59" i="38"/>
  <c r="V66" i="38"/>
  <c r="V73" i="38"/>
  <c r="V80" i="38"/>
  <c r="V87" i="38"/>
  <c r="V94" i="38"/>
  <c r="V101" i="38"/>
  <c r="V108" i="38"/>
  <c r="V115" i="38"/>
  <c r="V122" i="38"/>
  <c r="V129" i="38"/>
  <c r="V136" i="38"/>
  <c r="V143" i="38"/>
  <c r="V150" i="38"/>
  <c r="V157" i="38"/>
  <c r="V164" i="38"/>
  <c r="V171" i="38"/>
  <c r="V178" i="38"/>
  <c r="V185" i="38"/>
  <c r="V192" i="38"/>
  <c r="V199" i="38"/>
  <c r="V206" i="38"/>
  <c r="V213" i="38"/>
  <c r="V220" i="38"/>
  <c r="V227" i="38"/>
  <c r="V234" i="38"/>
  <c r="V241" i="38"/>
  <c r="V248" i="38"/>
  <c r="V255" i="38"/>
  <c r="V262" i="38"/>
  <c r="V269" i="38"/>
  <c r="V276" i="38"/>
  <c r="V283" i="38"/>
  <c r="V290" i="38"/>
  <c r="V297" i="38"/>
  <c r="V304" i="38"/>
  <c r="V311" i="38"/>
  <c r="V318" i="38"/>
  <c r="V325" i="38"/>
  <c r="V332" i="38"/>
  <c r="V339" i="38"/>
  <c r="V346" i="38"/>
  <c r="V353" i="38"/>
  <c r="V360" i="38"/>
  <c r="V367" i="38"/>
  <c r="V374" i="38"/>
  <c r="V381" i="38"/>
  <c r="V388" i="38"/>
  <c r="V395" i="38"/>
  <c r="V402" i="38"/>
  <c r="V409" i="38"/>
  <c r="V416" i="38"/>
  <c r="V423" i="38"/>
  <c r="V430" i="38"/>
  <c r="V437" i="38"/>
  <c r="V444" i="38"/>
  <c r="V451" i="38"/>
  <c r="V458" i="38"/>
  <c r="V465" i="38"/>
  <c r="V472" i="38"/>
  <c r="V479" i="38"/>
  <c r="V486" i="38"/>
  <c r="V493" i="38"/>
  <c r="V500" i="38"/>
  <c r="V507" i="38"/>
  <c r="V514" i="38"/>
  <c r="V521" i="38"/>
  <c r="V528" i="38"/>
  <c r="V535" i="38"/>
  <c r="V542" i="38"/>
  <c r="V549" i="38"/>
  <c r="V556" i="38"/>
  <c r="V563" i="38"/>
  <c r="V570" i="38"/>
  <c r="V577" i="38"/>
  <c r="V584" i="38"/>
  <c r="V591" i="38"/>
  <c r="V598" i="38"/>
  <c r="V605" i="38"/>
  <c r="V612" i="38"/>
  <c r="V619" i="38"/>
  <c r="V626" i="38"/>
  <c r="V633" i="38"/>
  <c r="V640" i="38"/>
  <c r="V647" i="38"/>
  <c r="V654" i="38"/>
  <c r="V661" i="38"/>
  <c r="V668" i="38"/>
  <c r="V675" i="38"/>
  <c r="V682" i="38"/>
  <c r="V689" i="38"/>
  <c r="V696" i="38"/>
  <c r="V703" i="38"/>
  <c r="V710" i="38"/>
  <c r="V717" i="38"/>
  <c r="V724" i="38"/>
  <c r="U724" i="38"/>
  <c r="T724" i="38"/>
  <c r="R17" i="38"/>
  <c r="R24" i="38"/>
  <c r="R31" i="38"/>
  <c r="R38" i="38"/>
  <c r="R45" i="38"/>
  <c r="R52" i="38"/>
  <c r="R59" i="38"/>
  <c r="R66" i="38"/>
  <c r="R73" i="38"/>
  <c r="R80" i="38"/>
  <c r="R87" i="38"/>
  <c r="R94" i="38"/>
  <c r="R101" i="38"/>
  <c r="R108" i="38"/>
  <c r="R115" i="38"/>
  <c r="R122" i="38"/>
  <c r="R129" i="38"/>
  <c r="R136" i="38"/>
  <c r="R143" i="38"/>
  <c r="R150" i="38"/>
  <c r="R157" i="38"/>
  <c r="R164" i="38"/>
  <c r="R171" i="38"/>
  <c r="R178" i="38"/>
  <c r="R185" i="38"/>
  <c r="R192" i="38"/>
  <c r="R199" i="38"/>
  <c r="R206" i="38"/>
  <c r="R213" i="38"/>
  <c r="R220" i="38"/>
  <c r="R227" i="38"/>
  <c r="R234" i="38"/>
  <c r="R241" i="38"/>
  <c r="R248" i="38"/>
  <c r="R255" i="38"/>
  <c r="R262" i="38"/>
  <c r="R269" i="38"/>
  <c r="R276" i="38"/>
  <c r="R283" i="38"/>
  <c r="R290" i="38"/>
  <c r="R297" i="38"/>
  <c r="R304" i="38"/>
  <c r="R311" i="38"/>
  <c r="R318" i="38"/>
  <c r="R325" i="38"/>
  <c r="R332" i="38"/>
  <c r="R339" i="38"/>
  <c r="R346" i="38"/>
  <c r="R353" i="38"/>
  <c r="R360" i="38"/>
  <c r="R367" i="38"/>
  <c r="R374" i="38"/>
  <c r="R381" i="38"/>
  <c r="R388" i="38"/>
  <c r="R395" i="38"/>
  <c r="R402" i="38"/>
  <c r="R409" i="38"/>
  <c r="R416" i="38"/>
  <c r="R423" i="38"/>
  <c r="R430" i="38"/>
  <c r="R437" i="38"/>
  <c r="R444" i="38"/>
  <c r="R451" i="38"/>
  <c r="R458" i="38"/>
  <c r="R465" i="38"/>
  <c r="R472" i="38"/>
  <c r="R479" i="38"/>
  <c r="R486" i="38"/>
  <c r="R493" i="38"/>
  <c r="R500" i="38"/>
  <c r="R507" i="38"/>
  <c r="R514" i="38"/>
  <c r="R521" i="38"/>
  <c r="R528" i="38"/>
  <c r="R535" i="38"/>
  <c r="R542" i="38"/>
  <c r="R549" i="38"/>
  <c r="R556" i="38"/>
  <c r="R563" i="38"/>
  <c r="R570" i="38"/>
  <c r="R577" i="38"/>
  <c r="R584" i="38"/>
  <c r="R591" i="38"/>
  <c r="R598" i="38"/>
  <c r="R605" i="38"/>
  <c r="R612" i="38"/>
  <c r="R619" i="38"/>
  <c r="R626" i="38"/>
  <c r="R633" i="38"/>
  <c r="R640" i="38"/>
  <c r="R647" i="38"/>
  <c r="R654" i="38"/>
  <c r="R661" i="38"/>
  <c r="R668" i="38"/>
  <c r="R675" i="38"/>
  <c r="R682" i="38"/>
  <c r="R689" i="38"/>
  <c r="R696" i="38"/>
  <c r="R703" i="38"/>
  <c r="R710" i="38"/>
  <c r="R717" i="38"/>
  <c r="R724" i="38"/>
  <c r="Q724" i="38"/>
  <c r="L724" i="38"/>
  <c r="J724" i="38"/>
  <c r="I724" i="38"/>
  <c r="H724" i="38"/>
  <c r="G724" i="38"/>
  <c r="C17" i="38"/>
  <c r="C24" i="38"/>
  <c r="C31" i="38"/>
  <c r="C38" i="38"/>
  <c r="C45" i="38"/>
  <c r="C52" i="38"/>
  <c r="C59" i="38"/>
  <c r="C66" i="38"/>
  <c r="C73" i="38"/>
  <c r="C80" i="38"/>
  <c r="C87" i="38"/>
  <c r="C94" i="38"/>
  <c r="C101" i="38"/>
  <c r="C108" i="38"/>
  <c r="C115" i="38"/>
  <c r="C122" i="38"/>
  <c r="C129" i="38"/>
  <c r="C136" i="38"/>
  <c r="C143" i="38"/>
  <c r="C150" i="38"/>
  <c r="C157" i="38"/>
  <c r="C164" i="38"/>
  <c r="C171" i="38"/>
  <c r="C178" i="38"/>
  <c r="C185" i="38"/>
  <c r="C192" i="38"/>
  <c r="C199" i="38"/>
  <c r="C206" i="38"/>
  <c r="C213" i="38"/>
  <c r="C220" i="38"/>
  <c r="C227" i="38"/>
  <c r="C234" i="38"/>
  <c r="C241" i="38"/>
  <c r="C248" i="38"/>
  <c r="C255" i="38"/>
  <c r="C262" i="38"/>
  <c r="C269" i="38"/>
  <c r="C276" i="38"/>
  <c r="C283" i="38"/>
  <c r="C290" i="38"/>
  <c r="C297" i="38"/>
  <c r="C304" i="38"/>
  <c r="C311" i="38"/>
  <c r="C318" i="38"/>
  <c r="C325" i="38"/>
  <c r="C332" i="38"/>
  <c r="C339" i="38"/>
  <c r="C346" i="38"/>
  <c r="C353" i="38"/>
  <c r="C360" i="38"/>
  <c r="C367" i="38"/>
  <c r="C374" i="38"/>
  <c r="C381" i="38"/>
  <c r="C388" i="38"/>
  <c r="C395" i="38"/>
  <c r="C402" i="38"/>
  <c r="C409" i="38"/>
  <c r="C416" i="38"/>
  <c r="C423" i="38"/>
  <c r="C430" i="38"/>
  <c r="C437" i="38"/>
  <c r="C444" i="38"/>
  <c r="C451" i="38"/>
  <c r="C458" i="38"/>
  <c r="C465" i="38"/>
  <c r="C472" i="38"/>
  <c r="C479" i="38"/>
  <c r="C486" i="38"/>
  <c r="C493" i="38"/>
  <c r="C500" i="38"/>
  <c r="C507" i="38"/>
  <c r="C514" i="38"/>
  <c r="C521" i="38"/>
  <c r="C528" i="38"/>
  <c r="C535" i="38"/>
  <c r="C542" i="38"/>
  <c r="C549" i="38"/>
  <c r="C556" i="38"/>
  <c r="C563" i="38"/>
  <c r="C570" i="38"/>
  <c r="C577" i="38"/>
  <c r="C584" i="38"/>
  <c r="C591" i="38"/>
  <c r="C598" i="38"/>
  <c r="C605" i="38"/>
  <c r="C612" i="38"/>
  <c r="C619" i="38"/>
  <c r="C626" i="38"/>
  <c r="C633" i="38"/>
  <c r="C640" i="38"/>
  <c r="C647" i="38"/>
  <c r="C654" i="38"/>
  <c r="C661" i="38"/>
  <c r="C668" i="38"/>
  <c r="C675" i="38"/>
  <c r="C682" i="38"/>
  <c r="C689" i="38"/>
  <c r="C696" i="38"/>
  <c r="C703" i="38"/>
  <c r="C710" i="38"/>
  <c r="C717" i="38"/>
  <c r="C724" i="38"/>
  <c r="D724" i="38"/>
  <c r="E724" i="38"/>
  <c r="B724" i="38"/>
  <c r="X723" i="38"/>
  <c r="V16" i="38"/>
  <c r="V23" i="38"/>
  <c r="V30" i="38"/>
  <c r="V37" i="38"/>
  <c r="V44" i="38"/>
  <c r="V51" i="38"/>
  <c r="V58" i="38"/>
  <c r="V65" i="38"/>
  <c r="V72" i="38"/>
  <c r="V79" i="38"/>
  <c r="V86" i="38"/>
  <c r="V93" i="38"/>
  <c r="V100" i="38"/>
  <c r="V107" i="38"/>
  <c r="V114" i="38"/>
  <c r="V121" i="38"/>
  <c r="V128" i="38"/>
  <c r="V135" i="38"/>
  <c r="V142" i="38"/>
  <c r="V149" i="38"/>
  <c r="V156" i="38"/>
  <c r="V163" i="38"/>
  <c r="V170" i="38"/>
  <c r="V177" i="38"/>
  <c r="V184" i="38"/>
  <c r="V191" i="38"/>
  <c r="V198" i="38"/>
  <c r="V205" i="38"/>
  <c r="V212" i="38"/>
  <c r="V219" i="38"/>
  <c r="V226" i="38"/>
  <c r="V233" i="38"/>
  <c r="V240" i="38"/>
  <c r="V247" i="38"/>
  <c r="V254" i="38"/>
  <c r="V261" i="38"/>
  <c r="V268" i="38"/>
  <c r="V275" i="38"/>
  <c r="V282" i="38"/>
  <c r="V289" i="38"/>
  <c r="V296" i="38"/>
  <c r="V303" i="38"/>
  <c r="V310" i="38"/>
  <c r="V317" i="38"/>
  <c r="V324" i="38"/>
  <c r="V331" i="38"/>
  <c r="V338" i="38"/>
  <c r="V345" i="38"/>
  <c r="V352" i="38"/>
  <c r="V359" i="38"/>
  <c r="V366" i="38"/>
  <c r="V373" i="38"/>
  <c r="V380" i="38"/>
  <c r="V387" i="38"/>
  <c r="V394" i="38"/>
  <c r="V401" i="38"/>
  <c r="V408" i="38"/>
  <c r="V415" i="38"/>
  <c r="V422" i="38"/>
  <c r="V429" i="38"/>
  <c r="V436" i="38"/>
  <c r="V443" i="38"/>
  <c r="V450" i="38"/>
  <c r="V457" i="38"/>
  <c r="V464" i="38"/>
  <c r="V471" i="38"/>
  <c r="V478" i="38"/>
  <c r="V485" i="38"/>
  <c r="V492" i="38"/>
  <c r="V499" i="38"/>
  <c r="V506" i="38"/>
  <c r="V513" i="38"/>
  <c r="V520" i="38"/>
  <c r="V527" i="38"/>
  <c r="V534" i="38"/>
  <c r="V541" i="38"/>
  <c r="V548" i="38"/>
  <c r="V555" i="38"/>
  <c r="V562" i="38"/>
  <c r="V569" i="38"/>
  <c r="V576" i="38"/>
  <c r="V583" i="38"/>
  <c r="V590" i="38"/>
  <c r="V597" i="38"/>
  <c r="V604" i="38"/>
  <c r="V611" i="38"/>
  <c r="V618" i="38"/>
  <c r="V625" i="38"/>
  <c r="V632" i="38"/>
  <c r="V639" i="38"/>
  <c r="V646" i="38"/>
  <c r="V653" i="38"/>
  <c r="V660" i="38"/>
  <c r="V667" i="38"/>
  <c r="V674" i="38"/>
  <c r="V681" i="38"/>
  <c r="V688" i="38"/>
  <c r="V695" i="38"/>
  <c r="V702" i="38"/>
  <c r="V709" i="38"/>
  <c r="V716" i="38"/>
  <c r="V723" i="38"/>
  <c r="U723" i="38"/>
  <c r="T723" i="38"/>
  <c r="R16" i="38"/>
  <c r="R23" i="38"/>
  <c r="R30" i="38"/>
  <c r="R37" i="38"/>
  <c r="R44" i="38"/>
  <c r="R51" i="38"/>
  <c r="R58" i="38"/>
  <c r="R65" i="38"/>
  <c r="R72" i="38"/>
  <c r="R79" i="38"/>
  <c r="R86" i="38"/>
  <c r="R93" i="38"/>
  <c r="R100" i="38"/>
  <c r="R107" i="38"/>
  <c r="R114" i="38"/>
  <c r="R121" i="38"/>
  <c r="R128" i="38"/>
  <c r="R135" i="38"/>
  <c r="R142" i="38"/>
  <c r="R149" i="38"/>
  <c r="R156" i="38"/>
  <c r="R163" i="38"/>
  <c r="R170" i="38"/>
  <c r="R177" i="38"/>
  <c r="R184" i="38"/>
  <c r="R191" i="38"/>
  <c r="R198" i="38"/>
  <c r="R205" i="38"/>
  <c r="R212" i="38"/>
  <c r="R219" i="38"/>
  <c r="R226" i="38"/>
  <c r="R233" i="38"/>
  <c r="R240" i="38"/>
  <c r="R247" i="38"/>
  <c r="R254" i="38"/>
  <c r="R261" i="38"/>
  <c r="R268" i="38"/>
  <c r="R275" i="38"/>
  <c r="R282" i="38"/>
  <c r="R289" i="38"/>
  <c r="R296" i="38"/>
  <c r="R303" i="38"/>
  <c r="R310" i="38"/>
  <c r="R317" i="38"/>
  <c r="R324" i="38"/>
  <c r="R331" i="38"/>
  <c r="R338" i="38"/>
  <c r="R345" i="38"/>
  <c r="R352" i="38"/>
  <c r="R359" i="38"/>
  <c r="R366" i="38"/>
  <c r="R373" i="38"/>
  <c r="R380" i="38"/>
  <c r="R387" i="38"/>
  <c r="R394" i="38"/>
  <c r="R401" i="38"/>
  <c r="R408" i="38"/>
  <c r="R415" i="38"/>
  <c r="R422" i="38"/>
  <c r="R429" i="38"/>
  <c r="R436" i="38"/>
  <c r="R443" i="38"/>
  <c r="R450" i="38"/>
  <c r="R457" i="38"/>
  <c r="R464" i="38"/>
  <c r="R471" i="38"/>
  <c r="R478" i="38"/>
  <c r="R485" i="38"/>
  <c r="R492" i="38"/>
  <c r="R499" i="38"/>
  <c r="R506" i="38"/>
  <c r="R513" i="38"/>
  <c r="R520" i="38"/>
  <c r="R527" i="38"/>
  <c r="R534" i="38"/>
  <c r="R541" i="38"/>
  <c r="R548" i="38"/>
  <c r="R555" i="38"/>
  <c r="R562" i="38"/>
  <c r="R569" i="38"/>
  <c r="R576" i="38"/>
  <c r="R583" i="38"/>
  <c r="R590" i="38"/>
  <c r="R597" i="38"/>
  <c r="R604" i="38"/>
  <c r="R611" i="38"/>
  <c r="R618" i="38"/>
  <c r="R625" i="38"/>
  <c r="R632" i="38"/>
  <c r="R639" i="38"/>
  <c r="R646" i="38"/>
  <c r="R653" i="38"/>
  <c r="R660" i="38"/>
  <c r="R667" i="38"/>
  <c r="R674" i="38"/>
  <c r="R681" i="38"/>
  <c r="R688" i="38"/>
  <c r="R695" i="38"/>
  <c r="R702" i="38"/>
  <c r="R709" i="38"/>
  <c r="R716" i="38"/>
  <c r="R723" i="38"/>
  <c r="Q723" i="38"/>
  <c r="O723" i="38"/>
  <c r="N723" i="38"/>
  <c r="M723" i="38"/>
  <c r="L723" i="38"/>
  <c r="J723" i="38"/>
  <c r="I723" i="38"/>
  <c r="H723" i="38"/>
  <c r="G723" i="38"/>
  <c r="E723" i="38"/>
  <c r="D723" i="38"/>
  <c r="C723" i="38"/>
  <c r="B723" i="38"/>
  <c r="AB722" i="38"/>
  <c r="AA722" i="38"/>
  <c r="V15" i="38"/>
  <c r="V22" i="38"/>
  <c r="V29" i="38"/>
  <c r="V36" i="38"/>
  <c r="V43" i="38"/>
  <c r="V50" i="38"/>
  <c r="V57" i="38"/>
  <c r="V64" i="38"/>
  <c r="V71" i="38"/>
  <c r="V78" i="38"/>
  <c r="V85" i="38"/>
  <c r="V92" i="38"/>
  <c r="V99" i="38"/>
  <c r="V106" i="38"/>
  <c r="V113" i="38"/>
  <c r="V120" i="38"/>
  <c r="V127" i="38"/>
  <c r="V134" i="38"/>
  <c r="V141" i="38"/>
  <c r="V148" i="38"/>
  <c r="V155" i="38"/>
  <c r="V162" i="38"/>
  <c r="V169" i="38"/>
  <c r="V176" i="38"/>
  <c r="V183" i="38"/>
  <c r="V190" i="38"/>
  <c r="V197" i="38"/>
  <c r="V204" i="38"/>
  <c r="V211" i="38"/>
  <c r="V218" i="38"/>
  <c r="V225" i="38"/>
  <c r="V232" i="38"/>
  <c r="V239" i="38"/>
  <c r="V246" i="38"/>
  <c r="V253" i="38"/>
  <c r="V260" i="38"/>
  <c r="V267" i="38"/>
  <c r="V274" i="38"/>
  <c r="V281" i="38"/>
  <c r="V288" i="38"/>
  <c r="V295" i="38"/>
  <c r="V302" i="38"/>
  <c r="V309" i="38"/>
  <c r="V316" i="38"/>
  <c r="V323" i="38"/>
  <c r="V330" i="38"/>
  <c r="V337" i="38"/>
  <c r="V344" i="38"/>
  <c r="V351" i="38"/>
  <c r="V358" i="38"/>
  <c r="V365" i="38"/>
  <c r="V372" i="38"/>
  <c r="V379" i="38"/>
  <c r="V386" i="38"/>
  <c r="V393" i="38"/>
  <c r="V400" i="38"/>
  <c r="V407" i="38"/>
  <c r="V414" i="38"/>
  <c r="V421" i="38"/>
  <c r="V428" i="38"/>
  <c r="V435" i="38"/>
  <c r="V442" i="38"/>
  <c r="V449" i="38"/>
  <c r="V456" i="38"/>
  <c r="V463" i="38"/>
  <c r="V470" i="38"/>
  <c r="V477" i="38"/>
  <c r="V484" i="38"/>
  <c r="V491" i="38"/>
  <c r="V498" i="38"/>
  <c r="V505" i="38"/>
  <c r="V512" i="38"/>
  <c r="V519" i="38"/>
  <c r="V526" i="38"/>
  <c r="V533" i="38"/>
  <c r="V540" i="38"/>
  <c r="V547" i="38"/>
  <c r="V554" i="38"/>
  <c r="V561" i="38"/>
  <c r="V568" i="38"/>
  <c r="V575" i="38"/>
  <c r="V582" i="38"/>
  <c r="V589" i="38"/>
  <c r="V596" i="38"/>
  <c r="V603" i="38"/>
  <c r="V610" i="38"/>
  <c r="V617" i="38"/>
  <c r="V624" i="38"/>
  <c r="V631" i="38"/>
  <c r="V638" i="38"/>
  <c r="V645" i="38"/>
  <c r="V652" i="38"/>
  <c r="V659" i="38"/>
  <c r="V666" i="38"/>
  <c r="V673" i="38"/>
  <c r="V680" i="38"/>
  <c r="V687" i="38"/>
  <c r="V694" i="38"/>
  <c r="V701" i="38"/>
  <c r="V708" i="38"/>
  <c r="V715" i="38"/>
  <c r="V722" i="38"/>
  <c r="Z722" i="38"/>
  <c r="X722" i="38"/>
  <c r="U722" i="38"/>
  <c r="T722" i="38"/>
  <c r="R15" i="38"/>
  <c r="R22" i="38"/>
  <c r="R29" i="38"/>
  <c r="R36" i="38"/>
  <c r="R43" i="38"/>
  <c r="R50" i="38"/>
  <c r="R57" i="38"/>
  <c r="R64" i="38"/>
  <c r="R71" i="38"/>
  <c r="R78" i="38"/>
  <c r="R85" i="38"/>
  <c r="R92" i="38"/>
  <c r="R99" i="38"/>
  <c r="R106" i="38"/>
  <c r="R113" i="38"/>
  <c r="R120" i="38"/>
  <c r="R127" i="38"/>
  <c r="R134" i="38"/>
  <c r="R141" i="38"/>
  <c r="R148" i="38"/>
  <c r="R155" i="38"/>
  <c r="R162" i="38"/>
  <c r="R169" i="38"/>
  <c r="R176" i="38"/>
  <c r="R183" i="38"/>
  <c r="R190" i="38"/>
  <c r="R197" i="38"/>
  <c r="R204" i="38"/>
  <c r="R211" i="38"/>
  <c r="R218" i="38"/>
  <c r="R225" i="38"/>
  <c r="R232" i="38"/>
  <c r="R239" i="38"/>
  <c r="R246" i="38"/>
  <c r="R253" i="38"/>
  <c r="R260" i="38"/>
  <c r="R267" i="38"/>
  <c r="R274" i="38"/>
  <c r="R281" i="38"/>
  <c r="R288" i="38"/>
  <c r="R295" i="38"/>
  <c r="R302" i="38"/>
  <c r="R309" i="38"/>
  <c r="R316" i="38"/>
  <c r="R323" i="38"/>
  <c r="R330" i="38"/>
  <c r="R337" i="38"/>
  <c r="R344" i="38"/>
  <c r="R351" i="38"/>
  <c r="R358" i="38"/>
  <c r="R365" i="38"/>
  <c r="R372" i="38"/>
  <c r="R379" i="38"/>
  <c r="R386" i="38"/>
  <c r="R393" i="38"/>
  <c r="R400" i="38"/>
  <c r="R407" i="38"/>
  <c r="R414" i="38"/>
  <c r="R421" i="38"/>
  <c r="R428" i="38"/>
  <c r="R435" i="38"/>
  <c r="R442" i="38"/>
  <c r="R449" i="38"/>
  <c r="R456" i="38"/>
  <c r="R463" i="38"/>
  <c r="R470" i="38"/>
  <c r="R477" i="38"/>
  <c r="R484" i="38"/>
  <c r="R491" i="38"/>
  <c r="R498" i="38"/>
  <c r="R505" i="38"/>
  <c r="R512" i="38"/>
  <c r="R519" i="38"/>
  <c r="R526" i="38"/>
  <c r="R533" i="38"/>
  <c r="R540" i="38"/>
  <c r="R547" i="38"/>
  <c r="R554" i="38"/>
  <c r="R561" i="38"/>
  <c r="R568" i="38"/>
  <c r="R575" i="38"/>
  <c r="R582" i="38"/>
  <c r="R589" i="38"/>
  <c r="R596" i="38"/>
  <c r="R603" i="38"/>
  <c r="R610" i="38"/>
  <c r="R617" i="38"/>
  <c r="R624" i="38"/>
  <c r="R631" i="38"/>
  <c r="R638" i="38"/>
  <c r="R645" i="38"/>
  <c r="R652" i="38"/>
  <c r="R659" i="38"/>
  <c r="R666" i="38"/>
  <c r="R673" i="38"/>
  <c r="R680" i="38"/>
  <c r="R687" i="38"/>
  <c r="R694" i="38"/>
  <c r="R701" i="38"/>
  <c r="R708" i="38"/>
  <c r="R715" i="38"/>
  <c r="R722" i="38"/>
  <c r="Q722" i="38"/>
  <c r="O722" i="38"/>
  <c r="N722" i="38"/>
  <c r="M722" i="38"/>
  <c r="L722" i="38"/>
  <c r="H15" i="38"/>
  <c r="H22" i="38"/>
  <c r="H29" i="38"/>
  <c r="H36" i="38"/>
  <c r="H43" i="38"/>
  <c r="H50" i="38"/>
  <c r="H57" i="38"/>
  <c r="H64" i="38"/>
  <c r="H71" i="38"/>
  <c r="H78" i="38"/>
  <c r="H85" i="38"/>
  <c r="H92" i="38"/>
  <c r="H99" i="38"/>
  <c r="H106" i="38"/>
  <c r="H113" i="38"/>
  <c r="H120" i="38"/>
  <c r="H127" i="38"/>
  <c r="H134" i="38"/>
  <c r="H141" i="38"/>
  <c r="H148" i="38"/>
  <c r="H155" i="38"/>
  <c r="H162" i="38"/>
  <c r="H169" i="38"/>
  <c r="H176" i="38"/>
  <c r="H183" i="38"/>
  <c r="H190" i="38"/>
  <c r="H197" i="38"/>
  <c r="H204" i="38"/>
  <c r="H211" i="38"/>
  <c r="H218" i="38"/>
  <c r="H225" i="38"/>
  <c r="H232" i="38"/>
  <c r="H239" i="38"/>
  <c r="H246" i="38"/>
  <c r="H253" i="38"/>
  <c r="H260" i="38"/>
  <c r="H267" i="38"/>
  <c r="H274" i="38"/>
  <c r="H281" i="38"/>
  <c r="H288" i="38"/>
  <c r="H295" i="38"/>
  <c r="H302" i="38"/>
  <c r="H309" i="38"/>
  <c r="H316" i="38"/>
  <c r="H323" i="38"/>
  <c r="H330" i="38"/>
  <c r="H337" i="38"/>
  <c r="H344" i="38"/>
  <c r="H351" i="38"/>
  <c r="H358" i="38"/>
  <c r="H365" i="38"/>
  <c r="H372" i="38"/>
  <c r="H379" i="38"/>
  <c r="H386" i="38"/>
  <c r="H393" i="38"/>
  <c r="H400" i="38"/>
  <c r="H407" i="38"/>
  <c r="H414" i="38"/>
  <c r="H421" i="38"/>
  <c r="H428" i="38"/>
  <c r="H435" i="38"/>
  <c r="H442" i="38"/>
  <c r="H449" i="38"/>
  <c r="H456" i="38"/>
  <c r="H463" i="38"/>
  <c r="H470" i="38"/>
  <c r="H477" i="38"/>
  <c r="H484" i="38"/>
  <c r="H491" i="38"/>
  <c r="H498" i="38"/>
  <c r="H505" i="38"/>
  <c r="H512" i="38"/>
  <c r="H519" i="38"/>
  <c r="H526" i="38"/>
  <c r="H533" i="38"/>
  <c r="H540" i="38"/>
  <c r="H547" i="38"/>
  <c r="H554" i="38"/>
  <c r="H561" i="38"/>
  <c r="H568" i="38"/>
  <c r="H575" i="38"/>
  <c r="H582" i="38"/>
  <c r="H589" i="38"/>
  <c r="H596" i="38"/>
  <c r="H603" i="38"/>
  <c r="H610" i="38"/>
  <c r="H617" i="38"/>
  <c r="H624" i="38"/>
  <c r="H631" i="38"/>
  <c r="H638" i="38"/>
  <c r="H645" i="38"/>
  <c r="H652" i="38"/>
  <c r="H659" i="38"/>
  <c r="H666" i="38"/>
  <c r="H673" i="38"/>
  <c r="H680" i="38"/>
  <c r="H687" i="38"/>
  <c r="H694" i="38"/>
  <c r="H701" i="38"/>
  <c r="H708" i="38"/>
  <c r="H715" i="38"/>
  <c r="H722" i="38"/>
  <c r="I722" i="38"/>
  <c r="J722" i="38"/>
  <c r="G722" i="38"/>
  <c r="E722" i="38"/>
  <c r="D722" i="38"/>
  <c r="C722" i="38"/>
  <c r="B722" i="38"/>
  <c r="AB721" i="38"/>
  <c r="X721" i="38"/>
  <c r="V14" i="38"/>
  <c r="V21" i="38"/>
  <c r="V28" i="38"/>
  <c r="V35" i="38"/>
  <c r="V42" i="38"/>
  <c r="V49" i="38"/>
  <c r="V56" i="38"/>
  <c r="V63" i="38"/>
  <c r="V70" i="38"/>
  <c r="V77" i="38"/>
  <c r="V84" i="38"/>
  <c r="V91" i="38"/>
  <c r="V98" i="38"/>
  <c r="V105" i="38"/>
  <c r="V112" i="38"/>
  <c r="V119" i="38"/>
  <c r="V126" i="38"/>
  <c r="V133" i="38"/>
  <c r="V140" i="38"/>
  <c r="V147" i="38"/>
  <c r="V154" i="38"/>
  <c r="V161" i="38"/>
  <c r="V168" i="38"/>
  <c r="V175" i="38"/>
  <c r="V182" i="38"/>
  <c r="V189" i="38"/>
  <c r="V196" i="38"/>
  <c r="V203" i="38"/>
  <c r="V210" i="38"/>
  <c r="V217" i="38"/>
  <c r="V224" i="38"/>
  <c r="V231" i="38"/>
  <c r="V238" i="38"/>
  <c r="V245" i="38"/>
  <c r="V252" i="38"/>
  <c r="V259" i="38"/>
  <c r="V266" i="38"/>
  <c r="V273" i="38"/>
  <c r="V280" i="38"/>
  <c r="V287" i="38"/>
  <c r="V294" i="38"/>
  <c r="V301" i="38"/>
  <c r="V308" i="38"/>
  <c r="V315" i="38"/>
  <c r="V322" i="38"/>
  <c r="V329" i="38"/>
  <c r="V336" i="38"/>
  <c r="V343" i="38"/>
  <c r="V350" i="38"/>
  <c r="V357" i="38"/>
  <c r="V364" i="38"/>
  <c r="V371" i="38"/>
  <c r="V378" i="38"/>
  <c r="V385" i="38"/>
  <c r="V392" i="38"/>
  <c r="V399" i="38"/>
  <c r="V406" i="38"/>
  <c r="V413" i="38"/>
  <c r="V420" i="38"/>
  <c r="V427" i="38"/>
  <c r="V434" i="38"/>
  <c r="V441" i="38"/>
  <c r="V448" i="38"/>
  <c r="V455" i="38"/>
  <c r="V462" i="38"/>
  <c r="V469" i="38"/>
  <c r="V476" i="38"/>
  <c r="V483" i="38"/>
  <c r="V490" i="38"/>
  <c r="V497" i="38"/>
  <c r="V504" i="38"/>
  <c r="V511" i="38"/>
  <c r="V518" i="38"/>
  <c r="V525" i="38"/>
  <c r="V532" i="38"/>
  <c r="V539" i="38"/>
  <c r="V546" i="38"/>
  <c r="V553" i="38"/>
  <c r="V560" i="38"/>
  <c r="V567" i="38"/>
  <c r="V574" i="38"/>
  <c r="V581" i="38"/>
  <c r="V588" i="38"/>
  <c r="V595" i="38"/>
  <c r="V602" i="38"/>
  <c r="V609" i="38"/>
  <c r="V616" i="38"/>
  <c r="V623" i="38"/>
  <c r="V630" i="38"/>
  <c r="V637" i="38"/>
  <c r="V644" i="38"/>
  <c r="V651" i="38"/>
  <c r="V658" i="38"/>
  <c r="V665" i="38"/>
  <c r="V672" i="38"/>
  <c r="V679" i="38"/>
  <c r="V686" i="38"/>
  <c r="V693" i="38"/>
  <c r="V700" i="38"/>
  <c r="V707" i="38"/>
  <c r="V714" i="38"/>
  <c r="V721" i="38"/>
  <c r="U721" i="38"/>
  <c r="T721" i="38"/>
  <c r="R14" i="38"/>
  <c r="R21" i="38"/>
  <c r="R28" i="38"/>
  <c r="R35" i="38"/>
  <c r="R42" i="38"/>
  <c r="R49" i="38"/>
  <c r="R56" i="38"/>
  <c r="R63" i="38"/>
  <c r="R70" i="38"/>
  <c r="R77" i="38"/>
  <c r="R84" i="38"/>
  <c r="R91" i="38"/>
  <c r="R98" i="38"/>
  <c r="R105" i="38"/>
  <c r="R112" i="38"/>
  <c r="R119" i="38"/>
  <c r="R126" i="38"/>
  <c r="R133" i="38"/>
  <c r="R140" i="38"/>
  <c r="R147" i="38"/>
  <c r="R154" i="38"/>
  <c r="R161" i="38"/>
  <c r="R168" i="38"/>
  <c r="R175" i="38"/>
  <c r="R182" i="38"/>
  <c r="R189" i="38"/>
  <c r="R196" i="38"/>
  <c r="R203" i="38"/>
  <c r="R210" i="38"/>
  <c r="R217" i="38"/>
  <c r="R224" i="38"/>
  <c r="R231" i="38"/>
  <c r="R238" i="38"/>
  <c r="R245" i="38"/>
  <c r="R252" i="38"/>
  <c r="R259" i="38"/>
  <c r="R266" i="38"/>
  <c r="R273" i="38"/>
  <c r="R280" i="38"/>
  <c r="R287" i="38"/>
  <c r="R294" i="38"/>
  <c r="R301" i="38"/>
  <c r="R308" i="38"/>
  <c r="R315" i="38"/>
  <c r="R322" i="38"/>
  <c r="R329" i="38"/>
  <c r="R336" i="38"/>
  <c r="R343" i="38"/>
  <c r="R350" i="38"/>
  <c r="R357" i="38"/>
  <c r="R364" i="38"/>
  <c r="R371" i="38"/>
  <c r="R378" i="38"/>
  <c r="R385" i="38"/>
  <c r="R392" i="38"/>
  <c r="R399" i="38"/>
  <c r="R406" i="38"/>
  <c r="R413" i="38"/>
  <c r="R420" i="38"/>
  <c r="R427" i="38"/>
  <c r="R434" i="38"/>
  <c r="R441" i="38"/>
  <c r="R448" i="38"/>
  <c r="R455" i="38"/>
  <c r="R462" i="38"/>
  <c r="R469" i="38"/>
  <c r="R476" i="38"/>
  <c r="R483" i="38"/>
  <c r="R490" i="38"/>
  <c r="R497" i="38"/>
  <c r="R504" i="38"/>
  <c r="R511" i="38"/>
  <c r="R518" i="38"/>
  <c r="R525" i="38"/>
  <c r="R532" i="38"/>
  <c r="R539" i="38"/>
  <c r="R546" i="38"/>
  <c r="R553" i="38"/>
  <c r="R560" i="38"/>
  <c r="R567" i="38"/>
  <c r="R574" i="38"/>
  <c r="R581" i="38"/>
  <c r="R588" i="38"/>
  <c r="R595" i="38"/>
  <c r="R602" i="38"/>
  <c r="R609" i="38"/>
  <c r="R616" i="38"/>
  <c r="R623" i="38"/>
  <c r="R630" i="38"/>
  <c r="R637" i="38"/>
  <c r="R644" i="38"/>
  <c r="R651" i="38"/>
  <c r="R658" i="38"/>
  <c r="R665" i="38"/>
  <c r="R672" i="38"/>
  <c r="R679" i="38"/>
  <c r="R686" i="38"/>
  <c r="R693" i="38"/>
  <c r="R700" i="38"/>
  <c r="R707" i="38"/>
  <c r="R714" i="38"/>
  <c r="R721" i="38"/>
  <c r="Q721" i="38"/>
  <c r="M14" i="38"/>
  <c r="M21" i="38"/>
  <c r="M28" i="38"/>
  <c r="M35" i="38"/>
  <c r="M42" i="38"/>
  <c r="M49" i="38"/>
  <c r="M56" i="38"/>
  <c r="M63" i="38"/>
  <c r="M70" i="38"/>
  <c r="M77" i="38"/>
  <c r="M84" i="38"/>
  <c r="M91" i="38"/>
  <c r="M98" i="38"/>
  <c r="M105" i="38"/>
  <c r="M112" i="38"/>
  <c r="M119" i="38"/>
  <c r="M126" i="38"/>
  <c r="M133" i="38"/>
  <c r="M140" i="38"/>
  <c r="M147" i="38"/>
  <c r="M154" i="38"/>
  <c r="M161" i="38"/>
  <c r="M168" i="38"/>
  <c r="M175" i="38"/>
  <c r="M182" i="38"/>
  <c r="M189" i="38"/>
  <c r="M196" i="38"/>
  <c r="M203" i="38"/>
  <c r="M210" i="38"/>
  <c r="M217" i="38"/>
  <c r="M224" i="38"/>
  <c r="M231" i="38"/>
  <c r="M238" i="38"/>
  <c r="M245" i="38"/>
  <c r="M252" i="38"/>
  <c r="M259" i="38"/>
  <c r="M266" i="38"/>
  <c r="M273" i="38"/>
  <c r="M280" i="38"/>
  <c r="M287" i="38"/>
  <c r="M294" i="38"/>
  <c r="M301" i="38"/>
  <c r="M308" i="38"/>
  <c r="M315" i="38"/>
  <c r="M322" i="38"/>
  <c r="M329" i="38"/>
  <c r="M336" i="38"/>
  <c r="M343" i="38"/>
  <c r="M350" i="38"/>
  <c r="M357" i="38"/>
  <c r="M364" i="38"/>
  <c r="M371" i="38"/>
  <c r="M378" i="38"/>
  <c r="M385" i="38"/>
  <c r="M392" i="38"/>
  <c r="M399" i="38"/>
  <c r="M406" i="38"/>
  <c r="M413" i="38"/>
  <c r="M420" i="38"/>
  <c r="M427" i="38"/>
  <c r="M434" i="38"/>
  <c r="M441" i="38"/>
  <c r="M448" i="38"/>
  <c r="M455" i="38"/>
  <c r="M462" i="38"/>
  <c r="M469" i="38"/>
  <c r="M476" i="38"/>
  <c r="M483" i="38"/>
  <c r="M490" i="38"/>
  <c r="M497" i="38"/>
  <c r="M504" i="38"/>
  <c r="M511" i="38"/>
  <c r="M518" i="38"/>
  <c r="M525" i="38"/>
  <c r="M532" i="38"/>
  <c r="M539" i="38"/>
  <c r="M546" i="38"/>
  <c r="M553" i="38"/>
  <c r="M560" i="38"/>
  <c r="M567" i="38"/>
  <c r="M574" i="38"/>
  <c r="M581" i="38"/>
  <c r="M588" i="38"/>
  <c r="M595" i="38"/>
  <c r="M602" i="38"/>
  <c r="M609" i="38"/>
  <c r="M616" i="38"/>
  <c r="M623" i="38"/>
  <c r="M630" i="38"/>
  <c r="M637" i="38"/>
  <c r="M644" i="38"/>
  <c r="M651" i="38"/>
  <c r="M658" i="38"/>
  <c r="M665" i="38"/>
  <c r="M672" i="38"/>
  <c r="M679" i="38"/>
  <c r="M686" i="38"/>
  <c r="M693" i="38"/>
  <c r="M700" i="38"/>
  <c r="M707" i="38"/>
  <c r="M714" i="38"/>
  <c r="M721" i="38"/>
  <c r="N721" i="38"/>
  <c r="O721" i="38"/>
  <c r="L721" i="38"/>
  <c r="H14" i="38"/>
  <c r="H21" i="38"/>
  <c r="H28" i="38"/>
  <c r="H35" i="38"/>
  <c r="H42" i="38"/>
  <c r="H49" i="38"/>
  <c r="H56" i="38"/>
  <c r="H63" i="38"/>
  <c r="H70" i="38"/>
  <c r="H77" i="38"/>
  <c r="H84" i="38"/>
  <c r="H91" i="38"/>
  <c r="H98" i="38"/>
  <c r="H105" i="38"/>
  <c r="H112" i="38"/>
  <c r="H119" i="38"/>
  <c r="H126" i="38"/>
  <c r="H133" i="38"/>
  <c r="H140" i="38"/>
  <c r="H147" i="38"/>
  <c r="H154" i="38"/>
  <c r="H161" i="38"/>
  <c r="H168" i="38"/>
  <c r="H175" i="38"/>
  <c r="H182" i="38"/>
  <c r="H189" i="38"/>
  <c r="H196" i="38"/>
  <c r="H203" i="38"/>
  <c r="H210" i="38"/>
  <c r="H217" i="38"/>
  <c r="H224" i="38"/>
  <c r="H231" i="38"/>
  <c r="H238" i="38"/>
  <c r="H245" i="38"/>
  <c r="H252" i="38"/>
  <c r="H259" i="38"/>
  <c r="H266" i="38"/>
  <c r="H273" i="38"/>
  <c r="H280" i="38"/>
  <c r="H287" i="38"/>
  <c r="H294" i="38"/>
  <c r="H301" i="38"/>
  <c r="H308" i="38"/>
  <c r="H315" i="38"/>
  <c r="H322" i="38"/>
  <c r="H329" i="38"/>
  <c r="H336" i="38"/>
  <c r="H343" i="38"/>
  <c r="H350" i="38"/>
  <c r="H357" i="38"/>
  <c r="H364" i="38"/>
  <c r="H371" i="38"/>
  <c r="H378" i="38"/>
  <c r="H385" i="38"/>
  <c r="H392" i="38"/>
  <c r="H399" i="38"/>
  <c r="H406" i="38"/>
  <c r="H413" i="38"/>
  <c r="H420" i="38"/>
  <c r="H427" i="38"/>
  <c r="H434" i="38"/>
  <c r="H441" i="38"/>
  <c r="H448" i="38"/>
  <c r="H455" i="38"/>
  <c r="H462" i="38"/>
  <c r="H469" i="38"/>
  <c r="H476" i="38"/>
  <c r="H483" i="38"/>
  <c r="H490" i="38"/>
  <c r="H497" i="38"/>
  <c r="H504" i="38"/>
  <c r="H511" i="38"/>
  <c r="H518" i="38"/>
  <c r="H525" i="38"/>
  <c r="H532" i="38"/>
  <c r="H539" i="38"/>
  <c r="H546" i="38"/>
  <c r="H553" i="38"/>
  <c r="H560" i="38"/>
  <c r="H567" i="38"/>
  <c r="H574" i="38"/>
  <c r="H581" i="38"/>
  <c r="H588" i="38"/>
  <c r="H595" i="38"/>
  <c r="H602" i="38"/>
  <c r="H609" i="38"/>
  <c r="H616" i="38"/>
  <c r="H623" i="38"/>
  <c r="H630" i="38"/>
  <c r="H637" i="38"/>
  <c r="H644" i="38"/>
  <c r="H651" i="38"/>
  <c r="H658" i="38"/>
  <c r="H665" i="38"/>
  <c r="H672" i="38"/>
  <c r="H679" i="38"/>
  <c r="H686" i="38"/>
  <c r="H693" i="38"/>
  <c r="H700" i="38"/>
  <c r="H707" i="38"/>
  <c r="H714" i="38"/>
  <c r="H721" i="38"/>
  <c r="I721" i="38"/>
  <c r="J721" i="38"/>
  <c r="G721" i="38"/>
  <c r="B721" i="38"/>
  <c r="AB720" i="38"/>
  <c r="X720" i="38"/>
  <c r="V13" i="38"/>
  <c r="V20" i="38"/>
  <c r="V27" i="38"/>
  <c r="V34" i="38"/>
  <c r="V41" i="38"/>
  <c r="V48" i="38"/>
  <c r="V55" i="38"/>
  <c r="V62" i="38"/>
  <c r="V69" i="38"/>
  <c r="V76" i="38"/>
  <c r="V83" i="38"/>
  <c r="V90" i="38"/>
  <c r="V97" i="38"/>
  <c r="V104" i="38"/>
  <c r="V111" i="38"/>
  <c r="V118" i="38"/>
  <c r="V125" i="38"/>
  <c r="V132" i="38"/>
  <c r="V139" i="38"/>
  <c r="V146" i="38"/>
  <c r="V153" i="38"/>
  <c r="V160" i="38"/>
  <c r="V167" i="38"/>
  <c r="V174" i="38"/>
  <c r="V181" i="38"/>
  <c r="V188" i="38"/>
  <c r="V195" i="38"/>
  <c r="V202" i="38"/>
  <c r="V209" i="38"/>
  <c r="V216" i="38"/>
  <c r="V223" i="38"/>
  <c r="V230" i="38"/>
  <c r="V237" i="38"/>
  <c r="V244" i="38"/>
  <c r="V251" i="38"/>
  <c r="V258" i="38"/>
  <c r="V265" i="38"/>
  <c r="V272" i="38"/>
  <c r="V279" i="38"/>
  <c r="V286" i="38"/>
  <c r="V293" i="38"/>
  <c r="V300" i="38"/>
  <c r="V307" i="38"/>
  <c r="V314" i="38"/>
  <c r="V321" i="38"/>
  <c r="V328" i="38"/>
  <c r="V335" i="38"/>
  <c r="V342" i="38"/>
  <c r="V349" i="38"/>
  <c r="V356" i="38"/>
  <c r="V363" i="38"/>
  <c r="V370" i="38"/>
  <c r="V377" i="38"/>
  <c r="V384" i="38"/>
  <c r="V391" i="38"/>
  <c r="V398" i="38"/>
  <c r="V405" i="38"/>
  <c r="V412" i="38"/>
  <c r="V419" i="38"/>
  <c r="V426" i="38"/>
  <c r="V433" i="38"/>
  <c r="V440" i="38"/>
  <c r="V447" i="38"/>
  <c r="V454" i="38"/>
  <c r="V461" i="38"/>
  <c r="V468" i="38"/>
  <c r="V475" i="38"/>
  <c r="V482" i="38"/>
  <c r="V489" i="38"/>
  <c r="V496" i="38"/>
  <c r="V503" i="38"/>
  <c r="V510" i="38"/>
  <c r="V517" i="38"/>
  <c r="V524" i="38"/>
  <c r="V531" i="38"/>
  <c r="V538" i="38"/>
  <c r="V545" i="38"/>
  <c r="V552" i="38"/>
  <c r="V559" i="38"/>
  <c r="V566" i="38"/>
  <c r="V573" i="38"/>
  <c r="V580" i="38"/>
  <c r="V587" i="38"/>
  <c r="V594" i="38"/>
  <c r="V601" i="38"/>
  <c r="V608" i="38"/>
  <c r="V615" i="38"/>
  <c r="V622" i="38"/>
  <c r="V629" i="38"/>
  <c r="V636" i="38"/>
  <c r="V643" i="38"/>
  <c r="V650" i="38"/>
  <c r="V657" i="38"/>
  <c r="V664" i="38"/>
  <c r="V671" i="38"/>
  <c r="V678" i="38"/>
  <c r="V685" i="38"/>
  <c r="V692" i="38"/>
  <c r="V699" i="38"/>
  <c r="V706" i="38"/>
  <c r="V713" i="38"/>
  <c r="V720" i="38"/>
  <c r="U720" i="38"/>
  <c r="T720" i="38"/>
  <c r="R13" i="38"/>
  <c r="R20" i="38"/>
  <c r="R27" i="38"/>
  <c r="R34" i="38"/>
  <c r="R41" i="38"/>
  <c r="R48" i="38"/>
  <c r="R55" i="38"/>
  <c r="R62" i="38"/>
  <c r="R69" i="38"/>
  <c r="R76" i="38"/>
  <c r="R83" i="38"/>
  <c r="R90" i="38"/>
  <c r="R97" i="38"/>
  <c r="R104" i="38"/>
  <c r="R111" i="38"/>
  <c r="R118" i="38"/>
  <c r="R125" i="38"/>
  <c r="R132" i="38"/>
  <c r="R139" i="38"/>
  <c r="R146" i="38"/>
  <c r="R153" i="38"/>
  <c r="R160" i="38"/>
  <c r="R167" i="38"/>
  <c r="R174" i="38"/>
  <c r="R181" i="38"/>
  <c r="R188" i="38"/>
  <c r="R195" i="38"/>
  <c r="R202" i="38"/>
  <c r="R209" i="38"/>
  <c r="R216" i="38"/>
  <c r="R223" i="38"/>
  <c r="R230" i="38"/>
  <c r="R237" i="38"/>
  <c r="R244" i="38"/>
  <c r="R251" i="38"/>
  <c r="R258" i="38"/>
  <c r="R265" i="38"/>
  <c r="R272" i="38"/>
  <c r="R279" i="38"/>
  <c r="R286" i="38"/>
  <c r="R293" i="38"/>
  <c r="R300" i="38"/>
  <c r="R307" i="38"/>
  <c r="R314" i="38"/>
  <c r="R321" i="38"/>
  <c r="R328" i="38"/>
  <c r="R335" i="38"/>
  <c r="R342" i="38"/>
  <c r="R349" i="38"/>
  <c r="R356" i="38"/>
  <c r="R363" i="38"/>
  <c r="R370" i="38"/>
  <c r="R377" i="38"/>
  <c r="R384" i="38"/>
  <c r="R391" i="38"/>
  <c r="R398" i="38"/>
  <c r="R405" i="38"/>
  <c r="R412" i="38"/>
  <c r="R419" i="38"/>
  <c r="R426" i="38"/>
  <c r="R433" i="38"/>
  <c r="R440" i="38"/>
  <c r="R447" i="38"/>
  <c r="R454" i="38"/>
  <c r="R461" i="38"/>
  <c r="R468" i="38"/>
  <c r="R475" i="38"/>
  <c r="R482" i="38"/>
  <c r="R489" i="38"/>
  <c r="R496" i="38"/>
  <c r="R503" i="38"/>
  <c r="R510" i="38"/>
  <c r="R517" i="38"/>
  <c r="R524" i="38"/>
  <c r="R531" i="38"/>
  <c r="R538" i="38"/>
  <c r="R545" i="38"/>
  <c r="R552" i="38"/>
  <c r="R559" i="38"/>
  <c r="R566" i="38"/>
  <c r="R573" i="38"/>
  <c r="R580" i="38"/>
  <c r="R587" i="38"/>
  <c r="R594" i="38"/>
  <c r="R601" i="38"/>
  <c r="R608" i="38"/>
  <c r="R615" i="38"/>
  <c r="R622" i="38"/>
  <c r="R629" i="38"/>
  <c r="R636" i="38"/>
  <c r="R643" i="38"/>
  <c r="R650" i="38"/>
  <c r="R657" i="38"/>
  <c r="R664" i="38"/>
  <c r="R671" i="38"/>
  <c r="R678" i="38"/>
  <c r="R685" i="38"/>
  <c r="R692" i="38"/>
  <c r="R699" i="38"/>
  <c r="R706" i="38"/>
  <c r="R713" i="38"/>
  <c r="R720" i="38"/>
  <c r="Q720" i="38"/>
  <c r="O720" i="38"/>
  <c r="N720" i="38"/>
  <c r="M720" i="38"/>
  <c r="L720" i="38"/>
  <c r="H13" i="38"/>
  <c r="H20" i="38"/>
  <c r="H27" i="38"/>
  <c r="H34" i="38"/>
  <c r="H41" i="38"/>
  <c r="H48" i="38"/>
  <c r="H55" i="38"/>
  <c r="H62" i="38"/>
  <c r="H69" i="38"/>
  <c r="H76" i="38"/>
  <c r="H83" i="38"/>
  <c r="H90" i="38"/>
  <c r="H97" i="38"/>
  <c r="H104" i="38"/>
  <c r="H111" i="38"/>
  <c r="H118" i="38"/>
  <c r="H125" i="38"/>
  <c r="H132" i="38"/>
  <c r="H139" i="38"/>
  <c r="H146" i="38"/>
  <c r="H153" i="38"/>
  <c r="H160" i="38"/>
  <c r="H167" i="38"/>
  <c r="H174" i="38"/>
  <c r="H181" i="38"/>
  <c r="H188" i="38"/>
  <c r="H195" i="38"/>
  <c r="H202" i="38"/>
  <c r="H209" i="38"/>
  <c r="H216" i="38"/>
  <c r="H223" i="38"/>
  <c r="H230" i="38"/>
  <c r="H237" i="38"/>
  <c r="H244" i="38"/>
  <c r="H251" i="38"/>
  <c r="H258" i="38"/>
  <c r="H265" i="38"/>
  <c r="H272" i="38"/>
  <c r="H279" i="38"/>
  <c r="H286" i="38"/>
  <c r="H293" i="38"/>
  <c r="H300" i="38"/>
  <c r="H307" i="38"/>
  <c r="H314" i="38"/>
  <c r="H321" i="38"/>
  <c r="H328" i="38"/>
  <c r="H335" i="38"/>
  <c r="H342" i="38"/>
  <c r="H349" i="38"/>
  <c r="H356" i="38"/>
  <c r="H363" i="38"/>
  <c r="H370" i="38"/>
  <c r="H377" i="38"/>
  <c r="H384" i="38"/>
  <c r="H391" i="38"/>
  <c r="H398" i="38"/>
  <c r="H405" i="38"/>
  <c r="H412" i="38"/>
  <c r="H419" i="38"/>
  <c r="H426" i="38"/>
  <c r="H433" i="38"/>
  <c r="H440" i="38"/>
  <c r="H447" i="38"/>
  <c r="H454" i="38"/>
  <c r="H461" i="38"/>
  <c r="H468" i="38"/>
  <c r="H475" i="38"/>
  <c r="H482" i="38"/>
  <c r="H489" i="38"/>
  <c r="H496" i="38"/>
  <c r="H503" i="38"/>
  <c r="H510" i="38"/>
  <c r="H517" i="38"/>
  <c r="H524" i="38"/>
  <c r="H531" i="38"/>
  <c r="H538" i="38"/>
  <c r="H545" i="38"/>
  <c r="H552" i="38"/>
  <c r="H559" i="38"/>
  <c r="H566" i="38"/>
  <c r="H573" i="38"/>
  <c r="H580" i="38"/>
  <c r="H587" i="38"/>
  <c r="H594" i="38"/>
  <c r="H601" i="38"/>
  <c r="H608" i="38"/>
  <c r="H615" i="38"/>
  <c r="H622" i="38"/>
  <c r="H629" i="38"/>
  <c r="H636" i="38"/>
  <c r="H643" i="38"/>
  <c r="H650" i="38"/>
  <c r="H657" i="38"/>
  <c r="H664" i="38"/>
  <c r="H671" i="38"/>
  <c r="H678" i="38"/>
  <c r="H685" i="38"/>
  <c r="H692" i="38"/>
  <c r="H699" i="38"/>
  <c r="H706" i="38"/>
  <c r="H713" i="38"/>
  <c r="H720" i="38"/>
  <c r="I720" i="38"/>
  <c r="J720" i="38"/>
  <c r="G720" i="38"/>
  <c r="B720" i="38"/>
  <c r="AB719" i="38"/>
  <c r="X719" i="38"/>
  <c r="V12" i="38"/>
  <c r="V19" i="38"/>
  <c r="V26" i="38"/>
  <c r="V33" i="38"/>
  <c r="V40" i="38"/>
  <c r="V47" i="38"/>
  <c r="V54" i="38"/>
  <c r="V61" i="38"/>
  <c r="V68" i="38"/>
  <c r="V75" i="38"/>
  <c r="V82" i="38"/>
  <c r="V89" i="38"/>
  <c r="V96" i="38"/>
  <c r="V103" i="38"/>
  <c r="V110" i="38"/>
  <c r="V117" i="38"/>
  <c r="V124" i="38"/>
  <c r="V131" i="38"/>
  <c r="V138" i="38"/>
  <c r="V145" i="38"/>
  <c r="V152" i="38"/>
  <c r="V159" i="38"/>
  <c r="V166" i="38"/>
  <c r="V173" i="38"/>
  <c r="V180" i="38"/>
  <c r="V187" i="38"/>
  <c r="V194" i="38"/>
  <c r="V201" i="38"/>
  <c r="V208" i="38"/>
  <c r="V215" i="38"/>
  <c r="V222" i="38"/>
  <c r="V229" i="38"/>
  <c r="V236" i="38"/>
  <c r="V243" i="38"/>
  <c r="V250" i="38"/>
  <c r="V257" i="38"/>
  <c r="V264" i="38"/>
  <c r="V271" i="38"/>
  <c r="V278" i="38"/>
  <c r="V285" i="38"/>
  <c r="V292" i="38"/>
  <c r="V299" i="38"/>
  <c r="V306" i="38"/>
  <c r="V313" i="38"/>
  <c r="V320" i="38"/>
  <c r="V327" i="38"/>
  <c r="V334" i="38"/>
  <c r="V341" i="38"/>
  <c r="V348" i="38"/>
  <c r="V355" i="38"/>
  <c r="V362" i="38"/>
  <c r="V369" i="38"/>
  <c r="V376" i="38"/>
  <c r="V383" i="38"/>
  <c r="V390" i="38"/>
  <c r="V397" i="38"/>
  <c r="V404" i="38"/>
  <c r="V411" i="38"/>
  <c r="V418" i="38"/>
  <c r="V425" i="38"/>
  <c r="V432" i="38"/>
  <c r="V439" i="38"/>
  <c r="V446" i="38"/>
  <c r="V453" i="38"/>
  <c r="V460" i="38"/>
  <c r="V467" i="38"/>
  <c r="V474" i="38"/>
  <c r="V481" i="38"/>
  <c r="V488" i="38"/>
  <c r="V495" i="38"/>
  <c r="V502" i="38"/>
  <c r="V509" i="38"/>
  <c r="V516" i="38"/>
  <c r="V523" i="38"/>
  <c r="V530" i="38"/>
  <c r="V537" i="38"/>
  <c r="V544" i="38"/>
  <c r="V551" i="38"/>
  <c r="V558" i="38"/>
  <c r="V565" i="38"/>
  <c r="V572" i="38"/>
  <c r="V579" i="38"/>
  <c r="V586" i="38"/>
  <c r="V593" i="38"/>
  <c r="V600" i="38"/>
  <c r="V607" i="38"/>
  <c r="V614" i="38"/>
  <c r="V621" i="38"/>
  <c r="V628" i="38"/>
  <c r="V635" i="38"/>
  <c r="V642" i="38"/>
  <c r="V649" i="38"/>
  <c r="V656" i="38"/>
  <c r="V663" i="38"/>
  <c r="V670" i="38"/>
  <c r="V677" i="38"/>
  <c r="V684" i="38"/>
  <c r="V691" i="38"/>
  <c r="V698" i="38"/>
  <c r="V705" i="38"/>
  <c r="V712" i="38"/>
  <c r="V719" i="38"/>
  <c r="U719" i="38"/>
  <c r="T719" i="38"/>
  <c r="R12" i="38"/>
  <c r="R19" i="38"/>
  <c r="R26" i="38"/>
  <c r="R33" i="38"/>
  <c r="R40" i="38"/>
  <c r="R47" i="38"/>
  <c r="R54" i="38"/>
  <c r="R61" i="38"/>
  <c r="R68" i="38"/>
  <c r="R75" i="38"/>
  <c r="R82" i="38"/>
  <c r="R89" i="38"/>
  <c r="R96" i="38"/>
  <c r="R103" i="38"/>
  <c r="R110" i="38"/>
  <c r="R117" i="38"/>
  <c r="R124" i="38"/>
  <c r="R131" i="38"/>
  <c r="R138" i="38"/>
  <c r="R145" i="38"/>
  <c r="R152" i="38"/>
  <c r="R159" i="38"/>
  <c r="R166" i="38"/>
  <c r="R173" i="38"/>
  <c r="R180" i="38"/>
  <c r="R187" i="38"/>
  <c r="R194" i="38"/>
  <c r="R201" i="38"/>
  <c r="R208" i="38"/>
  <c r="R215" i="38"/>
  <c r="R222" i="38"/>
  <c r="R229" i="38"/>
  <c r="R236" i="38"/>
  <c r="R243" i="38"/>
  <c r="R250" i="38"/>
  <c r="R257" i="38"/>
  <c r="R264" i="38"/>
  <c r="R271" i="38"/>
  <c r="R278" i="38"/>
  <c r="R285" i="38"/>
  <c r="R292" i="38"/>
  <c r="R299" i="38"/>
  <c r="R306" i="38"/>
  <c r="R313" i="38"/>
  <c r="R320" i="38"/>
  <c r="R327" i="38"/>
  <c r="R334" i="38"/>
  <c r="R341" i="38"/>
  <c r="R348" i="38"/>
  <c r="R355" i="38"/>
  <c r="R362" i="38"/>
  <c r="R369" i="38"/>
  <c r="R376" i="38"/>
  <c r="R383" i="38"/>
  <c r="R390" i="38"/>
  <c r="R397" i="38"/>
  <c r="R404" i="38"/>
  <c r="R411" i="38"/>
  <c r="R418" i="38"/>
  <c r="R425" i="38"/>
  <c r="R432" i="38"/>
  <c r="R439" i="38"/>
  <c r="R446" i="38"/>
  <c r="R453" i="38"/>
  <c r="R460" i="38"/>
  <c r="R467" i="38"/>
  <c r="R474" i="38"/>
  <c r="R481" i="38"/>
  <c r="R488" i="38"/>
  <c r="R495" i="38"/>
  <c r="R502" i="38"/>
  <c r="R509" i="38"/>
  <c r="R516" i="38"/>
  <c r="R523" i="38"/>
  <c r="R530" i="38"/>
  <c r="R537" i="38"/>
  <c r="R544" i="38"/>
  <c r="R551" i="38"/>
  <c r="R558" i="38"/>
  <c r="R565" i="38"/>
  <c r="R572" i="38"/>
  <c r="R579" i="38"/>
  <c r="R586" i="38"/>
  <c r="R593" i="38"/>
  <c r="R600" i="38"/>
  <c r="R607" i="38"/>
  <c r="R614" i="38"/>
  <c r="R621" i="38"/>
  <c r="R628" i="38"/>
  <c r="R635" i="38"/>
  <c r="R642" i="38"/>
  <c r="R649" i="38"/>
  <c r="R656" i="38"/>
  <c r="R663" i="38"/>
  <c r="R670" i="38"/>
  <c r="R677" i="38"/>
  <c r="R684" i="38"/>
  <c r="R691" i="38"/>
  <c r="R698" i="38"/>
  <c r="R705" i="38"/>
  <c r="R712" i="38"/>
  <c r="R719" i="38"/>
  <c r="Q719" i="38"/>
  <c r="M12" i="38"/>
  <c r="M19" i="38"/>
  <c r="M26" i="38"/>
  <c r="M33" i="38"/>
  <c r="M40" i="38"/>
  <c r="M47" i="38"/>
  <c r="M54" i="38"/>
  <c r="M61" i="38"/>
  <c r="M68" i="38"/>
  <c r="M75" i="38"/>
  <c r="M82" i="38"/>
  <c r="M89" i="38"/>
  <c r="M96" i="38"/>
  <c r="M103" i="38"/>
  <c r="M110" i="38"/>
  <c r="M117" i="38"/>
  <c r="M124" i="38"/>
  <c r="M131" i="38"/>
  <c r="M138" i="38"/>
  <c r="M145" i="38"/>
  <c r="M152" i="38"/>
  <c r="M159" i="38"/>
  <c r="M166" i="38"/>
  <c r="M173" i="38"/>
  <c r="M180" i="38"/>
  <c r="M187" i="38"/>
  <c r="M194" i="38"/>
  <c r="M201" i="38"/>
  <c r="M208" i="38"/>
  <c r="M215" i="38"/>
  <c r="M222" i="38"/>
  <c r="M229" i="38"/>
  <c r="M236" i="38"/>
  <c r="M243" i="38"/>
  <c r="M250" i="38"/>
  <c r="M257" i="38"/>
  <c r="M264" i="38"/>
  <c r="M271" i="38"/>
  <c r="M278" i="38"/>
  <c r="M285" i="38"/>
  <c r="M292" i="38"/>
  <c r="M299" i="38"/>
  <c r="M306" i="38"/>
  <c r="M313" i="38"/>
  <c r="M320" i="38"/>
  <c r="M327" i="38"/>
  <c r="M334" i="38"/>
  <c r="M341" i="38"/>
  <c r="M348" i="38"/>
  <c r="M355" i="38"/>
  <c r="M362" i="38"/>
  <c r="M369" i="38"/>
  <c r="M376" i="38"/>
  <c r="M383" i="38"/>
  <c r="M390" i="38"/>
  <c r="M397" i="38"/>
  <c r="M404" i="38"/>
  <c r="M411" i="38"/>
  <c r="M418" i="38"/>
  <c r="M425" i="38"/>
  <c r="M432" i="38"/>
  <c r="M439" i="38"/>
  <c r="M446" i="38"/>
  <c r="M453" i="38"/>
  <c r="M460" i="38"/>
  <c r="M467" i="38"/>
  <c r="M474" i="38"/>
  <c r="M481" i="38"/>
  <c r="M488" i="38"/>
  <c r="M495" i="38"/>
  <c r="M502" i="38"/>
  <c r="M509" i="38"/>
  <c r="M516" i="38"/>
  <c r="M523" i="38"/>
  <c r="M530" i="38"/>
  <c r="M537" i="38"/>
  <c r="M544" i="38"/>
  <c r="M551" i="38"/>
  <c r="M558" i="38"/>
  <c r="M565" i="38"/>
  <c r="M572" i="38"/>
  <c r="M579" i="38"/>
  <c r="M586" i="38"/>
  <c r="M593" i="38"/>
  <c r="M600" i="38"/>
  <c r="M607" i="38"/>
  <c r="M614" i="38"/>
  <c r="M621" i="38"/>
  <c r="M628" i="38"/>
  <c r="M635" i="38"/>
  <c r="M642" i="38"/>
  <c r="M649" i="38"/>
  <c r="M656" i="38"/>
  <c r="M663" i="38"/>
  <c r="M670" i="38"/>
  <c r="M677" i="38"/>
  <c r="M684" i="38"/>
  <c r="M691" i="38"/>
  <c r="M698" i="38"/>
  <c r="M705" i="38"/>
  <c r="M712" i="38"/>
  <c r="M719" i="38"/>
  <c r="N719" i="38"/>
  <c r="O719" i="38"/>
  <c r="L719" i="38"/>
  <c r="H12" i="38"/>
  <c r="H19" i="38"/>
  <c r="H26" i="38"/>
  <c r="H33" i="38"/>
  <c r="H40" i="38"/>
  <c r="H47" i="38"/>
  <c r="H54" i="38"/>
  <c r="H61" i="38"/>
  <c r="H68" i="38"/>
  <c r="H75" i="38"/>
  <c r="H82" i="38"/>
  <c r="H89" i="38"/>
  <c r="H96" i="38"/>
  <c r="H103" i="38"/>
  <c r="H110" i="38"/>
  <c r="H117" i="38"/>
  <c r="H124" i="38"/>
  <c r="H131" i="38"/>
  <c r="H138" i="38"/>
  <c r="H145" i="38"/>
  <c r="H152" i="38"/>
  <c r="H159" i="38"/>
  <c r="H166" i="38"/>
  <c r="H173" i="38"/>
  <c r="H180" i="38"/>
  <c r="H187" i="38"/>
  <c r="H194" i="38"/>
  <c r="H201" i="38"/>
  <c r="H208" i="38"/>
  <c r="H215" i="38"/>
  <c r="H222" i="38"/>
  <c r="H229" i="38"/>
  <c r="H236" i="38"/>
  <c r="H243" i="38"/>
  <c r="H250" i="38"/>
  <c r="H257" i="38"/>
  <c r="H264" i="38"/>
  <c r="H271" i="38"/>
  <c r="H278" i="38"/>
  <c r="H285" i="38"/>
  <c r="H292" i="38"/>
  <c r="H299" i="38"/>
  <c r="H306" i="38"/>
  <c r="H313" i="38"/>
  <c r="H320" i="38"/>
  <c r="H327" i="38"/>
  <c r="H334" i="38"/>
  <c r="H341" i="38"/>
  <c r="H348" i="38"/>
  <c r="H355" i="38"/>
  <c r="H362" i="38"/>
  <c r="H369" i="38"/>
  <c r="H376" i="38"/>
  <c r="H383" i="38"/>
  <c r="H390" i="38"/>
  <c r="H397" i="38"/>
  <c r="H404" i="38"/>
  <c r="H411" i="38"/>
  <c r="H418" i="38"/>
  <c r="H425" i="38"/>
  <c r="H432" i="38"/>
  <c r="H439" i="38"/>
  <c r="H446" i="38"/>
  <c r="H453" i="38"/>
  <c r="H460" i="38"/>
  <c r="H467" i="38"/>
  <c r="H474" i="38"/>
  <c r="H481" i="38"/>
  <c r="H488" i="38"/>
  <c r="H495" i="38"/>
  <c r="H502" i="38"/>
  <c r="H509" i="38"/>
  <c r="H516" i="38"/>
  <c r="H523" i="38"/>
  <c r="H530" i="38"/>
  <c r="H537" i="38"/>
  <c r="H544" i="38"/>
  <c r="H551" i="38"/>
  <c r="H558" i="38"/>
  <c r="H565" i="38"/>
  <c r="H572" i="38"/>
  <c r="H579" i="38"/>
  <c r="H586" i="38"/>
  <c r="H593" i="38"/>
  <c r="H600" i="38"/>
  <c r="H607" i="38"/>
  <c r="H614" i="38"/>
  <c r="H621" i="38"/>
  <c r="H628" i="38"/>
  <c r="H635" i="38"/>
  <c r="H642" i="38"/>
  <c r="H649" i="38"/>
  <c r="H656" i="38"/>
  <c r="H663" i="38"/>
  <c r="H670" i="38"/>
  <c r="H677" i="38"/>
  <c r="H684" i="38"/>
  <c r="H691" i="38"/>
  <c r="H698" i="38"/>
  <c r="H705" i="38"/>
  <c r="H712" i="38"/>
  <c r="H719" i="38"/>
  <c r="I719" i="38"/>
  <c r="J719" i="38"/>
  <c r="G719" i="38"/>
  <c r="E719" i="38"/>
  <c r="B719" i="38"/>
  <c r="AB718" i="38"/>
  <c r="R11" i="38"/>
  <c r="R18" i="38"/>
  <c r="R25" i="38"/>
  <c r="R32" i="38"/>
  <c r="R39" i="38"/>
  <c r="R46" i="38"/>
  <c r="R53" i="38"/>
  <c r="R60" i="38"/>
  <c r="R67" i="38"/>
  <c r="R74" i="38"/>
  <c r="R81" i="38"/>
  <c r="R88" i="38"/>
  <c r="R95" i="38"/>
  <c r="R102" i="38"/>
  <c r="R109" i="38"/>
  <c r="R116" i="38"/>
  <c r="R123" i="38"/>
  <c r="R130" i="38"/>
  <c r="R137" i="38"/>
  <c r="R144" i="38"/>
  <c r="R151" i="38"/>
  <c r="R158" i="38"/>
  <c r="R165" i="38"/>
  <c r="R172" i="38"/>
  <c r="R179" i="38"/>
  <c r="R186" i="38"/>
  <c r="R193" i="38"/>
  <c r="R200" i="38"/>
  <c r="R207" i="38"/>
  <c r="R214" i="38"/>
  <c r="R221" i="38"/>
  <c r="R228" i="38"/>
  <c r="R235" i="38"/>
  <c r="R242" i="38"/>
  <c r="R249" i="38"/>
  <c r="R256" i="38"/>
  <c r="R263" i="38"/>
  <c r="R270" i="38"/>
  <c r="R277" i="38"/>
  <c r="R284" i="38"/>
  <c r="R291" i="38"/>
  <c r="R298" i="38"/>
  <c r="R305" i="38"/>
  <c r="R312" i="38"/>
  <c r="R319" i="38"/>
  <c r="R326" i="38"/>
  <c r="R333" i="38"/>
  <c r="R340" i="38"/>
  <c r="R347" i="38"/>
  <c r="R354" i="38"/>
  <c r="R361" i="38"/>
  <c r="R368" i="38"/>
  <c r="R375" i="38"/>
  <c r="R382" i="38"/>
  <c r="R389" i="38"/>
  <c r="R396" i="38"/>
  <c r="R403" i="38"/>
  <c r="R410" i="38"/>
  <c r="R417" i="38"/>
  <c r="R424" i="38"/>
  <c r="R431" i="38"/>
  <c r="R438" i="38"/>
  <c r="R445" i="38"/>
  <c r="R452" i="38"/>
  <c r="R459" i="38"/>
  <c r="R466" i="38"/>
  <c r="R473" i="38"/>
  <c r="R480" i="38"/>
  <c r="R487" i="38"/>
  <c r="R494" i="38"/>
  <c r="R501" i="38"/>
  <c r="R508" i="38"/>
  <c r="R515" i="38"/>
  <c r="R522" i="38"/>
  <c r="R529" i="38"/>
  <c r="R536" i="38"/>
  <c r="R543" i="38"/>
  <c r="R550" i="38"/>
  <c r="R557" i="38"/>
  <c r="R564" i="38"/>
  <c r="R571" i="38"/>
  <c r="R578" i="38"/>
  <c r="R585" i="38"/>
  <c r="R592" i="38"/>
  <c r="R599" i="38"/>
  <c r="R606" i="38"/>
  <c r="R613" i="38"/>
  <c r="R620" i="38"/>
  <c r="R627" i="38"/>
  <c r="R634" i="38"/>
  <c r="R641" i="38"/>
  <c r="R648" i="38"/>
  <c r="R655" i="38"/>
  <c r="R662" i="38"/>
  <c r="R669" i="38"/>
  <c r="R676" i="38"/>
  <c r="R683" i="38"/>
  <c r="R690" i="38"/>
  <c r="R697" i="38"/>
  <c r="R704" i="38"/>
  <c r="R711" i="38"/>
  <c r="R718" i="38"/>
  <c r="T718" i="38"/>
  <c r="Z718" i="38"/>
  <c r="X718" i="38"/>
  <c r="V11" i="38"/>
  <c r="V18" i="38"/>
  <c r="V25" i="38"/>
  <c r="V32" i="38"/>
  <c r="V39" i="38"/>
  <c r="V46" i="38"/>
  <c r="V53" i="38"/>
  <c r="V60" i="38"/>
  <c r="V67" i="38"/>
  <c r="V74" i="38"/>
  <c r="V81" i="38"/>
  <c r="V88" i="38"/>
  <c r="V95" i="38"/>
  <c r="V102" i="38"/>
  <c r="V109" i="38"/>
  <c r="V116" i="38"/>
  <c r="V123" i="38"/>
  <c r="V130" i="38"/>
  <c r="V137" i="38"/>
  <c r="V144" i="38"/>
  <c r="V151" i="38"/>
  <c r="V158" i="38"/>
  <c r="V165" i="38"/>
  <c r="V172" i="38"/>
  <c r="V179" i="38"/>
  <c r="V186" i="38"/>
  <c r="V193" i="38"/>
  <c r="V200" i="38"/>
  <c r="V207" i="38"/>
  <c r="V214" i="38"/>
  <c r="V221" i="38"/>
  <c r="V228" i="38"/>
  <c r="V235" i="38"/>
  <c r="V242" i="38"/>
  <c r="V249" i="38"/>
  <c r="V256" i="38"/>
  <c r="V263" i="38"/>
  <c r="V270" i="38"/>
  <c r="V277" i="38"/>
  <c r="V284" i="38"/>
  <c r="V291" i="38"/>
  <c r="V298" i="38"/>
  <c r="V305" i="38"/>
  <c r="V312" i="38"/>
  <c r="V319" i="38"/>
  <c r="V326" i="38"/>
  <c r="V333" i="38"/>
  <c r="V340" i="38"/>
  <c r="V347" i="38"/>
  <c r="V354" i="38"/>
  <c r="V361" i="38"/>
  <c r="V368" i="38"/>
  <c r="V375" i="38"/>
  <c r="V382" i="38"/>
  <c r="V389" i="38"/>
  <c r="V396" i="38"/>
  <c r="V403" i="38"/>
  <c r="V410" i="38"/>
  <c r="V417" i="38"/>
  <c r="V424" i="38"/>
  <c r="V431" i="38"/>
  <c r="V438" i="38"/>
  <c r="V445" i="38"/>
  <c r="V452" i="38"/>
  <c r="V459" i="38"/>
  <c r="V466" i="38"/>
  <c r="V473" i="38"/>
  <c r="V480" i="38"/>
  <c r="V487" i="38"/>
  <c r="V494" i="38"/>
  <c r="V501" i="38"/>
  <c r="V508" i="38"/>
  <c r="V515" i="38"/>
  <c r="V522" i="38"/>
  <c r="V529" i="38"/>
  <c r="V536" i="38"/>
  <c r="V543" i="38"/>
  <c r="V550" i="38"/>
  <c r="V557" i="38"/>
  <c r="V564" i="38"/>
  <c r="V571" i="38"/>
  <c r="V578" i="38"/>
  <c r="V585" i="38"/>
  <c r="V592" i="38"/>
  <c r="V599" i="38"/>
  <c r="V606" i="38"/>
  <c r="V613" i="38"/>
  <c r="V620" i="38"/>
  <c r="V627" i="38"/>
  <c r="V634" i="38"/>
  <c r="V641" i="38"/>
  <c r="V648" i="38"/>
  <c r="V655" i="38"/>
  <c r="V662" i="38"/>
  <c r="V669" i="38"/>
  <c r="V676" i="38"/>
  <c r="V683" i="38"/>
  <c r="V690" i="38"/>
  <c r="V697" i="38"/>
  <c r="V704" i="38"/>
  <c r="V711" i="38"/>
  <c r="V718" i="38"/>
  <c r="U718" i="38"/>
  <c r="Q718" i="38"/>
  <c r="O718" i="38"/>
  <c r="N718" i="38"/>
  <c r="M718" i="38"/>
  <c r="L718" i="38"/>
  <c r="H11" i="38"/>
  <c r="H18" i="38"/>
  <c r="H25" i="38"/>
  <c r="H32" i="38"/>
  <c r="H39" i="38"/>
  <c r="H46" i="38"/>
  <c r="H53" i="38"/>
  <c r="H60" i="38"/>
  <c r="H67" i="38"/>
  <c r="H74" i="38"/>
  <c r="H81" i="38"/>
  <c r="H88" i="38"/>
  <c r="H95" i="38"/>
  <c r="H102" i="38"/>
  <c r="H109" i="38"/>
  <c r="H116" i="38"/>
  <c r="H123" i="38"/>
  <c r="H130" i="38"/>
  <c r="H137" i="38"/>
  <c r="H144" i="38"/>
  <c r="H151" i="38"/>
  <c r="H158" i="38"/>
  <c r="H165" i="38"/>
  <c r="H172" i="38"/>
  <c r="H179" i="38"/>
  <c r="H186" i="38"/>
  <c r="H193" i="38"/>
  <c r="H200" i="38"/>
  <c r="H207" i="38"/>
  <c r="H214" i="38"/>
  <c r="H221" i="38"/>
  <c r="H228" i="38"/>
  <c r="H235" i="38"/>
  <c r="H242" i="38"/>
  <c r="H249" i="38"/>
  <c r="H256" i="38"/>
  <c r="H263" i="38"/>
  <c r="H270" i="38"/>
  <c r="H277" i="38"/>
  <c r="H284" i="38"/>
  <c r="H291" i="38"/>
  <c r="H298" i="38"/>
  <c r="H305" i="38"/>
  <c r="H312" i="38"/>
  <c r="H319" i="38"/>
  <c r="H326" i="38"/>
  <c r="H333" i="38"/>
  <c r="H340" i="38"/>
  <c r="H347" i="38"/>
  <c r="H354" i="38"/>
  <c r="H361" i="38"/>
  <c r="H368" i="38"/>
  <c r="H375" i="38"/>
  <c r="H382" i="38"/>
  <c r="H389" i="38"/>
  <c r="H396" i="38"/>
  <c r="H403" i="38"/>
  <c r="H410" i="38"/>
  <c r="H417" i="38"/>
  <c r="H424" i="38"/>
  <c r="H431" i="38"/>
  <c r="H438" i="38"/>
  <c r="H445" i="38"/>
  <c r="H452" i="38"/>
  <c r="H459" i="38"/>
  <c r="H466" i="38"/>
  <c r="H473" i="38"/>
  <c r="H480" i="38"/>
  <c r="H487" i="38"/>
  <c r="H494" i="38"/>
  <c r="H501" i="38"/>
  <c r="H508" i="38"/>
  <c r="H515" i="38"/>
  <c r="H522" i="38"/>
  <c r="H529" i="38"/>
  <c r="H536" i="38"/>
  <c r="H543" i="38"/>
  <c r="H550" i="38"/>
  <c r="H557" i="38"/>
  <c r="H564" i="38"/>
  <c r="H571" i="38"/>
  <c r="H578" i="38"/>
  <c r="H585" i="38"/>
  <c r="H592" i="38"/>
  <c r="H599" i="38"/>
  <c r="H606" i="38"/>
  <c r="H613" i="38"/>
  <c r="H620" i="38"/>
  <c r="H627" i="38"/>
  <c r="H634" i="38"/>
  <c r="H641" i="38"/>
  <c r="H648" i="38"/>
  <c r="H655" i="38"/>
  <c r="H662" i="38"/>
  <c r="H669" i="38"/>
  <c r="H676" i="38"/>
  <c r="H683" i="38"/>
  <c r="H690" i="38"/>
  <c r="H697" i="38"/>
  <c r="H704" i="38"/>
  <c r="H711" i="38"/>
  <c r="H718" i="38"/>
  <c r="I718" i="38"/>
  <c r="J718" i="38"/>
  <c r="G718" i="38"/>
  <c r="W711" i="38"/>
  <c r="W712" i="38"/>
  <c r="W713" i="38"/>
  <c r="W714" i="38"/>
  <c r="W715" i="38"/>
  <c r="W716" i="38"/>
  <c r="W717" i="38"/>
  <c r="S711" i="38"/>
  <c r="S712" i="38"/>
  <c r="S713" i="38"/>
  <c r="S714" i="38"/>
  <c r="S715" i="38"/>
  <c r="S716" i="38"/>
  <c r="S717" i="38"/>
  <c r="AA714" i="38"/>
  <c r="AA711" i="38"/>
  <c r="AA712" i="38"/>
  <c r="AA716" i="38"/>
  <c r="X717" i="38"/>
  <c r="U717" i="38"/>
  <c r="T717" i="38"/>
  <c r="Q717" i="38"/>
  <c r="L717" i="38"/>
  <c r="J717" i="38"/>
  <c r="I717" i="38"/>
  <c r="H717" i="38"/>
  <c r="G717" i="38"/>
  <c r="D717" i="38"/>
  <c r="E717" i="38"/>
  <c r="B717" i="38"/>
  <c r="Z712" i="38"/>
  <c r="Z715" i="38"/>
  <c r="T711" i="38"/>
  <c r="T712" i="38"/>
  <c r="T713" i="38"/>
  <c r="T714" i="38"/>
  <c r="T715" i="38"/>
  <c r="T716" i="38"/>
  <c r="Z711" i="38"/>
  <c r="X716" i="38"/>
  <c r="U716" i="38"/>
  <c r="Q716" i="38"/>
  <c r="O716" i="38"/>
  <c r="N716" i="38"/>
  <c r="M716" i="38"/>
  <c r="L716" i="38"/>
  <c r="J716" i="38"/>
  <c r="I716" i="38"/>
  <c r="H716" i="38"/>
  <c r="G716" i="38"/>
  <c r="E716" i="38"/>
  <c r="D716" i="38"/>
  <c r="C716" i="38"/>
  <c r="B716" i="38"/>
  <c r="AB715" i="38"/>
  <c r="AA715" i="38"/>
  <c r="X715" i="38"/>
  <c r="U715" i="38"/>
  <c r="Q715" i="38"/>
  <c r="O715" i="38"/>
  <c r="N715" i="38"/>
  <c r="M715" i="38"/>
  <c r="L715" i="38"/>
  <c r="I715" i="38"/>
  <c r="J715" i="38"/>
  <c r="G715" i="38"/>
  <c r="E715" i="38"/>
  <c r="D715" i="38"/>
  <c r="C715" i="38"/>
  <c r="B715" i="38"/>
  <c r="AB714" i="38"/>
  <c r="Z714" i="38"/>
  <c r="X714" i="38"/>
  <c r="U714" i="38"/>
  <c r="Q714" i="38"/>
  <c r="N714" i="38"/>
  <c r="O714" i="38"/>
  <c r="L714" i="38"/>
  <c r="I714" i="38"/>
  <c r="J714" i="38"/>
  <c r="G714" i="38"/>
  <c r="B714" i="38"/>
  <c r="AB713" i="38"/>
  <c r="X713" i="38"/>
  <c r="U713" i="38"/>
  <c r="Q713" i="38"/>
  <c r="O713" i="38"/>
  <c r="N713" i="38"/>
  <c r="M713" i="38"/>
  <c r="L713" i="38"/>
  <c r="I713" i="38"/>
  <c r="J713" i="38"/>
  <c r="G713" i="38"/>
  <c r="B713" i="38"/>
  <c r="AB712" i="38"/>
  <c r="X712" i="38"/>
  <c r="U712" i="38"/>
  <c r="Q712" i="38"/>
  <c r="N712" i="38"/>
  <c r="O712" i="38"/>
  <c r="L712" i="38"/>
  <c r="I712" i="38"/>
  <c r="J712" i="38"/>
  <c r="G712" i="38"/>
  <c r="E712" i="38"/>
  <c r="B712" i="38"/>
  <c r="AB711" i="38"/>
  <c r="X711" i="38"/>
  <c r="U711" i="38"/>
  <c r="Q711" i="38"/>
  <c r="O711" i="38"/>
  <c r="N711" i="38"/>
  <c r="M711" i="38"/>
  <c r="L711" i="38"/>
  <c r="I711" i="38"/>
  <c r="J711" i="38"/>
  <c r="G711" i="38"/>
  <c r="W704" i="38"/>
  <c r="W705" i="38"/>
  <c r="W706" i="38"/>
  <c r="W707" i="38"/>
  <c r="W708" i="38"/>
  <c r="W709" i="38"/>
  <c r="W710" i="38"/>
  <c r="S704" i="38"/>
  <c r="S705" i="38"/>
  <c r="S706" i="38"/>
  <c r="S707" i="38"/>
  <c r="S708" i="38"/>
  <c r="S709" i="38"/>
  <c r="S710" i="38"/>
  <c r="AA707" i="38"/>
  <c r="AA704" i="38"/>
  <c r="AA705" i="38"/>
  <c r="AA709" i="38"/>
  <c r="X710" i="38"/>
  <c r="U710" i="38"/>
  <c r="T710" i="38"/>
  <c r="Q710" i="38"/>
  <c r="L710" i="38"/>
  <c r="J710" i="38"/>
  <c r="I710" i="38"/>
  <c r="H710" i="38"/>
  <c r="G710" i="38"/>
  <c r="D710" i="38"/>
  <c r="E710" i="38"/>
  <c r="B710" i="38"/>
  <c r="Z705" i="38"/>
  <c r="Z708" i="38"/>
  <c r="T704" i="38"/>
  <c r="T705" i="38"/>
  <c r="T706" i="38"/>
  <c r="T707" i="38"/>
  <c r="T708" i="38"/>
  <c r="T709" i="38"/>
  <c r="Z704" i="38"/>
  <c r="X709" i="38"/>
  <c r="U709" i="38"/>
  <c r="Q709" i="38"/>
  <c r="O709" i="38"/>
  <c r="N709" i="38"/>
  <c r="M709" i="38"/>
  <c r="L709" i="38"/>
  <c r="J709" i="38"/>
  <c r="I709" i="38"/>
  <c r="H709" i="38"/>
  <c r="G709" i="38"/>
  <c r="E709" i="38"/>
  <c r="D709" i="38"/>
  <c r="C709" i="38"/>
  <c r="B709" i="38"/>
  <c r="AB708" i="38"/>
  <c r="AA708" i="38"/>
  <c r="X708" i="38"/>
  <c r="U708" i="38"/>
  <c r="Q708" i="38"/>
  <c r="O708" i="38"/>
  <c r="N708" i="38"/>
  <c r="M708" i="38"/>
  <c r="L708" i="38"/>
  <c r="I708" i="38"/>
  <c r="J708" i="38"/>
  <c r="G708" i="38"/>
  <c r="E708" i="38"/>
  <c r="D708" i="38"/>
  <c r="C708" i="38"/>
  <c r="B708" i="38"/>
  <c r="AB707" i="38"/>
  <c r="X707" i="38"/>
  <c r="U707" i="38"/>
  <c r="Q707" i="38"/>
  <c r="N707" i="38"/>
  <c r="O707" i="38"/>
  <c r="L707" i="38"/>
  <c r="I707" i="38"/>
  <c r="J707" i="38"/>
  <c r="G707" i="38"/>
  <c r="B707" i="38"/>
  <c r="AB706" i="38"/>
  <c r="X706" i="38"/>
  <c r="U706" i="38"/>
  <c r="Q706" i="38"/>
  <c r="O706" i="38"/>
  <c r="N706" i="38"/>
  <c r="M706" i="38"/>
  <c r="L706" i="38"/>
  <c r="I706" i="38"/>
  <c r="J706" i="38"/>
  <c r="G706" i="38"/>
  <c r="B706" i="38"/>
  <c r="AB705" i="38"/>
  <c r="X705" i="38"/>
  <c r="U705" i="38"/>
  <c r="Q705" i="38"/>
  <c r="N705" i="38"/>
  <c r="O705" i="38"/>
  <c r="L705" i="38"/>
  <c r="I705" i="38"/>
  <c r="J705" i="38"/>
  <c r="G705" i="38"/>
  <c r="E705" i="38"/>
  <c r="B705" i="38"/>
  <c r="AB704" i="38"/>
  <c r="X704" i="38"/>
  <c r="U704" i="38"/>
  <c r="Q704" i="38"/>
  <c r="O704" i="38"/>
  <c r="N704" i="38"/>
  <c r="M704" i="38"/>
  <c r="L704" i="38"/>
  <c r="I704" i="38"/>
  <c r="J704" i="38"/>
  <c r="G704" i="38"/>
  <c r="W697" i="38"/>
  <c r="W698" i="38"/>
  <c r="W699" i="38"/>
  <c r="W700" i="38"/>
  <c r="W701" i="38"/>
  <c r="W702" i="38"/>
  <c r="W703" i="38"/>
  <c r="S697" i="38"/>
  <c r="S698" i="38"/>
  <c r="S699" i="38"/>
  <c r="S700" i="38"/>
  <c r="S701" i="38"/>
  <c r="S702" i="38"/>
  <c r="S703" i="38"/>
  <c r="AA700" i="38"/>
  <c r="AA697" i="38"/>
  <c r="AA698" i="38"/>
  <c r="AA702" i="38"/>
  <c r="X703" i="38"/>
  <c r="U703" i="38"/>
  <c r="T703" i="38"/>
  <c r="Q703" i="38"/>
  <c r="L703" i="38"/>
  <c r="J703" i="38"/>
  <c r="I703" i="38"/>
  <c r="H703" i="38"/>
  <c r="G703" i="38"/>
  <c r="D703" i="38"/>
  <c r="E703" i="38"/>
  <c r="B703" i="38"/>
  <c r="Z698" i="38"/>
  <c r="Z701" i="38"/>
  <c r="T697" i="38"/>
  <c r="T698" i="38"/>
  <c r="T699" i="38"/>
  <c r="T700" i="38"/>
  <c r="T701" i="38"/>
  <c r="T702" i="38"/>
  <c r="Z697" i="38"/>
  <c r="X702" i="38"/>
  <c r="U702" i="38"/>
  <c r="Q702" i="38"/>
  <c r="O702" i="38"/>
  <c r="N702" i="38"/>
  <c r="M702" i="38"/>
  <c r="L702" i="38"/>
  <c r="J702" i="38"/>
  <c r="I702" i="38"/>
  <c r="H702" i="38"/>
  <c r="G702" i="38"/>
  <c r="E702" i="38"/>
  <c r="D702" i="38"/>
  <c r="C702" i="38"/>
  <c r="B702" i="38"/>
  <c r="AB701" i="38"/>
  <c r="AA701" i="38"/>
  <c r="X701" i="38"/>
  <c r="U701" i="38"/>
  <c r="Q701" i="38"/>
  <c r="O701" i="38"/>
  <c r="N701" i="38"/>
  <c r="M701" i="38"/>
  <c r="L701" i="38"/>
  <c r="I701" i="38"/>
  <c r="J701" i="38"/>
  <c r="G701" i="38"/>
  <c r="E701" i="38"/>
  <c r="D701" i="38"/>
  <c r="C701" i="38"/>
  <c r="B701" i="38"/>
  <c r="AB700" i="38"/>
  <c r="X700" i="38"/>
  <c r="U700" i="38"/>
  <c r="Q700" i="38"/>
  <c r="N700" i="38"/>
  <c r="O700" i="38"/>
  <c r="L700" i="38"/>
  <c r="I700" i="38"/>
  <c r="J700" i="38"/>
  <c r="G700" i="38"/>
  <c r="B700" i="38"/>
  <c r="AB699" i="38"/>
  <c r="X699" i="38"/>
  <c r="U699" i="38"/>
  <c r="Q699" i="38"/>
  <c r="O699" i="38"/>
  <c r="N699" i="38"/>
  <c r="M699" i="38"/>
  <c r="L699" i="38"/>
  <c r="I699" i="38"/>
  <c r="J699" i="38"/>
  <c r="G699" i="38"/>
  <c r="B699" i="38"/>
  <c r="AB698" i="38"/>
  <c r="X698" i="38"/>
  <c r="U698" i="38"/>
  <c r="Q698" i="38"/>
  <c r="N698" i="38"/>
  <c r="O698" i="38"/>
  <c r="L698" i="38"/>
  <c r="I698" i="38"/>
  <c r="J698" i="38"/>
  <c r="G698" i="38"/>
  <c r="E698" i="38"/>
  <c r="B698" i="38"/>
  <c r="AB697" i="38"/>
  <c r="X697" i="38"/>
  <c r="U697" i="38"/>
  <c r="Q697" i="38"/>
  <c r="O697" i="38"/>
  <c r="N697" i="38"/>
  <c r="M697" i="38"/>
  <c r="L697" i="38"/>
  <c r="I697" i="38"/>
  <c r="J697" i="38"/>
  <c r="G697" i="38"/>
  <c r="W690" i="38"/>
  <c r="W691" i="38"/>
  <c r="W692" i="38"/>
  <c r="W693" i="38"/>
  <c r="W694" i="38"/>
  <c r="W695" i="38"/>
  <c r="W696" i="38"/>
  <c r="S690" i="38"/>
  <c r="S691" i="38"/>
  <c r="S692" i="38"/>
  <c r="S693" i="38"/>
  <c r="S694" i="38"/>
  <c r="S695" i="38"/>
  <c r="S696" i="38"/>
  <c r="AA693" i="38"/>
  <c r="AA690" i="38"/>
  <c r="AA691" i="38"/>
  <c r="AA695" i="38"/>
  <c r="X696" i="38"/>
  <c r="U696" i="38"/>
  <c r="T696" i="38"/>
  <c r="Q696" i="38"/>
  <c r="L696" i="38"/>
  <c r="J696" i="38"/>
  <c r="I696" i="38"/>
  <c r="H696" i="38"/>
  <c r="G696" i="38"/>
  <c r="D696" i="38"/>
  <c r="E696" i="38"/>
  <c r="B696" i="38"/>
  <c r="Z691" i="38"/>
  <c r="Z694" i="38"/>
  <c r="T690" i="38"/>
  <c r="T691" i="38"/>
  <c r="T692" i="38"/>
  <c r="T693" i="38"/>
  <c r="T694" i="38"/>
  <c r="T695" i="38"/>
  <c r="Z690" i="38"/>
  <c r="X695" i="38"/>
  <c r="U695" i="38"/>
  <c r="Q695" i="38"/>
  <c r="O695" i="38"/>
  <c r="N695" i="38"/>
  <c r="M695" i="38"/>
  <c r="L695" i="38"/>
  <c r="J695" i="38"/>
  <c r="I695" i="38"/>
  <c r="H695" i="38"/>
  <c r="G695" i="38"/>
  <c r="E695" i="38"/>
  <c r="D695" i="38"/>
  <c r="C695" i="38"/>
  <c r="B695" i="38"/>
  <c r="AB694" i="38"/>
  <c r="AA694" i="38"/>
  <c r="X694" i="38"/>
  <c r="U694" i="38"/>
  <c r="Q694" i="38"/>
  <c r="O694" i="38"/>
  <c r="N694" i="38"/>
  <c r="M694" i="38"/>
  <c r="L694" i="38"/>
  <c r="I694" i="38"/>
  <c r="J694" i="38"/>
  <c r="G694" i="38"/>
  <c r="E694" i="38"/>
  <c r="D694" i="38"/>
  <c r="C694" i="38"/>
  <c r="B694" i="38"/>
  <c r="AB693" i="38"/>
  <c r="X693" i="38"/>
  <c r="U693" i="38"/>
  <c r="Q693" i="38"/>
  <c r="N693" i="38"/>
  <c r="O693" i="38"/>
  <c r="L693" i="38"/>
  <c r="I693" i="38"/>
  <c r="J693" i="38"/>
  <c r="G693" i="38"/>
  <c r="B693" i="38"/>
  <c r="AB692" i="38"/>
  <c r="X692" i="38"/>
  <c r="U692" i="38"/>
  <c r="Q692" i="38"/>
  <c r="O692" i="38"/>
  <c r="N692" i="38"/>
  <c r="M692" i="38"/>
  <c r="L692" i="38"/>
  <c r="I692" i="38"/>
  <c r="J692" i="38"/>
  <c r="G692" i="38"/>
  <c r="B692" i="38"/>
  <c r="AB691" i="38"/>
  <c r="X691" i="38"/>
  <c r="U691" i="38"/>
  <c r="Q691" i="38"/>
  <c r="N691" i="38"/>
  <c r="O691" i="38"/>
  <c r="L691" i="38"/>
  <c r="I691" i="38"/>
  <c r="J691" i="38"/>
  <c r="G691" i="38"/>
  <c r="E691" i="38"/>
  <c r="D691" i="38"/>
  <c r="B691" i="38"/>
  <c r="AB690" i="38"/>
  <c r="X690" i="38"/>
  <c r="U690" i="38"/>
  <c r="Q690" i="38"/>
  <c r="O690" i="38"/>
  <c r="N690" i="38"/>
  <c r="M690" i="38"/>
  <c r="L690" i="38"/>
  <c r="I690" i="38"/>
  <c r="J690" i="38"/>
  <c r="G690" i="38"/>
  <c r="W683" i="38"/>
  <c r="W684" i="38"/>
  <c r="W685" i="38"/>
  <c r="W686" i="38"/>
  <c r="W687" i="38"/>
  <c r="W688" i="38"/>
  <c r="W689" i="38"/>
  <c r="S683" i="38"/>
  <c r="S684" i="38"/>
  <c r="S685" i="38"/>
  <c r="S686" i="38"/>
  <c r="S687" i="38"/>
  <c r="S688" i="38"/>
  <c r="S689" i="38"/>
  <c r="AA686" i="38"/>
  <c r="AA683" i="38"/>
  <c r="AA684" i="38"/>
  <c r="AA688" i="38"/>
  <c r="X689" i="38"/>
  <c r="U689" i="38"/>
  <c r="T689" i="38"/>
  <c r="Q689" i="38"/>
  <c r="L689" i="38"/>
  <c r="J689" i="38"/>
  <c r="I689" i="38"/>
  <c r="H689" i="38"/>
  <c r="G689" i="38"/>
  <c r="D689" i="38"/>
  <c r="E689" i="38"/>
  <c r="B689" i="38"/>
  <c r="Z684" i="38"/>
  <c r="Z687" i="38"/>
  <c r="T683" i="38"/>
  <c r="T684" i="38"/>
  <c r="T685" i="38"/>
  <c r="T686" i="38"/>
  <c r="T687" i="38"/>
  <c r="T688" i="38"/>
  <c r="Z683" i="38"/>
  <c r="X688" i="38"/>
  <c r="U688" i="38"/>
  <c r="Q688" i="38"/>
  <c r="O688" i="38"/>
  <c r="N688" i="38"/>
  <c r="M688" i="38"/>
  <c r="L688" i="38"/>
  <c r="J688" i="38"/>
  <c r="I688" i="38"/>
  <c r="H688" i="38"/>
  <c r="G688" i="38"/>
  <c r="E688" i="38"/>
  <c r="D688" i="38"/>
  <c r="C688" i="38"/>
  <c r="B688" i="38"/>
  <c r="AB687" i="38"/>
  <c r="AA687" i="38"/>
  <c r="X687" i="38"/>
  <c r="U687" i="38"/>
  <c r="Q687" i="38"/>
  <c r="O687" i="38"/>
  <c r="N687" i="38"/>
  <c r="M687" i="38"/>
  <c r="L687" i="38"/>
  <c r="I687" i="38"/>
  <c r="J687" i="38"/>
  <c r="G687" i="38"/>
  <c r="E687" i="38"/>
  <c r="D687" i="38"/>
  <c r="C687" i="38"/>
  <c r="B687" i="38"/>
  <c r="AB686" i="38"/>
  <c r="X686" i="38"/>
  <c r="U686" i="38"/>
  <c r="Q686" i="38"/>
  <c r="N686" i="38"/>
  <c r="O686" i="38"/>
  <c r="L686" i="38"/>
  <c r="I686" i="38"/>
  <c r="J686" i="38"/>
  <c r="G686" i="38"/>
  <c r="B686" i="38"/>
  <c r="AB685" i="38"/>
  <c r="X685" i="38"/>
  <c r="U685" i="38"/>
  <c r="Q685" i="38"/>
  <c r="O685" i="38"/>
  <c r="N685" i="38"/>
  <c r="M685" i="38"/>
  <c r="L685" i="38"/>
  <c r="I685" i="38"/>
  <c r="J685" i="38"/>
  <c r="G685" i="38"/>
  <c r="B685" i="38"/>
  <c r="AB684" i="38"/>
  <c r="X684" i="38"/>
  <c r="U684" i="38"/>
  <c r="Q684" i="38"/>
  <c r="N684" i="38"/>
  <c r="O684" i="38"/>
  <c r="L684" i="38"/>
  <c r="I684" i="38"/>
  <c r="J684" i="38"/>
  <c r="G684" i="38"/>
  <c r="E684" i="38"/>
  <c r="B684" i="38"/>
  <c r="AB683" i="38"/>
  <c r="X683" i="38"/>
  <c r="U683" i="38"/>
  <c r="Q683" i="38"/>
  <c r="O683" i="38"/>
  <c r="N683" i="38"/>
  <c r="M683" i="38"/>
  <c r="L683" i="38"/>
  <c r="I683" i="38"/>
  <c r="J683" i="38"/>
  <c r="G683" i="38"/>
  <c r="W676" i="38"/>
  <c r="W677" i="38"/>
  <c r="W678" i="38"/>
  <c r="W679" i="38"/>
  <c r="W680" i="38"/>
  <c r="W681" i="38"/>
  <c r="W682" i="38"/>
  <c r="S676" i="38"/>
  <c r="S677" i="38"/>
  <c r="S678" i="38"/>
  <c r="S679" i="38"/>
  <c r="S680" i="38"/>
  <c r="S681" i="38"/>
  <c r="S682" i="38"/>
  <c r="AA679" i="38"/>
  <c r="AA676" i="38"/>
  <c r="AA677" i="38"/>
  <c r="AA681" i="38"/>
  <c r="X682" i="38"/>
  <c r="U682" i="38"/>
  <c r="T682" i="38"/>
  <c r="Q682" i="38"/>
  <c r="L682" i="38"/>
  <c r="J682" i="38"/>
  <c r="I682" i="38"/>
  <c r="H682" i="38"/>
  <c r="G682" i="38"/>
  <c r="D682" i="38"/>
  <c r="E682" i="38"/>
  <c r="B682" i="38"/>
  <c r="Z677" i="38"/>
  <c r="Z680" i="38"/>
  <c r="T676" i="38"/>
  <c r="T677" i="38"/>
  <c r="T678" i="38"/>
  <c r="T679" i="38"/>
  <c r="T680" i="38"/>
  <c r="T681" i="38"/>
  <c r="Z676" i="38"/>
  <c r="X681" i="38"/>
  <c r="U681" i="38"/>
  <c r="Q681" i="38"/>
  <c r="O681" i="38"/>
  <c r="N681" i="38"/>
  <c r="M681" i="38"/>
  <c r="L681" i="38"/>
  <c r="J681" i="38"/>
  <c r="I681" i="38"/>
  <c r="H681" i="38"/>
  <c r="G681" i="38"/>
  <c r="E681" i="38"/>
  <c r="D681" i="38"/>
  <c r="C681" i="38"/>
  <c r="B681" i="38"/>
  <c r="AB680" i="38"/>
  <c r="AA680" i="38"/>
  <c r="X680" i="38"/>
  <c r="U680" i="38"/>
  <c r="Q680" i="38"/>
  <c r="O680" i="38"/>
  <c r="N680" i="38"/>
  <c r="M680" i="38"/>
  <c r="L680" i="38"/>
  <c r="I680" i="38"/>
  <c r="J680" i="38"/>
  <c r="G680" i="38"/>
  <c r="E680" i="38"/>
  <c r="D680" i="38"/>
  <c r="C680" i="38"/>
  <c r="B680" i="38"/>
  <c r="AB679" i="38"/>
  <c r="X679" i="38"/>
  <c r="U679" i="38"/>
  <c r="Q679" i="38"/>
  <c r="N679" i="38"/>
  <c r="O679" i="38"/>
  <c r="L679" i="38"/>
  <c r="I679" i="38"/>
  <c r="J679" i="38"/>
  <c r="G679" i="38"/>
  <c r="B679" i="38"/>
  <c r="AB678" i="38"/>
  <c r="X678" i="38"/>
  <c r="U678" i="38"/>
  <c r="Q678" i="38"/>
  <c r="O678" i="38"/>
  <c r="N678" i="38"/>
  <c r="M678" i="38"/>
  <c r="L678" i="38"/>
  <c r="I678" i="38"/>
  <c r="J678" i="38"/>
  <c r="G678" i="38"/>
  <c r="B678" i="38"/>
  <c r="AB677" i="38"/>
  <c r="X677" i="38"/>
  <c r="U677" i="38"/>
  <c r="Q677" i="38"/>
  <c r="N677" i="38"/>
  <c r="O677" i="38"/>
  <c r="L677" i="38"/>
  <c r="I677" i="38"/>
  <c r="J677" i="38"/>
  <c r="G677" i="38"/>
  <c r="E677" i="38"/>
  <c r="B677" i="38"/>
  <c r="AB676" i="38"/>
  <c r="X676" i="38"/>
  <c r="U676" i="38"/>
  <c r="Q676" i="38"/>
  <c r="O676" i="38"/>
  <c r="N676" i="38"/>
  <c r="M676" i="38"/>
  <c r="L676" i="38"/>
  <c r="I676" i="38"/>
  <c r="J676" i="38"/>
  <c r="G676" i="38"/>
  <c r="W669" i="38"/>
  <c r="W670" i="38"/>
  <c r="W671" i="38"/>
  <c r="W672" i="38"/>
  <c r="W673" i="38"/>
  <c r="W674" i="38"/>
  <c r="W675" i="38"/>
  <c r="S669" i="38"/>
  <c r="S670" i="38"/>
  <c r="S671" i="38"/>
  <c r="S672" i="38"/>
  <c r="S673" i="38"/>
  <c r="S674" i="38"/>
  <c r="S675" i="38"/>
  <c r="AA672" i="38"/>
  <c r="AA669" i="38"/>
  <c r="AA670" i="38"/>
  <c r="AA674" i="38"/>
  <c r="X675" i="38"/>
  <c r="U675" i="38"/>
  <c r="T675" i="38"/>
  <c r="Q675" i="38"/>
  <c r="L675" i="38"/>
  <c r="J675" i="38"/>
  <c r="I675" i="38"/>
  <c r="H675" i="38"/>
  <c r="G675" i="38"/>
  <c r="D675" i="38"/>
  <c r="E675" i="38"/>
  <c r="B675" i="38"/>
  <c r="Z670" i="38"/>
  <c r="Z673" i="38"/>
  <c r="T669" i="38"/>
  <c r="T670" i="38"/>
  <c r="T671" i="38"/>
  <c r="T672" i="38"/>
  <c r="T673" i="38"/>
  <c r="T674" i="38"/>
  <c r="Z669" i="38"/>
  <c r="X674" i="38"/>
  <c r="U674" i="38"/>
  <c r="Q674" i="38"/>
  <c r="O674" i="38"/>
  <c r="N674" i="38"/>
  <c r="M674" i="38"/>
  <c r="L674" i="38"/>
  <c r="J674" i="38"/>
  <c r="I674" i="38"/>
  <c r="H674" i="38"/>
  <c r="G674" i="38"/>
  <c r="E674" i="38"/>
  <c r="D674" i="38"/>
  <c r="C674" i="38"/>
  <c r="B674" i="38"/>
  <c r="AB673" i="38"/>
  <c r="AA673" i="38"/>
  <c r="X673" i="38"/>
  <c r="U673" i="38"/>
  <c r="Q673" i="38"/>
  <c r="O673" i="38"/>
  <c r="N673" i="38"/>
  <c r="M673" i="38"/>
  <c r="L673" i="38"/>
  <c r="I673" i="38"/>
  <c r="J673" i="38"/>
  <c r="G673" i="38"/>
  <c r="E673" i="38"/>
  <c r="D673" i="38"/>
  <c r="C673" i="38"/>
  <c r="B673" i="38"/>
  <c r="AB672" i="38"/>
  <c r="X672" i="38"/>
  <c r="U672" i="38"/>
  <c r="Q672" i="38"/>
  <c r="N672" i="38"/>
  <c r="O672" i="38"/>
  <c r="L672" i="38"/>
  <c r="I672" i="38"/>
  <c r="J672" i="38"/>
  <c r="G672" i="38"/>
  <c r="B672" i="38"/>
  <c r="AB671" i="38"/>
  <c r="X671" i="38"/>
  <c r="U671" i="38"/>
  <c r="Q671" i="38"/>
  <c r="O671" i="38"/>
  <c r="N671" i="38"/>
  <c r="M671" i="38"/>
  <c r="L671" i="38"/>
  <c r="I671" i="38"/>
  <c r="J671" i="38"/>
  <c r="G671" i="38"/>
  <c r="B671" i="38"/>
  <c r="AB670" i="38"/>
  <c r="X670" i="38"/>
  <c r="U670" i="38"/>
  <c r="Q670" i="38"/>
  <c r="N670" i="38"/>
  <c r="O670" i="38"/>
  <c r="L670" i="38"/>
  <c r="I670" i="38"/>
  <c r="J670" i="38"/>
  <c r="G670" i="38"/>
  <c r="E670" i="38"/>
  <c r="B670" i="38"/>
  <c r="AB669" i="38"/>
  <c r="X669" i="38"/>
  <c r="U669" i="38"/>
  <c r="Q669" i="38"/>
  <c r="O669" i="38"/>
  <c r="N669" i="38"/>
  <c r="M669" i="38"/>
  <c r="L669" i="38"/>
  <c r="I669" i="38"/>
  <c r="J669" i="38"/>
  <c r="G669" i="38"/>
  <c r="W662" i="38"/>
  <c r="W663" i="38"/>
  <c r="W664" i="38"/>
  <c r="W665" i="38"/>
  <c r="W666" i="38"/>
  <c r="W667" i="38"/>
  <c r="W668" i="38"/>
  <c r="S662" i="38"/>
  <c r="S663" i="38"/>
  <c r="S664" i="38"/>
  <c r="S665" i="38"/>
  <c r="S666" i="38"/>
  <c r="S667" i="38"/>
  <c r="S668" i="38"/>
  <c r="AA665" i="38"/>
  <c r="AA662" i="38"/>
  <c r="AA663" i="38"/>
  <c r="AA667" i="38"/>
  <c r="X668" i="38"/>
  <c r="U668" i="38"/>
  <c r="T668" i="38"/>
  <c r="Q668" i="38"/>
  <c r="L668" i="38"/>
  <c r="J668" i="38"/>
  <c r="I668" i="38"/>
  <c r="H668" i="38"/>
  <c r="G668" i="38"/>
  <c r="D668" i="38"/>
  <c r="E668" i="38"/>
  <c r="B668" i="38"/>
  <c r="Z663" i="38"/>
  <c r="Z666" i="38"/>
  <c r="T662" i="38"/>
  <c r="T663" i="38"/>
  <c r="T664" i="38"/>
  <c r="T665" i="38"/>
  <c r="T666" i="38"/>
  <c r="T667" i="38"/>
  <c r="Z662" i="38"/>
  <c r="X667" i="38"/>
  <c r="U667" i="38"/>
  <c r="Q667" i="38"/>
  <c r="O667" i="38"/>
  <c r="N667" i="38"/>
  <c r="M667" i="38"/>
  <c r="L667" i="38"/>
  <c r="J667" i="38"/>
  <c r="I667" i="38"/>
  <c r="H667" i="38"/>
  <c r="G667" i="38"/>
  <c r="E667" i="38"/>
  <c r="D667" i="38"/>
  <c r="C667" i="38"/>
  <c r="B667" i="38"/>
  <c r="AB666" i="38"/>
  <c r="AA666" i="38"/>
  <c r="X666" i="38"/>
  <c r="U666" i="38"/>
  <c r="Q666" i="38"/>
  <c r="O666" i="38"/>
  <c r="N666" i="38"/>
  <c r="M666" i="38"/>
  <c r="L666" i="38"/>
  <c r="I666" i="38"/>
  <c r="J666" i="38"/>
  <c r="G666" i="38"/>
  <c r="E666" i="38"/>
  <c r="D666" i="38"/>
  <c r="C666" i="38"/>
  <c r="B666" i="38"/>
  <c r="AB665" i="38"/>
  <c r="X665" i="38"/>
  <c r="U665" i="38"/>
  <c r="Q665" i="38"/>
  <c r="N665" i="38"/>
  <c r="O665" i="38"/>
  <c r="L665" i="38"/>
  <c r="I665" i="38"/>
  <c r="J665" i="38"/>
  <c r="G665" i="38"/>
  <c r="B665" i="38"/>
  <c r="AB664" i="38"/>
  <c r="X664" i="38"/>
  <c r="U664" i="38"/>
  <c r="Q664" i="38"/>
  <c r="O664" i="38"/>
  <c r="N664" i="38"/>
  <c r="M664" i="38"/>
  <c r="L664" i="38"/>
  <c r="I664" i="38"/>
  <c r="J664" i="38"/>
  <c r="G664" i="38"/>
  <c r="B664" i="38"/>
  <c r="AB663" i="38"/>
  <c r="X663" i="38"/>
  <c r="U663" i="38"/>
  <c r="Q663" i="38"/>
  <c r="N663" i="38"/>
  <c r="O663" i="38"/>
  <c r="L663" i="38"/>
  <c r="I663" i="38"/>
  <c r="J663" i="38"/>
  <c r="G663" i="38"/>
  <c r="E663" i="38"/>
  <c r="D663" i="38"/>
  <c r="B663" i="38"/>
  <c r="AB662" i="38"/>
  <c r="X662" i="38"/>
  <c r="U662" i="38"/>
  <c r="Q662" i="38"/>
  <c r="O662" i="38"/>
  <c r="N662" i="38"/>
  <c r="M662" i="38"/>
  <c r="L662" i="38"/>
  <c r="I662" i="38"/>
  <c r="J662" i="38"/>
  <c r="G662" i="38"/>
  <c r="W655" i="38"/>
  <c r="W656" i="38"/>
  <c r="W657" i="38"/>
  <c r="W658" i="38"/>
  <c r="W659" i="38"/>
  <c r="W660" i="38"/>
  <c r="W661" i="38"/>
  <c r="S655" i="38"/>
  <c r="S656" i="38"/>
  <c r="S657" i="38"/>
  <c r="S658" i="38"/>
  <c r="S659" i="38"/>
  <c r="S660" i="38"/>
  <c r="S661" i="38"/>
  <c r="AA658" i="38"/>
  <c r="AA655" i="38"/>
  <c r="AA656" i="38"/>
  <c r="AA660" i="38"/>
  <c r="X661" i="38"/>
  <c r="U661" i="38"/>
  <c r="T661" i="38"/>
  <c r="Q661" i="38"/>
  <c r="L661" i="38"/>
  <c r="J661" i="38"/>
  <c r="I661" i="38"/>
  <c r="H661" i="38"/>
  <c r="G661" i="38"/>
  <c r="D661" i="38"/>
  <c r="E661" i="38"/>
  <c r="B661" i="38"/>
  <c r="Z656" i="38"/>
  <c r="Z659" i="38"/>
  <c r="T655" i="38"/>
  <c r="T656" i="38"/>
  <c r="T657" i="38"/>
  <c r="T658" i="38"/>
  <c r="T659" i="38"/>
  <c r="T660" i="38"/>
  <c r="Z655" i="38"/>
  <c r="X660" i="38"/>
  <c r="U660" i="38"/>
  <c r="Q660" i="38"/>
  <c r="O660" i="38"/>
  <c r="N660" i="38"/>
  <c r="M660" i="38"/>
  <c r="L660" i="38"/>
  <c r="J660" i="38"/>
  <c r="I660" i="38"/>
  <c r="H660" i="38"/>
  <c r="G660" i="38"/>
  <c r="E660" i="38"/>
  <c r="D660" i="38"/>
  <c r="C660" i="38"/>
  <c r="B660" i="38"/>
  <c r="AB659" i="38"/>
  <c r="AA659" i="38"/>
  <c r="X659" i="38"/>
  <c r="U659" i="38"/>
  <c r="Q659" i="38"/>
  <c r="O659" i="38"/>
  <c r="N659" i="38"/>
  <c r="M659" i="38"/>
  <c r="L659" i="38"/>
  <c r="I659" i="38"/>
  <c r="J659" i="38"/>
  <c r="G659" i="38"/>
  <c r="E659" i="38"/>
  <c r="D659" i="38"/>
  <c r="C659" i="38"/>
  <c r="B659" i="38"/>
  <c r="AB658" i="38"/>
  <c r="X658" i="38"/>
  <c r="U658" i="38"/>
  <c r="Q658" i="38"/>
  <c r="N658" i="38"/>
  <c r="O658" i="38"/>
  <c r="L658" i="38"/>
  <c r="I658" i="38"/>
  <c r="J658" i="38"/>
  <c r="G658" i="38"/>
  <c r="B658" i="38"/>
  <c r="AB657" i="38"/>
  <c r="X657" i="38"/>
  <c r="U657" i="38"/>
  <c r="Q657" i="38"/>
  <c r="O657" i="38"/>
  <c r="N657" i="38"/>
  <c r="M657" i="38"/>
  <c r="L657" i="38"/>
  <c r="I657" i="38"/>
  <c r="J657" i="38"/>
  <c r="G657" i="38"/>
  <c r="B657" i="38"/>
  <c r="AB656" i="38"/>
  <c r="X656" i="38"/>
  <c r="U656" i="38"/>
  <c r="Q656" i="38"/>
  <c r="N656" i="38"/>
  <c r="O656" i="38"/>
  <c r="L656" i="38"/>
  <c r="I656" i="38"/>
  <c r="J656" i="38"/>
  <c r="G656" i="38"/>
  <c r="E656" i="38"/>
  <c r="B656" i="38"/>
  <c r="AB655" i="38"/>
  <c r="X655" i="38"/>
  <c r="U655" i="38"/>
  <c r="Q655" i="38"/>
  <c r="O655" i="38"/>
  <c r="N655" i="38"/>
  <c r="M655" i="38"/>
  <c r="L655" i="38"/>
  <c r="I655" i="38"/>
  <c r="J655" i="38"/>
  <c r="G655" i="38"/>
  <c r="W648" i="38"/>
  <c r="W649" i="38"/>
  <c r="W650" i="38"/>
  <c r="W651" i="38"/>
  <c r="W652" i="38"/>
  <c r="W653" i="38"/>
  <c r="W654" i="38"/>
  <c r="S648" i="38"/>
  <c r="S649" i="38"/>
  <c r="S650" i="38"/>
  <c r="S651" i="38"/>
  <c r="S652" i="38"/>
  <c r="S653" i="38"/>
  <c r="S654" i="38"/>
  <c r="AA651" i="38"/>
  <c r="AA648" i="38"/>
  <c r="AA649" i="38"/>
  <c r="AA653" i="38"/>
  <c r="X654" i="38"/>
  <c r="U654" i="38"/>
  <c r="T654" i="38"/>
  <c r="Q654" i="38"/>
  <c r="L654" i="38"/>
  <c r="J654" i="38"/>
  <c r="I654" i="38"/>
  <c r="H654" i="38"/>
  <c r="G654" i="38"/>
  <c r="D654" i="38"/>
  <c r="E654" i="38"/>
  <c r="B654" i="38"/>
  <c r="Z649" i="38"/>
  <c r="Z652" i="38"/>
  <c r="T648" i="38"/>
  <c r="T649" i="38"/>
  <c r="T650" i="38"/>
  <c r="T651" i="38"/>
  <c r="T652" i="38"/>
  <c r="T653" i="38"/>
  <c r="Z648" i="38"/>
  <c r="X653" i="38"/>
  <c r="U653" i="38"/>
  <c r="Q653" i="38"/>
  <c r="O653" i="38"/>
  <c r="N653" i="38"/>
  <c r="M653" i="38"/>
  <c r="L653" i="38"/>
  <c r="J653" i="38"/>
  <c r="I653" i="38"/>
  <c r="H653" i="38"/>
  <c r="G653" i="38"/>
  <c r="E653" i="38"/>
  <c r="D653" i="38"/>
  <c r="C653" i="38"/>
  <c r="B653" i="38"/>
  <c r="AB652" i="38"/>
  <c r="AA652" i="38"/>
  <c r="X652" i="38"/>
  <c r="U652" i="38"/>
  <c r="Q652" i="38"/>
  <c r="O652" i="38"/>
  <c r="N652" i="38"/>
  <c r="M652" i="38"/>
  <c r="L652" i="38"/>
  <c r="I652" i="38"/>
  <c r="J652" i="38"/>
  <c r="G652" i="38"/>
  <c r="E652" i="38"/>
  <c r="D652" i="38"/>
  <c r="C652" i="38"/>
  <c r="B652" i="38"/>
  <c r="AB651" i="38"/>
  <c r="X651" i="38"/>
  <c r="U651" i="38"/>
  <c r="Q651" i="38"/>
  <c r="N651" i="38"/>
  <c r="O651" i="38"/>
  <c r="L651" i="38"/>
  <c r="I651" i="38"/>
  <c r="J651" i="38"/>
  <c r="G651" i="38"/>
  <c r="B651" i="38"/>
  <c r="AB650" i="38"/>
  <c r="X650" i="38"/>
  <c r="U650" i="38"/>
  <c r="Q650" i="38"/>
  <c r="O650" i="38"/>
  <c r="N650" i="38"/>
  <c r="M650" i="38"/>
  <c r="L650" i="38"/>
  <c r="I650" i="38"/>
  <c r="J650" i="38"/>
  <c r="G650" i="38"/>
  <c r="B650" i="38"/>
  <c r="AB649" i="38"/>
  <c r="X649" i="38"/>
  <c r="U649" i="38"/>
  <c r="Q649" i="38"/>
  <c r="N649" i="38"/>
  <c r="O649" i="38"/>
  <c r="L649" i="38"/>
  <c r="I649" i="38"/>
  <c r="J649" i="38"/>
  <c r="G649" i="38"/>
  <c r="E649" i="38"/>
  <c r="D649" i="38"/>
  <c r="B649" i="38"/>
  <c r="AB648" i="38"/>
  <c r="X648" i="38"/>
  <c r="U648" i="38"/>
  <c r="Q648" i="38"/>
  <c r="O648" i="38"/>
  <c r="N648" i="38"/>
  <c r="M648" i="38"/>
  <c r="L648" i="38"/>
  <c r="I648" i="38"/>
  <c r="J648" i="38"/>
  <c r="G648" i="38"/>
  <c r="W641" i="38"/>
  <c r="W642" i="38"/>
  <c r="W643" i="38"/>
  <c r="W644" i="38"/>
  <c r="W645" i="38"/>
  <c r="W646" i="38"/>
  <c r="W647" i="38"/>
  <c r="S641" i="38"/>
  <c r="S642" i="38"/>
  <c r="S643" i="38"/>
  <c r="S644" i="38"/>
  <c r="S645" i="38"/>
  <c r="S646" i="38"/>
  <c r="S647" i="38"/>
  <c r="AA644" i="38"/>
  <c r="AA641" i="38"/>
  <c r="AA642" i="38"/>
  <c r="AA646" i="38"/>
  <c r="X647" i="38"/>
  <c r="U647" i="38"/>
  <c r="T647" i="38"/>
  <c r="Q647" i="38"/>
  <c r="L647" i="38"/>
  <c r="J647" i="38"/>
  <c r="I647" i="38"/>
  <c r="H647" i="38"/>
  <c r="G647" i="38"/>
  <c r="D647" i="38"/>
  <c r="E647" i="38"/>
  <c r="B647" i="38"/>
  <c r="Z642" i="38"/>
  <c r="Z645" i="38"/>
  <c r="T641" i="38"/>
  <c r="T642" i="38"/>
  <c r="T643" i="38"/>
  <c r="T644" i="38"/>
  <c r="T645" i="38"/>
  <c r="T646" i="38"/>
  <c r="Z641" i="38"/>
  <c r="X646" i="38"/>
  <c r="U646" i="38"/>
  <c r="Q646" i="38"/>
  <c r="O646" i="38"/>
  <c r="N646" i="38"/>
  <c r="M646" i="38"/>
  <c r="L646" i="38"/>
  <c r="J646" i="38"/>
  <c r="I646" i="38"/>
  <c r="H646" i="38"/>
  <c r="G646" i="38"/>
  <c r="E646" i="38"/>
  <c r="D646" i="38"/>
  <c r="C646" i="38"/>
  <c r="B646" i="38"/>
  <c r="AB645" i="38"/>
  <c r="AA645" i="38"/>
  <c r="X645" i="38"/>
  <c r="U645" i="38"/>
  <c r="Q645" i="38"/>
  <c r="O645" i="38"/>
  <c r="N645" i="38"/>
  <c r="M645" i="38"/>
  <c r="L645" i="38"/>
  <c r="I645" i="38"/>
  <c r="J645" i="38"/>
  <c r="G645" i="38"/>
  <c r="E645" i="38"/>
  <c r="D645" i="38"/>
  <c r="C645" i="38"/>
  <c r="B645" i="38"/>
  <c r="AB644" i="38"/>
  <c r="X644" i="38"/>
  <c r="U644" i="38"/>
  <c r="Q644" i="38"/>
  <c r="N644" i="38"/>
  <c r="O644" i="38"/>
  <c r="L644" i="38"/>
  <c r="I644" i="38"/>
  <c r="J644" i="38"/>
  <c r="G644" i="38"/>
  <c r="B644" i="38"/>
  <c r="AB643" i="38"/>
  <c r="X643" i="38"/>
  <c r="U643" i="38"/>
  <c r="Q643" i="38"/>
  <c r="O643" i="38"/>
  <c r="N643" i="38"/>
  <c r="M643" i="38"/>
  <c r="L643" i="38"/>
  <c r="I643" i="38"/>
  <c r="J643" i="38"/>
  <c r="G643" i="38"/>
  <c r="B643" i="38"/>
  <c r="AB642" i="38"/>
  <c r="X642" i="38"/>
  <c r="U642" i="38"/>
  <c r="Q642" i="38"/>
  <c r="N642" i="38"/>
  <c r="O642" i="38"/>
  <c r="L642" i="38"/>
  <c r="I642" i="38"/>
  <c r="J642" i="38"/>
  <c r="G642" i="38"/>
  <c r="E642" i="38"/>
  <c r="D642" i="38"/>
  <c r="B642" i="38"/>
  <c r="AB641" i="38"/>
  <c r="X641" i="38"/>
  <c r="U641" i="38"/>
  <c r="Q641" i="38"/>
  <c r="O641" i="38"/>
  <c r="N641" i="38"/>
  <c r="M641" i="38"/>
  <c r="L641" i="38"/>
  <c r="I641" i="38"/>
  <c r="J641" i="38"/>
  <c r="G641" i="38"/>
  <c r="W634" i="38"/>
  <c r="W635" i="38"/>
  <c r="W636" i="38"/>
  <c r="W637" i="38"/>
  <c r="W638" i="38"/>
  <c r="W639" i="38"/>
  <c r="W640" i="38"/>
  <c r="S634" i="38"/>
  <c r="S635" i="38"/>
  <c r="S636" i="38"/>
  <c r="S637" i="38"/>
  <c r="S638" i="38"/>
  <c r="S639" i="38"/>
  <c r="S640" i="38"/>
  <c r="AA637" i="38"/>
  <c r="AA634" i="38"/>
  <c r="AA635" i="38"/>
  <c r="AA639" i="38"/>
  <c r="X640" i="38"/>
  <c r="U640" i="38"/>
  <c r="T640" i="38"/>
  <c r="Q640" i="38"/>
  <c r="L640" i="38"/>
  <c r="J640" i="38"/>
  <c r="I640" i="38"/>
  <c r="H640" i="38"/>
  <c r="G640" i="38"/>
  <c r="D640" i="38"/>
  <c r="E640" i="38"/>
  <c r="B640" i="38"/>
  <c r="Z635" i="38"/>
  <c r="Z638" i="38"/>
  <c r="T634" i="38"/>
  <c r="T635" i="38"/>
  <c r="T636" i="38"/>
  <c r="T637" i="38"/>
  <c r="T638" i="38"/>
  <c r="T639" i="38"/>
  <c r="Z634" i="38"/>
  <c r="X639" i="38"/>
  <c r="U639" i="38"/>
  <c r="Q639" i="38"/>
  <c r="O639" i="38"/>
  <c r="N639" i="38"/>
  <c r="M639" i="38"/>
  <c r="L639" i="38"/>
  <c r="J639" i="38"/>
  <c r="I639" i="38"/>
  <c r="H639" i="38"/>
  <c r="G639" i="38"/>
  <c r="E639" i="38"/>
  <c r="D639" i="38"/>
  <c r="C639" i="38"/>
  <c r="B639" i="38"/>
  <c r="AB638" i="38"/>
  <c r="AA638" i="38"/>
  <c r="X638" i="38"/>
  <c r="U638" i="38"/>
  <c r="Q638" i="38"/>
  <c r="O638" i="38"/>
  <c r="N638" i="38"/>
  <c r="M638" i="38"/>
  <c r="L638" i="38"/>
  <c r="I638" i="38"/>
  <c r="J638" i="38"/>
  <c r="G638" i="38"/>
  <c r="E638" i="38"/>
  <c r="D638" i="38"/>
  <c r="C638" i="38"/>
  <c r="B638" i="38"/>
  <c r="AB637" i="38"/>
  <c r="X637" i="38"/>
  <c r="U637" i="38"/>
  <c r="Q637" i="38"/>
  <c r="N637" i="38"/>
  <c r="O637" i="38"/>
  <c r="L637" i="38"/>
  <c r="I637" i="38"/>
  <c r="J637" i="38"/>
  <c r="G637" i="38"/>
  <c r="B637" i="38"/>
  <c r="AB636" i="38"/>
  <c r="X636" i="38"/>
  <c r="U636" i="38"/>
  <c r="Q636" i="38"/>
  <c r="O636" i="38"/>
  <c r="N636" i="38"/>
  <c r="M636" i="38"/>
  <c r="L636" i="38"/>
  <c r="I636" i="38"/>
  <c r="J636" i="38"/>
  <c r="G636" i="38"/>
  <c r="B636" i="38"/>
  <c r="AB635" i="38"/>
  <c r="X635" i="38"/>
  <c r="U635" i="38"/>
  <c r="Q635" i="38"/>
  <c r="N635" i="38"/>
  <c r="O635" i="38"/>
  <c r="L635" i="38"/>
  <c r="I635" i="38"/>
  <c r="J635" i="38"/>
  <c r="G635" i="38"/>
  <c r="E635" i="38"/>
  <c r="B635" i="38"/>
  <c r="AB634" i="38"/>
  <c r="X634" i="38"/>
  <c r="U634" i="38"/>
  <c r="Q634" i="38"/>
  <c r="O634" i="38"/>
  <c r="N634" i="38"/>
  <c r="M634" i="38"/>
  <c r="L634" i="38"/>
  <c r="I634" i="38"/>
  <c r="J634" i="38"/>
  <c r="G634" i="38"/>
  <c r="W627" i="38"/>
  <c r="W628" i="38"/>
  <c r="W629" i="38"/>
  <c r="W630" i="38"/>
  <c r="W631" i="38"/>
  <c r="W632" i="38"/>
  <c r="W633" i="38"/>
  <c r="S627" i="38"/>
  <c r="S628" i="38"/>
  <c r="S629" i="38"/>
  <c r="S630" i="38"/>
  <c r="S631" i="38"/>
  <c r="S632" i="38"/>
  <c r="S633" i="38"/>
  <c r="AA630" i="38"/>
  <c r="AA627" i="38"/>
  <c r="AA628" i="38"/>
  <c r="AA632" i="38"/>
  <c r="X633" i="38"/>
  <c r="U633" i="38"/>
  <c r="T633" i="38"/>
  <c r="Q633" i="38"/>
  <c r="L633" i="38"/>
  <c r="J633" i="38"/>
  <c r="I633" i="38"/>
  <c r="H633" i="38"/>
  <c r="G633" i="38"/>
  <c r="D633" i="38"/>
  <c r="E633" i="38"/>
  <c r="B633" i="38"/>
  <c r="Z628" i="38"/>
  <c r="Z631" i="38"/>
  <c r="T627" i="38"/>
  <c r="T628" i="38"/>
  <c r="T629" i="38"/>
  <c r="T630" i="38"/>
  <c r="T631" i="38"/>
  <c r="T632" i="38"/>
  <c r="Z627" i="38"/>
  <c r="X632" i="38"/>
  <c r="U632" i="38"/>
  <c r="Q632" i="38"/>
  <c r="O632" i="38"/>
  <c r="N632" i="38"/>
  <c r="M632" i="38"/>
  <c r="L632" i="38"/>
  <c r="J632" i="38"/>
  <c r="I632" i="38"/>
  <c r="H632" i="38"/>
  <c r="G632" i="38"/>
  <c r="E632" i="38"/>
  <c r="D632" i="38"/>
  <c r="C632" i="38"/>
  <c r="B632" i="38"/>
  <c r="AB631" i="38"/>
  <c r="AA631" i="38"/>
  <c r="X631" i="38"/>
  <c r="U631" i="38"/>
  <c r="Q631" i="38"/>
  <c r="O631" i="38"/>
  <c r="N631" i="38"/>
  <c r="M631" i="38"/>
  <c r="L631" i="38"/>
  <c r="I631" i="38"/>
  <c r="J631" i="38"/>
  <c r="G631" i="38"/>
  <c r="E631" i="38"/>
  <c r="D631" i="38"/>
  <c r="C631" i="38"/>
  <c r="B631" i="38"/>
  <c r="AB630" i="38"/>
  <c r="X630" i="38"/>
  <c r="U630" i="38"/>
  <c r="Q630" i="38"/>
  <c r="N630" i="38"/>
  <c r="O630" i="38"/>
  <c r="L630" i="38"/>
  <c r="I630" i="38"/>
  <c r="J630" i="38"/>
  <c r="G630" i="38"/>
  <c r="B630" i="38"/>
  <c r="AB629" i="38"/>
  <c r="X629" i="38"/>
  <c r="U629" i="38"/>
  <c r="Q629" i="38"/>
  <c r="O629" i="38"/>
  <c r="N629" i="38"/>
  <c r="M629" i="38"/>
  <c r="L629" i="38"/>
  <c r="I629" i="38"/>
  <c r="J629" i="38"/>
  <c r="G629" i="38"/>
  <c r="B629" i="38"/>
  <c r="AB628" i="38"/>
  <c r="X628" i="38"/>
  <c r="U628" i="38"/>
  <c r="Q628" i="38"/>
  <c r="N628" i="38"/>
  <c r="O628" i="38"/>
  <c r="L628" i="38"/>
  <c r="I628" i="38"/>
  <c r="J628" i="38"/>
  <c r="G628" i="38"/>
  <c r="E628" i="38"/>
  <c r="B628" i="38"/>
  <c r="AB627" i="38"/>
  <c r="X627" i="38"/>
  <c r="U627" i="38"/>
  <c r="Q627" i="38"/>
  <c r="O627" i="38"/>
  <c r="N627" i="38"/>
  <c r="M627" i="38"/>
  <c r="L627" i="38"/>
  <c r="I627" i="38"/>
  <c r="J627" i="38"/>
  <c r="G627" i="38"/>
  <c r="W620" i="38"/>
  <c r="W621" i="38"/>
  <c r="W622" i="38"/>
  <c r="W623" i="38"/>
  <c r="W624" i="38"/>
  <c r="W625" i="38"/>
  <c r="W626" i="38"/>
  <c r="S620" i="38"/>
  <c r="S621" i="38"/>
  <c r="S622" i="38"/>
  <c r="S623" i="38"/>
  <c r="S624" i="38"/>
  <c r="S625" i="38"/>
  <c r="S626" i="38"/>
  <c r="AA623" i="38"/>
  <c r="AA620" i="38"/>
  <c r="AA621" i="38"/>
  <c r="AA625" i="38"/>
  <c r="X626" i="38"/>
  <c r="U626" i="38"/>
  <c r="T626" i="38"/>
  <c r="Q626" i="38"/>
  <c r="L626" i="38"/>
  <c r="J626" i="38"/>
  <c r="I626" i="38"/>
  <c r="H626" i="38"/>
  <c r="G626" i="38"/>
  <c r="D626" i="38"/>
  <c r="E626" i="38"/>
  <c r="B626" i="38"/>
  <c r="Z621" i="38"/>
  <c r="Z624" i="38"/>
  <c r="T620" i="38"/>
  <c r="T621" i="38"/>
  <c r="T622" i="38"/>
  <c r="T623" i="38"/>
  <c r="T624" i="38"/>
  <c r="T625" i="38"/>
  <c r="Z620" i="38"/>
  <c r="X625" i="38"/>
  <c r="U625" i="38"/>
  <c r="Q625" i="38"/>
  <c r="O625" i="38"/>
  <c r="N625" i="38"/>
  <c r="M625" i="38"/>
  <c r="L625" i="38"/>
  <c r="J625" i="38"/>
  <c r="I625" i="38"/>
  <c r="H625" i="38"/>
  <c r="G625" i="38"/>
  <c r="E625" i="38"/>
  <c r="D625" i="38"/>
  <c r="C625" i="38"/>
  <c r="B625" i="38"/>
  <c r="AB624" i="38"/>
  <c r="AA624" i="38"/>
  <c r="X624" i="38"/>
  <c r="U624" i="38"/>
  <c r="Q624" i="38"/>
  <c r="O624" i="38"/>
  <c r="N624" i="38"/>
  <c r="M624" i="38"/>
  <c r="L624" i="38"/>
  <c r="I624" i="38"/>
  <c r="J624" i="38"/>
  <c r="G624" i="38"/>
  <c r="E624" i="38"/>
  <c r="D624" i="38"/>
  <c r="C624" i="38"/>
  <c r="B624" i="38"/>
  <c r="AB623" i="38"/>
  <c r="X623" i="38"/>
  <c r="U623" i="38"/>
  <c r="Q623" i="38"/>
  <c r="N623" i="38"/>
  <c r="O623" i="38"/>
  <c r="L623" i="38"/>
  <c r="I623" i="38"/>
  <c r="J623" i="38"/>
  <c r="G623" i="38"/>
  <c r="B623" i="38"/>
  <c r="AB622" i="38"/>
  <c r="X622" i="38"/>
  <c r="U622" i="38"/>
  <c r="Q622" i="38"/>
  <c r="O622" i="38"/>
  <c r="N622" i="38"/>
  <c r="M622" i="38"/>
  <c r="L622" i="38"/>
  <c r="I622" i="38"/>
  <c r="J622" i="38"/>
  <c r="G622" i="38"/>
  <c r="B622" i="38"/>
  <c r="AB621" i="38"/>
  <c r="X621" i="38"/>
  <c r="U621" i="38"/>
  <c r="Q621" i="38"/>
  <c r="N621" i="38"/>
  <c r="O621" i="38"/>
  <c r="L621" i="38"/>
  <c r="I621" i="38"/>
  <c r="J621" i="38"/>
  <c r="G621" i="38"/>
  <c r="E621" i="38"/>
  <c r="B621" i="38"/>
  <c r="AB620" i="38"/>
  <c r="X620" i="38"/>
  <c r="U620" i="38"/>
  <c r="Q620" i="38"/>
  <c r="O620" i="38"/>
  <c r="N620" i="38"/>
  <c r="M620" i="38"/>
  <c r="L620" i="38"/>
  <c r="I620" i="38"/>
  <c r="J620" i="38"/>
  <c r="G620" i="38"/>
  <c r="W613" i="38"/>
  <c r="W614" i="38"/>
  <c r="W615" i="38"/>
  <c r="W616" i="38"/>
  <c r="W617" i="38"/>
  <c r="W618" i="38"/>
  <c r="W619" i="38"/>
  <c r="S613" i="38"/>
  <c r="S614" i="38"/>
  <c r="S615" i="38"/>
  <c r="S616" i="38"/>
  <c r="S617" i="38"/>
  <c r="S618" i="38"/>
  <c r="S619" i="38"/>
  <c r="AA616" i="38"/>
  <c r="AA613" i="38"/>
  <c r="AA614" i="38"/>
  <c r="AA618" i="38"/>
  <c r="X619" i="38"/>
  <c r="U619" i="38"/>
  <c r="T619" i="38"/>
  <c r="Q619" i="38"/>
  <c r="L619" i="38"/>
  <c r="J619" i="38"/>
  <c r="I619" i="38"/>
  <c r="H619" i="38"/>
  <c r="G619" i="38"/>
  <c r="D619" i="38"/>
  <c r="E619" i="38"/>
  <c r="B619" i="38"/>
  <c r="Z614" i="38"/>
  <c r="Z617" i="38"/>
  <c r="T613" i="38"/>
  <c r="T614" i="38"/>
  <c r="T615" i="38"/>
  <c r="T616" i="38"/>
  <c r="T617" i="38"/>
  <c r="T618" i="38"/>
  <c r="Z613" i="38"/>
  <c r="X618" i="38"/>
  <c r="U618" i="38"/>
  <c r="Q618" i="38"/>
  <c r="O618" i="38"/>
  <c r="N618" i="38"/>
  <c r="M618" i="38"/>
  <c r="L618" i="38"/>
  <c r="J618" i="38"/>
  <c r="I618" i="38"/>
  <c r="H618" i="38"/>
  <c r="G618" i="38"/>
  <c r="E618" i="38"/>
  <c r="D618" i="38"/>
  <c r="C618" i="38"/>
  <c r="B618" i="38"/>
  <c r="AB617" i="38"/>
  <c r="AA617" i="38"/>
  <c r="X617" i="38"/>
  <c r="U617" i="38"/>
  <c r="Q617" i="38"/>
  <c r="O617" i="38"/>
  <c r="N617" i="38"/>
  <c r="M617" i="38"/>
  <c r="L617" i="38"/>
  <c r="I617" i="38"/>
  <c r="J617" i="38"/>
  <c r="G617" i="38"/>
  <c r="E617" i="38"/>
  <c r="D617" i="38"/>
  <c r="C617" i="38"/>
  <c r="B617" i="38"/>
  <c r="AB616" i="38"/>
  <c r="X616" i="38"/>
  <c r="U616" i="38"/>
  <c r="Q616" i="38"/>
  <c r="N616" i="38"/>
  <c r="O616" i="38"/>
  <c r="L616" i="38"/>
  <c r="I616" i="38"/>
  <c r="J616" i="38"/>
  <c r="G616" i="38"/>
  <c r="B616" i="38"/>
  <c r="AB615" i="38"/>
  <c r="X615" i="38"/>
  <c r="U615" i="38"/>
  <c r="Q615" i="38"/>
  <c r="O615" i="38"/>
  <c r="N615" i="38"/>
  <c r="M615" i="38"/>
  <c r="L615" i="38"/>
  <c r="I615" i="38"/>
  <c r="J615" i="38"/>
  <c r="G615" i="38"/>
  <c r="B615" i="38"/>
  <c r="AB614" i="38"/>
  <c r="X614" i="38"/>
  <c r="U614" i="38"/>
  <c r="Q614" i="38"/>
  <c r="N614" i="38"/>
  <c r="O614" i="38"/>
  <c r="L614" i="38"/>
  <c r="I614" i="38"/>
  <c r="J614" i="38"/>
  <c r="G614" i="38"/>
  <c r="E614" i="38"/>
  <c r="B614" i="38"/>
  <c r="AB613" i="38"/>
  <c r="X613" i="38"/>
  <c r="U613" i="38"/>
  <c r="Q613" i="38"/>
  <c r="O613" i="38"/>
  <c r="N613" i="38"/>
  <c r="M613" i="38"/>
  <c r="L613" i="38"/>
  <c r="I613" i="38"/>
  <c r="J613" i="38"/>
  <c r="G613" i="38"/>
  <c r="W606" i="38"/>
  <c r="W607" i="38"/>
  <c r="W608" i="38"/>
  <c r="W609" i="38"/>
  <c r="W610" i="38"/>
  <c r="W611" i="38"/>
  <c r="W612" i="38"/>
  <c r="S606" i="38"/>
  <c r="S607" i="38"/>
  <c r="S608" i="38"/>
  <c r="S609" i="38"/>
  <c r="S610" i="38"/>
  <c r="S611" i="38"/>
  <c r="S612" i="38"/>
  <c r="AA609" i="38"/>
  <c r="AA606" i="38"/>
  <c r="AA607" i="38"/>
  <c r="AA611" i="38"/>
  <c r="X612" i="38"/>
  <c r="U612" i="38"/>
  <c r="T612" i="38"/>
  <c r="Q612" i="38"/>
  <c r="L612" i="38"/>
  <c r="J612" i="38"/>
  <c r="I612" i="38"/>
  <c r="H612" i="38"/>
  <c r="G612" i="38"/>
  <c r="D612" i="38"/>
  <c r="E612" i="38"/>
  <c r="B612" i="38"/>
  <c r="Z607" i="38"/>
  <c r="Z610" i="38"/>
  <c r="T606" i="38"/>
  <c r="T607" i="38"/>
  <c r="T608" i="38"/>
  <c r="T609" i="38"/>
  <c r="T610" i="38"/>
  <c r="T611" i="38"/>
  <c r="Z606" i="38"/>
  <c r="X611" i="38"/>
  <c r="U611" i="38"/>
  <c r="Q611" i="38"/>
  <c r="O611" i="38"/>
  <c r="N611" i="38"/>
  <c r="M611" i="38"/>
  <c r="L611" i="38"/>
  <c r="J611" i="38"/>
  <c r="I611" i="38"/>
  <c r="H611" i="38"/>
  <c r="G611" i="38"/>
  <c r="E611" i="38"/>
  <c r="D611" i="38"/>
  <c r="C611" i="38"/>
  <c r="B611" i="38"/>
  <c r="AB610" i="38"/>
  <c r="AA610" i="38"/>
  <c r="X610" i="38"/>
  <c r="U610" i="38"/>
  <c r="Q610" i="38"/>
  <c r="O610" i="38"/>
  <c r="N610" i="38"/>
  <c r="M610" i="38"/>
  <c r="L610" i="38"/>
  <c r="I610" i="38"/>
  <c r="J610" i="38"/>
  <c r="G610" i="38"/>
  <c r="E610" i="38"/>
  <c r="D610" i="38"/>
  <c r="C610" i="38"/>
  <c r="B610" i="38"/>
  <c r="AB609" i="38"/>
  <c r="X609" i="38"/>
  <c r="U609" i="38"/>
  <c r="Q609" i="38"/>
  <c r="N609" i="38"/>
  <c r="O609" i="38"/>
  <c r="L609" i="38"/>
  <c r="I609" i="38"/>
  <c r="J609" i="38"/>
  <c r="G609" i="38"/>
  <c r="B609" i="38"/>
  <c r="AB608" i="38"/>
  <c r="X608" i="38"/>
  <c r="U608" i="38"/>
  <c r="Q608" i="38"/>
  <c r="O608" i="38"/>
  <c r="N608" i="38"/>
  <c r="M608" i="38"/>
  <c r="L608" i="38"/>
  <c r="I608" i="38"/>
  <c r="J608" i="38"/>
  <c r="G608" i="38"/>
  <c r="B608" i="38"/>
  <c r="AB607" i="38"/>
  <c r="X607" i="38"/>
  <c r="U607" i="38"/>
  <c r="Q607" i="38"/>
  <c r="N607" i="38"/>
  <c r="O607" i="38"/>
  <c r="L607" i="38"/>
  <c r="I607" i="38"/>
  <c r="J607" i="38"/>
  <c r="G607" i="38"/>
  <c r="E607" i="38"/>
  <c r="D607" i="38"/>
  <c r="B607" i="38"/>
  <c r="AB606" i="38"/>
  <c r="X606" i="38"/>
  <c r="U606" i="38"/>
  <c r="Q606" i="38"/>
  <c r="O606" i="38"/>
  <c r="N606" i="38"/>
  <c r="M606" i="38"/>
  <c r="L606" i="38"/>
  <c r="I606" i="38"/>
  <c r="J606" i="38"/>
  <c r="G606" i="38"/>
  <c r="W599" i="38"/>
  <c r="W600" i="38"/>
  <c r="W601" i="38"/>
  <c r="W602" i="38"/>
  <c r="W603" i="38"/>
  <c r="W604" i="38"/>
  <c r="W605" i="38"/>
  <c r="S599" i="38"/>
  <c r="S600" i="38"/>
  <c r="S601" i="38"/>
  <c r="S602" i="38"/>
  <c r="S603" i="38"/>
  <c r="S604" i="38"/>
  <c r="S605" i="38"/>
  <c r="AA602" i="38"/>
  <c r="AA599" i="38"/>
  <c r="AA600" i="38"/>
  <c r="AA604" i="38"/>
  <c r="X605" i="38"/>
  <c r="U605" i="38"/>
  <c r="T605" i="38"/>
  <c r="Q605" i="38"/>
  <c r="L605" i="38"/>
  <c r="J605" i="38"/>
  <c r="I605" i="38"/>
  <c r="H605" i="38"/>
  <c r="G605" i="38"/>
  <c r="D605" i="38"/>
  <c r="E605" i="38"/>
  <c r="B605" i="38"/>
  <c r="Z600" i="38"/>
  <c r="Z603" i="38"/>
  <c r="T599" i="38"/>
  <c r="T600" i="38"/>
  <c r="T601" i="38"/>
  <c r="T602" i="38"/>
  <c r="T603" i="38"/>
  <c r="T604" i="38"/>
  <c r="Z599" i="38"/>
  <c r="X604" i="38"/>
  <c r="U604" i="38"/>
  <c r="Q604" i="38"/>
  <c r="O604" i="38"/>
  <c r="N604" i="38"/>
  <c r="M604" i="38"/>
  <c r="L604" i="38"/>
  <c r="J604" i="38"/>
  <c r="I604" i="38"/>
  <c r="H604" i="38"/>
  <c r="G604" i="38"/>
  <c r="E604" i="38"/>
  <c r="D604" i="38"/>
  <c r="C604" i="38"/>
  <c r="B604" i="38"/>
  <c r="AB603" i="38"/>
  <c r="AA603" i="38"/>
  <c r="X603" i="38"/>
  <c r="U603" i="38"/>
  <c r="Q603" i="38"/>
  <c r="O603" i="38"/>
  <c r="N603" i="38"/>
  <c r="M603" i="38"/>
  <c r="L603" i="38"/>
  <c r="I603" i="38"/>
  <c r="J603" i="38"/>
  <c r="G603" i="38"/>
  <c r="E603" i="38"/>
  <c r="D603" i="38"/>
  <c r="C603" i="38"/>
  <c r="B603" i="38"/>
  <c r="AB602" i="38"/>
  <c r="X602" i="38"/>
  <c r="U602" i="38"/>
  <c r="Q602" i="38"/>
  <c r="N602" i="38"/>
  <c r="O602" i="38"/>
  <c r="L602" i="38"/>
  <c r="I602" i="38"/>
  <c r="J602" i="38"/>
  <c r="G602" i="38"/>
  <c r="B602" i="38"/>
  <c r="AB601" i="38"/>
  <c r="X601" i="38"/>
  <c r="U601" i="38"/>
  <c r="Q601" i="38"/>
  <c r="O601" i="38"/>
  <c r="N601" i="38"/>
  <c r="M601" i="38"/>
  <c r="L601" i="38"/>
  <c r="I601" i="38"/>
  <c r="J601" i="38"/>
  <c r="G601" i="38"/>
  <c r="B601" i="38"/>
  <c r="AB600" i="38"/>
  <c r="X600" i="38"/>
  <c r="U600" i="38"/>
  <c r="Q600" i="38"/>
  <c r="N600" i="38"/>
  <c r="O600" i="38"/>
  <c r="L600" i="38"/>
  <c r="I600" i="38"/>
  <c r="J600" i="38"/>
  <c r="G600" i="38"/>
  <c r="E600" i="38"/>
  <c r="B600" i="38"/>
  <c r="AB599" i="38"/>
  <c r="X599" i="38"/>
  <c r="U599" i="38"/>
  <c r="Q599" i="38"/>
  <c r="O599" i="38"/>
  <c r="N599" i="38"/>
  <c r="M599" i="38"/>
  <c r="L599" i="38"/>
  <c r="I599" i="38"/>
  <c r="J599" i="38"/>
  <c r="G599" i="38"/>
  <c r="W592" i="38"/>
  <c r="W593" i="38"/>
  <c r="W594" i="38"/>
  <c r="W595" i="38"/>
  <c r="W596" i="38"/>
  <c r="W597" i="38"/>
  <c r="W598" i="38"/>
  <c r="S592" i="38"/>
  <c r="S593" i="38"/>
  <c r="S594" i="38"/>
  <c r="S595" i="38"/>
  <c r="S596" i="38"/>
  <c r="S597" i="38"/>
  <c r="S598" i="38"/>
  <c r="AA595" i="38"/>
  <c r="AA592" i="38"/>
  <c r="AA593" i="38"/>
  <c r="AA597" i="38"/>
  <c r="X598" i="38"/>
  <c r="U598" i="38"/>
  <c r="T598" i="38"/>
  <c r="Q598" i="38"/>
  <c r="L598" i="38"/>
  <c r="J598" i="38"/>
  <c r="I598" i="38"/>
  <c r="H598" i="38"/>
  <c r="G598" i="38"/>
  <c r="D598" i="38"/>
  <c r="E598" i="38"/>
  <c r="B598" i="38"/>
  <c r="Z593" i="38"/>
  <c r="Z596" i="38"/>
  <c r="T592" i="38"/>
  <c r="T593" i="38"/>
  <c r="T594" i="38"/>
  <c r="T595" i="38"/>
  <c r="T596" i="38"/>
  <c r="T597" i="38"/>
  <c r="Z592" i="38"/>
  <c r="X597" i="38"/>
  <c r="U597" i="38"/>
  <c r="Q597" i="38"/>
  <c r="O597" i="38"/>
  <c r="N597" i="38"/>
  <c r="M597" i="38"/>
  <c r="L597" i="38"/>
  <c r="J597" i="38"/>
  <c r="I597" i="38"/>
  <c r="H597" i="38"/>
  <c r="G597" i="38"/>
  <c r="E597" i="38"/>
  <c r="D597" i="38"/>
  <c r="C597" i="38"/>
  <c r="B597" i="38"/>
  <c r="AB596" i="38"/>
  <c r="AA596" i="38"/>
  <c r="X596" i="38"/>
  <c r="U596" i="38"/>
  <c r="Q596" i="38"/>
  <c r="O596" i="38"/>
  <c r="N596" i="38"/>
  <c r="M596" i="38"/>
  <c r="L596" i="38"/>
  <c r="I596" i="38"/>
  <c r="J596" i="38"/>
  <c r="G596" i="38"/>
  <c r="E596" i="38"/>
  <c r="D596" i="38"/>
  <c r="C596" i="38"/>
  <c r="B596" i="38"/>
  <c r="AB595" i="38"/>
  <c r="X595" i="38"/>
  <c r="U595" i="38"/>
  <c r="Q595" i="38"/>
  <c r="N595" i="38"/>
  <c r="O595" i="38"/>
  <c r="L595" i="38"/>
  <c r="I595" i="38"/>
  <c r="J595" i="38"/>
  <c r="G595" i="38"/>
  <c r="B595" i="38"/>
  <c r="AB594" i="38"/>
  <c r="X594" i="38"/>
  <c r="U594" i="38"/>
  <c r="Q594" i="38"/>
  <c r="O594" i="38"/>
  <c r="N594" i="38"/>
  <c r="M594" i="38"/>
  <c r="L594" i="38"/>
  <c r="I594" i="38"/>
  <c r="J594" i="38"/>
  <c r="G594" i="38"/>
  <c r="B594" i="38"/>
  <c r="AB593" i="38"/>
  <c r="X593" i="38"/>
  <c r="U593" i="38"/>
  <c r="Q593" i="38"/>
  <c r="N593" i="38"/>
  <c r="O593" i="38"/>
  <c r="L593" i="38"/>
  <c r="I593" i="38"/>
  <c r="J593" i="38"/>
  <c r="G593" i="38"/>
  <c r="E593" i="38"/>
  <c r="B593" i="38"/>
  <c r="AB592" i="38"/>
  <c r="X592" i="38"/>
  <c r="U592" i="38"/>
  <c r="Q592" i="38"/>
  <c r="O592" i="38"/>
  <c r="N592" i="38"/>
  <c r="M592" i="38"/>
  <c r="L592" i="38"/>
  <c r="I592" i="38"/>
  <c r="J592" i="38"/>
  <c r="G592" i="38"/>
  <c r="W585" i="38"/>
  <c r="W586" i="38"/>
  <c r="W587" i="38"/>
  <c r="W588" i="38"/>
  <c r="W589" i="38"/>
  <c r="W590" i="38"/>
  <c r="W591" i="38"/>
  <c r="S585" i="38"/>
  <c r="S586" i="38"/>
  <c r="S587" i="38"/>
  <c r="S588" i="38"/>
  <c r="S589" i="38"/>
  <c r="S590" i="38"/>
  <c r="S591" i="38"/>
  <c r="AA588" i="38"/>
  <c r="AA585" i="38"/>
  <c r="AA586" i="38"/>
  <c r="AA590" i="38"/>
  <c r="X591" i="38"/>
  <c r="U591" i="38"/>
  <c r="T591" i="38"/>
  <c r="Q591" i="38"/>
  <c r="L591" i="38"/>
  <c r="J591" i="38"/>
  <c r="I591" i="38"/>
  <c r="H591" i="38"/>
  <c r="G591" i="38"/>
  <c r="D591" i="38"/>
  <c r="E591" i="38"/>
  <c r="B591" i="38"/>
  <c r="Z586" i="38"/>
  <c r="Z589" i="38"/>
  <c r="T585" i="38"/>
  <c r="T586" i="38"/>
  <c r="T587" i="38"/>
  <c r="T588" i="38"/>
  <c r="T589" i="38"/>
  <c r="T590" i="38"/>
  <c r="Z585" i="38"/>
  <c r="X590" i="38"/>
  <c r="U590" i="38"/>
  <c r="Q590" i="38"/>
  <c r="O590" i="38"/>
  <c r="N590" i="38"/>
  <c r="M590" i="38"/>
  <c r="L590" i="38"/>
  <c r="J590" i="38"/>
  <c r="I590" i="38"/>
  <c r="H590" i="38"/>
  <c r="G590" i="38"/>
  <c r="E590" i="38"/>
  <c r="D590" i="38"/>
  <c r="C590" i="38"/>
  <c r="B590" i="38"/>
  <c r="AB589" i="38"/>
  <c r="AA589" i="38"/>
  <c r="X589" i="38"/>
  <c r="U589" i="38"/>
  <c r="Q589" i="38"/>
  <c r="O589" i="38"/>
  <c r="N589" i="38"/>
  <c r="M589" i="38"/>
  <c r="L589" i="38"/>
  <c r="I589" i="38"/>
  <c r="J589" i="38"/>
  <c r="G589" i="38"/>
  <c r="E589" i="38"/>
  <c r="D589" i="38"/>
  <c r="C589" i="38"/>
  <c r="B589" i="38"/>
  <c r="AB588" i="38"/>
  <c r="X588" i="38"/>
  <c r="U588" i="38"/>
  <c r="Q588" i="38"/>
  <c r="N588" i="38"/>
  <c r="O588" i="38"/>
  <c r="L588" i="38"/>
  <c r="I588" i="38"/>
  <c r="J588" i="38"/>
  <c r="G588" i="38"/>
  <c r="B588" i="38"/>
  <c r="AB587" i="38"/>
  <c r="X587" i="38"/>
  <c r="U587" i="38"/>
  <c r="Q587" i="38"/>
  <c r="O587" i="38"/>
  <c r="N587" i="38"/>
  <c r="M587" i="38"/>
  <c r="L587" i="38"/>
  <c r="I587" i="38"/>
  <c r="J587" i="38"/>
  <c r="G587" i="38"/>
  <c r="B587" i="38"/>
  <c r="AB586" i="38"/>
  <c r="X586" i="38"/>
  <c r="U586" i="38"/>
  <c r="Q586" i="38"/>
  <c r="N586" i="38"/>
  <c r="O586" i="38"/>
  <c r="L586" i="38"/>
  <c r="I586" i="38"/>
  <c r="J586" i="38"/>
  <c r="G586" i="38"/>
  <c r="E586" i="38"/>
  <c r="B586" i="38"/>
  <c r="AB585" i="38"/>
  <c r="X585" i="38"/>
  <c r="U585" i="38"/>
  <c r="Q585" i="38"/>
  <c r="O585" i="38"/>
  <c r="N585" i="38"/>
  <c r="M585" i="38"/>
  <c r="L585" i="38"/>
  <c r="I585" i="38"/>
  <c r="J585" i="38"/>
  <c r="G585" i="38"/>
  <c r="W578" i="38"/>
  <c r="W579" i="38"/>
  <c r="W580" i="38"/>
  <c r="W581" i="38"/>
  <c r="W582" i="38"/>
  <c r="W583" i="38"/>
  <c r="W584" i="38"/>
  <c r="S578" i="38"/>
  <c r="S579" i="38"/>
  <c r="S580" i="38"/>
  <c r="S581" i="38"/>
  <c r="S582" i="38"/>
  <c r="S583" i="38"/>
  <c r="S584" i="38"/>
  <c r="AA581" i="38"/>
  <c r="AA578" i="38"/>
  <c r="AA579" i="38"/>
  <c r="AA583" i="38"/>
  <c r="X584" i="38"/>
  <c r="U584" i="38"/>
  <c r="T584" i="38"/>
  <c r="Q584" i="38"/>
  <c r="L584" i="38"/>
  <c r="J584" i="38"/>
  <c r="I584" i="38"/>
  <c r="H584" i="38"/>
  <c r="G584" i="38"/>
  <c r="D584" i="38"/>
  <c r="E584" i="38"/>
  <c r="B584" i="38"/>
  <c r="Z579" i="38"/>
  <c r="Z582" i="38"/>
  <c r="T578" i="38"/>
  <c r="T579" i="38"/>
  <c r="T580" i="38"/>
  <c r="T581" i="38"/>
  <c r="T582" i="38"/>
  <c r="T583" i="38"/>
  <c r="Z578" i="38"/>
  <c r="X583" i="38"/>
  <c r="U583" i="38"/>
  <c r="Q583" i="38"/>
  <c r="O583" i="38"/>
  <c r="N583" i="38"/>
  <c r="M583" i="38"/>
  <c r="L583" i="38"/>
  <c r="J583" i="38"/>
  <c r="I583" i="38"/>
  <c r="H583" i="38"/>
  <c r="G583" i="38"/>
  <c r="E583" i="38"/>
  <c r="D583" i="38"/>
  <c r="C583" i="38"/>
  <c r="B583" i="38"/>
  <c r="AB582" i="38"/>
  <c r="AA582" i="38"/>
  <c r="X582" i="38"/>
  <c r="U582" i="38"/>
  <c r="Q582" i="38"/>
  <c r="O582" i="38"/>
  <c r="N582" i="38"/>
  <c r="M582" i="38"/>
  <c r="L582" i="38"/>
  <c r="I582" i="38"/>
  <c r="J582" i="38"/>
  <c r="G582" i="38"/>
  <c r="E582" i="38"/>
  <c r="D582" i="38"/>
  <c r="C582" i="38"/>
  <c r="B582" i="38"/>
  <c r="AB581" i="38"/>
  <c r="X581" i="38"/>
  <c r="U581" i="38"/>
  <c r="Q581" i="38"/>
  <c r="N581" i="38"/>
  <c r="O581" i="38"/>
  <c r="L581" i="38"/>
  <c r="I581" i="38"/>
  <c r="J581" i="38"/>
  <c r="G581" i="38"/>
  <c r="B581" i="38"/>
  <c r="AB580" i="38"/>
  <c r="X580" i="38"/>
  <c r="U580" i="38"/>
  <c r="Q580" i="38"/>
  <c r="O580" i="38"/>
  <c r="N580" i="38"/>
  <c r="M580" i="38"/>
  <c r="L580" i="38"/>
  <c r="I580" i="38"/>
  <c r="J580" i="38"/>
  <c r="G580" i="38"/>
  <c r="B580" i="38"/>
  <c r="AB579" i="38"/>
  <c r="X579" i="38"/>
  <c r="U579" i="38"/>
  <c r="Q579" i="38"/>
  <c r="N579" i="38"/>
  <c r="O579" i="38"/>
  <c r="L579" i="38"/>
  <c r="I579" i="38"/>
  <c r="J579" i="38"/>
  <c r="G579" i="38"/>
  <c r="E579" i="38"/>
  <c r="D579" i="38"/>
  <c r="B579" i="38"/>
  <c r="AB578" i="38"/>
  <c r="X578" i="38"/>
  <c r="U578" i="38"/>
  <c r="Q578" i="38"/>
  <c r="O578" i="38"/>
  <c r="N578" i="38"/>
  <c r="M578" i="38"/>
  <c r="L578" i="38"/>
  <c r="I578" i="38"/>
  <c r="J578" i="38"/>
  <c r="G578" i="38"/>
  <c r="W571" i="38"/>
  <c r="W572" i="38"/>
  <c r="W573" i="38"/>
  <c r="W574" i="38"/>
  <c r="W575" i="38"/>
  <c r="W576" i="38"/>
  <c r="W577" i="38"/>
  <c r="S571" i="38"/>
  <c r="S572" i="38"/>
  <c r="S573" i="38"/>
  <c r="S574" i="38"/>
  <c r="S575" i="38"/>
  <c r="S576" i="38"/>
  <c r="S577" i="38"/>
  <c r="AA574" i="38"/>
  <c r="AA571" i="38"/>
  <c r="AA572" i="38"/>
  <c r="AA576" i="38"/>
  <c r="X577" i="38"/>
  <c r="U577" i="38"/>
  <c r="T577" i="38"/>
  <c r="Q577" i="38"/>
  <c r="L577" i="38"/>
  <c r="J577" i="38"/>
  <c r="I577" i="38"/>
  <c r="H577" i="38"/>
  <c r="G577" i="38"/>
  <c r="D577" i="38"/>
  <c r="E577" i="38"/>
  <c r="B577" i="38"/>
  <c r="Z572" i="38"/>
  <c r="Z575" i="38"/>
  <c r="T571" i="38"/>
  <c r="T572" i="38"/>
  <c r="T573" i="38"/>
  <c r="T574" i="38"/>
  <c r="T575" i="38"/>
  <c r="T576" i="38"/>
  <c r="Z571" i="38"/>
  <c r="X576" i="38"/>
  <c r="U576" i="38"/>
  <c r="Q576" i="38"/>
  <c r="O576" i="38"/>
  <c r="N576" i="38"/>
  <c r="M576" i="38"/>
  <c r="L576" i="38"/>
  <c r="J576" i="38"/>
  <c r="I576" i="38"/>
  <c r="H576" i="38"/>
  <c r="G576" i="38"/>
  <c r="E576" i="38"/>
  <c r="D576" i="38"/>
  <c r="C576" i="38"/>
  <c r="B576" i="38"/>
  <c r="AB575" i="38"/>
  <c r="AA575" i="38"/>
  <c r="X575" i="38"/>
  <c r="U575" i="38"/>
  <c r="Q575" i="38"/>
  <c r="O575" i="38"/>
  <c r="N575" i="38"/>
  <c r="M575" i="38"/>
  <c r="L575" i="38"/>
  <c r="I575" i="38"/>
  <c r="J575" i="38"/>
  <c r="G575" i="38"/>
  <c r="E575" i="38"/>
  <c r="D575" i="38"/>
  <c r="C575" i="38"/>
  <c r="B575" i="38"/>
  <c r="AB574" i="38"/>
  <c r="X574" i="38"/>
  <c r="U574" i="38"/>
  <c r="Q574" i="38"/>
  <c r="N574" i="38"/>
  <c r="O574" i="38"/>
  <c r="L574" i="38"/>
  <c r="I574" i="38"/>
  <c r="J574" i="38"/>
  <c r="G574" i="38"/>
  <c r="B574" i="38"/>
  <c r="AB573" i="38"/>
  <c r="X573" i="38"/>
  <c r="U573" i="38"/>
  <c r="Q573" i="38"/>
  <c r="O573" i="38"/>
  <c r="N573" i="38"/>
  <c r="M573" i="38"/>
  <c r="L573" i="38"/>
  <c r="I573" i="38"/>
  <c r="J573" i="38"/>
  <c r="G573" i="38"/>
  <c r="B573" i="38"/>
  <c r="AB572" i="38"/>
  <c r="X572" i="38"/>
  <c r="U572" i="38"/>
  <c r="Q572" i="38"/>
  <c r="N572" i="38"/>
  <c r="O572" i="38"/>
  <c r="L572" i="38"/>
  <c r="I572" i="38"/>
  <c r="J572" i="38"/>
  <c r="G572" i="38"/>
  <c r="E572" i="38"/>
  <c r="B572" i="38"/>
  <c r="AB571" i="38"/>
  <c r="X571" i="38"/>
  <c r="U571" i="38"/>
  <c r="Q571" i="38"/>
  <c r="O571" i="38"/>
  <c r="N571" i="38"/>
  <c r="M571" i="38"/>
  <c r="L571" i="38"/>
  <c r="I571" i="38"/>
  <c r="J571" i="38"/>
  <c r="G571" i="38"/>
  <c r="W564" i="38"/>
  <c r="W565" i="38"/>
  <c r="W566" i="38"/>
  <c r="W567" i="38"/>
  <c r="W568" i="38"/>
  <c r="W569" i="38"/>
  <c r="W570" i="38"/>
  <c r="S564" i="38"/>
  <c r="S565" i="38"/>
  <c r="S566" i="38"/>
  <c r="S567" i="38"/>
  <c r="S568" i="38"/>
  <c r="S569" i="38"/>
  <c r="S570" i="38"/>
  <c r="AA567" i="38"/>
  <c r="AA564" i="38"/>
  <c r="AA565" i="38"/>
  <c r="AA569" i="38"/>
  <c r="X570" i="38"/>
  <c r="U570" i="38"/>
  <c r="T570" i="38"/>
  <c r="Q570" i="38"/>
  <c r="L570" i="38"/>
  <c r="J570" i="38"/>
  <c r="I570" i="38"/>
  <c r="H570" i="38"/>
  <c r="G570" i="38"/>
  <c r="D570" i="38"/>
  <c r="E570" i="38"/>
  <c r="B570" i="38"/>
  <c r="Z565" i="38"/>
  <c r="Z568" i="38"/>
  <c r="T564" i="38"/>
  <c r="T565" i="38"/>
  <c r="T566" i="38"/>
  <c r="T567" i="38"/>
  <c r="T568" i="38"/>
  <c r="T569" i="38"/>
  <c r="Z564" i="38"/>
  <c r="X569" i="38"/>
  <c r="U569" i="38"/>
  <c r="Q569" i="38"/>
  <c r="O569" i="38"/>
  <c r="N569" i="38"/>
  <c r="M569" i="38"/>
  <c r="L569" i="38"/>
  <c r="J569" i="38"/>
  <c r="I569" i="38"/>
  <c r="H569" i="38"/>
  <c r="G569" i="38"/>
  <c r="E569" i="38"/>
  <c r="D569" i="38"/>
  <c r="C569" i="38"/>
  <c r="B569" i="38"/>
  <c r="AB568" i="38"/>
  <c r="AA568" i="38"/>
  <c r="X568" i="38"/>
  <c r="U568" i="38"/>
  <c r="Q568" i="38"/>
  <c r="O568" i="38"/>
  <c r="N568" i="38"/>
  <c r="M568" i="38"/>
  <c r="L568" i="38"/>
  <c r="I568" i="38"/>
  <c r="J568" i="38"/>
  <c r="G568" i="38"/>
  <c r="E568" i="38"/>
  <c r="D568" i="38"/>
  <c r="C568" i="38"/>
  <c r="B568" i="38"/>
  <c r="AB567" i="38"/>
  <c r="X567" i="38"/>
  <c r="U567" i="38"/>
  <c r="Q567" i="38"/>
  <c r="N567" i="38"/>
  <c r="O567" i="38"/>
  <c r="L567" i="38"/>
  <c r="I567" i="38"/>
  <c r="J567" i="38"/>
  <c r="G567" i="38"/>
  <c r="B567" i="38"/>
  <c r="AB566" i="38"/>
  <c r="X566" i="38"/>
  <c r="U566" i="38"/>
  <c r="Q566" i="38"/>
  <c r="O566" i="38"/>
  <c r="N566" i="38"/>
  <c r="M566" i="38"/>
  <c r="L566" i="38"/>
  <c r="I566" i="38"/>
  <c r="J566" i="38"/>
  <c r="G566" i="38"/>
  <c r="B566" i="38"/>
  <c r="AB565" i="38"/>
  <c r="X565" i="38"/>
  <c r="U565" i="38"/>
  <c r="Q565" i="38"/>
  <c r="N565" i="38"/>
  <c r="O565" i="38"/>
  <c r="L565" i="38"/>
  <c r="I565" i="38"/>
  <c r="J565" i="38"/>
  <c r="G565" i="38"/>
  <c r="E565" i="38"/>
  <c r="B565" i="38"/>
  <c r="AB564" i="38"/>
  <c r="X564" i="38"/>
  <c r="U564" i="38"/>
  <c r="Q564" i="38"/>
  <c r="O564" i="38"/>
  <c r="N564" i="38"/>
  <c r="M564" i="38"/>
  <c r="L564" i="38"/>
  <c r="I564" i="38"/>
  <c r="J564" i="38"/>
  <c r="G564" i="38"/>
  <c r="W557" i="38"/>
  <c r="W558" i="38"/>
  <c r="W559" i="38"/>
  <c r="W560" i="38"/>
  <c r="W561" i="38"/>
  <c r="W562" i="38"/>
  <c r="W563" i="38"/>
  <c r="S557" i="38"/>
  <c r="S558" i="38"/>
  <c r="S559" i="38"/>
  <c r="S560" i="38"/>
  <c r="S561" i="38"/>
  <c r="S562" i="38"/>
  <c r="S563" i="38"/>
  <c r="AA560" i="38"/>
  <c r="AA557" i="38"/>
  <c r="AA558" i="38"/>
  <c r="AA562" i="38"/>
  <c r="X563" i="38"/>
  <c r="U563" i="38"/>
  <c r="T563" i="38"/>
  <c r="Q563" i="38"/>
  <c r="L563" i="38"/>
  <c r="J563" i="38"/>
  <c r="I563" i="38"/>
  <c r="H563" i="38"/>
  <c r="G563" i="38"/>
  <c r="D563" i="38"/>
  <c r="E563" i="38"/>
  <c r="B563" i="38"/>
  <c r="Z558" i="38"/>
  <c r="Z561" i="38"/>
  <c r="T557" i="38"/>
  <c r="T558" i="38"/>
  <c r="T559" i="38"/>
  <c r="T560" i="38"/>
  <c r="T561" i="38"/>
  <c r="T562" i="38"/>
  <c r="Z557" i="38"/>
  <c r="X562" i="38"/>
  <c r="U562" i="38"/>
  <c r="Q562" i="38"/>
  <c r="O562" i="38"/>
  <c r="N562" i="38"/>
  <c r="M562" i="38"/>
  <c r="L562" i="38"/>
  <c r="J562" i="38"/>
  <c r="I562" i="38"/>
  <c r="H562" i="38"/>
  <c r="G562" i="38"/>
  <c r="E562" i="38"/>
  <c r="D562" i="38"/>
  <c r="C562" i="38"/>
  <c r="B562" i="38"/>
  <c r="AB561" i="38"/>
  <c r="AA561" i="38"/>
  <c r="X561" i="38"/>
  <c r="U561" i="38"/>
  <c r="Q561" i="38"/>
  <c r="O561" i="38"/>
  <c r="N561" i="38"/>
  <c r="M561" i="38"/>
  <c r="L561" i="38"/>
  <c r="I561" i="38"/>
  <c r="J561" i="38"/>
  <c r="G561" i="38"/>
  <c r="E561" i="38"/>
  <c r="D561" i="38"/>
  <c r="C561" i="38"/>
  <c r="B561" i="38"/>
  <c r="AB560" i="38"/>
  <c r="X560" i="38"/>
  <c r="U560" i="38"/>
  <c r="Q560" i="38"/>
  <c r="N560" i="38"/>
  <c r="O560" i="38"/>
  <c r="L560" i="38"/>
  <c r="I560" i="38"/>
  <c r="J560" i="38"/>
  <c r="G560" i="38"/>
  <c r="B560" i="38"/>
  <c r="AB559" i="38"/>
  <c r="X559" i="38"/>
  <c r="U559" i="38"/>
  <c r="Q559" i="38"/>
  <c r="O559" i="38"/>
  <c r="N559" i="38"/>
  <c r="M559" i="38"/>
  <c r="L559" i="38"/>
  <c r="I559" i="38"/>
  <c r="J559" i="38"/>
  <c r="G559" i="38"/>
  <c r="B559" i="38"/>
  <c r="AB558" i="38"/>
  <c r="X558" i="38"/>
  <c r="U558" i="38"/>
  <c r="Q558" i="38"/>
  <c r="N558" i="38"/>
  <c r="O558" i="38"/>
  <c r="L558" i="38"/>
  <c r="I558" i="38"/>
  <c r="J558" i="38"/>
  <c r="G558" i="38"/>
  <c r="E558" i="38"/>
  <c r="B558" i="38"/>
  <c r="AB557" i="38"/>
  <c r="X557" i="38"/>
  <c r="U557" i="38"/>
  <c r="Q557" i="38"/>
  <c r="O557" i="38"/>
  <c r="N557" i="38"/>
  <c r="M557" i="38"/>
  <c r="L557" i="38"/>
  <c r="I557" i="38"/>
  <c r="J557" i="38"/>
  <c r="G557" i="38"/>
  <c r="W550" i="38"/>
  <c r="W551" i="38"/>
  <c r="W552" i="38"/>
  <c r="W553" i="38"/>
  <c r="W554" i="38"/>
  <c r="W555" i="38"/>
  <c r="W556" i="38"/>
  <c r="S550" i="38"/>
  <c r="S551" i="38"/>
  <c r="S552" i="38"/>
  <c r="S553" i="38"/>
  <c r="S554" i="38"/>
  <c r="S555" i="38"/>
  <c r="S556" i="38"/>
  <c r="AA553" i="38"/>
  <c r="AA550" i="38"/>
  <c r="AA551" i="38"/>
  <c r="AA555" i="38"/>
  <c r="X556" i="38"/>
  <c r="U556" i="38"/>
  <c r="T556" i="38"/>
  <c r="Q556" i="38"/>
  <c r="L556" i="38"/>
  <c r="J556" i="38"/>
  <c r="I556" i="38"/>
  <c r="H556" i="38"/>
  <c r="G556" i="38"/>
  <c r="D556" i="38"/>
  <c r="E556" i="38"/>
  <c r="B556" i="38"/>
  <c r="Z551" i="38"/>
  <c r="Z554" i="38"/>
  <c r="T550" i="38"/>
  <c r="T551" i="38"/>
  <c r="T552" i="38"/>
  <c r="T553" i="38"/>
  <c r="T554" i="38"/>
  <c r="T555" i="38"/>
  <c r="Z550" i="38"/>
  <c r="X555" i="38"/>
  <c r="U555" i="38"/>
  <c r="Q555" i="38"/>
  <c r="O555" i="38"/>
  <c r="N555" i="38"/>
  <c r="M555" i="38"/>
  <c r="L555" i="38"/>
  <c r="J555" i="38"/>
  <c r="I555" i="38"/>
  <c r="H555" i="38"/>
  <c r="G555" i="38"/>
  <c r="E555" i="38"/>
  <c r="D555" i="38"/>
  <c r="C555" i="38"/>
  <c r="B555" i="38"/>
  <c r="AB554" i="38"/>
  <c r="AA554" i="38"/>
  <c r="X554" i="38"/>
  <c r="U554" i="38"/>
  <c r="Q554" i="38"/>
  <c r="O554" i="38"/>
  <c r="N554" i="38"/>
  <c r="M554" i="38"/>
  <c r="L554" i="38"/>
  <c r="I554" i="38"/>
  <c r="J554" i="38"/>
  <c r="G554" i="38"/>
  <c r="E554" i="38"/>
  <c r="D554" i="38"/>
  <c r="C554" i="38"/>
  <c r="B554" i="38"/>
  <c r="AB553" i="38"/>
  <c r="X553" i="38"/>
  <c r="U553" i="38"/>
  <c r="Q553" i="38"/>
  <c r="N553" i="38"/>
  <c r="O553" i="38"/>
  <c r="L553" i="38"/>
  <c r="I553" i="38"/>
  <c r="J553" i="38"/>
  <c r="G553" i="38"/>
  <c r="B553" i="38"/>
  <c r="AB552" i="38"/>
  <c r="X552" i="38"/>
  <c r="U552" i="38"/>
  <c r="Q552" i="38"/>
  <c r="O552" i="38"/>
  <c r="N552" i="38"/>
  <c r="M552" i="38"/>
  <c r="L552" i="38"/>
  <c r="I552" i="38"/>
  <c r="J552" i="38"/>
  <c r="G552" i="38"/>
  <c r="B552" i="38"/>
  <c r="AB551" i="38"/>
  <c r="X551" i="38"/>
  <c r="U551" i="38"/>
  <c r="Q551" i="38"/>
  <c r="N551" i="38"/>
  <c r="O551" i="38"/>
  <c r="L551" i="38"/>
  <c r="I551" i="38"/>
  <c r="J551" i="38"/>
  <c r="G551" i="38"/>
  <c r="E551" i="38"/>
  <c r="D551" i="38"/>
  <c r="B551" i="38"/>
  <c r="AB550" i="38"/>
  <c r="X550" i="38"/>
  <c r="U550" i="38"/>
  <c r="Q550" i="38"/>
  <c r="O550" i="38"/>
  <c r="N550" i="38"/>
  <c r="M550" i="38"/>
  <c r="L550" i="38"/>
  <c r="I550" i="38"/>
  <c r="J550" i="38"/>
  <c r="G550" i="38"/>
  <c r="W543" i="38"/>
  <c r="W544" i="38"/>
  <c r="W545" i="38"/>
  <c r="W546" i="38"/>
  <c r="W547" i="38"/>
  <c r="W548" i="38"/>
  <c r="W549" i="38"/>
  <c r="S543" i="38"/>
  <c r="S544" i="38"/>
  <c r="S545" i="38"/>
  <c r="S546" i="38"/>
  <c r="S547" i="38"/>
  <c r="S548" i="38"/>
  <c r="S549" i="38"/>
  <c r="AA546" i="38"/>
  <c r="AA543" i="38"/>
  <c r="AA544" i="38"/>
  <c r="AA548" i="38"/>
  <c r="X549" i="38"/>
  <c r="U549" i="38"/>
  <c r="T549" i="38"/>
  <c r="Q549" i="38"/>
  <c r="L549" i="38"/>
  <c r="J549" i="38"/>
  <c r="I549" i="38"/>
  <c r="H549" i="38"/>
  <c r="G549" i="38"/>
  <c r="D549" i="38"/>
  <c r="E549" i="38"/>
  <c r="B549" i="38"/>
  <c r="Z544" i="38"/>
  <c r="Z547" i="38"/>
  <c r="T543" i="38"/>
  <c r="T544" i="38"/>
  <c r="T545" i="38"/>
  <c r="T546" i="38"/>
  <c r="T547" i="38"/>
  <c r="T548" i="38"/>
  <c r="Z543" i="38"/>
  <c r="X548" i="38"/>
  <c r="U548" i="38"/>
  <c r="Q548" i="38"/>
  <c r="O548" i="38"/>
  <c r="N548" i="38"/>
  <c r="M548" i="38"/>
  <c r="L548" i="38"/>
  <c r="J548" i="38"/>
  <c r="I548" i="38"/>
  <c r="H548" i="38"/>
  <c r="G548" i="38"/>
  <c r="E548" i="38"/>
  <c r="D548" i="38"/>
  <c r="C548" i="38"/>
  <c r="B548" i="38"/>
  <c r="AB547" i="38"/>
  <c r="AA547" i="38"/>
  <c r="X547" i="38"/>
  <c r="U547" i="38"/>
  <c r="Q547" i="38"/>
  <c r="O547" i="38"/>
  <c r="N547" i="38"/>
  <c r="M547" i="38"/>
  <c r="L547" i="38"/>
  <c r="I547" i="38"/>
  <c r="J547" i="38"/>
  <c r="G547" i="38"/>
  <c r="E547" i="38"/>
  <c r="D547" i="38"/>
  <c r="C547" i="38"/>
  <c r="B547" i="38"/>
  <c r="AB546" i="38"/>
  <c r="X546" i="38"/>
  <c r="U546" i="38"/>
  <c r="Q546" i="38"/>
  <c r="N546" i="38"/>
  <c r="O546" i="38"/>
  <c r="L546" i="38"/>
  <c r="I546" i="38"/>
  <c r="J546" i="38"/>
  <c r="G546" i="38"/>
  <c r="B546" i="38"/>
  <c r="AB545" i="38"/>
  <c r="X545" i="38"/>
  <c r="U545" i="38"/>
  <c r="Q545" i="38"/>
  <c r="O545" i="38"/>
  <c r="N545" i="38"/>
  <c r="M545" i="38"/>
  <c r="L545" i="38"/>
  <c r="I545" i="38"/>
  <c r="J545" i="38"/>
  <c r="G545" i="38"/>
  <c r="B545" i="38"/>
  <c r="AB544" i="38"/>
  <c r="X544" i="38"/>
  <c r="U544" i="38"/>
  <c r="Q544" i="38"/>
  <c r="N544" i="38"/>
  <c r="O544" i="38"/>
  <c r="L544" i="38"/>
  <c r="I544" i="38"/>
  <c r="J544" i="38"/>
  <c r="G544" i="38"/>
  <c r="E544" i="38"/>
  <c r="B544" i="38"/>
  <c r="AB543" i="38"/>
  <c r="X543" i="38"/>
  <c r="U543" i="38"/>
  <c r="Q543" i="38"/>
  <c r="O543" i="38"/>
  <c r="N543" i="38"/>
  <c r="M543" i="38"/>
  <c r="L543" i="38"/>
  <c r="I543" i="38"/>
  <c r="J543" i="38"/>
  <c r="G543" i="38"/>
  <c r="W536" i="38"/>
  <c r="W537" i="38"/>
  <c r="W538" i="38"/>
  <c r="W539" i="38"/>
  <c r="W540" i="38"/>
  <c r="W541" i="38"/>
  <c r="W542" i="38"/>
  <c r="S536" i="38"/>
  <c r="S537" i="38"/>
  <c r="S538" i="38"/>
  <c r="S539" i="38"/>
  <c r="S540" i="38"/>
  <c r="S541" i="38"/>
  <c r="S542" i="38"/>
  <c r="AA539" i="38"/>
  <c r="AA536" i="38"/>
  <c r="AA537" i="38"/>
  <c r="AA541" i="38"/>
  <c r="X542" i="38"/>
  <c r="U542" i="38"/>
  <c r="T542" i="38"/>
  <c r="Q542" i="38"/>
  <c r="L542" i="38"/>
  <c r="J542" i="38"/>
  <c r="I542" i="38"/>
  <c r="H542" i="38"/>
  <c r="G542" i="38"/>
  <c r="D542" i="38"/>
  <c r="E542" i="38"/>
  <c r="B542" i="38"/>
  <c r="Z537" i="38"/>
  <c r="Z540" i="38"/>
  <c r="T536" i="38"/>
  <c r="T537" i="38"/>
  <c r="T538" i="38"/>
  <c r="T539" i="38"/>
  <c r="T540" i="38"/>
  <c r="T541" i="38"/>
  <c r="Z536" i="38"/>
  <c r="X541" i="38"/>
  <c r="U541" i="38"/>
  <c r="Q541" i="38"/>
  <c r="O541" i="38"/>
  <c r="N541" i="38"/>
  <c r="M541" i="38"/>
  <c r="L541" i="38"/>
  <c r="J541" i="38"/>
  <c r="I541" i="38"/>
  <c r="H541" i="38"/>
  <c r="G541" i="38"/>
  <c r="E541" i="38"/>
  <c r="D541" i="38"/>
  <c r="C541" i="38"/>
  <c r="B541" i="38"/>
  <c r="AB540" i="38"/>
  <c r="AA540" i="38"/>
  <c r="X540" i="38"/>
  <c r="U540" i="38"/>
  <c r="Q540" i="38"/>
  <c r="O540" i="38"/>
  <c r="N540" i="38"/>
  <c r="M540" i="38"/>
  <c r="L540" i="38"/>
  <c r="I540" i="38"/>
  <c r="J540" i="38"/>
  <c r="G540" i="38"/>
  <c r="E540" i="38"/>
  <c r="D540" i="38"/>
  <c r="C540" i="38"/>
  <c r="B540" i="38"/>
  <c r="AB539" i="38"/>
  <c r="X539" i="38"/>
  <c r="U539" i="38"/>
  <c r="Q539" i="38"/>
  <c r="N539" i="38"/>
  <c r="O539" i="38"/>
  <c r="L539" i="38"/>
  <c r="I539" i="38"/>
  <c r="J539" i="38"/>
  <c r="G539" i="38"/>
  <c r="B539" i="38"/>
  <c r="AB538" i="38"/>
  <c r="X538" i="38"/>
  <c r="U538" i="38"/>
  <c r="Q538" i="38"/>
  <c r="O538" i="38"/>
  <c r="N538" i="38"/>
  <c r="M538" i="38"/>
  <c r="L538" i="38"/>
  <c r="I538" i="38"/>
  <c r="J538" i="38"/>
  <c r="G538" i="38"/>
  <c r="B538" i="38"/>
  <c r="AB537" i="38"/>
  <c r="X537" i="38"/>
  <c r="U537" i="38"/>
  <c r="Q537" i="38"/>
  <c r="N537" i="38"/>
  <c r="O537" i="38"/>
  <c r="L537" i="38"/>
  <c r="I537" i="38"/>
  <c r="J537" i="38"/>
  <c r="G537" i="38"/>
  <c r="E537" i="38"/>
  <c r="B537" i="38"/>
  <c r="AB536" i="38"/>
  <c r="X536" i="38"/>
  <c r="U536" i="38"/>
  <c r="Q536" i="38"/>
  <c r="O536" i="38"/>
  <c r="N536" i="38"/>
  <c r="M536" i="38"/>
  <c r="L536" i="38"/>
  <c r="I536" i="38"/>
  <c r="J536" i="38"/>
  <c r="G536" i="38"/>
  <c r="W529" i="38"/>
  <c r="W530" i="38"/>
  <c r="W531" i="38"/>
  <c r="W532" i="38"/>
  <c r="W533" i="38"/>
  <c r="W534" i="38"/>
  <c r="W535" i="38"/>
  <c r="S529" i="38"/>
  <c r="S530" i="38"/>
  <c r="S531" i="38"/>
  <c r="S532" i="38"/>
  <c r="S533" i="38"/>
  <c r="S534" i="38"/>
  <c r="S535" i="38"/>
  <c r="AA532" i="38"/>
  <c r="AA529" i="38"/>
  <c r="AA530" i="38"/>
  <c r="AA534" i="38"/>
  <c r="X535" i="38"/>
  <c r="U535" i="38"/>
  <c r="T535" i="38"/>
  <c r="Q535" i="38"/>
  <c r="L535" i="38"/>
  <c r="J535" i="38"/>
  <c r="I535" i="38"/>
  <c r="H535" i="38"/>
  <c r="G535" i="38"/>
  <c r="D535" i="38"/>
  <c r="E535" i="38"/>
  <c r="B535" i="38"/>
  <c r="Z530" i="38"/>
  <c r="Z533" i="38"/>
  <c r="T529" i="38"/>
  <c r="T530" i="38"/>
  <c r="T531" i="38"/>
  <c r="T532" i="38"/>
  <c r="T533" i="38"/>
  <c r="T534" i="38"/>
  <c r="Z529" i="38"/>
  <c r="X534" i="38"/>
  <c r="U534" i="38"/>
  <c r="Q534" i="38"/>
  <c r="O534" i="38"/>
  <c r="N534" i="38"/>
  <c r="M534" i="38"/>
  <c r="L534" i="38"/>
  <c r="J534" i="38"/>
  <c r="I534" i="38"/>
  <c r="H534" i="38"/>
  <c r="G534" i="38"/>
  <c r="E534" i="38"/>
  <c r="D534" i="38"/>
  <c r="C534" i="38"/>
  <c r="B534" i="38"/>
  <c r="AB533" i="38"/>
  <c r="AA533" i="38"/>
  <c r="X533" i="38"/>
  <c r="U533" i="38"/>
  <c r="Q533" i="38"/>
  <c r="O533" i="38"/>
  <c r="N533" i="38"/>
  <c r="M533" i="38"/>
  <c r="L533" i="38"/>
  <c r="I533" i="38"/>
  <c r="J533" i="38"/>
  <c r="G533" i="38"/>
  <c r="E533" i="38"/>
  <c r="D533" i="38"/>
  <c r="C533" i="38"/>
  <c r="B533" i="38"/>
  <c r="AB532" i="38"/>
  <c r="X532" i="38"/>
  <c r="U532" i="38"/>
  <c r="Q532" i="38"/>
  <c r="N532" i="38"/>
  <c r="O532" i="38"/>
  <c r="L532" i="38"/>
  <c r="I532" i="38"/>
  <c r="J532" i="38"/>
  <c r="G532" i="38"/>
  <c r="B532" i="38"/>
  <c r="AB531" i="38"/>
  <c r="X531" i="38"/>
  <c r="U531" i="38"/>
  <c r="Q531" i="38"/>
  <c r="O531" i="38"/>
  <c r="N531" i="38"/>
  <c r="M531" i="38"/>
  <c r="L531" i="38"/>
  <c r="I531" i="38"/>
  <c r="J531" i="38"/>
  <c r="G531" i="38"/>
  <c r="B531" i="38"/>
  <c r="AB530" i="38"/>
  <c r="X530" i="38"/>
  <c r="U530" i="38"/>
  <c r="Q530" i="38"/>
  <c r="N530" i="38"/>
  <c r="O530" i="38"/>
  <c r="L530" i="38"/>
  <c r="I530" i="38"/>
  <c r="J530" i="38"/>
  <c r="G530" i="38"/>
  <c r="E530" i="38"/>
  <c r="D530" i="38"/>
  <c r="B530" i="38"/>
  <c r="AB529" i="38"/>
  <c r="X529" i="38"/>
  <c r="U529" i="38"/>
  <c r="Q529" i="38"/>
  <c r="O529" i="38"/>
  <c r="N529" i="38"/>
  <c r="M529" i="38"/>
  <c r="L529" i="38"/>
  <c r="I529" i="38"/>
  <c r="J529" i="38"/>
  <c r="G529" i="38"/>
  <c r="W522" i="38"/>
  <c r="W523" i="38"/>
  <c r="W524" i="38"/>
  <c r="W525" i="38"/>
  <c r="W526" i="38"/>
  <c r="W527" i="38"/>
  <c r="W528" i="38"/>
  <c r="S522" i="38"/>
  <c r="S523" i="38"/>
  <c r="S524" i="38"/>
  <c r="S525" i="38"/>
  <c r="S526" i="38"/>
  <c r="S527" i="38"/>
  <c r="S528" i="38"/>
  <c r="AA525" i="38"/>
  <c r="AA522" i="38"/>
  <c r="AA523" i="38"/>
  <c r="AA527" i="38"/>
  <c r="X528" i="38"/>
  <c r="U528" i="38"/>
  <c r="T528" i="38"/>
  <c r="Q528" i="38"/>
  <c r="L528" i="38"/>
  <c r="J528" i="38"/>
  <c r="I528" i="38"/>
  <c r="H528" i="38"/>
  <c r="G528" i="38"/>
  <c r="D528" i="38"/>
  <c r="E528" i="38"/>
  <c r="B528" i="38"/>
  <c r="Z523" i="38"/>
  <c r="Z526" i="38"/>
  <c r="T522" i="38"/>
  <c r="T523" i="38"/>
  <c r="T524" i="38"/>
  <c r="T525" i="38"/>
  <c r="T526" i="38"/>
  <c r="T527" i="38"/>
  <c r="Z522" i="38"/>
  <c r="X527" i="38"/>
  <c r="U527" i="38"/>
  <c r="Q527" i="38"/>
  <c r="O527" i="38"/>
  <c r="N527" i="38"/>
  <c r="M527" i="38"/>
  <c r="L527" i="38"/>
  <c r="J527" i="38"/>
  <c r="I527" i="38"/>
  <c r="H527" i="38"/>
  <c r="G527" i="38"/>
  <c r="E527" i="38"/>
  <c r="D527" i="38"/>
  <c r="C527" i="38"/>
  <c r="B527" i="38"/>
  <c r="AB526" i="38"/>
  <c r="AA526" i="38"/>
  <c r="X526" i="38"/>
  <c r="U526" i="38"/>
  <c r="Q526" i="38"/>
  <c r="O526" i="38"/>
  <c r="N526" i="38"/>
  <c r="M526" i="38"/>
  <c r="L526" i="38"/>
  <c r="I526" i="38"/>
  <c r="J526" i="38"/>
  <c r="G526" i="38"/>
  <c r="E526" i="38"/>
  <c r="D526" i="38"/>
  <c r="C526" i="38"/>
  <c r="B526" i="38"/>
  <c r="AB525" i="38"/>
  <c r="X525" i="38"/>
  <c r="U525" i="38"/>
  <c r="Q525" i="38"/>
  <c r="N525" i="38"/>
  <c r="O525" i="38"/>
  <c r="L525" i="38"/>
  <c r="I525" i="38"/>
  <c r="J525" i="38"/>
  <c r="G525" i="38"/>
  <c r="B525" i="38"/>
  <c r="AB524" i="38"/>
  <c r="X524" i="38"/>
  <c r="U524" i="38"/>
  <c r="Q524" i="38"/>
  <c r="O524" i="38"/>
  <c r="N524" i="38"/>
  <c r="M524" i="38"/>
  <c r="L524" i="38"/>
  <c r="I524" i="38"/>
  <c r="J524" i="38"/>
  <c r="G524" i="38"/>
  <c r="B524" i="38"/>
  <c r="AB523" i="38"/>
  <c r="X523" i="38"/>
  <c r="U523" i="38"/>
  <c r="Q523" i="38"/>
  <c r="N523" i="38"/>
  <c r="O523" i="38"/>
  <c r="L523" i="38"/>
  <c r="I523" i="38"/>
  <c r="J523" i="38"/>
  <c r="G523" i="38"/>
  <c r="E523" i="38"/>
  <c r="B523" i="38"/>
  <c r="AB522" i="38"/>
  <c r="X522" i="38"/>
  <c r="U522" i="38"/>
  <c r="Q522" i="38"/>
  <c r="O522" i="38"/>
  <c r="N522" i="38"/>
  <c r="M522" i="38"/>
  <c r="L522" i="38"/>
  <c r="I522" i="38"/>
  <c r="J522" i="38"/>
  <c r="G522" i="38"/>
  <c r="W515" i="38"/>
  <c r="W516" i="38"/>
  <c r="W517" i="38"/>
  <c r="W518" i="38"/>
  <c r="W519" i="38"/>
  <c r="W520" i="38"/>
  <c r="W521" i="38"/>
  <c r="S515" i="38"/>
  <c r="S516" i="38"/>
  <c r="S517" i="38"/>
  <c r="S518" i="38"/>
  <c r="S519" i="38"/>
  <c r="S520" i="38"/>
  <c r="S521" i="38"/>
  <c r="AA518" i="38"/>
  <c r="AA515" i="38"/>
  <c r="AA516" i="38"/>
  <c r="AA520" i="38"/>
  <c r="X521" i="38"/>
  <c r="U521" i="38"/>
  <c r="T521" i="38"/>
  <c r="Q521" i="38"/>
  <c r="L521" i="38"/>
  <c r="J521" i="38"/>
  <c r="I521" i="38"/>
  <c r="H521" i="38"/>
  <c r="G521" i="38"/>
  <c r="D521" i="38"/>
  <c r="E521" i="38"/>
  <c r="B521" i="38"/>
  <c r="Z516" i="38"/>
  <c r="Z519" i="38"/>
  <c r="T515" i="38"/>
  <c r="T516" i="38"/>
  <c r="T517" i="38"/>
  <c r="T518" i="38"/>
  <c r="T519" i="38"/>
  <c r="T520" i="38"/>
  <c r="Z515" i="38"/>
  <c r="X520" i="38"/>
  <c r="U520" i="38"/>
  <c r="Q520" i="38"/>
  <c r="O520" i="38"/>
  <c r="N520" i="38"/>
  <c r="M520" i="38"/>
  <c r="L520" i="38"/>
  <c r="J520" i="38"/>
  <c r="I520" i="38"/>
  <c r="H520" i="38"/>
  <c r="G520" i="38"/>
  <c r="E520" i="38"/>
  <c r="D520" i="38"/>
  <c r="C520" i="38"/>
  <c r="B520" i="38"/>
  <c r="AB519" i="38"/>
  <c r="AA519" i="38"/>
  <c r="X519" i="38"/>
  <c r="U519" i="38"/>
  <c r="Q519" i="38"/>
  <c r="O519" i="38"/>
  <c r="N519" i="38"/>
  <c r="M519" i="38"/>
  <c r="L519" i="38"/>
  <c r="I519" i="38"/>
  <c r="J519" i="38"/>
  <c r="G519" i="38"/>
  <c r="E519" i="38"/>
  <c r="D519" i="38"/>
  <c r="C519" i="38"/>
  <c r="B519" i="38"/>
  <c r="AB518" i="38"/>
  <c r="X518" i="38"/>
  <c r="U518" i="38"/>
  <c r="Q518" i="38"/>
  <c r="N518" i="38"/>
  <c r="O518" i="38"/>
  <c r="L518" i="38"/>
  <c r="I518" i="38"/>
  <c r="J518" i="38"/>
  <c r="G518" i="38"/>
  <c r="B518" i="38"/>
  <c r="AB517" i="38"/>
  <c r="X517" i="38"/>
  <c r="U517" i="38"/>
  <c r="Q517" i="38"/>
  <c r="O517" i="38"/>
  <c r="N517" i="38"/>
  <c r="M517" i="38"/>
  <c r="L517" i="38"/>
  <c r="I517" i="38"/>
  <c r="J517" i="38"/>
  <c r="G517" i="38"/>
  <c r="B517" i="38"/>
  <c r="AB516" i="38"/>
  <c r="X516" i="38"/>
  <c r="U516" i="38"/>
  <c r="Q516" i="38"/>
  <c r="N516" i="38"/>
  <c r="O516" i="38"/>
  <c r="L516" i="38"/>
  <c r="I516" i="38"/>
  <c r="J516" i="38"/>
  <c r="G516" i="38"/>
  <c r="E516" i="38"/>
  <c r="D516" i="38"/>
  <c r="B516" i="38"/>
  <c r="AB515" i="38"/>
  <c r="X515" i="38"/>
  <c r="U515" i="38"/>
  <c r="Q515" i="38"/>
  <c r="O515" i="38"/>
  <c r="N515" i="38"/>
  <c r="M515" i="38"/>
  <c r="L515" i="38"/>
  <c r="I515" i="38"/>
  <c r="J515" i="38"/>
  <c r="G515" i="38"/>
  <c r="W508" i="38"/>
  <c r="W509" i="38"/>
  <c r="W510" i="38"/>
  <c r="W511" i="38"/>
  <c r="W512" i="38"/>
  <c r="W513" i="38"/>
  <c r="W514" i="38"/>
  <c r="S508" i="38"/>
  <c r="S509" i="38"/>
  <c r="S510" i="38"/>
  <c r="S511" i="38"/>
  <c r="S512" i="38"/>
  <c r="S513" i="38"/>
  <c r="S514" i="38"/>
  <c r="AA511" i="38"/>
  <c r="AA508" i="38"/>
  <c r="AA509" i="38"/>
  <c r="AA513" i="38"/>
  <c r="X514" i="38"/>
  <c r="U514" i="38"/>
  <c r="T514" i="38"/>
  <c r="Q514" i="38"/>
  <c r="L514" i="38"/>
  <c r="J514" i="38"/>
  <c r="I514" i="38"/>
  <c r="H514" i="38"/>
  <c r="G514" i="38"/>
  <c r="D514" i="38"/>
  <c r="E514" i="38"/>
  <c r="B514" i="38"/>
  <c r="Z509" i="38"/>
  <c r="Z512" i="38"/>
  <c r="T508" i="38"/>
  <c r="T509" i="38"/>
  <c r="T510" i="38"/>
  <c r="T511" i="38"/>
  <c r="T512" i="38"/>
  <c r="T513" i="38"/>
  <c r="Z508" i="38"/>
  <c r="X513" i="38"/>
  <c r="U513" i="38"/>
  <c r="Q513" i="38"/>
  <c r="O513" i="38"/>
  <c r="N513" i="38"/>
  <c r="M513" i="38"/>
  <c r="L513" i="38"/>
  <c r="J513" i="38"/>
  <c r="I513" i="38"/>
  <c r="H513" i="38"/>
  <c r="G513" i="38"/>
  <c r="E513" i="38"/>
  <c r="D513" i="38"/>
  <c r="C513" i="38"/>
  <c r="B513" i="38"/>
  <c r="AB512" i="38"/>
  <c r="AA512" i="38"/>
  <c r="X512" i="38"/>
  <c r="U512" i="38"/>
  <c r="Q512" i="38"/>
  <c r="O512" i="38"/>
  <c r="N512" i="38"/>
  <c r="M512" i="38"/>
  <c r="L512" i="38"/>
  <c r="I512" i="38"/>
  <c r="J512" i="38"/>
  <c r="G512" i="38"/>
  <c r="E512" i="38"/>
  <c r="D512" i="38"/>
  <c r="C512" i="38"/>
  <c r="B512" i="38"/>
  <c r="AB511" i="38"/>
  <c r="X511" i="38"/>
  <c r="U511" i="38"/>
  <c r="Q511" i="38"/>
  <c r="N511" i="38"/>
  <c r="O511" i="38"/>
  <c r="L511" i="38"/>
  <c r="I511" i="38"/>
  <c r="J511" i="38"/>
  <c r="G511" i="38"/>
  <c r="B511" i="38"/>
  <c r="AB510" i="38"/>
  <c r="X510" i="38"/>
  <c r="U510" i="38"/>
  <c r="Q510" i="38"/>
  <c r="O510" i="38"/>
  <c r="N510" i="38"/>
  <c r="M510" i="38"/>
  <c r="L510" i="38"/>
  <c r="I510" i="38"/>
  <c r="J510" i="38"/>
  <c r="G510" i="38"/>
  <c r="B510" i="38"/>
  <c r="AB509" i="38"/>
  <c r="X509" i="38"/>
  <c r="U509" i="38"/>
  <c r="Q509" i="38"/>
  <c r="N509" i="38"/>
  <c r="O509" i="38"/>
  <c r="L509" i="38"/>
  <c r="I509" i="38"/>
  <c r="J509" i="38"/>
  <c r="G509" i="38"/>
  <c r="E509" i="38"/>
  <c r="B509" i="38"/>
  <c r="AB508" i="38"/>
  <c r="X508" i="38"/>
  <c r="U508" i="38"/>
  <c r="Q508" i="38"/>
  <c r="O508" i="38"/>
  <c r="N508" i="38"/>
  <c r="M508" i="38"/>
  <c r="L508" i="38"/>
  <c r="I508" i="38"/>
  <c r="J508" i="38"/>
  <c r="G508" i="38"/>
  <c r="W501" i="38"/>
  <c r="W502" i="38"/>
  <c r="W503" i="38"/>
  <c r="W504" i="38"/>
  <c r="W505" i="38"/>
  <c r="W506" i="38"/>
  <c r="W507" i="38"/>
  <c r="S501" i="38"/>
  <c r="S502" i="38"/>
  <c r="S503" i="38"/>
  <c r="S504" i="38"/>
  <c r="S505" i="38"/>
  <c r="S506" i="38"/>
  <c r="S507" i="38"/>
  <c r="AA504" i="38"/>
  <c r="AA501" i="38"/>
  <c r="AA502" i="38"/>
  <c r="AA506" i="38"/>
  <c r="X507" i="38"/>
  <c r="U507" i="38"/>
  <c r="T507" i="38"/>
  <c r="Q507" i="38"/>
  <c r="L507" i="38"/>
  <c r="J507" i="38"/>
  <c r="I507" i="38"/>
  <c r="H507" i="38"/>
  <c r="G507" i="38"/>
  <c r="D507" i="38"/>
  <c r="E507" i="38"/>
  <c r="B507" i="38"/>
  <c r="Z502" i="38"/>
  <c r="Z505" i="38"/>
  <c r="T501" i="38"/>
  <c r="T502" i="38"/>
  <c r="T503" i="38"/>
  <c r="T504" i="38"/>
  <c r="T505" i="38"/>
  <c r="T506" i="38"/>
  <c r="Z501" i="38"/>
  <c r="X506" i="38"/>
  <c r="U506" i="38"/>
  <c r="Q506" i="38"/>
  <c r="O506" i="38"/>
  <c r="N506" i="38"/>
  <c r="M506" i="38"/>
  <c r="L506" i="38"/>
  <c r="J506" i="38"/>
  <c r="I506" i="38"/>
  <c r="H506" i="38"/>
  <c r="G506" i="38"/>
  <c r="E506" i="38"/>
  <c r="D506" i="38"/>
  <c r="C506" i="38"/>
  <c r="B506" i="38"/>
  <c r="AB505" i="38"/>
  <c r="AA505" i="38"/>
  <c r="X505" i="38"/>
  <c r="U505" i="38"/>
  <c r="Q505" i="38"/>
  <c r="O505" i="38"/>
  <c r="N505" i="38"/>
  <c r="M505" i="38"/>
  <c r="L505" i="38"/>
  <c r="I505" i="38"/>
  <c r="J505" i="38"/>
  <c r="G505" i="38"/>
  <c r="E505" i="38"/>
  <c r="D505" i="38"/>
  <c r="C505" i="38"/>
  <c r="B505" i="38"/>
  <c r="AB504" i="38"/>
  <c r="X504" i="38"/>
  <c r="U504" i="38"/>
  <c r="Q504" i="38"/>
  <c r="N504" i="38"/>
  <c r="O504" i="38"/>
  <c r="L504" i="38"/>
  <c r="I504" i="38"/>
  <c r="J504" i="38"/>
  <c r="G504" i="38"/>
  <c r="B504" i="38"/>
  <c r="AB503" i="38"/>
  <c r="X503" i="38"/>
  <c r="U503" i="38"/>
  <c r="Q503" i="38"/>
  <c r="O503" i="38"/>
  <c r="N503" i="38"/>
  <c r="M503" i="38"/>
  <c r="L503" i="38"/>
  <c r="I503" i="38"/>
  <c r="J503" i="38"/>
  <c r="G503" i="38"/>
  <c r="B503" i="38"/>
  <c r="AB502" i="38"/>
  <c r="X502" i="38"/>
  <c r="U502" i="38"/>
  <c r="Q502" i="38"/>
  <c r="N502" i="38"/>
  <c r="O502" i="38"/>
  <c r="L502" i="38"/>
  <c r="I502" i="38"/>
  <c r="J502" i="38"/>
  <c r="G502" i="38"/>
  <c r="E502" i="38"/>
  <c r="D502" i="38"/>
  <c r="B502" i="38"/>
  <c r="AB501" i="38"/>
  <c r="X501" i="38"/>
  <c r="U501" i="38"/>
  <c r="Q501" i="38"/>
  <c r="O501" i="38"/>
  <c r="N501" i="38"/>
  <c r="M501" i="38"/>
  <c r="L501" i="38"/>
  <c r="I501" i="38"/>
  <c r="J501" i="38"/>
  <c r="G501" i="38"/>
  <c r="W494" i="38"/>
  <c r="W495" i="38"/>
  <c r="W496" i="38"/>
  <c r="W497" i="38"/>
  <c r="W498" i="38"/>
  <c r="W499" i="38"/>
  <c r="W500" i="38"/>
  <c r="S494" i="38"/>
  <c r="S495" i="38"/>
  <c r="S496" i="38"/>
  <c r="S497" i="38"/>
  <c r="S498" i="38"/>
  <c r="S499" i="38"/>
  <c r="S500" i="38"/>
  <c r="AA497" i="38"/>
  <c r="AA494" i="38"/>
  <c r="AA495" i="38"/>
  <c r="AA499" i="38"/>
  <c r="X500" i="38"/>
  <c r="U500" i="38"/>
  <c r="T500" i="38"/>
  <c r="Q500" i="38"/>
  <c r="L500" i="38"/>
  <c r="J500" i="38"/>
  <c r="I500" i="38"/>
  <c r="H500" i="38"/>
  <c r="G500" i="38"/>
  <c r="D500" i="38"/>
  <c r="E500" i="38"/>
  <c r="B500" i="38"/>
  <c r="Z495" i="38"/>
  <c r="Z498" i="38"/>
  <c r="T494" i="38"/>
  <c r="T495" i="38"/>
  <c r="T496" i="38"/>
  <c r="T497" i="38"/>
  <c r="T498" i="38"/>
  <c r="T499" i="38"/>
  <c r="Z494" i="38"/>
  <c r="X499" i="38"/>
  <c r="U499" i="38"/>
  <c r="Q499" i="38"/>
  <c r="O499" i="38"/>
  <c r="N499" i="38"/>
  <c r="M499" i="38"/>
  <c r="L499" i="38"/>
  <c r="J499" i="38"/>
  <c r="I499" i="38"/>
  <c r="H499" i="38"/>
  <c r="G499" i="38"/>
  <c r="E499" i="38"/>
  <c r="D499" i="38"/>
  <c r="C499" i="38"/>
  <c r="B499" i="38"/>
  <c r="AB498" i="38"/>
  <c r="AA498" i="38"/>
  <c r="X498" i="38"/>
  <c r="U498" i="38"/>
  <c r="Q498" i="38"/>
  <c r="O498" i="38"/>
  <c r="N498" i="38"/>
  <c r="M498" i="38"/>
  <c r="L498" i="38"/>
  <c r="I498" i="38"/>
  <c r="J498" i="38"/>
  <c r="G498" i="38"/>
  <c r="E498" i="38"/>
  <c r="D498" i="38"/>
  <c r="C498" i="38"/>
  <c r="B498" i="38"/>
  <c r="AB497" i="38"/>
  <c r="X497" i="38"/>
  <c r="U497" i="38"/>
  <c r="Q497" i="38"/>
  <c r="N497" i="38"/>
  <c r="O497" i="38"/>
  <c r="L497" i="38"/>
  <c r="I497" i="38"/>
  <c r="J497" i="38"/>
  <c r="G497" i="38"/>
  <c r="B497" i="38"/>
  <c r="AB496" i="38"/>
  <c r="X496" i="38"/>
  <c r="U496" i="38"/>
  <c r="Q496" i="38"/>
  <c r="O496" i="38"/>
  <c r="N496" i="38"/>
  <c r="M496" i="38"/>
  <c r="L496" i="38"/>
  <c r="I496" i="38"/>
  <c r="J496" i="38"/>
  <c r="G496" i="38"/>
  <c r="B496" i="38"/>
  <c r="AB495" i="38"/>
  <c r="X495" i="38"/>
  <c r="U495" i="38"/>
  <c r="Q495" i="38"/>
  <c r="N495" i="38"/>
  <c r="O495" i="38"/>
  <c r="L495" i="38"/>
  <c r="I495" i="38"/>
  <c r="J495" i="38"/>
  <c r="G495" i="38"/>
  <c r="E495" i="38"/>
  <c r="B495" i="38"/>
  <c r="AB494" i="38"/>
  <c r="X494" i="38"/>
  <c r="U494" i="38"/>
  <c r="Q494" i="38"/>
  <c r="O494" i="38"/>
  <c r="N494" i="38"/>
  <c r="M494" i="38"/>
  <c r="L494" i="38"/>
  <c r="I494" i="38"/>
  <c r="J494" i="38"/>
  <c r="G494" i="38"/>
  <c r="W487" i="38"/>
  <c r="W488" i="38"/>
  <c r="W489" i="38"/>
  <c r="W490" i="38"/>
  <c r="W491" i="38"/>
  <c r="W492" i="38"/>
  <c r="W493" i="38"/>
  <c r="S487" i="38"/>
  <c r="S488" i="38"/>
  <c r="S489" i="38"/>
  <c r="S490" i="38"/>
  <c r="S491" i="38"/>
  <c r="S492" i="38"/>
  <c r="S493" i="38"/>
  <c r="AA490" i="38"/>
  <c r="AA487" i="38"/>
  <c r="AA488" i="38"/>
  <c r="AA492" i="38"/>
  <c r="X493" i="38"/>
  <c r="U493" i="38"/>
  <c r="T493" i="38"/>
  <c r="Q493" i="38"/>
  <c r="L493" i="38"/>
  <c r="J493" i="38"/>
  <c r="I493" i="38"/>
  <c r="H493" i="38"/>
  <c r="G493" i="38"/>
  <c r="D493" i="38"/>
  <c r="E493" i="38"/>
  <c r="B493" i="38"/>
  <c r="Z488" i="38"/>
  <c r="Z491" i="38"/>
  <c r="T487" i="38"/>
  <c r="T488" i="38"/>
  <c r="T489" i="38"/>
  <c r="T490" i="38"/>
  <c r="T491" i="38"/>
  <c r="T492" i="38"/>
  <c r="Z487" i="38"/>
  <c r="X492" i="38"/>
  <c r="U492" i="38"/>
  <c r="Q492" i="38"/>
  <c r="O492" i="38"/>
  <c r="N492" i="38"/>
  <c r="M492" i="38"/>
  <c r="L492" i="38"/>
  <c r="J492" i="38"/>
  <c r="I492" i="38"/>
  <c r="H492" i="38"/>
  <c r="G492" i="38"/>
  <c r="E492" i="38"/>
  <c r="D492" i="38"/>
  <c r="C492" i="38"/>
  <c r="B492" i="38"/>
  <c r="AB491" i="38"/>
  <c r="AA491" i="38"/>
  <c r="X491" i="38"/>
  <c r="U491" i="38"/>
  <c r="Q491" i="38"/>
  <c r="O491" i="38"/>
  <c r="N491" i="38"/>
  <c r="M491" i="38"/>
  <c r="L491" i="38"/>
  <c r="I491" i="38"/>
  <c r="J491" i="38"/>
  <c r="G491" i="38"/>
  <c r="E491" i="38"/>
  <c r="D491" i="38"/>
  <c r="C491" i="38"/>
  <c r="B491" i="38"/>
  <c r="AB490" i="38"/>
  <c r="X490" i="38"/>
  <c r="U490" i="38"/>
  <c r="Q490" i="38"/>
  <c r="N490" i="38"/>
  <c r="O490" i="38"/>
  <c r="L490" i="38"/>
  <c r="I490" i="38"/>
  <c r="J490" i="38"/>
  <c r="G490" i="38"/>
  <c r="B490" i="38"/>
  <c r="AB489" i="38"/>
  <c r="X489" i="38"/>
  <c r="U489" i="38"/>
  <c r="Q489" i="38"/>
  <c r="O489" i="38"/>
  <c r="N489" i="38"/>
  <c r="M489" i="38"/>
  <c r="L489" i="38"/>
  <c r="I489" i="38"/>
  <c r="J489" i="38"/>
  <c r="G489" i="38"/>
  <c r="B489" i="38"/>
  <c r="AB488" i="38"/>
  <c r="X488" i="38"/>
  <c r="U488" i="38"/>
  <c r="Q488" i="38"/>
  <c r="N488" i="38"/>
  <c r="O488" i="38"/>
  <c r="L488" i="38"/>
  <c r="I488" i="38"/>
  <c r="J488" i="38"/>
  <c r="G488" i="38"/>
  <c r="E488" i="38"/>
  <c r="D488" i="38"/>
  <c r="B488" i="38"/>
  <c r="AB487" i="38"/>
  <c r="X487" i="38"/>
  <c r="U487" i="38"/>
  <c r="Q487" i="38"/>
  <c r="O487" i="38"/>
  <c r="N487" i="38"/>
  <c r="M487" i="38"/>
  <c r="L487" i="38"/>
  <c r="I487" i="38"/>
  <c r="J487" i="38"/>
  <c r="G487" i="38"/>
  <c r="W480" i="38"/>
  <c r="W481" i="38"/>
  <c r="W482" i="38"/>
  <c r="W483" i="38"/>
  <c r="W484" i="38"/>
  <c r="W485" i="38"/>
  <c r="W486" i="38"/>
  <c r="S480" i="38"/>
  <c r="S481" i="38"/>
  <c r="S482" i="38"/>
  <c r="S483" i="38"/>
  <c r="S484" i="38"/>
  <c r="S485" i="38"/>
  <c r="S486" i="38"/>
  <c r="AA483" i="38"/>
  <c r="AA480" i="38"/>
  <c r="AA481" i="38"/>
  <c r="AA485" i="38"/>
  <c r="X486" i="38"/>
  <c r="U486" i="38"/>
  <c r="T486" i="38"/>
  <c r="Q486" i="38"/>
  <c r="L486" i="38"/>
  <c r="J486" i="38"/>
  <c r="I486" i="38"/>
  <c r="H486" i="38"/>
  <c r="G486" i="38"/>
  <c r="D486" i="38"/>
  <c r="E486" i="38"/>
  <c r="B486" i="38"/>
  <c r="Z481" i="38"/>
  <c r="Z484" i="38"/>
  <c r="T480" i="38"/>
  <c r="T481" i="38"/>
  <c r="T482" i="38"/>
  <c r="T483" i="38"/>
  <c r="T484" i="38"/>
  <c r="T485" i="38"/>
  <c r="Z480" i="38"/>
  <c r="X485" i="38"/>
  <c r="U485" i="38"/>
  <c r="Q485" i="38"/>
  <c r="O485" i="38"/>
  <c r="N485" i="38"/>
  <c r="M485" i="38"/>
  <c r="L485" i="38"/>
  <c r="J485" i="38"/>
  <c r="I485" i="38"/>
  <c r="H485" i="38"/>
  <c r="G485" i="38"/>
  <c r="E485" i="38"/>
  <c r="D485" i="38"/>
  <c r="C485" i="38"/>
  <c r="B485" i="38"/>
  <c r="AB484" i="38"/>
  <c r="AA484" i="38"/>
  <c r="X484" i="38"/>
  <c r="U484" i="38"/>
  <c r="Q484" i="38"/>
  <c r="O484" i="38"/>
  <c r="N484" i="38"/>
  <c r="M484" i="38"/>
  <c r="L484" i="38"/>
  <c r="I484" i="38"/>
  <c r="J484" i="38"/>
  <c r="G484" i="38"/>
  <c r="E484" i="38"/>
  <c r="D484" i="38"/>
  <c r="C484" i="38"/>
  <c r="B484" i="38"/>
  <c r="AB483" i="38"/>
  <c r="X483" i="38"/>
  <c r="U483" i="38"/>
  <c r="Q483" i="38"/>
  <c r="N483" i="38"/>
  <c r="O483" i="38"/>
  <c r="L483" i="38"/>
  <c r="I483" i="38"/>
  <c r="J483" i="38"/>
  <c r="G483" i="38"/>
  <c r="B483" i="38"/>
  <c r="AB482" i="38"/>
  <c r="X482" i="38"/>
  <c r="U482" i="38"/>
  <c r="Q482" i="38"/>
  <c r="O482" i="38"/>
  <c r="N482" i="38"/>
  <c r="M482" i="38"/>
  <c r="L482" i="38"/>
  <c r="I482" i="38"/>
  <c r="J482" i="38"/>
  <c r="G482" i="38"/>
  <c r="B482" i="38"/>
  <c r="AB481" i="38"/>
  <c r="X481" i="38"/>
  <c r="U481" i="38"/>
  <c r="Q481" i="38"/>
  <c r="N481" i="38"/>
  <c r="O481" i="38"/>
  <c r="L481" i="38"/>
  <c r="I481" i="38"/>
  <c r="J481" i="38"/>
  <c r="G481" i="38"/>
  <c r="E481" i="38"/>
  <c r="B481" i="38"/>
  <c r="AB480" i="38"/>
  <c r="X480" i="38"/>
  <c r="U480" i="38"/>
  <c r="Q480" i="38"/>
  <c r="O480" i="38"/>
  <c r="N480" i="38"/>
  <c r="M480" i="38"/>
  <c r="L480" i="38"/>
  <c r="I480" i="38"/>
  <c r="J480" i="38"/>
  <c r="G480" i="38"/>
  <c r="W473" i="38"/>
  <c r="W474" i="38"/>
  <c r="W475" i="38"/>
  <c r="W476" i="38"/>
  <c r="W477" i="38"/>
  <c r="W478" i="38"/>
  <c r="W479" i="38"/>
  <c r="S473" i="38"/>
  <c r="S474" i="38"/>
  <c r="S475" i="38"/>
  <c r="S476" i="38"/>
  <c r="S477" i="38"/>
  <c r="S478" i="38"/>
  <c r="S479" i="38"/>
  <c r="AA476" i="38"/>
  <c r="AA473" i="38"/>
  <c r="AA474" i="38"/>
  <c r="AA478" i="38"/>
  <c r="X479" i="38"/>
  <c r="U479" i="38"/>
  <c r="T479" i="38"/>
  <c r="Q479" i="38"/>
  <c r="L479" i="38"/>
  <c r="J479" i="38"/>
  <c r="I479" i="38"/>
  <c r="H479" i="38"/>
  <c r="G479" i="38"/>
  <c r="D479" i="38"/>
  <c r="E479" i="38"/>
  <c r="B479" i="38"/>
  <c r="Z474" i="38"/>
  <c r="Z477" i="38"/>
  <c r="T473" i="38"/>
  <c r="T474" i="38"/>
  <c r="T475" i="38"/>
  <c r="T476" i="38"/>
  <c r="T477" i="38"/>
  <c r="T478" i="38"/>
  <c r="Z473" i="38"/>
  <c r="X478" i="38"/>
  <c r="U478" i="38"/>
  <c r="Q478" i="38"/>
  <c r="O478" i="38"/>
  <c r="N478" i="38"/>
  <c r="M478" i="38"/>
  <c r="L478" i="38"/>
  <c r="J478" i="38"/>
  <c r="I478" i="38"/>
  <c r="H478" i="38"/>
  <c r="G478" i="38"/>
  <c r="E478" i="38"/>
  <c r="D478" i="38"/>
  <c r="C478" i="38"/>
  <c r="B478" i="38"/>
  <c r="AB477" i="38"/>
  <c r="AA477" i="38"/>
  <c r="X477" i="38"/>
  <c r="U477" i="38"/>
  <c r="Q477" i="38"/>
  <c r="O477" i="38"/>
  <c r="N477" i="38"/>
  <c r="M477" i="38"/>
  <c r="L477" i="38"/>
  <c r="I477" i="38"/>
  <c r="J477" i="38"/>
  <c r="G477" i="38"/>
  <c r="E477" i="38"/>
  <c r="D477" i="38"/>
  <c r="C477" i="38"/>
  <c r="B477" i="38"/>
  <c r="AB476" i="38"/>
  <c r="X476" i="38"/>
  <c r="U476" i="38"/>
  <c r="Q476" i="38"/>
  <c r="N476" i="38"/>
  <c r="O476" i="38"/>
  <c r="L476" i="38"/>
  <c r="I476" i="38"/>
  <c r="J476" i="38"/>
  <c r="G476" i="38"/>
  <c r="B476" i="38"/>
  <c r="AB475" i="38"/>
  <c r="X475" i="38"/>
  <c r="U475" i="38"/>
  <c r="Q475" i="38"/>
  <c r="O475" i="38"/>
  <c r="N475" i="38"/>
  <c r="M475" i="38"/>
  <c r="L475" i="38"/>
  <c r="I475" i="38"/>
  <c r="J475" i="38"/>
  <c r="G475" i="38"/>
  <c r="B475" i="38"/>
  <c r="AB474" i="38"/>
  <c r="X474" i="38"/>
  <c r="U474" i="38"/>
  <c r="Q474" i="38"/>
  <c r="N474" i="38"/>
  <c r="O474" i="38"/>
  <c r="L474" i="38"/>
  <c r="I474" i="38"/>
  <c r="J474" i="38"/>
  <c r="G474" i="38"/>
  <c r="E474" i="38"/>
  <c r="B474" i="38"/>
  <c r="AB473" i="38"/>
  <c r="X473" i="38"/>
  <c r="U473" i="38"/>
  <c r="Q473" i="38"/>
  <c r="O473" i="38"/>
  <c r="N473" i="38"/>
  <c r="M473" i="38"/>
  <c r="L473" i="38"/>
  <c r="I473" i="38"/>
  <c r="J473" i="38"/>
  <c r="G473" i="38"/>
  <c r="W466" i="38"/>
  <c r="W467" i="38"/>
  <c r="W468" i="38"/>
  <c r="W469" i="38"/>
  <c r="W470" i="38"/>
  <c r="W471" i="38"/>
  <c r="W472" i="38"/>
  <c r="S466" i="38"/>
  <c r="S467" i="38"/>
  <c r="S468" i="38"/>
  <c r="S469" i="38"/>
  <c r="S470" i="38"/>
  <c r="S471" i="38"/>
  <c r="S472" i="38"/>
  <c r="AA469" i="38"/>
  <c r="AA466" i="38"/>
  <c r="AA467" i="38"/>
  <c r="AA471" i="38"/>
  <c r="X472" i="38"/>
  <c r="U472" i="38"/>
  <c r="T472" i="38"/>
  <c r="Q472" i="38"/>
  <c r="L472" i="38"/>
  <c r="J472" i="38"/>
  <c r="I472" i="38"/>
  <c r="H472" i="38"/>
  <c r="G472" i="38"/>
  <c r="D472" i="38"/>
  <c r="E472" i="38"/>
  <c r="B472" i="38"/>
  <c r="Z467" i="38"/>
  <c r="Z470" i="38"/>
  <c r="T466" i="38"/>
  <c r="T467" i="38"/>
  <c r="T468" i="38"/>
  <c r="T469" i="38"/>
  <c r="T470" i="38"/>
  <c r="T471" i="38"/>
  <c r="Z466" i="38"/>
  <c r="X471" i="38"/>
  <c r="U471" i="38"/>
  <c r="Q471" i="38"/>
  <c r="O471" i="38"/>
  <c r="N471" i="38"/>
  <c r="M471" i="38"/>
  <c r="L471" i="38"/>
  <c r="J471" i="38"/>
  <c r="I471" i="38"/>
  <c r="H471" i="38"/>
  <c r="G471" i="38"/>
  <c r="E471" i="38"/>
  <c r="D471" i="38"/>
  <c r="C471" i="38"/>
  <c r="B471" i="38"/>
  <c r="AB470" i="38"/>
  <c r="AA470" i="38"/>
  <c r="X470" i="38"/>
  <c r="U470" i="38"/>
  <c r="Q470" i="38"/>
  <c r="O470" i="38"/>
  <c r="N470" i="38"/>
  <c r="L470" i="38"/>
  <c r="I470" i="38"/>
  <c r="J470" i="38"/>
  <c r="G470" i="38"/>
  <c r="E470" i="38"/>
  <c r="D470" i="38"/>
  <c r="C470" i="38"/>
  <c r="B470" i="38"/>
  <c r="AB469" i="38"/>
  <c r="X469" i="38"/>
  <c r="U469" i="38"/>
  <c r="Q469" i="38"/>
  <c r="N469" i="38"/>
  <c r="O469" i="38"/>
  <c r="L469" i="38"/>
  <c r="I469" i="38"/>
  <c r="J469" i="38"/>
  <c r="G469" i="38"/>
  <c r="B469" i="38"/>
  <c r="AB468" i="38"/>
  <c r="X468" i="38"/>
  <c r="U468" i="38"/>
  <c r="Q468" i="38"/>
  <c r="O468" i="38"/>
  <c r="N468" i="38"/>
  <c r="M468" i="38"/>
  <c r="L468" i="38"/>
  <c r="I468" i="38"/>
  <c r="J468" i="38"/>
  <c r="G468" i="38"/>
  <c r="B468" i="38"/>
  <c r="AB467" i="38"/>
  <c r="X467" i="38"/>
  <c r="U467" i="38"/>
  <c r="Q467" i="38"/>
  <c r="N467" i="38"/>
  <c r="O467" i="38"/>
  <c r="L467" i="38"/>
  <c r="I467" i="38"/>
  <c r="J467" i="38"/>
  <c r="G467" i="38"/>
  <c r="E467" i="38"/>
  <c r="B467" i="38"/>
  <c r="AB466" i="38"/>
  <c r="X466" i="38"/>
  <c r="U466" i="38"/>
  <c r="Q466" i="38"/>
  <c r="O466" i="38"/>
  <c r="N466" i="38"/>
  <c r="M466" i="38"/>
  <c r="L466" i="38"/>
  <c r="I466" i="38"/>
  <c r="J466" i="38"/>
  <c r="G466" i="38"/>
  <c r="W459" i="38"/>
  <c r="W460" i="38"/>
  <c r="W461" i="38"/>
  <c r="W462" i="38"/>
  <c r="W463" i="38"/>
  <c r="W464" i="38"/>
  <c r="W465" i="38"/>
  <c r="S459" i="38"/>
  <c r="S460" i="38"/>
  <c r="S461" i="38"/>
  <c r="S462" i="38"/>
  <c r="S463" i="38"/>
  <c r="S464" i="38"/>
  <c r="S465" i="38"/>
  <c r="AA462" i="38"/>
  <c r="AA459" i="38"/>
  <c r="AA460" i="38"/>
  <c r="AA464" i="38"/>
  <c r="X465" i="38"/>
  <c r="U465" i="38"/>
  <c r="T465" i="38"/>
  <c r="Q465" i="38"/>
  <c r="L465" i="38"/>
  <c r="J465" i="38"/>
  <c r="I465" i="38"/>
  <c r="H465" i="38"/>
  <c r="G465" i="38"/>
  <c r="D465" i="38"/>
  <c r="E465" i="38"/>
  <c r="B465" i="38"/>
  <c r="Z460" i="38"/>
  <c r="Z463" i="38"/>
  <c r="T459" i="38"/>
  <c r="T460" i="38"/>
  <c r="T461" i="38"/>
  <c r="T462" i="38"/>
  <c r="T463" i="38"/>
  <c r="T464" i="38"/>
  <c r="Z459" i="38"/>
  <c r="X464" i="38"/>
  <c r="U464" i="38"/>
  <c r="Q464" i="38"/>
  <c r="O464" i="38"/>
  <c r="N464" i="38"/>
  <c r="M464" i="38"/>
  <c r="L464" i="38"/>
  <c r="J464" i="38"/>
  <c r="I464" i="38"/>
  <c r="H464" i="38"/>
  <c r="G464" i="38"/>
  <c r="E464" i="38"/>
  <c r="D464" i="38"/>
  <c r="C464" i="38"/>
  <c r="B464" i="38"/>
  <c r="AB463" i="38"/>
  <c r="AA463" i="38"/>
  <c r="X463" i="38"/>
  <c r="U463" i="38"/>
  <c r="Q463" i="38"/>
  <c r="O463" i="38"/>
  <c r="N463" i="38"/>
  <c r="L463" i="38"/>
  <c r="I463" i="38"/>
  <c r="J463" i="38"/>
  <c r="G463" i="38"/>
  <c r="E463" i="38"/>
  <c r="D463" i="38"/>
  <c r="C463" i="38"/>
  <c r="B463" i="38"/>
  <c r="AB462" i="38"/>
  <c r="X462" i="38"/>
  <c r="U462" i="38"/>
  <c r="Q462" i="38"/>
  <c r="N462" i="38"/>
  <c r="O462" i="38"/>
  <c r="L462" i="38"/>
  <c r="I462" i="38"/>
  <c r="J462" i="38"/>
  <c r="G462" i="38"/>
  <c r="B462" i="38"/>
  <c r="AB461" i="38"/>
  <c r="X461" i="38"/>
  <c r="U461" i="38"/>
  <c r="Q461" i="38"/>
  <c r="O461" i="38"/>
  <c r="N461" i="38"/>
  <c r="M461" i="38"/>
  <c r="L461" i="38"/>
  <c r="I461" i="38"/>
  <c r="J461" i="38"/>
  <c r="G461" i="38"/>
  <c r="B461" i="38"/>
  <c r="AB460" i="38"/>
  <c r="X460" i="38"/>
  <c r="U460" i="38"/>
  <c r="Q460" i="38"/>
  <c r="N460" i="38"/>
  <c r="O460" i="38"/>
  <c r="L460" i="38"/>
  <c r="I460" i="38"/>
  <c r="J460" i="38"/>
  <c r="G460" i="38"/>
  <c r="B460" i="38"/>
  <c r="AB459" i="38"/>
  <c r="X459" i="38"/>
  <c r="U459" i="38"/>
  <c r="Q459" i="38"/>
  <c r="O459" i="38"/>
  <c r="N459" i="38"/>
  <c r="M459" i="38"/>
  <c r="L459" i="38"/>
  <c r="I459" i="38"/>
  <c r="J459" i="38"/>
  <c r="G459" i="38"/>
  <c r="W452" i="38"/>
  <c r="W453" i="38"/>
  <c r="W454" i="38"/>
  <c r="W455" i="38"/>
  <c r="W456" i="38"/>
  <c r="W457" i="38"/>
  <c r="W458" i="38"/>
  <c r="S452" i="38"/>
  <c r="S453" i="38"/>
  <c r="S454" i="38"/>
  <c r="S455" i="38"/>
  <c r="S456" i="38"/>
  <c r="S457" i="38"/>
  <c r="S458" i="38"/>
  <c r="AA455" i="38"/>
  <c r="AA452" i="38"/>
  <c r="AA453" i="38"/>
  <c r="AA457" i="38"/>
  <c r="X458" i="38"/>
  <c r="U458" i="38"/>
  <c r="T458" i="38"/>
  <c r="Q458" i="38"/>
  <c r="L458" i="38"/>
  <c r="J458" i="38"/>
  <c r="I458" i="38"/>
  <c r="G458" i="38"/>
  <c r="D458" i="38"/>
  <c r="E458" i="38"/>
  <c r="B458" i="38"/>
  <c r="Z453" i="38"/>
  <c r="Z456" i="38"/>
  <c r="T452" i="38"/>
  <c r="T453" i="38"/>
  <c r="T454" i="38"/>
  <c r="T455" i="38"/>
  <c r="T456" i="38"/>
  <c r="T457" i="38"/>
  <c r="Z452" i="38"/>
  <c r="X457" i="38"/>
  <c r="U457" i="38"/>
  <c r="Q457" i="38"/>
  <c r="O457" i="38"/>
  <c r="N457" i="38"/>
  <c r="M457" i="38"/>
  <c r="L457" i="38"/>
  <c r="J457" i="38"/>
  <c r="I457" i="38"/>
  <c r="G457" i="38"/>
  <c r="E457" i="38"/>
  <c r="D457" i="38"/>
  <c r="B457" i="38"/>
  <c r="AB456" i="38"/>
  <c r="AA456" i="38"/>
  <c r="X456" i="38"/>
  <c r="U456" i="38"/>
  <c r="Q456" i="38"/>
  <c r="O456" i="38"/>
  <c r="N456" i="38"/>
  <c r="M456" i="38"/>
  <c r="L456" i="38"/>
  <c r="I456" i="38"/>
  <c r="J456" i="38"/>
  <c r="G456" i="38"/>
  <c r="E456" i="38"/>
  <c r="D456" i="38"/>
  <c r="B456" i="38"/>
  <c r="AB455" i="38"/>
  <c r="X455" i="38"/>
  <c r="U455" i="38"/>
  <c r="Q455" i="38"/>
  <c r="N455" i="38"/>
  <c r="O455" i="38"/>
  <c r="L455" i="38"/>
  <c r="I455" i="38"/>
  <c r="J455" i="38"/>
  <c r="G455" i="38"/>
  <c r="B455" i="38"/>
  <c r="AB454" i="38"/>
  <c r="X454" i="38"/>
  <c r="U454" i="38"/>
  <c r="Q454" i="38"/>
  <c r="O454" i="38"/>
  <c r="N454" i="38"/>
  <c r="L454" i="38"/>
  <c r="I454" i="38"/>
  <c r="J454" i="38"/>
  <c r="G454" i="38"/>
  <c r="B454" i="38"/>
  <c r="AB453" i="38"/>
  <c r="X453" i="38"/>
  <c r="U453" i="38"/>
  <c r="Q453" i="38"/>
  <c r="N453" i="38"/>
  <c r="O453" i="38"/>
  <c r="L453" i="38"/>
  <c r="I453" i="38"/>
  <c r="J453" i="38"/>
  <c r="G453" i="38"/>
  <c r="B453" i="38"/>
  <c r="AB452" i="38"/>
  <c r="X452" i="38"/>
  <c r="U452" i="38"/>
  <c r="Q452" i="38"/>
  <c r="O452" i="38"/>
  <c r="N452" i="38"/>
  <c r="M452" i="38"/>
  <c r="L452" i="38"/>
  <c r="I452" i="38"/>
  <c r="J452" i="38"/>
  <c r="G452" i="38"/>
  <c r="W445" i="38"/>
  <c r="W446" i="38"/>
  <c r="W447" i="38"/>
  <c r="W448" i="38"/>
  <c r="W449" i="38"/>
  <c r="W450" i="38"/>
  <c r="W451" i="38"/>
  <c r="S445" i="38"/>
  <c r="S446" i="38"/>
  <c r="S447" i="38"/>
  <c r="S448" i="38"/>
  <c r="S449" i="38"/>
  <c r="S450" i="38"/>
  <c r="S451" i="38"/>
  <c r="AA448" i="38"/>
  <c r="AA445" i="38"/>
  <c r="AA446" i="38"/>
  <c r="AA450" i="38"/>
  <c r="X451" i="38"/>
  <c r="U451" i="38"/>
  <c r="T451" i="38"/>
  <c r="Q451" i="38"/>
  <c r="L451" i="38"/>
  <c r="J451" i="38"/>
  <c r="I451" i="38"/>
  <c r="G451" i="38"/>
  <c r="D451" i="38"/>
  <c r="E451" i="38"/>
  <c r="B451" i="38"/>
  <c r="Z446" i="38"/>
  <c r="Z449" i="38"/>
  <c r="T445" i="38"/>
  <c r="T446" i="38"/>
  <c r="T447" i="38"/>
  <c r="T448" i="38"/>
  <c r="T449" i="38"/>
  <c r="T450" i="38"/>
  <c r="Z445" i="38"/>
  <c r="X450" i="38"/>
  <c r="U450" i="38"/>
  <c r="Q450" i="38"/>
  <c r="O450" i="38"/>
  <c r="N450" i="38"/>
  <c r="M450" i="38"/>
  <c r="L450" i="38"/>
  <c r="J450" i="38"/>
  <c r="I450" i="38"/>
  <c r="G450" i="38"/>
  <c r="E450" i="38"/>
  <c r="D450" i="38"/>
  <c r="B450" i="38"/>
  <c r="AB449" i="38"/>
  <c r="AA449" i="38"/>
  <c r="X449" i="38"/>
  <c r="U449" i="38"/>
  <c r="Q449" i="38"/>
  <c r="O449" i="38"/>
  <c r="N449" i="38"/>
  <c r="L449" i="38"/>
  <c r="I449" i="38"/>
  <c r="J449" i="38"/>
  <c r="G449" i="38"/>
  <c r="E449" i="38"/>
  <c r="D449" i="38"/>
  <c r="B449" i="38"/>
  <c r="AB448" i="38"/>
  <c r="X448" i="38"/>
  <c r="U448" i="38"/>
  <c r="Q448" i="38"/>
  <c r="N448" i="38"/>
  <c r="O448" i="38"/>
  <c r="L448" i="38"/>
  <c r="I448" i="38"/>
  <c r="J448" i="38"/>
  <c r="G448" i="38"/>
  <c r="B448" i="38"/>
  <c r="AB447" i="38"/>
  <c r="X447" i="38"/>
  <c r="U447" i="38"/>
  <c r="Q447" i="38"/>
  <c r="M13" i="38"/>
  <c r="M20" i="38"/>
  <c r="M27" i="38"/>
  <c r="M34" i="38"/>
  <c r="M41" i="38"/>
  <c r="M48" i="38"/>
  <c r="M55" i="38"/>
  <c r="M62" i="38"/>
  <c r="M69" i="38"/>
  <c r="M76" i="38"/>
  <c r="M83" i="38"/>
  <c r="M90" i="38"/>
  <c r="M97" i="38"/>
  <c r="M104" i="38"/>
  <c r="M111" i="38"/>
  <c r="M118" i="38"/>
  <c r="M125" i="38"/>
  <c r="M132" i="38"/>
  <c r="M139" i="38"/>
  <c r="M146" i="38"/>
  <c r="M153" i="38"/>
  <c r="M160" i="38"/>
  <c r="M167" i="38"/>
  <c r="M174" i="38"/>
  <c r="M181" i="38"/>
  <c r="M188" i="38"/>
  <c r="M195" i="38"/>
  <c r="M202" i="38"/>
  <c r="M209" i="38"/>
  <c r="M216" i="38"/>
  <c r="M223" i="38"/>
  <c r="M230" i="38"/>
  <c r="M237" i="38"/>
  <c r="M244" i="38"/>
  <c r="M251" i="38"/>
  <c r="M258" i="38"/>
  <c r="M265" i="38"/>
  <c r="M272" i="38"/>
  <c r="M279" i="38"/>
  <c r="M286" i="38"/>
  <c r="M293" i="38"/>
  <c r="M300" i="38"/>
  <c r="M307" i="38"/>
  <c r="M314" i="38"/>
  <c r="M321" i="38"/>
  <c r="M328" i="38"/>
  <c r="M335" i="38"/>
  <c r="M342" i="38"/>
  <c r="M349" i="38"/>
  <c r="M356" i="38"/>
  <c r="M363" i="38"/>
  <c r="M370" i="38"/>
  <c r="M377" i="38"/>
  <c r="M384" i="38"/>
  <c r="M391" i="38"/>
  <c r="M398" i="38"/>
  <c r="M405" i="38"/>
  <c r="M412" i="38"/>
  <c r="M419" i="38"/>
  <c r="M426" i="38"/>
  <c r="M433" i="38"/>
  <c r="M440" i="38"/>
  <c r="M447" i="38"/>
  <c r="N447" i="38"/>
  <c r="O447" i="38"/>
  <c r="L447" i="38"/>
  <c r="I447" i="38"/>
  <c r="J447" i="38"/>
  <c r="G447" i="38"/>
  <c r="B447" i="38"/>
  <c r="AB446" i="38"/>
  <c r="X446" i="38"/>
  <c r="U446" i="38"/>
  <c r="Q446" i="38"/>
  <c r="N446" i="38"/>
  <c r="O446" i="38"/>
  <c r="L446" i="38"/>
  <c r="I446" i="38"/>
  <c r="J446" i="38"/>
  <c r="G446" i="38"/>
  <c r="B446" i="38"/>
  <c r="AB445" i="38"/>
  <c r="X445" i="38"/>
  <c r="U445" i="38"/>
  <c r="Q445" i="38"/>
  <c r="O445" i="38"/>
  <c r="N445" i="38"/>
  <c r="M445" i="38"/>
  <c r="L445" i="38"/>
  <c r="I445" i="38"/>
  <c r="J445" i="38"/>
  <c r="G445" i="38"/>
  <c r="W438" i="38"/>
  <c r="W439" i="38"/>
  <c r="W440" i="38"/>
  <c r="W441" i="38"/>
  <c r="W442" i="38"/>
  <c r="W443" i="38"/>
  <c r="W444" i="38"/>
  <c r="S438" i="38"/>
  <c r="S439" i="38"/>
  <c r="S440" i="38"/>
  <c r="S441" i="38"/>
  <c r="S442" i="38"/>
  <c r="S443" i="38"/>
  <c r="S444" i="38"/>
  <c r="AA441" i="38"/>
  <c r="AA438" i="38"/>
  <c r="AA439" i="38"/>
  <c r="AA443" i="38"/>
  <c r="X444" i="38"/>
  <c r="U444" i="38"/>
  <c r="T444" i="38"/>
  <c r="Q444" i="38"/>
  <c r="L444" i="38"/>
  <c r="H24" i="38"/>
  <c r="H31" i="38"/>
  <c r="H38" i="38"/>
  <c r="H45" i="38"/>
  <c r="H52" i="38"/>
  <c r="H59" i="38"/>
  <c r="H66" i="38"/>
  <c r="H73" i="38"/>
  <c r="H80" i="38"/>
  <c r="H87" i="38"/>
  <c r="H94" i="38"/>
  <c r="H101" i="38"/>
  <c r="H108" i="38"/>
  <c r="H115" i="38"/>
  <c r="H122" i="38"/>
  <c r="H129" i="38"/>
  <c r="H136" i="38"/>
  <c r="H143" i="38"/>
  <c r="H150" i="38"/>
  <c r="H157" i="38"/>
  <c r="H164" i="38"/>
  <c r="H171" i="38"/>
  <c r="H178" i="38"/>
  <c r="H185" i="38"/>
  <c r="H192" i="38"/>
  <c r="H199" i="38"/>
  <c r="H206" i="38"/>
  <c r="H213" i="38"/>
  <c r="H220" i="38"/>
  <c r="H227" i="38"/>
  <c r="H234" i="38"/>
  <c r="H241" i="38"/>
  <c r="H248" i="38"/>
  <c r="H255" i="38"/>
  <c r="H262" i="38"/>
  <c r="H269" i="38"/>
  <c r="H276" i="38"/>
  <c r="H283" i="38"/>
  <c r="H290" i="38"/>
  <c r="H297" i="38"/>
  <c r="H304" i="38"/>
  <c r="H311" i="38"/>
  <c r="H318" i="38"/>
  <c r="H325" i="38"/>
  <c r="H332" i="38"/>
  <c r="H339" i="38"/>
  <c r="H346" i="38"/>
  <c r="H353" i="38"/>
  <c r="H360" i="38"/>
  <c r="H367" i="38"/>
  <c r="H374" i="38"/>
  <c r="H381" i="38"/>
  <c r="H388" i="38"/>
  <c r="H395" i="38"/>
  <c r="H402" i="38"/>
  <c r="H409" i="38"/>
  <c r="H416" i="38"/>
  <c r="H423" i="38"/>
  <c r="H430" i="38"/>
  <c r="H437" i="38"/>
  <c r="H444" i="38"/>
  <c r="I444" i="38"/>
  <c r="J444" i="38"/>
  <c r="G444" i="38"/>
  <c r="D444" i="38"/>
  <c r="E444" i="38"/>
  <c r="B444" i="38"/>
  <c r="Z439" i="38"/>
  <c r="Z442" i="38"/>
  <c r="T438" i="38"/>
  <c r="T439" i="38"/>
  <c r="T440" i="38"/>
  <c r="T441" i="38"/>
  <c r="T442" i="38"/>
  <c r="T443" i="38"/>
  <c r="Z438" i="38"/>
  <c r="X443" i="38"/>
  <c r="U443" i="38"/>
  <c r="Q443" i="38"/>
  <c r="O443" i="38"/>
  <c r="N443" i="38"/>
  <c r="M443" i="38"/>
  <c r="L443" i="38"/>
  <c r="H23" i="38"/>
  <c r="H30" i="38"/>
  <c r="H37" i="38"/>
  <c r="H44" i="38"/>
  <c r="H51" i="38"/>
  <c r="H58" i="38"/>
  <c r="H65" i="38"/>
  <c r="H72" i="38"/>
  <c r="H79" i="38"/>
  <c r="H86" i="38"/>
  <c r="H93" i="38"/>
  <c r="H100" i="38"/>
  <c r="H107" i="38"/>
  <c r="H114" i="38"/>
  <c r="H121" i="38"/>
  <c r="H128" i="38"/>
  <c r="H135" i="38"/>
  <c r="H142" i="38"/>
  <c r="H149" i="38"/>
  <c r="H156" i="38"/>
  <c r="H163" i="38"/>
  <c r="H170" i="38"/>
  <c r="H177" i="38"/>
  <c r="H184" i="38"/>
  <c r="H191" i="38"/>
  <c r="H198" i="38"/>
  <c r="H205" i="38"/>
  <c r="H212" i="38"/>
  <c r="H219" i="38"/>
  <c r="H226" i="38"/>
  <c r="H233" i="38"/>
  <c r="H240" i="38"/>
  <c r="H247" i="38"/>
  <c r="H254" i="38"/>
  <c r="H261" i="38"/>
  <c r="H268" i="38"/>
  <c r="H275" i="38"/>
  <c r="H282" i="38"/>
  <c r="H289" i="38"/>
  <c r="H296" i="38"/>
  <c r="H303" i="38"/>
  <c r="H310" i="38"/>
  <c r="H317" i="38"/>
  <c r="H324" i="38"/>
  <c r="H331" i="38"/>
  <c r="H338" i="38"/>
  <c r="H345" i="38"/>
  <c r="H352" i="38"/>
  <c r="H359" i="38"/>
  <c r="H366" i="38"/>
  <c r="H373" i="38"/>
  <c r="H380" i="38"/>
  <c r="H387" i="38"/>
  <c r="H394" i="38"/>
  <c r="H401" i="38"/>
  <c r="H408" i="38"/>
  <c r="H415" i="38"/>
  <c r="H422" i="38"/>
  <c r="H429" i="38"/>
  <c r="H436" i="38"/>
  <c r="H443" i="38"/>
  <c r="I443" i="38"/>
  <c r="J443" i="38"/>
  <c r="G443" i="38"/>
  <c r="C16" i="38"/>
  <c r="C23" i="38"/>
  <c r="C30" i="38"/>
  <c r="C37" i="38"/>
  <c r="C44" i="38"/>
  <c r="C51" i="38"/>
  <c r="C58" i="38"/>
  <c r="C65" i="38"/>
  <c r="C72" i="38"/>
  <c r="C79" i="38"/>
  <c r="C86" i="38"/>
  <c r="C93" i="38"/>
  <c r="C100" i="38"/>
  <c r="C107" i="38"/>
  <c r="C114" i="38"/>
  <c r="C121" i="38"/>
  <c r="C128" i="38"/>
  <c r="C135" i="38"/>
  <c r="C142" i="38"/>
  <c r="C149" i="38"/>
  <c r="C156" i="38"/>
  <c r="C163" i="38"/>
  <c r="C170" i="38"/>
  <c r="C177" i="38"/>
  <c r="C184" i="38"/>
  <c r="C191" i="38"/>
  <c r="C198" i="38"/>
  <c r="C205" i="38"/>
  <c r="C212" i="38"/>
  <c r="C219" i="38"/>
  <c r="C226" i="38"/>
  <c r="C233" i="38"/>
  <c r="C240" i="38"/>
  <c r="C247" i="38"/>
  <c r="C254" i="38"/>
  <c r="C261" i="38"/>
  <c r="C268" i="38"/>
  <c r="C275" i="38"/>
  <c r="C282" i="38"/>
  <c r="C289" i="38"/>
  <c r="C296" i="38"/>
  <c r="C303" i="38"/>
  <c r="C310" i="38"/>
  <c r="C317" i="38"/>
  <c r="C324" i="38"/>
  <c r="C331" i="38"/>
  <c r="C338" i="38"/>
  <c r="C345" i="38"/>
  <c r="C352" i="38"/>
  <c r="C359" i="38"/>
  <c r="C366" i="38"/>
  <c r="C373" i="38"/>
  <c r="C380" i="38"/>
  <c r="C387" i="38"/>
  <c r="C394" i="38"/>
  <c r="C401" i="38"/>
  <c r="C408" i="38"/>
  <c r="C415" i="38"/>
  <c r="C422" i="38"/>
  <c r="C429" i="38"/>
  <c r="C436" i="38"/>
  <c r="C443" i="38"/>
  <c r="D443" i="38"/>
  <c r="E443" i="38"/>
  <c r="B443" i="38"/>
  <c r="AB442" i="38"/>
  <c r="AA442" i="38"/>
  <c r="X442" i="38"/>
  <c r="U442" i="38"/>
  <c r="Q442" i="38"/>
  <c r="M15" i="38"/>
  <c r="M22" i="38"/>
  <c r="M29" i="38"/>
  <c r="M36" i="38"/>
  <c r="M43" i="38"/>
  <c r="M50" i="38"/>
  <c r="M57" i="38"/>
  <c r="M64" i="38"/>
  <c r="M71" i="38"/>
  <c r="M78" i="38"/>
  <c r="M85" i="38"/>
  <c r="M92" i="38"/>
  <c r="M99" i="38"/>
  <c r="M106" i="38"/>
  <c r="M113" i="38"/>
  <c r="M120" i="38"/>
  <c r="M127" i="38"/>
  <c r="M134" i="38"/>
  <c r="M141" i="38"/>
  <c r="M148" i="38"/>
  <c r="M155" i="38"/>
  <c r="M162" i="38"/>
  <c r="M169" i="38"/>
  <c r="M176" i="38"/>
  <c r="M183" i="38"/>
  <c r="M190" i="38"/>
  <c r="M197" i="38"/>
  <c r="M204" i="38"/>
  <c r="M211" i="38"/>
  <c r="M218" i="38"/>
  <c r="M225" i="38"/>
  <c r="M232" i="38"/>
  <c r="M239" i="38"/>
  <c r="M246" i="38"/>
  <c r="M253" i="38"/>
  <c r="M260" i="38"/>
  <c r="M267" i="38"/>
  <c r="M274" i="38"/>
  <c r="M281" i="38"/>
  <c r="M288" i="38"/>
  <c r="M295" i="38"/>
  <c r="M302" i="38"/>
  <c r="M309" i="38"/>
  <c r="M316" i="38"/>
  <c r="M323" i="38"/>
  <c r="M330" i="38"/>
  <c r="M337" i="38"/>
  <c r="M344" i="38"/>
  <c r="M351" i="38"/>
  <c r="M358" i="38"/>
  <c r="M365" i="38"/>
  <c r="M372" i="38"/>
  <c r="M379" i="38"/>
  <c r="M386" i="38"/>
  <c r="M393" i="38"/>
  <c r="M400" i="38"/>
  <c r="M407" i="38"/>
  <c r="M414" i="38"/>
  <c r="M421" i="38"/>
  <c r="M428" i="38"/>
  <c r="M435" i="38"/>
  <c r="M442" i="38"/>
  <c r="N442" i="38"/>
  <c r="O442" i="38"/>
  <c r="L442" i="38"/>
  <c r="I442" i="38"/>
  <c r="J442" i="38"/>
  <c r="G442" i="38"/>
  <c r="B442" i="38"/>
  <c r="AB441" i="38"/>
  <c r="X441" i="38"/>
  <c r="U441" i="38"/>
  <c r="Q441" i="38"/>
  <c r="N441" i="38"/>
  <c r="O441" i="38"/>
  <c r="L441" i="38"/>
  <c r="I441" i="38"/>
  <c r="J441" i="38"/>
  <c r="G441" i="38"/>
  <c r="B441" i="38"/>
  <c r="AB440" i="38"/>
  <c r="X440" i="38"/>
  <c r="U440" i="38"/>
  <c r="Q440" i="38"/>
  <c r="N440" i="38"/>
  <c r="O440" i="38"/>
  <c r="L440" i="38"/>
  <c r="I440" i="38"/>
  <c r="J440" i="38"/>
  <c r="G440" i="38"/>
  <c r="B440" i="38"/>
  <c r="AB439" i="38"/>
  <c r="X439" i="38"/>
  <c r="U439" i="38"/>
  <c r="Q439" i="38"/>
  <c r="N439" i="38"/>
  <c r="O439" i="38"/>
  <c r="L439" i="38"/>
  <c r="I439" i="38"/>
  <c r="J439" i="38"/>
  <c r="G439" i="38"/>
  <c r="B439" i="38"/>
  <c r="AB438" i="38"/>
  <c r="X438" i="38"/>
  <c r="U438" i="38"/>
  <c r="Q438" i="38"/>
  <c r="O438" i="38"/>
  <c r="N438" i="38"/>
  <c r="M438" i="38"/>
  <c r="L438" i="38"/>
  <c r="I438" i="38"/>
  <c r="J438" i="38"/>
  <c r="G438" i="38"/>
  <c r="W431" i="38"/>
  <c r="W432" i="38"/>
  <c r="W433" i="38"/>
  <c r="W434" i="38"/>
  <c r="W435" i="38"/>
  <c r="W436" i="38"/>
  <c r="W437" i="38"/>
  <c r="S431" i="38"/>
  <c r="S432" i="38"/>
  <c r="S433" i="38"/>
  <c r="S434" i="38"/>
  <c r="S435" i="38"/>
  <c r="S436" i="38"/>
  <c r="S437" i="38"/>
  <c r="AA434" i="38"/>
  <c r="AA431" i="38"/>
  <c r="AA432" i="38"/>
  <c r="AA436" i="38"/>
  <c r="X437" i="38"/>
  <c r="U437" i="38"/>
  <c r="T437" i="38"/>
  <c r="Q437" i="38"/>
  <c r="L437" i="38"/>
  <c r="I437" i="38"/>
  <c r="J437" i="38"/>
  <c r="G437" i="38"/>
  <c r="D437" i="38"/>
  <c r="E437" i="38"/>
  <c r="B437" i="38"/>
  <c r="Z432" i="38"/>
  <c r="Z435" i="38"/>
  <c r="T431" i="38"/>
  <c r="T432" i="38"/>
  <c r="T433" i="38"/>
  <c r="T434" i="38"/>
  <c r="T435" i="38"/>
  <c r="T436" i="38"/>
  <c r="Z431" i="38"/>
  <c r="X436" i="38"/>
  <c r="U436" i="38"/>
  <c r="Q436" i="38"/>
  <c r="O436" i="38"/>
  <c r="N436" i="38"/>
  <c r="M436" i="38"/>
  <c r="L436" i="38"/>
  <c r="I436" i="38"/>
  <c r="J436" i="38"/>
  <c r="G436" i="38"/>
  <c r="D436" i="38"/>
  <c r="E436" i="38"/>
  <c r="B436" i="38"/>
  <c r="AB435" i="38"/>
  <c r="AA435" i="38"/>
  <c r="X435" i="38"/>
  <c r="U435" i="38"/>
  <c r="Q435" i="38"/>
  <c r="N435" i="38"/>
  <c r="O435" i="38"/>
  <c r="L435" i="38"/>
  <c r="I435" i="38"/>
  <c r="J435" i="38"/>
  <c r="G435" i="38"/>
  <c r="B435" i="38"/>
  <c r="AB434" i="38"/>
  <c r="X434" i="38"/>
  <c r="U434" i="38"/>
  <c r="Q434" i="38"/>
  <c r="N434" i="38"/>
  <c r="O434" i="38"/>
  <c r="L434" i="38"/>
  <c r="I434" i="38"/>
  <c r="J434" i="38"/>
  <c r="G434" i="38"/>
  <c r="B434" i="38"/>
  <c r="AB433" i="38"/>
  <c r="X433" i="38"/>
  <c r="U433" i="38"/>
  <c r="Q433" i="38"/>
  <c r="N433" i="38"/>
  <c r="O433" i="38"/>
  <c r="L433" i="38"/>
  <c r="I433" i="38"/>
  <c r="J433" i="38"/>
  <c r="G433" i="38"/>
  <c r="B433" i="38"/>
  <c r="AB432" i="38"/>
  <c r="X432" i="38"/>
  <c r="U432" i="38"/>
  <c r="Q432" i="38"/>
  <c r="N432" i="38"/>
  <c r="O432" i="38"/>
  <c r="L432" i="38"/>
  <c r="I432" i="38"/>
  <c r="J432" i="38"/>
  <c r="G432" i="38"/>
  <c r="B432" i="38"/>
  <c r="AB431" i="38"/>
  <c r="X431" i="38"/>
  <c r="U431" i="38"/>
  <c r="Q431" i="38"/>
  <c r="O431" i="38"/>
  <c r="N431" i="38"/>
  <c r="M431" i="38"/>
  <c r="L431" i="38"/>
  <c r="I431" i="38"/>
  <c r="J431" i="38"/>
  <c r="G431" i="38"/>
  <c r="W424" i="38"/>
  <c r="W425" i="38"/>
  <c r="W426" i="38"/>
  <c r="W427" i="38"/>
  <c r="W428" i="38"/>
  <c r="W429" i="38"/>
  <c r="W430" i="38"/>
  <c r="S424" i="38"/>
  <c r="S425" i="38"/>
  <c r="S426" i="38"/>
  <c r="S427" i="38"/>
  <c r="S428" i="38"/>
  <c r="S429" i="38"/>
  <c r="S430" i="38"/>
  <c r="AA427" i="38"/>
  <c r="AA424" i="38"/>
  <c r="AA425" i="38"/>
  <c r="AA429" i="38"/>
  <c r="X430" i="38"/>
  <c r="U430" i="38"/>
  <c r="T430" i="38"/>
  <c r="Q430" i="38"/>
  <c r="L430" i="38"/>
  <c r="I430" i="38"/>
  <c r="J430" i="38"/>
  <c r="G430" i="38"/>
  <c r="D430" i="38"/>
  <c r="E430" i="38"/>
  <c r="B430" i="38"/>
  <c r="Z425" i="38"/>
  <c r="Z428" i="38"/>
  <c r="T424" i="38"/>
  <c r="T425" i="38"/>
  <c r="T426" i="38"/>
  <c r="T427" i="38"/>
  <c r="T428" i="38"/>
  <c r="T429" i="38"/>
  <c r="Z424" i="38"/>
  <c r="X429" i="38"/>
  <c r="U429" i="38"/>
  <c r="Q429" i="38"/>
  <c r="O429" i="38"/>
  <c r="N429" i="38"/>
  <c r="M429" i="38"/>
  <c r="L429" i="38"/>
  <c r="I429" i="38"/>
  <c r="J429" i="38"/>
  <c r="G429" i="38"/>
  <c r="D429" i="38"/>
  <c r="E429" i="38"/>
  <c r="B429" i="38"/>
  <c r="AB428" i="38"/>
  <c r="AA428" i="38"/>
  <c r="X428" i="38"/>
  <c r="U428" i="38"/>
  <c r="Q428" i="38"/>
  <c r="N428" i="38"/>
  <c r="O428" i="38"/>
  <c r="L428" i="38"/>
  <c r="I428" i="38"/>
  <c r="J428" i="38"/>
  <c r="G428" i="38"/>
  <c r="B428" i="38"/>
  <c r="AB427" i="38"/>
  <c r="X427" i="38"/>
  <c r="U427" i="38"/>
  <c r="Q427" i="38"/>
  <c r="N427" i="38"/>
  <c r="O427" i="38"/>
  <c r="L427" i="38"/>
  <c r="I427" i="38"/>
  <c r="J427" i="38"/>
  <c r="G427" i="38"/>
  <c r="B427" i="38"/>
  <c r="AB426" i="38"/>
  <c r="X426" i="38"/>
  <c r="U426" i="38"/>
  <c r="Q426" i="38"/>
  <c r="N426" i="38"/>
  <c r="O426" i="38"/>
  <c r="L426" i="38"/>
  <c r="I426" i="38"/>
  <c r="J426" i="38"/>
  <c r="G426" i="38"/>
  <c r="B426" i="38"/>
  <c r="AB425" i="38"/>
  <c r="X425" i="38"/>
  <c r="U425" i="38"/>
  <c r="Q425" i="38"/>
  <c r="N425" i="38"/>
  <c r="O425" i="38"/>
  <c r="L425" i="38"/>
  <c r="I425" i="38"/>
  <c r="J425" i="38"/>
  <c r="G425" i="38"/>
  <c r="B425" i="38"/>
  <c r="AB424" i="38"/>
  <c r="X424" i="38"/>
  <c r="U424" i="38"/>
  <c r="Q424" i="38"/>
  <c r="O424" i="38"/>
  <c r="N424" i="38"/>
  <c r="M424" i="38"/>
  <c r="L424" i="38"/>
  <c r="I424" i="38"/>
  <c r="J424" i="38"/>
  <c r="G424" i="38"/>
  <c r="W417" i="38"/>
  <c r="W418" i="38"/>
  <c r="W419" i="38"/>
  <c r="W420" i="38"/>
  <c r="W421" i="38"/>
  <c r="W422" i="38"/>
  <c r="W423" i="38"/>
  <c r="S417" i="38"/>
  <c r="S418" i="38"/>
  <c r="S419" i="38"/>
  <c r="S420" i="38"/>
  <c r="S421" i="38"/>
  <c r="S422" i="38"/>
  <c r="S423" i="38"/>
  <c r="AA420" i="38"/>
  <c r="AA417" i="38"/>
  <c r="AA418" i="38"/>
  <c r="AA422" i="38"/>
  <c r="X423" i="38"/>
  <c r="U423" i="38"/>
  <c r="T423" i="38"/>
  <c r="Q423" i="38"/>
  <c r="L423" i="38"/>
  <c r="I423" i="38"/>
  <c r="J423" i="38"/>
  <c r="G423" i="38"/>
  <c r="D423" i="38"/>
  <c r="E423" i="38"/>
  <c r="B423" i="38"/>
  <c r="Z418" i="38"/>
  <c r="Z421" i="38"/>
  <c r="T417" i="38"/>
  <c r="T418" i="38"/>
  <c r="T419" i="38"/>
  <c r="T420" i="38"/>
  <c r="T421" i="38"/>
  <c r="T422" i="38"/>
  <c r="Z417" i="38"/>
  <c r="X422" i="38"/>
  <c r="U422" i="38"/>
  <c r="Q422" i="38"/>
  <c r="O422" i="38"/>
  <c r="N422" i="38"/>
  <c r="M422" i="38"/>
  <c r="L422" i="38"/>
  <c r="I422" i="38"/>
  <c r="J422" i="38"/>
  <c r="G422" i="38"/>
  <c r="D422" i="38"/>
  <c r="E422" i="38"/>
  <c r="B422" i="38"/>
  <c r="AB421" i="38"/>
  <c r="AA421" i="38"/>
  <c r="X421" i="38"/>
  <c r="U421" i="38"/>
  <c r="Q421" i="38"/>
  <c r="N421" i="38"/>
  <c r="O421" i="38"/>
  <c r="L421" i="38"/>
  <c r="I421" i="38"/>
  <c r="J421" i="38"/>
  <c r="G421" i="38"/>
  <c r="B421" i="38"/>
  <c r="AB420" i="38"/>
  <c r="X420" i="38"/>
  <c r="U420" i="38"/>
  <c r="Q420" i="38"/>
  <c r="N420" i="38"/>
  <c r="O420" i="38"/>
  <c r="L420" i="38"/>
  <c r="I420" i="38"/>
  <c r="J420" i="38"/>
  <c r="G420" i="38"/>
  <c r="B420" i="38"/>
  <c r="AB419" i="38"/>
  <c r="X419" i="38"/>
  <c r="U419" i="38"/>
  <c r="Q419" i="38"/>
  <c r="N419" i="38"/>
  <c r="O419" i="38"/>
  <c r="L419" i="38"/>
  <c r="I419" i="38"/>
  <c r="J419" i="38"/>
  <c r="G419" i="38"/>
  <c r="B419" i="38"/>
  <c r="AB418" i="38"/>
  <c r="X418" i="38"/>
  <c r="U418" i="38"/>
  <c r="Q418" i="38"/>
  <c r="N418" i="38"/>
  <c r="O418" i="38"/>
  <c r="L418" i="38"/>
  <c r="I418" i="38"/>
  <c r="J418" i="38"/>
  <c r="G418" i="38"/>
  <c r="B418" i="38"/>
  <c r="AB417" i="38"/>
  <c r="X417" i="38"/>
  <c r="U417" i="38"/>
  <c r="Q417" i="38"/>
  <c r="O417" i="38"/>
  <c r="N417" i="38"/>
  <c r="M417" i="38"/>
  <c r="L417" i="38"/>
  <c r="I417" i="38"/>
  <c r="J417" i="38"/>
  <c r="G417" i="38"/>
  <c r="W410" i="38"/>
  <c r="W411" i="38"/>
  <c r="W412" i="38"/>
  <c r="W413" i="38"/>
  <c r="W414" i="38"/>
  <c r="W415" i="38"/>
  <c r="W416" i="38"/>
  <c r="S410" i="38"/>
  <c r="S411" i="38"/>
  <c r="S412" i="38"/>
  <c r="S413" i="38"/>
  <c r="S414" i="38"/>
  <c r="S415" i="38"/>
  <c r="S416" i="38"/>
  <c r="AA413" i="38"/>
  <c r="AA410" i="38"/>
  <c r="AA411" i="38"/>
  <c r="AA415" i="38"/>
  <c r="X416" i="38"/>
  <c r="U416" i="38"/>
  <c r="T416" i="38"/>
  <c r="Q416" i="38"/>
  <c r="L416" i="38"/>
  <c r="I416" i="38"/>
  <c r="J416" i="38"/>
  <c r="G416" i="38"/>
  <c r="D416" i="38"/>
  <c r="E416" i="38"/>
  <c r="B416" i="38"/>
  <c r="Z411" i="38"/>
  <c r="Z414" i="38"/>
  <c r="T410" i="38"/>
  <c r="T411" i="38"/>
  <c r="T412" i="38"/>
  <c r="T413" i="38"/>
  <c r="T414" i="38"/>
  <c r="T415" i="38"/>
  <c r="Z410" i="38"/>
  <c r="X415" i="38"/>
  <c r="U415" i="38"/>
  <c r="Q415" i="38"/>
  <c r="O415" i="38"/>
  <c r="N415" i="38"/>
  <c r="M415" i="38"/>
  <c r="L415" i="38"/>
  <c r="I415" i="38"/>
  <c r="J415" i="38"/>
  <c r="G415" i="38"/>
  <c r="D415" i="38"/>
  <c r="E415" i="38"/>
  <c r="B415" i="38"/>
  <c r="AB414" i="38"/>
  <c r="AA414" i="38"/>
  <c r="X414" i="38"/>
  <c r="U414" i="38"/>
  <c r="Q414" i="38"/>
  <c r="N414" i="38"/>
  <c r="O414" i="38"/>
  <c r="L414" i="38"/>
  <c r="I414" i="38"/>
  <c r="J414" i="38"/>
  <c r="G414" i="38"/>
  <c r="B414" i="38"/>
  <c r="AB413" i="38"/>
  <c r="X413" i="38"/>
  <c r="U413" i="38"/>
  <c r="Q413" i="38"/>
  <c r="N413" i="38"/>
  <c r="O413" i="38"/>
  <c r="L413" i="38"/>
  <c r="I413" i="38"/>
  <c r="J413" i="38"/>
  <c r="G413" i="38"/>
  <c r="B413" i="38"/>
  <c r="AB412" i="38"/>
  <c r="X412" i="38"/>
  <c r="U412" i="38"/>
  <c r="Q412" i="38"/>
  <c r="N412" i="38"/>
  <c r="O412" i="38"/>
  <c r="L412" i="38"/>
  <c r="I412" i="38"/>
  <c r="J412" i="38"/>
  <c r="G412" i="38"/>
  <c r="B412" i="38"/>
  <c r="AB411" i="38"/>
  <c r="X411" i="38"/>
  <c r="U411" i="38"/>
  <c r="Q411" i="38"/>
  <c r="N411" i="38"/>
  <c r="O411" i="38"/>
  <c r="L411" i="38"/>
  <c r="I411" i="38"/>
  <c r="J411" i="38"/>
  <c r="G411" i="38"/>
  <c r="B411" i="38"/>
  <c r="AB410" i="38"/>
  <c r="X410" i="38"/>
  <c r="U410" i="38"/>
  <c r="Q410" i="38"/>
  <c r="O410" i="38"/>
  <c r="N410" i="38"/>
  <c r="M410" i="38"/>
  <c r="L410" i="38"/>
  <c r="I410" i="38"/>
  <c r="J410" i="38"/>
  <c r="G410" i="38"/>
  <c r="W403" i="38"/>
  <c r="W404" i="38"/>
  <c r="W405" i="38"/>
  <c r="W406" i="38"/>
  <c r="W407" i="38"/>
  <c r="W408" i="38"/>
  <c r="W409" i="38"/>
  <c r="S403" i="38"/>
  <c r="S404" i="38"/>
  <c r="S405" i="38"/>
  <c r="S406" i="38"/>
  <c r="S407" i="38"/>
  <c r="S408" i="38"/>
  <c r="S409" i="38"/>
  <c r="AA406" i="38"/>
  <c r="AA403" i="38"/>
  <c r="AA404" i="38"/>
  <c r="AA408" i="38"/>
  <c r="X409" i="38"/>
  <c r="U409" i="38"/>
  <c r="T409" i="38"/>
  <c r="Q409" i="38"/>
  <c r="L409" i="38"/>
  <c r="I409" i="38"/>
  <c r="J409" i="38"/>
  <c r="G409" i="38"/>
  <c r="D409" i="38"/>
  <c r="E409" i="38"/>
  <c r="B409" i="38"/>
  <c r="Z404" i="38"/>
  <c r="Z407" i="38"/>
  <c r="T403" i="38"/>
  <c r="T404" i="38"/>
  <c r="T405" i="38"/>
  <c r="T406" i="38"/>
  <c r="T407" i="38"/>
  <c r="T408" i="38"/>
  <c r="Z403" i="38"/>
  <c r="X408" i="38"/>
  <c r="U408" i="38"/>
  <c r="Q408" i="38"/>
  <c r="O408" i="38"/>
  <c r="N408" i="38"/>
  <c r="M408" i="38"/>
  <c r="L408" i="38"/>
  <c r="I408" i="38"/>
  <c r="J408" i="38"/>
  <c r="G408" i="38"/>
  <c r="D408" i="38"/>
  <c r="E408" i="38"/>
  <c r="B408" i="38"/>
  <c r="AB407" i="38"/>
  <c r="AA407" i="38"/>
  <c r="X407" i="38"/>
  <c r="U407" i="38"/>
  <c r="Q407" i="38"/>
  <c r="N407" i="38"/>
  <c r="O407" i="38"/>
  <c r="L407" i="38"/>
  <c r="I407" i="38"/>
  <c r="J407" i="38"/>
  <c r="G407" i="38"/>
  <c r="B407" i="38"/>
  <c r="AB406" i="38"/>
  <c r="X406" i="38"/>
  <c r="U406" i="38"/>
  <c r="Q406" i="38"/>
  <c r="N406" i="38"/>
  <c r="O406" i="38"/>
  <c r="L406" i="38"/>
  <c r="I406" i="38"/>
  <c r="J406" i="38"/>
  <c r="G406" i="38"/>
  <c r="B406" i="38"/>
  <c r="AB405" i="38"/>
  <c r="X405" i="38"/>
  <c r="U405" i="38"/>
  <c r="Q405" i="38"/>
  <c r="N405" i="38"/>
  <c r="O405" i="38"/>
  <c r="L405" i="38"/>
  <c r="I405" i="38"/>
  <c r="J405" i="38"/>
  <c r="G405" i="38"/>
  <c r="B405" i="38"/>
  <c r="AB404" i="38"/>
  <c r="X404" i="38"/>
  <c r="U404" i="38"/>
  <c r="Q404" i="38"/>
  <c r="N404" i="38"/>
  <c r="O404" i="38"/>
  <c r="L404" i="38"/>
  <c r="I404" i="38"/>
  <c r="J404" i="38"/>
  <c r="G404" i="38"/>
  <c r="B404" i="38"/>
  <c r="AB403" i="38"/>
  <c r="X403" i="38"/>
  <c r="U403" i="38"/>
  <c r="Q403" i="38"/>
  <c r="O403" i="38"/>
  <c r="N403" i="38"/>
  <c r="M403" i="38"/>
  <c r="L403" i="38"/>
  <c r="I403" i="38"/>
  <c r="J403" i="38"/>
  <c r="G403" i="38"/>
  <c r="W396" i="38"/>
  <c r="W397" i="38"/>
  <c r="W398" i="38"/>
  <c r="W399" i="38"/>
  <c r="W400" i="38"/>
  <c r="W401" i="38"/>
  <c r="W402" i="38"/>
  <c r="S396" i="38"/>
  <c r="S397" i="38"/>
  <c r="S398" i="38"/>
  <c r="S399" i="38"/>
  <c r="S400" i="38"/>
  <c r="S401" i="38"/>
  <c r="S402" i="38"/>
  <c r="AA399" i="38"/>
  <c r="AA396" i="38"/>
  <c r="AA397" i="38"/>
  <c r="AA401" i="38"/>
  <c r="X402" i="38"/>
  <c r="U402" i="38"/>
  <c r="T402" i="38"/>
  <c r="Q402" i="38"/>
  <c r="L402" i="38"/>
  <c r="I402" i="38"/>
  <c r="J402" i="38"/>
  <c r="G402" i="38"/>
  <c r="D402" i="38"/>
  <c r="E402" i="38"/>
  <c r="B402" i="38"/>
  <c r="Z397" i="38"/>
  <c r="Z400" i="38"/>
  <c r="T396" i="38"/>
  <c r="T397" i="38"/>
  <c r="T398" i="38"/>
  <c r="T399" i="38"/>
  <c r="T400" i="38"/>
  <c r="T401" i="38"/>
  <c r="Z396" i="38"/>
  <c r="X401" i="38"/>
  <c r="U401" i="38"/>
  <c r="Q401" i="38"/>
  <c r="O401" i="38"/>
  <c r="N401" i="38"/>
  <c r="M401" i="38"/>
  <c r="L401" i="38"/>
  <c r="I401" i="38"/>
  <c r="J401" i="38"/>
  <c r="G401" i="38"/>
  <c r="D401" i="38"/>
  <c r="E401" i="38"/>
  <c r="B401" i="38"/>
  <c r="AB400" i="38"/>
  <c r="AA400" i="38"/>
  <c r="X400" i="38"/>
  <c r="U400" i="38"/>
  <c r="Q400" i="38"/>
  <c r="N400" i="38"/>
  <c r="O400" i="38"/>
  <c r="L400" i="38"/>
  <c r="I400" i="38"/>
  <c r="J400" i="38"/>
  <c r="G400" i="38"/>
  <c r="B400" i="38"/>
  <c r="AB399" i="38"/>
  <c r="X399" i="38"/>
  <c r="U399" i="38"/>
  <c r="Q399" i="38"/>
  <c r="N399" i="38"/>
  <c r="O399" i="38"/>
  <c r="L399" i="38"/>
  <c r="I399" i="38"/>
  <c r="J399" i="38"/>
  <c r="G399" i="38"/>
  <c r="B399" i="38"/>
  <c r="AB398" i="38"/>
  <c r="X398" i="38"/>
  <c r="U398" i="38"/>
  <c r="Q398" i="38"/>
  <c r="N398" i="38"/>
  <c r="O398" i="38"/>
  <c r="L398" i="38"/>
  <c r="I398" i="38"/>
  <c r="J398" i="38"/>
  <c r="G398" i="38"/>
  <c r="B398" i="38"/>
  <c r="AB397" i="38"/>
  <c r="X397" i="38"/>
  <c r="U397" i="38"/>
  <c r="Q397" i="38"/>
  <c r="N397" i="38"/>
  <c r="O397" i="38"/>
  <c r="L397" i="38"/>
  <c r="I397" i="38"/>
  <c r="J397" i="38"/>
  <c r="G397" i="38"/>
  <c r="B397" i="38"/>
  <c r="AB396" i="38"/>
  <c r="X396" i="38"/>
  <c r="U396" i="38"/>
  <c r="Q396" i="38"/>
  <c r="O396" i="38"/>
  <c r="N396" i="38"/>
  <c r="M396" i="38"/>
  <c r="L396" i="38"/>
  <c r="I396" i="38"/>
  <c r="J396" i="38"/>
  <c r="G396" i="38"/>
  <c r="W389" i="38"/>
  <c r="W390" i="38"/>
  <c r="W391" i="38"/>
  <c r="W392" i="38"/>
  <c r="W393" i="38"/>
  <c r="W394" i="38"/>
  <c r="W395" i="38"/>
  <c r="S389" i="38"/>
  <c r="S390" i="38"/>
  <c r="S391" i="38"/>
  <c r="S392" i="38"/>
  <c r="S393" i="38"/>
  <c r="S394" i="38"/>
  <c r="S395" i="38"/>
  <c r="AA392" i="38"/>
  <c r="AA389" i="38"/>
  <c r="AA390" i="38"/>
  <c r="AA394" i="38"/>
  <c r="X395" i="38"/>
  <c r="U395" i="38"/>
  <c r="T395" i="38"/>
  <c r="Q395" i="38"/>
  <c r="L395" i="38"/>
  <c r="I395" i="38"/>
  <c r="J395" i="38"/>
  <c r="G395" i="38"/>
  <c r="D395" i="38"/>
  <c r="E395" i="38"/>
  <c r="B395" i="38"/>
  <c r="Z390" i="38"/>
  <c r="Z393" i="38"/>
  <c r="T389" i="38"/>
  <c r="T390" i="38"/>
  <c r="T391" i="38"/>
  <c r="T392" i="38"/>
  <c r="T393" i="38"/>
  <c r="T394" i="38"/>
  <c r="Z389" i="38"/>
  <c r="X394" i="38"/>
  <c r="U394" i="38"/>
  <c r="Q394" i="38"/>
  <c r="O394" i="38"/>
  <c r="N394" i="38"/>
  <c r="M394" i="38"/>
  <c r="L394" i="38"/>
  <c r="I394" i="38"/>
  <c r="J394" i="38"/>
  <c r="G394" i="38"/>
  <c r="D394" i="38"/>
  <c r="E394" i="38"/>
  <c r="B394" i="38"/>
  <c r="AB393" i="38"/>
  <c r="AA393" i="38"/>
  <c r="X393" i="38"/>
  <c r="U393" i="38"/>
  <c r="Q393" i="38"/>
  <c r="N393" i="38"/>
  <c r="O393" i="38"/>
  <c r="L393" i="38"/>
  <c r="I393" i="38"/>
  <c r="J393" i="38"/>
  <c r="G393" i="38"/>
  <c r="B393" i="38"/>
  <c r="AB392" i="38"/>
  <c r="X392" i="38"/>
  <c r="U392" i="38"/>
  <c r="Q392" i="38"/>
  <c r="N392" i="38"/>
  <c r="O392" i="38"/>
  <c r="L392" i="38"/>
  <c r="I392" i="38"/>
  <c r="J392" i="38"/>
  <c r="G392" i="38"/>
  <c r="B392" i="38"/>
  <c r="AB391" i="38"/>
  <c r="X391" i="38"/>
  <c r="U391" i="38"/>
  <c r="Q391" i="38"/>
  <c r="N391" i="38"/>
  <c r="O391" i="38"/>
  <c r="L391" i="38"/>
  <c r="I391" i="38"/>
  <c r="J391" i="38"/>
  <c r="G391" i="38"/>
  <c r="B391" i="38"/>
  <c r="AB390" i="38"/>
  <c r="X390" i="38"/>
  <c r="U390" i="38"/>
  <c r="Q390" i="38"/>
  <c r="N390" i="38"/>
  <c r="O390" i="38"/>
  <c r="L390" i="38"/>
  <c r="I390" i="38"/>
  <c r="J390" i="38"/>
  <c r="G390" i="38"/>
  <c r="B390" i="38"/>
  <c r="AB389" i="38"/>
  <c r="X389" i="38"/>
  <c r="U389" i="38"/>
  <c r="Q389" i="38"/>
  <c r="O389" i="38"/>
  <c r="N389" i="38"/>
  <c r="M389" i="38"/>
  <c r="L389" i="38"/>
  <c r="I389" i="38"/>
  <c r="J389" i="38"/>
  <c r="G389" i="38"/>
  <c r="W382" i="38"/>
  <c r="W383" i="38"/>
  <c r="W384" i="38"/>
  <c r="W385" i="38"/>
  <c r="W386" i="38"/>
  <c r="W387" i="38"/>
  <c r="W388" i="38"/>
  <c r="S382" i="38"/>
  <c r="S383" i="38"/>
  <c r="S384" i="38"/>
  <c r="S385" i="38"/>
  <c r="S386" i="38"/>
  <c r="S387" i="38"/>
  <c r="S388" i="38"/>
  <c r="AA385" i="38"/>
  <c r="AA382" i="38"/>
  <c r="AA383" i="38"/>
  <c r="AA387" i="38"/>
  <c r="X388" i="38"/>
  <c r="U388" i="38"/>
  <c r="T388" i="38"/>
  <c r="Q388" i="38"/>
  <c r="L388" i="38"/>
  <c r="I388" i="38"/>
  <c r="J388" i="38"/>
  <c r="G388" i="38"/>
  <c r="D388" i="38"/>
  <c r="E388" i="38"/>
  <c r="B388" i="38"/>
  <c r="Z383" i="38"/>
  <c r="Z386" i="38"/>
  <c r="T382" i="38"/>
  <c r="T383" i="38"/>
  <c r="T384" i="38"/>
  <c r="T385" i="38"/>
  <c r="T386" i="38"/>
  <c r="T387" i="38"/>
  <c r="Z382" i="38"/>
  <c r="X387" i="38"/>
  <c r="U387" i="38"/>
  <c r="Q387" i="38"/>
  <c r="O387" i="38"/>
  <c r="N387" i="38"/>
  <c r="M387" i="38"/>
  <c r="L387" i="38"/>
  <c r="I387" i="38"/>
  <c r="J387" i="38"/>
  <c r="G387" i="38"/>
  <c r="D387" i="38"/>
  <c r="E387" i="38"/>
  <c r="B387" i="38"/>
  <c r="AB386" i="38"/>
  <c r="AA386" i="38"/>
  <c r="X386" i="38"/>
  <c r="U386" i="38"/>
  <c r="Q386" i="38"/>
  <c r="N386" i="38"/>
  <c r="O386" i="38"/>
  <c r="L386" i="38"/>
  <c r="I386" i="38"/>
  <c r="J386" i="38"/>
  <c r="G386" i="38"/>
  <c r="B386" i="38"/>
  <c r="AB385" i="38"/>
  <c r="X385" i="38"/>
  <c r="U385" i="38"/>
  <c r="Q385" i="38"/>
  <c r="N385" i="38"/>
  <c r="O385" i="38"/>
  <c r="L385" i="38"/>
  <c r="I385" i="38"/>
  <c r="J385" i="38"/>
  <c r="G385" i="38"/>
  <c r="B385" i="38"/>
  <c r="AB384" i="38"/>
  <c r="X384" i="38"/>
  <c r="U384" i="38"/>
  <c r="Q384" i="38"/>
  <c r="N384" i="38"/>
  <c r="O384" i="38"/>
  <c r="L384" i="38"/>
  <c r="I384" i="38"/>
  <c r="J384" i="38"/>
  <c r="G384" i="38"/>
  <c r="B384" i="38"/>
  <c r="AB383" i="38"/>
  <c r="X383" i="38"/>
  <c r="U383" i="38"/>
  <c r="Q383" i="38"/>
  <c r="N383" i="38"/>
  <c r="O383" i="38"/>
  <c r="L383" i="38"/>
  <c r="I383" i="38"/>
  <c r="J383" i="38"/>
  <c r="G383" i="38"/>
  <c r="B383" i="38"/>
  <c r="AB382" i="38"/>
  <c r="X382" i="38"/>
  <c r="U382" i="38"/>
  <c r="Q382" i="38"/>
  <c r="O382" i="38"/>
  <c r="N382" i="38"/>
  <c r="M382" i="38"/>
  <c r="L382" i="38"/>
  <c r="I382" i="38"/>
  <c r="J382" i="38"/>
  <c r="G382" i="38"/>
  <c r="W375" i="38"/>
  <c r="W376" i="38"/>
  <c r="W377" i="38"/>
  <c r="W378" i="38"/>
  <c r="W379" i="38"/>
  <c r="W380" i="38"/>
  <c r="W381" i="38"/>
  <c r="S375" i="38"/>
  <c r="S376" i="38"/>
  <c r="S377" i="38"/>
  <c r="S378" i="38"/>
  <c r="S379" i="38"/>
  <c r="S380" i="38"/>
  <c r="S381" i="38"/>
  <c r="AA378" i="38"/>
  <c r="AA375" i="38"/>
  <c r="AA376" i="38"/>
  <c r="AA380" i="38"/>
  <c r="X381" i="38"/>
  <c r="U381" i="38"/>
  <c r="T381" i="38"/>
  <c r="Q381" i="38"/>
  <c r="L381" i="38"/>
  <c r="I381" i="38"/>
  <c r="J381" i="38"/>
  <c r="G381" i="38"/>
  <c r="D381" i="38"/>
  <c r="E381" i="38"/>
  <c r="B381" i="38"/>
  <c r="Z376" i="38"/>
  <c r="Z379" i="38"/>
  <c r="T375" i="38"/>
  <c r="T376" i="38"/>
  <c r="T377" i="38"/>
  <c r="T378" i="38"/>
  <c r="T379" i="38"/>
  <c r="T380" i="38"/>
  <c r="Z375" i="38"/>
  <c r="X380" i="38"/>
  <c r="U380" i="38"/>
  <c r="Q380" i="38"/>
  <c r="O380" i="38"/>
  <c r="N380" i="38"/>
  <c r="M380" i="38"/>
  <c r="L380" i="38"/>
  <c r="I380" i="38"/>
  <c r="J380" i="38"/>
  <c r="G380" i="38"/>
  <c r="D380" i="38"/>
  <c r="E380" i="38"/>
  <c r="B380" i="38"/>
  <c r="AB379" i="38"/>
  <c r="AA379" i="38"/>
  <c r="X379" i="38"/>
  <c r="U379" i="38"/>
  <c r="Q379" i="38"/>
  <c r="N379" i="38"/>
  <c r="O379" i="38"/>
  <c r="L379" i="38"/>
  <c r="I379" i="38"/>
  <c r="J379" i="38"/>
  <c r="G379" i="38"/>
  <c r="B379" i="38"/>
  <c r="AB378" i="38"/>
  <c r="X378" i="38"/>
  <c r="U378" i="38"/>
  <c r="Q378" i="38"/>
  <c r="N378" i="38"/>
  <c r="O378" i="38"/>
  <c r="L378" i="38"/>
  <c r="I378" i="38"/>
  <c r="J378" i="38"/>
  <c r="G378" i="38"/>
  <c r="B378" i="38"/>
  <c r="AB377" i="38"/>
  <c r="X377" i="38"/>
  <c r="U377" i="38"/>
  <c r="Q377" i="38"/>
  <c r="N377" i="38"/>
  <c r="O377" i="38"/>
  <c r="L377" i="38"/>
  <c r="I377" i="38"/>
  <c r="J377" i="38"/>
  <c r="G377" i="38"/>
  <c r="B377" i="38"/>
  <c r="AB376" i="38"/>
  <c r="X376" i="38"/>
  <c r="U376" i="38"/>
  <c r="Q376" i="38"/>
  <c r="N376" i="38"/>
  <c r="O376" i="38"/>
  <c r="L376" i="38"/>
  <c r="I376" i="38"/>
  <c r="J376" i="38"/>
  <c r="G376" i="38"/>
  <c r="B376" i="38"/>
  <c r="AB375" i="38"/>
  <c r="X375" i="38"/>
  <c r="U375" i="38"/>
  <c r="Q375" i="38"/>
  <c r="O375" i="38"/>
  <c r="N375" i="38"/>
  <c r="M375" i="38"/>
  <c r="L375" i="38"/>
  <c r="I375" i="38"/>
  <c r="J375" i="38"/>
  <c r="G375" i="38"/>
  <c r="W368" i="38"/>
  <c r="W369" i="38"/>
  <c r="W370" i="38"/>
  <c r="W371" i="38"/>
  <c r="W372" i="38"/>
  <c r="W373" i="38"/>
  <c r="W374" i="38"/>
  <c r="S368" i="38"/>
  <c r="S369" i="38"/>
  <c r="S370" i="38"/>
  <c r="S371" i="38"/>
  <c r="S372" i="38"/>
  <c r="S373" i="38"/>
  <c r="S374" i="38"/>
  <c r="AA371" i="38"/>
  <c r="AA368" i="38"/>
  <c r="AA369" i="38"/>
  <c r="AA373" i="38"/>
  <c r="X374" i="38"/>
  <c r="U374" i="38"/>
  <c r="T374" i="38"/>
  <c r="Q374" i="38"/>
  <c r="L374" i="38"/>
  <c r="I374" i="38"/>
  <c r="J374" i="38"/>
  <c r="G374" i="38"/>
  <c r="D374" i="38"/>
  <c r="E374" i="38"/>
  <c r="B374" i="38"/>
  <c r="Z369" i="38"/>
  <c r="Z372" i="38"/>
  <c r="T368" i="38"/>
  <c r="T369" i="38"/>
  <c r="T370" i="38"/>
  <c r="T371" i="38"/>
  <c r="T372" i="38"/>
  <c r="T373" i="38"/>
  <c r="Z368" i="38"/>
  <c r="X373" i="38"/>
  <c r="U373" i="38"/>
  <c r="Q373" i="38"/>
  <c r="O373" i="38"/>
  <c r="N373" i="38"/>
  <c r="M373" i="38"/>
  <c r="L373" i="38"/>
  <c r="I373" i="38"/>
  <c r="J373" i="38"/>
  <c r="G373" i="38"/>
  <c r="D373" i="38"/>
  <c r="E373" i="38"/>
  <c r="B373" i="38"/>
  <c r="AB372" i="38"/>
  <c r="AA372" i="38"/>
  <c r="X372" i="38"/>
  <c r="U372" i="38"/>
  <c r="Q372" i="38"/>
  <c r="N372" i="38"/>
  <c r="O372" i="38"/>
  <c r="L372" i="38"/>
  <c r="I372" i="38"/>
  <c r="J372" i="38"/>
  <c r="G372" i="38"/>
  <c r="B372" i="38"/>
  <c r="AB371" i="38"/>
  <c r="X371" i="38"/>
  <c r="U371" i="38"/>
  <c r="Q371" i="38"/>
  <c r="N371" i="38"/>
  <c r="O371" i="38"/>
  <c r="L371" i="38"/>
  <c r="I371" i="38"/>
  <c r="J371" i="38"/>
  <c r="G371" i="38"/>
  <c r="B371" i="38"/>
  <c r="AB370" i="38"/>
  <c r="X370" i="38"/>
  <c r="U370" i="38"/>
  <c r="Q370" i="38"/>
  <c r="N370" i="38"/>
  <c r="O370" i="38"/>
  <c r="L370" i="38"/>
  <c r="I370" i="38"/>
  <c r="J370" i="38"/>
  <c r="G370" i="38"/>
  <c r="B370" i="38"/>
  <c r="AB369" i="38"/>
  <c r="X369" i="38"/>
  <c r="U369" i="38"/>
  <c r="Q369" i="38"/>
  <c r="N369" i="38"/>
  <c r="O369" i="38"/>
  <c r="L369" i="38"/>
  <c r="I369" i="38"/>
  <c r="J369" i="38"/>
  <c r="G369" i="38"/>
  <c r="B369" i="38"/>
  <c r="AB368" i="38"/>
  <c r="X368" i="38"/>
  <c r="U368" i="38"/>
  <c r="Q368" i="38"/>
  <c r="O368" i="38"/>
  <c r="N368" i="38"/>
  <c r="M368" i="38"/>
  <c r="L368" i="38"/>
  <c r="I368" i="38"/>
  <c r="J368" i="38"/>
  <c r="G368" i="38"/>
  <c r="W361" i="38"/>
  <c r="W362" i="38"/>
  <c r="W363" i="38"/>
  <c r="W364" i="38"/>
  <c r="W365" i="38"/>
  <c r="W366" i="38"/>
  <c r="W367" i="38"/>
  <c r="S361" i="38"/>
  <c r="S362" i="38"/>
  <c r="S363" i="38"/>
  <c r="S364" i="38"/>
  <c r="S365" i="38"/>
  <c r="S366" i="38"/>
  <c r="S367" i="38"/>
  <c r="AA364" i="38"/>
  <c r="AA361" i="38"/>
  <c r="AA362" i="38"/>
  <c r="AA366" i="38"/>
  <c r="X367" i="38"/>
  <c r="U367" i="38"/>
  <c r="T367" i="38"/>
  <c r="Q367" i="38"/>
  <c r="L367" i="38"/>
  <c r="I367" i="38"/>
  <c r="J367" i="38"/>
  <c r="G367" i="38"/>
  <c r="D367" i="38"/>
  <c r="E367" i="38"/>
  <c r="B367" i="38"/>
  <c r="Z362" i="38"/>
  <c r="Z365" i="38"/>
  <c r="T361" i="38"/>
  <c r="T362" i="38"/>
  <c r="T363" i="38"/>
  <c r="T364" i="38"/>
  <c r="T365" i="38"/>
  <c r="T366" i="38"/>
  <c r="Z361" i="38"/>
  <c r="X366" i="38"/>
  <c r="U366" i="38"/>
  <c r="Q366" i="38"/>
  <c r="O366" i="38"/>
  <c r="N366" i="38"/>
  <c r="M366" i="38"/>
  <c r="L366" i="38"/>
  <c r="I366" i="38"/>
  <c r="J366" i="38"/>
  <c r="G366" i="38"/>
  <c r="D366" i="38"/>
  <c r="E366" i="38"/>
  <c r="B366" i="38"/>
  <c r="AB365" i="38"/>
  <c r="AA365" i="38"/>
  <c r="X365" i="38"/>
  <c r="U365" i="38"/>
  <c r="Q365" i="38"/>
  <c r="N365" i="38"/>
  <c r="O365" i="38"/>
  <c r="L365" i="38"/>
  <c r="I365" i="38"/>
  <c r="J365" i="38"/>
  <c r="G365" i="38"/>
  <c r="B365" i="38"/>
  <c r="AB364" i="38"/>
  <c r="X364" i="38"/>
  <c r="U364" i="38"/>
  <c r="Q364" i="38"/>
  <c r="N364" i="38"/>
  <c r="O364" i="38"/>
  <c r="L364" i="38"/>
  <c r="I364" i="38"/>
  <c r="J364" i="38"/>
  <c r="G364" i="38"/>
  <c r="B364" i="38"/>
  <c r="AB363" i="38"/>
  <c r="X363" i="38"/>
  <c r="U363" i="38"/>
  <c r="Q363" i="38"/>
  <c r="N363" i="38"/>
  <c r="O363" i="38"/>
  <c r="L363" i="38"/>
  <c r="I363" i="38"/>
  <c r="J363" i="38"/>
  <c r="G363" i="38"/>
  <c r="B363" i="38"/>
  <c r="AB362" i="38"/>
  <c r="X362" i="38"/>
  <c r="U362" i="38"/>
  <c r="Q362" i="38"/>
  <c r="N362" i="38"/>
  <c r="O362" i="38"/>
  <c r="L362" i="38"/>
  <c r="I362" i="38"/>
  <c r="J362" i="38"/>
  <c r="G362" i="38"/>
  <c r="B362" i="38"/>
  <c r="AB361" i="38"/>
  <c r="X361" i="38"/>
  <c r="U361" i="38"/>
  <c r="Q361" i="38"/>
  <c r="O361" i="38"/>
  <c r="N361" i="38"/>
  <c r="M361" i="38"/>
  <c r="L361" i="38"/>
  <c r="I361" i="38"/>
  <c r="J361" i="38"/>
  <c r="G361" i="38"/>
  <c r="W354" i="38"/>
  <c r="W355" i="38"/>
  <c r="W356" i="38"/>
  <c r="W357" i="38"/>
  <c r="W358" i="38"/>
  <c r="W359" i="38"/>
  <c r="W360" i="38"/>
  <c r="S354" i="38"/>
  <c r="S355" i="38"/>
  <c r="S356" i="38"/>
  <c r="S357" i="38"/>
  <c r="S358" i="38"/>
  <c r="S359" i="38"/>
  <c r="S360" i="38"/>
  <c r="AA357" i="38"/>
  <c r="AA354" i="38"/>
  <c r="AA355" i="38"/>
  <c r="AA359" i="38"/>
  <c r="X360" i="38"/>
  <c r="U360" i="38"/>
  <c r="T360" i="38"/>
  <c r="Q360" i="38"/>
  <c r="L360" i="38"/>
  <c r="I360" i="38"/>
  <c r="J360" i="38"/>
  <c r="G360" i="38"/>
  <c r="D360" i="38"/>
  <c r="E360" i="38"/>
  <c r="B360" i="38"/>
  <c r="Z355" i="38"/>
  <c r="Z358" i="38"/>
  <c r="T354" i="38"/>
  <c r="T355" i="38"/>
  <c r="T356" i="38"/>
  <c r="T357" i="38"/>
  <c r="T358" i="38"/>
  <c r="T359" i="38"/>
  <c r="Z354" i="38"/>
  <c r="X359" i="38"/>
  <c r="U359" i="38"/>
  <c r="Q359" i="38"/>
  <c r="O359" i="38"/>
  <c r="N359" i="38"/>
  <c r="M359" i="38"/>
  <c r="L359" i="38"/>
  <c r="I359" i="38"/>
  <c r="J359" i="38"/>
  <c r="G359" i="38"/>
  <c r="D359" i="38"/>
  <c r="E359" i="38"/>
  <c r="B359" i="38"/>
  <c r="AB358" i="38"/>
  <c r="AA358" i="38"/>
  <c r="X358" i="38"/>
  <c r="U358" i="38"/>
  <c r="Q358" i="38"/>
  <c r="N358" i="38"/>
  <c r="O358" i="38"/>
  <c r="L358" i="38"/>
  <c r="I358" i="38"/>
  <c r="J358" i="38"/>
  <c r="G358" i="38"/>
  <c r="B358" i="38"/>
  <c r="AB357" i="38"/>
  <c r="X357" i="38"/>
  <c r="U357" i="38"/>
  <c r="Q357" i="38"/>
  <c r="N357" i="38"/>
  <c r="O357" i="38"/>
  <c r="L357" i="38"/>
  <c r="I357" i="38"/>
  <c r="J357" i="38"/>
  <c r="G357" i="38"/>
  <c r="B357" i="38"/>
  <c r="AB356" i="38"/>
  <c r="X356" i="38"/>
  <c r="U356" i="38"/>
  <c r="Q356" i="38"/>
  <c r="N356" i="38"/>
  <c r="O356" i="38"/>
  <c r="L356" i="38"/>
  <c r="I356" i="38"/>
  <c r="J356" i="38"/>
  <c r="G356" i="38"/>
  <c r="B356" i="38"/>
  <c r="AB355" i="38"/>
  <c r="X355" i="38"/>
  <c r="U355" i="38"/>
  <c r="Q355" i="38"/>
  <c r="N355" i="38"/>
  <c r="O355" i="38"/>
  <c r="L355" i="38"/>
  <c r="I355" i="38"/>
  <c r="J355" i="38"/>
  <c r="G355" i="38"/>
  <c r="B355" i="38"/>
  <c r="AB354" i="38"/>
  <c r="X354" i="38"/>
  <c r="U354" i="38"/>
  <c r="Q354" i="38"/>
  <c r="O354" i="38"/>
  <c r="N354" i="38"/>
  <c r="M354" i="38"/>
  <c r="L354" i="38"/>
  <c r="I354" i="38"/>
  <c r="J354" i="38"/>
  <c r="G354" i="38"/>
  <c r="W347" i="38"/>
  <c r="W348" i="38"/>
  <c r="W349" i="38"/>
  <c r="W350" i="38"/>
  <c r="W351" i="38"/>
  <c r="W352" i="38"/>
  <c r="W353" i="38"/>
  <c r="S347" i="38"/>
  <c r="S348" i="38"/>
  <c r="S349" i="38"/>
  <c r="S350" i="38"/>
  <c r="S351" i="38"/>
  <c r="S352" i="38"/>
  <c r="S353" i="38"/>
  <c r="AA350" i="38"/>
  <c r="AA347" i="38"/>
  <c r="AA348" i="38"/>
  <c r="AA352" i="38"/>
  <c r="X353" i="38"/>
  <c r="U353" i="38"/>
  <c r="T353" i="38"/>
  <c r="Q353" i="38"/>
  <c r="L353" i="38"/>
  <c r="I353" i="38"/>
  <c r="J353" i="38"/>
  <c r="G353" i="38"/>
  <c r="D353" i="38"/>
  <c r="E353" i="38"/>
  <c r="B353" i="38"/>
  <c r="Z348" i="38"/>
  <c r="Z351" i="38"/>
  <c r="T347" i="38"/>
  <c r="T348" i="38"/>
  <c r="T349" i="38"/>
  <c r="T350" i="38"/>
  <c r="T351" i="38"/>
  <c r="T352" i="38"/>
  <c r="Z347" i="38"/>
  <c r="X352" i="38"/>
  <c r="U352" i="38"/>
  <c r="Q352" i="38"/>
  <c r="O352" i="38"/>
  <c r="N352" i="38"/>
  <c r="M352" i="38"/>
  <c r="L352" i="38"/>
  <c r="I352" i="38"/>
  <c r="J352" i="38"/>
  <c r="G352" i="38"/>
  <c r="D352" i="38"/>
  <c r="E352" i="38"/>
  <c r="B352" i="38"/>
  <c r="AB351" i="38"/>
  <c r="AA351" i="38"/>
  <c r="X351" i="38"/>
  <c r="U351" i="38"/>
  <c r="Q351" i="38"/>
  <c r="N351" i="38"/>
  <c r="O351" i="38"/>
  <c r="L351" i="38"/>
  <c r="I351" i="38"/>
  <c r="J351" i="38"/>
  <c r="G351" i="38"/>
  <c r="B351" i="38"/>
  <c r="AB350" i="38"/>
  <c r="X350" i="38"/>
  <c r="U350" i="38"/>
  <c r="Q350" i="38"/>
  <c r="N350" i="38"/>
  <c r="O350" i="38"/>
  <c r="L350" i="38"/>
  <c r="I350" i="38"/>
  <c r="J350" i="38"/>
  <c r="G350" i="38"/>
  <c r="B350" i="38"/>
  <c r="AB349" i="38"/>
  <c r="X349" i="38"/>
  <c r="U349" i="38"/>
  <c r="Q349" i="38"/>
  <c r="N349" i="38"/>
  <c r="O349" i="38"/>
  <c r="L349" i="38"/>
  <c r="I349" i="38"/>
  <c r="J349" i="38"/>
  <c r="G349" i="38"/>
  <c r="B349" i="38"/>
  <c r="AB348" i="38"/>
  <c r="X348" i="38"/>
  <c r="U348" i="38"/>
  <c r="Q348" i="38"/>
  <c r="N348" i="38"/>
  <c r="O348" i="38"/>
  <c r="L348" i="38"/>
  <c r="I348" i="38"/>
  <c r="J348" i="38"/>
  <c r="G348" i="38"/>
  <c r="B348" i="38"/>
  <c r="AB347" i="38"/>
  <c r="X347" i="38"/>
  <c r="U347" i="38"/>
  <c r="Q347" i="38"/>
  <c r="O347" i="38"/>
  <c r="N347" i="38"/>
  <c r="M347" i="38"/>
  <c r="L347" i="38"/>
  <c r="I347" i="38"/>
  <c r="J347" i="38"/>
  <c r="G347" i="38"/>
  <c r="W340" i="38"/>
  <c r="W341" i="38"/>
  <c r="W342" i="38"/>
  <c r="W343" i="38"/>
  <c r="W344" i="38"/>
  <c r="W345" i="38"/>
  <c r="W346" i="38"/>
  <c r="S340" i="38"/>
  <c r="S341" i="38"/>
  <c r="S342" i="38"/>
  <c r="S343" i="38"/>
  <c r="S344" i="38"/>
  <c r="S345" i="38"/>
  <c r="S346" i="38"/>
  <c r="AA343" i="38"/>
  <c r="AA340" i="38"/>
  <c r="AA341" i="38"/>
  <c r="AA345" i="38"/>
  <c r="X346" i="38"/>
  <c r="U346" i="38"/>
  <c r="T346" i="38"/>
  <c r="Q346" i="38"/>
  <c r="L346" i="38"/>
  <c r="I346" i="38"/>
  <c r="J346" i="38"/>
  <c r="G346" i="38"/>
  <c r="D346" i="38"/>
  <c r="E346" i="38"/>
  <c r="B346" i="38"/>
  <c r="Z341" i="38"/>
  <c r="Z344" i="38"/>
  <c r="T340" i="38"/>
  <c r="T341" i="38"/>
  <c r="T342" i="38"/>
  <c r="T343" i="38"/>
  <c r="T344" i="38"/>
  <c r="T345" i="38"/>
  <c r="Z340" i="38"/>
  <c r="X345" i="38"/>
  <c r="U345" i="38"/>
  <c r="Q345" i="38"/>
  <c r="O345" i="38"/>
  <c r="N345" i="38"/>
  <c r="M345" i="38"/>
  <c r="L345" i="38"/>
  <c r="I345" i="38"/>
  <c r="J345" i="38"/>
  <c r="G345" i="38"/>
  <c r="D345" i="38"/>
  <c r="E345" i="38"/>
  <c r="B345" i="38"/>
  <c r="AB344" i="38"/>
  <c r="AA344" i="38"/>
  <c r="X344" i="38"/>
  <c r="U344" i="38"/>
  <c r="Q344" i="38"/>
  <c r="N344" i="38"/>
  <c r="O344" i="38"/>
  <c r="L344" i="38"/>
  <c r="I344" i="38"/>
  <c r="J344" i="38"/>
  <c r="G344" i="38"/>
  <c r="B344" i="38"/>
  <c r="AB343" i="38"/>
  <c r="X343" i="38"/>
  <c r="U343" i="38"/>
  <c r="Q343" i="38"/>
  <c r="N343" i="38"/>
  <c r="O343" i="38"/>
  <c r="L343" i="38"/>
  <c r="I343" i="38"/>
  <c r="J343" i="38"/>
  <c r="G343" i="38"/>
  <c r="B343" i="38"/>
  <c r="AB342" i="38"/>
  <c r="X342" i="38"/>
  <c r="U342" i="38"/>
  <c r="Q342" i="38"/>
  <c r="N342" i="38"/>
  <c r="O342" i="38"/>
  <c r="L342" i="38"/>
  <c r="I342" i="38"/>
  <c r="J342" i="38"/>
  <c r="G342" i="38"/>
  <c r="B342" i="38"/>
  <c r="AB341" i="38"/>
  <c r="X341" i="38"/>
  <c r="U341" i="38"/>
  <c r="Q341" i="38"/>
  <c r="N341" i="38"/>
  <c r="O341" i="38"/>
  <c r="L341" i="38"/>
  <c r="I341" i="38"/>
  <c r="J341" i="38"/>
  <c r="G341" i="38"/>
  <c r="B341" i="38"/>
  <c r="AB340" i="38"/>
  <c r="X340" i="38"/>
  <c r="U340" i="38"/>
  <c r="Q340" i="38"/>
  <c r="O340" i="38"/>
  <c r="N340" i="38"/>
  <c r="M340" i="38"/>
  <c r="L340" i="38"/>
  <c r="I340" i="38"/>
  <c r="J340" i="38"/>
  <c r="G340" i="38"/>
  <c r="W333" i="38"/>
  <c r="W334" i="38"/>
  <c r="W335" i="38"/>
  <c r="W336" i="38"/>
  <c r="W337" i="38"/>
  <c r="W338" i="38"/>
  <c r="W339" i="38"/>
  <c r="S333" i="38"/>
  <c r="S334" i="38"/>
  <c r="S335" i="38"/>
  <c r="S336" i="38"/>
  <c r="S337" i="38"/>
  <c r="S338" i="38"/>
  <c r="S339" i="38"/>
  <c r="AA336" i="38"/>
  <c r="AA333" i="38"/>
  <c r="AA334" i="38"/>
  <c r="AA338" i="38"/>
  <c r="X339" i="38"/>
  <c r="U339" i="38"/>
  <c r="T339" i="38"/>
  <c r="Q339" i="38"/>
  <c r="L339" i="38"/>
  <c r="I339" i="38"/>
  <c r="J339" i="38"/>
  <c r="G339" i="38"/>
  <c r="D339" i="38"/>
  <c r="E339" i="38"/>
  <c r="B339" i="38"/>
  <c r="Z334" i="38"/>
  <c r="Z337" i="38"/>
  <c r="T333" i="38"/>
  <c r="T334" i="38"/>
  <c r="T335" i="38"/>
  <c r="T336" i="38"/>
  <c r="T337" i="38"/>
  <c r="T338" i="38"/>
  <c r="Z333" i="38"/>
  <c r="X338" i="38"/>
  <c r="U338" i="38"/>
  <c r="Q338" i="38"/>
  <c r="O338" i="38"/>
  <c r="N338" i="38"/>
  <c r="M338" i="38"/>
  <c r="L338" i="38"/>
  <c r="I338" i="38"/>
  <c r="J338" i="38"/>
  <c r="G338" i="38"/>
  <c r="D338" i="38"/>
  <c r="E338" i="38"/>
  <c r="B338" i="38"/>
  <c r="AB337" i="38"/>
  <c r="AA337" i="38"/>
  <c r="X337" i="38"/>
  <c r="U337" i="38"/>
  <c r="Q337" i="38"/>
  <c r="N337" i="38"/>
  <c r="O337" i="38"/>
  <c r="L337" i="38"/>
  <c r="I337" i="38"/>
  <c r="J337" i="38"/>
  <c r="G337" i="38"/>
  <c r="B337" i="38"/>
  <c r="AB336" i="38"/>
  <c r="X336" i="38"/>
  <c r="U336" i="38"/>
  <c r="Q336" i="38"/>
  <c r="N336" i="38"/>
  <c r="O336" i="38"/>
  <c r="L336" i="38"/>
  <c r="I336" i="38"/>
  <c r="J336" i="38"/>
  <c r="G336" i="38"/>
  <c r="B336" i="38"/>
  <c r="AB335" i="38"/>
  <c r="X335" i="38"/>
  <c r="U335" i="38"/>
  <c r="Q335" i="38"/>
  <c r="N335" i="38"/>
  <c r="O335" i="38"/>
  <c r="L335" i="38"/>
  <c r="I335" i="38"/>
  <c r="J335" i="38"/>
  <c r="G335" i="38"/>
  <c r="B335" i="38"/>
  <c r="AB334" i="38"/>
  <c r="X334" i="38"/>
  <c r="U334" i="38"/>
  <c r="Q334" i="38"/>
  <c r="N334" i="38"/>
  <c r="O334" i="38"/>
  <c r="L334" i="38"/>
  <c r="I334" i="38"/>
  <c r="J334" i="38"/>
  <c r="G334" i="38"/>
  <c r="B334" i="38"/>
  <c r="AB333" i="38"/>
  <c r="X333" i="38"/>
  <c r="U333" i="38"/>
  <c r="Q333" i="38"/>
  <c r="O333" i="38"/>
  <c r="N333" i="38"/>
  <c r="M333" i="38"/>
  <c r="L333" i="38"/>
  <c r="I333" i="38"/>
  <c r="J333" i="38"/>
  <c r="G333" i="38"/>
  <c r="W326" i="38"/>
  <c r="W327" i="38"/>
  <c r="W328" i="38"/>
  <c r="W329" i="38"/>
  <c r="W330" i="38"/>
  <c r="W331" i="38"/>
  <c r="W332" i="38"/>
  <c r="S326" i="38"/>
  <c r="S327" i="38"/>
  <c r="S328" i="38"/>
  <c r="S329" i="38"/>
  <c r="S330" i="38"/>
  <c r="S331" i="38"/>
  <c r="S332" i="38"/>
  <c r="AA329" i="38"/>
  <c r="AA326" i="38"/>
  <c r="AA327" i="38"/>
  <c r="AA331" i="38"/>
  <c r="X332" i="38"/>
  <c r="U332" i="38"/>
  <c r="T332" i="38"/>
  <c r="Q332" i="38"/>
  <c r="L332" i="38"/>
  <c r="I332" i="38"/>
  <c r="J332" i="38"/>
  <c r="G332" i="38"/>
  <c r="D332" i="38"/>
  <c r="E332" i="38"/>
  <c r="B332" i="38"/>
  <c r="Z327" i="38"/>
  <c r="Z330" i="38"/>
  <c r="T326" i="38"/>
  <c r="T327" i="38"/>
  <c r="T328" i="38"/>
  <c r="T329" i="38"/>
  <c r="T330" i="38"/>
  <c r="T331" i="38"/>
  <c r="Z326" i="38"/>
  <c r="X331" i="38"/>
  <c r="U331" i="38"/>
  <c r="Q331" i="38"/>
  <c r="O331" i="38"/>
  <c r="N331" i="38"/>
  <c r="M331" i="38"/>
  <c r="L331" i="38"/>
  <c r="I331" i="38"/>
  <c r="J331" i="38"/>
  <c r="G331" i="38"/>
  <c r="D331" i="38"/>
  <c r="E331" i="38"/>
  <c r="B331" i="38"/>
  <c r="AB330" i="38"/>
  <c r="AA330" i="38"/>
  <c r="X330" i="38"/>
  <c r="U330" i="38"/>
  <c r="Q330" i="38"/>
  <c r="N330" i="38"/>
  <c r="O330" i="38"/>
  <c r="L330" i="38"/>
  <c r="I330" i="38"/>
  <c r="J330" i="38"/>
  <c r="G330" i="38"/>
  <c r="B330" i="38"/>
  <c r="AB329" i="38"/>
  <c r="X329" i="38"/>
  <c r="U329" i="38"/>
  <c r="Q329" i="38"/>
  <c r="N329" i="38"/>
  <c r="O329" i="38"/>
  <c r="L329" i="38"/>
  <c r="I329" i="38"/>
  <c r="J329" i="38"/>
  <c r="G329" i="38"/>
  <c r="B329" i="38"/>
  <c r="AB328" i="38"/>
  <c r="X328" i="38"/>
  <c r="U328" i="38"/>
  <c r="Q328" i="38"/>
  <c r="N328" i="38"/>
  <c r="O328" i="38"/>
  <c r="L328" i="38"/>
  <c r="I328" i="38"/>
  <c r="J328" i="38"/>
  <c r="G328" i="38"/>
  <c r="B328" i="38"/>
  <c r="AB327" i="38"/>
  <c r="X327" i="38"/>
  <c r="U327" i="38"/>
  <c r="Q327" i="38"/>
  <c r="N327" i="38"/>
  <c r="O327" i="38"/>
  <c r="L327" i="38"/>
  <c r="I327" i="38"/>
  <c r="J327" i="38"/>
  <c r="G327" i="38"/>
  <c r="B327" i="38"/>
  <c r="AB326" i="38"/>
  <c r="X326" i="38"/>
  <c r="U326" i="38"/>
  <c r="Q326" i="38"/>
  <c r="O326" i="38"/>
  <c r="N326" i="38"/>
  <c r="M326" i="38"/>
  <c r="L326" i="38"/>
  <c r="I326" i="38"/>
  <c r="J326" i="38"/>
  <c r="G326" i="38"/>
  <c r="W319" i="38"/>
  <c r="W320" i="38"/>
  <c r="W321" i="38"/>
  <c r="W322" i="38"/>
  <c r="W323" i="38"/>
  <c r="W324" i="38"/>
  <c r="W325" i="38"/>
  <c r="S319" i="38"/>
  <c r="S320" i="38"/>
  <c r="S321" i="38"/>
  <c r="S322" i="38"/>
  <c r="S323" i="38"/>
  <c r="S324" i="38"/>
  <c r="S325" i="38"/>
  <c r="AA322" i="38"/>
  <c r="AA319" i="38"/>
  <c r="AA320" i="38"/>
  <c r="AA324" i="38"/>
  <c r="X325" i="38"/>
  <c r="U325" i="38"/>
  <c r="T325" i="38"/>
  <c r="Q325" i="38"/>
  <c r="L325" i="38"/>
  <c r="I325" i="38"/>
  <c r="J325" i="38"/>
  <c r="G325" i="38"/>
  <c r="D325" i="38"/>
  <c r="E325" i="38"/>
  <c r="B325" i="38"/>
  <c r="Z320" i="38"/>
  <c r="Z323" i="38"/>
  <c r="T319" i="38"/>
  <c r="T320" i="38"/>
  <c r="T321" i="38"/>
  <c r="T322" i="38"/>
  <c r="T323" i="38"/>
  <c r="T324" i="38"/>
  <c r="Z319" i="38"/>
  <c r="X324" i="38"/>
  <c r="U324" i="38"/>
  <c r="Q324" i="38"/>
  <c r="O324" i="38"/>
  <c r="N324" i="38"/>
  <c r="M324" i="38"/>
  <c r="L324" i="38"/>
  <c r="I324" i="38"/>
  <c r="J324" i="38"/>
  <c r="G324" i="38"/>
  <c r="D324" i="38"/>
  <c r="E324" i="38"/>
  <c r="B324" i="38"/>
  <c r="AB323" i="38"/>
  <c r="AA323" i="38"/>
  <c r="X323" i="38"/>
  <c r="U323" i="38"/>
  <c r="Q323" i="38"/>
  <c r="N323" i="38"/>
  <c r="O323" i="38"/>
  <c r="L323" i="38"/>
  <c r="I323" i="38"/>
  <c r="J323" i="38"/>
  <c r="G323" i="38"/>
  <c r="B323" i="38"/>
  <c r="AB322" i="38"/>
  <c r="X322" i="38"/>
  <c r="U322" i="38"/>
  <c r="Q322" i="38"/>
  <c r="N322" i="38"/>
  <c r="O322" i="38"/>
  <c r="L322" i="38"/>
  <c r="I322" i="38"/>
  <c r="J322" i="38"/>
  <c r="G322" i="38"/>
  <c r="B322" i="38"/>
  <c r="AB321" i="38"/>
  <c r="X321" i="38"/>
  <c r="U321" i="38"/>
  <c r="Q321" i="38"/>
  <c r="N321" i="38"/>
  <c r="O321" i="38"/>
  <c r="L321" i="38"/>
  <c r="I321" i="38"/>
  <c r="J321" i="38"/>
  <c r="G321" i="38"/>
  <c r="B321" i="38"/>
  <c r="AB320" i="38"/>
  <c r="X320" i="38"/>
  <c r="U320" i="38"/>
  <c r="Q320" i="38"/>
  <c r="N320" i="38"/>
  <c r="O320" i="38"/>
  <c r="L320" i="38"/>
  <c r="I320" i="38"/>
  <c r="J320" i="38"/>
  <c r="G320" i="38"/>
  <c r="B320" i="38"/>
  <c r="AB319" i="38"/>
  <c r="X319" i="38"/>
  <c r="U319" i="38"/>
  <c r="Q319" i="38"/>
  <c r="O319" i="38"/>
  <c r="N319" i="38"/>
  <c r="M319" i="38"/>
  <c r="L319" i="38"/>
  <c r="I319" i="38"/>
  <c r="J319" i="38"/>
  <c r="G319" i="38"/>
  <c r="W312" i="38"/>
  <c r="W313" i="38"/>
  <c r="W314" i="38"/>
  <c r="W315" i="38"/>
  <c r="W316" i="38"/>
  <c r="W317" i="38"/>
  <c r="W318" i="38"/>
  <c r="S312" i="38"/>
  <c r="S313" i="38"/>
  <c r="S314" i="38"/>
  <c r="S315" i="38"/>
  <c r="S316" i="38"/>
  <c r="S317" i="38"/>
  <c r="S318" i="38"/>
  <c r="AA315" i="38"/>
  <c r="AA312" i="38"/>
  <c r="AA313" i="38"/>
  <c r="AA317" i="38"/>
  <c r="X318" i="38"/>
  <c r="U318" i="38"/>
  <c r="T318" i="38"/>
  <c r="Q318" i="38"/>
  <c r="L318" i="38"/>
  <c r="I318" i="38"/>
  <c r="J318" i="38"/>
  <c r="G318" i="38"/>
  <c r="D318" i="38"/>
  <c r="E318" i="38"/>
  <c r="B318" i="38"/>
  <c r="Z313" i="38"/>
  <c r="Z316" i="38"/>
  <c r="T312" i="38"/>
  <c r="T313" i="38"/>
  <c r="T314" i="38"/>
  <c r="T315" i="38"/>
  <c r="T316" i="38"/>
  <c r="T317" i="38"/>
  <c r="Z312" i="38"/>
  <c r="X317" i="38"/>
  <c r="U317" i="38"/>
  <c r="Q317" i="38"/>
  <c r="O317" i="38"/>
  <c r="N317" i="38"/>
  <c r="M317" i="38"/>
  <c r="L317" i="38"/>
  <c r="I317" i="38"/>
  <c r="J317" i="38"/>
  <c r="G317" i="38"/>
  <c r="D317" i="38"/>
  <c r="E317" i="38"/>
  <c r="B317" i="38"/>
  <c r="AB316" i="38"/>
  <c r="AA316" i="38"/>
  <c r="X316" i="38"/>
  <c r="U316" i="38"/>
  <c r="Q316" i="38"/>
  <c r="N316" i="38"/>
  <c r="O316" i="38"/>
  <c r="L316" i="38"/>
  <c r="I316" i="38"/>
  <c r="J316" i="38"/>
  <c r="G316" i="38"/>
  <c r="B316" i="38"/>
  <c r="AB315" i="38"/>
  <c r="X315" i="38"/>
  <c r="U315" i="38"/>
  <c r="Q315" i="38"/>
  <c r="N315" i="38"/>
  <c r="O315" i="38"/>
  <c r="L315" i="38"/>
  <c r="I315" i="38"/>
  <c r="J315" i="38"/>
  <c r="G315" i="38"/>
  <c r="B315" i="38"/>
  <c r="AB314" i="38"/>
  <c r="X314" i="38"/>
  <c r="U314" i="38"/>
  <c r="Q314" i="38"/>
  <c r="N314" i="38"/>
  <c r="O314" i="38"/>
  <c r="L314" i="38"/>
  <c r="I314" i="38"/>
  <c r="J314" i="38"/>
  <c r="G314" i="38"/>
  <c r="B314" i="38"/>
  <c r="AB313" i="38"/>
  <c r="X313" i="38"/>
  <c r="U313" i="38"/>
  <c r="Q313" i="38"/>
  <c r="N313" i="38"/>
  <c r="O313" i="38"/>
  <c r="L313" i="38"/>
  <c r="I313" i="38"/>
  <c r="J313" i="38"/>
  <c r="G313" i="38"/>
  <c r="B313" i="38"/>
  <c r="AB312" i="38"/>
  <c r="X312" i="38"/>
  <c r="U312" i="38"/>
  <c r="Q312" i="38"/>
  <c r="O312" i="38"/>
  <c r="N312" i="38"/>
  <c r="M312" i="38"/>
  <c r="L312" i="38"/>
  <c r="I312" i="38"/>
  <c r="J312" i="38"/>
  <c r="G312" i="38"/>
  <c r="W305" i="38"/>
  <c r="W306" i="38"/>
  <c r="W307" i="38"/>
  <c r="W308" i="38"/>
  <c r="W309" i="38"/>
  <c r="W310" i="38"/>
  <c r="W311" i="38"/>
  <c r="S305" i="38"/>
  <c r="S306" i="38"/>
  <c r="S307" i="38"/>
  <c r="S308" i="38"/>
  <c r="S309" i="38"/>
  <c r="S310" i="38"/>
  <c r="S311" i="38"/>
  <c r="AA308" i="38"/>
  <c r="AA305" i="38"/>
  <c r="AA306" i="38"/>
  <c r="AA310" i="38"/>
  <c r="X311" i="38"/>
  <c r="U311" i="38"/>
  <c r="T311" i="38"/>
  <c r="Q311" i="38"/>
  <c r="L311" i="38"/>
  <c r="I311" i="38"/>
  <c r="J311" i="38"/>
  <c r="G311" i="38"/>
  <c r="D311" i="38"/>
  <c r="E311" i="38"/>
  <c r="B311" i="38"/>
  <c r="Z306" i="38"/>
  <c r="Z309" i="38"/>
  <c r="T305" i="38"/>
  <c r="T306" i="38"/>
  <c r="T307" i="38"/>
  <c r="T308" i="38"/>
  <c r="T309" i="38"/>
  <c r="T310" i="38"/>
  <c r="Z305" i="38"/>
  <c r="X310" i="38"/>
  <c r="U310" i="38"/>
  <c r="Q310" i="38"/>
  <c r="O310" i="38"/>
  <c r="N310" i="38"/>
  <c r="M310" i="38"/>
  <c r="L310" i="38"/>
  <c r="I310" i="38"/>
  <c r="J310" i="38"/>
  <c r="G310" i="38"/>
  <c r="D310" i="38"/>
  <c r="E310" i="38"/>
  <c r="B310" i="38"/>
  <c r="AB309" i="38"/>
  <c r="AA309" i="38"/>
  <c r="X309" i="38"/>
  <c r="U309" i="38"/>
  <c r="Q309" i="38"/>
  <c r="N309" i="38"/>
  <c r="O309" i="38"/>
  <c r="L309" i="38"/>
  <c r="I309" i="38"/>
  <c r="J309" i="38"/>
  <c r="G309" i="38"/>
  <c r="B309" i="38"/>
  <c r="AB308" i="38"/>
  <c r="X308" i="38"/>
  <c r="U308" i="38"/>
  <c r="Q308" i="38"/>
  <c r="N308" i="38"/>
  <c r="O308" i="38"/>
  <c r="L308" i="38"/>
  <c r="I308" i="38"/>
  <c r="J308" i="38"/>
  <c r="G308" i="38"/>
  <c r="B308" i="38"/>
  <c r="AB307" i="38"/>
  <c r="X307" i="38"/>
  <c r="U307" i="38"/>
  <c r="Q307" i="38"/>
  <c r="N307" i="38"/>
  <c r="O307" i="38"/>
  <c r="L307" i="38"/>
  <c r="I307" i="38"/>
  <c r="J307" i="38"/>
  <c r="G307" i="38"/>
  <c r="B307" i="38"/>
  <c r="AB306" i="38"/>
  <c r="X306" i="38"/>
  <c r="U306" i="38"/>
  <c r="Q306" i="38"/>
  <c r="N306" i="38"/>
  <c r="O306" i="38"/>
  <c r="L306" i="38"/>
  <c r="I306" i="38"/>
  <c r="J306" i="38"/>
  <c r="G306" i="38"/>
  <c r="B306" i="38"/>
  <c r="AB305" i="38"/>
  <c r="X305" i="38"/>
  <c r="U305" i="38"/>
  <c r="Q305" i="38"/>
  <c r="O305" i="38"/>
  <c r="N305" i="38"/>
  <c r="M305" i="38"/>
  <c r="L305" i="38"/>
  <c r="I305" i="38"/>
  <c r="J305" i="38"/>
  <c r="G305" i="38"/>
  <c r="W298" i="38"/>
  <c r="W299" i="38"/>
  <c r="W300" i="38"/>
  <c r="W301" i="38"/>
  <c r="W302" i="38"/>
  <c r="W303" i="38"/>
  <c r="W304" i="38"/>
  <c r="S298" i="38"/>
  <c r="S299" i="38"/>
  <c r="S300" i="38"/>
  <c r="S301" i="38"/>
  <c r="S302" i="38"/>
  <c r="S303" i="38"/>
  <c r="S304" i="38"/>
  <c r="AA301" i="38"/>
  <c r="AA298" i="38"/>
  <c r="AA299" i="38"/>
  <c r="AA303" i="38"/>
  <c r="X304" i="38"/>
  <c r="U304" i="38"/>
  <c r="T304" i="38"/>
  <c r="Q304" i="38"/>
  <c r="L304" i="38"/>
  <c r="I304" i="38"/>
  <c r="J304" i="38"/>
  <c r="G304" i="38"/>
  <c r="D304" i="38"/>
  <c r="E304" i="38"/>
  <c r="B304" i="38"/>
  <c r="Z299" i="38"/>
  <c r="Z302" i="38"/>
  <c r="T298" i="38"/>
  <c r="T299" i="38"/>
  <c r="T300" i="38"/>
  <c r="T301" i="38"/>
  <c r="T302" i="38"/>
  <c r="T303" i="38"/>
  <c r="Z298" i="38"/>
  <c r="X303" i="38"/>
  <c r="U303" i="38"/>
  <c r="Q303" i="38"/>
  <c r="O303" i="38"/>
  <c r="N303" i="38"/>
  <c r="M303" i="38"/>
  <c r="L303" i="38"/>
  <c r="I303" i="38"/>
  <c r="J303" i="38"/>
  <c r="G303" i="38"/>
  <c r="D303" i="38"/>
  <c r="E303" i="38"/>
  <c r="B303" i="38"/>
  <c r="AB302" i="38"/>
  <c r="AA302" i="38"/>
  <c r="X302" i="38"/>
  <c r="U302" i="38"/>
  <c r="Q302" i="38"/>
  <c r="N302" i="38"/>
  <c r="O302" i="38"/>
  <c r="L302" i="38"/>
  <c r="I302" i="38"/>
  <c r="J302" i="38"/>
  <c r="G302" i="38"/>
  <c r="B302" i="38"/>
  <c r="AB301" i="38"/>
  <c r="X301" i="38"/>
  <c r="U301" i="38"/>
  <c r="Q301" i="38"/>
  <c r="N301" i="38"/>
  <c r="O301" i="38"/>
  <c r="L301" i="38"/>
  <c r="I301" i="38"/>
  <c r="J301" i="38"/>
  <c r="G301" i="38"/>
  <c r="B301" i="38"/>
  <c r="AB300" i="38"/>
  <c r="X300" i="38"/>
  <c r="U300" i="38"/>
  <c r="Q300" i="38"/>
  <c r="N300" i="38"/>
  <c r="O300" i="38"/>
  <c r="L300" i="38"/>
  <c r="I300" i="38"/>
  <c r="J300" i="38"/>
  <c r="G300" i="38"/>
  <c r="B300" i="38"/>
  <c r="AB299" i="38"/>
  <c r="X299" i="38"/>
  <c r="U299" i="38"/>
  <c r="Q299" i="38"/>
  <c r="N299" i="38"/>
  <c r="O299" i="38"/>
  <c r="L299" i="38"/>
  <c r="I299" i="38"/>
  <c r="J299" i="38"/>
  <c r="G299" i="38"/>
  <c r="B299" i="38"/>
  <c r="AB298" i="38"/>
  <c r="X298" i="38"/>
  <c r="U298" i="38"/>
  <c r="Q298" i="38"/>
  <c r="O298" i="38"/>
  <c r="N298" i="38"/>
  <c r="M298" i="38"/>
  <c r="L298" i="38"/>
  <c r="I298" i="38"/>
  <c r="J298" i="38"/>
  <c r="G298" i="38"/>
  <c r="W291" i="38"/>
  <c r="W292" i="38"/>
  <c r="W293" i="38"/>
  <c r="W294" i="38"/>
  <c r="W295" i="38"/>
  <c r="W296" i="38"/>
  <c r="W297" i="38"/>
  <c r="S291" i="38"/>
  <c r="S292" i="38"/>
  <c r="S293" i="38"/>
  <c r="S294" i="38"/>
  <c r="S295" i="38"/>
  <c r="S296" i="38"/>
  <c r="S297" i="38"/>
  <c r="AA294" i="38"/>
  <c r="AA291" i="38"/>
  <c r="AA292" i="38"/>
  <c r="AA296" i="38"/>
  <c r="X297" i="38"/>
  <c r="U297" i="38"/>
  <c r="T297" i="38"/>
  <c r="Q297" i="38"/>
  <c r="L297" i="38"/>
  <c r="I297" i="38"/>
  <c r="J297" i="38"/>
  <c r="G297" i="38"/>
  <c r="D297" i="38"/>
  <c r="E297" i="38"/>
  <c r="B297" i="38"/>
  <c r="Z292" i="38"/>
  <c r="Z295" i="38"/>
  <c r="T291" i="38"/>
  <c r="T292" i="38"/>
  <c r="T293" i="38"/>
  <c r="T294" i="38"/>
  <c r="T295" i="38"/>
  <c r="T296" i="38"/>
  <c r="Z291" i="38"/>
  <c r="X296" i="38"/>
  <c r="U296" i="38"/>
  <c r="Q296" i="38"/>
  <c r="O296" i="38"/>
  <c r="N296" i="38"/>
  <c r="M296" i="38"/>
  <c r="L296" i="38"/>
  <c r="I296" i="38"/>
  <c r="J296" i="38"/>
  <c r="G296" i="38"/>
  <c r="D296" i="38"/>
  <c r="E296" i="38"/>
  <c r="B296" i="38"/>
  <c r="AB295" i="38"/>
  <c r="AA295" i="38"/>
  <c r="X295" i="38"/>
  <c r="U295" i="38"/>
  <c r="Q295" i="38"/>
  <c r="N295" i="38"/>
  <c r="O295" i="38"/>
  <c r="L295" i="38"/>
  <c r="I295" i="38"/>
  <c r="J295" i="38"/>
  <c r="G295" i="38"/>
  <c r="B295" i="38"/>
  <c r="AB294" i="38"/>
  <c r="X294" i="38"/>
  <c r="U294" i="38"/>
  <c r="Q294" i="38"/>
  <c r="N294" i="38"/>
  <c r="O294" i="38"/>
  <c r="L294" i="38"/>
  <c r="I294" i="38"/>
  <c r="J294" i="38"/>
  <c r="G294" i="38"/>
  <c r="B294" i="38"/>
  <c r="AB293" i="38"/>
  <c r="X293" i="38"/>
  <c r="U293" i="38"/>
  <c r="Q293" i="38"/>
  <c r="N293" i="38"/>
  <c r="O293" i="38"/>
  <c r="L293" i="38"/>
  <c r="I293" i="38"/>
  <c r="J293" i="38"/>
  <c r="G293" i="38"/>
  <c r="B293" i="38"/>
  <c r="AB292" i="38"/>
  <c r="X292" i="38"/>
  <c r="U292" i="38"/>
  <c r="Q292" i="38"/>
  <c r="N292" i="38"/>
  <c r="O292" i="38"/>
  <c r="L292" i="38"/>
  <c r="I292" i="38"/>
  <c r="J292" i="38"/>
  <c r="G292" i="38"/>
  <c r="B292" i="38"/>
  <c r="AB291" i="38"/>
  <c r="X291" i="38"/>
  <c r="U291" i="38"/>
  <c r="Q291" i="38"/>
  <c r="O291" i="38"/>
  <c r="N291" i="38"/>
  <c r="M291" i="38"/>
  <c r="L291" i="38"/>
  <c r="I291" i="38"/>
  <c r="J291" i="38"/>
  <c r="G291" i="38"/>
  <c r="W284" i="38"/>
  <c r="W285" i="38"/>
  <c r="W286" i="38"/>
  <c r="W287" i="38"/>
  <c r="W288" i="38"/>
  <c r="W289" i="38"/>
  <c r="W290" i="38"/>
  <c r="S284" i="38"/>
  <c r="S285" i="38"/>
  <c r="S286" i="38"/>
  <c r="S287" i="38"/>
  <c r="S288" i="38"/>
  <c r="S289" i="38"/>
  <c r="S290" i="38"/>
  <c r="AA287" i="38"/>
  <c r="AA284" i="38"/>
  <c r="AA285" i="38"/>
  <c r="AA289" i="38"/>
  <c r="X290" i="38"/>
  <c r="U290" i="38"/>
  <c r="T290" i="38"/>
  <c r="Q290" i="38"/>
  <c r="L290" i="38"/>
  <c r="I290" i="38"/>
  <c r="J290" i="38"/>
  <c r="G290" i="38"/>
  <c r="D290" i="38"/>
  <c r="E290" i="38"/>
  <c r="B290" i="38"/>
  <c r="Z285" i="38"/>
  <c r="Z288" i="38"/>
  <c r="T284" i="38"/>
  <c r="T285" i="38"/>
  <c r="T286" i="38"/>
  <c r="T287" i="38"/>
  <c r="T288" i="38"/>
  <c r="T289" i="38"/>
  <c r="Z284" i="38"/>
  <c r="X289" i="38"/>
  <c r="U289" i="38"/>
  <c r="Q289" i="38"/>
  <c r="O289" i="38"/>
  <c r="N289" i="38"/>
  <c r="M289" i="38"/>
  <c r="L289" i="38"/>
  <c r="I289" i="38"/>
  <c r="J289" i="38"/>
  <c r="G289" i="38"/>
  <c r="D289" i="38"/>
  <c r="E289" i="38"/>
  <c r="B289" i="38"/>
  <c r="AB288" i="38"/>
  <c r="AA288" i="38"/>
  <c r="X288" i="38"/>
  <c r="U288" i="38"/>
  <c r="Q288" i="38"/>
  <c r="N288" i="38"/>
  <c r="O288" i="38"/>
  <c r="L288" i="38"/>
  <c r="I288" i="38"/>
  <c r="J288" i="38"/>
  <c r="G288" i="38"/>
  <c r="B288" i="38"/>
  <c r="AB287" i="38"/>
  <c r="X287" i="38"/>
  <c r="U287" i="38"/>
  <c r="Q287" i="38"/>
  <c r="N287" i="38"/>
  <c r="O287" i="38"/>
  <c r="L287" i="38"/>
  <c r="I287" i="38"/>
  <c r="J287" i="38"/>
  <c r="G287" i="38"/>
  <c r="B287" i="38"/>
  <c r="AB286" i="38"/>
  <c r="X286" i="38"/>
  <c r="U286" i="38"/>
  <c r="Q286" i="38"/>
  <c r="N286" i="38"/>
  <c r="O286" i="38"/>
  <c r="L286" i="38"/>
  <c r="I286" i="38"/>
  <c r="J286" i="38"/>
  <c r="G286" i="38"/>
  <c r="B286" i="38"/>
  <c r="AB285" i="38"/>
  <c r="X285" i="38"/>
  <c r="U285" i="38"/>
  <c r="Q285" i="38"/>
  <c r="N285" i="38"/>
  <c r="O285" i="38"/>
  <c r="L285" i="38"/>
  <c r="I285" i="38"/>
  <c r="J285" i="38"/>
  <c r="G285" i="38"/>
  <c r="B285" i="38"/>
  <c r="AB284" i="38"/>
  <c r="X284" i="38"/>
  <c r="U284" i="38"/>
  <c r="Q284" i="38"/>
  <c r="O284" i="38"/>
  <c r="N284" i="38"/>
  <c r="M284" i="38"/>
  <c r="L284" i="38"/>
  <c r="I284" i="38"/>
  <c r="J284" i="38"/>
  <c r="G284" i="38"/>
  <c r="W277" i="38"/>
  <c r="W278" i="38"/>
  <c r="W279" i="38"/>
  <c r="W280" i="38"/>
  <c r="W281" i="38"/>
  <c r="W282" i="38"/>
  <c r="W283" i="38"/>
  <c r="S277" i="38"/>
  <c r="S278" i="38"/>
  <c r="S279" i="38"/>
  <c r="S280" i="38"/>
  <c r="S281" i="38"/>
  <c r="S282" i="38"/>
  <c r="S283" i="38"/>
  <c r="AA280" i="38"/>
  <c r="AA277" i="38"/>
  <c r="AA278" i="38"/>
  <c r="AA282" i="38"/>
  <c r="X283" i="38"/>
  <c r="U283" i="38"/>
  <c r="T283" i="38"/>
  <c r="Q283" i="38"/>
  <c r="L283" i="38"/>
  <c r="I283" i="38"/>
  <c r="J283" i="38"/>
  <c r="G283" i="38"/>
  <c r="D283" i="38"/>
  <c r="E283" i="38"/>
  <c r="B283" i="38"/>
  <c r="Z278" i="38"/>
  <c r="Z281" i="38"/>
  <c r="T277" i="38"/>
  <c r="T278" i="38"/>
  <c r="T279" i="38"/>
  <c r="T280" i="38"/>
  <c r="T281" i="38"/>
  <c r="T282" i="38"/>
  <c r="Z277" i="38"/>
  <c r="X282" i="38"/>
  <c r="U282" i="38"/>
  <c r="Q282" i="38"/>
  <c r="O282" i="38"/>
  <c r="N282" i="38"/>
  <c r="M282" i="38"/>
  <c r="L282" i="38"/>
  <c r="I282" i="38"/>
  <c r="J282" i="38"/>
  <c r="G282" i="38"/>
  <c r="D282" i="38"/>
  <c r="E282" i="38"/>
  <c r="B282" i="38"/>
  <c r="AB281" i="38"/>
  <c r="AA281" i="38"/>
  <c r="X281" i="38"/>
  <c r="U281" i="38"/>
  <c r="Q281" i="38"/>
  <c r="N281" i="38"/>
  <c r="O281" i="38"/>
  <c r="L281" i="38"/>
  <c r="I281" i="38"/>
  <c r="J281" i="38"/>
  <c r="G281" i="38"/>
  <c r="B281" i="38"/>
  <c r="AB280" i="38"/>
  <c r="X280" i="38"/>
  <c r="U280" i="38"/>
  <c r="Q280" i="38"/>
  <c r="N280" i="38"/>
  <c r="O280" i="38"/>
  <c r="L280" i="38"/>
  <c r="I280" i="38"/>
  <c r="J280" i="38"/>
  <c r="G280" i="38"/>
  <c r="B280" i="38"/>
  <c r="AB279" i="38"/>
  <c r="X279" i="38"/>
  <c r="U279" i="38"/>
  <c r="Q279" i="38"/>
  <c r="N279" i="38"/>
  <c r="O279" i="38"/>
  <c r="L279" i="38"/>
  <c r="I279" i="38"/>
  <c r="J279" i="38"/>
  <c r="G279" i="38"/>
  <c r="B279" i="38"/>
  <c r="AB278" i="38"/>
  <c r="X278" i="38"/>
  <c r="U278" i="38"/>
  <c r="Q278" i="38"/>
  <c r="N278" i="38"/>
  <c r="O278" i="38"/>
  <c r="L278" i="38"/>
  <c r="I278" i="38"/>
  <c r="J278" i="38"/>
  <c r="G278" i="38"/>
  <c r="B278" i="38"/>
  <c r="AB277" i="38"/>
  <c r="X277" i="38"/>
  <c r="U277" i="38"/>
  <c r="Q277" i="38"/>
  <c r="O277" i="38"/>
  <c r="N277" i="38"/>
  <c r="M277" i="38"/>
  <c r="L277" i="38"/>
  <c r="I277" i="38"/>
  <c r="J277" i="38"/>
  <c r="G277" i="38"/>
  <c r="W270" i="38"/>
  <c r="W271" i="38"/>
  <c r="W272" i="38"/>
  <c r="W273" i="38"/>
  <c r="W274" i="38"/>
  <c r="W275" i="38"/>
  <c r="W276" i="38"/>
  <c r="S270" i="38"/>
  <c r="S271" i="38"/>
  <c r="S272" i="38"/>
  <c r="S273" i="38"/>
  <c r="S274" i="38"/>
  <c r="S275" i="38"/>
  <c r="S276" i="38"/>
  <c r="AA273" i="38"/>
  <c r="AA270" i="38"/>
  <c r="AA271" i="38"/>
  <c r="AA275" i="38"/>
  <c r="X276" i="38"/>
  <c r="U276" i="38"/>
  <c r="T276" i="38"/>
  <c r="Q276" i="38"/>
  <c r="L276" i="38"/>
  <c r="I276" i="38"/>
  <c r="J276" i="38"/>
  <c r="G276" i="38"/>
  <c r="D276" i="38"/>
  <c r="E276" i="38"/>
  <c r="B276" i="38"/>
  <c r="Z271" i="38"/>
  <c r="Z274" i="38"/>
  <c r="T270" i="38"/>
  <c r="T271" i="38"/>
  <c r="T272" i="38"/>
  <c r="T273" i="38"/>
  <c r="T274" i="38"/>
  <c r="T275" i="38"/>
  <c r="Z270" i="38"/>
  <c r="X275" i="38"/>
  <c r="U275" i="38"/>
  <c r="Q275" i="38"/>
  <c r="O275" i="38"/>
  <c r="N275" i="38"/>
  <c r="M275" i="38"/>
  <c r="L275" i="38"/>
  <c r="I275" i="38"/>
  <c r="J275" i="38"/>
  <c r="G275" i="38"/>
  <c r="D275" i="38"/>
  <c r="E275" i="38"/>
  <c r="B275" i="38"/>
  <c r="AB274" i="38"/>
  <c r="AA274" i="38"/>
  <c r="X274" i="38"/>
  <c r="U274" i="38"/>
  <c r="Q274" i="38"/>
  <c r="N274" i="38"/>
  <c r="O274" i="38"/>
  <c r="L274" i="38"/>
  <c r="I274" i="38"/>
  <c r="J274" i="38"/>
  <c r="G274" i="38"/>
  <c r="B274" i="38"/>
  <c r="AB273" i="38"/>
  <c r="X273" i="38"/>
  <c r="U273" i="38"/>
  <c r="Q273" i="38"/>
  <c r="N273" i="38"/>
  <c r="O273" i="38"/>
  <c r="L273" i="38"/>
  <c r="I273" i="38"/>
  <c r="J273" i="38"/>
  <c r="G273" i="38"/>
  <c r="B273" i="38"/>
  <c r="AB272" i="38"/>
  <c r="X272" i="38"/>
  <c r="U272" i="38"/>
  <c r="Q272" i="38"/>
  <c r="N272" i="38"/>
  <c r="O272" i="38"/>
  <c r="L272" i="38"/>
  <c r="I272" i="38"/>
  <c r="J272" i="38"/>
  <c r="G272" i="38"/>
  <c r="B272" i="38"/>
  <c r="AB271" i="38"/>
  <c r="X271" i="38"/>
  <c r="U271" i="38"/>
  <c r="Q271" i="38"/>
  <c r="N271" i="38"/>
  <c r="O271" i="38"/>
  <c r="L271" i="38"/>
  <c r="I271" i="38"/>
  <c r="J271" i="38"/>
  <c r="G271" i="38"/>
  <c r="B271" i="38"/>
  <c r="AB270" i="38"/>
  <c r="X270" i="38"/>
  <c r="U270" i="38"/>
  <c r="Q270" i="38"/>
  <c r="O270" i="38"/>
  <c r="N270" i="38"/>
  <c r="M270" i="38"/>
  <c r="L270" i="38"/>
  <c r="I270" i="38"/>
  <c r="J270" i="38"/>
  <c r="G270" i="38"/>
  <c r="W263" i="38"/>
  <c r="W264" i="38"/>
  <c r="W265" i="38"/>
  <c r="W266" i="38"/>
  <c r="W267" i="38"/>
  <c r="W268" i="38"/>
  <c r="W269" i="38"/>
  <c r="S263" i="38"/>
  <c r="S264" i="38"/>
  <c r="S265" i="38"/>
  <c r="S266" i="38"/>
  <c r="S267" i="38"/>
  <c r="S268" i="38"/>
  <c r="S269" i="38"/>
  <c r="AA266" i="38"/>
  <c r="AA263" i="38"/>
  <c r="AA264" i="38"/>
  <c r="AA268" i="38"/>
  <c r="X269" i="38"/>
  <c r="U269" i="38"/>
  <c r="T269" i="38"/>
  <c r="Q269" i="38"/>
  <c r="L269" i="38"/>
  <c r="I269" i="38"/>
  <c r="J269" i="38"/>
  <c r="G269" i="38"/>
  <c r="D269" i="38"/>
  <c r="E269" i="38"/>
  <c r="B269" i="38"/>
  <c r="Z264" i="38"/>
  <c r="Z267" i="38"/>
  <c r="T263" i="38"/>
  <c r="T264" i="38"/>
  <c r="T265" i="38"/>
  <c r="T266" i="38"/>
  <c r="T267" i="38"/>
  <c r="T268" i="38"/>
  <c r="Z263" i="38"/>
  <c r="X268" i="38"/>
  <c r="U268" i="38"/>
  <c r="Q268" i="38"/>
  <c r="O268" i="38"/>
  <c r="N268" i="38"/>
  <c r="M268" i="38"/>
  <c r="L268" i="38"/>
  <c r="I268" i="38"/>
  <c r="J268" i="38"/>
  <c r="G268" i="38"/>
  <c r="D268" i="38"/>
  <c r="E268" i="38"/>
  <c r="B268" i="38"/>
  <c r="AB267" i="38"/>
  <c r="AA267" i="38"/>
  <c r="X267" i="38"/>
  <c r="U267" i="38"/>
  <c r="Q267" i="38"/>
  <c r="N267" i="38"/>
  <c r="O267" i="38"/>
  <c r="L267" i="38"/>
  <c r="I267" i="38"/>
  <c r="J267" i="38"/>
  <c r="G267" i="38"/>
  <c r="B267" i="38"/>
  <c r="AB266" i="38"/>
  <c r="X266" i="38"/>
  <c r="U266" i="38"/>
  <c r="Q266" i="38"/>
  <c r="N266" i="38"/>
  <c r="O266" i="38"/>
  <c r="L266" i="38"/>
  <c r="I266" i="38"/>
  <c r="J266" i="38"/>
  <c r="G266" i="38"/>
  <c r="B266" i="38"/>
  <c r="AB265" i="38"/>
  <c r="X265" i="38"/>
  <c r="U265" i="38"/>
  <c r="Q265" i="38"/>
  <c r="N265" i="38"/>
  <c r="O265" i="38"/>
  <c r="L265" i="38"/>
  <c r="I265" i="38"/>
  <c r="J265" i="38"/>
  <c r="G265" i="38"/>
  <c r="B265" i="38"/>
  <c r="AB264" i="38"/>
  <c r="X264" i="38"/>
  <c r="U264" i="38"/>
  <c r="Q264" i="38"/>
  <c r="N264" i="38"/>
  <c r="O264" i="38"/>
  <c r="L264" i="38"/>
  <c r="I264" i="38"/>
  <c r="J264" i="38"/>
  <c r="G264" i="38"/>
  <c r="B264" i="38"/>
  <c r="AB263" i="38"/>
  <c r="X263" i="38"/>
  <c r="U263" i="38"/>
  <c r="Q263" i="38"/>
  <c r="O263" i="38"/>
  <c r="N263" i="38"/>
  <c r="M263" i="38"/>
  <c r="L263" i="38"/>
  <c r="I263" i="38"/>
  <c r="J263" i="38"/>
  <c r="G263" i="38"/>
  <c r="W256" i="38"/>
  <c r="W257" i="38"/>
  <c r="W258" i="38"/>
  <c r="W259" i="38"/>
  <c r="W260" i="38"/>
  <c r="W261" i="38"/>
  <c r="W262" i="38"/>
  <c r="S256" i="38"/>
  <c r="S257" i="38"/>
  <c r="S258" i="38"/>
  <c r="S259" i="38"/>
  <c r="S260" i="38"/>
  <c r="S261" i="38"/>
  <c r="S262" i="38"/>
  <c r="AA259" i="38"/>
  <c r="AA256" i="38"/>
  <c r="AA257" i="38"/>
  <c r="AA261" i="38"/>
  <c r="X262" i="38"/>
  <c r="U262" i="38"/>
  <c r="T262" i="38"/>
  <c r="Q262" i="38"/>
  <c r="L262" i="38"/>
  <c r="I262" i="38"/>
  <c r="J262" i="38"/>
  <c r="G262" i="38"/>
  <c r="D262" i="38"/>
  <c r="E262" i="38"/>
  <c r="B262" i="38"/>
  <c r="Z257" i="38"/>
  <c r="Z260" i="38"/>
  <c r="T256" i="38"/>
  <c r="T257" i="38"/>
  <c r="T258" i="38"/>
  <c r="T259" i="38"/>
  <c r="T260" i="38"/>
  <c r="T261" i="38"/>
  <c r="Z256" i="38"/>
  <c r="X261" i="38"/>
  <c r="U261" i="38"/>
  <c r="Q261" i="38"/>
  <c r="O261" i="38"/>
  <c r="N261" i="38"/>
  <c r="M261" i="38"/>
  <c r="L261" i="38"/>
  <c r="I261" i="38"/>
  <c r="J261" i="38"/>
  <c r="G261" i="38"/>
  <c r="D261" i="38"/>
  <c r="E261" i="38"/>
  <c r="B261" i="38"/>
  <c r="AB260" i="38"/>
  <c r="AA260" i="38"/>
  <c r="X260" i="38"/>
  <c r="U260" i="38"/>
  <c r="Q260" i="38"/>
  <c r="N260" i="38"/>
  <c r="O260" i="38"/>
  <c r="L260" i="38"/>
  <c r="I260" i="38"/>
  <c r="J260" i="38"/>
  <c r="G260" i="38"/>
  <c r="B260" i="38"/>
  <c r="AB259" i="38"/>
  <c r="X259" i="38"/>
  <c r="U259" i="38"/>
  <c r="Q259" i="38"/>
  <c r="N259" i="38"/>
  <c r="O259" i="38"/>
  <c r="L259" i="38"/>
  <c r="I259" i="38"/>
  <c r="J259" i="38"/>
  <c r="G259" i="38"/>
  <c r="B259" i="38"/>
  <c r="AB258" i="38"/>
  <c r="X258" i="38"/>
  <c r="U258" i="38"/>
  <c r="Q258" i="38"/>
  <c r="N258" i="38"/>
  <c r="O258" i="38"/>
  <c r="L258" i="38"/>
  <c r="I258" i="38"/>
  <c r="J258" i="38"/>
  <c r="G258" i="38"/>
  <c r="B258" i="38"/>
  <c r="AB257" i="38"/>
  <c r="X257" i="38"/>
  <c r="U257" i="38"/>
  <c r="Q257" i="38"/>
  <c r="N257" i="38"/>
  <c r="O257" i="38"/>
  <c r="L257" i="38"/>
  <c r="I257" i="38"/>
  <c r="J257" i="38"/>
  <c r="G257" i="38"/>
  <c r="B257" i="38"/>
  <c r="AB256" i="38"/>
  <c r="X256" i="38"/>
  <c r="U256" i="38"/>
  <c r="Q256" i="38"/>
  <c r="O256" i="38"/>
  <c r="N256" i="38"/>
  <c r="M256" i="38"/>
  <c r="L256" i="38"/>
  <c r="I256" i="38"/>
  <c r="J256" i="38"/>
  <c r="G256" i="38"/>
  <c r="W249" i="38"/>
  <c r="W250" i="38"/>
  <c r="W251" i="38"/>
  <c r="W252" i="38"/>
  <c r="W253" i="38"/>
  <c r="W254" i="38"/>
  <c r="W255" i="38"/>
  <c r="S249" i="38"/>
  <c r="S250" i="38"/>
  <c r="S251" i="38"/>
  <c r="S252" i="38"/>
  <c r="S253" i="38"/>
  <c r="S254" i="38"/>
  <c r="S255" i="38"/>
  <c r="AA252" i="38"/>
  <c r="AA249" i="38"/>
  <c r="AA250" i="38"/>
  <c r="AA254" i="38"/>
  <c r="X255" i="38"/>
  <c r="U255" i="38"/>
  <c r="T255" i="38"/>
  <c r="Q255" i="38"/>
  <c r="L255" i="38"/>
  <c r="I255" i="38"/>
  <c r="J255" i="38"/>
  <c r="G255" i="38"/>
  <c r="D255" i="38"/>
  <c r="E255" i="38"/>
  <c r="B255" i="38"/>
  <c r="Z250" i="38"/>
  <c r="Z253" i="38"/>
  <c r="T249" i="38"/>
  <c r="T250" i="38"/>
  <c r="T251" i="38"/>
  <c r="T252" i="38"/>
  <c r="T253" i="38"/>
  <c r="T254" i="38"/>
  <c r="Z249" i="38"/>
  <c r="X254" i="38"/>
  <c r="U254" i="38"/>
  <c r="Q254" i="38"/>
  <c r="O254" i="38"/>
  <c r="N254" i="38"/>
  <c r="M254" i="38"/>
  <c r="L254" i="38"/>
  <c r="I254" i="38"/>
  <c r="J254" i="38"/>
  <c r="G254" i="38"/>
  <c r="D254" i="38"/>
  <c r="E254" i="38"/>
  <c r="B254" i="38"/>
  <c r="AB253" i="38"/>
  <c r="AA253" i="38"/>
  <c r="X253" i="38"/>
  <c r="U253" i="38"/>
  <c r="Q253" i="38"/>
  <c r="N253" i="38"/>
  <c r="O253" i="38"/>
  <c r="L253" i="38"/>
  <c r="I253" i="38"/>
  <c r="J253" i="38"/>
  <c r="G253" i="38"/>
  <c r="B253" i="38"/>
  <c r="AB252" i="38"/>
  <c r="X252" i="38"/>
  <c r="U252" i="38"/>
  <c r="Q252" i="38"/>
  <c r="N252" i="38"/>
  <c r="O252" i="38"/>
  <c r="L252" i="38"/>
  <c r="I252" i="38"/>
  <c r="J252" i="38"/>
  <c r="G252" i="38"/>
  <c r="B252" i="38"/>
  <c r="AB251" i="38"/>
  <c r="X251" i="38"/>
  <c r="U251" i="38"/>
  <c r="Q251" i="38"/>
  <c r="N251" i="38"/>
  <c r="O251" i="38"/>
  <c r="L251" i="38"/>
  <c r="I251" i="38"/>
  <c r="J251" i="38"/>
  <c r="G251" i="38"/>
  <c r="B251" i="38"/>
  <c r="AB250" i="38"/>
  <c r="X250" i="38"/>
  <c r="U250" i="38"/>
  <c r="Q250" i="38"/>
  <c r="N250" i="38"/>
  <c r="O250" i="38"/>
  <c r="L250" i="38"/>
  <c r="I250" i="38"/>
  <c r="J250" i="38"/>
  <c r="G250" i="38"/>
  <c r="B250" i="38"/>
  <c r="AB249" i="38"/>
  <c r="X249" i="38"/>
  <c r="U249" i="38"/>
  <c r="Q249" i="38"/>
  <c r="O249" i="38"/>
  <c r="N249" i="38"/>
  <c r="M249" i="38"/>
  <c r="L249" i="38"/>
  <c r="I249" i="38"/>
  <c r="J249" i="38"/>
  <c r="G249" i="38"/>
  <c r="W242" i="38"/>
  <c r="W243" i="38"/>
  <c r="W244" i="38"/>
  <c r="W245" i="38"/>
  <c r="W246" i="38"/>
  <c r="W247" i="38"/>
  <c r="W248" i="38"/>
  <c r="S242" i="38"/>
  <c r="S243" i="38"/>
  <c r="S244" i="38"/>
  <c r="S245" i="38"/>
  <c r="S246" i="38"/>
  <c r="S247" i="38"/>
  <c r="S248" i="38"/>
  <c r="AA245" i="38"/>
  <c r="AA242" i="38"/>
  <c r="AA243" i="38"/>
  <c r="AA247" i="38"/>
  <c r="X248" i="38"/>
  <c r="U248" i="38"/>
  <c r="T248" i="38"/>
  <c r="Q248" i="38"/>
  <c r="L248" i="38"/>
  <c r="I248" i="38"/>
  <c r="J248" i="38"/>
  <c r="G248" i="38"/>
  <c r="D248" i="38"/>
  <c r="E248" i="38"/>
  <c r="B248" i="38"/>
  <c r="Z243" i="38"/>
  <c r="Z246" i="38"/>
  <c r="T242" i="38"/>
  <c r="T243" i="38"/>
  <c r="T244" i="38"/>
  <c r="T245" i="38"/>
  <c r="T246" i="38"/>
  <c r="T247" i="38"/>
  <c r="Z242" i="38"/>
  <c r="X247" i="38"/>
  <c r="U247" i="38"/>
  <c r="Q247" i="38"/>
  <c r="O247" i="38"/>
  <c r="N247" i="38"/>
  <c r="M247" i="38"/>
  <c r="L247" i="38"/>
  <c r="I247" i="38"/>
  <c r="J247" i="38"/>
  <c r="G247" i="38"/>
  <c r="D247" i="38"/>
  <c r="E247" i="38"/>
  <c r="B247" i="38"/>
  <c r="AB246" i="38"/>
  <c r="AA246" i="38"/>
  <c r="X246" i="38"/>
  <c r="U246" i="38"/>
  <c r="Q246" i="38"/>
  <c r="N246" i="38"/>
  <c r="O246" i="38"/>
  <c r="L246" i="38"/>
  <c r="I246" i="38"/>
  <c r="J246" i="38"/>
  <c r="G246" i="38"/>
  <c r="B246" i="38"/>
  <c r="AB245" i="38"/>
  <c r="X245" i="38"/>
  <c r="U245" i="38"/>
  <c r="Q245" i="38"/>
  <c r="N245" i="38"/>
  <c r="O245" i="38"/>
  <c r="L245" i="38"/>
  <c r="I245" i="38"/>
  <c r="J245" i="38"/>
  <c r="G245" i="38"/>
  <c r="B245" i="38"/>
  <c r="AB244" i="38"/>
  <c r="X244" i="38"/>
  <c r="U244" i="38"/>
  <c r="Q244" i="38"/>
  <c r="N244" i="38"/>
  <c r="O244" i="38"/>
  <c r="L244" i="38"/>
  <c r="I244" i="38"/>
  <c r="J244" i="38"/>
  <c r="G244" i="38"/>
  <c r="B244" i="38"/>
  <c r="AB243" i="38"/>
  <c r="X243" i="38"/>
  <c r="U243" i="38"/>
  <c r="Q243" i="38"/>
  <c r="N243" i="38"/>
  <c r="O243" i="38"/>
  <c r="L243" i="38"/>
  <c r="I243" i="38"/>
  <c r="J243" i="38"/>
  <c r="G243" i="38"/>
  <c r="B243" i="38"/>
  <c r="AB242" i="38"/>
  <c r="X242" i="38"/>
  <c r="U242" i="38"/>
  <c r="Q242" i="38"/>
  <c r="O242" i="38"/>
  <c r="N242" i="38"/>
  <c r="M242" i="38"/>
  <c r="L242" i="38"/>
  <c r="I242" i="38"/>
  <c r="J242" i="38"/>
  <c r="G242" i="38"/>
  <c r="W235" i="38"/>
  <c r="W236" i="38"/>
  <c r="W237" i="38"/>
  <c r="W238" i="38"/>
  <c r="W239" i="38"/>
  <c r="W240" i="38"/>
  <c r="W241" i="38"/>
  <c r="S235" i="38"/>
  <c r="S236" i="38"/>
  <c r="S237" i="38"/>
  <c r="S238" i="38"/>
  <c r="S239" i="38"/>
  <c r="S240" i="38"/>
  <c r="S241" i="38"/>
  <c r="AA238" i="38"/>
  <c r="AA235" i="38"/>
  <c r="AA236" i="38"/>
  <c r="AA240" i="38"/>
  <c r="X241" i="38"/>
  <c r="U241" i="38"/>
  <c r="T241" i="38"/>
  <c r="Q241" i="38"/>
  <c r="L241" i="38"/>
  <c r="I241" i="38"/>
  <c r="J241" i="38"/>
  <c r="G241" i="38"/>
  <c r="D241" i="38"/>
  <c r="E241" i="38"/>
  <c r="B241" i="38"/>
  <c r="Z236" i="38"/>
  <c r="Z239" i="38"/>
  <c r="T235" i="38"/>
  <c r="T236" i="38"/>
  <c r="T237" i="38"/>
  <c r="T238" i="38"/>
  <c r="T239" i="38"/>
  <c r="T240" i="38"/>
  <c r="Z235" i="38"/>
  <c r="X240" i="38"/>
  <c r="U240" i="38"/>
  <c r="Q240" i="38"/>
  <c r="O240" i="38"/>
  <c r="N240" i="38"/>
  <c r="M240" i="38"/>
  <c r="L240" i="38"/>
  <c r="I240" i="38"/>
  <c r="J240" i="38"/>
  <c r="G240" i="38"/>
  <c r="D240" i="38"/>
  <c r="E240" i="38"/>
  <c r="B240" i="38"/>
  <c r="AB239" i="38"/>
  <c r="AA239" i="38"/>
  <c r="X239" i="38"/>
  <c r="U239" i="38"/>
  <c r="Q239" i="38"/>
  <c r="N239" i="38"/>
  <c r="O239" i="38"/>
  <c r="L239" i="38"/>
  <c r="I239" i="38"/>
  <c r="J239" i="38"/>
  <c r="G239" i="38"/>
  <c r="B239" i="38"/>
  <c r="AB238" i="38"/>
  <c r="X238" i="38"/>
  <c r="U238" i="38"/>
  <c r="Q238" i="38"/>
  <c r="N238" i="38"/>
  <c r="O238" i="38"/>
  <c r="L238" i="38"/>
  <c r="I238" i="38"/>
  <c r="J238" i="38"/>
  <c r="G238" i="38"/>
  <c r="B238" i="38"/>
  <c r="AB237" i="38"/>
  <c r="X237" i="38"/>
  <c r="U237" i="38"/>
  <c r="Q237" i="38"/>
  <c r="N237" i="38"/>
  <c r="O237" i="38"/>
  <c r="L237" i="38"/>
  <c r="I237" i="38"/>
  <c r="J237" i="38"/>
  <c r="G237" i="38"/>
  <c r="B237" i="38"/>
  <c r="AB236" i="38"/>
  <c r="X236" i="38"/>
  <c r="U236" i="38"/>
  <c r="Q236" i="38"/>
  <c r="N236" i="38"/>
  <c r="O236" i="38"/>
  <c r="L236" i="38"/>
  <c r="I236" i="38"/>
  <c r="J236" i="38"/>
  <c r="G236" i="38"/>
  <c r="B236" i="38"/>
  <c r="AB235" i="38"/>
  <c r="X235" i="38"/>
  <c r="U235" i="38"/>
  <c r="Q235" i="38"/>
  <c r="O235" i="38"/>
  <c r="N235" i="38"/>
  <c r="M235" i="38"/>
  <c r="L235" i="38"/>
  <c r="I235" i="38"/>
  <c r="J235" i="38"/>
  <c r="G235" i="38"/>
  <c r="W228" i="38"/>
  <c r="W229" i="38"/>
  <c r="W230" i="38"/>
  <c r="W231" i="38"/>
  <c r="W232" i="38"/>
  <c r="W233" i="38"/>
  <c r="W234" i="38"/>
  <c r="S228" i="38"/>
  <c r="S229" i="38"/>
  <c r="S230" i="38"/>
  <c r="S231" i="38"/>
  <c r="S232" i="38"/>
  <c r="S233" i="38"/>
  <c r="S234" i="38"/>
  <c r="AA231" i="38"/>
  <c r="AA228" i="38"/>
  <c r="AA229" i="38"/>
  <c r="AA233" i="38"/>
  <c r="X234" i="38"/>
  <c r="U234" i="38"/>
  <c r="T234" i="38"/>
  <c r="Q234" i="38"/>
  <c r="L234" i="38"/>
  <c r="I234" i="38"/>
  <c r="J234" i="38"/>
  <c r="G234" i="38"/>
  <c r="D234" i="38"/>
  <c r="E234" i="38"/>
  <c r="B234" i="38"/>
  <c r="Z229" i="38"/>
  <c r="Z232" i="38"/>
  <c r="T228" i="38"/>
  <c r="T229" i="38"/>
  <c r="T230" i="38"/>
  <c r="T231" i="38"/>
  <c r="T232" i="38"/>
  <c r="T233" i="38"/>
  <c r="Z228" i="38"/>
  <c r="X233" i="38"/>
  <c r="U233" i="38"/>
  <c r="Q233" i="38"/>
  <c r="O233" i="38"/>
  <c r="N233" i="38"/>
  <c r="M233" i="38"/>
  <c r="L233" i="38"/>
  <c r="I233" i="38"/>
  <c r="J233" i="38"/>
  <c r="G233" i="38"/>
  <c r="D233" i="38"/>
  <c r="E233" i="38"/>
  <c r="B233" i="38"/>
  <c r="AB232" i="38"/>
  <c r="AA232" i="38"/>
  <c r="X232" i="38"/>
  <c r="U232" i="38"/>
  <c r="Q232" i="38"/>
  <c r="N232" i="38"/>
  <c r="O232" i="38"/>
  <c r="L232" i="38"/>
  <c r="I232" i="38"/>
  <c r="J232" i="38"/>
  <c r="G232" i="38"/>
  <c r="B232" i="38"/>
  <c r="AB231" i="38"/>
  <c r="X231" i="38"/>
  <c r="U231" i="38"/>
  <c r="Q231" i="38"/>
  <c r="N231" i="38"/>
  <c r="O231" i="38"/>
  <c r="L231" i="38"/>
  <c r="I231" i="38"/>
  <c r="J231" i="38"/>
  <c r="G231" i="38"/>
  <c r="B231" i="38"/>
  <c r="AB230" i="38"/>
  <c r="X230" i="38"/>
  <c r="U230" i="38"/>
  <c r="Q230" i="38"/>
  <c r="N230" i="38"/>
  <c r="O230" i="38"/>
  <c r="L230" i="38"/>
  <c r="I230" i="38"/>
  <c r="J230" i="38"/>
  <c r="G230" i="38"/>
  <c r="B230" i="38"/>
  <c r="AB229" i="38"/>
  <c r="X229" i="38"/>
  <c r="U229" i="38"/>
  <c r="Q229" i="38"/>
  <c r="N229" i="38"/>
  <c r="O229" i="38"/>
  <c r="L229" i="38"/>
  <c r="I229" i="38"/>
  <c r="J229" i="38"/>
  <c r="G229" i="38"/>
  <c r="B229" i="38"/>
  <c r="AB228" i="38"/>
  <c r="X228" i="38"/>
  <c r="U228" i="38"/>
  <c r="Q228" i="38"/>
  <c r="O228" i="38"/>
  <c r="N228" i="38"/>
  <c r="M228" i="38"/>
  <c r="L228" i="38"/>
  <c r="I228" i="38"/>
  <c r="J228" i="38"/>
  <c r="G228" i="38"/>
  <c r="W221" i="38"/>
  <c r="W222" i="38"/>
  <c r="W223" i="38"/>
  <c r="W224" i="38"/>
  <c r="W225" i="38"/>
  <c r="W226" i="38"/>
  <c r="W227" i="38"/>
  <c r="S221" i="38"/>
  <c r="S222" i="38"/>
  <c r="S223" i="38"/>
  <c r="S224" i="38"/>
  <c r="S225" i="38"/>
  <c r="S226" i="38"/>
  <c r="S227" i="38"/>
  <c r="AA224" i="38"/>
  <c r="AA221" i="38"/>
  <c r="AA222" i="38"/>
  <c r="AA226" i="38"/>
  <c r="X227" i="38"/>
  <c r="U227" i="38"/>
  <c r="T227" i="38"/>
  <c r="Q227" i="38"/>
  <c r="L227" i="38"/>
  <c r="I227" i="38"/>
  <c r="J227" i="38"/>
  <c r="G227" i="38"/>
  <c r="D227" i="38"/>
  <c r="E227" i="38"/>
  <c r="B227" i="38"/>
  <c r="Z222" i="38"/>
  <c r="Z225" i="38"/>
  <c r="T221" i="38"/>
  <c r="T222" i="38"/>
  <c r="T223" i="38"/>
  <c r="T224" i="38"/>
  <c r="T225" i="38"/>
  <c r="T226" i="38"/>
  <c r="Z221" i="38"/>
  <c r="X226" i="38"/>
  <c r="U226" i="38"/>
  <c r="Q226" i="38"/>
  <c r="O226" i="38"/>
  <c r="N226" i="38"/>
  <c r="M226" i="38"/>
  <c r="L226" i="38"/>
  <c r="I226" i="38"/>
  <c r="J226" i="38"/>
  <c r="G226" i="38"/>
  <c r="D226" i="38"/>
  <c r="E226" i="38"/>
  <c r="B226" i="38"/>
  <c r="AB225" i="38"/>
  <c r="AA225" i="38"/>
  <c r="X225" i="38"/>
  <c r="U225" i="38"/>
  <c r="Q225" i="38"/>
  <c r="N225" i="38"/>
  <c r="O225" i="38"/>
  <c r="L225" i="38"/>
  <c r="I225" i="38"/>
  <c r="J225" i="38"/>
  <c r="G225" i="38"/>
  <c r="B225" i="38"/>
  <c r="AB224" i="38"/>
  <c r="X224" i="38"/>
  <c r="U224" i="38"/>
  <c r="Q224" i="38"/>
  <c r="N224" i="38"/>
  <c r="O224" i="38"/>
  <c r="L224" i="38"/>
  <c r="I224" i="38"/>
  <c r="J224" i="38"/>
  <c r="G224" i="38"/>
  <c r="B224" i="38"/>
  <c r="AB223" i="38"/>
  <c r="X223" i="38"/>
  <c r="U223" i="38"/>
  <c r="Q223" i="38"/>
  <c r="N223" i="38"/>
  <c r="O223" i="38"/>
  <c r="L223" i="38"/>
  <c r="I223" i="38"/>
  <c r="J223" i="38"/>
  <c r="G223" i="38"/>
  <c r="B223" i="38"/>
  <c r="AB222" i="38"/>
  <c r="X222" i="38"/>
  <c r="U222" i="38"/>
  <c r="Q222" i="38"/>
  <c r="N222" i="38"/>
  <c r="O222" i="38"/>
  <c r="L222" i="38"/>
  <c r="I222" i="38"/>
  <c r="J222" i="38"/>
  <c r="G222" i="38"/>
  <c r="B222" i="38"/>
  <c r="AB221" i="38"/>
  <c r="X221" i="38"/>
  <c r="U221" i="38"/>
  <c r="Q221" i="38"/>
  <c r="O221" i="38"/>
  <c r="N221" i="38"/>
  <c r="M221" i="38"/>
  <c r="L221" i="38"/>
  <c r="I221" i="38"/>
  <c r="J221" i="38"/>
  <c r="G221" i="38"/>
  <c r="W214" i="38"/>
  <c r="W215" i="38"/>
  <c r="W216" i="38"/>
  <c r="W217" i="38"/>
  <c r="W218" i="38"/>
  <c r="W219" i="38"/>
  <c r="W220" i="38"/>
  <c r="S214" i="38"/>
  <c r="S215" i="38"/>
  <c r="S216" i="38"/>
  <c r="S217" i="38"/>
  <c r="S218" i="38"/>
  <c r="S219" i="38"/>
  <c r="S220" i="38"/>
  <c r="AA217" i="38"/>
  <c r="AA214" i="38"/>
  <c r="AA215" i="38"/>
  <c r="AA219" i="38"/>
  <c r="X220" i="38"/>
  <c r="U220" i="38"/>
  <c r="T220" i="38"/>
  <c r="Q220" i="38"/>
  <c r="L220" i="38"/>
  <c r="I220" i="38"/>
  <c r="J220" i="38"/>
  <c r="G220" i="38"/>
  <c r="D220" i="38"/>
  <c r="E220" i="38"/>
  <c r="B220" i="38"/>
  <c r="Z215" i="38"/>
  <c r="Z218" i="38"/>
  <c r="T214" i="38"/>
  <c r="T215" i="38"/>
  <c r="T216" i="38"/>
  <c r="T217" i="38"/>
  <c r="T218" i="38"/>
  <c r="T219" i="38"/>
  <c r="Z214" i="38"/>
  <c r="X219" i="38"/>
  <c r="U219" i="38"/>
  <c r="Q219" i="38"/>
  <c r="O219" i="38"/>
  <c r="N219" i="38"/>
  <c r="M219" i="38"/>
  <c r="L219" i="38"/>
  <c r="I219" i="38"/>
  <c r="J219" i="38"/>
  <c r="G219" i="38"/>
  <c r="D219" i="38"/>
  <c r="E219" i="38"/>
  <c r="B219" i="38"/>
  <c r="AB218" i="38"/>
  <c r="AA218" i="38"/>
  <c r="X218" i="38"/>
  <c r="U218" i="38"/>
  <c r="Q218" i="38"/>
  <c r="N218" i="38"/>
  <c r="O218" i="38"/>
  <c r="L218" i="38"/>
  <c r="I218" i="38"/>
  <c r="J218" i="38"/>
  <c r="G218" i="38"/>
  <c r="B218" i="38"/>
  <c r="AB217" i="38"/>
  <c r="X217" i="38"/>
  <c r="U217" i="38"/>
  <c r="Q217" i="38"/>
  <c r="N217" i="38"/>
  <c r="O217" i="38"/>
  <c r="L217" i="38"/>
  <c r="I217" i="38"/>
  <c r="J217" i="38"/>
  <c r="G217" i="38"/>
  <c r="B217" i="38"/>
  <c r="AB216" i="38"/>
  <c r="X216" i="38"/>
  <c r="U216" i="38"/>
  <c r="Q216" i="38"/>
  <c r="N216" i="38"/>
  <c r="O216" i="38"/>
  <c r="L216" i="38"/>
  <c r="I216" i="38"/>
  <c r="J216" i="38"/>
  <c r="G216" i="38"/>
  <c r="B216" i="38"/>
  <c r="AB215" i="38"/>
  <c r="X215" i="38"/>
  <c r="U215" i="38"/>
  <c r="Q215" i="38"/>
  <c r="N215" i="38"/>
  <c r="O215" i="38"/>
  <c r="L215" i="38"/>
  <c r="I215" i="38"/>
  <c r="J215" i="38"/>
  <c r="G215" i="38"/>
  <c r="B215" i="38"/>
  <c r="AB214" i="38"/>
  <c r="X214" i="38"/>
  <c r="U214" i="38"/>
  <c r="Q214" i="38"/>
  <c r="O214" i="38"/>
  <c r="N214" i="38"/>
  <c r="M214" i="38"/>
  <c r="L214" i="38"/>
  <c r="I214" i="38"/>
  <c r="J214" i="38"/>
  <c r="G214" i="38"/>
  <c r="W207" i="38"/>
  <c r="W208" i="38"/>
  <c r="W209" i="38"/>
  <c r="W210" i="38"/>
  <c r="W211" i="38"/>
  <c r="W212" i="38"/>
  <c r="W213" i="38"/>
  <c r="S207" i="38"/>
  <c r="S208" i="38"/>
  <c r="S209" i="38"/>
  <c r="S210" i="38"/>
  <c r="S211" i="38"/>
  <c r="S212" i="38"/>
  <c r="S213" i="38"/>
  <c r="AA210" i="38"/>
  <c r="AA207" i="38"/>
  <c r="AA208" i="38"/>
  <c r="AA212" i="38"/>
  <c r="X213" i="38"/>
  <c r="U213" i="38"/>
  <c r="T213" i="38"/>
  <c r="Q213" i="38"/>
  <c r="L213" i="38"/>
  <c r="I213" i="38"/>
  <c r="J213" i="38"/>
  <c r="G213" i="38"/>
  <c r="D213" i="38"/>
  <c r="E213" i="38"/>
  <c r="B213" i="38"/>
  <c r="Z208" i="38"/>
  <c r="Z211" i="38"/>
  <c r="T207" i="38"/>
  <c r="T208" i="38"/>
  <c r="T209" i="38"/>
  <c r="T210" i="38"/>
  <c r="T211" i="38"/>
  <c r="T212" i="38"/>
  <c r="Z207" i="38"/>
  <c r="X212" i="38"/>
  <c r="U212" i="38"/>
  <c r="Q212" i="38"/>
  <c r="O212" i="38"/>
  <c r="N212" i="38"/>
  <c r="M212" i="38"/>
  <c r="L212" i="38"/>
  <c r="I212" i="38"/>
  <c r="J212" i="38"/>
  <c r="G212" i="38"/>
  <c r="D212" i="38"/>
  <c r="E212" i="38"/>
  <c r="B212" i="38"/>
  <c r="AB211" i="38"/>
  <c r="AA211" i="38"/>
  <c r="X211" i="38"/>
  <c r="U211" i="38"/>
  <c r="Q211" i="38"/>
  <c r="N211" i="38"/>
  <c r="O211" i="38"/>
  <c r="L211" i="38"/>
  <c r="I211" i="38"/>
  <c r="J211" i="38"/>
  <c r="G211" i="38"/>
  <c r="B211" i="38"/>
  <c r="AB210" i="38"/>
  <c r="X210" i="38"/>
  <c r="U210" i="38"/>
  <c r="Q210" i="38"/>
  <c r="N210" i="38"/>
  <c r="O210" i="38"/>
  <c r="L210" i="38"/>
  <c r="I210" i="38"/>
  <c r="J210" i="38"/>
  <c r="G210" i="38"/>
  <c r="B210" i="38"/>
  <c r="AB209" i="38"/>
  <c r="X209" i="38"/>
  <c r="U209" i="38"/>
  <c r="Q209" i="38"/>
  <c r="N209" i="38"/>
  <c r="O209" i="38"/>
  <c r="L209" i="38"/>
  <c r="I209" i="38"/>
  <c r="J209" i="38"/>
  <c r="G209" i="38"/>
  <c r="B209" i="38"/>
  <c r="AB208" i="38"/>
  <c r="X208" i="38"/>
  <c r="U208" i="38"/>
  <c r="Q208" i="38"/>
  <c r="N208" i="38"/>
  <c r="O208" i="38"/>
  <c r="L208" i="38"/>
  <c r="I208" i="38"/>
  <c r="J208" i="38"/>
  <c r="G208" i="38"/>
  <c r="B208" i="38"/>
  <c r="AB207" i="38"/>
  <c r="X207" i="38"/>
  <c r="U207" i="38"/>
  <c r="Q207" i="38"/>
  <c r="O207" i="38"/>
  <c r="N207" i="38"/>
  <c r="M207" i="38"/>
  <c r="L207" i="38"/>
  <c r="I207" i="38"/>
  <c r="J207" i="38"/>
  <c r="G207" i="38"/>
  <c r="W200" i="38"/>
  <c r="W201" i="38"/>
  <c r="W202" i="38"/>
  <c r="W203" i="38"/>
  <c r="W204" i="38"/>
  <c r="W205" i="38"/>
  <c r="W206" i="38"/>
  <c r="S200" i="38"/>
  <c r="S201" i="38"/>
  <c r="S202" i="38"/>
  <c r="S203" i="38"/>
  <c r="S204" i="38"/>
  <c r="S205" i="38"/>
  <c r="S206" i="38"/>
  <c r="AA203" i="38"/>
  <c r="AA200" i="38"/>
  <c r="AA201" i="38"/>
  <c r="AA205" i="38"/>
  <c r="X206" i="38"/>
  <c r="U206" i="38"/>
  <c r="T206" i="38"/>
  <c r="Q206" i="38"/>
  <c r="L206" i="38"/>
  <c r="I206" i="38"/>
  <c r="J206" i="38"/>
  <c r="G206" i="38"/>
  <c r="D206" i="38"/>
  <c r="E206" i="38"/>
  <c r="B206" i="38"/>
  <c r="Z201" i="38"/>
  <c r="Z204" i="38"/>
  <c r="T200" i="38"/>
  <c r="T201" i="38"/>
  <c r="T202" i="38"/>
  <c r="T203" i="38"/>
  <c r="T204" i="38"/>
  <c r="T205" i="38"/>
  <c r="Z200" i="38"/>
  <c r="X205" i="38"/>
  <c r="U205" i="38"/>
  <c r="Q205" i="38"/>
  <c r="O205" i="38"/>
  <c r="N205" i="38"/>
  <c r="M205" i="38"/>
  <c r="L205" i="38"/>
  <c r="I205" i="38"/>
  <c r="J205" i="38"/>
  <c r="G205" i="38"/>
  <c r="D205" i="38"/>
  <c r="E205" i="38"/>
  <c r="B205" i="38"/>
  <c r="AB204" i="38"/>
  <c r="AA204" i="38"/>
  <c r="X204" i="38"/>
  <c r="U204" i="38"/>
  <c r="Q204" i="38"/>
  <c r="N204" i="38"/>
  <c r="O204" i="38"/>
  <c r="L204" i="38"/>
  <c r="I204" i="38"/>
  <c r="J204" i="38"/>
  <c r="G204" i="38"/>
  <c r="B204" i="38"/>
  <c r="AB203" i="38"/>
  <c r="X203" i="38"/>
  <c r="U203" i="38"/>
  <c r="Q203" i="38"/>
  <c r="N203" i="38"/>
  <c r="O203" i="38"/>
  <c r="L203" i="38"/>
  <c r="I203" i="38"/>
  <c r="J203" i="38"/>
  <c r="G203" i="38"/>
  <c r="B203" i="38"/>
  <c r="AB202" i="38"/>
  <c r="X202" i="38"/>
  <c r="U202" i="38"/>
  <c r="Q202" i="38"/>
  <c r="N202" i="38"/>
  <c r="O202" i="38"/>
  <c r="L202" i="38"/>
  <c r="I202" i="38"/>
  <c r="J202" i="38"/>
  <c r="G202" i="38"/>
  <c r="B202" i="38"/>
  <c r="AB201" i="38"/>
  <c r="X201" i="38"/>
  <c r="U201" i="38"/>
  <c r="Q201" i="38"/>
  <c r="N201" i="38"/>
  <c r="O201" i="38"/>
  <c r="L201" i="38"/>
  <c r="I201" i="38"/>
  <c r="J201" i="38"/>
  <c r="G201" i="38"/>
  <c r="B201" i="38"/>
  <c r="AB200" i="38"/>
  <c r="X200" i="38"/>
  <c r="U200" i="38"/>
  <c r="Q200" i="38"/>
  <c r="O200" i="38"/>
  <c r="N200" i="38"/>
  <c r="M200" i="38"/>
  <c r="L200" i="38"/>
  <c r="I200" i="38"/>
  <c r="J200" i="38"/>
  <c r="G200" i="38"/>
  <c r="W193" i="38"/>
  <c r="W194" i="38"/>
  <c r="W195" i="38"/>
  <c r="W196" i="38"/>
  <c r="W197" i="38"/>
  <c r="W198" i="38"/>
  <c r="W199" i="38"/>
  <c r="S193" i="38"/>
  <c r="S194" i="38"/>
  <c r="S195" i="38"/>
  <c r="S196" i="38"/>
  <c r="S197" i="38"/>
  <c r="S198" i="38"/>
  <c r="S199" i="38"/>
  <c r="AA196" i="38"/>
  <c r="AA193" i="38"/>
  <c r="AA194" i="38"/>
  <c r="AA198" i="38"/>
  <c r="X199" i="38"/>
  <c r="U199" i="38"/>
  <c r="T199" i="38"/>
  <c r="Q199" i="38"/>
  <c r="L199" i="38"/>
  <c r="I199" i="38"/>
  <c r="J199" i="38"/>
  <c r="G199" i="38"/>
  <c r="D199" i="38"/>
  <c r="E199" i="38"/>
  <c r="B199" i="38"/>
  <c r="Z194" i="38"/>
  <c r="Z197" i="38"/>
  <c r="T193" i="38"/>
  <c r="T194" i="38"/>
  <c r="T195" i="38"/>
  <c r="T196" i="38"/>
  <c r="T197" i="38"/>
  <c r="T198" i="38"/>
  <c r="Z193" i="38"/>
  <c r="X198" i="38"/>
  <c r="U198" i="38"/>
  <c r="Q198" i="38"/>
  <c r="O198" i="38"/>
  <c r="N198" i="38"/>
  <c r="M198" i="38"/>
  <c r="L198" i="38"/>
  <c r="I198" i="38"/>
  <c r="J198" i="38"/>
  <c r="G198" i="38"/>
  <c r="D198" i="38"/>
  <c r="E198" i="38"/>
  <c r="B198" i="38"/>
  <c r="AB197" i="38"/>
  <c r="AA197" i="38"/>
  <c r="X197" i="38"/>
  <c r="U197" i="38"/>
  <c r="Q197" i="38"/>
  <c r="N197" i="38"/>
  <c r="O197" i="38"/>
  <c r="L197" i="38"/>
  <c r="I197" i="38"/>
  <c r="J197" i="38"/>
  <c r="G197" i="38"/>
  <c r="B197" i="38"/>
  <c r="AB196" i="38"/>
  <c r="X196" i="38"/>
  <c r="U196" i="38"/>
  <c r="Q196" i="38"/>
  <c r="N196" i="38"/>
  <c r="O196" i="38"/>
  <c r="L196" i="38"/>
  <c r="I196" i="38"/>
  <c r="J196" i="38"/>
  <c r="G196" i="38"/>
  <c r="B196" i="38"/>
  <c r="AB195" i="38"/>
  <c r="X195" i="38"/>
  <c r="U195" i="38"/>
  <c r="Q195" i="38"/>
  <c r="N195" i="38"/>
  <c r="O195" i="38"/>
  <c r="L195" i="38"/>
  <c r="I195" i="38"/>
  <c r="J195" i="38"/>
  <c r="G195" i="38"/>
  <c r="B195" i="38"/>
  <c r="AB194" i="38"/>
  <c r="X194" i="38"/>
  <c r="U194" i="38"/>
  <c r="Q194" i="38"/>
  <c r="N194" i="38"/>
  <c r="O194" i="38"/>
  <c r="L194" i="38"/>
  <c r="I194" i="38"/>
  <c r="J194" i="38"/>
  <c r="G194" i="38"/>
  <c r="B194" i="38"/>
  <c r="AB193" i="38"/>
  <c r="X193" i="38"/>
  <c r="U193" i="38"/>
  <c r="Q193" i="38"/>
  <c r="O193" i="38"/>
  <c r="N193" i="38"/>
  <c r="M193" i="38"/>
  <c r="L193" i="38"/>
  <c r="I193" i="38"/>
  <c r="J193" i="38"/>
  <c r="G193" i="38"/>
  <c r="W186" i="38"/>
  <c r="W187" i="38"/>
  <c r="W188" i="38"/>
  <c r="W189" i="38"/>
  <c r="W190" i="38"/>
  <c r="W191" i="38"/>
  <c r="W192" i="38"/>
  <c r="S186" i="38"/>
  <c r="S187" i="38"/>
  <c r="S188" i="38"/>
  <c r="S189" i="38"/>
  <c r="S190" i="38"/>
  <c r="S191" i="38"/>
  <c r="S192" i="38"/>
  <c r="AA189" i="38"/>
  <c r="AA186" i="38"/>
  <c r="AA187" i="38"/>
  <c r="AA191" i="38"/>
  <c r="X192" i="38"/>
  <c r="U192" i="38"/>
  <c r="T192" i="38"/>
  <c r="Q192" i="38"/>
  <c r="L192" i="38"/>
  <c r="I192" i="38"/>
  <c r="J192" i="38"/>
  <c r="G192" i="38"/>
  <c r="D192" i="38"/>
  <c r="E192" i="38"/>
  <c r="B192" i="38"/>
  <c r="Z187" i="38"/>
  <c r="Z190" i="38"/>
  <c r="T186" i="38"/>
  <c r="T187" i="38"/>
  <c r="T188" i="38"/>
  <c r="T189" i="38"/>
  <c r="T190" i="38"/>
  <c r="T191" i="38"/>
  <c r="Z186" i="38"/>
  <c r="X191" i="38"/>
  <c r="U191" i="38"/>
  <c r="Q191" i="38"/>
  <c r="O191" i="38"/>
  <c r="N191" i="38"/>
  <c r="M191" i="38"/>
  <c r="L191" i="38"/>
  <c r="I191" i="38"/>
  <c r="J191" i="38"/>
  <c r="G191" i="38"/>
  <c r="D191" i="38"/>
  <c r="E191" i="38"/>
  <c r="B191" i="38"/>
  <c r="AB190" i="38"/>
  <c r="AA190" i="38"/>
  <c r="X190" i="38"/>
  <c r="U190" i="38"/>
  <c r="Q190" i="38"/>
  <c r="N190" i="38"/>
  <c r="O190" i="38"/>
  <c r="L190" i="38"/>
  <c r="I190" i="38"/>
  <c r="J190" i="38"/>
  <c r="G190" i="38"/>
  <c r="B190" i="38"/>
  <c r="AB189" i="38"/>
  <c r="X189" i="38"/>
  <c r="U189" i="38"/>
  <c r="Q189" i="38"/>
  <c r="N189" i="38"/>
  <c r="O189" i="38"/>
  <c r="L189" i="38"/>
  <c r="I189" i="38"/>
  <c r="J189" i="38"/>
  <c r="G189" i="38"/>
  <c r="B189" i="38"/>
  <c r="AB188" i="38"/>
  <c r="X188" i="38"/>
  <c r="U188" i="38"/>
  <c r="Q188" i="38"/>
  <c r="N188" i="38"/>
  <c r="O188" i="38"/>
  <c r="L188" i="38"/>
  <c r="I188" i="38"/>
  <c r="J188" i="38"/>
  <c r="G188" i="38"/>
  <c r="B188" i="38"/>
  <c r="AB187" i="38"/>
  <c r="X187" i="38"/>
  <c r="U187" i="38"/>
  <c r="Q187" i="38"/>
  <c r="N187" i="38"/>
  <c r="O187" i="38"/>
  <c r="L187" i="38"/>
  <c r="I187" i="38"/>
  <c r="J187" i="38"/>
  <c r="G187" i="38"/>
  <c r="B187" i="38"/>
  <c r="AB186" i="38"/>
  <c r="X186" i="38"/>
  <c r="U186" i="38"/>
  <c r="Q186" i="38"/>
  <c r="O186" i="38"/>
  <c r="N186" i="38"/>
  <c r="M186" i="38"/>
  <c r="L186" i="38"/>
  <c r="I186" i="38"/>
  <c r="J186" i="38"/>
  <c r="G186" i="38"/>
  <c r="W179" i="38"/>
  <c r="W180" i="38"/>
  <c r="W181" i="38"/>
  <c r="W182" i="38"/>
  <c r="W183" i="38"/>
  <c r="W184" i="38"/>
  <c r="W185" i="38"/>
  <c r="S179" i="38"/>
  <c r="S180" i="38"/>
  <c r="S181" i="38"/>
  <c r="S182" i="38"/>
  <c r="S183" i="38"/>
  <c r="S184" i="38"/>
  <c r="S185" i="38"/>
  <c r="AA182" i="38"/>
  <c r="AA179" i="38"/>
  <c r="AA180" i="38"/>
  <c r="AA184" i="38"/>
  <c r="X185" i="38"/>
  <c r="U185" i="38"/>
  <c r="T185" i="38"/>
  <c r="Q185" i="38"/>
  <c r="L185" i="38"/>
  <c r="I185" i="38"/>
  <c r="J185" i="38"/>
  <c r="G185" i="38"/>
  <c r="D185" i="38"/>
  <c r="E185" i="38"/>
  <c r="B185" i="38"/>
  <c r="Z180" i="38"/>
  <c r="Z183" i="38"/>
  <c r="T179" i="38"/>
  <c r="T180" i="38"/>
  <c r="T181" i="38"/>
  <c r="T182" i="38"/>
  <c r="T183" i="38"/>
  <c r="T184" i="38"/>
  <c r="Z179" i="38"/>
  <c r="X184" i="38"/>
  <c r="U184" i="38"/>
  <c r="Q184" i="38"/>
  <c r="O184" i="38"/>
  <c r="N184" i="38"/>
  <c r="M184" i="38"/>
  <c r="L184" i="38"/>
  <c r="I184" i="38"/>
  <c r="J184" i="38"/>
  <c r="G184" i="38"/>
  <c r="D184" i="38"/>
  <c r="E184" i="38"/>
  <c r="B184" i="38"/>
  <c r="AB183" i="38"/>
  <c r="AA183" i="38"/>
  <c r="X183" i="38"/>
  <c r="U183" i="38"/>
  <c r="Q183" i="38"/>
  <c r="N183" i="38"/>
  <c r="O183" i="38"/>
  <c r="L183" i="38"/>
  <c r="I183" i="38"/>
  <c r="J183" i="38"/>
  <c r="G183" i="38"/>
  <c r="B183" i="38"/>
  <c r="AB182" i="38"/>
  <c r="X182" i="38"/>
  <c r="U182" i="38"/>
  <c r="Q182" i="38"/>
  <c r="N182" i="38"/>
  <c r="O182" i="38"/>
  <c r="L182" i="38"/>
  <c r="I182" i="38"/>
  <c r="J182" i="38"/>
  <c r="G182" i="38"/>
  <c r="B182" i="38"/>
  <c r="AB181" i="38"/>
  <c r="X181" i="38"/>
  <c r="U181" i="38"/>
  <c r="Q181" i="38"/>
  <c r="N181" i="38"/>
  <c r="O181" i="38"/>
  <c r="L181" i="38"/>
  <c r="I181" i="38"/>
  <c r="J181" i="38"/>
  <c r="G181" i="38"/>
  <c r="B181" i="38"/>
  <c r="AB180" i="38"/>
  <c r="X180" i="38"/>
  <c r="U180" i="38"/>
  <c r="Q180" i="38"/>
  <c r="N180" i="38"/>
  <c r="O180" i="38"/>
  <c r="L180" i="38"/>
  <c r="I180" i="38"/>
  <c r="J180" i="38"/>
  <c r="G180" i="38"/>
  <c r="B180" i="38"/>
  <c r="AB179" i="38"/>
  <c r="X179" i="38"/>
  <c r="U179" i="38"/>
  <c r="Q179" i="38"/>
  <c r="O179" i="38"/>
  <c r="N179" i="38"/>
  <c r="M179" i="38"/>
  <c r="L179" i="38"/>
  <c r="I179" i="38"/>
  <c r="J179" i="38"/>
  <c r="G179" i="38"/>
  <c r="W172" i="38"/>
  <c r="W173" i="38"/>
  <c r="W174" i="38"/>
  <c r="W175" i="38"/>
  <c r="W176" i="38"/>
  <c r="W177" i="38"/>
  <c r="W178" i="38"/>
  <c r="S172" i="38"/>
  <c r="S173" i="38"/>
  <c r="S174" i="38"/>
  <c r="S175" i="38"/>
  <c r="S176" i="38"/>
  <c r="S177" i="38"/>
  <c r="S178" i="38"/>
  <c r="AA175" i="38"/>
  <c r="AA172" i="38"/>
  <c r="AA173" i="38"/>
  <c r="AA177" i="38"/>
  <c r="X178" i="38"/>
  <c r="U178" i="38"/>
  <c r="T178" i="38"/>
  <c r="Q178" i="38"/>
  <c r="L178" i="38"/>
  <c r="I178" i="38"/>
  <c r="J178" i="38"/>
  <c r="G178" i="38"/>
  <c r="D178" i="38"/>
  <c r="E178" i="38"/>
  <c r="B178" i="38"/>
  <c r="Z173" i="38"/>
  <c r="Z176" i="38"/>
  <c r="T172" i="38"/>
  <c r="T173" i="38"/>
  <c r="T174" i="38"/>
  <c r="T175" i="38"/>
  <c r="T176" i="38"/>
  <c r="T177" i="38"/>
  <c r="Z172" i="38"/>
  <c r="X177" i="38"/>
  <c r="U177" i="38"/>
  <c r="Q177" i="38"/>
  <c r="O177" i="38"/>
  <c r="N177" i="38"/>
  <c r="M177" i="38"/>
  <c r="L177" i="38"/>
  <c r="I177" i="38"/>
  <c r="J177" i="38"/>
  <c r="G177" i="38"/>
  <c r="D177" i="38"/>
  <c r="E177" i="38"/>
  <c r="B177" i="38"/>
  <c r="AB176" i="38"/>
  <c r="AA176" i="38"/>
  <c r="X176" i="38"/>
  <c r="U176" i="38"/>
  <c r="Q176" i="38"/>
  <c r="N176" i="38"/>
  <c r="O176" i="38"/>
  <c r="L176" i="38"/>
  <c r="I176" i="38"/>
  <c r="J176" i="38"/>
  <c r="G176" i="38"/>
  <c r="B176" i="38"/>
  <c r="AB175" i="38"/>
  <c r="X175" i="38"/>
  <c r="U175" i="38"/>
  <c r="Q175" i="38"/>
  <c r="N175" i="38"/>
  <c r="O175" i="38"/>
  <c r="L175" i="38"/>
  <c r="I175" i="38"/>
  <c r="J175" i="38"/>
  <c r="G175" i="38"/>
  <c r="B175" i="38"/>
  <c r="AB174" i="38"/>
  <c r="X174" i="38"/>
  <c r="U174" i="38"/>
  <c r="Q174" i="38"/>
  <c r="N174" i="38"/>
  <c r="O174" i="38"/>
  <c r="L174" i="38"/>
  <c r="I174" i="38"/>
  <c r="J174" i="38"/>
  <c r="G174" i="38"/>
  <c r="B174" i="38"/>
  <c r="AB173" i="38"/>
  <c r="X173" i="38"/>
  <c r="U173" i="38"/>
  <c r="Q173" i="38"/>
  <c r="N173" i="38"/>
  <c r="O173" i="38"/>
  <c r="L173" i="38"/>
  <c r="I173" i="38"/>
  <c r="J173" i="38"/>
  <c r="G173" i="38"/>
  <c r="B173" i="38"/>
  <c r="AB172" i="38"/>
  <c r="X172" i="38"/>
  <c r="U172" i="38"/>
  <c r="Q172" i="38"/>
  <c r="O172" i="38"/>
  <c r="N172" i="38"/>
  <c r="M172" i="38"/>
  <c r="L172" i="38"/>
  <c r="I172" i="38"/>
  <c r="J172" i="38"/>
  <c r="G172" i="38"/>
  <c r="W165" i="38"/>
  <c r="W166" i="38"/>
  <c r="W167" i="38"/>
  <c r="W168" i="38"/>
  <c r="W169" i="38"/>
  <c r="W170" i="38"/>
  <c r="W171" i="38"/>
  <c r="S165" i="38"/>
  <c r="S166" i="38"/>
  <c r="S167" i="38"/>
  <c r="S168" i="38"/>
  <c r="S169" i="38"/>
  <c r="S170" i="38"/>
  <c r="S171" i="38"/>
  <c r="AA168" i="38"/>
  <c r="AA165" i="38"/>
  <c r="AA166" i="38"/>
  <c r="AA170" i="38"/>
  <c r="X171" i="38"/>
  <c r="U171" i="38"/>
  <c r="T171" i="38"/>
  <c r="Q171" i="38"/>
  <c r="L171" i="38"/>
  <c r="I171" i="38"/>
  <c r="J171" i="38"/>
  <c r="G171" i="38"/>
  <c r="D171" i="38"/>
  <c r="E171" i="38"/>
  <c r="B171" i="38"/>
  <c r="Z166" i="38"/>
  <c r="Z169" i="38"/>
  <c r="T165" i="38"/>
  <c r="T166" i="38"/>
  <c r="T167" i="38"/>
  <c r="T168" i="38"/>
  <c r="T169" i="38"/>
  <c r="T170" i="38"/>
  <c r="Z165" i="38"/>
  <c r="X170" i="38"/>
  <c r="U170" i="38"/>
  <c r="Q170" i="38"/>
  <c r="O170" i="38"/>
  <c r="N170" i="38"/>
  <c r="M170" i="38"/>
  <c r="L170" i="38"/>
  <c r="I170" i="38"/>
  <c r="J170" i="38"/>
  <c r="G170" i="38"/>
  <c r="D170" i="38"/>
  <c r="E170" i="38"/>
  <c r="B170" i="38"/>
  <c r="AB169" i="38"/>
  <c r="AA169" i="38"/>
  <c r="X169" i="38"/>
  <c r="U169" i="38"/>
  <c r="Q169" i="38"/>
  <c r="N169" i="38"/>
  <c r="O169" i="38"/>
  <c r="L169" i="38"/>
  <c r="I169" i="38"/>
  <c r="J169" i="38"/>
  <c r="G169" i="38"/>
  <c r="B169" i="38"/>
  <c r="AB168" i="38"/>
  <c r="X168" i="38"/>
  <c r="U168" i="38"/>
  <c r="Q168" i="38"/>
  <c r="N168" i="38"/>
  <c r="O168" i="38"/>
  <c r="L168" i="38"/>
  <c r="I168" i="38"/>
  <c r="J168" i="38"/>
  <c r="G168" i="38"/>
  <c r="B168" i="38"/>
  <c r="AB167" i="38"/>
  <c r="X167" i="38"/>
  <c r="U167" i="38"/>
  <c r="Q167" i="38"/>
  <c r="N167" i="38"/>
  <c r="O167" i="38"/>
  <c r="L167" i="38"/>
  <c r="I167" i="38"/>
  <c r="J167" i="38"/>
  <c r="G167" i="38"/>
  <c r="B167" i="38"/>
  <c r="AB166" i="38"/>
  <c r="X166" i="38"/>
  <c r="U166" i="38"/>
  <c r="Q166" i="38"/>
  <c r="N166" i="38"/>
  <c r="O166" i="38"/>
  <c r="L166" i="38"/>
  <c r="I166" i="38"/>
  <c r="J166" i="38"/>
  <c r="G166" i="38"/>
  <c r="B166" i="38"/>
  <c r="AB165" i="38"/>
  <c r="X165" i="38"/>
  <c r="U165" i="38"/>
  <c r="Q165" i="38"/>
  <c r="O165" i="38"/>
  <c r="N165" i="38"/>
  <c r="M165" i="38"/>
  <c r="L165" i="38"/>
  <c r="I165" i="38"/>
  <c r="J165" i="38"/>
  <c r="G165" i="38"/>
  <c r="W158" i="38"/>
  <c r="W159" i="38"/>
  <c r="W160" i="38"/>
  <c r="W161" i="38"/>
  <c r="W162" i="38"/>
  <c r="W163" i="38"/>
  <c r="W164" i="38"/>
  <c r="S158" i="38"/>
  <c r="S159" i="38"/>
  <c r="S160" i="38"/>
  <c r="S161" i="38"/>
  <c r="S162" i="38"/>
  <c r="S163" i="38"/>
  <c r="S164" i="38"/>
  <c r="AA161" i="38"/>
  <c r="AA158" i="38"/>
  <c r="AA159" i="38"/>
  <c r="AA163" i="38"/>
  <c r="X164" i="38"/>
  <c r="U164" i="38"/>
  <c r="T164" i="38"/>
  <c r="Q164" i="38"/>
  <c r="L164" i="38"/>
  <c r="I164" i="38"/>
  <c r="J164" i="38"/>
  <c r="G164" i="38"/>
  <c r="D164" i="38"/>
  <c r="E164" i="38"/>
  <c r="B164" i="38"/>
  <c r="Z159" i="38"/>
  <c r="Z162" i="38"/>
  <c r="T158" i="38"/>
  <c r="T159" i="38"/>
  <c r="T160" i="38"/>
  <c r="T161" i="38"/>
  <c r="T162" i="38"/>
  <c r="T163" i="38"/>
  <c r="Z158" i="38"/>
  <c r="X163" i="38"/>
  <c r="U163" i="38"/>
  <c r="Q163" i="38"/>
  <c r="O163" i="38"/>
  <c r="N163" i="38"/>
  <c r="M163" i="38"/>
  <c r="L163" i="38"/>
  <c r="I163" i="38"/>
  <c r="J163" i="38"/>
  <c r="G163" i="38"/>
  <c r="D163" i="38"/>
  <c r="E163" i="38"/>
  <c r="B163" i="38"/>
  <c r="AB162" i="38"/>
  <c r="AA162" i="38"/>
  <c r="X162" i="38"/>
  <c r="U162" i="38"/>
  <c r="Q162" i="38"/>
  <c r="N162" i="38"/>
  <c r="O162" i="38"/>
  <c r="L162" i="38"/>
  <c r="I162" i="38"/>
  <c r="J162" i="38"/>
  <c r="G162" i="38"/>
  <c r="B162" i="38"/>
  <c r="AB161" i="38"/>
  <c r="X161" i="38"/>
  <c r="U161" i="38"/>
  <c r="Q161" i="38"/>
  <c r="N161" i="38"/>
  <c r="O161" i="38"/>
  <c r="L161" i="38"/>
  <c r="I161" i="38"/>
  <c r="J161" i="38"/>
  <c r="G161" i="38"/>
  <c r="B161" i="38"/>
  <c r="AB160" i="38"/>
  <c r="X160" i="38"/>
  <c r="U160" i="38"/>
  <c r="Q160" i="38"/>
  <c r="N160" i="38"/>
  <c r="O160" i="38"/>
  <c r="L160" i="38"/>
  <c r="I160" i="38"/>
  <c r="J160" i="38"/>
  <c r="G160" i="38"/>
  <c r="B160" i="38"/>
  <c r="AB159" i="38"/>
  <c r="X159" i="38"/>
  <c r="U159" i="38"/>
  <c r="Q159" i="38"/>
  <c r="N159" i="38"/>
  <c r="O159" i="38"/>
  <c r="L159" i="38"/>
  <c r="I159" i="38"/>
  <c r="J159" i="38"/>
  <c r="G159" i="38"/>
  <c r="B159" i="38"/>
  <c r="AB158" i="38"/>
  <c r="X158" i="38"/>
  <c r="U158" i="38"/>
  <c r="Q158" i="38"/>
  <c r="O158" i="38"/>
  <c r="N158" i="38"/>
  <c r="M158" i="38"/>
  <c r="L158" i="38"/>
  <c r="I158" i="38"/>
  <c r="J158" i="38"/>
  <c r="G158" i="38"/>
  <c r="W151" i="38"/>
  <c r="W152" i="38"/>
  <c r="W153" i="38"/>
  <c r="W154" i="38"/>
  <c r="W155" i="38"/>
  <c r="W156" i="38"/>
  <c r="W157" i="38"/>
  <c r="S151" i="38"/>
  <c r="S152" i="38"/>
  <c r="S153" i="38"/>
  <c r="S154" i="38"/>
  <c r="S155" i="38"/>
  <c r="S156" i="38"/>
  <c r="S157" i="38"/>
  <c r="AA154" i="38"/>
  <c r="AA151" i="38"/>
  <c r="AA152" i="38"/>
  <c r="AA156" i="38"/>
  <c r="X157" i="38"/>
  <c r="U157" i="38"/>
  <c r="T157" i="38"/>
  <c r="Q157" i="38"/>
  <c r="L157" i="38"/>
  <c r="I157" i="38"/>
  <c r="J157" i="38"/>
  <c r="G157" i="38"/>
  <c r="D157" i="38"/>
  <c r="E157" i="38"/>
  <c r="B157" i="38"/>
  <c r="Z152" i="38"/>
  <c r="Z155" i="38"/>
  <c r="T151" i="38"/>
  <c r="T152" i="38"/>
  <c r="T153" i="38"/>
  <c r="T154" i="38"/>
  <c r="T155" i="38"/>
  <c r="T156" i="38"/>
  <c r="Z151" i="38"/>
  <c r="X156" i="38"/>
  <c r="U156" i="38"/>
  <c r="Q156" i="38"/>
  <c r="O156" i="38"/>
  <c r="N156" i="38"/>
  <c r="M156" i="38"/>
  <c r="L156" i="38"/>
  <c r="I156" i="38"/>
  <c r="J156" i="38"/>
  <c r="G156" i="38"/>
  <c r="D156" i="38"/>
  <c r="E156" i="38"/>
  <c r="B156" i="38"/>
  <c r="AB155" i="38"/>
  <c r="AA155" i="38"/>
  <c r="X155" i="38"/>
  <c r="U155" i="38"/>
  <c r="Q155" i="38"/>
  <c r="N155" i="38"/>
  <c r="O155" i="38"/>
  <c r="L155" i="38"/>
  <c r="I155" i="38"/>
  <c r="J155" i="38"/>
  <c r="G155" i="38"/>
  <c r="B155" i="38"/>
  <c r="AB154" i="38"/>
  <c r="X154" i="38"/>
  <c r="U154" i="38"/>
  <c r="Q154" i="38"/>
  <c r="N154" i="38"/>
  <c r="O154" i="38"/>
  <c r="L154" i="38"/>
  <c r="I154" i="38"/>
  <c r="J154" i="38"/>
  <c r="G154" i="38"/>
  <c r="B154" i="38"/>
  <c r="AB153" i="38"/>
  <c r="X153" i="38"/>
  <c r="U153" i="38"/>
  <c r="Q153" i="38"/>
  <c r="N153" i="38"/>
  <c r="O153" i="38"/>
  <c r="L153" i="38"/>
  <c r="I153" i="38"/>
  <c r="J153" i="38"/>
  <c r="G153" i="38"/>
  <c r="B153" i="38"/>
  <c r="AB152" i="38"/>
  <c r="X152" i="38"/>
  <c r="U152" i="38"/>
  <c r="Q152" i="38"/>
  <c r="N152" i="38"/>
  <c r="O152" i="38"/>
  <c r="L152" i="38"/>
  <c r="I152" i="38"/>
  <c r="J152" i="38"/>
  <c r="G152" i="38"/>
  <c r="B152" i="38"/>
  <c r="AB151" i="38"/>
  <c r="X151" i="38"/>
  <c r="U151" i="38"/>
  <c r="Q151" i="38"/>
  <c r="O151" i="38"/>
  <c r="N151" i="38"/>
  <c r="M151" i="38"/>
  <c r="L151" i="38"/>
  <c r="I151" i="38"/>
  <c r="J151" i="38"/>
  <c r="G151" i="38"/>
  <c r="W144" i="38"/>
  <c r="W145" i="38"/>
  <c r="W146" i="38"/>
  <c r="W147" i="38"/>
  <c r="W148" i="38"/>
  <c r="W149" i="38"/>
  <c r="W150" i="38"/>
  <c r="S144" i="38"/>
  <c r="S145" i="38"/>
  <c r="S146" i="38"/>
  <c r="S147" i="38"/>
  <c r="S148" i="38"/>
  <c r="S149" i="38"/>
  <c r="S150" i="38"/>
  <c r="AA147" i="38"/>
  <c r="AA144" i="38"/>
  <c r="AA145" i="38"/>
  <c r="AA149" i="38"/>
  <c r="X150" i="38"/>
  <c r="U150" i="38"/>
  <c r="T150" i="38"/>
  <c r="Q150" i="38"/>
  <c r="L150" i="38"/>
  <c r="I150" i="38"/>
  <c r="J150" i="38"/>
  <c r="G150" i="38"/>
  <c r="D150" i="38"/>
  <c r="E150" i="38"/>
  <c r="B150" i="38"/>
  <c r="Z145" i="38"/>
  <c r="Z148" i="38"/>
  <c r="T144" i="38"/>
  <c r="T145" i="38"/>
  <c r="T146" i="38"/>
  <c r="T147" i="38"/>
  <c r="T148" i="38"/>
  <c r="T149" i="38"/>
  <c r="Z144" i="38"/>
  <c r="X149" i="38"/>
  <c r="U149" i="38"/>
  <c r="Q149" i="38"/>
  <c r="O149" i="38"/>
  <c r="N149" i="38"/>
  <c r="M149" i="38"/>
  <c r="L149" i="38"/>
  <c r="I149" i="38"/>
  <c r="J149" i="38"/>
  <c r="G149" i="38"/>
  <c r="D149" i="38"/>
  <c r="E149" i="38"/>
  <c r="B149" i="38"/>
  <c r="AB148" i="38"/>
  <c r="AA148" i="38"/>
  <c r="X148" i="38"/>
  <c r="U148" i="38"/>
  <c r="Q148" i="38"/>
  <c r="N148" i="38"/>
  <c r="O148" i="38"/>
  <c r="L148" i="38"/>
  <c r="I148" i="38"/>
  <c r="J148" i="38"/>
  <c r="G148" i="38"/>
  <c r="B148" i="38"/>
  <c r="AB147" i="38"/>
  <c r="X147" i="38"/>
  <c r="U147" i="38"/>
  <c r="Q147" i="38"/>
  <c r="N147" i="38"/>
  <c r="O147" i="38"/>
  <c r="L147" i="38"/>
  <c r="I147" i="38"/>
  <c r="J147" i="38"/>
  <c r="G147" i="38"/>
  <c r="B147" i="38"/>
  <c r="AB146" i="38"/>
  <c r="X146" i="38"/>
  <c r="U146" i="38"/>
  <c r="Q146" i="38"/>
  <c r="N146" i="38"/>
  <c r="O146" i="38"/>
  <c r="L146" i="38"/>
  <c r="I146" i="38"/>
  <c r="J146" i="38"/>
  <c r="G146" i="38"/>
  <c r="B146" i="38"/>
  <c r="AB145" i="38"/>
  <c r="X145" i="38"/>
  <c r="U145" i="38"/>
  <c r="Q145" i="38"/>
  <c r="N145" i="38"/>
  <c r="O145" i="38"/>
  <c r="L145" i="38"/>
  <c r="I145" i="38"/>
  <c r="J145" i="38"/>
  <c r="G145" i="38"/>
  <c r="B145" i="38"/>
  <c r="AB144" i="38"/>
  <c r="X144" i="38"/>
  <c r="U144" i="38"/>
  <c r="Q144" i="38"/>
  <c r="O144" i="38"/>
  <c r="N144" i="38"/>
  <c r="M144" i="38"/>
  <c r="L144" i="38"/>
  <c r="I144" i="38"/>
  <c r="J144" i="38"/>
  <c r="G144" i="38"/>
  <c r="W137" i="38"/>
  <c r="W138" i="38"/>
  <c r="W139" i="38"/>
  <c r="W140" i="38"/>
  <c r="W141" i="38"/>
  <c r="W142" i="38"/>
  <c r="W143" i="38"/>
  <c r="S137" i="38"/>
  <c r="S138" i="38"/>
  <c r="S139" i="38"/>
  <c r="S140" i="38"/>
  <c r="S141" i="38"/>
  <c r="S142" i="38"/>
  <c r="S143" i="38"/>
  <c r="AA140" i="38"/>
  <c r="AA137" i="38"/>
  <c r="AA138" i="38"/>
  <c r="AA142" i="38"/>
  <c r="X143" i="38"/>
  <c r="U143" i="38"/>
  <c r="T143" i="38"/>
  <c r="Q143" i="38"/>
  <c r="L143" i="38"/>
  <c r="I143" i="38"/>
  <c r="J143" i="38"/>
  <c r="G143" i="38"/>
  <c r="D143" i="38"/>
  <c r="E143" i="38"/>
  <c r="B143" i="38"/>
  <c r="Z138" i="38"/>
  <c r="Z141" i="38"/>
  <c r="T137" i="38"/>
  <c r="T138" i="38"/>
  <c r="T139" i="38"/>
  <c r="T140" i="38"/>
  <c r="T141" i="38"/>
  <c r="T142" i="38"/>
  <c r="Z137" i="38"/>
  <c r="X142" i="38"/>
  <c r="U142" i="38"/>
  <c r="Q142" i="38"/>
  <c r="O142" i="38"/>
  <c r="N142" i="38"/>
  <c r="M142" i="38"/>
  <c r="L142" i="38"/>
  <c r="I142" i="38"/>
  <c r="J142" i="38"/>
  <c r="G142" i="38"/>
  <c r="D142" i="38"/>
  <c r="E142" i="38"/>
  <c r="B142" i="38"/>
  <c r="AB141" i="38"/>
  <c r="AA141" i="38"/>
  <c r="X141" i="38"/>
  <c r="U141" i="38"/>
  <c r="Q141" i="38"/>
  <c r="N141" i="38"/>
  <c r="O141" i="38"/>
  <c r="L141" i="38"/>
  <c r="I141" i="38"/>
  <c r="J141" i="38"/>
  <c r="G141" i="38"/>
  <c r="B141" i="38"/>
  <c r="AB140" i="38"/>
  <c r="X140" i="38"/>
  <c r="U140" i="38"/>
  <c r="Q140" i="38"/>
  <c r="N140" i="38"/>
  <c r="O140" i="38"/>
  <c r="L140" i="38"/>
  <c r="I140" i="38"/>
  <c r="J140" i="38"/>
  <c r="G140" i="38"/>
  <c r="B140" i="38"/>
  <c r="AB139" i="38"/>
  <c r="X139" i="38"/>
  <c r="U139" i="38"/>
  <c r="Q139" i="38"/>
  <c r="N139" i="38"/>
  <c r="O139" i="38"/>
  <c r="L139" i="38"/>
  <c r="I139" i="38"/>
  <c r="J139" i="38"/>
  <c r="G139" i="38"/>
  <c r="B139" i="38"/>
  <c r="AB138" i="38"/>
  <c r="X138" i="38"/>
  <c r="U138" i="38"/>
  <c r="Q138" i="38"/>
  <c r="N138" i="38"/>
  <c r="O138" i="38"/>
  <c r="L138" i="38"/>
  <c r="I138" i="38"/>
  <c r="J138" i="38"/>
  <c r="G138" i="38"/>
  <c r="B138" i="38"/>
  <c r="AB137" i="38"/>
  <c r="X137" i="38"/>
  <c r="U137" i="38"/>
  <c r="Q137" i="38"/>
  <c r="O137" i="38"/>
  <c r="N137" i="38"/>
  <c r="M137" i="38"/>
  <c r="L137" i="38"/>
  <c r="I137" i="38"/>
  <c r="J137" i="38"/>
  <c r="G137" i="38"/>
  <c r="W130" i="38"/>
  <c r="W131" i="38"/>
  <c r="W132" i="38"/>
  <c r="W133" i="38"/>
  <c r="W134" i="38"/>
  <c r="W135" i="38"/>
  <c r="W136" i="38"/>
  <c r="S130" i="38"/>
  <c r="S131" i="38"/>
  <c r="S132" i="38"/>
  <c r="S133" i="38"/>
  <c r="S134" i="38"/>
  <c r="S135" i="38"/>
  <c r="S136" i="38"/>
  <c r="AA133" i="38"/>
  <c r="AA130" i="38"/>
  <c r="AA131" i="38"/>
  <c r="AA135" i="38"/>
  <c r="X136" i="38"/>
  <c r="U136" i="38"/>
  <c r="T136" i="38"/>
  <c r="Q136" i="38"/>
  <c r="L136" i="38"/>
  <c r="I136" i="38"/>
  <c r="J136" i="38"/>
  <c r="G136" i="38"/>
  <c r="D136" i="38"/>
  <c r="E136" i="38"/>
  <c r="B136" i="38"/>
  <c r="Z131" i="38"/>
  <c r="Z134" i="38"/>
  <c r="T130" i="38"/>
  <c r="T131" i="38"/>
  <c r="T132" i="38"/>
  <c r="T133" i="38"/>
  <c r="T134" i="38"/>
  <c r="T135" i="38"/>
  <c r="Z130" i="38"/>
  <c r="X135" i="38"/>
  <c r="U135" i="38"/>
  <c r="Q135" i="38"/>
  <c r="O135" i="38"/>
  <c r="N135" i="38"/>
  <c r="M135" i="38"/>
  <c r="L135" i="38"/>
  <c r="I135" i="38"/>
  <c r="J135" i="38"/>
  <c r="G135" i="38"/>
  <c r="D135" i="38"/>
  <c r="E135" i="38"/>
  <c r="B135" i="38"/>
  <c r="AB134" i="38"/>
  <c r="AA134" i="38"/>
  <c r="X134" i="38"/>
  <c r="U134" i="38"/>
  <c r="Q134" i="38"/>
  <c r="N134" i="38"/>
  <c r="O134" i="38"/>
  <c r="L134" i="38"/>
  <c r="I134" i="38"/>
  <c r="J134" i="38"/>
  <c r="G134" i="38"/>
  <c r="B134" i="38"/>
  <c r="AB133" i="38"/>
  <c r="X133" i="38"/>
  <c r="U133" i="38"/>
  <c r="Q133" i="38"/>
  <c r="N133" i="38"/>
  <c r="O133" i="38"/>
  <c r="L133" i="38"/>
  <c r="I133" i="38"/>
  <c r="J133" i="38"/>
  <c r="G133" i="38"/>
  <c r="B133" i="38"/>
  <c r="AB132" i="38"/>
  <c r="X132" i="38"/>
  <c r="U132" i="38"/>
  <c r="Q132" i="38"/>
  <c r="N132" i="38"/>
  <c r="O132" i="38"/>
  <c r="L132" i="38"/>
  <c r="I132" i="38"/>
  <c r="J132" i="38"/>
  <c r="G132" i="38"/>
  <c r="B132" i="38"/>
  <c r="AB131" i="38"/>
  <c r="X131" i="38"/>
  <c r="U131" i="38"/>
  <c r="Q131" i="38"/>
  <c r="N131" i="38"/>
  <c r="O131" i="38"/>
  <c r="L131" i="38"/>
  <c r="I131" i="38"/>
  <c r="J131" i="38"/>
  <c r="G131" i="38"/>
  <c r="B131" i="38"/>
  <c r="AB130" i="38"/>
  <c r="X130" i="38"/>
  <c r="U130" i="38"/>
  <c r="Q130" i="38"/>
  <c r="O130" i="38"/>
  <c r="N130" i="38"/>
  <c r="M130" i="38"/>
  <c r="L130" i="38"/>
  <c r="I130" i="38"/>
  <c r="J130" i="38"/>
  <c r="G130" i="38"/>
  <c r="W123" i="38"/>
  <c r="W124" i="38"/>
  <c r="W125" i="38"/>
  <c r="W126" i="38"/>
  <c r="W127" i="38"/>
  <c r="W128" i="38"/>
  <c r="W129" i="38"/>
  <c r="S123" i="38"/>
  <c r="S124" i="38"/>
  <c r="S125" i="38"/>
  <c r="S126" i="38"/>
  <c r="S127" i="38"/>
  <c r="S128" i="38"/>
  <c r="S129" i="38"/>
  <c r="AA126" i="38"/>
  <c r="AA123" i="38"/>
  <c r="AA124" i="38"/>
  <c r="AA128" i="38"/>
  <c r="X129" i="38"/>
  <c r="U129" i="38"/>
  <c r="T129" i="38"/>
  <c r="Q129" i="38"/>
  <c r="L129" i="38"/>
  <c r="I129" i="38"/>
  <c r="J129" i="38"/>
  <c r="G129" i="38"/>
  <c r="D129" i="38"/>
  <c r="E129" i="38"/>
  <c r="B129" i="38"/>
  <c r="Z124" i="38"/>
  <c r="Z127" i="38"/>
  <c r="T123" i="38"/>
  <c r="T124" i="38"/>
  <c r="T125" i="38"/>
  <c r="T126" i="38"/>
  <c r="T127" i="38"/>
  <c r="T128" i="38"/>
  <c r="Z123" i="38"/>
  <c r="X128" i="38"/>
  <c r="U128" i="38"/>
  <c r="Q128" i="38"/>
  <c r="O128" i="38"/>
  <c r="N128" i="38"/>
  <c r="M128" i="38"/>
  <c r="L128" i="38"/>
  <c r="I128" i="38"/>
  <c r="J128" i="38"/>
  <c r="G128" i="38"/>
  <c r="D128" i="38"/>
  <c r="E128" i="38"/>
  <c r="B128" i="38"/>
  <c r="AB127" i="38"/>
  <c r="AA127" i="38"/>
  <c r="X127" i="38"/>
  <c r="U127" i="38"/>
  <c r="Q127" i="38"/>
  <c r="N127" i="38"/>
  <c r="O127" i="38"/>
  <c r="L127" i="38"/>
  <c r="I127" i="38"/>
  <c r="J127" i="38"/>
  <c r="G127" i="38"/>
  <c r="B127" i="38"/>
  <c r="AB126" i="38"/>
  <c r="X126" i="38"/>
  <c r="U126" i="38"/>
  <c r="Q126" i="38"/>
  <c r="N126" i="38"/>
  <c r="O126" i="38"/>
  <c r="L126" i="38"/>
  <c r="I126" i="38"/>
  <c r="J126" i="38"/>
  <c r="G126" i="38"/>
  <c r="B126" i="38"/>
  <c r="AB125" i="38"/>
  <c r="X125" i="38"/>
  <c r="U125" i="38"/>
  <c r="Q125" i="38"/>
  <c r="N125" i="38"/>
  <c r="O125" i="38"/>
  <c r="L125" i="38"/>
  <c r="I125" i="38"/>
  <c r="J125" i="38"/>
  <c r="G125" i="38"/>
  <c r="B125" i="38"/>
  <c r="AB124" i="38"/>
  <c r="X124" i="38"/>
  <c r="U124" i="38"/>
  <c r="Q124" i="38"/>
  <c r="N124" i="38"/>
  <c r="O124" i="38"/>
  <c r="L124" i="38"/>
  <c r="I124" i="38"/>
  <c r="J124" i="38"/>
  <c r="G124" i="38"/>
  <c r="B124" i="38"/>
  <c r="AB123" i="38"/>
  <c r="X123" i="38"/>
  <c r="U123" i="38"/>
  <c r="Q123" i="38"/>
  <c r="O123" i="38"/>
  <c r="N123" i="38"/>
  <c r="M123" i="38"/>
  <c r="L123" i="38"/>
  <c r="I123" i="38"/>
  <c r="J123" i="38"/>
  <c r="G123" i="38"/>
  <c r="W116" i="38"/>
  <c r="W117" i="38"/>
  <c r="W118" i="38"/>
  <c r="W119" i="38"/>
  <c r="W120" i="38"/>
  <c r="W121" i="38"/>
  <c r="W122" i="38"/>
  <c r="S116" i="38"/>
  <c r="S117" i="38"/>
  <c r="S118" i="38"/>
  <c r="S119" i="38"/>
  <c r="S120" i="38"/>
  <c r="S121" i="38"/>
  <c r="S122" i="38"/>
  <c r="AA119" i="38"/>
  <c r="AA116" i="38"/>
  <c r="AA117" i="38"/>
  <c r="AA121" i="38"/>
  <c r="X122" i="38"/>
  <c r="U122" i="38"/>
  <c r="T122" i="38"/>
  <c r="Q122" i="38"/>
  <c r="L122" i="38"/>
  <c r="I122" i="38"/>
  <c r="J122" i="38"/>
  <c r="G122" i="38"/>
  <c r="D122" i="38"/>
  <c r="E122" i="38"/>
  <c r="B122" i="38"/>
  <c r="Z117" i="38"/>
  <c r="Z120" i="38"/>
  <c r="T116" i="38"/>
  <c r="T117" i="38"/>
  <c r="T118" i="38"/>
  <c r="T119" i="38"/>
  <c r="T120" i="38"/>
  <c r="T121" i="38"/>
  <c r="Z116" i="38"/>
  <c r="X121" i="38"/>
  <c r="U121" i="38"/>
  <c r="Q121" i="38"/>
  <c r="O121" i="38"/>
  <c r="N121" i="38"/>
  <c r="M121" i="38"/>
  <c r="L121" i="38"/>
  <c r="I121" i="38"/>
  <c r="J121" i="38"/>
  <c r="G121" i="38"/>
  <c r="D121" i="38"/>
  <c r="E121" i="38"/>
  <c r="B121" i="38"/>
  <c r="AB120" i="38"/>
  <c r="AA120" i="38"/>
  <c r="X120" i="38"/>
  <c r="U120" i="38"/>
  <c r="Q120" i="38"/>
  <c r="N120" i="38"/>
  <c r="O120" i="38"/>
  <c r="L120" i="38"/>
  <c r="I120" i="38"/>
  <c r="J120" i="38"/>
  <c r="G120" i="38"/>
  <c r="B120" i="38"/>
  <c r="AB119" i="38"/>
  <c r="X119" i="38"/>
  <c r="U119" i="38"/>
  <c r="Q119" i="38"/>
  <c r="N119" i="38"/>
  <c r="O119" i="38"/>
  <c r="L119" i="38"/>
  <c r="I119" i="38"/>
  <c r="J119" i="38"/>
  <c r="G119" i="38"/>
  <c r="B119" i="38"/>
  <c r="AB118" i="38"/>
  <c r="X118" i="38"/>
  <c r="U118" i="38"/>
  <c r="Q118" i="38"/>
  <c r="N118" i="38"/>
  <c r="O118" i="38"/>
  <c r="L118" i="38"/>
  <c r="I118" i="38"/>
  <c r="J118" i="38"/>
  <c r="G118" i="38"/>
  <c r="B118" i="38"/>
  <c r="AB117" i="38"/>
  <c r="X117" i="38"/>
  <c r="U117" i="38"/>
  <c r="Q117" i="38"/>
  <c r="N117" i="38"/>
  <c r="O117" i="38"/>
  <c r="L117" i="38"/>
  <c r="I117" i="38"/>
  <c r="J117" i="38"/>
  <c r="G117" i="38"/>
  <c r="B117" i="38"/>
  <c r="AB116" i="38"/>
  <c r="X116" i="38"/>
  <c r="U116" i="38"/>
  <c r="Q116" i="38"/>
  <c r="O116" i="38"/>
  <c r="N116" i="38"/>
  <c r="M116" i="38"/>
  <c r="L116" i="38"/>
  <c r="I116" i="38"/>
  <c r="J116" i="38"/>
  <c r="G116" i="38"/>
  <c r="W109" i="38"/>
  <c r="W110" i="38"/>
  <c r="W111" i="38"/>
  <c r="W112" i="38"/>
  <c r="W113" i="38"/>
  <c r="W114" i="38"/>
  <c r="W115" i="38"/>
  <c r="S109" i="38"/>
  <c r="S110" i="38"/>
  <c r="S111" i="38"/>
  <c r="S112" i="38"/>
  <c r="S113" i="38"/>
  <c r="S114" i="38"/>
  <c r="S115" i="38"/>
  <c r="AA112" i="38"/>
  <c r="AA109" i="38"/>
  <c r="AA110" i="38"/>
  <c r="AA114" i="38"/>
  <c r="X115" i="38"/>
  <c r="U115" i="38"/>
  <c r="T115" i="38"/>
  <c r="Q115" i="38"/>
  <c r="L115" i="38"/>
  <c r="I115" i="38"/>
  <c r="J115" i="38"/>
  <c r="G115" i="38"/>
  <c r="D115" i="38"/>
  <c r="E115" i="38"/>
  <c r="B115" i="38"/>
  <c r="Z110" i="38"/>
  <c r="Z113" i="38"/>
  <c r="T109" i="38"/>
  <c r="T110" i="38"/>
  <c r="T111" i="38"/>
  <c r="T112" i="38"/>
  <c r="T113" i="38"/>
  <c r="T114" i="38"/>
  <c r="Z109" i="38"/>
  <c r="X114" i="38"/>
  <c r="U114" i="38"/>
  <c r="Q114" i="38"/>
  <c r="O114" i="38"/>
  <c r="N114" i="38"/>
  <c r="M114" i="38"/>
  <c r="L114" i="38"/>
  <c r="I114" i="38"/>
  <c r="J114" i="38"/>
  <c r="G114" i="38"/>
  <c r="D114" i="38"/>
  <c r="E114" i="38"/>
  <c r="B114" i="38"/>
  <c r="AB113" i="38"/>
  <c r="AA113" i="38"/>
  <c r="X113" i="38"/>
  <c r="U113" i="38"/>
  <c r="Q113" i="38"/>
  <c r="N113" i="38"/>
  <c r="O113" i="38"/>
  <c r="L113" i="38"/>
  <c r="I113" i="38"/>
  <c r="J113" i="38"/>
  <c r="G113" i="38"/>
  <c r="B113" i="38"/>
  <c r="AB112" i="38"/>
  <c r="X112" i="38"/>
  <c r="U112" i="38"/>
  <c r="Q112" i="38"/>
  <c r="N112" i="38"/>
  <c r="O112" i="38"/>
  <c r="L112" i="38"/>
  <c r="I112" i="38"/>
  <c r="J112" i="38"/>
  <c r="G112" i="38"/>
  <c r="B112" i="38"/>
  <c r="AB111" i="38"/>
  <c r="X111" i="38"/>
  <c r="U111" i="38"/>
  <c r="Q111" i="38"/>
  <c r="N111" i="38"/>
  <c r="O111" i="38"/>
  <c r="L111" i="38"/>
  <c r="I111" i="38"/>
  <c r="J111" i="38"/>
  <c r="G111" i="38"/>
  <c r="B111" i="38"/>
  <c r="AB110" i="38"/>
  <c r="X110" i="38"/>
  <c r="U110" i="38"/>
  <c r="Q110" i="38"/>
  <c r="N110" i="38"/>
  <c r="O110" i="38"/>
  <c r="L110" i="38"/>
  <c r="I110" i="38"/>
  <c r="J110" i="38"/>
  <c r="G110" i="38"/>
  <c r="B110" i="38"/>
  <c r="AB109" i="38"/>
  <c r="X109" i="38"/>
  <c r="U109" i="38"/>
  <c r="Q109" i="38"/>
  <c r="O109" i="38"/>
  <c r="N109" i="38"/>
  <c r="M109" i="38"/>
  <c r="L109" i="38"/>
  <c r="I109" i="38"/>
  <c r="J109" i="38"/>
  <c r="G109" i="38"/>
  <c r="W102" i="38"/>
  <c r="W103" i="38"/>
  <c r="W104" i="38"/>
  <c r="W105" i="38"/>
  <c r="W106" i="38"/>
  <c r="W107" i="38"/>
  <c r="W108" i="38"/>
  <c r="S102" i="38"/>
  <c r="S103" i="38"/>
  <c r="S104" i="38"/>
  <c r="S105" i="38"/>
  <c r="S106" i="38"/>
  <c r="S107" i="38"/>
  <c r="S108" i="38"/>
  <c r="AA105" i="38"/>
  <c r="AA102" i="38"/>
  <c r="AA103" i="38"/>
  <c r="AA107" i="38"/>
  <c r="X108" i="38"/>
  <c r="U108" i="38"/>
  <c r="T108" i="38"/>
  <c r="Q108" i="38"/>
  <c r="L108" i="38"/>
  <c r="I108" i="38"/>
  <c r="J108" i="38"/>
  <c r="G108" i="38"/>
  <c r="D108" i="38"/>
  <c r="E108" i="38"/>
  <c r="B108" i="38"/>
  <c r="Z103" i="38"/>
  <c r="Z106" i="38"/>
  <c r="T102" i="38"/>
  <c r="T103" i="38"/>
  <c r="T104" i="38"/>
  <c r="T105" i="38"/>
  <c r="T106" i="38"/>
  <c r="T107" i="38"/>
  <c r="Z102" i="38"/>
  <c r="X107" i="38"/>
  <c r="U107" i="38"/>
  <c r="Q107" i="38"/>
  <c r="O107" i="38"/>
  <c r="N107" i="38"/>
  <c r="M107" i="38"/>
  <c r="L107" i="38"/>
  <c r="I107" i="38"/>
  <c r="J107" i="38"/>
  <c r="G107" i="38"/>
  <c r="D107" i="38"/>
  <c r="E107" i="38"/>
  <c r="B107" i="38"/>
  <c r="AB106" i="38"/>
  <c r="AA106" i="38"/>
  <c r="X106" i="38"/>
  <c r="U106" i="38"/>
  <c r="Q106" i="38"/>
  <c r="N106" i="38"/>
  <c r="O106" i="38"/>
  <c r="L106" i="38"/>
  <c r="I106" i="38"/>
  <c r="J106" i="38"/>
  <c r="G106" i="38"/>
  <c r="B106" i="38"/>
  <c r="AB105" i="38"/>
  <c r="X105" i="38"/>
  <c r="U105" i="38"/>
  <c r="Q105" i="38"/>
  <c r="N105" i="38"/>
  <c r="O105" i="38"/>
  <c r="L105" i="38"/>
  <c r="I105" i="38"/>
  <c r="J105" i="38"/>
  <c r="G105" i="38"/>
  <c r="B105" i="38"/>
  <c r="AB104" i="38"/>
  <c r="X104" i="38"/>
  <c r="U104" i="38"/>
  <c r="Q104" i="38"/>
  <c r="N104" i="38"/>
  <c r="O104" i="38"/>
  <c r="L104" i="38"/>
  <c r="I104" i="38"/>
  <c r="J104" i="38"/>
  <c r="G104" i="38"/>
  <c r="B104" i="38"/>
  <c r="AB103" i="38"/>
  <c r="X103" i="38"/>
  <c r="U103" i="38"/>
  <c r="Q103" i="38"/>
  <c r="N103" i="38"/>
  <c r="O103" i="38"/>
  <c r="L103" i="38"/>
  <c r="I103" i="38"/>
  <c r="J103" i="38"/>
  <c r="G103" i="38"/>
  <c r="B103" i="38"/>
  <c r="AB102" i="38"/>
  <c r="X102" i="38"/>
  <c r="U102" i="38"/>
  <c r="Q102" i="38"/>
  <c r="O102" i="38"/>
  <c r="N102" i="38"/>
  <c r="M102" i="38"/>
  <c r="L102" i="38"/>
  <c r="I102" i="38"/>
  <c r="J102" i="38"/>
  <c r="G102" i="38"/>
  <c r="W95" i="38"/>
  <c r="W96" i="38"/>
  <c r="W97" i="38"/>
  <c r="W98" i="38"/>
  <c r="W99" i="38"/>
  <c r="W100" i="38"/>
  <c r="W101" i="38"/>
  <c r="S95" i="38"/>
  <c r="S96" i="38"/>
  <c r="S97" i="38"/>
  <c r="S98" i="38"/>
  <c r="S99" i="38"/>
  <c r="S100" i="38"/>
  <c r="S101" i="38"/>
  <c r="AA98" i="38"/>
  <c r="AA95" i="38"/>
  <c r="AA96" i="38"/>
  <c r="AA100" i="38"/>
  <c r="X101" i="38"/>
  <c r="U101" i="38"/>
  <c r="T101" i="38"/>
  <c r="Q101" i="38"/>
  <c r="L101" i="38"/>
  <c r="I101" i="38"/>
  <c r="J101" i="38"/>
  <c r="G101" i="38"/>
  <c r="D101" i="38"/>
  <c r="E101" i="38"/>
  <c r="B101" i="38"/>
  <c r="Z96" i="38"/>
  <c r="Z99" i="38"/>
  <c r="T95" i="38"/>
  <c r="T96" i="38"/>
  <c r="T97" i="38"/>
  <c r="T98" i="38"/>
  <c r="T99" i="38"/>
  <c r="T100" i="38"/>
  <c r="Z95" i="38"/>
  <c r="X100" i="38"/>
  <c r="U100" i="38"/>
  <c r="Q100" i="38"/>
  <c r="O100" i="38"/>
  <c r="N100" i="38"/>
  <c r="M100" i="38"/>
  <c r="L100" i="38"/>
  <c r="I100" i="38"/>
  <c r="J100" i="38"/>
  <c r="G100" i="38"/>
  <c r="D100" i="38"/>
  <c r="E100" i="38"/>
  <c r="B100" i="38"/>
  <c r="AB99" i="38"/>
  <c r="AA99" i="38"/>
  <c r="X99" i="38"/>
  <c r="U99" i="38"/>
  <c r="Q99" i="38"/>
  <c r="N99" i="38"/>
  <c r="O99" i="38"/>
  <c r="L99" i="38"/>
  <c r="I99" i="38"/>
  <c r="J99" i="38"/>
  <c r="G99" i="38"/>
  <c r="B99" i="38"/>
  <c r="AB98" i="38"/>
  <c r="X98" i="38"/>
  <c r="U98" i="38"/>
  <c r="Q98" i="38"/>
  <c r="N98" i="38"/>
  <c r="O98" i="38"/>
  <c r="L98" i="38"/>
  <c r="I98" i="38"/>
  <c r="J98" i="38"/>
  <c r="G98" i="38"/>
  <c r="B98" i="38"/>
  <c r="AB97" i="38"/>
  <c r="X97" i="38"/>
  <c r="U97" i="38"/>
  <c r="Q97" i="38"/>
  <c r="N97" i="38"/>
  <c r="O97" i="38"/>
  <c r="L97" i="38"/>
  <c r="I97" i="38"/>
  <c r="J97" i="38"/>
  <c r="G97" i="38"/>
  <c r="B97" i="38"/>
  <c r="AB96" i="38"/>
  <c r="X96" i="38"/>
  <c r="U96" i="38"/>
  <c r="Q96" i="38"/>
  <c r="N96" i="38"/>
  <c r="O96" i="38"/>
  <c r="L96" i="38"/>
  <c r="I96" i="38"/>
  <c r="J96" i="38"/>
  <c r="G96" i="38"/>
  <c r="B96" i="38"/>
  <c r="AB95" i="38"/>
  <c r="X95" i="38"/>
  <c r="U95" i="38"/>
  <c r="Q95" i="38"/>
  <c r="O95" i="38"/>
  <c r="N95" i="38"/>
  <c r="M95" i="38"/>
  <c r="L95" i="38"/>
  <c r="I95" i="38"/>
  <c r="J95" i="38"/>
  <c r="G95" i="38"/>
  <c r="W88" i="38"/>
  <c r="W89" i="38"/>
  <c r="W90" i="38"/>
  <c r="W91" i="38"/>
  <c r="W92" i="38"/>
  <c r="W93" i="38"/>
  <c r="W94" i="38"/>
  <c r="S88" i="38"/>
  <c r="S89" i="38"/>
  <c r="S90" i="38"/>
  <c r="S91" i="38"/>
  <c r="S92" i="38"/>
  <c r="S93" i="38"/>
  <c r="S94" i="38"/>
  <c r="AA91" i="38"/>
  <c r="AA88" i="38"/>
  <c r="AA89" i="38"/>
  <c r="AA93" i="38"/>
  <c r="X94" i="38"/>
  <c r="U94" i="38"/>
  <c r="T94" i="38"/>
  <c r="Q94" i="38"/>
  <c r="L94" i="38"/>
  <c r="I94" i="38"/>
  <c r="J94" i="38"/>
  <c r="G94" i="38"/>
  <c r="D94" i="38"/>
  <c r="E94" i="38"/>
  <c r="B94" i="38"/>
  <c r="Z89" i="38"/>
  <c r="Z92" i="38"/>
  <c r="T88" i="38"/>
  <c r="T89" i="38"/>
  <c r="T90" i="38"/>
  <c r="T91" i="38"/>
  <c r="T92" i="38"/>
  <c r="T93" i="38"/>
  <c r="Z88" i="38"/>
  <c r="X93" i="38"/>
  <c r="U93" i="38"/>
  <c r="Q93" i="38"/>
  <c r="O93" i="38"/>
  <c r="N93" i="38"/>
  <c r="M93" i="38"/>
  <c r="L93" i="38"/>
  <c r="I93" i="38"/>
  <c r="J93" i="38"/>
  <c r="G93" i="38"/>
  <c r="D93" i="38"/>
  <c r="E93" i="38"/>
  <c r="B93" i="38"/>
  <c r="AB92" i="38"/>
  <c r="AA92" i="38"/>
  <c r="X92" i="38"/>
  <c r="U92" i="38"/>
  <c r="Q92" i="38"/>
  <c r="N92" i="38"/>
  <c r="O92" i="38"/>
  <c r="L92" i="38"/>
  <c r="I92" i="38"/>
  <c r="J92" i="38"/>
  <c r="G92" i="38"/>
  <c r="B92" i="38"/>
  <c r="AB91" i="38"/>
  <c r="X91" i="38"/>
  <c r="U91" i="38"/>
  <c r="Q91" i="38"/>
  <c r="N91" i="38"/>
  <c r="O91" i="38"/>
  <c r="L91" i="38"/>
  <c r="I91" i="38"/>
  <c r="J91" i="38"/>
  <c r="G91" i="38"/>
  <c r="B91" i="38"/>
  <c r="AB90" i="38"/>
  <c r="X90" i="38"/>
  <c r="U90" i="38"/>
  <c r="Q90" i="38"/>
  <c r="N90" i="38"/>
  <c r="O90" i="38"/>
  <c r="L90" i="38"/>
  <c r="I90" i="38"/>
  <c r="J90" i="38"/>
  <c r="G90" i="38"/>
  <c r="B90" i="38"/>
  <c r="AB89" i="38"/>
  <c r="X89" i="38"/>
  <c r="U89" i="38"/>
  <c r="Q89" i="38"/>
  <c r="N89" i="38"/>
  <c r="O89" i="38"/>
  <c r="L89" i="38"/>
  <c r="I89" i="38"/>
  <c r="J89" i="38"/>
  <c r="G89" i="38"/>
  <c r="B89" i="38"/>
  <c r="AB88" i="38"/>
  <c r="X88" i="38"/>
  <c r="U88" i="38"/>
  <c r="Q88" i="38"/>
  <c r="O88" i="38"/>
  <c r="N88" i="38"/>
  <c r="M88" i="38"/>
  <c r="L88" i="38"/>
  <c r="I88" i="38"/>
  <c r="J88" i="38"/>
  <c r="G88" i="38"/>
  <c r="W81" i="38"/>
  <c r="W82" i="38"/>
  <c r="W83" i="38"/>
  <c r="W84" i="38"/>
  <c r="W85" i="38"/>
  <c r="W86" i="38"/>
  <c r="W87" i="38"/>
  <c r="S81" i="38"/>
  <c r="S82" i="38"/>
  <c r="S83" i="38"/>
  <c r="S84" i="38"/>
  <c r="S85" i="38"/>
  <c r="S86" i="38"/>
  <c r="S87" i="38"/>
  <c r="AA84" i="38"/>
  <c r="AA81" i="38"/>
  <c r="AA82" i="38"/>
  <c r="AA86" i="38"/>
  <c r="X87" i="38"/>
  <c r="U87" i="38"/>
  <c r="T87" i="38"/>
  <c r="Q87" i="38"/>
  <c r="L87" i="38"/>
  <c r="I87" i="38"/>
  <c r="J87" i="38"/>
  <c r="G87" i="38"/>
  <c r="D87" i="38"/>
  <c r="E87" i="38"/>
  <c r="B87" i="38"/>
  <c r="Z82" i="38"/>
  <c r="Z85" i="38"/>
  <c r="T81" i="38"/>
  <c r="T82" i="38"/>
  <c r="T83" i="38"/>
  <c r="T84" i="38"/>
  <c r="T85" i="38"/>
  <c r="T86" i="38"/>
  <c r="Z81" i="38"/>
  <c r="X86" i="38"/>
  <c r="U86" i="38"/>
  <c r="Q86" i="38"/>
  <c r="O86" i="38"/>
  <c r="N86" i="38"/>
  <c r="M86" i="38"/>
  <c r="L86" i="38"/>
  <c r="I86" i="38"/>
  <c r="J86" i="38"/>
  <c r="G86" i="38"/>
  <c r="D86" i="38"/>
  <c r="E86" i="38"/>
  <c r="B86" i="38"/>
  <c r="AB85" i="38"/>
  <c r="AA85" i="38"/>
  <c r="X85" i="38"/>
  <c r="U85" i="38"/>
  <c r="Q85" i="38"/>
  <c r="N85" i="38"/>
  <c r="O85" i="38"/>
  <c r="L85" i="38"/>
  <c r="I85" i="38"/>
  <c r="J85" i="38"/>
  <c r="G85" i="38"/>
  <c r="B85" i="38"/>
  <c r="AB84" i="38"/>
  <c r="X84" i="38"/>
  <c r="U84" i="38"/>
  <c r="Q84" i="38"/>
  <c r="N84" i="38"/>
  <c r="O84" i="38"/>
  <c r="L84" i="38"/>
  <c r="I84" i="38"/>
  <c r="J84" i="38"/>
  <c r="G84" i="38"/>
  <c r="B84" i="38"/>
  <c r="AB83" i="38"/>
  <c r="X83" i="38"/>
  <c r="U83" i="38"/>
  <c r="Q83" i="38"/>
  <c r="N83" i="38"/>
  <c r="O83" i="38"/>
  <c r="L83" i="38"/>
  <c r="I83" i="38"/>
  <c r="J83" i="38"/>
  <c r="G83" i="38"/>
  <c r="B83" i="38"/>
  <c r="AB82" i="38"/>
  <c r="X82" i="38"/>
  <c r="U82" i="38"/>
  <c r="Q82" i="38"/>
  <c r="N82" i="38"/>
  <c r="O82" i="38"/>
  <c r="L82" i="38"/>
  <c r="I82" i="38"/>
  <c r="J82" i="38"/>
  <c r="G82" i="38"/>
  <c r="B82" i="38"/>
  <c r="AB81" i="38"/>
  <c r="X81" i="38"/>
  <c r="U81" i="38"/>
  <c r="Q81" i="38"/>
  <c r="O81" i="38"/>
  <c r="N81" i="38"/>
  <c r="M81" i="38"/>
  <c r="L81" i="38"/>
  <c r="I81" i="38"/>
  <c r="J81" i="38"/>
  <c r="G81" i="38"/>
  <c r="W74" i="38"/>
  <c r="W75" i="38"/>
  <c r="W76" i="38"/>
  <c r="W77" i="38"/>
  <c r="W78" i="38"/>
  <c r="W79" i="38"/>
  <c r="W80" i="38"/>
  <c r="S74" i="38"/>
  <c r="S75" i="38"/>
  <c r="S76" i="38"/>
  <c r="S77" i="38"/>
  <c r="S78" i="38"/>
  <c r="S79" i="38"/>
  <c r="S80" i="38"/>
  <c r="AA77" i="38"/>
  <c r="AA74" i="38"/>
  <c r="AA75" i="38"/>
  <c r="AA79" i="38"/>
  <c r="X80" i="38"/>
  <c r="U80" i="38"/>
  <c r="T80" i="38"/>
  <c r="Q80" i="38"/>
  <c r="L80" i="38"/>
  <c r="I80" i="38"/>
  <c r="J80" i="38"/>
  <c r="G80" i="38"/>
  <c r="D80" i="38"/>
  <c r="E80" i="38"/>
  <c r="B80" i="38"/>
  <c r="Z75" i="38"/>
  <c r="Z78" i="38"/>
  <c r="T74" i="38"/>
  <c r="T75" i="38"/>
  <c r="T76" i="38"/>
  <c r="T77" i="38"/>
  <c r="T78" i="38"/>
  <c r="T79" i="38"/>
  <c r="Z74" i="38"/>
  <c r="X79" i="38"/>
  <c r="U79" i="38"/>
  <c r="Q79" i="38"/>
  <c r="O79" i="38"/>
  <c r="N79" i="38"/>
  <c r="M79" i="38"/>
  <c r="L79" i="38"/>
  <c r="I79" i="38"/>
  <c r="J79" i="38"/>
  <c r="G79" i="38"/>
  <c r="D79" i="38"/>
  <c r="E79" i="38"/>
  <c r="B79" i="38"/>
  <c r="AB78" i="38"/>
  <c r="AA78" i="38"/>
  <c r="X78" i="38"/>
  <c r="U78" i="38"/>
  <c r="Q78" i="38"/>
  <c r="N78" i="38"/>
  <c r="O78" i="38"/>
  <c r="L78" i="38"/>
  <c r="I78" i="38"/>
  <c r="J78" i="38"/>
  <c r="G78" i="38"/>
  <c r="B78" i="38"/>
  <c r="AB77" i="38"/>
  <c r="X77" i="38"/>
  <c r="U77" i="38"/>
  <c r="Q77" i="38"/>
  <c r="N77" i="38"/>
  <c r="O77" i="38"/>
  <c r="L77" i="38"/>
  <c r="I77" i="38"/>
  <c r="J77" i="38"/>
  <c r="G77" i="38"/>
  <c r="B77" i="38"/>
  <c r="AB76" i="38"/>
  <c r="X76" i="38"/>
  <c r="U76" i="38"/>
  <c r="Q76" i="38"/>
  <c r="N76" i="38"/>
  <c r="O76" i="38"/>
  <c r="L76" i="38"/>
  <c r="I76" i="38"/>
  <c r="J76" i="38"/>
  <c r="G76" i="38"/>
  <c r="B76" i="38"/>
  <c r="AB75" i="38"/>
  <c r="X75" i="38"/>
  <c r="U75" i="38"/>
  <c r="Q75" i="38"/>
  <c r="N75" i="38"/>
  <c r="O75" i="38"/>
  <c r="L75" i="38"/>
  <c r="I75" i="38"/>
  <c r="J75" i="38"/>
  <c r="G75" i="38"/>
  <c r="B75" i="38"/>
  <c r="AB74" i="38"/>
  <c r="X74" i="38"/>
  <c r="U74" i="38"/>
  <c r="Q74" i="38"/>
  <c r="O74" i="38"/>
  <c r="N74" i="38"/>
  <c r="M74" i="38"/>
  <c r="L74" i="38"/>
  <c r="I74" i="38"/>
  <c r="J74" i="38"/>
  <c r="G74" i="38"/>
  <c r="W67" i="38"/>
  <c r="W68" i="38"/>
  <c r="W69" i="38"/>
  <c r="W70" i="38"/>
  <c r="W71" i="38"/>
  <c r="W72" i="38"/>
  <c r="W73" i="38"/>
  <c r="S67" i="38"/>
  <c r="S68" i="38"/>
  <c r="S69" i="38"/>
  <c r="S70" i="38"/>
  <c r="S71" i="38"/>
  <c r="S72" i="38"/>
  <c r="S73" i="38"/>
  <c r="AA70" i="38"/>
  <c r="AA67" i="38"/>
  <c r="AA68" i="38"/>
  <c r="AA72" i="38"/>
  <c r="X73" i="38"/>
  <c r="U73" i="38"/>
  <c r="T73" i="38"/>
  <c r="Q73" i="38"/>
  <c r="L73" i="38"/>
  <c r="I73" i="38"/>
  <c r="J73" i="38"/>
  <c r="G73" i="38"/>
  <c r="D73" i="38"/>
  <c r="E73" i="38"/>
  <c r="B73" i="38"/>
  <c r="Z68" i="38"/>
  <c r="Z71" i="38"/>
  <c r="T67" i="38"/>
  <c r="T68" i="38"/>
  <c r="T69" i="38"/>
  <c r="T70" i="38"/>
  <c r="T71" i="38"/>
  <c r="T72" i="38"/>
  <c r="Z67" i="38"/>
  <c r="X72" i="38"/>
  <c r="U72" i="38"/>
  <c r="Q72" i="38"/>
  <c r="O72" i="38"/>
  <c r="N72" i="38"/>
  <c r="M72" i="38"/>
  <c r="L72" i="38"/>
  <c r="I72" i="38"/>
  <c r="J72" i="38"/>
  <c r="G72" i="38"/>
  <c r="D72" i="38"/>
  <c r="E72" i="38"/>
  <c r="B72" i="38"/>
  <c r="AB71" i="38"/>
  <c r="AA71" i="38"/>
  <c r="X71" i="38"/>
  <c r="U71" i="38"/>
  <c r="Q71" i="38"/>
  <c r="N71" i="38"/>
  <c r="O71" i="38"/>
  <c r="L71" i="38"/>
  <c r="I71" i="38"/>
  <c r="J71" i="38"/>
  <c r="G71" i="38"/>
  <c r="B71" i="38"/>
  <c r="AB70" i="38"/>
  <c r="X70" i="38"/>
  <c r="U70" i="38"/>
  <c r="Q70" i="38"/>
  <c r="N70" i="38"/>
  <c r="O70" i="38"/>
  <c r="L70" i="38"/>
  <c r="I70" i="38"/>
  <c r="J70" i="38"/>
  <c r="G70" i="38"/>
  <c r="B70" i="38"/>
  <c r="AB69" i="38"/>
  <c r="X69" i="38"/>
  <c r="U69" i="38"/>
  <c r="Q69" i="38"/>
  <c r="N69" i="38"/>
  <c r="O69" i="38"/>
  <c r="L69" i="38"/>
  <c r="I69" i="38"/>
  <c r="J69" i="38"/>
  <c r="G69" i="38"/>
  <c r="B69" i="38"/>
  <c r="AB68" i="38"/>
  <c r="X68" i="38"/>
  <c r="U68" i="38"/>
  <c r="Q68" i="38"/>
  <c r="N68" i="38"/>
  <c r="O68" i="38"/>
  <c r="L68" i="38"/>
  <c r="I68" i="38"/>
  <c r="J68" i="38"/>
  <c r="G68" i="38"/>
  <c r="B68" i="38"/>
  <c r="AB67" i="38"/>
  <c r="X67" i="38"/>
  <c r="U67" i="38"/>
  <c r="Q67" i="38"/>
  <c r="O67" i="38"/>
  <c r="N67" i="38"/>
  <c r="M67" i="38"/>
  <c r="L67" i="38"/>
  <c r="I67" i="38"/>
  <c r="J67" i="38"/>
  <c r="G67" i="38"/>
  <c r="W60" i="38"/>
  <c r="W61" i="38"/>
  <c r="W62" i="38"/>
  <c r="W63" i="38"/>
  <c r="W64" i="38"/>
  <c r="W65" i="38"/>
  <c r="W66" i="38"/>
  <c r="S60" i="38"/>
  <c r="S61" i="38"/>
  <c r="S62" i="38"/>
  <c r="S63" i="38"/>
  <c r="S64" i="38"/>
  <c r="S65" i="38"/>
  <c r="S66" i="38"/>
  <c r="AA63" i="38"/>
  <c r="AA60" i="38"/>
  <c r="AA61" i="38"/>
  <c r="AA65" i="38"/>
  <c r="X66" i="38"/>
  <c r="U66" i="38"/>
  <c r="T66" i="38"/>
  <c r="Q66" i="38"/>
  <c r="L66" i="38"/>
  <c r="I66" i="38"/>
  <c r="J66" i="38"/>
  <c r="G66" i="38"/>
  <c r="D66" i="38"/>
  <c r="E66" i="38"/>
  <c r="B66" i="38"/>
  <c r="Z61" i="38"/>
  <c r="Z64" i="38"/>
  <c r="T60" i="38"/>
  <c r="T61" i="38"/>
  <c r="T62" i="38"/>
  <c r="T63" i="38"/>
  <c r="T64" i="38"/>
  <c r="T65" i="38"/>
  <c r="Z60" i="38"/>
  <c r="X65" i="38"/>
  <c r="U65" i="38"/>
  <c r="Q65" i="38"/>
  <c r="O65" i="38"/>
  <c r="N65" i="38"/>
  <c r="M65" i="38"/>
  <c r="L65" i="38"/>
  <c r="I65" i="38"/>
  <c r="J65" i="38"/>
  <c r="G65" i="38"/>
  <c r="D65" i="38"/>
  <c r="E65" i="38"/>
  <c r="B65" i="38"/>
  <c r="AB64" i="38"/>
  <c r="AA64" i="38"/>
  <c r="X64" i="38"/>
  <c r="U64" i="38"/>
  <c r="Q64" i="38"/>
  <c r="N64" i="38"/>
  <c r="O64" i="38"/>
  <c r="L64" i="38"/>
  <c r="I64" i="38"/>
  <c r="J64" i="38"/>
  <c r="G64" i="38"/>
  <c r="B64" i="38"/>
  <c r="AB63" i="38"/>
  <c r="X63" i="38"/>
  <c r="U63" i="38"/>
  <c r="Q63" i="38"/>
  <c r="N63" i="38"/>
  <c r="O63" i="38"/>
  <c r="L63" i="38"/>
  <c r="I63" i="38"/>
  <c r="J63" i="38"/>
  <c r="G63" i="38"/>
  <c r="B63" i="38"/>
  <c r="AB62" i="38"/>
  <c r="X62" i="38"/>
  <c r="U62" i="38"/>
  <c r="Q62" i="38"/>
  <c r="N62" i="38"/>
  <c r="O62" i="38"/>
  <c r="L62" i="38"/>
  <c r="I62" i="38"/>
  <c r="J62" i="38"/>
  <c r="G62" i="38"/>
  <c r="B62" i="38"/>
  <c r="AB61" i="38"/>
  <c r="X61" i="38"/>
  <c r="U61" i="38"/>
  <c r="Q61" i="38"/>
  <c r="N61" i="38"/>
  <c r="O61" i="38"/>
  <c r="L61" i="38"/>
  <c r="I61" i="38"/>
  <c r="J61" i="38"/>
  <c r="G61" i="38"/>
  <c r="B61" i="38"/>
  <c r="AB60" i="38"/>
  <c r="X60" i="38"/>
  <c r="U60" i="38"/>
  <c r="Q60" i="38"/>
  <c r="O60" i="38"/>
  <c r="N60" i="38"/>
  <c r="M60" i="38"/>
  <c r="L60" i="38"/>
  <c r="I60" i="38"/>
  <c r="J60" i="38"/>
  <c r="G60" i="38"/>
  <c r="W53" i="38"/>
  <c r="W54" i="38"/>
  <c r="W55" i="38"/>
  <c r="W56" i="38"/>
  <c r="W57" i="38"/>
  <c r="W58" i="38"/>
  <c r="W59" i="38"/>
  <c r="S53" i="38"/>
  <c r="S54" i="38"/>
  <c r="S55" i="38"/>
  <c r="S56" i="38"/>
  <c r="S57" i="38"/>
  <c r="S58" i="38"/>
  <c r="S59" i="38"/>
  <c r="AA56" i="38"/>
  <c r="AA53" i="38"/>
  <c r="AA54" i="38"/>
  <c r="AA58" i="38"/>
  <c r="X59" i="38"/>
  <c r="U59" i="38"/>
  <c r="T59" i="38"/>
  <c r="Q59" i="38"/>
  <c r="L59" i="38"/>
  <c r="I59" i="38"/>
  <c r="J59" i="38"/>
  <c r="G59" i="38"/>
  <c r="D59" i="38"/>
  <c r="E59" i="38"/>
  <c r="B59" i="38"/>
  <c r="Z54" i="38"/>
  <c r="Z57" i="38"/>
  <c r="T53" i="38"/>
  <c r="T54" i="38"/>
  <c r="T55" i="38"/>
  <c r="T56" i="38"/>
  <c r="T57" i="38"/>
  <c r="T58" i="38"/>
  <c r="Z53" i="38"/>
  <c r="X58" i="38"/>
  <c r="U58" i="38"/>
  <c r="Q58" i="38"/>
  <c r="O58" i="38"/>
  <c r="N58" i="38"/>
  <c r="M58" i="38"/>
  <c r="L58" i="38"/>
  <c r="I58" i="38"/>
  <c r="J58" i="38"/>
  <c r="G58" i="38"/>
  <c r="D58" i="38"/>
  <c r="E58" i="38"/>
  <c r="B58" i="38"/>
  <c r="AB57" i="38"/>
  <c r="AA57" i="38"/>
  <c r="X57" i="38"/>
  <c r="U57" i="38"/>
  <c r="Q57" i="38"/>
  <c r="N57" i="38"/>
  <c r="O57" i="38"/>
  <c r="L57" i="38"/>
  <c r="I57" i="38"/>
  <c r="J57" i="38"/>
  <c r="G57" i="38"/>
  <c r="B57" i="38"/>
  <c r="AB56" i="38"/>
  <c r="X56" i="38"/>
  <c r="U56" i="38"/>
  <c r="Q56" i="38"/>
  <c r="N56" i="38"/>
  <c r="O56" i="38"/>
  <c r="L56" i="38"/>
  <c r="I56" i="38"/>
  <c r="J56" i="38"/>
  <c r="G56" i="38"/>
  <c r="B56" i="38"/>
  <c r="AB55" i="38"/>
  <c r="X55" i="38"/>
  <c r="U55" i="38"/>
  <c r="Q55" i="38"/>
  <c r="N55" i="38"/>
  <c r="O55" i="38"/>
  <c r="L55" i="38"/>
  <c r="I55" i="38"/>
  <c r="J55" i="38"/>
  <c r="G55" i="38"/>
  <c r="B55" i="38"/>
  <c r="AB54" i="38"/>
  <c r="X54" i="38"/>
  <c r="U54" i="38"/>
  <c r="Q54" i="38"/>
  <c r="N54" i="38"/>
  <c r="O54" i="38"/>
  <c r="L54" i="38"/>
  <c r="I54" i="38"/>
  <c r="J54" i="38"/>
  <c r="G54" i="38"/>
  <c r="B54" i="38"/>
  <c r="AB53" i="38"/>
  <c r="X53" i="38"/>
  <c r="U53" i="38"/>
  <c r="Q53" i="38"/>
  <c r="O53" i="38"/>
  <c r="N53" i="38"/>
  <c r="M53" i="38"/>
  <c r="L53" i="38"/>
  <c r="I53" i="38"/>
  <c r="J53" i="38"/>
  <c r="G53" i="38"/>
  <c r="W46" i="38"/>
  <c r="W47" i="38"/>
  <c r="W48" i="38"/>
  <c r="W49" i="38"/>
  <c r="W50" i="38"/>
  <c r="W51" i="38"/>
  <c r="W52" i="38"/>
  <c r="S46" i="38"/>
  <c r="S47" i="38"/>
  <c r="S48" i="38"/>
  <c r="S49" i="38"/>
  <c r="S50" i="38"/>
  <c r="S51" i="38"/>
  <c r="S52" i="38"/>
  <c r="AA49" i="38"/>
  <c r="AA46" i="38"/>
  <c r="AA47" i="38"/>
  <c r="AA51" i="38"/>
  <c r="X52" i="38"/>
  <c r="U52" i="38"/>
  <c r="T52" i="38"/>
  <c r="Q52" i="38"/>
  <c r="L52" i="38"/>
  <c r="I52" i="38"/>
  <c r="J52" i="38"/>
  <c r="G52" i="38"/>
  <c r="D52" i="38"/>
  <c r="E52" i="38"/>
  <c r="B52" i="38"/>
  <c r="Z47" i="38"/>
  <c r="Z50" i="38"/>
  <c r="T46" i="38"/>
  <c r="T47" i="38"/>
  <c r="T48" i="38"/>
  <c r="T49" i="38"/>
  <c r="T50" i="38"/>
  <c r="T51" i="38"/>
  <c r="Z46" i="38"/>
  <c r="X51" i="38"/>
  <c r="U51" i="38"/>
  <c r="Q51" i="38"/>
  <c r="O51" i="38"/>
  <c r="N51" i="38"/>
  <c r="M51" i="38"/>
  <c r="L51" i="38"/>
  <c r="I51" i="38"/>
  <c r="J51" i="38"/>
  <c r="G51" i="38"/>
  <c r="D51" i="38"/>
  <c r="E51" i="38"/>
  <c r="B51" i="38"/>
  <c r="AB50" i="38"/>
  <c r="AA50" i="38"/>
  <c r="X50" i="38"/>
  <c r="U50" i="38"/>
  <c r="Q50" i="38"/>
  <c r="N50" i="38"/>
  <c r="O50" i="38"/>
  <c r="L50" i="38"/>
  <c r="I50" i="38"/>
  <c r="J50" i="38"/>
  <c r="G50" i="38"/>
  <c r="B50" i="38"/>
  <c r="AB49" i="38"/>
  <c r="X49" i="38"/>
  <c r="U49" i="38"/>
  <c r="Q49" i="38"/>
  <c r="N49" i="38"/>
  <c r="O49" i="38"/>
  <c r="L49" i="38"/>
  <c r="I49" i="38"/>
  <c r="J49" i="38"/>
  <c r="G49" i="38"/>
  <c r="B49" i="38"/>
  <c r="AB48" i="38"/>
  <c r="X48" i="38"/>
  <c r="U48" i="38"/>
  <c r="Q48" i="38"/>
  <c r="N48" i="38"/>
  <c r="O48" i="38"/>
  <c r="L48" i="38"/>
  <c r="I48" i="38"/>
  <c r="J48" i="38"/>
  <c r="G48" i="38"/>
  <c r="B48" i="38"/>
  <c r="AB47" i="38"/>
  <c r="X47" i="38"/>
  <c r="U47" i="38"/>
  <c r="Q47" i="38"/>
  <c r="N47" i="38"/>
  <c r="O47" i="38"/>
  <c r="L47" i="38"/>
  <c r="I47" i="38"/>
  <c r="J47" i="38"/>
  <c r="G47" i="38"/>
  <c r="B47" i="38"/>
  <c r="AB46" i="38"/>
  <c r="X46" i="38"/>
  <c r="U46" i="38"/>
  <c r="Q46" i="38"/>
  <c r="O46" i="38"/>
  <c r="N46" i="38"/>
  <c r="M46" i="38"/>
  <c r="L46" i="38"/>
  <c r="I46" i="38"/>
  <c r="J46" i="38"/>
  <c r="G46" i="38"/>
  <c r="W39" i="38"/>
  <c r="W40" i="38"/>
  <c r="W41" i="38"/>
  <c r="W42" i="38"/>
  <c r="W43" i="38"/>
  <c r="W44" i="38"/>
  <c r="W45" i="38"/>
  <c r="S39" i="38"/>
  <c r="S40" i="38"/>
  <c r="S41" i="38"/>
  <c r="S42" i="38"/>
  <c r="S43" i="38"/>
  <c r="S44" i="38"/>
  <c r="S45" i="38"/>
  <c r="AA42" i="38"/>
  <c r="AA39" i="38"/>
  <c r="AA40" i="38"/>
  <c r="AA44" i="38"/>
  <c r="X45" i="38"/>
  <c r="U45" i="38"/>
  <c r="T45" i="38"/>
  <c r="Q45" i="38"/>
  <c r="L45" i="38"/>
  <c r="I45" i="38"/>
  <c r="J45" i="38"/>
  <c r="G45" i="38"/>
  <c r="D45" i="38"/>
  <c r="E45" i="38"/>
  <c r="B45" i="38"/>
  <c r="Z40" i="38"/>
  <c r="Z43" i="38"/>
  <c r="T39" i="38"/>
  <c r="T40" i="38"/>
  <c r="T41" i="38"/>
  <c r="T42" i="38"/>
  <c r="T43" i="38"/>
  <c r="T44" i="38"/>
  <c r="Z39" i="38"/>
  <c r="X44" i="38"/>
  <c r="U44" i="38"/>
  <c r="Q44" i="38"/>
  <c r="O44" i="38"/>
  <c r="N44" i="38"/>
  <c r="M44" i="38"/>
  <c r="L44" i="38"/>
  <c r="I44" i="38"/>
  <c r="J44" i="38"/>
  <c r="G44" i="38"/>
  <c r="D44" i="38"/>
  <c r="E44" i="38"/>
  <c r="B44" i="38"/>
  <c r="AB43" i="38"/>
  <c r="AA43" i="38"/>
  <c r="X43" i="38"/>
  <c r="U43" i="38"/>
  <c r="Q43" i="38"/>
  <c r="N43" i="38"/>
  <c r="O43" i="38"/>
  <c r="L43" i="38"/>
  <c r="I43" i="38"/>
  <c r="J43" i="38"/>
  <c r="G43" i="38"/>
  <c r="B43" i="38"/>
  <c r="AB42" i="38"/>
  <c r="X42" i="38"/>
  <c r="U42" i="38"/>
  <c r="Q42" i="38"/>
  <c r="N42" i="38"/>
  <c r="O42" i="38"/>
  <c r="L42" i="38"/>
  <c r="I42" i="38"/>
  <c r="J42" i="38"/>
  <c r="G42" i="38"/>
  <c r="B42" i="38"/>
  <c r="AB41" i="38"/>
  <c r="X41" i="38"/>
  <c r="U41" i="38"/>
  <c r="Q41" i="38"/>
  <c r="N41" i="38"/>
  <c r="O41" i="38"/>
  <c r="L41" i="38"/>
  <c r="I41" i="38"/>
  <c r="J41" i="38"/>
  <c r="G41" i="38"/>
  <c r="B41" i="38"/>
  <c r="AB40" i="38"/>
  <c r="X40" i="38"/>
  <c r="U40" i="38"/>
  <c r="Q40" i="38"/>
  <c r="N40" i="38"/>
  <c r="O40" i="38"/>
  <c r="L40" i="38"/>
  <c r="I40" i="38"/>
  <c r="J40" i="38"/>
  <c r="G40" i="38"/>
  <c r="B40" i="38"/>
  <c r="AB39" i="38"/>
  <c r="X39" i="38"/>
  <c r="U39" i="38"/>
  <c r="Q39" i="38"/>
  <c r="O39" i="38"/>
  <c r="N39" i="38"/>
  <c r="M39" i="38"/>
  <c r="L39" i="38"/>
  <c r="I39" i="38"/>
  <c r="J39" i="38"/>
  <c r="G39" i="38"/>
  <c r="W32" i="38"/>
  <c r="W33" i="38"/>
  <c r="W34" i="38"/>
  <c r="W35" i="38"/>
  <c r="W36" i="38"/>
  <c r="W37" i="38"/>
  <c r="W38" i="38"/>
  <c r="S32" i="38"/>
  <c r="S33" i="38"/>
  <c r="S34" i="38"/>
  <c r="S35" i="38"/>
  <c r="S36" i="38"/>
  <c r="S37" i="38"/>
  <c r="S38" i="38"/>
  <c r="AA35" i="38"/>
  <c r="AA32" i="38"/>
  <c r="AA33" i="38"/>
  <c r="AA37" i="38"/>
  <c r="X38" i="38"/>
  <c r="U38" i="38"/>
  <c r="T38" i="38"/>
  <c r="Q38" i="38"/>
  <c r="L38" i="38"/>
  <c r="I38" i="38"/>
  <c r="J38" i="38"/>
  <c r="G38" i="38"/>
  <c r="D38" i="38"/>
  <c r="E38" i="38"/>
  <c r="B38" i="38"/>
  <c r="Z33" i="38"/>
  <c r="Z36" i="38"/>
  <c r="T32" i="38"/>
  <c r="T33" i="38"/>
  <c r="T34" i="38"/>
  <c r="T35" i="38"/>
  <c r="T36" i="38"/>
  <c r="T37" i="38"/>
  <c r="Z32" i="38"/>
  <c r="X37" i="38"/>
  <c r="U37" i="38"/>
  <c r="Q37" i="38"/>
  <c r="O37" i="38"/>
  <c r="N37" i="38"/>
  <c r="M37" i="38"/>
  <c r="L37" i="38"/>
  <c r="I37" i="38"/>
  <c r="J37" i="38"/>
  <c r="G37" i="38"/>
  <c r="D37" i="38"/>
  <c r="E37" i="38"/>
  <c r="B37" i="38"/>
  <c r="AB36" i="38"/>
  <c r="AA36" i="38"/>
  <c r="X36" i="38"/>
  <c r="U36" i="38"/>
  <c r="Q36" i="38"/>
  <c r="N36" i="38"/>
  <c r="O36" i="38"/>
  <c r="L36" i="38"/>
  <c r="I36" i="38"/>
  <c r="J36" i="38"/>
  <c r="G36" i="38"/>
  <c r="B36" i="38"/>
  <c r="AB35" i="38"/>
  <c r="X35" i="38"/>
  <c r="U35" i="38"/>
  <c r="Q35" i="38"/>
  <c r="N35" i="38"/>
  <c r="O35" i="38"/>
  <c r="L35" i="38"/>
  <c r="I35" i="38"/>
  <c r="J35" i="38"/>
  <c r="G35" i="38"/>
  <c r="B35" i="38"/>
  <c r="AB34" i="38"/>
  <c r="X34" i="38"/>
  <c r="U34" i="38"/>
  <c r="Q34" i="38"/>
  <c r="N34" i="38"/>
  <c r="O34" i="38"/>
  <c r="L34" i="38"/>
  <c r="I34" i="38"/>
  <c r="J34" i="38"/>
  <c r="G34" i="38"/>
  <c r="B34" i="38"/>
  <c r="AB33" i="38"/>
  <c r="X33" i="38"/>
  <c r="U33" i="38"/>
  <c r="Q33" i="38"/>
  <c r="N33" i="38"/>
  <c r="O33" i="38"/>
  <c r="L33" i="38"/>
  <c r="I33" i="38"/>
  <c r="J33" i="38"/>
  <c r="G33" i="38"/>
  <c r="B33" i="38"/>
  <c r="AB32" i="38"/>
  <c r="X32" i="38"/>
  <c r="U32" i="38"/>
  <c r="Q32" i="38"/>
  <c r="O32" i="38"/>
  <c r="N32" i="38"/>
  <c r="M32" i="38"/>
  <c r="L32" i="38"/>
  <c r="I32" i="38"/>
  <c r="J32" i="38"/>
  <c r="G32" i="38"/>
  <c r="W25" i="38"/>
  <c r="W26" i="38"/>
  <c r="W27" i="38"/>
  <c r="W28" i="38"/>
  <c r="W29" i="38"/>
  <c r="W30" i="38"/>
  <c r="W31" i="38"/>
  <c r="S25" i="38"/>
  <c r="S26" i="38"/>
  <c r="S27" i="38"/>
  <c r="S28" i="38"/>
  <c r="S29" i="38"/>
  <c r="S30" i="38"/>
  <c r="S31" i="38"/>
  <c r="AA28" i="38"/>
  <c r="AA25" i="38"/>
  <c r="AA26" i="38"/>
  <c r="AA30" i="38"/>
  <c r="X31" i="38"/>
  <c r="U31" i="38"/>
  <c r="T31" i="38"/>
  <c r="Q31" i="38"/>
  <c r="L31" i="38"/>
  <c r="I31" i="38"/>
  <c r="J31" i="38"/>
  <c r="G31" i="38"/>
  <c r="D31" i="38"/>
  <c r="E31" i="38"/>
  <c r="B31" i="38"/>
  <c r="Z26" i="38"/>
  <c r="Z29" i="38"/>
  <c r="T25" i="38"/>
  <c r="T26" i="38"/>
  <c r="T27" i="38"/>
  <c r="T28" i="38"/>
  <c r="T29" i="38"/>
  <c r="T30" i="38"/>
  <c r="Z25" i="38"/>
  <c r="X30" i="38"/>
  <c r="U30" i="38"/>
  <c r="Q30" i="38"/>
  <c r="O30" i="38"/>
  <c r="N30" i="38"/>
  <c r="M30" i="38"/>
  <c r="L30" i="38"/>
  <c r="I30" i="38"/>
  <c r="J30" i="38"/>
  <c r="G30" i="38"/>
  <c r="D30" i="38"/>
  <c r="E30" i="38"/>
  <c r="B30" i="38"/>
  <c r="AB29" i="38"/>
  <c r="AA29" i="38"/>
  <c r="X29" i="38"/>
  <c r="U29" i="38"/>
  <c r="Q29" i="38"/>
  <c r="N29" i="38"/>
  <c r="O29" i="38"/>
  <c r="L29" i="38"/>
  <c r="I29" i="38"/>
  <c r="J29" i="38"/>
  <c r="G29" i="38"/>
  <c r="B29" i="38"/>
  <c r="AB28" i="38"/>
  <c r="X28" i="38"/>
  <c r="U28" i="38"/>
  <c r="Q28" i="38"/>
  <c r="N28" i="38"/>
  <c r="O28" i="38"/>
  <c r="L28" i="38"/>
  <c r="I28" i="38"/>
  <c r="J28" i="38"/>
  <c r="G28" i="38"/>
  <c r="B28" i="38"/>
  <c r="AB27" i="38"/>
  <c r="X27" i="38"/>
  <c r="U27" i="38"/>
  <c r="Q27" i="38"/>
  <c r="N27" i="38"/>
  <c r="O27" i="38"/>
  <c r="L27" i="38"/>
  <c r="I27" i="38"/>
  <c r="J27" i="38"/>
  <c r="G27" i="38"/>
  <c r="B27" i="38"/>
  <c r="AB26" i="38"/>
  <c r="X26" i="38"/>
  <c r="U26" i="38"/>
  <c r="Q26" i="38"/>
  <c r="N26" i="38"/>
  <c r="O26" i="38"/>
  <c r="L26" i="38"/>
  <c r="I26" i="38"/>
  <c r="J26" i="38"/>
  <c r="G26" i="38"/>
  <c r="B26" i="38"/>
  <c r="AB25" i="38"/>
  <c r="X25" i="38"/>
  <c r="U25" i="38"/>
  <c r="Q25" i="38"/>
  <c r="O25" i="38"/>
  <c r="N25" i="38"/>
  <c r="M25" i="38"/>
  <c r="L25" i="38"/>
  <c r="I25" i="38"/>
  <c r="J25" i="38"/>
  <c r="G25" i="38"/>
  <c r="W18" i="38"/>
  <c r="W19" i="38"/>
  <c r="W20" i="38"/>
  <c r="W21" i="38"/>
  <c r="W22" i="38"/>
  <c r="W23" i="38"/>
  <c r="W24" i="38"/>
  <c r="S18" i="38"/>
  <c r="S19" i="38"/>
  <c r="S20" i="38"/>
  <c r="S21" i="38"/>
  <c r="S22" i="38"/>
  <c r="S23" i="38"/>
  <c r="S24" i="38"/>
  <c r="AA21" i="38"/>
  <c r="AA18" i="38"/>
  <c r="AA19" i="38"/>
  <c r="AA23" i="38"/>
  <c r="X24" i="38"/>
  <c r="U24" i="38"/>
  <c r="T24" i="38"/>
  <c r="Q24" i="38"/>
  <c r="L24" i="38"/>
  <c r="I24" i="38"/>
  <c r="J24" i="38"/>
  <c r="G24" i="38"/>
  <c r="D24" i="38"/>
  <c r="E24" i="38"/>
  <c r="B24" i="38"/>
  <c r="Z19" i="38"/>
  <c r="Z22" i="38"/>
  <c r="T18" i="38"/>
  <c r="T19" i="38"/>
  <c r="T20" i="38"/>
  <c r="T21" i="38"/>
  <c r="T22" i="38"/>
  <c r="T23" i="38"/>
  <c r="Z18" i="38"/>
  <c r="X23" i="38"/>
  <c r="U23" i="38"/>
  <c r="Q23" i="38"/>
  <c r="O23" i="38"/>
  <c r="N23" i="38"/>
  <c r="M23" i="38"/>
  <c r="L23" i="38"/>
  <c r="I23" i="38"/>
  <c r="J23" i="38"/>
  <c r="G23" i="38"/>
  <c r="D23" i="38"/>
  <c r="E23" i="38"/>
  <c r="B23" i="38"/>
  <c r="AB22" i="38"/>
  <c r="AA22" i="38"/>
  <c r="X22" i="38"/>
  <c r="U22" i="38"/>
  <c r="Q22" i="38"/>
  <c r="N22" i="38"/>
  <c r="O22" i="38"/>
  <c r="L22" i="38"/>
  <c r="I22" i="38"/>
  <c r="J22" i="38"/>
  <c r="G22" i="38"/>
  <c r="B22" i="38"/>
  <c r="AB21" i="38"/>
  <c r="X21" i="38"/>
  <c r="U21" i="38"/>
  <c r="Q21" i="38"/>
  <c r="N21" i="38"/>
  <c r="O21" i="38"/>
  <c r="L21" i="38"/>
  <c r="I21" i="38"/>
  <c r="J21" i="38"/>
  <c r="G21" i="38"/>
  <c r="B21" i="38"/>
  <c r="AB20" i="38"/>
  <c r="X20" i="38"/>
  <c r="U20" i="38"/>
  <c r="Q20" i="38"/>
  <c r="N20" i="38"/>
  <c r="O20" i="38"/>
  <c r="L20" i="38"/>
  <c r="I20" i="38"/>
  <c r="J20" i="38"/>
  <c r="G20" i="38"/>
  <c r="B20" i="38"/>
  <c r="AB19" i="38"/>
  <c r="X19" i="38"/>
  <c r="U19" i="38"/>
  <c r="Q19" i="38"/>
  <c r="N19" i="38"/>
  <c r="O19" i="38"/>
  <c r="L19" i="38"/>
  <c r="I19" i="38"/>
  <c r="J19" i="38"/>
  <c r="G19" i="38"/>
  <c r="B19" i="38"/>
  <c r="AB18" i="38"/>
  <c r="X18" i="38"/>
  <c r="U18" i="38"/>
  <c r="Q18" i="38"/>
  <c r="O18" i="38"/>
  <c r="N18" i="38"/>
  <c r="M18" i="38"/>
  <c r="L18" i="38"/>
  <c r="I18" i="38"/>
  <c r="J18" i="38"/>
  <c r="G18" i="38"/>
  <c r="W11" i="38"/>
  <c r="W12" i="38"/>
  <c r="W13" i="38"/>
  <c r="W14" i="38"/>
  <c r="W15" i="38"/>
  <c r="W16" i="38"/>
  <c r="W17" i="38"/>
  <c r="S11" i="38"/>
  <c r="S12" i="38"/>
  <c r="S13" i="38"/>
  <c r="S14" i="38"/>
  <c r="S15" i="38"/>
  <c r="S16" i="38"/>
  <c r="S17" i="38"/>
  <c r="AA14" i="38"/>
  <c r="AA11" i="38"/>
  <c r="AA12" i="38"/>
  <c r="AA16" i="38"/>
  <c r="X17" i="38"/>
  <c r="U17" i="38"/>
  <c r="T17" i="38"/>
  <c r="Q17" i="38"/>
  <c r="L17" i="38"/>
  <c r="I17" i="38"/>
  <c r="J17" i="38"/>
  <c r="G17" i="38"/>
  <c r="D17" i="38"/>
  <c r="E17" i="38"/>
  <c r="B17" i="38"/>
  <c r="Z12" i="38"/>
  <c r="Z15" i="38"/>
  <c r="T11" i="38"/>
  <c r="T12" i="38"/>
  <c r="T13" i="38"/>
  <c r="T14" i="38"/>
  <c r="T15" i="38"/>
  <c r="T16" i="38"/>
  <c r="Z11" i="38"/>
  <c r="X16" i="38"/>
  <c r="U16" i="38"/>
  <c r="Q16" i="38"/>
  <c r="O16" i="38"/>
  <c r="N16" i="38"/>
  <c r="M16" i="38"/>
  <c r="L16" i="38"/>
  <c r="I16" i="38"/>
  <c r="J16" i="38"/>
  <c r="G16" i="38"/>
  <c r="D16" i="38"/>
  <c r="E16" i="38"/>
  <c r="B16" i="38"/>
  <c r="AB15" i="38"/>
  <c r="AA15" i="38"/>
  <c r="X15" i="38"/>
  <c r="U15" i="38"/>
  <c r="Q15" i="38"/>
  <c r="N15" i="38"/>
  <c r="O15" i="38"/>
  <c r="L15" i="38"/>
  <c r="I15" i="38"/>
  <c r="J15" i="38"/>
  <c r="G15" i="38"/>
  <c r="C15" i="38"/>
  <c r="C22" i="38"/>
  <c r="B15" i="38"/>
  <c r="AB14" i="38"/>
  <c r="Z14" i="38"/>
  <c r="X14" i="38"/>
  <c r="U14" i="38"/>
  <c r="Q14" i="38"/>
  <c r="N14" i="38"/>
  <c r="O14" i="38"/>
  <c r="L14" i="38"/>
  <c r="I14" i="38"/>
  <c r="J14" i="38"/>
  <c r="G14" i="38"/>
  <c r="B14" i="38"/>
  <c r="AB13" i="38"/>
  <c r="X13" i="38"/>
  <c r="U13" i="38"/>
  <c r="Q13" i="38"/>
  <c r="N13" i="38"/>
  <c r="O13" i="38"/>
  <c r="L13" i="38"/>
  <c r="I13" i="38"/>
  <c r="J13" i="38"/>
  <c r="G13" i="38"/>
  <c r="C13" i="38"/>
  <c r="C20" i="38"/>
  <c r="M4" i="9"/>
  <c r="M5" i="9"/>
  <c r="M6" i="9"/>
  <c r="M7" i="9"/>
  <c r="M8" i="9"/>
  <c r="M9" i="9"/>
  <c r="M10" i="9"/>
  <c r="M11" i="9"/>
  <c r="M12" i="9"/>
  <c r="M13" i="9"/>
  <c r="M14" i="9"/>
  <c r="M15" i="9"/>
  <c r="M16" i="9"/>
  <c r="M17" i="9"/>
  <c r="M18" i="9"/>
  <c r="J4" i="9"/>
  <c r="J5" i="9"/>
  <c r="J6" i="9"/>
  <c r="J7" i="9"/>
  <c r="J8" i="9"/>
  <c r="J9" i="9"/>
  <c r="J10" i="9"/>
  <c r="J11" i="9"/>
  <c r="J12" i="9"/>
  <c r="J13" i="9"/>
  <c r="J14" i="9"/>
  <c r="J15" i="9"/>
  <c r="J16" i="9"/>
  <c r="J17" i="9"/>
  <c r="J18" i="9"/>
  <c r="R18" i="9"/>
  <c r="M19" i="9"/>
  <c r="J19" i="9"/>
  <c r="R19" i="9"/>
  <c r="M20" i="9"/>
  <c r="J20" i="9"/>
  <c r="R20" i="9"/>
  <c r="M21" i="9"/>
  <c r="J21" i="9"/>
  <c r="R21" i="9"/>
  <c r="M22" i="9"/>
  <c r="J22" i="9"/>
  <c r="R22" i="9"/>
  <c r="M23" i="9"/>
  <c r="J23" i="9"/>
  <c r="R23" i="9"/>
  <c r="M24" i="9"/>
  <c r="J24" i="9"/>
  <c r="R24" i="9"/>
  <c r="D20" i="38"/>
  <c r="E20" i="38"/>
  <c r="B13" i="38"/>
  <c r="AB12" i="38"/>
  <c r="X12" i="38"/>
  <c r="U12" i="38"/>
  <c r="Q12" i="38"/>
  <c r="N12" i="38"/>
  <c r="O12" i="38"/>
  <c r="L12" i="38"/>
  <c r="I12" i="38"/>
  <c r="J12" i="38"/>
  <c r="G12" i="38"/>
  <c r="B12" i="38"/>
  <c r="AB11" i="38"/>
  <c r="X11" i="38"/>
  <c r="U11" i="38"/>
  <c r="Q11" i="38"/>
  <c r="O11" i="38"/>
  <c r="N11" i="38"/>
  <c r="M11" i="38"/>
  <c r="L11" i="38"/>
  <c r="I11" i="38"/>
  <c r="J11" i="38"/>
  <c r="G11" i="38"/>
  <c r="W4" i="38"/>
  <c r="W5" i="38"/>
  <c r="W6" i="38"/>
  <c r="W7" i="38"/>
  <c r="W8" i="38"/>
  <c r="W9" i="38"/>
  <c r="W10" i="38"/>
  <c r="S4" i="38"/>
  <c r="S5" i="38"/>
  <c r="S6" i="38"/>
  <c r="S7" i="38"/>
  <c r="S8" i="38"/>
  <c r="S9" i="38"/>
  <c r="S10" i="38"/>
  <c r="AA7" i="38"/>
  <c r="AA4" i="38"/>
  <c r="AA5" i="38"/>
  <c r="AA9" i="38"/>
  <c r="X10" i="38"/>
  <c r="U10" i="38"/>
  <c r="T10" i="38"/>
  <c r="I10" i="38"/>
  <c r="J10" i="38"/>
  <c r="G10" i="38"/>
  <c r="D10" i="38"/>
  <c r="E10" i="38"/>
  <c r="B10" i="38"/>
  <c r="Z5" i="38"/>
  <c r="Z8" i="38"/>
  <c r="T4" i="38"/>
  <c r="T5" i="38"/>
  <c r="T6" i="38"/>
  <c r="T7" i="38"/>
  <c r="T8" i="38"/>
  <c r="T9" i="38"/>
  <c r="Z4" i="38"/>
  <c r="X9" i="38"/>
  <c r="U9" i="38"/>
  <c r="O9" i="38"/>
  <c r="N9" i="38"/>
  <c r="L9" i="38"/>
  <c r="I9" i="38"/>
  <c r="J9" i="38"/>
  <c r="G9" i="38"/>
  <c r="D9" i="38"/>
  <c r="E9" i="38"/>
  <c r="B9" i="38"/>
  <c r="AB8" i="38"/>
  <c r="AA8" i="38"/>
  <c r="X8" i="38"/>
  <c r="U8" i="38"/>
  <c r="N8" i="38"/>
  <c r="O8" i="38"/>
  <c r="I8" i="38"/>
  <c r="J8" i="38"/>
  <c r="G8" i="38"/>
  <c r="D8" i="38"/>
  <c r="E8" i="38"/>
  <c r="B8" i="38"/>
  <c r="AB7" i="38"/>
  <c r="X7" i="38"/>
  <c r="U7" i="38"/>
  <c r="N7" i="38"/>
  <c r="O7" i="38"/>
  <c r="I7" i="38"/>
  <c r="J7" i="38"/>
  <c r="G7" i="38"/>
  <c r="B7" i="38"/>
  <c r="AB6" i="38"/>
  <c r="X6" i="38"/>
  <c r="U6" i="38"/>
  <c r="N6" i="38"/>
  <c r="O6" i="38"/>
  <c r="L6" i="38"/>
  <c r="I6" i="38"/>
  <c r="J6" i="38"/>
  <c r="G6" i="38"/>
  <c r="R4" i="9"/>
  <c r="R5" i="9"/>
  <c r="R6" i="9"/>
  <c r="R7" i="9"/>
  <c r="R8" i="9"/>
  <c r="R9" i="9"/>
  <c r="R10" i="9"/>
  <c r="D6" i="38"/>
  <c r="E6" i="38"/>
  <c r="B6" i="38"/>
  <c r="AB5" i="38"/>
  <c r="X5" i="38"/>
  <c r="U5" i="38"/>
  <c r="N5" i="38"/>
  <c r="O5" i="38"/>
  <c r="L5" i="38"/>
  <c r="I5" i="38"/>
  <c r="J5" i="38"/>
  <c r="G5" i="38"/>
  <c r="B5" i="38"/>
  <c r="AB4" i="38"/>
  <c r="X4" i="38"/>
  <c r="U4" i="38"/>
  <c r="Q4" i="38"/>
  <c r="O4" i="38"/>
  <c r="N4" i="38"/>
  <c r="L4" i="38"/>
  <c r="I4" i="38"/>
  <c r="J4" i="38"/>
  <c r="G4" i="38"/>
  <c r="AB3" i="38"/>
  <c r="AA3" i="38"/>
  <c r="Z3" i="38"/>
  <c r="Y3" i="38"/>
  <c r="X3" i="38"/>
  <c r="W3" i="38"/>
  <c r="V3" i="38"/>
  <c r="U3" i="38"/>
  <c r="P3" i="38"/>
  <c r="O3" i="38"/>
  <c r="N3" i="38"/>
  <c r="M3" i="38"/>
  <c r="L3" i="38"/>
  <c r="K3" i="38"/>
  <c r="J3" i="38"/>
  <c r="I3" i="38"/>
  <c r="H3" i="38"/>
  <c r="G3" i="38"/>
  <c r="J4" i="42"/>
  <c r="I4" i="42"/>
  <c r="H4" i="42"/>
  <c r="G4" i="42"/>
  <c r="BM5" i="26"/>
  <c r="BO5" i="26"/>
  <c r="V5" i="12"/>
  <c r="F4" i="42"/>
  <c r="AF108" i="12"/>
  <c r="AF107" i="12"/>
  <c r="AF106" i="12"/>
  <c r="AF105" i="12"/>
  <c r="AF104" i="12"/>
  <c r="AF103" i="12"/>
  <c r="AF102" i="12"/>
  <c r="AF101" i="12"/>
  <c r="AF100" i="12"/>
  <c r="AF99" i="12"/>
  <c r="AF98" i="12"/>
  <c r="AF97" i="12"/>
  <c r="AF96" i="12"/>
  <c r="AF95" i="12"/>
  <c r="AF94" i="12"/>
  <c r="AF93" i="12"/>
  <c r="AF92" i="12"/>
  <c r="AF91" i="12"/>
  <c r="AF90" i="12"/>
  <c r="AF89" i="12"/>
  <c r="AF88" i="12"/>
  <c r="AF87" i="12"/>
  <c r="AF86" i="12"/>
  <c r="AF85" i="12"/>
  <c r="AF84" i="12"/>
  <c r="AF83" i="12"/>
  <c r="AF82" i="12"/>
  <c r="AF81" i="12"/>
  <c r="AF80" i="12"/>
  <c r="AF79" i="12"/>
  <c r="AF78" i="12"/>
  <c r="AF77" i="12"/>
  <c r="AF76" i="12"/>
  <c r="AF75" i="12"/>
  <c r="AF74" i="12"/>
  <c r="AF73" i="12"/>
  <c r="AF72" i="12"/>
  <c r="AF71" i="12"/>
  <c r="AF70" i="12"/>
  <c r="AF69" i="12"/>
  <c r="AF68" i="12"/>
  <c r="AF67" i="12"/>
  <c r="AF66" i="12"/>
  <c r="AF65" i="12"/>
  <c r="AF64" i="12"/>
  <c r="AF63" i="12"/>
  <c r="AF62" i="12"/>
  <c r="AF61" i="12"/>
  <c r="AF60" i="12"/>
  <c r="AF59" i="12"/>
  <c r="AF58" i="12"/>
  <c r="AF57" i="12"/>
  <c r="AF56" i="12"/>
  <c r="AF55" i="12"/>
  <c r="AF54" i="12"/>
  <c r="AF53" i="12"/>
  <c r="AF52" i="12"/>
  <c r="AF51" i="12"/>
  <c r="AF50" i="12"/>
  <c r="AF49" i="12"/>
  <c r="AF48" i="12"/>
  <c r="AF47" i="12"/>
  <c r="AF46" i="12"/>
  <c r="AF45" i="12"/>
  <c r="AF44" i="12"/>
  <c r="AF43" i="12"/>
  <c r="AF42" i="12"/>
  <c r="AF41" i="12"/>
  <c r="AF40" i="12"/>
  <c r="AF39" i="12"/>
  <c r="AF38" i="12"/>
  <c r="AF37" i="12"/>
  <c r="AF36" i="12"/>
  <c r="AF35" i="12"/>
  <c r="AF34" i="12"/>
  <c r="AF33" i="12"/>
  <c r="AF32" i="12"/>
  <c r="AF31" i="12"/>
  <c r="AF30" i="12"/>
  <c r="AF29" i="12"/>
  <c r="AF28" i="12"/>
  <c r="AF27" i="12"/>
  <c r="AF26" i="12"/>
  <c r="AF25" i="12"/>
  <c r="AF24" i="12"/>
  <c r="AF23" i="12"/>
  <c r="AF22" i="12"/>
  <c r="AF21" i="12"/>
  <c r="AF20" i="12"/>
  <c r="AF19" i="12"/>
  <c r="AF18" i="12"/>
  <c r="AF17" i="12"/>
  <c r="AF16" i="12"/>
  <c r="AF15" i="12"/>
  <c r="AF14" i="12"/>
  <c r="AF13" i="12"/>
  <c r="AF12" i="12"/>
  <c r="AF11" i="12"/>
  <c r="AF10" i="12"/>
  <c r="AF9" i="12"/>
  <c r="AF8" i="12"/>
  <c r="AF7" i="12"/>
  <c r="BK6" i="12"/>
  <c r="BI6" i="12"/>
  <c r="AF6" i="12"/>
  <c r="BL5" i="12"/>
  <c r="BK5" i="12"/>
  <c r="BJ5" i="12"/>
  <c r="BI5" i="12"/>
  <c r="BH5" i="12"/>
  <c r="BG5" i="12"/>
  <c r="BF5" i="12"/>
  <c r="AG6" i="10"/>
  <c r="BP5" i="26"/>
  <c r="BR5" i="26"/>
  <c r="Y5" i="12"/>
  <c r="BQ5" i="26"/>
  <c r="X5" i="12"/>
  <c r="W5" i="12"/>
  <c r="BN5" i="26"/>
  <c r="U5" i="12"/>
  <c r="T5" i="12"/>
  <c r="AC2" i="10"/>
  <c r="AI3" i="12"/>
  <c r="AT1" i="10"/>
  <c r="AD3" i="12"/>
  <c r="Z3" i="12"/>
  <c r="C32" i="24"/>
  <c r="AC1" i="10"/>
  <c r="T3" i="12"/>
  <c r="K3" i="12"/>
  <c r="N2" i="10"/>
  <c r="I3" i="12"/>
  <c r="G3" i="12"/>
  <c r="D3" i="12"/>
  <c r="AI1" i="10"/>
  <c r="AD2" i="12"/>
  <c r="Z2" i="12"/>
  <c r="K2" i="12"/>
  <c r="D2" i="12"/>
  <c r="AL1" i="10"/>
  <c r="AI1" i="12"/>
  <c r="AD1" i="12"/>
  <c r="Z1" i="12"/>
  <c r="O1" i="10"/>
  <c r="T1" i="12"/>
  <c r="K1" i="12"/>
  <c r="AL726" i="9"/>
  <c r="AK726" i="9"/>
  <c r="AJ726" i="9"/>
  <c r="AH726" i="9"/>
  <c r="AG726" i="9"/>
  <c r="AF726" i="9"/>
  <c r="AD726" i="9"/>
  <c r="AC726" i="9"/>
  <c r="AB726" i="9"/>
  <c r="Z726" i="9"/>
  <c r="Y726" i="9"/>
  <c r="X726" i="9"/>
  <c r="V726" i="9"/>
  <c r="U726" i="9"/>
  <c r="T726" i="9"/>
  <c r="R11" i="9"/>
  <c r="R12" i="9"/>
  <c r="R13" i="9"/>
  <c r="R14" i="9"/>
  <c r="R15" i="9"/>
  <c r="R16" i="9"/>
  <c r="R17" i="9"/>
  <c r="M25" i="9"/>
  <c r="J25" i="9"/>
  <c r="R25" i="9"/>
  <c r="M26" i="9"/>
  <c r="J26" i="9"/>
  <c r="R26" i="9"/>
  <c r="M27" i="9"/>
  <c r="J27" i="9"/>
  <c r="R27" i="9"/>
  <c r="M28" i="9"/>
  <c r="J28" i="9"/>
  <c r="R28" i="9"/>
  <c r="M29" i="9"/>
  <c r="J29" i="9"/>
  <c r="R29" i="9"/>
  <c r="M30" i="9"/>
  <c r="J30" i="9"/>
  <c r="R30" i="9"/>
  <c r="M31" i="9"/>
  <c r="J31" i="9"/>
  <c r="R31" i="9"/>
  <c r="M32" i="9"/>
  <c r="J32" i="9"/>
  <c r="R32" i="9"/>
  <c r="M33" i="9"/>
  <c r="J33" i="9"/>
  <c r="R33" i="9"/>
  <c r="M34" i="9"/>
  <c r="J34" i="9"/>
  <c r="R34" i="9"/>
  <c r="M35" i="9"/>
  <c r="J35" i="9"/>
  <c r="R35" i="9"/>
  <c r="M36" i="9"/>
  <c r="J36" i="9"/>
  <c r="R36" i="9"/>
  <c r="M37" i="9"/>
  <c r="J37" i="9"/>
  <c r="R37" i="9"/>
  <c r="M38" i="9"/>
  <c r="J38" i="9"/>
  <c r="R38" i="9"/>
  <c r="M39" i="9"/>
  <c r="J39" i="9"/>
  <c r="R39" i="9"/>
  <c r="M40" i="9"/>
  <c r="J40" i="9"/>
  <c r="R40" i="9"/>
  <c r="M41" i="9"/>
  <c r="J41" i="9"/>
  <c r="R41" i="9"/>
  <c r="M42" i="9"/>
  <c r="J42" i="9"/>
  <c r="R42" i="9"/>
  <c r="M43" i="9"/>
  <c r="J43" i="9"/>
  <c r="R43" i="9"/>
  <c r="M44" i="9"/>
  <c r="J44" i="9"/>
  <c r="R44" i="9"/>
  <c r="M45" i="9"/>
  <c r="J45" i="9"/>
  <c r="R45" i="9"/>
  <c r="M46" i="9"/>
  <c r="J46" i="9"/>
  <c r="R46" i="9"/>
  <c r="M47" i="9"/>
  <c r="J47" i="9"/>
  <c r="R47" i="9"/>
  <c r="M48" i="9"/>
  <c r="J48" i="9"/>
  <c r="R48" i="9"/>
  <c r="M49" i="9"/>
  <c r="J49" i="9"/>
  <c r="R49" i="9"/>
  <c r="M50" i="9"/>
  <c r="J50" i="9"/>
  <c r="R50" i="9"/>
  <c r="M51" i="9"/>
  <c r="J51" i="9"/>
  <c r="R51" i="9"/>
  <c r="M52" i="9"/>
  <c r="J52" i="9"/>
  <c r="R52" i="9"/>
  <c r="M53" i="9"/>
  <c r="J53" i="9"/>
  <c r="R53" i="9"/>
  <c r="M54" i="9"/>
  <c r="J54" i="9"/>
  <c r="R54" i="9"/>
  <c r="M55" i="9"/>
  <c r="J55" i="9"/>
  <c r="R55" i="9"/>
  <c r="M56" i="9"/>
  <c r="J56" i="9"/>
  <c r="R56" i="9"/>
  <c r="M57" i="9"/>
  <c r="J57" i="9"/>
  <c r="R57" i="9"/>
  <c r="M58" i="9"/>
  <c r="J58" i="9"/>
  <c r="R58" i="9"/>
  <c r="M59" i="9"/>
  <c r="J59" i="9"/>
  <c r="R59" i="9"/>
  <c r="M60" i="9"/>
  <c r="J60" i="9"/>
  <c r="R60" i="9"/>
  <c r="M61" i="9"/>
  <c r="J61" i="9"/>
  <c r="R61" i="9"/>
  <c r="M62" i="9"/>
  <c r="J62" i="9"/>
  <c r="R62" i="9"/>
  <c r="M63" i="9"/>
  <c r="J63" i="9"/>
  <c r="R63" i="9"/>
  <c r="M64" i="9"/>
  <c r="J64" i="9"/>
  <c r="R64" i="9"/>
  <c r="M65" i="9"/>
  <c r="J65" i="9"/>
  <c r="R65" i="9"/>
  <c r="M66" i="9"/>
  <c r="J66" i="9"/>
  <c r="R66" i="9"/>
  <c r="M67" i="9"/>
  <c r="J67" i="9"/>
  <c r="R67" i="9"/>
  <c r="M68" i="9"/>
  <c r="J68" i="9"/>
  <c r="R68" i="9"/>
  <c r="M69" i="9"/>
  <c r="J69" i="9"/>
  <c r="R69" i="9"/>
  <c r="M70" i="9"/>
  <c r="J70" i="9"/>
  <c r="R70" i="9"/>
  <c r="M71" i="9"/>
  <c r="J71" i="9"/>
  <c r="R71" i="9"/>
  <c r="M72" i="9"/>
  <c r="J72" i="9"/>
  <c r="R72" i="9"/>
  <c r="M73" i="9"/>
  <c r="J73" i="9"/>
  <c r="R73" i="9"/>
  <c r="M74" i="9"/>
  <c r="J74" i="9"/>
  <c r="R74" i="9"/>
  <c r="M75" i="9"/>
  <c r="J75" i="9"/>
  <c r="R75" i="9"/>
  <c r="M76" i="9"/>
  <c r="J76" i="9"/>
  <c r="R76" i="9"/>
  <c r="M77" i="9"/>
  <c r="J77" i="9"/>
  <c r="R77" i="9"/>
  <c r="M78" i="9"/>
  <c r="J78" i="9"/>
  <c r="R78" i="9"/>
  <c r="M79" i="9"/>
  <c r="J79" i="9"/>
  <c r="R79" i="9"/>
  <c r="M80" i="9"/>
  <c r="J80" i="9"/>
  <c r="R80" i="9"/>
  <c r="M81" i="9"/>
  <c r="J81" i="9"/>
  <c r="R81" i="9"/>
  <c r="M82" i="9"/>
  <c r="J82" i="9"/>
  <c r="R82" i="9"/>
  <c r="M83" i="9"/>
  <c r="J83" i="9"/>
  <c r="R83" i="9"/>
  <c r="M84" i="9"/>
  <c r="J84" i="9"/>
  <c r="R84" i="9"/>
  <c r="M85" i="9"/>
  <c r="J85" i="9"/>
  <c r="R85" i="9"/>
  <c r="M86" i="9"/>
  <c r="J86" i="9"/>
  <c r="R86" i="9"/>
  <c r="M87" i="9"/>
  <c r="J87" i="9"/>
  <c r="R87" i="9"/>
  <c r="M88" i="9"/>
  <c r="J88" i="9"/>
  <c r="R88" i="9"/>
  <c r="M89" i="9"/>
  <c r="J89" i="9"/>
  <c r="R89" i="9"/>
  <c r="M90" i="9"/>
  <c r="J90" i="9"/>
  <c r="R90" i="9"/>
  <c r="M91" i="9"/>
  <c r="J91" i="9"/>
  <c r="R91" i="9"/>
  <c r="M92" i="9"/>
  <c r="J92" i="9"/>
  <c r="R92" i="9"/>
  <c r="M93" i="9"/>
  <c r="J93" i="9"/>
  <c r="R93" i="9"/>
  <c r="M94" i="9"/>
  <c r="J94" i="9"/>
  <c r="R94" i="9"/>
  <c r="M95" i="9"/>
  <c r="J95" i="9"/>
  <c r="R95" i="9"/>
  <c r="M96" i="9"/>
  <c r="J96" i="9"/>
  <c r="R96" i="9"/>
  <c r="M97" i="9"/>
  <c r="J97" i="9"/>
  <c r="R97" i="9"/>
  <c r="M98" i="9"/>
  <c r="J98" i="9"/>
  <c r="R98" i="9"/>
  <c r="M99" i="9"/>
  <c r="J99" i="9"/>
  <c r="R99" i="9"/>
  <c r="M100" i="9"/>
  <c r="J100" i="9"/>
  <c r="R100" i="9"/>
  <c r="M101" i="9"/>
  <c r="J101" i="9"/>
  <c r="R101" i="9"/>
  <c r="M102" i="9"/>
  <c r="J102" i="9"/>
  <c r="R102" i="9"/>
  <c r="M103" i="9"/>
  <c r="J103" i="9"/>
  <c r="R103" i="9"/>
  <c r="M104" i="9"/>
  <c r="J104" i="9"/>
  <c r="R104" i="9"/>
  <c r="M105" i="9"/>
  <c r="J105" i="9"/>
  <c r="R105" i="9"/>
  <c r="M106" i="9"/>
  <c r="J106" i="9"/>
  <c r="R106" i="9"/>
  <c r="M107" i="9"/>
  <c r="J107" i="9"/>
  <c r="R107" i="9"/>
  <c r="M108" i="9"/>
  <c r="J108" i="9"/>
  <c r="R108" i="9"/>
  <c r="M109" i="9"/>
  <c r="J109" i="9"/>
  <c r="R109" i="9"/>
  <c r="M110" i="9"/>
  <c r="J110" i="9"/>
  <c r="R110" i="9"/>
  <c r="M111" i="9"/>
  <c r="J111" i="9"/>
  <c r="R111" i="9"/>
  <c r="M112" i="9"/>
  <c r="J112" i="9"/>
  <c r="R112" i="9"/>
  <c r="M113" i="9"/>
  <c r="J113" i="9"/>
  <c r="R113" i="9"/>
  <c r="M114" i="9"/>
  <c r="J114" i="9"/>
  <c r="R114" i="9"/>
  <c r="M115" i="9"/>
  <c r="J115" i="9"/>
  <c r="R115" i="9"/>
  <c r="M116" i="9"/>
  <c r="J116" i="9"/>
  <c r="R116" i="9"/>
  <c r="M117" i="9"/>
  <c r="J117" i="9"/>
  <c r="R117" i="9"/>
  <c r="M118" i="9"/>
  <c r="J118" i="9"/>
  <c r="R118" i="9"/>
  <c r="M119" i="9"/>
  <c r="J119" i="9"/>
  <c r="R119" i="9"/>
  <c r="M120" i="9"/>
  <c r="J120" i="9"/>
  <c r="R120" i="9"/>
  <c r="M121" i="9"/>
  <c r="J121" i="9"/>
  <c r="R121" i="9"/>
  <c r="M122" i="9"/>
  <c r="J122" i="9"/>
  <c r="R122" i="9"/>
  <c r="M123" i="9"/>
  <c r="J123" i="9"/>
  <c r="R123" i="9"/>
  <c r="M124" i="9"/>
  <c r="J124" i="9"/>
  <c r="R124" i="9"/>
  <c r="M125" i="9"/>
  <c r="J125" i="9"/>
  <c r="R125" i="9"/>
  <c r="M126" i="9"/>
  <c r="J126" i="9"/>
  <c r="R126" i="9"/>
  <c r="M127" i="9"/>
  <c r="J127" i="9"/>
  <c r="R127" i="9"/>
  <c r="M128" i="9"/>
  <c r="J128" i="9"/>
  <c r="R128" i="9"/>
  <c r="M129" i="9"/>
  <c r="J129" i="9"/>
  <c r="R129" i="9"/>
  <c r="M130" i="9"/>
  <c r="J130" i="9"/>
  <c r="R130" i="9"/>
  <c r="M131" i="9"/>
  <c r="J131" i="9"/>
  <c r="R131" i="9"/>
  <c r="M132" i="9"/>
  <c r="J132" i="9"/>
  <c r="R132" i="9"/>
  <c r="M133" i="9"/>
  <c r="J133" i="9"/>
  <c r="R133" i="9"/>
  <c r="M134" i="9"/>
  <c r="J134" i="9"/>
  <c r="R134" i="9"/>
  <c r="M135" i="9"/>
  <c r="J135" i="9"/>
  <c r="R135" i="9"/>
  <c r="M136" i="9"/>
  <c r="J136" i="9"/>
  <c r="R136" i="9"/>
  <c r="M137" i="9"/>
  <c r="J137" i="9"/>
  <c r="R137" i="9"/>
  <c r="M138" i="9"/>
  <c r="J138" i="9"/>
  <c r="R138" i="9"/>
  <c r="M139" i="9"/>
  <c r="J139" i="9"/>
  <c r="R139" i="9"/>
  <c r="M140" i="9"/>
  <c r="J140" i="9"/>
  <c r="R140" i="9"/>
  <c r="M141" i="9"/>
  <c r="J141" i="9"/>
  <c r="R141" i="9"/>
  <c r="M142" i="9"/>
  <c r="J142" i="9"/>
  <c r="R142" i="9"/>
  <c r="M143" i="9"/>
  <c r="J143" i="9"/>
  <c r="R143" i="9"/>
  <c r="M144" i="9"/>
  <c r="J144" i="9"/>
  <c r="R144" i="9"/>
  <c r="M145" i="9"/>
  <c r="J145" i="9"/>
  <c r="R145" i="9"/>
  <c r="M146" i="9"/>
  <c r="J146" i="9"/>
  <c r="R146" i="9"/>
  <c r="M147" i="9"/>
  <c r="J147" i="9"/>
  <c r="R147" i="9"/>
  <c r="M148" i="9"/>
  <c r="J148" i="9"/>
  <c r="R148" i="9"/>
  <c r="M149" i="9"/>
  <c r="J149" i="9"/>
  <c r="R149" i="9"/>
  <c r="M150" i="9"/>
  <c r="J150" i="9"/>
  <c r="R150" i="9"/>
  <c r="M151" i="9"/>
  <c r="J151" i="9"/>
  <c r="R151" i="9"/>
  <c r="M152" i="9"/>
  <c r="J152" i="9"/>
  <c r="R152" i="9"/>
  <c r="M153" i="9"/>
  <c r="J153" i="9"/>
  <c r="R153" i="9"/>
  <c r="M154" i="9"/>
  <c r="J154" i="9"/>
  <c r="R154" i="9"/>
  <c r="M155" i="9"/>
  <c r="J155" i="9"/>
  <c r="R155" i="9"/>
  <c r="M156" i="9"/>
  <c r="J156" i="9"/>
  <c r="R156" i="9"/>
  <c r="M157" i="9"/>
  <c r="J157" i="9"/>
  <c r="R157" i="9"/>
  <c r="M158" i="9"/>
  <c r="J158" i="9"/>
  <c r="R158" i="9"/>
  <c r="M159" i="9"/>
  <c r="J159" i="9"/>
  <c r="R159" i="9"/>
  <c r="M160" i="9"/>
  <c r="J160" i="9"/>
  <c r="R160" i="9"/>
  <c r="M161" i="9"/>
  <c r="J161" i="9"/>
  <c r="R161" i="9"/>
  <c r="M162" i="9"/>
  <c r="J162" i="9"/>
  <c r="R162" i="9"/>
  <c r="M163" i="9"/>
  <c r="J163" i="9"/>
  <c r="R163" i="9"/>
  <c r="M164" i="9"/>
  <c r="J164" i="9"/>
  <c r="R164" i="9"/>
  <c r="M165" i="9"/>
  <c r="J165" i="9"/>
  <c r="R165" i="9"/>
  <c r="M166" i="9"/>
  <c r="J166" i="9"/>
  <c r="R166" i="9"/>
  <c r="M167" i="9"/>
  <c r="J167" i="9"/>
  <c r="R167" i="9"/>
  <c r="M168" i="9"/>
  <c r="J168" i="9"/>
  <c r="R168" i="9"/>
  <c r="M169" i="9"/>
  <c r="J169" i="9"/>
  <c r="R169" i="9"/>
  <c r="M170" i="9"/>
  <c r="J170" i="9"/>
  <c r="R170" i="9"/>
  <c r="M171" i="9"/>
  <c r="J171" i="9"/>
  <c r="R171" i="9"/>
  <c r="M172" i="9"/>
  <c r="J172" i="9"/>
  <c r="R172" i="9"/>
  <c r="M173" i="9"/>
  <c r="J173" i="9"/>
  <c r="R173" i="9"/>
  <c r="M174" i="9"/>
  <c r="J174" i="9"/>
  <c r="R174" i="9"/>
  <c r="M175" i="9"/>
  <c r="J175" i="9"/>
  <c r="R175" i="9"/>
  <c r="M176" i="9"/>
  <c r="J176" i="9"/>
  <c r="R176" i="9"/>
  <c r="M177" i="9"/>
  <c r="J177" i="9"/>
  <c r="R177" i="9"/>
  <c r="M178" i="9"/>
  <c r="J178" i="9"/>
  <c r="R178" i="9"/>
  <c r="M179" i="9"/>
  <c r="J179" i="9"/>
  <c r="R179" i="9"/>
  <c r="M180" i="9"/>
  <c r="J180" i="9"/>
  <c r="R180" i="9"/>
  <c r="M181" i="9"/>
  <c r="J181" i="9"/>
  <c r="R181" i="9"/>
  <c r="M182" i="9"/>
  <c r="J182" i="9"/>
  <c r="R182" i="9"/>
  <c r="M183" i="9"/>
  <c r="J183" i="9"/>
  <c r="R183" i="9"/>
  <c r="M184" i="9"/>
  <c r="J184" i="9"/>
  <c r="R184" i="9"/>
  <c r="M185" i="9"/>
  <c r="J185" i="9"/>
  <c r="R185" i="9"/>
  <c r="M186" i="9"/>
  <c r="J186" i="9"/>
  <c r="R186" i="9"/>
  <c r="M187" i="9"/>
  <c r="J187" i="9"/>
  <c r="R187" i="9"/>
  <c r="M188" i="9"/>
  <c r="J188" i="9"/>
  <c r="R188" i="9"/>
  <c r="M189" i="9"/>
  <c r="J189" i="9"/>
  <c r="R189" i="9"/>
  <c r="M190" i="9"/>
  <c r="J190" i="9"/>
  <c r="R190" i="9"/>
  <c r="M191" i="9"/>
  <c r="J191" i="9"/>
  <c r="R191" i="9"/>
  <c r="M192" i="9"/>
  <c r="J192" i="9"/>
  <c r="R192" i="9"/>
  <c r="M193" i="9"/>
  <c r="J193" i="9"/>
  <c r="R193" i="9"/>
  <c r="M194" i="9"/>
  <c r="J194" i="9"/>
  <c r="R194" i="9"/>
  <c r="M195" i="9"/>
  <c r="J195" i="9"/>
  <c r="R195" i="9"/>
  <c r="M196" i="9"/>
  <c r="J196" i="9"/>
  <c r="R196" i="9"/>
  <c r="M197" i="9"/>
  <c r="J197" i="9"/>
  <c r="R197" i="9"/>
  <c r="M198" i="9"/>
  <c r="J198" i="9"/>
  <c r="R198" i="9"/>
  <c r="M199" i="9"/>
  <c r="J199" i="9"/>
  <c r="R199" i="9"/>
  <c r="M200" i="9"/>
  <c r="J200" i="9"/>
  <c r="R200" i="9"/>
  <c r="M201" i="9"/>
  <c r="J201" i="9"/>
  <c r="R201" i="9"/>
  <c r="M202" i="9"/>
  <c r="J202" i="9"/>
  <c r="R202" i="9"/>
  <c r="M203" i="9"/>
  <c r="J203" i="9"/>
  <c r="R203" i="9"/>
  <c r="M204" i="9"/>
  <c r="J204" i="9"/>
  <c r="R204" i="9"/>
  <c r="M205" i="9"/>
  <c r="J205" i="9"/>
  <c r="R205" i="9"/>
  <c r="M206" i="9"/>
  <c r="J206" i="9"/>
  <c r="R206" i="9"/>
  <c r="M207" i="9"/>
  <c r="J207" i="9"/>
  <c r="R207" i="9"/>
  <c r="M208" i="9"/>
  <c r="J208" i="9"/>
  <c r="R208" i="9"/>
  <c r="M209" i="9"/>
  <c r="J209" i="9"/>
  <c r="R209" i="9"/>
  <c r="M210" i="9"/>
  <c r="J210" i="9"/>
  <c r="R210" i="9"/>
  <c r="M211" i="9"/>
  <c r="J211" i="9"/>
  <c r="R211" i="9"/>
  <c r="M212" i="9"/>
  <c r="J212" i="9"/>
  <c r="R212" i="9"/>
  <c r="M213" i="9"/>
  <c r="J213" i="9"/>
  <c r="R213" i="9"/>
  <c r="M214" i="9"/>
  <c r="J214" i="9"/>
  <c r="R214" i="9"/>
  <c r="M215" i="9"/>
  <c r="J215" i="9"/>
  <c r="R215" i="9"/>
  <c r="M216" i="9"/>
  <c r="J216" i="9"/>
  <c r="R216" i="9"/>
  <c r="M217" i="9"/>
  <c r="J217" i="9"/>
  <c r="R217" i="9"/>
  <c r="M218" i="9"/>
  <c r="J218" i="9"/>
  <c r="R218" i="9"/>
  <c r="M219" i="9"/>
  <c r="J219" i="9"/>
  <c r="R219" i="9"/>
  <c r="M220" i="9"/>
  <c r="J220" i="9"/>
  <c r="R220" i="9"/>
  <c r="M221" i="9"/>
  <c r="J221" i="9"/>
  <c r="R221" i="9"/>
  <c r="M222" i="9"/>
  <c r="J222" i="9"/>
  <c r="R222" i="9"/>
  <c r="M223" i="9"/>
  <c r="J223" i="9"/>
  <c r="R223" i="9"/>
  <c r="M224" i="9"/>
  <c r="J224" i="9"/>
  <c r="R224" i="9"/>
  <c r="M225" i="9"/>
  <c r="J225" i="9"/>
  <c r="R225" i="9"/>
  <c r="M226" i="9"/>
  <c r="J226" i="9"/>
  <c r="R226" i="9"/>
  <c r="M227" i="9"/>
  <c r="J227" i="9"/>
  <c r="R227" i="9"/>
  <c r="M228" i="9"/>
  <c r="J228" i="9"/>
  <c r="R228" i="9"/>
  <c r="M229" i="9"/>
  <c r="J229" i="9"/>
  <c r="R229" i="9"/>
  <c r="M230" i="9"/>
  <c r="J230" i="9"/>
  <c r="R230" i="9"/>
  <c r="M231" i="9"/>
  <c r="J231" i="9"/>
  <c r="R231" i="9"/>
  <c r="M232" i="9"/>
  <c r="J232" i="9"/>
  <c r="R232" i="9"/>
  <c r="M233" i="9"/>
  <c r="J233" i="9"/>
  <c r="R233" i="9"/>
  <c r="M234" i="9"/>
  <c r="J234" i="9"/>
  <c r="R234" i="9"/>
  <c r="M235" i="9"/>
  <c r="J235" i="9"/>
  <c r="R235" i="9"/>
  <c r="M236" i="9"/>
  <c r="J236" i="9"/>
  <c r="R236" i="9"/>
  <c r="M237" i="9"/>
  <c r="J237" i="9"/>
  <c r="R237" i="9"/>
  <c r="M238" i="9"/>
  <c r="J238" i="9"/>
  <c r="R238" i="9"/>
  <c r="M239" i="9"/>
  <c r="J239" i="9"/>
  <c r="R239" i="9"/>
  <c r="M240" i="9"/>
  <c r="J240" i="9"/>
  <c r="R240" i="9"/>
  <c r="M241" i="9"/>
  <c r="J241" i="9"/>
  <c r="R241" i="9"/>
  <c r="M242" i="9"/>
  <c r="J242" i="9"/>
  <c r="R242" i="9"/>
  <c r="M243" i="9"/>
  <c r="J243" i="9"/>
  <c r="R243" i="9"/>
  <c r="M244" i="9"/>
  <c r="J244" i="9"/>
  <c r="R244" i="9"/>
  <c r="M245" i="9"/>
  <c r="J245" i="9"/>
  <c r="R245" i="9"/>
  <c r="M246" i="9"/>
  <c r="J246" i="9"/>
  <c r="R246" i="9"/>
  <c r="M247" i="9"/>
  <c r="J247" i="9"/>
  <c r="R247" i="9"/>
  <c r="M248" i="9"/>
  <c r="J248" i="9"/>
  <c r="R248" i="9"/>
  <c r="M249" i="9"/>
  <c r="J249" i="9"/>
  <c r="R249" i="9"/>
  <c r="M250" i="9"/>
  <c r="J250" i="9"/>
  <c r="R250" i="9"/>
  <c r="M251" i="9"/>
  <c r="J251" i="9"/>
  <c r="R251" i="9"/>
  <c r="M252" i="9"/>
  <c r="J252" i="9"/>
  <c r="R252" i="9"/>
  <c r="M253" i="9"/>
  <c r="J253" i="9"/>
  <c r="R253" i="9"/>
  <c r="M254" i="9"/>
  <c r="J254" i="9"/>
  <c r="R254" i="9"/>
  <c r="M255" i="9"/>
  <c r="J255" i="9"/>
  <c r="R255" i="9"/>
  <c r="M256" i="9"/>
  <c r="J256" i="9"/>
  <c r="R256" i="9"/>
  <c r="M257" i="9"/>
  <c r="J257" i="9"/>
  <c r="R257" i="9"/>
  <c r="M258" i="9"/>
  <c r="J258" i="9"/>
  <c r="R258" i="9"/>
  <c r="M259" i="9"/>
  <c r="J259" i="9"/>
  <c r="R259" i="9"/>
  <c r="M260" i="9"/>
  <c r="J260" i="9"/>
  <c r="R260" i="9"/>
  <c r="M261" i="9"/>
  <c r="J261" i="9"/>
  <c r="R261" i="9"/>
  <c r="M262" i="9"/>
  <c r="J262" i="9"/>
  <c r="R262" i="9"/>
  <c r="M263" i="9"/>
  <c r="J263" i="9"/>
  <c r="R263" i="9"/>
  <c r="M264" i="9"/>
  <c r="J264" i="9"/>
  <c r="R264" i="9"/>
  <c r="M265" i="9"/>
  <c r="J265" i="9"/>
  <c r="R265" i="9"/>
  <c r="M266" i="9"/>
  <c r="J266" i="9"/>
  <c r="R266" i="9"/>
  <c r="M267" i="9"/>
  <c r="J267" i="9"/>
  <c r="R267" i="9"/>
  <c r="M268" i="9"/>
  <c r="J268" i="9"/>
  <c r="R268" i="9"/>
  <c r="M269" i="9"/>
  <c r="J269" i="9"/>
  <c r="R269" i="9"/>
  <c r="M270" i="9"/>
  <c r="J270" i="9"/>
  <c r="R270" i="9"/>
  <c r="M271" i="9"/>
  <c r="J271" i="9"/>
  <c r="R271" i="9"/>
  <c r="M272" i="9"/>
  <c r="J272" i="9"/>
  <c r="R272" i="9"/>
  <c r="M273" i="9"/>
  <c r="J273" i="9"/>
  <c r="R273" i="9"/>
  <c r="M274" i="9"/>
  <c r="J274" i="9"/>
  <c r="R274" i="9"/>
  <c r="M275" i="9"/>
  <c r="J275" i="9"/>
  <c r="R275" i="9"/>
  <c r="M276" i="9"/>
  <c r="J276" i="9"/>
  <c r="R276" i="9"/>
  <c r="M277" i="9"/>
  <c r="J277" i="9"/>
  <c r="R277" i="9"/>
  <c r="M278" i="9"/>
  <c r="J278" i="9"/>
  <c r="R278" i="9"/>
  <c r="M279" i="9"/>
  <c r="J279" i="9"/>
  <c r="R279" i="9"/>
  <c r="M280" i="9"/>
  <c r="J280" i="9"/>
  <c r="R280" i="9"/>
  <c r="M281" i="9"/>
  <c r="J281" i="9"/>
  <c r="R281" i="9"/>
  <c r="M282" i="9"/>
  <c r="J282" i="9"/>
  <c r="R282" i="9"/>
  <c r="M283" i="9"/>
  <c r="J283" i="9"/>
  <c r="R283" i="9"/>
  <c r="M284" i="9"/>
  <c r="J284" i="9"/>
  <c r="R284" i="9"/>
  <c r="M285" i="9"/>
  <c r="J285" i="9"/>
  <c r="R285" i="9"/>
  <c r="M286" i="9"/>
  <c r="J286" i="9"/>
  <c r="R286" i="9"/>
  <c r="M287" i="9"/>
  <c r="J287" i="9"/>
  <c r="R287" i="9"/>
  <c r="M288" i="9"/>
  <c r="J288" i="9"/>
  <c r="R288" i="9"/>
  <c r="M289" i="9"/>
  <c r="J289" i="9"/>
  <c r="R289" i="9"/>
  <c r="M290" i="9"/>
  <c r="J290" i="9"/>
  <c r="R290" i="9"/>
  <c r="M291" i="9"/>
  <c r="J291" i="9"/>
  <c r="R291" i="9"/>
  <c r="M292" i="9"/>
  <c r="J292" i="9"/>
  <c r="R292" i="9"/>
  <c r="M293" i="9"/>
  <c r="J293" i="9"/>
  <c r="R293" i="9"/>
  <c r="M294" i="9"/>
  <c r="J294" i="9"/>
  <c r="R294" i="9"/>
  <c r="M295" i="9"/>
  <c r="J295" i="9"/>
  <c r="R295" i="9"/>
  <c r="M296" i="9"/>
  <c r="J296" i="9"/>
  <c r="R296" i="9"/>
  <c r="M297" i="9"/>
  <c r="J297" i="9"/>
  <c r="R297" i="9"/>
  <c r="M298" i="9"/>
  <c r="J298" i="9"/>
  <c r="R298" i="9"/>
  <c r="M299" i="9"/>
  <c r="J299" i="9"/>
  <c r="R299" i="9"/>
  <c r="M300" i="9"/>
  <c r="J300" i="9"/>
  <c r="R300" i="9"/>
  <c r="M301" i="9"/>
  <c r="J301" i="9"/>
  <c r="R301" i="9"/>
  <c r="M302" i="9"/>
  <c r="J302" i="9"/>
  <c r="R302" i="9"/>
  <c r="M303" i="9"/>
  <c r="J303" i="9"/>
  <c r="R303" i="9"/>
  <c r="M304" i="9"/>
  <c r="J304" i="9"/>
  <c r="R304" i="9"/>
  <c r="M305" i="9"/>
  <c r="J305" i="9"/>
  <c r="R305" i="9"/>
  <c r="M306" i="9"/>
  <c r="J306" i="9"/>
  <c r="R306" i="9"/>
  <c r="M307" i="9"/>
  <c r="J307" i="9"/>
  <c r="R307" i="9"/>
  <c r="M308" i="9"/>
  <c r="J308" i="9"/>
  <c r="R308" i="9"/>
  <c r="M309" i="9"/>
  <c r="J309" i="9"/>
  <c r="R309" i="9"/>
  <c r="M310" i="9"/>
  <c r="J310" i="9"/>
  <c r="R310" i="9"/>
  <c r="M311" i="9"/>
  <c r="J311" i="9"/>
  <c r="R311" i="9"/>
  <c r="M312" i="9"/>
  <c r="J312" i="9"/>
  <c r="R312" i="9"/>
  <c r="M313" i="9"/>
  <c r="J313" i="9"/>
  <c r="R313" i="9"/>
  <c r="M314" i="9"/>
  <c r="J314" i="9"/>
  <c r="R314" i="9"/>
  <c r="M315" i="9"/>
  <c r="J315" i="9"/>
  <c r="R315" i="9"/>
  <c r="M316" i="9"/>
  <c r="J316" i="9"/>
  <c r="R316" i="9"/>
  <c r="M317" i="9"/>
  <c r="J317" i="9"/>
  <c r="R317" i="9"/>
  <c r="M318" i="9"/>
  <c r="J318" i="9"/>
  <c r="R318" i="9"/>
  <c r="M319" i="9"/>
  <c r="J319" i="9"/>
  <c r="R319" i="9"/>
  <c r="M320" i="9"/>
  <c r="J320" i="9"/>
  <c r="R320" i="9"/>
  <c r="M321" i="9"/>
  <c r="J321" i="9"/>
  <c r="R321" i="9"/>
  <c r="M322" i="9"/>
  <c r="J322" i="9"/>
  <c r="R322" i="9"/>
  <c r="M323" i="9"/>
  <c r="J323" i="9"/>
  <c r="R323" i="9"/>
  <c r="M324" i="9"/>
  <c r="J324" i="9"/>
  <c r="R324" i="9"/>
  <c r="M325" i="9"/>
  <c r="J325" i="9"/>
  <c r="R325" i="9"/>
  <c r="M326" i="9"/>
  <c r="J326" i="9"/>
  <c r="R326" i="9"/>
  <c r="M327" i="9"/>
  <c r="J327" i="9"/>
  <c r="R327" i="9"/>
  <c r="M328" i="9"/>
  <c r="J328" i="9"/>
  <c r="R328" i="9"/>
  <c r="M329" i="9"/>
  <c r="J329" i="9"/>
  <c r="R329" i="9"/>
  <c r="M330" i="9"/>
  <c r="J330" i="9"/>
  <c r="R330" i="9"/>
  <c r="M331" i="9"/>
  <c r="J331" i="9"/>
  <c r="R331" i="9"/>
  <c r="M332" i="9"/>
  <c r="J332" i="9"/>
  <c r="R332" i="9"/>
  <c r="M333" i="9"/>
  <c r="J333" i="9"/>
  <c r="R333" i="9"/>
  <c r="M334" i="9"/>
  <c r="J334" i="9"/>
  <c r="R334" i="9"/>
  <c r="M335" i="9"/>
  <c r="J335" i="9"/>
  <c r="R335" i="9"/>
  <c r="M336" i="9"/>
  <c r="J336" i="9"/>
  <c r="R336" i="9"/>
  <c r="M337" i="9"/>
  <c r="J337" i="9"/>
  <c r="R337" i="9"/>
  <c r="M338" i="9"/>
  <c r="J338" i="9"/>
  <c r="R338" i="9"/>
  <c r="M339" i="9"/>
  <c r="J339" i="9"/>
  <c r="R339" i="9"/>
  <c r="M340" i="9"/>
  <c r="J340" i="9"/>
  <c r="R340" i="9"/>
  <c r="M341" i="9"/>
  <c r="J341" i="9"/>
  <c r="R341" i="9"/>
  <c r="M342" i="9"/>
  <c r="J342" i="9"/>
  <c r="R342" i="9"/>
  <c r="M343" i="9"/>
  <c r="J343" i="9"/>
  <c r="R343" i="9"/>
  <c r="M344" i="9"/>
  <c r="J344" i="9"/>
  <c r="R344" i="9"/>
  <c r="M345" i="9"/>
  <c r="J345" i="9"/>
  <c r="R345" i="9"/>
  <c r="M346" i="9"/>
  <c r="J346" i="9"/>
  <c r="R346" i="9"/>
  <c r="M347" i="9"/>
  <c r="J347" i="9"/>
  <c r="R347" i="9"/>
  <c r="M348" i="9"/>
  <c r="J348" i="9"/>
  <c r="R348" i="9"/>
  <c r="M349" i="9"/>
  <c r="J349" i="9"/>
  <c r="R349" i="9"/>
  <c r="M350" i="9"/>
  <c r="J350" i="9"/>
  <c r="R350" i="9"/>
  <c r="M351" i="9"/>
  <c r="J351" i="9"/>
  <c r="R351" i="9"/>
  <c r="M352" i="9"/>
  <c r="J352" i="9"/>
  <c r="R352" i="9"/>
  <c r="M353" i="9"/>
  <c r="J353" i="9"/>
  <c r="R353" i="9"/>
  <c r="M354" i="9"/>
  <c r="J354" i="9"/>
  <c r="R354" i="9"/>
  <c r="M355" i="9"/>
  <c r="J355" i="9"/>
  <c r="R355" i="9"/>
  <c r="M356" i="9"/>
  <c r="J356" i="9"/>
  <c r="R356" i="9"/>
  <c r="M357" i="9"/>
  <c r="J357" i="9"/>
  <c r="R357" i="9"/>
  <c r="M358" i="9"/>
  <c r="J358" i="9"/>
  <c r="R358" i="9"/>
  <c r="M359" i="9"/>
  <c r="J359" i="9"/>
  <c r="R359" i="9"/>
  <c r="M360" i="9"/>
  <c r="J360" i="9"/>
  <c r="R360" i="9"/>
  <c r="M361" i="9"/>
  <c r="J361" i="9"/>
  <c r="R361" i="9"/>
  <c r="M362" i="9"/>
  <c r="J362" i="9"/>
  <c r="R362" i="9"/>
  <c r="M363" i="9"/>
  <c r="J363" i="9"/>
  <c r="R363" i="9"/>
  <c r="M364" i="9"/>
  <c r="J364" i="9"/>
  <c r="R364" i="9"/>
  <c r="M365" i="9"/>
  <c r="J365" i="9"/>
  <c r="R365" i="9"/>
  <c r="M366" i="9"/>
  <c r="J366" i="9"/>
  <c r="R366" i="9"/>
  <c r="M367" i="9"/>
  <c r="J367" i="9"/>
  <c r="R367" i="9"/>
  <c r="M368" i="9"/>
  <c r="J368" i="9"/>
  <c r="R368" i="9"/>
  <c r="M369" i="9"/>
  <c r="J369" i="9"/>
  <c r="R369" i="9"/>
  <c r="M370" i="9"/>
  <c r="J370" i="9"/>
  <c r="R370" i="9"/>
  <c r="M371" i="9"/>
  <c r="J371" i="9"/>
  <c r="R371" i="9"/>
  <c r="M372" i="9"/>
  <c r="J372" i="9"/>
  <c r="R372" i="9"/>
  <c r="M373" i="9"/>
  <c r="J373" i="9"/>
  <c r="R373" i="9"/>
  <c r="M374" i="9"/>
  <c r="J374" i="9"/>
  <c r="R374" i="9"/>
  <c r="M375" i="9"/>
  <c r="J375" i="9"/>
  <c r="R375" i="9"/>
  <c r="M376" i="9"/>
  <c r="J376" i="9"/>
  <c r="R376" i="9"/>
  <c r="M377" i="9"/>
  <c r="J377" i="9"/>
  <c r="R377" i="9"/>
  <c r="M378" i="9"/>
  <c r="J378" i="9"/>
  <c r="R378" i="9"/>
  <c r="M379" i="9"/>
  <c r="J379" i="9"/>
  <c r="R379" i="9"/>
  <c r="M380" i="9"/>
  <c r="J380" i="9"/>
  <c r="R380" i="9"/>
  <c r="M381" i="9"/>
  <c r="J381" i="9"/>
  <c r="R381" i="9"/>
  <c r="M382" i="9"/>
  <c r="J382" i="9"/>
  <c r="R382" i="9"/>
  <c r="M383" i="9"/>
  <c r="J383" i="9"/>
  <c r="R383" i="9"/>
  <c r="M384" i="9"/>
  <c r="J384" i="9"/>
  <c r="R384" i="9"/>
  <c r="M385" i="9"/>
  <c r="J385" i="9"/>
  <c r="R385" i="9"/>
  <c r="M386" i="9"/>
  <c r="J386" i="9"/>
  <c r="R386" i="9"/>
  <c r="M387" i="9"/>
  <c r="J387" i="9"/>
  <c r="R387" i="9"/>
  <c r="M388" i="9"/>
  <c r="J388" i="9"/>
  <c r="R388" i="9"/>
  <c r="M389" i="9"/>
  <c r="J389" i="9"/>
  <c r="R389" i="9"/>
  <c r="M390" i="9"/>
  <c r="J390" i="9"/>
  <c r="R390" i="9"/>
  <c r="M391" i="9"/>
  <c r="J391" i="9"/>
  <c r="R391" i="9"/>
  <c r="M392" i="9"/>
  <c r="J392" i="9"/>
  <c r="R392" i="9"/>
  <c r="M393" i="9"/>
  <c r="J393" i="9"/>
  <c r="R393" i="9"/>
  <c r="M394" i="9"/>
  <c r="J394" i="9"/>
  <c r="R394" i="9"/>
  <c r="M395" i="9"/>
  <c r="J395" i="9"/>
  <c r="R395" i="9"/>
  <c r="M396" i="9"/>
  <c r="J396" i="9"/>
  <c r="R396" i="9"/>
  <c r="M397" i="9"/>
  <c r="J397" i="9"/>
  <c r="R397" i="9"/>
  <c r="M398" i="9"/>
  <c r="J398" i="9"/>
  <c r="R398" i="9"/>
  <c r="M399" i="9"/>
  <c r="J399" i="9"/>
  <c r="R399" i="9"/>
  <c r="M400" i="9"/>
  <c r="J400" i="9"/>
  <c r="R400" i="9"/>
  <c r="M401" i="9"/>
  <c r="J401" i="9"/>
  <c r="R401" i="9"/>
  <c r="M402" i="9"/>
  <c r="J402" i="9"/>
  <c r="R402" i="9"/>
  <c r="M403" i="9"/>
  <c r="J403" i="9"/>
  <c r="R403" i="9"/>
  <c r="M404" i="9"/>
  <c r="J404" i="9"/>
  <c r="R404" i="9"/>
  <c r="M405" i="9"/>
  <c r="J405" i="9"/>
  <c r="R405" i="9"/>
  <c r="M406" i="9"/>
  <c r="J406" i="9"/>
  <c r="R406" i="9"/>
  <c r="M407" i="9"/>
  <c r="J407" i="9"/>
  <c r="R407" i="9"/>
  <c r="M408" i="9"/>
  <c r="J408" i="9"/>
  <c r="R408" i="9"/>
  <c r="M409" i="9"/>
  <c r="J409" i="9"/>
  <c r="R409" i="9"/>
  <c r="M410" i="9"/>
  <c r="J410" i="9"/>
  <c r="R410" i="9"/>
  <c r="M411" i="9"/>
  <c r="J411" i="9"/>
  <c r="R411" i="9"/>
  <c r="M412" i="9"/>
  <c r="J412" i="9"/>
  <c r="R412" i="9"/>
  <c r="M413" i="9"/>
  <c r="J413" i="9"/>
  <c r="R413" i="9"/>
  <c r="M414" i="9"/>
  <c r="J414" i="9"/>
  <c r="R414" i="9"/>
  <c r="M415" i="9"/>
  <c r="J415" i="9"/>
  <c r="R415" i="9"/>
  <c r="M416" i="9"/>
  <c r="J416" i="9"/>
  <c r="R416" i="9"/>
  <c r="M417" i="9"/>
  <c r="J417" i="9"/>
  <c r="R417" i="9"/>
  <c r="M418" i="9"/>
  <c r="J418" i="9"/>
  <c r="R418" i="9"/>
  <c r="M419" i="9"/>
  <c r="J419" i="9"/>
  <c r="R419" i="9"/>
  <c r="M420" i="9"/>
  <c r="J420" i="9"/>
  <c r="R420" i="9"/>
  <c r="M421" i="9"/>
  <c r="J421" i="9"/>
  <c r="R421" i="9"/>
  <c r="M422" i="9"/>
  <c r="J422" i="9"/>
  <c r="R422" i="9"/>
  <c r="M423" i="9"/>
  <c r="J423" i="9"/>
  <c r="R423" i="9"/>
  <c r="M424" i="9"/>
  <c r="J424" i="9"/>
  <c r="R424" i="9"/>
  <c r="M425" i="9"/>
  <c r="J425" i="9"/>
  <c r="R425" i="9"/>
  <c r="M426" i="9"/>
  <c r="J426" i="9"/>
  <c r="R426" i="9"/>
  <c r="M427" i="9"/>
  <c r="J427" i="9"/>
  <c r="R427" i="9"/>
  <c r="M428" i="9"/>
  <c r="J428" i="9"/>
  <c r="R428" i="9"/>
  <c r="M429" i="9"/>
  <c r="J429" i="9"/>
  <c r="R429" i="9"/>
  <c r="M430" i="9"/>
  <c r="J430" i="9"/>
  <c r="R430" i="9"/>
  <c r="M431" i="9"/>
  <c r="J431" i="9"/>
  <c r="R431" i="9"/>
  <c r="M432" i="9"/>
  <c r="J432" i="9"/>
  <c r="R432" i="9"/>
  <c r="M433" i="9"/>
  <c r="J433" i="9"/>
  <c r="R433" i="9"/>
  <c r="M434" i="9"/>
  <c r="J434" i="9"/>
  <c r="R434" i="9"/>
  <c r="M435" i="9"/>
  <c r="J435" i="9"/>
  <c r="R435" i="9"/>
  <c r="M436" i="9"/>
  <c r="J436" i="9"/>
  <c r="R436" i="9"/>
  <c r="M437" i="9"/>
  <c r="J437" i="9"/>
  <c r="R437" i="9"/>
  <c r="M438" i="9"/>
  <c r="J438" i="9"/>
  <c r="R438" i="9"/>
  <c r="M439" i="9"/>
  <c r="J439" i="9"/>
  <c r="R439" i="9"/>
  <c r="M440" i="9"/>
  <c r="J440" i="9"/>
  <c r="R440" i="9"/>
  <c r="M441" i="9"/>
  <c r="J441" i="9"/>
  <c r="R441" i="9"/>
  <c r="M442" i="9"/>
  <c r="J442" i="9"/>
  <c r="R442" i="9"/>
  <c r="M443" i="9"/>
  <c r="J443" i="9"/>
  <c r="R443" i="9"/>
  <c r="M444" i="9"/>
  <c r="J444" i="9"/>
  <c r="R444" i="9"/>
  <c r="M445" i="9"/>
  <c r="J445" i="9"/>
  <c r="R445" i="9"/>
  <c r="M446" i="9"/>
  <c r="J446" i="9"/>
  <c r="R446" i="9"/>
  <c r="M447" i="9"/>
  <c r="J447" i="9"/>
  <c r="R447" i="9"/>
  <c r="M448" i="9"/>
  <c r="J448" i="9"/>
  <c r="R448" i="9"/>
  <c r="M449" i="9"/>
  <c r="J449" i="9"/>
  <c r="R449" i="9"/>
  <c r="M450" i="9"/>
  <c r="J450" i="9"/>
  <c r="R450" i="9"/>
  <c r="M451" i="9"/>
  <c r="J451" i="9"/>
  <c r="R451" i="9"/>
  <c r="M452" i="9"/>
  <c r="J452" i="9"/>
  <c r="R452" i="9"/>
  <c r="M453" i="9"/>
  <c r="J453" i="9"/>
  <c r="R453" i="9"/>
  <c r="M454" i="9"/>
  <c r="J454" i="9"/>
  <c r="R454" i="9"/>
  <c r="M455" i="9"/>
  <c r="J455" i="9"/>
  <c r="R455" i="9"/>
  <c r="M456" i="9"/>
  <c r="J456" i="9"/>
  <c r="R456" i="9"/>
  <c r="M457" i="9"/>
  <c r="J457" i="9"/>
  <c r="R457" i="9"/>
  <c r="M458" i="9"/>
  <c r="J458" i="9"/>
  <c r="R458" i="9"/>
  <c r="M459" i="9"/>
  <c r="J459" i="9"/>
  <c r="R459" i="9"/>
  <c r="M460" i="9"/>
  <c r="J460" i="9"/>
  <c r="R460" i="9"/>
  <c r="M461" i="9"/>
  <c r="J461" i="9"/>
  <c r="R461" i="9"/>
  <c r="M462" i="9"/>
  <c r="J462" i="9"/>
  <c r="R462" i="9"/>
  <c r="M463" i="9"/>
  <c r="J463" i="9"/>
  <c r="R463" i="9"/>
  <c r="M464" i="9"/>
  <c r="J464" i="9"/>
  <c r="R464" i="9"/>
  <c r="M465" i="9"/>
  <c r="J465" i="9"/>
  <c r="R465" i="9"/>
  <c r="M466" i="9"/>
  <c r="J466" i="9"/>
  <c r="R466" i="9"/>
  <c r="M467" i="9"/>
  <c r="J467" i="9"/>
  <c r="R467" i="9"/>
  <c r="M468" i="9"/>
  <c r="J468" i="9"/>
  <c r="R468" i="9"/>
  <c r="M469" i="9"/>
  <c r="J469" i="9"/>
  <c r="R469" i="9"/>
  <c r="M470" i="9"/>
  <c r="J470" i="9"/>
  <c r="R470" i="9"/>
  <c r="M471" i="9"/>
  <c r="J471" i="9"/>
  <c r="R471" i="9"/>
  <c r="M472" i="9"/>
  <c r="J472" i="9"/>
  <c r="R472" i="9"/>
  <c r="M473" i="9"/>
  <c r="J473" i="9"/>
  <c r="R473" i="9"/>
  <c r="M474" i="9"/>
  <c r="J474" i="9"/>
  <c r="R474" i="9"/>
  <c r="M475" i="9"/>
  <c r="J475" i="9"/>
  <c r="R475" i="9"/>
  <c r="M476" i="9"/>
  <c r="J476" i="9"/>
  <c r="R476" i="9"/>
  <c r="M477" i="9"/>
  <c r="J477" i="9"/>
  <c r="R477" i="9"/>
  <c r="M478" i="9"/>
  <c r="J478" i="9"/>
  <c r="R478" i="9"/>
  <c r="M479" i="9"/>
  <c r="J479" i="9"/>
  <c r="R479" i="9"/>
  <c r="M480" i="9"/>
  <c r="J480" i="9"/>
  <c r="R480" i="9"/>
  <c r="M481" i="9"/>
  <c r="J481" i="9"/>
  <c r="R481" i="9"/>
  <c r="M482" i="9"/>
  <c r="J482" i="9"/>
  <c r="R482" i="9"/>
  <c r="M483" i="9"/>
  <c r="J483" i="9"/>
  <c r="R483" i="9"/>
  <c r="M484" i="9"/>
  <c r="J484" i="9"/>
  <c r="R484" i="9"/>
  <c r="M485" i="9"/>
  <c r="J485" i="9"/>
  <c r="R485" i="9"/>
  <c r="M486" i="9"/>
  <c r="J486" i="9"/>
  <c r="R486" i="9"/>
  <c r="M487" i="9"/>
  <c r="J487" i="9"/>
  <c r="R487" i="9"/>
  <c r="M488" i="9"/>
  <c r="J488" i="9"/>
  <c r="R488" i="9"/>
  <c r="M489" i="9"/>
  <c r="J489" i="9"/>
  <c r="R489" i="9"/>
  <c r="M490" i="9"/>
  <c r="J490" i="9"/>
  <c r="R490" i="9"/>
  <c r="M491" i="9"/>
  <c r="J491" i="9"/>
  <c r="R491" i="9"/>
  <c r="M492" i="9"/>
  <c r="J492" i="9"/>
  <c r="R492" i="9"/>
  <c r="M493" i="9"/>
  <c r="J493" i="9"/>
  <c r="R493" i="9"/>
  <c r="M494" i="9"/>
  <c r="J494" i="9"/>
  <c r="R494" i="9"/>
  <c r="M495" i="9"/>
  <c r="J495" i="9"/>
  <c r="R495" i="9"/>
  <c r="M496" i="9"/>
  <c r="J496" i="9"/>
  <c r="R496" i="9"/>
  <c r="M497" i="9"/>
  <c r="J497" i="9"/>
  <c r="R497" i="9"/>
  <c r="M498" i="9"/>
  <c r="J498" i="9"/>
  <c r="R498" i="9"/>
  <c r="M499" i="9"/>
  <c r="J499" i="9"/>
  <c r="R499" i="9"/>
  <c r="M500" i="9"/>
  <c r="J500" i="9"/>
  <c r="R500" i="9"/>
  <c r="M501" i="9"/>
  <c r="J501" i="9"/>
  <c r="R501" i="9"/>
  <c r="M502" i="9"/>
  <c r="J502" i="9"/>
  <c r="R502" i="9"/>
  <c r="M503" i="9"/>
  <c r="J503" i="9"/>
  <c r="R503" i="9"/>
  <c r="M504" i="9"/>
  <c r="J504" i="9"/>
  <c r="R504" i="9"/>
  <c r="M505" i="9"/>
  <c r="J505" i="9"/>
  <c r="R505" i="9"/>
  <c r="M506" i="9"/>
  <c r="J506" i="9"/>
  <c r="R506" i="9"/>
  <c r="M507" i="9"/>
  <c r="J507" i="9"/>
  <c r="R507" i="9"/>
  <c r="M508" i="9"/>
  <c r="J508" i="9"/>
  <c r="R508" i="9"/>
  <c r="M509" i="9"/>
  <c r="J509" i="9"/>
  <c r="R509" i="9"/>
  <c r="M510" i="9"/>
  <c r="J510" i="9"/>
  <c r="R510" i="9"/>
  <c r="M511" i="9"/>
  <c r="J511" i="9"/>
  <c r="R511" i="9"/>
  <c r="M512" i="9"/>
  <c r="J512" i="9"/>
  <c r="R512" i="9"/>
  <c r="M513" i="9"/>
  <c r="J513" i="9"/>
  <c r="R513" i="9"/>
  <c r="M514" i="9"/>
  <c r="J514" i="9"/>
  <c r="R514" i="9"/>
  <c r="M515" i="9"/>
  <c r="J515" i="9"/>
  <c r="R515" i="9"/>
  <c r="M516" i="9"/>
  <c r="J516" i="9"/>
  <c r="R516" i="9"/>
  <c r="M517" i="9"/>
  <c r="J517" i="9"/>
  <c r="R517" i="9"/>
  <c r="M518" i="9"/>
  <c r="J518" i="9"/>
  <c r="R518" i="9"/>
  <c r="M519" i="9"/>
  <c r="J519" i="9"/>
  <c r="R519" i="9"/>
  <c r="M520" i="9"/>
  <c r="J520" i="9"/>
  <c r="R520" i="9"/>
  <c r="M521" i="9"/>
  <c r="J521" i="9"/>
  <c r="R521" i="9"/>
  <c r="M522" i="9"/>
  <c r="J522" i="9"/>
  <c r="R522" i="9"/>
  <c r="M523" i="9"/>
  <c r="J523" i="9"/>
  <c r="R523" i="9"/>
  <c r="M524" i="9"/>
  <c r="J524" i="9"/>
  <c r="R524" i="9"/>
  <c r="M525" i="9"/>
  <c r="J525" i="9"/>
  <c r="R525" i="9"/>
  <c r="M526" i="9"/>
  <c r="J526" i="9"/>
  <c r="R526" i="9"/>
  <c r="M527" i="9"/>
  <c r="J527" i="9"/>
  <c r="R527" i="9"/>
  <c r="M528" i="9"/>
  <c r="J528" i="9"/>
  <c r="R528" i="9"/>
  <c r="M529" i="9"/>
  <c r="J529" i="9"/>
  <c r="R529" i="9"/>
  <c r="M530" i="9"/>
  <c r="J530" i="9"/>
  <c r="R530" i="9"/>
  <c r="M531" i="9"/>
  <c r="J531" i="9"/>
  <c r="R531" i="9"/>
  <c r="M532" i="9"/>
  <c r="J532" i="9"/>
  <c r="R532" i="9"/>
  <c r="M533" i="9"/>
  <c r="J533" i="9"/>
  <c r="R533" i="9"/>
  <c r="M534" i="9"/>
  <c r="J534" i="9"/>
  <c r="R534" i="9"/>
  <c r="M535" i="9"/>
  <c r="J535" i="9"/>
  <c r="R535" i="9"/>
  <c r="M536" i="9"/>
  <c r="J536" i="9"/>
  <c r="R536" i="9"/>
  <c r="M537" i="9"/>
  <c r="J537" i="9"/>
  <c r="R537" i="9"/>
  <c r="M538" i="9"/>
  <c r="J538" i="9"/>
  <c r="R538" i="9"/>
  <c r="M539" i="9"/>
  <c r="J539" i="9"/>
  <c r="R539" i="9"/>
  <c r="M540" i="9"/>
  <c r="J540" i="9"/>
  <c r="R540" i="9"/>
  <c r="M541" i="9"/>
  <c r="J541" i="9"/>
  <c r="R541" i="9"/>
  <c r="M542" i="9"/>
  <c r="J542" i="9"/>
  <c r="R542" i="9"/>
  <c r="M543" i="9"/>
  <c r="J543" i="9"/>
  <c r="R543" i="9"/>
  <c r="M544" i="9"/>
  <c r="J544" i="9"/>
  <c r="R544" i="9"/>
  <c r="M545" i="9"/>
  <c r="J545" i="9"/>
  <c r="R545" i="9"/>
  <c r="M546" i="9"/>
  <c r="J546" i="9"/>
  <c r="R546" i="9"/>
  <c r="M547" i="9"/>
  <c r="J547" i="9"/>
  <c r="R547" i="9"/>
  <c r="M548" i="9"/>
  <c r="J548" i="9"/>
  <c r="R548" i="9"/>
  <c r="M549" i="9"/>
  <c r="J549" i="9"/>
  <c r="R549" i="9"/>
  <c r="M550" i="9"/>
  <c r="J550" i="9"/>
  <c r="R550" i="9"/>
  <c r="M551" i="9"/>
  <c r="J551" i="9"/>
  <c r="R551" i="9"/>
  <c r="M552" i="9"/>
  <c r="J552" i="9"/>
  <c r="R552" i="9"/>
  <c r="M553" i="9"/>
  <c r="J553" i="9"/>
  <c r="R553" i="9"/>
  <c r="M554" i="9"/>
  <c r="J554" i="9"/>
  <c r="R554" i="9"/>
  <c r="M555" i="9"/>
  <c r="J555" i="9"/>
  <c r="R555" i="9"/>
  <c r="M556" i="9"/>
  <c r="J556" i="9"/>
  <c r="R556" i="9"/>
  <c r="M557" i="9"/>
  <c r="J557" i="9"/>
  <c r="R557" i="9"/>
  <c r="M558" i="9"/>
  <c r="J558" i="9"/>
  <c r="R558" i="9"/>
  <c r="M559" i="9"/>
  <c r="J559" i="9"/>
  <c r="R559" i="9"/>
  <c r="M560" i="9"/>
  <c r="J560" i="9"/>
  <c r="R560" i="9"/>
  <c r="M561" i="9"/>
  <c r="J561" i="9"/>
  <c r="R561" i="9"/>
  <c r="M562" i="9"/>
  <c r="J562" i="9"/>
  <c r="R562" i="9"/>
  <c r="M563" i="9"/>
  <c r="J563" i="9"/>
  <c r="R563" i="9"/>
  <c r="M564" i="9"/>
  <c r="J564" i="9"/>
  <c r="R564" i="9"/>
  <c r="M565" i="9"/>
  <c r="J565" i="9"/>
  <c r="R565" i="9"/>
  <c r="M566" i="9"/>
  <c r="J566" i="9"/>
  <c r="R566" i="9"/>
  <c r="M567" i="9"/>
  <c r="J567" i="9"/>
  <c r="R567" i="9"/>
  <c r="M568" i="9"/>
  <c r="J568" i="9"/>
  <c r="R568" i="9"/>
  <c r="M569" i="9"/>
  <c r="J569" i="9"/>
  <c r="R569" i="9"/>
  <c r="M570" i="9"/>
  <c r="J570" i="9"/>
  <c r="R570" i="9"/>
  <c r="M571" i="9"/>
  <c r="J571" i="9"/>
  <c r="R571" i="9"/>
  <c r="M572" i="9"/>
  <c r="J572" i="9"/>
  <c r="R572" i="9"/>
  <c r="M573" i="9"/>
  <c r="J573" i="9"/>
  <c r="R573" i="9"/>
  <c r="M574" i="9"/>
  <c r="J574" i="9"/>
  <c r="R574" i="9"/>
  <c r="M575" i="9"/>
  <c r="J575" i="9"/>
  <c r="R575" i="9"/>
  <c r="M576" i="9"/>
  <c r="J576" i="9"/>
  <c r="R576" i="9"/>
  <c r="M577" i="9"/>
  <c r="J577" i="9"/>
  <c r="R577" i="9"/>
  <c r="M578" i="9"/>
  <c r="J578" i="9"/>
  <c r="R578" i="9"/>
  <c r="M579" i="9"/>
  <c r="J579" i="9"/>
  <c r="R579" i="9"/>
  <c r="M580" i="9"/>
  <c r="J580" i="9"/>
  <c r="R580" i="9"/>
  <c r="M581" i="9"/>
  <c r="J581" i="9"/>
  <c r="R581" i="9"/>
  <c r="M582" i="9"/>
  <c r="J582" i="9"/>
  <c r="R582" i="9"/>
  <c r="M583" i="9"/>
  <c r="J583" i="9"/>
  <c r="R583" i="9"/>
  <c r="M584" i="9"/>
  <c r="J584" i="9"/>
  <c r="R584" i="9"/>
  <c r="M585" i="9"/>
  <c r="J585" i="9"/>
  <c r="R585" i="9"/>
  <c r="M586" i="9"/>
  <c r="J586" i="9"/>
  <c r="R586" i="9"/>
  <c r="M587" i="9"/>
  <c r="J587" i="9"/>
  <c r="R587" i="9"/>
  <c r="M588" i="9"/>
  <c r="J588" i="9"/>
  <c r="R588" i="9"/>
  <c r="M589" i="9"/>
  <c r="J589" i="9"/>
  <c r="R589" i="9"/>
  <c r="M590" i="9"/>
  <c r="J590" i="9"/>
  <c r="R590" i="9"/>
  <c r="M591" i="9"/>
  <c r="J591" i="9"/>
  <c r="R591" i="9"/>
  <c r="M592" i="9"/>
  <c r="J592" i="9"/>
  <c r="R592" i="9"/>
  <c r="M593" i="9"/>
  <c r="J593" i="9"/>
  <c r="R593" i="9"/>
  <c r="M594" i="9"/>
  <c r="J594" i="9"/>
  <c r="R594" i="9"/>
  <c r="M595" i="9"/>
  <c r="J595" i="9"/>
  <c r="R595" i="9"/>
  <c r="M596" i="9"/>
  <c r="J596" i="9"/>
  <c r="R596" i="9"/>
  <c r="M597" i="9"/>
  <c r="J597" i="9"/>
  <c r="R597" i="9"/>
  <c r="M598" i="9"/>
  <c r="J598" i="9"/>
  <c r="R598" i="9"/>
  <c r="M599" i="9"/>
  <c r="J599" i="9"/>
  <c r="R599" i="9"/>
  <c r="M600" i="9"/>
  <c r="J600" i="9"/>
  <c r="R600" i="9"/>
  <c r="M601" i="9"/>
  <c r="J601" i="9"/>
  <c r="R601" i="9"/>
  <c r="M602" i="9"/>
  <c r="J602" i="9"/>
  <c r="R602" i="9"/>
  <c r="M603" i="9"/>
  <c r="J603" i="9"/>
  <c r="R603" i="9"/>
  <c r="M604" i="9"/>
  <c r="J604" i="9"/>
  <c r="R604" i="9"/>
  <c r="M605" i="9"/>
  <c r="J605" i="9"/>
  <c r="R605" i="9"/>
  <c r="M606" i="9"/>
  <c r="J606" i="9"/>
  <c r="R606" i="9"/>
  <c r="M607" i="9"/>
  <c r="J607" i="9"/>
  <c r="R607" i="9"/>
  <c r="M608" i="9"/>
  <c r="J608" i="9"/>
  <c r="R608" i="9"/>
  <c r="M609" i="9"/>
  <c r="J609" i="9"/>
  <c r="R609" i="9"/>
  <c r="M610" i="9"/>
  <c r="J610" i="9"/>
  <c r="R610" i="9"/>
  <c r="M611" i="9"/>
  <c r="J611" i="9"/>
  <c r="R611" i="9"/>
  <c r="M612" i="9"/>
  <c r="J612" i="9"/>
  <c r="R612" i="9"/>
  <c r="M613" i="9"/>
  <c r="J613" i="9"/>
  <c r="R613" i="9"/>
  <c r="M614" i="9"/>
  <c r="J614" i="9"/>
  <c r="R614" i="9"/>
  <c r="M615" i="9"/>
  <c r="J615" i="9"/>
  <c r="R615" i="9"/>
  <c r="M616" i="9"/>
  <c r="J616" i="9"/>
  <c r="R616" i="9"/>
  <c r="M617" i="9"/>
  <c r="J617" i="9"/>
  <c r="R617" i="9"/>
  <c r="M618" i="9"/>
  <c r="J618" i="9"/>
  <c r="R618" i="9"/>
  <c r="M619" i="9"/>
  <c r="J619" i="9"/>
  <c r="R619" i="9"/>
  <c r="M620" i="9"/>
  <c r="J620" i="9"/>
  <c r="R620" i="9"/>
  <c r="M621" i="9"/>
  <c r="J621" i="9"/>
  <c r="R621" i="9"/>
  <c r="M622" i="9"/>
  <c r="J622" i="9"/>
  <c r="R622" i="9"/>
  <c r="M623" i="9"/>
  <c r="J623" i="9"/>
  <c r="R623" i="9"/>
  <c r="M624" i="9"/>
  <c r="J624" i="9"/>
  <c r="R624" i="9"/>
  <c r="M625" i="9"/>
  <c r="J625" i="9"/>
  <c r="R625" i="9"/>
  <c r="M626" i="9"/>
  <c r="J626" i="9"/>
  <c r="R626" i="9"/>
  <c r="M627" i="9"/>
  <c r="J627" i="9"/>
  <c r="R627" i="9"/>
  <c r="M628" i="9"/>
  <c r="J628" i="9"/>
  <c r="R628" i="9"/>
  <c r="M629" i="9"/>
  <c r="J629" i="9"/>
  <c r="R629" i="9"/>
  <c r="M630" i="9"/>
  <c r="J630" i="9"/>
  <c r="R630" i="9"/>
  <c r="M631" i="9"/>
  <c r="J631" i="9"/>
  <c r="R631" i="9"/>
  <c r="M632" i="9"/>
  <c r="J632" i="9"/>
  <c r="R632" i="9"/>
  <c r="M633" i="9"/>
  <c r="J633" i="9"/>
  <c r="R633" i="9"/>
  <c r="M634" i="9"/>
  <c r="J634" i="9"/>
  <c r="R634" i="9"/>
  <c r="M635" i="9"/>
  <c r="J635" i="9"/>
  <c r="R635" i="9"/>
  <c r="M636" i="9"/>
  <c r="J636" i="9"/>
  <c r="R636" i="9"/>
  <c r="M637" i="9"/>
  <c r="J637" i="9"/>
  <c r="R637" i="9"/>
  <c r="M638" i="9"/>
  <c r="J638" i="9"/>
  <c r="R638" i="9"/>
  <c r="M639" i="9"/>
  <c r="J639" i="9"/>
  <c r="R639" i="9"/>
  <c r="M640" i="9"/>
  <c r="J640" i="9"/>
  <c r="R640" i="9"/>
  <c r="M641" i="9"/>
  <c r="J641" i="9"/>
  <c r="R641" i="9"/>
  <c r="M642" i="9"/>
  <c r="J642" i="9"/>
  <c r="R642" i="9"/>
  <c r="M643" i="9"/>
  <c r="J643" i="9"/>
  <c r="R643" i="9"/>
  <c r="M644" i="9"/>
  <c r="J644" i="9"/>
  <c r="R644" i="9"/>
  <c r="M645" i="9"/>
  <c r="J645" i="9"/>
  <c r="R645" i="9"/>
  <c r="M646" i="9"/>
  <c r="J646" i="9"/>
  <c r="R646" i="9"/>
  <c r="M647" i="9"/>
  <c r="J647" i="9"/>
  <c r="R647" i="9"/>
  <c r="M648" i="9"/>
  <c r="J648" i="9"/>
  <c r="R648" i="9"/>
  <c r="M649" i="9"/>
  <c r="J649" i="9"/>
  <c r="R649" i="9"/>
  <c r="M650" i="9"/>
  <c r="J650" i="9"/>
  <c r="R650" i="9"/>
  <c r="M651" i="9"/>
  <c r="J651" i="9"/>
  <c r="R651" i="9"/>
  <c r="M652" i="9"/>
  <c r="J652" i="9"/>
  <c r="R652" i="9"/>
  <c r="M653" i="9"/>
  <c r="J653" i="9"/>
  <c r="R653" i="9"/>
  <c r="M654" i="9"/>
  <c r="J654" i="9"/>
  <c r="R654" i="9"/>
  <c r="M655" i="9"/>
  <c r="J655" i="9"/>
  <c r="R655" i="9"/>
  <c r="M656" i="9"/>
  <c r="J656" i="9"/>
  <c r="R656" i="9"/>
  <c r="M657" i="9"/>
  <c r="J657" i="9"/>
  <c r="R657" i="9"/>
  <c r="M658" i="9"/>
  <c r="J658" i="9"/>
  <c r="R658" i="9"/>
  <c r="M659" i="9"/>
  <c r="J659" i="9"/>
  <c r="R659" i="9"/>
  <c r="M660" i="9"/>
  <c r="J660" i="9"/>
  <c r="R660" i="9"/>
  <c r="M661" i="9"/>
  <c r="J661" i="9"/>
  <c r="R661" i="9"/>
  <c r="M662" i="9"/>
  <c r="J662" i="9"/>
  <c r="R662" i="9"/>
  <c r="M663" i="9"/>
  <c r="J663" i="9"/>
  <c r="R663" i="9"/>
  <c r="M664" i="9"/>
  <c r="J664" i="9"/>
  <c r="R664" i="9"/>
  <c r="M665" i="9"/>
  <c r="J665" i="9"/>
  <c r="R665" i="9"/>
  <c r="M666" i="9"/>
  <c r="J666" i="9"/>
  <c r="R666" i="9"/>
  <c r="M667" i="9"/>
  <c r="J667" i="9"/>
  <c r="R667" i="9"/>
  <c r="M668" i="9"/>
  <c r="J668" i="9"/>
  <c r="R668" i="9"/>
  <c r="M669" i="9"/>
  <c r="J669" i="9"/>
  <c r="R669" i="9"/>
  <c r="M670" i="9"/>
  <c r="J670" i="9"/>
  <c r="R670" i="9"/>
  <c r="M671" i="9"/>
  <c r="J671" i="9"/>
  <c r="R671" i="9"/>
  <c r="M672" i="9"/>
  <c r="J672" i="9"/>
  <c r="R672" i="9"/>
  <c r="M673" i="9"/>
  <c r="J673" i="9"/>
  <c r="R673" i="9"/>
  <c r="M674" i="9"/>
  <c r="J674" i="9"/>
  <c r="R674" i="9"/>
  <c r="M675" i="9"/>
  <c r="J675" i="9"/>
  <c r="R675" i="9"/>
  <c r="M676" i="9"/>
  <c r="J676" i="9"/>
  <c r="R676" i="9"/>
  <c r="M677" i="9"/>
  <c r="J677" i="9"/>
  <c r="R677" i="9"/>
  <c r="M678" i="9"/>
  <c r="J678" i="9"/>
  <c r="R678" i="9"/>
  <c r="M679" i="9"/>
  <c r="J679" i="9"/>
  <c r="R679" i="9"/>
  <c r="M680" i="9"/>
  <c r="J680" i="9"/>
  <c r="R680" i="9"/>
  <c r="M681" i="9"/>
  <c r="J681" i="9"/>
  <c r="R681" i="9"/>
  <c r="M682" i="9"/>
  <c r="J682" i="9"/>
  <c r="R682" i="9"/>
  <c r="M683" i="9"/>
  <c r="J683" i="9"/>
  <c r="R683" i="9"/>
  <c r="M684" i="9"/>
  <c r="J684" i="9"/>
  <c r="R684" i="9"/>
  <c r="M685" i="9"/>
  <c r="J685" i="9"/>
  <c r="R685" i="9"/>
  <c r="M686" i="9"/>
  <c r="J686" i="9"/>
  <c r="R686" i="9"/>
  <c r="M687" i="9"/>
  <c r="J687" i="9"/>
  <c r="R687" i="9"/>
  <c r="M688" i="9"/>
  <c r="J688" i="9"/>
  <c r="R688" i="9"/>
  <c r="M689" i="9"/>
  <c r="J689" i="9"/>
  <c r="R689" i="9"/>
  <c r="M690" i="9"/>
  <c r="J690" i="9"/>
  <c r="R690" i="9"/>
  <c r="M691" i="9"/>
  <c r="J691" i="9"/>
  <c r="R691" i="9"/>
  <c r="M692" i="9"/>
  <c r="J692" i="9"/>
  <c r="R692" i="9"/>
  <c r="M693" i="9"/>
  <c r="J693" i="9"/>
  <c r="R693" i="9"/>
  <c r="M694" i="9"/>
  <c r="J694" i="9"/>
  <c r="R694" i="9"/>
  <c r="M695" i="9"/>
  <c r="J695" i="9"/>
  <c r="R695" i="9"/>
  <c r="M696" i="9"/>
  <c r="J696" i="9"/>
  <c r="R696" i="9"/>
  <c r="M697" i="9"/>
  <c r="J697" i="9"/>
  <c r="R697" i="9"/>
  <c r="M698" i="9"/>
  <c r="J698" i="9"/>
  <c r="R698" i="9"/>
  <c r="M699" i="9"/>
  <c r="J699" i="9"/>
  <c r="R699" i="9"/>
  <c r="M700" i="9"/>
  <c r="J700" i="9"/>
  <c r="R700" i="9"/>
  <c r="M701" i="9"/>
  <c r="J701" i="9"/>
  <c r="R701" i="9"/>
  <c r="M702" i="9"/>
  <c r="J702" i="9"/>
  <c r="R702" i="9"/>
  <c r="M703" i="9"/>
  <c r="J703" i="9"/>
  <c r="R703" i="9"/>
  <c r="M704" i="9"/>
  <c r="J704" i="9"/>
  <c r="R704" i="9"/>
  <c r="M705" i="9"/>
  <c r="J705" i="9"/>
  <c r="R705" i="9"/>
  <c r="M706" i="9"/>
  <c r="J706" i="9"/>
  <c r="R706" i="9"/>
  <c r="M707" i="9"/>
  <c r="J707" i="9"/>
  <c r="R707" i="9"/>
  <c r="M708" i="9"/>
  <c r="J708" i="9"/>
  <c r="R708" i="9"/>
  <c r="M709" i="9"/>
  <c r="J709" i="9"/>
  <c r="R709" i="9"/>
  <c r="M710" i="9"/>
  <c r="J710" i="9"/>
  <c r="R710" i="9"/>
  <c r="M711" i="9"/>
  <c r="J711" i="9"/>
  <c r="R711" i="9"/>
  <c r="M712" i="9"/>
  <c r="J712" i="9"/>
  <c r="R712" i="9"/>
  <c r="M713" i="9"/>
  <c r="J713" i="9"/>
  <c r="R713" i="9"/>
  <c r="M714" i="9"/>
  <c r="J714" i="9"/>
  <c r="R714" i="9"/>
  <c r="M715" i="9"/>
  <c r="J715" i="9"/>
  <c r="R715" i="9"/>
  <c r="M716" i="9"/>
  <c r="J716" i="9"/>
  <c r="R716" i="9"/>
  <c r="M717" i="9"/>
  <c r="J717" i="9"/>
  <c r="R717" i="9"/>
  <c r="M718" i="9"/>
  <c r="J718" i="9"/>
  <c r="R718" i="9"/>
  <c r="M719" i="9"/>
  <c r="J719" i="9"/>
  <c r="R719" i="9"/>
  <c r="M720" i="9"/>
  <c r="J720" i="9"/>
  <c r="R720" i="9"/>
  <c r="M721" i="9"/>
  <c r="J721" i="9"/>
  <c r="R721" i="9"/>
  <c r="M722" i="9"/>
  <c r="J722" i="9"/>
  <c r="R722" i="9"/>
  <c r="M723" i="9"/>
  <c r="J723" i="9"/>
  <c r="R723" i="9"/>
  <c r="M724" i="9"/>
  <c r="J724" i="9"/>
  <c r="R724" i="9"/>
  <c r="R726" i="9"/>
  <c r="O11" i="9"/>
  <c r="O396" i="9"/>
  <c r="O431" i="9"/>
  <c r="O452" i="9"/>
  <c r="O4" i="9"/>
  <c r="O5" i="9"/>
  <c r="O6" i="9"/>
  <c r="O7" i="9"/>
  <c r="O8" i="9"/>
  <c r="O9" i="9"/>
  <c r="O10"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336" i="9"/>
  <c r="O337" i="9"/>
  <c r="O338" i="9"/>
  <c r="O339" i="9"/>
  <c r="O340" i="9"/>
  <c r="O341" i="9"/>
  <c r="O342" i="9"/>
  <c r="O343" i="9"/>
  <c r="O344" i="9"/>
  <c r="O345" i="9"/>
  <c r="O346" i="9"/>
  <c r="O347" i="9"/>
  <c r="O348" i="9"/>
  <c r="O349" i="9"/>
  <c r="O350" i="9"/>
  <c r="O351" i="9"/>
  <c r="O352" i="9"/>
  <c r="O353" i="9"/>
  <c r="O354" i="9"/>
  <c r="O355" i="9"/>
  <c r="O356" i="9"/>
  <c r="O357" i="9"/>
  <c r="O358" i="9"/>
  <c r="O359" i="9"/>
  <c r="O360" i="9"/>
  <c r="O361" i="9"/>
  <c r="O362" i="9"/>
  <c r="O363" i="9"/>
  <c r="O364" i="9"/>
  <c r="O365" i="9"/>
  <c r="O366" i="9"/>
  <c r="O367" i="9"/>
  <c r="O368" i="9"/>
  <c r="O369" i="9"/>
  <c r="O370" i="9"/>
  <c r="O371" i="9"/>
  <c r="O372" i="9"/>
  <c r="O373" i="9"/>
  <c r="O374" i="9"/>
  <c r="O375" i="9"/>
  <c r="O376" i="9"/>
  <c r="O377" i="9"/>
  <c r="O378" i="9"/>
  <c r="O379" i="9"/>
  <c r="O380" i="9"/>
  <c r="O381" i="9"/>
  <c r="O382" i="9"/>
  <c r="O383" i="9"/>
  <c r="O384" i="9"/>
  <c r="O385" i="9"/>
  <c r="O386" i="9"/>
  <c r="O387" i="9"/>
  <c r="O388" i="9"/>
  <c r="O389" i="9"/>
  <c r="O390" i="9"/>
  <c r="O391" i="9"/>
  <c r="O392" i="9"/>
  <c r="O393" i="9"/>
  <c r="O394" i="9"/>
  <c r="O395" i="9"/>
  <c r="O397" i="9"/>
  <c r="O398" i="9"/>
  <c r="O399" i="9"/>
  <c r="O400" i="9"/>
  <c r="O401" i="9"/>
  <c r="O402" i="9"/>
  <c r="O403" i="9"/>
  <c r="O404" i="9"/>
  <c r="O405" i="9"/>
  <c r="O406" i="9"/>
  <c r="O407" i="9"/>
  <c r="O408" i="9"/>
  <c r="O409" i="9"/>
  <c r="O410" i="9"/>
  <c r="O411" i="9"/>
  <c r="O412" i="9"/>
  <c r="O413" i="9"/>
  <c r="O414" i="9"/>
  <c r="O415" i="9"/>
  <c r="O416" i="9"/>
  <c r="O417" i="9"/>
  <c r="O418" i="9"/>
  <c r="O419" i="9"/>
  <c r="O420" i="9"/>
  <c r="O421" i="9"/>
  <c r="O422" i="9"/>
  <c r="O423" i="9"/>
  <c r="O424" i="9"/>
  <c r="O425" i="9"/>
  <c r="O426" i="9"/>
  <c r="O427" i="9"/>
  <c r="O428" i="9"/>
  <c r="O429" i="9"/>
  <c r="O430" i="9"/>
  <c r="O432" i="9"/>
  <c r="O433" i="9"/>
  <c r="O434" i="9"/>
  <c r="O435" i="9"/>
  <c r="O436" i="9"/>
  <c r="O437" i="9"/>
  <c r="O438" i="9"/>
  <c r="O439" i="9"/>
  <c r="O440" i="9"/>
  <c r="O441" i="9"/>
  <c r="O442" i="9"/>
  <c r="O443" i="9"/>
  <c r="O444" i="9"/>
  <c r="O445" i="9"/>
  <c r="O446" i="9"/>
  <c r="O447" i="9"/>
  <c r="O448" i="9"/>
  <c r="O449" i="9"/>
  <c r="O450" i="9"/>
  <c r="O451" i="9"/>
  <c r="O453" i="9"/>
  <c r="O454" i="9"/>
  <c r="O455" i="9"/>
  <c r="O456" i="9"/>
  <c r="O457" i="9"/>
  <c r="O458" i="9"/>
  <c r="O459" i="9"/>
  <c r="O460" i="9"/>
  <c r="O461" i="9"/>
  <c r="O462" i="9"/>
  <c r="O463" i="9"/>
  <c r="O464" i="9"/>
  <c r="O465" i="9"/>
  <c r="O466" i="9"/>
  <c r="O467" i="9"/>
  <c r="O468" i="9"/>
  <c r="O469" i="9"/>
  <c r="O470" i="9"/>
  <c r="O471" i="9"/>
  <c r="O472" i="9"/>
  <c r="O473" i="9"/>
  <c r="O474" i="9"/>
  <c r="O475" i="9"/>
  <c r="O476" i="9"/>
  <c r="O477" i="9"/>
  <c r="O478" i="9"/>
  <c r="O479" i="9"/>
  <c r="O480" i="9"/>
  <c r="O481" i="9"/>
  <c r="O482" i="9"/>
  <c r="O483" i="9"/>
  <c r="O484" i="9"/>
  <c r="O485" i="9"/>
  <c r="O486" i="9"/>
  <c r="O487" i="9"/>
  <c r="O488" i="9"/>
  <c r="O489" i="9"/>
  <c r="O490" i="9"/>
  <c r="O491" i="9"/>
  <c r="O492" i="9"/>
  <c r="O493" i="9"/>
  <c r="O494" i="9"/>
  <c r="O495" i="9"/>
  <c r="O496" i="9"/>
  <c r="O497" i="9"/>
  <c r="O498" i="9"/>
  <c r="O499" i="9"/>
  <c r="O500" i="9"/>
  <c r="O501" i="9"/>
  <c r="O502" i="9"/>
  <c r="O503" i="9"/>
  <c r="O504" i="9"/>
  <c r="O505" i="9"/>
  <c r="O506" i="9"/>
  <c r="O507" i="9"/>
  <c r="O508" i="9"/>
  <c r="O509" i="9"/>
  <c r="O510" i="9"/>
  <c r="O511" i="9"/>
  <c r="O512" i="9"/>
  <c r="O513" i="9"/>
  <c r="O514" i="9"/>
  <c r="O515" i="9"/>
  <c r="O516" i="9"/>
  <c r="O517" i="9"/>
  <c r="O518" i="9"/>
  <c r="O519" i="9"/>
  <c r="O520" i="9"/>
  <c r="O521" i="9"/>
  <c r="O522" i="9"/>
  <c r="O523" i="9"/>
  <c r="O524" i="9"/>
  <c r="O525" i="9"/>
  <c r="O526" i="9"/>
  <c r="O527" i="9"/>
  <c r="O528" i="9"/>
  <c r="O529" i="9"/>
  <c r="O530" i="9"/>
  <c r="O531" i="9"/>
  <c r="O532" i="9"/>
  <c r="O533" i="9"/>
  <c r="O534" i="9"/>
  <c r="O535" i="9"/>
  <c r="O536" i="9"/>
  <c r="O537" i="9"/>
  <c r="O538" i="9"/>
  <c r="O539" i="9"/>
  <c r="O540" i="9"/>
  <c r="O541" i="9"/>
  <c r="O542" i="9"/>
  <c r="O543" i="9"/>
  <c r="O544" i="9"/>
  <c r="O545" i="9"/>
  <c r="O546" i="9"/>
  <c r="O547" i="9"/>
  <c r="O548" i="9"/>
  <c r="O549" i="9"/>
  <c r="O550" i="9"/>
  <c r="O551" i="9"/>
  <c r="O552" i="9"/>
  <c r="O553" i="9"/>
  <c r="O554" i="9"/>
  <c r="O555" i="9"/>
  <c r="O556" i="9"/>
  <c r="O557" i="9"/>
  <c r="O558" i="9"/>
  <c r="O559" i="9"/>
  <c r="O560" i="9"/>
  <c r="O561" i="9"/>
  <c r="O562" i="9"/>
  <c r="O563" i="9"/>
  <c r="O564" i="9"/>
  <c r="O565" i="9"/>
  <c r="O566" i="9"/>
  <c r="O567" i="9"/>
  <c r="O568" i="9"/>
  <c r="O569" i="9"/>
  <c r="O570" i="9"/>
  <c r="O571" i="9"/>
  <c r="O572" i="9"/>
  <c r="O573" i="9"/>
  <c r="O574" i="9"/>
  <c r="O575" i="9"/>
  <c r="O576" i="9"/>
  <c r="O577" i="9"/>
  <c r="O578" i="9"/>
  <c r="O579" i="9"/>
  <c r="O580" i="9"/>
  <c r="O581" i="9"/>
  <c r="O582" i="9"/>
  <c r="O583" i="9"/>
  <c r="O584" i="9"/>
  <c r="O585" i="9"/>
  <c r="O586" i="9"/>
  <c r="O587" i="9"/>
  <c r="O588" i="9"/>
  <c r="O589" i="9"/>
  <c r="O590" i="9"/>
  <c r="O591" i="9"/>
  <c r="O592" i="9"/>
  <c r="O593" i="9"/>
  <c r="O594" i="9"/>
  <c r="O595" i="9"/>
  <c r="O596" i="9"/>
  <c r="O597" i="9"/>
  <c r="O598" i="9"/>
  <c r="O599" i="9"/>
  <c r="O600" i="9"/>
  <c r="O601" i="9"/>
  <c r="O602" i="9"/>
  <c r="O603" i="9"/>
  <c r="O604" i="9"/>
  <c r="O605" i="9"/>
  <c r="O606" i="9"/>
  <c r="O607" i="9"/>
  <c r="O608" i="9"/>
  <c r="O609" i="9"/>
  <c r="O610" i="9"/>
  <c r="O611" i="9"/>
  <c r="O612" i="9"/>
  <c r="O613" i="9"/>
  <c r="O614" i="9"/>
  <c r="O615" i="9"/>
  <c r="O616" i="9"/>
  <c r="O617" i="9"/>
  <c r="O618" i="9"/>
  <c r="O619" i="9"/>
  <c r="O620" i="9"/>
  <c r="O621" i="9"/>
  <c r="O622" i="9"/>
  <c r="O623" i="9"/>
  <c r="O624" i="9"/>
  <c r="O625" i="9"/>
  <c r="O626" i="9"/>
  <c r="O627" i="9"/>
  <c r="O628" i="9"/>
  <c r="O629" i="9"/>
  <c r="O630" i="9"/>
  <c r="O631" i="9"/>
  <c r="O632" i="9"/>
  <c r="O633" i="9"/>
  <c r="O634" i="9"/>
  <c r="O635" i="9"/>
  <c r="O636" i="9"/>
  <c r="O637" i="9"/>
  <c r="O638" i="9"/>
  <c r="O639" i="9"/>
  <c r="O640" i="9"/>
  <c r="O641" i="9"/>
  <c r="O642" i="9"/>
  <c r="O643" i="9"/>
  <c r="O644" i="9"/>
  <c r="O645" i="9"/>
  <c r="O646" i="9"/>
  <c r="O647" i="9"/>
  <c r="O648" i="9"/>
  <c r="O649" i="9"/>
  <c r="O650" i="9"/>
  <c r="O651" i="9"/>
  <c r="O652" i="9"/>
  <c r="O653" i="9"/>
  <c r="O654" i="9"/>
  <c r="O655" i="9"/>
  <c r="O656" i="9"/>
  <c r="O657" i="9"/>
  <c r="O658" i="9"/>
  <c r="O659" i="9"/>
  <c r="O660" i="9"/>
  <c r="O661" i="9"/>
  <c r="O662" i="9"/>
  <c r="O663" i="9"/>
  <c r="O664" i="9"/>
  <c r="O665" i="9"/>
  <c r="O666" i="9"/>
  <c r="O667" i="9"/>
  <c r="O668" i="9"/>
  <c r="O669" i="9"/>
  <c r="O670" i="9"/>
  <c r="O671" i="9"/>
  <c r="O672" i="9"/>
  <c r="O673" i="9"/>
  <c r="O674" i="9"/>
  <c r="O675" i="9"/>
  <c r="O676" i="9"/>
  <c r="O677" i="9"/>
  <c r="O678" i="9"/>
  <c r="O679" i="9"/>
  <c r="O680" i="9"/>
  <c r="O681" i="9"/>
  <c r="O682" i="9"/>
  <c r="O683" i="9"/>
  <c r="O684" i="9"/>
  <c r="O685" i="9"/>
  <c r="O686" i="9"/>
  <c r="O687" i="9"/>
  <c r="O688" i="9"/>
  <c r="O689" i="9"/>
  <c r="O690" i="9"/>
  <c r="O691" i="9"/>
  <c r="O692" i="9"/>
  <c r="O693" i="9"/>
  <c r="O694" i="9"/>
  <c r="O695" i="9"/>
  <c r="O696" i="9"/>
  <c r="O697" i="9"/>
  <c r="O698" i="9"/>
  <c r="O699" i="9"/>
  <c r="O700" i="9"/>
  <c r="O701" i="9"/>
  <c r="O702" i="9"/>
  <c r="O703" i="9"/>
  <c r="O704" i="9"/>
  <c r="O705" i="9"/>
  <c r="O706" i="9"/>
  <c r="O707" i="9"/>
  <c r="O708" i="9"/>
  <c r="O709" i="9"/>
  <c r="O710" i="9"/>
  <c r="O711" i="9"/>
  <c r="O712" i="9"/>
  <c r="O713" i="9"/>
  <c r="O714" i="9"/>
  <c r="O715" i="9"/>
  <c r="O716" i="9"/>
  <c r="O717" i="9"/>
  <c r="O718" i="9"/>
  <c r="O719" i="9"/>
  <c r="O720" i="9"/>
  <c r="O721" i="9"/>
  <c r="O722" i="9"/>
  <c r="O723" i="9"/>
  <c r="O724" i="9"/>
  <c r="O726" i="9"/>
  <c r="M726" i="9"/>
  <c r="L726" i="9"/>
  <c r="J726" i="9"/>
  <c r="I726" i="9"/>
  <c r="AM724" i="9"/>
  <c r="AI724" i="9"/>
  <c r="AE724" i="9"/>
  <c r="AA724" i="9"/>
  <c r="W4" i="9"/>
  <c r="W5" i="9"/>
  <c r="W6" i="9"/>
  <c r="W7" i="9"/>
  <c r="W8" i="9"/>
  <c r="W9" i="9"/>
  <c r="W10" i="9"/>
  <c r="W11" i="9"/>
  <c r="W12" i="9"/>
  <c r="W13" i="9"/>
  <c r="W14" i="9"/>
  <c r="W15" i="9"/>
  <c r="W16" i="9"/>
  <c r="W17" i="9"/>
  <c r="W18" i="9"/>
  <c r="W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184" i="9"/>
  <c r="W185" i="9"/>
  <c r="W186" i="9"/>
  <c r="W187" i="9"/>
  <c r="W188" i="9"/>
  <c r="W189" i="9"/>
  <c r="W190" i="9"/>
  <c r="W191" i="9"/>
  <c r="W192" i="9"/>
  <c r="W193" i="9"/>
  <c r="W194" i="9"/>
  <c r="W195" i="9"/>
  <c r="W196" i="9"/>
  <c r="W197" i="9"/>
  <c r="W198" i="9"/>
  <c r="W199" i="9"/>
  <c r="W200" i="9"/>
  <c r="W201" i="9"/>
  <c r="W202" i="9"/>
  <c r="W203" i="9"/>
  <c r="W204" i="9"/>
  <c r="W205" i="9"/>
  <c r="W206" i="9"/>
  <c r="W207" i="9"/>
  <c r="W208" i="9"/>
  <c r="W209" i="9"/>
  <c r="W210" i="9"/>
  <c r="W211" i="9"/>
  <c r="W212" i="9"/>
  <c r="W213" i="9"/>
  <c r="W214" i="9"/>
  <c r="W215" i="9"/>
  <c r="W216" i="9"/>
  <c r="W217" i="9"/>
  <c r="W218" i="9"/>
  <c r="W219" i="9"/>
  <c r="W220" i="9"/>
  <c r="W221" i="9"/>
  <c r="W222" i="9"/>
  <c r="W223" i="9"/>
  <c r="W224" i="9"/>
  <c r="W225" i="9"/>
  <c r="W226" i="9"/>
  <c r="W227" i="9"/>
  <c r="W228" i="9"/>
  <c r="W229" i="9"/>
  <c r="W230" i="9"/>
  <c r="W231" i="9"/>
  <c r="W232" i="9"/>
  <c r="W233" i="9"/>
  <c r="W234" i="9"/>
  <c r="W235" i="9"/>
  <c r="W236" i="9"/>
  <c r="W237" i="9"/>
  <c r="W238" i="9"/>
  <c r="W239" i="9"/>
  <c r="W240" i="9"/>
  <c r="W241" i="9"/>
  <c r="W242" i="9"/>
  <c r="W243" i="9"/>
  <c r="W244" i="9"/>
  <c r="W245" i="9"/>
  <c r="W246" i="9"/>
  <c r="W247" i="9"/>
  <c r="W248" i="9"/>
  <c r="W249" i="9"/>
  <c r="W250" i="9"/>
  <c r="W251" i="9"/>
  <c r="W252" i="9"/>
  <c r="W253" i="9"/>
  <c r="W254" i="9"/>
  <c r="W255" i="9"/>
  <c r="W256" i="9"/>
  <c r="W257" i="9"/>
  <c r="W258" i="9"/>
  <c r="W259" i="9"/>
  <c r="W260" i="9"/>
  <c r="W261" i="9"/>
  <c r="W262" i="9"/>
  <c r="W263" i="9"/>
  <c r="W264" i="9"/>
  <c r="W265" i="9"/>
  <c r="W266" i="9"/>
  <c r="W267" i="9"/>
  <c r="W268" i="9"/>
  <c r="W269" i="9"/>
  <c r="W270" i="9"/>
  <c r="W271" i="9"/>
  <c r="W272" i="9"/>
  <c r="W273" i="9"/>
  <c r="W274" i="9"/>
  <c r="W275" i="9"/>
  <c r="W276" i="9"/>
  <c r="W277" i="9"/>
  <c r="W278" i="9"/>
  <c r="W279" i="9"/>
  <c r="W280" i="9"/>
  <c r="W281" i="9"/>
  <c r="W282" i="9"/>
  <c r="W283" i="9"/>
  <c r="W284" i="9"/>
  <c r="W285" i="9"/>
  <c r="W286" i="9"/>
  <c r="W287" i="9"/>
  <c r="W288" i="9"/>
  <c r="W289" i="9"/>
  <c r="W290" i="9"/>
  <c r="W291" i="9"/>
  <c r="W292" i="9"/>
  <c r="W293" i="9"/>
  <c r="W294" i="9"/>
  <c r="W295" i="9"/>
  <c r="W296" i="9"/>
  <c r="W297" i="9"/>
  <c r="W298" i="9"/>
  <c r="W299" i="9"/>
  <c r="W300" i="9"/>
  <c r="W301" i="9"/>
  <c r="W302" i="9"/>
  <c r="W303" i="9"/>
  <c r="W304" i="9"/>
  <c r="W305" i="9"/>
  <c r="W306" i="9"/>
  <c r="W307" i="9"/>
  <c r="W308" i="9"/>
  <c r="W309" i="9"/>
  <c r="W310" i="9"/>
  <c r="W311" i="9"/>
  <c r="W312" i="9"/>
  <c r="W313" i="9"/>
  <c r="W314" i="9"/>
  <c r="W315" i="9"/>
  <c r="W316" i="9"/>
  <c r="W317" i="9"/>
  <c r="W318" i="9"/>
  <c r="W319" i="9"/>
  <c r="W320" i="9"/>
  <c r="W321" i="9"/>
  <c r="W322" i="9"/>
  <c r="W323" i="9"/>
  <c r="W324" i="9"/>
  <c r="W325" i="9"/>
  <c r="W326" i="9"/>
  <c r="W327" i="9"/>
  <c r="W328" i="9"/>
  <c r="W329" i="9"/>
  <c r="W330" i="9"/>
  <c r="W331" i="9"/>
  <c r="W332" i="9"/>
  <c r="W333" i="9"/>
  <c r="W334" i="9"/>
  <c r="W335" i="9"/>
  <c r="W336" i="9"/>
  <c r="W337" i="9"/>
  <c r="W338" i="9"/>
  <c r="W339" i="9"/>
  <c r="W340" i="9"/>
  <c r="W341" i="9"/>
  <c r="W342" i="9"/>
  <c r="W343" i="9"/>
  <c r="W344" i="9"/>
  <c r="W345" i="9"/>
  <c r="W346" i="9"/>
  <c r="W347" i="9"/>
  <c r="W348" i="9"/>
  <c r="W349" i="9"/>
  <c r="W350" i="9"/>
  <c r="W351" i="9"/>
  <c r="W352" i="9"/>
  <c r="W353" i="9"/>
  <c r="W354" i="9"/>
  <c r="W355" i="9"/>
  <c r="W356" i="9"/>
  <c r="W357" i="9"/>
  <c r="W358" i="9"/>
  <c r="W359" i="9"/>
  <c r="W360" i="9"/>
  <c r="W361" i="9"/>
  <c r="W362" i="9"/>
  <c r="W363" i="9"/>
  <c r="W364" i="9"/>
  <c r="W365" i="9"/>
  <c r="W366" i="9"/>
  <c r="W367" i="9"/>
  <c r="W368" i="9"/>
  <c r="W369" i="9"/>
  <c r="W370" i="9"/>
  <c r="W371" i="9"/>
  <c r="W372" i="9"/>
  <c r="W373" i="9"/>
  <c r="W374" i="9"/>
  <c r="W375" i="9"/>
  <c r="W376" i="9"/>
  <c r="W377" i="9"/>
  <c r="W378" i="9"/>
  <c r="W379" i="9"/>
  <c r="W380" i="9"/>
  <c r="W381" i="9"/>
  <c r="W382" i="9"/>
  <c r="W383" i="9"/>
  <c r="W384" i="9"/>
  <c r="W385" i="9"/>
  <c r="W386" i="9"/>
  <c r="W387" i="9"/>
  <c r="W388" i="9"/>
  <c r="W389" i="9"/>
  <c r="W390" i="9"/>
  <c r="W391" i="9"/>
  <c r="W392" i="9"/>
  <c r="W393" i="9"/>
  <c r="W394" i="9"/>
  <c r="W395" i="9"/>
  <c r="W396" i="9"/>
  <c r="W397" i="9"/>
  <c r="W398" i="9"/>
  <c r="W399" i="9"/>
  <c r="W400" i="9"/>
  <c r="W401" i="9"/>
  <c r="W402" i="9"/>
  <c r="W403" i="9"/>
  <c r="W404" i="9"/>
  <c r="W405" i="9"/>
  <c r="W406" i="9"/>
  <c r="W407" i="9"/>
  <c r="W408" i="9"/>
  <c r="W409" i="9"/>
  <c r="W410" i="9"/>
  <c r="W411" i="9"/>
  <c r="W412" i="9"/>
  <c r="W413" i="9"/>
  <c r="W414" i="9"/>
  <c r="W415" i="9"/>
  <c r="W416" i="9"/>
  <c r="W417" i="9"/>
  <c r="W418" i="9"/>
  <c r="W419" i="9"/>
  <c r="W420" i="9"/>
  <c r="W421" i="9"/>
  <c r="W422" i="9"/>
  <c r="W423" i="9"/>
  <c r="W424" i="9"/>
  <c r="W425" i="9"/>
  <c r="W426" i="9"/>
  <c r="W427" i="9"/>
  <c r="W428" i="9"/>
  <c r="W429" i="9"/>
  <c r="W430" i="9"/>
  <c r="W431" i="9"/>
  <c r="W432" i="9"/>
  <c r="W433" i="9"/>
  <c r="W434" i="9"/>
  <c r="W435" i="9"/>
  <c r="W436" i="9"/>
  <c r="W437" i="9"/>
  <c r="W438" i="9"/>
  <c r="W439" i="9"/>
  <c r="W440" i="9"/>
  <c r="W441" i="9"/>
  <c r="W442" i="9"/>
  <c r="W443" i="9"/>
  <c r="W444" i="9"/>
  <c r="W445" i="9"/>
  <c r="W446" i="9"/>
  <c r="W447" i="9"/>
  <c r="W448" i="9"/>
  <c r="W449" i="9"/>
  <c r="W450" i="9"/>
  <c r="W451" i="9"/>
  <c r="W452" i="9"/>
  <c r="W453" i="9"/>
  <c r="W454" i="9"/>
  <c r="W455" i="9"/>
  <c r="W456" i="9"/>
  <c r="W457" i="9"/>
  <c r="W458" i="9"/>
  <c r="W459" i="9"/>
  <c r="W460" i="9"/>
  <c r="W461" i="9"/>
  <c r="W462" i="9"/>
  <c r="W463" i="9"/>
  <c r="W464" i="9"/>
  <c r="W465" i="9"/>
  <c r="W466" i="9"/>
  <c r="W467" i="9"/>
  <c r="W468" i="9"/>
  <c r="W469" i="9"/>
  <c r="W470" i="9"/>
  <c r="W471" i="9"/>
  <c r="W472" i="9"/>
  <c r="W473" i="9"/>
  <c r="W474" i="9"/>
  <c r="W475" i="9"/>
  <c r="W476" i="9"/>
  <c r="W477" i="9"/>
  <c r="W478" i="9"/>
  <c r="W479" i="9"/>
  <c r="W480" i="9"/>
  <c r="W481" i="9"/>
  <c r="W482" i="9"/>
  <c r="W483" i="9"/>
  <c r="W484" i="9"/>
  <c r="W485" i="9"/>
  <c r="W486" i="9"/>
  <c r="W487" i="9"/>
  <c r="W488" i="9"/>
  <c r="W489" i="9"/>
  <c r="W490" i="9"/>
  <c r="W491" i="9"/>
  <c r="W492" i="9"/>
  <c r="W493" i="9"/>
  <c r="W494" i="9"/>
  <c r="W495" i="9"/>
  <c r="W496" i="9"/>
  <c r="W497" i="9"/>
  <c r="W498" i="9"/>
  <c r="W499" i="9"/>
  <c r="W500" i="9"/>
  <c r="W501" i="9"/>
  <c r="W502" i="9"/>
  <c r="W503" i="9"/>
  <c r="W504" i="9"/>
  <c r="W505" i="9"/>
  <c r="W506" i="9"/>
  <c r="W507" i="9"/>
  <c r="W508" i="9"/>
  <c r="W509" i="9"/>
  <c r="W510" i="9"/>
  <c r="W511" i="9"/>
  <c r="W512" i="9"/>
  <c r="W513" i="9"/>
  <c r="W514" i="9"/>
  <c r="W515" i="9"/>
  <c r="W516" i="9"/>
  <c r="W517" i="9"/>
  <c r="W518" i="9"/>
  <c r="W519" i="9"/>
  <c r="W520" i="9"/>
  <c r="W521" i="9"/>
  <c r="W522" i="9"/>
  <c r="W523" i="9"/>
  <c r="W524" i="9"/>
  <c r="W525" i="9"/>
  <c r="W526" i="9"/>
  <c r="W527" i="9"/>
  <c r="W528" i="9"/>
  <c r="W529" i="9"/>
  <c r="W530" i="9"/>
  <c r="W531" i="9"/>
  <c r="W532" i="9"/>
  <c r="W533" i="9"/>
  <c r="W534" i="9"/>
  <c r="W535" i="9"/>
  <c r="W536" i="9"/>
  <c r="W537" i="9"/>
  <c r="W538" i="9"/>
  <c r="W539" i="9"/>
  <c r="W540" i="9"/>
  <c r="W541" i="9"/>
  <c r="W542" i="9"/>
  <c r="W543" i="9"/>
  <c r="W544" i="9"/>
  <c r="W545" i="9"/>
  <c r="W546" i="9"/>
  <c r="W547" i="9"/>
  <c r="W548" i="9"/>
  <c r="W549" i="9"/>
  <c r="W550" i="9"/>
  <c r="W551" i="9"/>
  <c r="W552" i="9"/>
  <c r="W553" i="9"/>
  <c r="W554" i="9"/>
  <c r="W555" i="9"/>
  <c r="W556" i="9"/>
  <c r="W557" i="9"/>
  <c r="W558" i="9"/>
  <c r="W559" i="9"/>
  <c r="W560" i="9"/>
  <c r="W561" i="9"/>
  <c r="W562" i="9"/>
  <c r="W563" i="9"/>
  <c r="W564" i="9"/>
  <c r="W565" i="9"/>
  <c r="W566" i="9"/>
  <c r="W567" i="9"/>
  <c r="W568" i="9"/>
  <c r="W569" i="9"/>
  <c r="W570" i="9"/>
  <c r="W571" i="9"/>
  <c r="W572" i="9"/>
  <c r="W573" i="9"/>
  <c r="W574" i="9"/>
  <c r="W575" i="9"/>
  <c r="W576" i="9"/>
  <c r="W577" i="9"/>
  <c r="W578" i="9"/>
  <c r="W579" i="9"/>
  <c r="W580" i="9"/>
  <c r="W581" i="9"/>
  <c r="W582" i="9"/>
  <c r="W583" i="9"/>
  <c r="W584" i="9"/>
  <c r="W585" i="9"/>
  <c r="W586" i="9"/>
  <c r="W587" i="9"/>
  <c r="W588" i="9"/>
  <c r="W589" i="9"/>
  <c r="W590" i="9"/>
  <c r="W591" i="9"/>
  <c r="W592" i="9"/>
  <c r="W593" i="9"/>
  <c r="W594" i="9"/>
  <c r="W595" i="9"/>
  <c r="W596" i="9"/>
  <c r="W597" i="9"/>
  <c r="W598" i="9"/>
  <c r="W599" i="9"/>
  <c r="W600" i="9"/>
  <c r="W601" i="9"/>
  <c r="W602" i="9"/>
  <c r="W603" i="9"/>
  <c r="W604" i="9"/>
  <c r="W605" i="9"/>
  <c r="W606" i="9"/>
  <c r="W607" i="9"/>
  <c r="W608" i="9"/>
  <c r="W609" i="9"/>
  <c r="W610" i="9"/>
  <c r="W611" i="9"/>
  <c r="W612" i="9"/>
  <c r="W613" i="9"/>
  <c r="W614" i="9"/>
  <c r="W615" i="9"/>
  <c r="W616" i="9"/>
  <c r="W617" i="9"/>
  <c r="W618" i="9"/>
  <c r="W619" i="9"/>
  <c r="W620" i="9"/>
  <c r="W621" i="9"/>
  <c r="W622" i="9"/>
  <c r="W623" i="9"/>
  <c r="W624" i="9"/>
  <c r="W625" i="9"/>
  <c r="W626" i="9"/>
  <c r="W627" i="9"/>
  <c r="W628" i="9"/>
  <c r="W629" i="9"/>
  <c r="W630" i="9"/>
  <c r="W631" i="9"/>
  <c r="W632" i="9"/>
  <c r="W633" i="9"/>
  <c r="W634" i="9"/>
  <c r="W635" i="9"/>
  <c r="W636" i="9"/>
  <c r="W637" i="9"/>
  <c r="W638" i="9"/>
  <c r="W639" i="9"/>
  <c r="W640" i="9"/>
  <c r="W641" i="9"/>
  <c r="W642" i="9"/>
  <c r="W643" i="9"/>
  <c r="W644" i="9"/>
  <c r="W645" i="9"/>
  <c r="W646" i="9"/>
  <c r="W647" i="9"/>
  <c r="W648" i="9"/>
  <c r="W649" i="9"/>
  <c r="W650" i="9"/>
  <c r="W651" i="9"/>
  <c r="W652" i="9"/>
  <c r="W653" i="9"/>
  <c r="W654" i="9"/>
  <c r="W655" i="9"/>
  <c r="W656" i="9"/>
  <c r="W657" i="9"/>
  <c r="W658" i="9"/>
  <c r="W659" i="9"/>
  <c r="W660" i="9"/>
  <c r="W661" i="9"/>
  <c r="W662" i="9"/>
  <c r="W663" i="9"/>
  <c r="W664" i="9"/>
  <c r="W665" i="9"/>
  <c r="W666" i="9"/>
  <c r="W667" i="9"/>
  <c r="W668" i="9"/>
  <c r="W669" i="9"/>
  <c r="W670" i="9"/>
  <c r="W671" i="9"/>
  <c r="W672" i="9"/>
  <c r="W673" i="9"/>
  <c r="W674" i="9"/>
  <c r="W675" i="9"/>
  <c r="W676" i="9"/>
  <c r="W677" i="9"/>
  <c r="W678" i="9"/>
  <c r="W679" i="9"/>
  <c r="W680" i="9"/>
  <c r="W681" i="9"/>
  <c r="W682" i="9"/>
  <c r="W683" i="9"/>
  <c r="W684" i="9"/>
  <c r="W685" i="9"/>
  <c r="W686" i="9"/>
  <c r="W687" i="9"/>
  <c r="W688" i="9"/>
  <c r="W689" i="9"/>
  <c r="W690" i="9"/>
  <c r="W691" i="9"/>
  <c r="W692" i="9"/>
  <c r="W693" i="9"/>
  <c r="W694" i="9"/>
  <c r="W695" i="9"/>
  <c r="W696" i="9"/>
  <c r="W697" i="9"/>
  <c r="W698" i="9"/>
  <c r="W699" i="9"/>
  <c r="W700" i="9"/>
  <c r="W701" i="9"/>
  <c r="W702" i="9"/>
  <c r="W703" i="9"/>
  <c r="W704" i="9"/>
  <c r="W705" i="9"/>
  <c r="W706" i="9"/>
  <c r="W707" i="9"/>
  <c r="W708" i="9"/>
  <c r="W709" i="9"/>
  <c r="W710" i="9"/>
  <c r="W711" i="9"/>
  <c r="W712" i="9"/>
  <c r="W713" i="9"/>
  <c r="W714" i="9"/>
  <c r="W715" i="9"/>
  <c r="W716" i="9"/>
  <c r="W717" i="9"/>
  <c r="W718" i="9"/>
  <c r="W719" i="9"/>
  <c r="W720" i="9"/>
  <c r="W721" i="9"/>
  <c r="W722" i="9"/>
  <c r="W723" i="9"/>
  <c r="W724"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718" i="9"/>
  <c r="K719" i="9"/>
  <c r="K720" i="9"/>
  <c r="K721" i="9"/>
  <c r="K722" i="9"/>
  <c r="K723" i="9"/>
  <c r="K724" i="9"/>
  <c r="N4" i="9"/>
  <c r="N5" i="9"/>
  <c r="N6" i="9"/>
  <c r="N7" i="9"/>
  <c r="N8" i="9"/>
  <c r="N9" i="9"/>
  <c r="N10" i="9"/>
  <c r="N11" i="9"/>
  <c r="N12" i="9"/>
  <c r="N13" i="9"/>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N213" i="9"/>
  <c r="N214" i="9"/>
  <c r="N215" i="9"/>
  <c r="N216" i="9"/>
  <c r="N217" i="9"/>
  <c r="N218" i="9"/>
  <c r="N219" i="9"/>
  <c r="N220" i="9"/>
  <c r="N221" i="9"/>
  <c r="N222" i="9"/>
  <c r="N223" i="9"/>
  <c r="N224" i="9"/>
  <c r="N225" i="9"/>
  <c r="N226" i="9"/>
  <c r="N227" i="9"/>
  <c r="N228" i="9"/>
  <c r="N229" i="9"/>
  <c r="N230" i="9"/>
  <c r="N231" i="9"/>
  <c r="N232" i="9"/>
  <c r="N233" i="9"/>
  <c r="N234" i="9"/>
  <c r="N235" i="9"/>
  <c r="N236" i="9"/>
  <c r="N237" i="9"/>
  <c r="N238" i="9"/>
  <c r="N239" i="9"/>
  <c r="N240" i="9"/>
  <c r="N241" i="9"/>
  <c r="N242" i="9"/>
  <c r="N243" i="9"/>
  <c r="N244" i="9"/>
  <c r="N245" i="9"/>
  <c r="N246" i="9"/>
  <c r="N247" i="9"/>
  <c r="N248" i="9"/>
  <c r="N249" i="9"/>
  <c r="N250" i="9"/>
  <c r="N251" i="9"/>
  <c r="N252" i="9"/>
  <c r="N253" i="9"/>
  <c r="N254" i="9"/>
  <c r="N255" i="9"/>
  <c r="N256" i="9"/>
  <c r="N257" i="9"/>
  <c r="N258" i="9"/>
  <c r="N259" i="9"/>
  <c r="N260" i="9"/>
  <c r="N261" i="9"/>
  <c r="N262" i="9"/>
  <c r="N263" i="9"/>
  <c r="N264" i="9"/>
  <c r="N265" i="9"/>
  <c r="N266" i="9"/>
  <c r="N267" i="9"/>
  <c r="N268" i="9"/>
  <c r="N269" i="9"/>
  <c r="N270" i="9"/>
  <c r="N271" i="9"/>
  <c r="N272" i="9"/>
  <c r="N273" i="9"/>
  <c r="N274" i="9"/>
  <c r="N275" i="9"/>
  <c r="N276" i="9"/>
  <c r="N277" i="9"/>
  <c r="N278" i="9"/>
  <c r="N279" i="9"/>
  <c r="N280" i="9"/>
  <c r="N281" i="9"/>
  <c r="N282" i="9"/>
  <c r="N283" i="9"/>
  <c r="N284" i="9"/>
  <c r="N285" i="9"/>
  <c r="N286" i="9"/>
  <c r="N287" i="9"/>
  <c r="N288" i="9"/>
  <c r="N289" i="9"/>
  <c r="N290" i="9"/>
  <c r="N291" i="9"/>
  <c r="N292" i="9"/>
  <c r="N293" i="9"/>
  <c r="N294" i="9"/>
  <c r="N295" i="9"/>
  <c r="N296" i="9"/>
  <c r="N297" i="9"/>
  <c r="N298" i="9"/>
  <c r="N299" i="9"/>
  <c r="N300" i="9"/>
  <c r="N301" i="9"/>
  <c r="N302" i="9"/>
  <c r="N303" i="9"/>
  <c r="N304" i="9"/>
  <c r="N305" i="9"/>
  <c r="N306" i="9"/>
  <c r="N307" i="9"/>
  <c r="N308" i="9"/>
  <c r="N309" i="9"/>
  <c r="N310" i="9"/>
  <c r="N311" i="9"/>
  <c r="N312" i="9"/>
  <c r="N313" i="9"/>
  <c r="N314" i="9"/>
  <c r="N315" i="9"/>
  <c r="N316" i="9"/>
  <c r="N317" i="9"/>
  <c r="N318" i="9"/>
  <c r="N319" i="9"/>
  <c r="N320" i="9"/>
  <c r="N321" i="9"/>
  <c r="N322" i="9"/>
  <c r="N323" i="9"/>
  <c r="N324" i="9"/>
  <c r="N325" i="9"/>
  <c r="N326" i="9"/>
  <c r="N327" i="9"/>
  <c r="N328" i="9"/>
  <c r="N329" i="9"/>
  <c r="N330" i="9"/>
  <c r="N331" i="9"/>
  <c r="N332" i="9"/>
  <c r="N333" i="9"/>
  <c r="N334" i="9"/>
  <c r="N335" i="9"/>
  <c r="N336" i="9"/>
  <c r="N337" i="9"/>
  <c r="N338" i="9"/>
  <c r="N339" i="9"/>
  <c r="N340" i="9"/>
  <c r="N341" i="9"/>
  <c r="N342" i="9"/>
  <c r="N343" i="9"/>
  <c r="N344" i="9"/>
  <c r="N345" i="9"/>
  <c r="N346" i="9"/>
  <c r="N347" i="9"/>
  <c r="N348" i="9"/>
  <c r="N349" i="9"/>
  <c r="N350" i="9"/>
  <c r="N351" i="9"/>
  <c r="N352" i="9"/>
  <c r="N353" i="9"/>
  <c r="N354" i="9"/>
  <c r="N355" i="9"/>
  <c r="N356" i="9"/>
  <c r="N357" i="9"/>
  <c r="N358" i="9"/>
  <c r="N359" i="9"/>
  <c r="N360" i="9"/>
  <c r="N361" i="9"/>
  <c r="N362" i="9"/>
  <c r="N363" i="9"/>
  <c r="N364" i="9"/>
  <c r="N365" i="9"/>
  <c r="N366" i="9"/>
  <c r="N367" i="9"/>
  <c r="N368" i="9"/>
  <c r="N369" i="9"/>
  <c r="N370" i="9"/>
  <c r="N371" i="9"/>
  <c r="N372" i="9"/>
  <c r="N373" i="9"/>
  <c r="N374" i="9"/>
  <c r="N375" i="9"/>
  <c r="N376" i="9"/>
  <c r="N377" i="9"/>
  <c r="N378" i="9"/>
  <c r="N379" i="9"/>
  <c r="N380" i="9"/>
  <c r="N381" i="9"/>
  <c r="N382" i="9"/>
  <c r="N383" i="9"/>
  <c r="N384" i="9"/>
  <c r="N385" i="9"/>
  <c r="N386" i="9"/>
  <c r="N387" i="9"/>
  <c r="N388" i="9"/>
  <c r="N389" i="9"/>
  <c r="N390" i="9"/>
  <c r="N391" i="9"/>
  <c r="N392" i="9"/>
  <c r="N393" i="9"/>
  <c r="N394" i="9"/>
  <c r="N395" i="9"/>
  <c r="N396" i="9"/>
  <c r="N397" i="9"/>
  <c r="N398" i="9"/>
  <c r="N399" i="9"/>
  <c r="N400" i="9"/>
  <c r="N401" i="9"/>
  <c r="N402" i="9"/>
  <c r="N403" i="9"/>
  <c r="N404" i="9"/>
  <c r="N405" i="9"/>
  <c r="N406" i="9"/>
  <c r="N407" i="9"/>
  <c r="N408" i="9"/>
  <c r="N409" i="9"/>
  <c r="N410" i="9"/>
  <c r="N411" i="9"/>
  <c r="N412" i="9"/>
  <c r="N413" i="9"/>
  <c r="N414" i="9"/>
  <c r="N415" i="9"/>
  <c r="N416" i="9"/>
  <c r="N417" i="9"/>
  <c r="N418" i="9"/>
  <c r="N419" i="9"/>
  <c r="N420" i="9"/>
  <c r="N421" i="9"/>
  <c r="N422" i="9"/>
  <c r="N423" i="9"/>
  <c r="N424" i="9"/>
  <c r="N425" i="9"/>
  <c r="N426" i="9"/>
  <c r="N427" i="9"/>
  <c r="N428" i="9"/>
  <c r="N429" i="9"/>
  <c r="N430" i="9"/>
  <c r="N431" i="9"/>
  <c r="N432" i="9"/>
  <c r="N433" i="9"/>
  <c r="N434" i="9"/>
  <c r="N435" i="9"/>
  <c r="N436" i="9"/>
  <c r="N437" i="9"/>
  <c r="N438" i="9"/>
  <c r="N439" i="9"/>
  <c r="N440" i="9"/>
  <c r="N441" i="9"/>
  <c r="N442" i="9"/>
  <c r="N443" i="9"/>
  <c r="N444" i="9"/>
  <c r="N445" i="9"/>
  <c r="N446" i="9"/>
  <c r="N447" i="9"/>
  <c r="N448" i="9"/>
  <c r="N449" i="9"/>
  <c r="N450" i="9"/>
  <c r="N451" i="9"/>
  <c r="N452" i="9"/>
  <c r="N453" i="9"/>
  <c r="N454" i="9"/>
  <c r="N455" i="9"/>
  <c r="N456" i="9"/>
  <c r="N457" i="9"/>
  <c r="N458" i="9"/>
  <c r="N459" i="9"/>
  <c r="N460" i="9"/>
  <c r="N461" i="9"/>
  <c r="N462" i="9"/>
  <c r="N463" i="9"/>
  <c r="N464" i="9"/>
  <c r="N465" i="9"/>
  <c r="N466" i="9"/>
  <c r="N467" i="9"/>
  <c r="N468" i="9"/>
  <c r="N469" i="9"/>
  <c r="N470" i="9"/>
  <c r="N471" i="9"/>
  <c r="N472" i="9"/>
  <c r="N473" i="9"/>
  <c r="N474" i="9"/>
  <c r="N475" i="9"/>
  <c r="N476" i="9"/>
  <c r="N477" i="9"/>
  <c r="N478" i="9"/>
  <c r="N479" i="9"/>
  <c r="N480" i="9"/>
  <c r="N481" i="9"/>
  <c r="N482" i="9"/>
  <c r="N483" i="9"/>
  <c r="N484" i="9"/>
  <c r="N485" i="9"/>
  <c r="N486" i="9"/>
  <c r="N487" i="9"/>
  <c r="N488" i="9"/>
  <c r="N489" i="9"/>
  <c r="N490" i="9"/>
  <c r="N491" i="9"/>
  <c r="N492" i="9"/>
  <c r="N493" i="9"/>
  <c r="N494" i="9"/>
  <c r="N495" i="9"/>
  <c r="N496" i="9"/>
  <c r="N497" i="9"/>
  <c r="N498" i="9"/>
  <c r="N499" i="9"/>
  <c r="N500" i="9"/>
  <c r="N501" i="9"/>
  <c r="N502" i="9"/>
  <c r="N503" i="9"/>
  <c r="N504" i="9"/>
  <c r="N505" i="9"/>
  <c r="N506" i="9"/>
  <c r="N507" i="9"/>
  <c r="N718" i="9"/>
  <c r="N719" i="9"/>
  <c r="N720" i="9"/>
  <c r="N721" i="9"/>
  <c r="N722" i="9"/>
  <c r="N723" i="9"/>
  <c r="N724" i="9"/>
  <c r="S724" i="9"/>
  <c r="AM723" i="9"/>
  <c r="AI723" i="9"/>
  <c r="AE723" i="9"/>
  <c r="AA723" i="9"/>
  <c r="S723" i="9"/>
  <c r="AM722" i="9"/>
  <c r="AI722" i="9"/>
  <c r="AE722" i="9"/>
  <c r="AA722" i="9"/>
  <c r="S722" i="9"/>
  <c r="AM721" i="9"/>
  <c r="AI721" i="9"/>
  <c r="AE721" i="9"/>
  <c r="AA721" i="9"/>
  <c r="S721" i="9"/>
  <c r="AM720" i="9"/>
  <c r="AI720" i="9"/>
  <c r="AE720" i="9"/>
  <c r="AA720" i="9"/>
  <c r="S720" i="9"/>
  <c r="AM719" i="9"/>
  <c r="AI719" i="9"/>
  <c r="AE719" i="9"/>
  <c r="AA719" i="9"/>
  <c r="S719" i="9"/>
  <c r="AM718" i="9"/>
  <c r="AI718" i="9"/>
  <c r="AE718" i="9"/>
  <c r="AA718" i="9"/>
  <c r="S718" i="9"/>
  <c r="AM717" i="9"/>
  <c r="AI717" i="9"/>
  <c r="AE717" i="9"/>
  <c r="AA71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K556" i="9"/>
  <c r="K557" i="9"/>
  <c r="K558" i="9"/>
  <c r="K559" i="9"/>
  <c r="K560" i="9"/>
  <c r="K561" i="9"/>
  <c r="K562" i="9"/>
  <c r="K563" i="9"/>
  <c r="K564" i="9"/>
  <c r="K565" i="9"/>
  <c r="K566" i="9"/>
  <c r="K567" i="9"/>
  <c r="K568" i="9"/>
  <c r="K569" i="9"/>
  <c r="K570" i="9"/>
  <c r="K571" i="9"/>
  <c r="K572" i="9"/>
  <c r="K573" i="9"/>
  <c r="K574" i="9"/>
  <c r="K575" i="9"/>
  <c r="K576" i="9"/>
  <c r="K577" i="9"/>
  <c r="K578" i="9"/>
  <c r="K579" i="9"/>
  <c r="K580" i="9"/>
  <c r="K581" i="9"/>
  <c r="K582" i="9"/>
  <c r="K583" i="9"/>
  <c r="K584" i="9"/>
  <c r="K585" i="9"/>
  <c r="K586" i="9"/>
  <c r="K587" i="9"/>
  <c r="K588" i="9"/>
  <c r="K589" i="9"/>
  <c r="K590" i="9"/>
  <c r="K591" i="9"/>
  <c r="K592" i="9"/>
  <c r="K593" i="9"/>
  <c r="K594" i="9"/>
  <c r="K595" i="9"/>
  <c r="K596" i="9"/>
  <c r="K597" i="9"/>
  <c r="K598" i="9"/>
  <c r="K599" i="9"/>
  <c r="K600" i="9"/>
  <c r="K601" i="9"/>
  <c r="K602" i="9"/>
  <c r="K603" i="9"/>
  <c r="K604" i="9"/>
  <c r="K605" i="9"/>
  <c r="K606" i="9"/>
  <c r="K607" i="9"/>
  <c r="K608" i="9"/>
  <c r="K609" i="9"/>
  <c r="K610" i="9"/>
  <c r="K611" i="9"/>
  <c r="K612" i="9"/>
  <c r="K613" i="9"/>
  <c r="K614" i="9"/>
  <c r="K615" i="9"/>
  <c r="K616" i="9"/>
  <c r="K617" i="9"/>
  <c r="K618" i="9"/>
  <c r="K619" i="9"/>
  <c r="K620" i="9"/>
  <c r="K621"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668" i="9"/>
  <c r="K669" i="9"/>
  <c r="K670" i="9"/>
  <c r="K671"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2" i="9"/>
  <c r="K703" i="9"/>
  <c r="K704" i="9"/>
  <c r="K705" i="9"/>
  <c r="K706" i="9"/>
  <c r="K707" i="9"/>
  <c r="K708" i="9"/>
  <c r="K709" i="9"/>
  <c r="K710" i="9"/>
  <c r="K711" i="9"/>
  <c r="K712" i="9"/>
  <c r="K713" i="9"/>
  <c r="K714" i="9"/>
  <c r="K715" i="9"/>
  <c r="K716" i="9"/>
  <c r="K717" i="9"/>
  <c r="N508" i="9"/>
  <c r="N509" i="9"/>
  <c r="N510" i="9"/>
  <c r="N511" i="9"/>
  <c r="N512" i="9"/>
  <c r="N513" i="9"/>
  <c r="N514" i="9"/>
  <c r="N515" i="9"/>
  <c r="N516" i="9"/>
  <c r="N517" i="9"/>
  <c r="N518" i="9"/>
  <c r="N519" i="9"/>
  <c r="N520" i="9"/>
  <c r="N521" i="9"/>
  <c r="N522" i="9"/>
  <c r="N523" i="9"/>
  <c r="N524" i="9"/>
  <c r="N525" i="9"/>
  <c r="N526" i="9"/>
  <c r="N527" i="9"/>
  <c r="N528" i="9"/>
  <c r="N529" i="9"/>
  <c r="N530" i="9"/>
  <c r="N531" i="9"/>
  <c r="N532" i="9"/>
  <c r="N533" i="9"/>
  <c r="N534" i="9"/>
  <c r="N535" i="9"/>
  <c r="N536" i="9"/>
  <c r="N537" i="9"/>
  <c r="N538" i="9"/>
  <c r="N539" i="9"/>
  <c r="N540" i="9"/>
  <c r="N541" i="9"/>
  <c r="N542" i="9"/>
  <c r="N543" i="9"/>
  <c r="N544" i="9"/>
  <c r="N545" i="9"/>
  <c r="N546" i="9"/>
  <c r="N547" i="9"/>
  <c r="N548" i="9"/>
  <c r="N549" i="9"/>
  <c r="N550" i="9"/>
  <c r="N551" i="9"/>
  <c r="N552" i="9"/>
  <c r="N553" i="9"/>
  <c r="N554" i="9"/>
  <c r="N555" i="9"/>
  <c r="N556" i="9"/>
  <c r="N557" i="9"/>
  <c r="N558" i="9"/>
  <c r="N559" i="9"/>
  <c r="N560" i="9"/>
  <c r="N561" i="9"/>
  <c r="N562" i="9"/>
  <c r="N563" i="9"/>
  <c r="N564" i="9"/>
  <c r="N565" i="9"/>
  <c r="N566" i="9"/>
  <c r="N567" i="9"/>
  <c r="N568" i="9"/>
  <c r="N569" i="9"/>
  <c r="N570" i="9"/>
  <c r="N571" i="9"/>
  <c r="N572" i="9"/>
  <c r="N573" i="9"/>
  <c r="N574" i="9"/>
  <c r="N575" i="9"/>
  <c r="N576" i="9"/>
  <c r="N577" i="9"/>
  <c r="N578" i="9"/>
  <c r="N579" i="9"/>
  <c r="N580" i="9"/>
  <c r="N581" i="9"/>
  <c r="N582" i="9"/>
  <c r="N583" i="9"/>
  <c r="N584" i="9"/>
  <c r="N585" i="9"/>
  <c r="N586" i="9"/>
  <c r="N587" i="9"/>
  <c r="N588" i="9"/>
  <c r="N589" i="9"/>
  <c r="N590" i="9"/>
  <c r="N591" i="9"/>
  <c r="N592" i="9"/>
  <c r="N593" i="9"/>
  <c r="N594" i="9"/>
  <c r="N595" i="9"/>
  <c r="N596" i="9"/>
  <c r="N597" i="9"/>
  <c r="N598" i="9"/>
  <c r="N599" i="9"/>
  <c r="N600" i="9"/>
  <c r="N601" i="9"/>
  <c r="N602" i="9"/>
  <c r="N603" i="9"/>
  <c r="N604" i="9"/>
  <c r="N605" i="9"/>
  <c r="N606" i="9"/>
  <c r="N607" i="9"/>
  <c r="N608" i="9"/>
  <c r="N609" i="9"/>
  <c r="N610" i="9"/>
  <c r="N611" i="9"/>
  <c r="N612" i="9"/>
  <c r="N613" i="9"/>
  <c r="N614" i="9"/>
  <c r="N615" i="9"/>
  <c r="N616" i="9"/>
  <c r="N617" i="9"/>
  <c r="N618" i="9"/>
  <c r="N619" i="9"/>
  <c r="N620" i="9"/>
  <c r="N621" i="9"/>
  <c r="N622" i="9"/>
  <c r="N623" i="9"/>
  <c r="N624" i="9"/>
  <c r="N625" i="9"/>
  <c r="N626" i="9"/>
  <c r="N627" i="9"/>
  <c r="N628" i="9"/>
  <c r="N629" i="9"/>
  <c r="N630" i="9"/>
  <c r="N631" i="9"/>
  <c r="N632" i="9"/>
  <c r="N633" i="9"/>
  <c r="N634" i="9"/>
  <c r="N635" i="9"/>
  <c r="N636" i="9"/>
  <c r="N637" i="9"/>
  <c r="N638" i="9"/>
  <c r="N639" i="9"/>
  <c r="N640" i="9"/>
  <c r="N641" i="9"/>
  <c r="N642" i="9"/>
  <c r="N643" i="9"/>
  <c r="N644" i="9"/>
  <c r="N645" i="9"/>
  <c r="N646" i="9"/>
  <c r="N647" i="9"/>
  <c r="N648" i="9"/>
  <c r="N649" i="9"/>
  <c r="N650" i="9"/>
  <c r="N651" i="9"/>
  <c r="N652" i="9"/>
  <c r="N653" i="9"/>
  <c r="N654" i="9"/>
  <c r="N655" i="9"/>
  <c r="N656" i="9"/>
  <c r="N657" i="9"/>
  <c r="N658" i="9"/>
  <c r="N659" i="9"/>
  <c r="N660" i="9"/>
  <c r="N661" i="9"/>
  <c r="N662" i="9"/>
  <c r="N663" i="9"/>
  <c r="N664" i="9"/>
  <c r="N665" i="9"/>
  <c r="N666" i="9"/>
  <c r="N667" i="9"/>
  <c r="N668" i="9"/>
  <c r="N669" i="9"/>
  <c r="N670" i="9"/>
  <c r="N671" i="9"/>
  <c r="N672" i="9"/>
  <c r="N673" i="9"/>
  <c r="N674" i="9"/>
  <c r="N675" i="9"/>
  <c r="N676" i="9"/>
  <c r="N677" i="9"/>
  <c r="N678" i="9"/>
  <c r="N679" i="9"/>
  <c r="N680" i="9"/>
  <c r="N681" i="9"/>
  <c r="N682" i="9"/>
  <c r="N683" i="9"/>
  <c r="N684" i="9"/>
  <c r="N685" i="9"/>
  <c r="N686" i="9"/>
  <c r="N687" i="9"/>
  <c r="N688" i="9"/>
  <c r="N689" i="9"/>
  <c r="N690" i="9"/>
  <c r="N691" i="9"/>
  <c r="N692" i="9"/>
  <c r="N693" i="9"/>
  <c r="N694" i="9"/>
  <c r="N695" i="9"/>
  <c r="N696" i="9"/>
  <c r="N697" i="9"/>
  <c r="N698" i="9"/>
  <c r="N699" i="9"/>
  <c r="N700" i="9"/>
  <c r="N701" i="9"/>
  <c r="N702" i="9"/>
  <c r="N703" i="9"/>
  <c r="N704" i="9"/>
  <c r="N705" i="9"/>
  <c r="N706" i="9"/>
  <c r="N707" i="9"/>
  <c r="N708" i="9"/>
  <c r="N709" i="9"/>
  <c r="N710" i="9"/>
  <c r="N711" i="9"/>
  <c r="N712" i="9"/>
  <c r="N713" i="9"/>
  <c r="N714" i="9"/>
  <c r="N715" i="9"/>
  <c r="N716" i="9"/>
  <c r="N717" i="9"/>
  <c r="S717" i="9"/>
  <c r="AM716" i="9"/>
  <c r="AI716" i="9"/>
  <c r="AE716" i="9"/>
  <c r="AA716" i="9"/>
  <c r="S716" i="9"/>
  <c r="AM715" i="9"/>
  <c r="AI715" i="9"/>
  <c r="AE715" i="9"/>
  <c r="AA715" i="9"/>
  <c r="S715" i="9"/>
  <c r="AM714" i="9"/>
  <c r="AI714" i="9"/>
  <c r="AE714" i="9"/>
  <c r="AA714" i="9"/>
  <c r="S714" i="9"/>
  <c r="AM713" i="9"/>
  <c r="AI713" i="9"/>
  <c r="AE713" i="9"/>
  <c r="AA713" i="9"/>
  <c r="S713" i="9"/>
  <c r="AM712" i="9"/>
  <c r="AI712" i="9"/>
  <c r="AE712" i="9"/>
  <c r="AA712" i="9"/>
  <c r="S712" i="9"/>
  <c r="AM711" i="9"/>
  <c r="AI711" i="9"/>
  <c r="AE711" i="9"/>
  <c r="AA711" i="9"/>
  <c r="S711" i="9"/>
  <c r="AM710" i="9"/>
  <c r="AI710" i="9"/>
  <c r="AE710" i="9"/>
  <c r="AA710" i="9"/>
  <c r="S710" i="9"/>
  <c r="AM709" i="9"/>
  <c r="AI709" i="9"/>
  <c r="AE709" i="9"/>
  <c r="AA709" i="9"/>
  <c r="S709" i="9"/>
  <c r="AM708" i="9"/>
  <c r="AI708" i="9"/>
  <c r="AE708" i="9"/>
  <c r="AA708" i="9"/>
  <c r="S708" i="9"/>
  <c r="AM707" i="9"/>
  <c r="AI707" i="9"/>
  <c r="AE707" i="9"/>
  <c r="AA707" i="9"/>
  <c r="S707" i="9"/>
  <c r="AM706" i="9"/>
  <c r="AI706" i="9"/>
  <c r="AE706" i="9"/>
  <c r="AA706" i="9"/>
  <c r="S706" i="9"/>
  <c r="AM705" i="9"/>
  <c r="AI705" i="9"/>
  <c r="AE705" i="9"/>
  <c r="AA705" i="9"/>
  <c r="S705" i="9"/>
  <c r="AM704" i="9"/>
  <c r="AI704" i="9"/>
  <c r="AE704" i="9"/>
  <c r="AA704" i="9"/>
  <c r="S704" i="9"/>
  <c r="AM703" i="9"/>
  <c r="AI703" i="9"/>
  <c r="AE703" i="9"/>
  <c r="AA703" i="9"/>
  <c r="S703" i="9"/>
  <c r="AM702" i="9"/>
  <c r="AI702" i="9"/>
  <c r="AE702" i="9"/>
  <c r="AA702" i="9"/>
  <c r="S702" i="9"/>
  <c r="AM701" i="9"/>
  <c r="AI701" i="9"/>
  <c r="AE701" i="9"/>
  <c r="AA701" i="9"/>
  <c r="S701" i="9"/>
  <c r="AM700" i="9"/>
  <c r="AI700" i="9"/>
  <c r="AE700" i="9"/>
  <c r="AA700" i="9"/>
  <c r="S700" i="9"/>
  <c r="AM699" i="9"/>
  <c r="AI699" i="9"/>
  <c r="AE699" i="9"/>
  <c r="AA699" i="9"/>
  <c r="S699" i="9"/>
  <c r="AM698" i="9"/>
  <c r="AI698" i="9"/>
  <c r="AE698" i="9"/>
  <c r="AA698" i="9"/>
  <c r="S698" i="9"/>
  <c r="AM697" i="9"/>
  <c r="AI697" i="9"/>
  <c r="AE697" i="9"/>
  <c r="AA697" i="9"/>
  <c r="S697" i="9"/>
  <c r="AM696" i="9"/>
  <c r="AI696" i="9"/>
  <c r="AE696" i="9"/>
  <c r="AA696" i="9"/>
  <c r="S696" i="9"/>
  <c r="AM695" i="9"/>
  <c r="AI695" i="9"/>
  <c r="AE695" i="9"/>
  <c r="AA695" i="9"/>
  <c r="S695" i="9"/>
  <c r="AM694" i="9"/>
  <c r="AI694" i="9"/>
  <c r="AE694" i="9"/>
  <c r="AA694" i="9"/>
  <c r="S694" i="9"/>
  <c r="AM693" i="9"/>
  <c r="AI693" i="9"/>
  <c r="AE693" i="9"/>
  <c r="AA693" i="9"/>
  <c r="S693" i="9"/>
  <c r="AM692" i="9"/>
  <c r="AI692" i="9"/>
  <c r="AE692" i="9"/>
  <c r="AA692" i="9"/>
  <c r="S692" i="9"/>
  <c r="AM691" i="9"/>
  <c r="AI691" i="9"/>
  <c r="AE691" i="9"/>
  <c r="AA691" i="9"/>
  <c r="S691" i="9"/>
  <c r="AM690" i="9"/>
  <c r="AI690" i="9"/>
  <c r="AE690" i="9"/>
  <c r="AA690" i="9"/>
  <c r="S690" i="9"/>
  <c r="AM689" i="9"/>
  <c r="AI689" i="9"/>
  <c r="AE689" i="9"/>
  <c r="AA689" i="9"/>
  <c r="S689" i="9"/>
  <c r="AM688" i="9"/>
  <c r="AI688" i="9"/>
  <c r="AE688" i="9"/>
  <c r="AA688" i="9"/>
  <c r="S688" i="9"/>
  <c r="AM687" i="9"/>
  <c r="AI687" i="9"/>
  <c r="AE687" i="9"/>
  <c r="AA687" i="9"/>
  <c r="S687" i="9"/>
  <c r="AM686" i="9"/>
  <c r="AI686" i="9"/>
  <c r="AE686" i="9"/>
  <c r="AA686" i="9"/>
  <c r="S686" i="9"/>
  <c r="AM685" i="9"/>
  <c r="AI685" i="9"/>
  <c r="AE685" i="9"/>
  <c r="AA685" i="9"/>
  <c r="S685" i="9"/>
  <c r="AM684" i="9"/>
  <c r="AI684" i="9"/>
  <c r="AE684" i="9"/>
  <c r="AA684" i="9"/>
  <c r="S684" i="9"/>
  <c r="AM683" i="9"/>
  <c r="AI683" i="9"/>
  <c r="AE683" i="9"/>
  <c r="AA683" i="9"/>
  <c r="S683" i="9"/>
  <c r="AM682" i="9"/>
  <c r="AI682" i="9"/>
  <c r="AE682" i="9"/>
  <c r="AA682" i="9"/>
  <c r="S682" i="9"/>
  <c r="AM681" i="9"/>
  <c r="AI681" i="9"/>
  <c r="AE681" i="9"/>
  <c r="AA681" i="9"/>
  <c r="S681" i="9"/>
  <c r="AM680" i="9"/>
  <c r="AI680" i="9"/>
  <c r="AE680" i="9"/>
  <c r="AA680" i="9"/>
  <c r="S680" i="9"/>
  <c r="AM679" i="9"/>
  <c r="AI679" i="9"/>
  <c r="AE679" i="9"/>
  <c r="AA679" i="9"/>
  <c r="S679" i="9"/>
  <c r="AM678" i="9"/>
  <c r="AI678" i="9"/>
  <c r="AE678" i="9"/>
  <c r="AA678" i="9"/>
  <c r="S678" i="9"/>
  <c r="AM677" i="9"/>
  <c r="AI677" i="9"/>
  <c r="AE677" i="9"/>
  <c r="AA677" i="9"/>
  <c r="S677" i="9"/>
  <c r="AM676" i="9"/>
  <c r="AI676" i="9"/>
  <c r="AE676" i="9"/>
  <c r="AA676" i="9"/>
  <c r="S676" i="9"/>
  <c r="AM675" i="9"/>
  <c r="AI675" i="9"/>
  <c r="AE675" i="9"/>
  <c r="AA675" i="9"/>
  <c r="S675" i="9"/>
  <c r="AM674" i="9"/>
  <c r="AI674" i="9"/>
  <c r="AE674" i="9"/>
  <c r="AA674" i="9"/>
  <c r="S674" i="9"/>
  <c r="AM673" i="9"/>
  <c r="AI673" i="9"/>
  <c r="AE673" i="9"/>
  <c r="AA673" i="9"/>
  <c r="S673" i="9"/>
  <c r="AM672" i="9"/>
  <c r="AI672" i="9"/>
  <c r="AE672" i="9"/>
  <c r="AA672" i="9"/>
  <c r="S672" i="9"/>
  <c r="AM671" i="9"/>
  <c r="AI671" i="9"/>
  <c r="AE671" i="9"/>
  <c r="AA671" i="9"/>
  <c r="S671" i="9"/>
  <c r="AM670" i="9"/>
  <c r="AI670" i="9"/>
  <c r="AE670" i="9"/>
  <c r="AA670" i="9"/>
  <c r="S670" i="9"/>
  <c r="AM669" i="9"/>
  <c r="AI669" i="9"/>
  <c r="AE669" i="9"/>
  <c r="AA669" i="9"/>
  <c r="S669" i="9"/>
  <c r="AM668" i="9"/>
  <c r="AI668" i="9"/>
  <c r="AE668" i="9"/>
  <c r="AA668" i="9"/>
  <c r="S668" i="9"/>
  <c r="AM667" i="9"/>
  <c r="AI667" i="9"/>
  <c r="AE667" i="9"/>
  <c r="AA667" i="9"/>
  <c r="S667" i="9"/>
  <c r="AM666" i="9"/>
  <c r="AI666" i="9"/>
  <c r="AE666" i="9"/>
  <c r="AA666" i="9"/>
  <c r="S666" i="9"/>
  <c r="AM665" i="9"/>
  <c r="AI665" i="9"/>
  <c r="AE665" i="9"/>
  <c r="AA665" i="9"/>
  <c r="S665" i="9"/>
  <c r="AM664" i="9"/>
  <c r="AI664" i="9"/>
  <c r="AE664" i="9"/>
  <c r="AA664" i="9"/>
  <c r="S664" i="9"/>
  <c r="AM663" i="9"/>
  <c r="AI663" i="9"/>
  <c r="AE663" i="9"/>
  <c r="AA663" i="9"/>
  <c r="S663" i="9"/>
  <c r="AM662" i="9"/>
  <c r="AI662" i="9"/>
  <c r="AE662" i="9"/>
  <c r="AA662" i="9"/>
  <c r="S662" i="9"/>
  <c r="AM661" i="9"/>
  <c r="AI661" i="9"/>
  <c r="AE661" i="9"/>
  <c r="AA661" i="9"/>
  <c r="S661" i="9"/>
  <c r="AM660" i="9"/>
  <c r="AI660" i="9"/>
  <c r="AE660" i="9"/>
  <c r="AA660" i="9"/>
  <c r="S660" i="9"/>
  <c r="AM659" i="9"/>
  <c r="AI659" i="9"/>
  <c r="AE659" i="9"/>
  <c r="AA659" i="9"/>
  <c r="S659" i="9"/>
  <c r="AM658" i="9"/>
  <c r="AI658" i="9"/>
  <c r="AE658" i="9"/>
  <c r="AA658" i="9"/>
  <c r="S658" i="9"/>
  <c r="AM657" i="9"/>
  <c r="AI657" i="9"/>
  <c r="AE657" i="9"/>
  <c r="AA657" i="9"/>
  <c r="S657" i="9"/>
  <c r="AM656" i="9"/>
  <c r="AI656" i="9"/>
  <c r="AE656" i="9"/>
  <c r="AA656" i="9"/>
  <c r="S656" i="9"/>
  <c r="AM655" i="9"/>
  <c r="AI655" i="9"/>
  <c r="AE655" i="9"/>
  <c r="AA655" i="9"/>
  <c r="S655" i="9"/>
  <c r="AM654" i="9"/>
  <c r="AI654" i="9"/>
  <c r="AE654" i="9"/>
  <c r="AA654" i="9"/>
  <c r="S654" i="9"/>
  <c r="AM653" i="9"/>
  <c r="AI653" i="9"/>
  <c r="AE653" i="9"/>
  <c r="AA653" i="9"/>
  <c r="S653" i="9"/>
  <c r="AM652" i="9"/>
  <c r="AI652" i="9"/>
  <c r="AE652" i="9"/>
  <c r="AA652" i="9"/>
  <c r="S652" i="9"/>
  <c r="AM651" i="9"/>
  <c r="AI651" i="9"/>
  <c r="AE651" i="9"/>
  <c r="AA651" i="9"/>
  <c r="S651" i="9"/>
  <c r="AM650" i="9"/>
  <c r="AI650" i="9"/>
  <c r="AE650" i="9"/>
  <c r="AA650" i="9"/>
  <c r="S650" i="9"/>
  <c r="AM649" i="9"/>
  <c r="AI649" i="9"/>
  <c r="AE649" i="9"/>
  <c r="AA649" i="9"/>
  <c r="S649" i="9"/>
  <c r="AM648" i="9"/>
  <c r="AI648" i="9"/>
  <c r="AE648" i="9"/>
  <c r="AA648" i="9"/>
  <c r="S648" i="9"/>
  <c r="AM647" i="9"/>
  <c r="AI647" i="9"/>
  <c r="AE647" i="9"/>
  <c r="AA647" i="9"/>
  <c r="S647" i="9"/>
  <c r="AM646" i="9"/>
  <c r="AI646" i="9"/>
  <c r="AE646" i="9"/>
  <c r="AA646" i="9"/>
  <c r="S646" i="9"/>
  <c r="AM645" i="9"/>
  <c r="AI645" i="9"/>
  <c r="AE645" i="9"/>
  <c r="AA645" i="9"/>
  <c r="S645" i="9"/>
  <c r="AM644" i="9"/>
  <c r="AI644" i="9"/>
  <c r="AE644" i="9"/>
  <c r="AA644" i="9"/>
  <c r="S644" i="9"/>
  <c r="AM643" i="9"/>
  <c r="AI643" i="9"/>
  <c r="AE643" i="9"/>
  <c r="AA643" i="9"/>
  <c r="S643" i="9"/>
  <c r="AM642" i="9"/>
  <c r="AI642" i="9"/>
  <c r="AE642" i="9"/>
  <c r="AA642" i="9"/>
  <c r="S642" i="9"/>
  <c r="AM641" i="9"/>
  <c r="AI641" i="9"/>
  <c r="AE641" i="9"/>
  <c r="AA641" i="9"/>
  <c r="S641" i="9"/>
  <c r="AM640" i="9"/>
  <c r="AI640" i="9"/>
  <c r="AE640" i="9"/>
  <c r="AA640" i="9"/>
  <c r="S640" i="9"/>
  <c r="AM639" i="9"/>
  <c r="AI639" i="9"/>
  <c r="AE639" i="9"/>
  <c r="AA639" i="9"/>
  <c r="S639" i="9"/>
  <c r="AM638" i="9"/>
  <c r="AI638" i="9"/>
  <c r="AE638" i="9"/>
  <c r="AA638" i="9"/>
  <c r="S638" i="9"/>
  <c r="AM637" i="9"/>
  <c r="AI637" i="9"/>
  <c r="AE637" i="9"/>
  <c r="AA637" i="9"/>
  <c r="S637" i="9"/>
  <c r="AM636" i="9"/>
  <c r="AI636" i="9"/>
  <c r="AE636" i="9"/>
  <c r="AA636" i="9"/>
  <c r="S636" i="9"/>
  <c r="AM635" i="9"/>
  <c r="AI635" i="9"/>
  <c r="AE635" i="9"/>
  <c r="AA635" i="9"/>
  <c r="S635" i="9"/>
  <c r="AM634" i="9"/>
  <c r="AI634" i="9"/>
  <c r="AE634" i="9"/>
  <c r="AA634" i="9"/>
  <c r="S634" i="9"/>
  <c r="AM633" i="9"/>
  <c r="AI633" i="9"/>
  <c r="AE633" i="9"/>
  <c r="AA633" i="9"/>
  <c r="S633" i="9"/>
  <c r="AM632" i="9"/>
  <c r="AI632" i="9"/>
  <c r="AE632" i="9"/>
  <c r="AA632" i="9"/>
  <c r="S632" i="9"/>
  <c r="AM631" i="9"/>
  <c r="AI631" i="9"/>
  <c r="AE631" i="9"/>
  <c r="AA631" i="9"/>
  <c r="S631" i="9"/>
  <c r="AM630" i="9"/>
  <c r="AI630" i="9"/>
  <c r="AE630" i="9"/>
  <c r="AA630" i="9"/>
  <c r="S630" i="9"/>
  <c r="AM629" i="9"/>
  <c r="AI629" i="9"/>
  <c r="AE629" i="9"/>
  <c r="AA629" i="9"/>
  <c r="S629" i="9"/>
  <c r="AM628" i="9"/>
  <c r="AI628" i="9"/>
  <c r="AE628" i="9"/>
  <c r="AA628" i="9"/>
  <c r="S628" i="9"/>
  <c r="AM627" i="9"/>
  <c r="AI627" i="9"/>
  <c r="AE627" i="9"/>
  <c r="AA627" i="9"/>
  <c r="S627" i="9"/>
  <c r="AM626" i="9"/>
  <c r="AI626" i="9"/>
  <c r="AE626" i="9"/>
  <c r="AA626" i="9"/>
  <c r="S626" i="9"/>
  <c r="AM625" i="9"/>
  <c r="AI625" i="9"/>
  <c r="AE625" i="9"/>
  <c r="AA625" i="9"/>
  <c r="S625" i="9"/>
  <c r="AM624" i="9"/>
  <c r="AI624" i="9"/>
  <c r="AE624" i="9"/>
  <c r="AA624" i="9"/>
  <c r="S624" i="9"/>
  <c r="AM623" i="9"/>
  <c r="AI623" i="9"/>
  <c r="AE623" i="9"/>
  <c r="AA623" i="9"/>
  <c r="S623" i="9"/>
  <c r="AM622" i="9"/>
  <c r="AI622" i="9"/>
  <c r="AE622" i="9"/>
  <c r="AA622" i="9"/>
  <c r="S622" i="9"/>
  <c r="AM621" i="9"/>
  <c r="AI621" i="9"/>
  <c r="AE621" i="9"/>
  <c r="AA621" i="9"/>
  <c r="S621" i="9"/>
  <c r="AM620" i="9"/>
  <c r="AI620" i="9"/>
  <c r="AE620" i="9"/>
  <c r="AA620" i="9"/>
  <c r="S620" i="9"/>
  <c r="AM619" i="9"/>
  <c r="AI619" i="9"/>
  <c r="AE619" i="9"/>
  <c r="AA619" i="9"/>
  <c r="S619" i="9"/>
  <c r="AM618" i="9"/>
  <c r="AI618" i="9"/>
  <c r="AE618" i="9"/>
  <c r="AA618" i="9"/>
  <c r="S618" i="9"/>
  <c r="AM617" i="9"/>
  <c r="AI617" i="9"/>
  <c r="AE617" i="9"/>
  <c r="AA617" i="9"/>
  <c r="S617" i="9"/>
  <c r="AM616" i="9"/>
  <c r="AI616" i="9"/>
  <c r="AE616" i="9"/>
  <c r="AA616" i="9"/>
  <c r="S616" i="9"/>
  <c r="AM615" i="9"/>
  <c r="AI615" i="9"/>
  <c r="AE615" i="9"/>
  <c r="AA615" i="9"/>
  <c r="S615" i="9"/>
  <c r="AM614" i="9"/>
  <c r="AI614" i="9"/>
  <c r="AE614" i="9"/>
  <c r="AA614" i="9"/>
  <c r="S614" i="9"/>
  <c r="AM613" i="9"/>
  <c r="AI613" i="9"/>
  <c r="AE613" i="9"/>
  <c r="AA613" i="9"/>
  <c r="S613" i="9"/>
  <c r="AM612" i="9"/>
  <c r="AI612" i="9"/>
  <c r="AE612" i="9"/>
  <c r="AA612" i="9"/>
  <c r="S612" i="9"/>
  <c r="AM611" i="9"/>
  <c r="AI611" i="9"/>
  <c r="AE611" i="9"/>
  <c r="AA611" i="9"/>
  <c r="S611" i="9"/>
  <c r="AM610" i="9"/>
  <c r="AI610" i="9"/>
  <c r="AE610" i="9"/>
  <c r="AA610" i="9"/>
  <c r="S610" i="9"/>
  <c r="AM609" i="9"/>
  <c r="AI609" i="9"/>
  <c r="AE609" i="9"/>
  <c r="AA609" i="9"/>
  <c r="S609" i="9"/>
  <c r="AM608" i="9"/>
  <c r="AI608" i="9"/>
  <c r="AE608" i="9"/>
  <c r="AA608" i="9"/>
  <c r="S608" i="9"/>
  <c r="AM607" i="9"/>
  <c r="AI607" i="9"/>
  <c r="AE607" i="9"/>
  <c r="AA607" i="9"/>
  <c r="S607" i="9"/>
  <c r="AM606" i="9"/>
  <c r="AI606" i="9"/>
  <c r="AE606" i="9"/>
  <c r="AA606" i="9"/>
  <c r="S606" i="9"/>
  <c r="AM605" i="9"/>
  <c r="AI605" i="9"/>
  <c r="AE605" i="9"/>
  <c r="AA605" i="9"/>
  <c r="S605" i="9"/>
  <c r="AM604" i="9"/>
  <c r="AI604" i="9"/>
  <c r="AE604" i="9"/>
  <c r="AA604" i="9"/>
  <c r="S604" i="9"/>
  <c r="AM603" i="9"/>
  <c r="AI603" i="9"/>
  <c r="AE603" i="9"/>
  <c r="AA603" i="9"/>
  <c r="S603" i="9"/>
  <c r="AM602" i="9"/>
  <c r="AI602" i="9"/>
  <c r="AE602" i="9"/>
  <c r="AA602" i="9"/>
  <c r="S602" i="9"/>
  <c r="AM601" i="9"/>
  <c r="AI601" i="9"/>
  <c r="AE601" i="9"/>
  <c r="AA601" i="9"/>
  <c r="S601" i="9"/>
  <c r="AM600" i="9"/>
  <c r="AI600" i="9"/>
  <c r="AE600" i="9"/>
  <c r="AA600" i="9"/>
  <c r="S600" i="9"/>
  <c r="AM599" i="9"/>
  <c r="AI599" i="9"/>
  <c r="AE599" i="9"/>
  <c r="AA599" i="9"/>
  <c r="S599" i="9"/>
  <c r="AM598" i="9"/>
  <c r="AI598" i="9"/>
  <c r="AE598" i="9"/>
  <c r="AA598" i="9"/>
  <c r="S598" i="9"/>
  <c r="AM597" i="9"/>
  <c r="AI597" i="9"/>
  <c r="AE597" i="9"/>
  <c r="AA597" i="9"/>
  <c r="S597" i="9"/>
  <c r="AM596" i="9"/>
  <c r="AI596" i="9"/>
  <c r="AE596" i="9"/>
  <c r="AA596" i="9"/>
  <c r="S596" i="9"/>
  <c r="AM595" i="9"/>
  <c r="AI595" i="9"/>
  <c r="AE595" i="9"/>
  <c r="AA595" i="9"/>
  <c r="S595" i="9"/>
  <c r="AM594" i="9"/>
  <c r="AI594" i="9"/>
  <c r="AE594" i="9"/>
  <c r="AA594" i="9"/>
  <c r="S594" i="9"/>
  <c r="AM593" i="9"/>
  <c r="AI593" i="9"/>
  <c r="AE593" i="9"/>
  <c r="AA593" i="9"/>
  <c r="S593" i="9"/>
  <c r="AM592" i="9"/>
  <c r="AI592" i="9"/>
  <c r="AE592" i="9"/>
  <c r="AA592" i="9"/>
  <c r="S592" i="9"/>
  <c r="AM591" i="9"/>
  <c r="AI591" i="9"/>
  <c r="AE591" i="9"/>
  <c r="AA591" i="9"/>
  <c r="S591" i="9"/>
  <c r="AM590" i="9"/>
  <c r="AI590" i="9"/>
  <c r="AE590" i="9"/>
  <c r="AA590" i="9"/>
  <c r="S590" i="9"/>
  <c r="AM589" i="9"/>
  <c r="AI589" i="9"/>
  <c r="AE589" i="9"/>
  <c r="AA589" i="9"/>
  <c r="S589" i="9"/>
  <c r="AM588" i="9"/>
  <c r="AI588" i="9"/>
  <c r="AE588" i="9"/>
  <c r="AA588" i="9"/>
  <c r="S588" i="9"/>
  <c r="AM587" i="9"/>
  <c r="AI587" i="9"/>
  <c r="AE587" i="9"/>
  <c r="AA587" i="9"/>
  <c r="S587" i="9"/>
  <c r="AM586" i="9"/>
  <c r="AI586" i="9"/>
  <c r="AE586" i="9"/>
  <c r="AA586" i="9"/>
  <c r="S586" i="9"/>
  <c r="AM585" i="9"/>
  <c r="AI585" i="9"/>
  <c r="AE585" i="9"/>
  <c r="AA585" i="9"/>
  <c r="S585" i="9"/>
  <c r="AM584" i="9"/>
  <c r="AI584" i="9"/>
  <c r="AE584" i="9"/>
  <c r="AA584" i="9"/>
  <c r="S584" i="9"/>
  <c r="AM583" i="9"/>
  <c r="AI583" i="9"/>
  <c r="AE583" i="9"/>
  <c r="AA583" i="9"/>
  <c r="S583" i="9"/>
  <c r="AM582" i="9"/>
  <c r="AI582" i="9"/>
  <c r="AE582" i="9"/>
  <c r="AA582" i="9"/>
  <c r="S582" i="9"/>
  <c r="AM581" i="9"/>
  <c r="AI581" i="9"/>
  <c r="AE581" i="9"/>
  <c r="AA581" i="9"/>
  <c r="S581" i="9"/>
  <c r="AM580" i="9"/>
  <c r="AI580" i="9"/>
  <c r="AE580" i="9"/>
  <c r="AA580" i="9"/>
  <c r="S580" i="9"/>
  <c r="AM579" i="9"/>
  <c r="AI579" i="9"/>
  <c r="AE579" i="9"/>
  <c r="AA579" i="9"/>
  <c r="S579" i="9"/>
  <c r="AM578" i="9"/>
  <c r="AI578" i="9"/>
  <c r="AE578" i="9"/>
  <c r="AA578" i="9"/>
  <c r="S578" i="9"/>
  <c r="AM577" i="9"/>
  <c r="AI577" i="9"/>
  <c r="AE577" i="9"/>
  <c r="AA577" i="9"/>
  <c r="S577" i="9"/>
  <c r="AM576" i="9"/>
  <c r="AI576" i="9"/>
  <c r="AE576" i="9"/>
  <c r="AA576" i="9"/>
  <c r="S576" i="9"/>
  <c r="AM575" i="9"/>
  <c r="AI575" i="9"/>
  <c r="AE575" i="9"/>
  <c r="AA575" i="9"/>
  <c r="S575" i="9"/>
  <c r="AM574" i="9"/>
  <c r="AI574" i="9"/>
  <c r="AE574" i="9"/>
  <c r="AA574" i="9"/>
  <c r="S574" i="9"/>
  <c r="AM573" i="9"/>
  <c r="AI573" i="9"/>
  <c r="AE573" i="9"/>
  <c r="AA573" i="9"/>
  <c r="S573" i="9"/>
  <c r="AM572" i="9"/>
  <c r="AI572" i="9"/>
  <c r="AE572" i="9"/>
  <c r="AA572" i="9"/>
  <c r="S572" i="9"/>
  <c r="AM571" i="9"/>
  <c r="AI571" i="9"/>
  <c r="AE571" i="9"/>
  <c r="AA571" i="9"/>
  <c r="S571" i="9"/>
  <c r="AM570" i="9"/>
  <c r="AI570" i="9"/>
  <c r="AE570" i="9"/>
  <c r="AA570" i="9"/>
  <c r="S570" i="9"/>
  <c r="AM569" i="9"/>
  <c r="AI569" i="9"/>
  <c r="AE569" i="9"/>
  <c r="AA569" i="9"/>
  <c r="S569" i="9"/>
  <c r="AM568" i="9"/>
  <c r="AI568" i="9"/>
  <c r="AE568" i="9"/>
  <c r="AA568" i="9"/>
  <c r="S568" i="9"/>
  <c r="AM567" i="9"/>
  <c r="AI567" i="9"/>
  <c r="AE567" i="9"/>
  <c r="AA567" i="9"/>
  <c r="S567" i="9"/>
  <c r="AM566" i="9"/>
  <c r="AI566" i="9"/>
  <c r="AE566" i="9"/>
  <c r="AA566" i="9"/>
  <c r="S566" i="9"/>
  <c r="AM565" i="9"/>
  <c r="AI565" i="9"/>
  <c r="AE565" i="9"/>
  <c r="AA565" i="9"/>
  <c r="S565" i="9"/>
  <c r="AM564" i="9"/>
  <c r="AI564" i="9"/>
  <c r="AE564" i="9"/>
  <c r="AA564" i="9"/>
  <c r="S564" i="9"/>
  <c r="AM563" i="9"/>
  <c r="AI563" i="9"/>
  <c r="AE563" i="9"/>
  <c r="AA563" i="9"/>
  <c r="S563" i="9"/>
  <c r="AM562" i="9"/>
  <c r="AI562" i="9"/>
  <c r="AE562" i="9"/>
  <c r="AA562" i="9"/>
  <c r="S562" i="9"/>
  <c r="AM561" i="9"/>
  <c r="AI561" i="9"/>
  <c r="AE561" i="9"/>
  <c r="AA561" i="9"/>
  <c r="S561" i="9"/>
  <c r="AM560" i="9"/>
  <c r="AI560" i="9"/>
  <c r="AE560" i="9"/>
  <c r="AA560" i="9"/>
  <c r="S560" i="9"/>
  <c r="AM559" i="9"/>
  <c r="AI559" i="9"/>
  <c r="AE559" i="9"/>
  <c r="AA559" i="9"/>
  <c r="S559" i="9"/>
  <c r="AM558" i="9"/>
  <c r="AI558" i="9"/>
  <c r="AE558" i="9"/>
  <c r="AA558" i="9"/>
  <c r="S558" i="9"/>
  <c r="AM557" i="9"/>
  <c r="AI557" i="9"/>
  <c r="AE557" i="9"/>
  <c r="AA557" i="9"/>
  <c r="S557" i="9"/>
  <c r="AM556" i="9"/>
  <c r="AI556" i="9"/>
  <c r="AE556" i="9"/>
  <c r="AA556" i="9"/>
  <c r="S556" i="9"/>
  <c r="AM555" i="9"/>
  <c r="AI555" i="9"/>
  <c r="AE555" i="9"/>
  <c r="AA555" i="9"/>
  <c r="S555" i="9"/>
  <c r="AM554" i="9"/>
  <c r="AI554" i="9"/>
  <c r="AE554" i="9"/>
  <c r="AA554" i="9"/>
  <c r="S554" i="9"/>
  <c r="AM553" i="9"/>
  <c r="AI553" i="9"/>
  <c r="AE553" i="9"/>
  <c r="AA553" i="9"/>
  <c r="S553" i="9"/>
  <c r="AM552" i="9"/>
  <c r="AI552" i="9"/>
  <c r="AE552" i="9"/>
  <c r="AA552" i="9"/>
  <c r="S552" i="9"/>
  <c r="AM551" i="9"/>
  <c r="AI551" i="9"/>
  <c r="AE551" i="9"/>
  <c r="AA551" i="9"/>
  <c r="S551" i="9"/>
  <c r="AM550" i="9"/>
  <c r="AI550" i="9"/>
  <c r="AE550" i="9"/>
  <c r="AA550" i="9"/>
  <c r="S550" i="9"/>
  <c r="AM549" i="9"/>
  <c r="AI549" i="9"/>
  <c r="AE549" i="9"/>
  <c r="AA549" i="9"/>
  <c r="S549" i="9"/>
  <c r="AM548" i="9"/>
  <c r="AI548" i="9"/>
  <c r="AE548" i="9"/>
  <c r="AA548" i="9"/>
  <c r="S548" i="9"/>
  <c r="AM547" i="9"/>
  <c r="AI547" i="9"/>
  <c r="AE547" i="9"/>
  <c r="AA547" i="9"/>
  <c r="S547" i="9"/>
  <c r="AM546" i="9"/>
  <c r="AI546" i="9"/>
  <c r="AE546" i="9"/>
  <c r="AA546" i="9"/>
  <c r="S546" i="9"/>
  <c r="AM545" i="9"/>
  <c r="AI545" i="9"/>
  <c r="AE545" i="9"/>
  <c r="AA545" i="9"/>
  <c r="S545" i="9"/>
  <c r="AM544" i="9"/>
  <c r="AI544" i="9"/>
  <c r="AE544" i="9"/>
  <c r="AA544" i="9"/>
  <c r="S544" i="9"/>
  <c r="AM543" i="9"/>
  <c r="AI543" i="9"/>
  <c r="AE543" i="9"/>
  <c r="AA543" i="9"/>
  <c r="S543" i="9"/>
  <c r="AM542" i="9"/>
  <c r="AI542" i="9"/>
  <c r="AE542" i="9"/>
  <c r="AA542" i="9"/>
  <c r="S542" i="9"/>
  <c r="AM541" i="9"/>
  <c r="AI541" i="9"/>
  <c r="AE541" i="9"/>
  <c r="AA541" i="9"/>
  <c r="S541" i="9"/>
  <c r="AM540" i="9"/>
  <c r="AI540" i="9"/>
  <c r="AE540" i="9"/>
  <c r="AA540" i="9"/>
  <c r="S540" i="9"/>
  <c r="AM539" i="9"/>
  <c r="AI539" i="9"/>
  <c r="AE539" i="9"/>
  <c r="AA539" i="9"/>
  <c r="S539" i="9"/>
  <c r="AM538" i="9"/>
  <c r="AI538" i="9"/>
  <c r="AE538" i="9"/>
  <c r="AA538" i="9"/>
  <c r="S538" i="9"/>
  <c r="AM537" i="9"/>
  <c r="AI537" i="9"/>
  <c r="AE537" i="9"/>
  <c r="AA537" i="9"/>
  <c r="S537" i="9"/>
  <c r="AM536" i="9"/>
  <c r="AI536" i="9"/>
  <c r="AE536" i="9"/>
  <c r="AA536" i="9"/>
  <c r="S536" i="9"/>
  <c r="AM535" i="9"/>
  <c r="AI535" i="9"/>
  <c r="AE535" i="9"/>
  <c r="AA535" i="9"/>
  <c r="S535" i="9"/>
  <c r="AM534" i="9"/>
  <c r="AI534" i="9"/>
  <c r="AE534" i="9"/>
  <c r="AA534" i="9"/>
  <c r="S534" i="9"/>
  <c r="AM533" i="9"/>
  <c r="AI533" i="9"/>
  <c r="AE533" i="9"/>
  <c r="AA533" i="9"/>
  <c r="S533" i="9"/>
  <c r="AM532" i="9"/>
  <c r="AI532" i="9"/>
  <c r="AE532" i="9"/>
  <c r="AA532" i="9"/>
  <c r="S532" i="9"/>
  <c r="AM531" i="9"/>
  <c r="AI531" i="9"/>
  <c r="AE531" i="9"/>
  <c r="AA531" i="9"/>
  <c r="S531" i="9"/>
  <c r="AM530" i="9"/>
  <c r="AI530" i="9"/>
  <c r="AE530" i="9"/>
  <c r="AA530" i="9"/>
  <c r="S530" i="9"/>
  <c r="AM529" i="9"/>
  <c r="AI529" i="9"/>
  <c r="AE529" i="9"/>
  <c r="AA529" i="9"/>
  <c r="S529" i="9"/>
  <c r="AM528" i="9"/>
  <c r="AI528" i="9"/>
  <c r="AE528" i="9"/>
  <c r="AA528" i="9"/>
  <c r="S528" i="9"/>
  <c r="AM527" i="9"/>
  <c r="AI527" i="9"/>
  <c r="AE527" i="9"/>
  <c r="AA527" i="9"/>
  <c r="S527" i="9"/>
  <c r="AM526" i="9"/>
  <c r="AI526" i="9"/>
  <c r="AE526" i="9"/>
  <c r="AA526" i="9"/>
  <c r="S526" i="9"/>
  <c r="AM525" i="9"/>
  <c r="AI525" i="9"/>
  <c r="AE525" i="9"/>
  <c r="AA525" i="9"/>
  <c r="S525" i="9"/>
  <c r="AM524" i="9"/>
  <c r="AI524" i="9"/>
  <c r="AE524" i="9"/>
  <c r="AA524" i="9"/>
  <c r="S524" i="9"/>
  <c r="AM523" i="9"/>
  <c r="AI523" i="9"/>
  <c r="AE523" i="9"/>
  <c r="AA523" i="9"/>
  <c r="S523" i="9"/>
  <c r="AM522" i="9"/>
  <c r="AI522" i="9"/>
  <c r="AE522" i="9"/>
  <c r="AA522" i="9"/>
  <c r="S522" i="9"/>
  <c r="AM521" i="9"/>
  <c r="AI521" i="9"/>
  <c r="AE521" i="9"/>
  <c r="AA521" i="9"/>
  <c r="S521" i="9"/>
  <c r="AM520" i="9"/>
  <c r="AI520" i="9"/>
  <c r="AE520" i="9"/>
  <c r="AA520" i="9"/>
  <c r="S520" i="9"/>
  <c r="AM519" i="9"/>
  <c r="AI519" i="9"/>
  <c r="AE519" i="9"/>
  <c r="AA519" i="9"/>
  <c r="S519" i="9"/>
  <c r="AM518" i="9"/>
  <c r="AI518" i="9"/>
  <c r="AE518" i="9"/>
  <c r="AA518" i="9"/>
  <c r="S518" i="9"/>
  <c r="AM517" i="9"/>
  <c r="AI517" i="9"/>
  <c r="AE517" i="9"/>
  <c r="AA517" i="9"/>
  <c r="S517" i="9"/>
  <c r="AM516" i="9"/>
  <c r="AI516" i="9"/>
  <c r="AE516" i="9"/>
  <c r="AA516" i="9"/>
  <c r="S516" i="9"/>
  <c r="AM515" i="9"/>
  <c r="AI515" i="9"/>
  <c r="AE515" i="9"/>
  <c r="AA515" i="9"/>
  <c r="S515" i="9"/>
  <c r="AM514" i="9"/>
  <c r="AI514" i="9"/>
  <c r="AE514" i="9"/>
  <c r="AA514" i="9"/>
  <c r="S514" i="9"/>
  <c r="AM513" i="9"/>
  <c r="AI513" i="9"/>
  <c r="AE513" i="9"/>
  <c r="AA513" i="9"/>
  <c r="S513" i="9"/>
  <c r="AM512" i="9"/>
  <c r="AI512" i="9"/>
  <c r="AE512" i="9"/>
  <c r="AA512" i="9"/>
  <c r="S512" i="9"/>
  <c r="AM511" i="9"/>
  <c r="AI511" i="9"/>
  <c r="AE511" i="9"/>
  <c r="AA511" i="9"/>
  <c r="S511" i="9"/>
  <c r="AM510" i="9"/>
  <c r="AI510" i="9"/>
  <c r="AE510" i="9"/>
  <c r="AA510" i="9"/>
  <c r="S510" i="9"/>
  <c r="AM509" i="9"/>
  <c r="AI509" i="9"/>
  <c r="AE509" i="9"/>
  <c r="AA509" i="9"/>
  <c r="S509" i="9"/>
  <c r="AM508" i="9"/>
  <c r="AI508" i="9"/>
  <c r="AE508" i="9"/>
  <c r="AA508" i="9"/>
  <c r="S508" i="9"/>
  <c r="AM507" i="9"/>
  <c r="AI507" i="9"/>
  <c r="AE507" i="9"/>
  <c r="AA507" i="9"/>
  <c r="S507" i="9"/>
  <c r="AM506" i="9"/>
  <c r="AI506" i="9"/>
  <c r="AE506" i="9"/>
  <c r="AA506" i="9"/>
  <c r="S506" i="9"/>
  <c r="AM505" i="9"/>
  <c r="AI505" i="9"/>
  <c r="AE505" i="9"/>
  <c r="AA505" i="9"/>
  <c r="S505" i="9"/>
  <c r="AM504" i="9"/>
  <c r="AI504" i="9"/>
  <c r="AE504" i="9"/>
  <c r="AA504" i="9"/>
  <c r="S504" i="9"/>
  <c r="AM503" i="9"/>
  <c r="AI503" i="9"/>
  <c r="AE503" i="9"/>
  <c r="AA503" i="9"/>
  <c r="S503" i="9"/>
  <c r="AM502" i="9"/>
  <c r="AI502" i="9"/>
  <c r="AE502" i="9"/>
  <c r="AA502" i="9"/>
  <c r="S502" i="9"/>
  <c r="AM501" i="9"/>
  <c r="AI501" i="9"/>
  <c r="AE501" i="9"/>
  <c r="AA501" i="9"/>
  <c r="S501" i="9"/>
  <c r="AM500" i="9"/>
  <c r="AI500" i="9"/>
  <c r="AE500" i="9"/>
  <c r="AA500" i="9"/>
  <c r="S500" i="9"/>
  <c r="AM499" i="9"/>
  <c r="AI499" i="9"/>
  <c r="AE499" i="9"/>
  <c r="AA499" i="9"/>
  <c r="S499" i="9"/>
  <c r="AM498" i="9"/>
  <c r="AI498" i="9"/>
  <c r="AE498" i="9"/>
  <c r="AA498" i="9"/>
  <c r="S498" i="9"/>
  <c r="AM497" i="9"/>
  <c r="AI497" i="9"/>
  <c r="AE497" i="9"/>
  <c r="AA497" i="9"/>
  <c r="S497" i="9"/>
  <c r="AM496" i="9"/>
  <c r="AI496" i="9"/>
  <c r="AE496" i="9"/>
  <c r="AA496" i="9"/>
  <c r="S496" i="9"/>
  <c r="AM495" i="9"/>
  <c r="AI495" i="9"/>
  <c r="AE495" i="9"/>
  <c r="AA495" i="9"/>
  <c r="S495" i="9"/>
  <c r="AM494" i="9"/>
  <c r="AI494" i="9"/>
  <c r="AE494" i="9"/>
  <c r="AA494" i="9"/>
  <c r="S494" i="9"/>
  <c r="AM493" i="9"/>
  <c r="AI493" i="9"/>
  <c r="AE493" i="9"/>
  <c r="AA493" i="9"/>
  <c r="S493" i="9"/>
  <c r="AM492" i="9"/>
  <c r="AI492" i="9"/>
  <c r="AE492" i="9"/>
  <c r="AA492" i="9"/>
  <c r="S492" i="9"/>
  <c r="AM491" i="9"/>
  <c r="AI491" i="9"/>
  <c r="AE491" i="9"/>
  <c r="AA491" i="9"/>
  <c r="S491" i="9"/>
  <c r="AM490" i="9"/>
  <c r="AI490" i="9"/>
  <c r="AE490" i="9"/>
  <c r="AA490" i="9"/>
  <c r="S490" i="9"/>
  <c r="AM489" i="9"/>
  <c r="AI489" i="9"/>
  <c r="AE489" i="9"/>
  <c r="AA489" i="9"/>
  <c r="S489" i="9"/>
  <c r="AM488" i="9"/>
  <c r="AI488" i="9"/>
  <c r="AE488" i="9"/>
  <c r="AA488" i="9"/>
  <c r="S488" i="9"/>
  <c r="AM487" i="9"/>
  <c r="AI487" i="9"/>
  <c r="AE487" i="9"/>
  <c r="AA487" i="9"/>
  <c r="S487" i="9"/>
  <c r="AM486" i="9"/>
  <c r="AI486" i="9"/>
  <c r="AE486" i="9"/>
  <c r="AA486" i="9"/>
  <c r="S486" i="9"/>
  <c r="AM485" i="9"/>
  <c r="AI485" i="9"/>
  <c r="AE485" i="9"/>
  <c r="AA485" i="9"/>
  <c r="S485" i="9"/>
  <c r="AM484" i="9"/>
  <c r="AI484" i="9"/>
  <c r="AE484" i="9"/>
  <c r="AA484" i="9"/>
  <c r="S484" i="9"/>
  <c r="AM483" i="9"/>
  <c r="AI483" i="9"/>
  <c r="AE483" i="9"/>
  <c r="AA483" i="9"/>
  <c r="S483" i="9"/>
  <c r="AM482" i="9"/>
  <c r="AI482" i="9"/>
  <c r="AE482" i="9"/>
  <c r="AA482" i="9"/>
  <c r="S482" i="9"/>
  <c r="AM481" i="9"/>
  <c r="AI481" i="9"/>
  <c r="AE481" i="9"/>
  <c r="AA481" i="9"/>
  <c r="S481" i="9"/>
  <c r="AM480" i="9"/>
  <c r="AI480" i="9"/>
  <c r="AE480" i="9"/>
  <c r="AA480" i="9"/>
  <c r="S480" i="9"/>
  <c r="AM479" i="9"/>
  <c r="AI479" i="9"/>
  <c r="AE479" i="9"/>
  <c r="AA479" i="9"/>
  <c r="S479" i="9"/>
  <c r="AM478" i="9"/>
  <c r="AI478" i="9"/>
  <c r="AE478" i="9"/>
  <c r="AA478" i="9"/>
  <c r="S478" i="9"/>
  <c r="AM477" i="9"/>
  <c r="AI477" i="9"/>
  <c r="AE477" i="9"/>
  <c r="AA477" i="9"/>
  <c r="S477" i="9"/>
  <c r="AM476" i="9"/>
  <c r="AI476" i="9"/>
  <c r="AE476" i="9"/>
  <c r="AA476" i="9"/>
  <c r="S476" i="9"/>
  <c r="AM475" i="9"/>
  <c r="AI475" i="9"/>
  <c r="AE475" i="9"/>
  <c r="AA475" i="9"/>
  <c r="S475" i="9"/>
  <c r="AM474" i="9"/>
  <c r="AI474" i="9"/>
  <c r="AE474" i="9"/>
  <c r="AA474" i="9"/>
  <c r="S474" i="9"/>
  <c r="AM473" i="9"/>
  <c r="AI473" i="9"/>
  <c r="AE473" i="9"/>
  <c r="AA473" i="9"/>
  <c r="S473" i="9"/>
  <c r="AM472" i="9"/>
  <c r="AI472" i="9"/>
  <c r="AE472" i="9"/>
  <c r="AA472" i="9"/>
  <c r="S472" i="9"/>
  <c r="AM471" i="9"/>
  <c r="AI471" i="9"/>
  <c r="AE471" i="9"/>
  <c r="AA471" i="9"/>
  <c r="S471" i="9"/>
  <c r="AM470" i="9"/>
  <c r="AI470" i="9"/>
  <c r="AE470" i="9"/>
  <c r="AA470" i="9"/>
  <c r="S470" i="9"/>
  <c r="AM469" i="9"/>
  <c r="AI469" i="9"/>
  <c r="AE469" i="9"/>
  <c r="AA469" i="9"/>
  <c r="S469" i="9"/>
  <c r="AM468" i="9"/>
  <c r="AI468" i="9"/>
  <c r="AE468" i="9"/>
  <c r="AA468" i="9"/>
  <c r="S468" i="9"/>
  <c r="AM467" i="9"/>
  <c r="AI467" i="9"/>
  <c r="AE467" i="9"/>
  <c r="AA467" i="9"/>
  <c r="S467" i="9"/>
  <c r="AM466" i="9"/>
  <c r="AI466" i="9"/>
  <c r="AE466" i="9"/>
  <c r="AA466" i="9"/>
  <c r="S466" i="9"/>
  <c r="AM465" i="9"/>
  <c r="AI465" i="9"/>
  <c r="AE465" i="9"/>
  <c r="AA465" i="9"/>
  <c r="S465" i="9"/>
  <c r="AM464" i="9"/>
  <c r="AI464" i="9"/>
  <c r="AE464" i="9"/>
  <c r="AA464" i="9"/>
  <c r="S464" i="9"/>
  <c r="AM463" i="9"/>
  <c r="AI463" i="9"/>
  <c r="AE463" i="9"/>
  <c r="AA463" i="9"/>
  <c r="S463" i="9"/>
  <c r="AM462" i="9"/>
  <c r="AI462" i="9"/>
  <c r="AE462" i="9"/>
  <c r="AA462" i="9"/>
  <c r="S462" i="9"/>
  <c r="AM461" i="9"/>
  <c r="AI461" i="9"/>
  <c r="AE461" i="9"/>
  <c r="AA461" i="9"/>
  <c r="S461" i="9"/>
  <c r="AM460" i="9"/>
  <c r="AI460" i="9"/>
  <c r="AE460" i="9"/>
  <c r="AA460" i="9"/>
  <c r="S460" i="9"/>
  <c r="AM459" i="9"/>
  <c r="AI459" i="9"/>
  <c r="AE459" i="9"/>
  <c r="AA459" i="9"/>
  <c r="S459" i="9"/>
  <c r="AM458" i="9"/>
  <c r="AI458" i="9"/>
  <c r="AE458" i="9"/>
  <c r="AA458" i="9"/>
  <c r="S458" i="9"/>
  <c r="AM457" i="9"/>
  <c r="AI457" i="9"/>
  <c r="AE457" i="9"/>
  <c r="AA457" i="9"/>
  <c r="S457" i="9"/>
  <c r="AM456" i="9"/>
  <c r="AI456" i="9"/>
  <c r="AE456" i="9"/>
  <c r="AA456" i="9"/>
  <c r="S456" i="9"/>
  <c r="AM455" i="9"/>
  <c r="AI455" i="9"/>
  <c r="AE455" i="9"/>
  <c r="AA455" i="9"/>
  <c r="S455" i="9"/>
  <c r="AM454" i="9"/>
  <c r="AI454" i="9"/>
  <c r="AE454" i="9"/>
  <c r="AA454" i="9"/>
  <c r="S454" i="9"/>
  <c r="AM453" i="9"/>
  <c r="AI453" i="9"/>
  <c r="AE453" i="9"/>
  <c r="AA453" i="9"/>
  <c r="S453" i="9"/>
  <c r="AM452" i="9"/>
  <c r="AI452" i="9"/>
  <c r="AE452" i="9"/>
  <c r="AA452" i="9"/>
  <c r="S452" i="9"/>
  <c r="AM451" i="9"/>
  <c r="AI451" i="9"/>
  <c r="AE451" i="9"/>
  <c r="AA451" i="9"/>
  <c r="S451" i="9"/>
  <c r="AM450" i="9"/>
  <c r="AI450" i="9"/>
  <c r="AE450" i="9"/>
  <c r="AA450" i="9"/>
  <c r="S450" i="9"/>
  <c r="AM449" i="9"/>
  <c r="AI449" i="9"/>
  <c r="AE449" i="9"/>
  <c r="AA449" i="9"/>
  <c r="S449" i="9"/>
  <c r="AM448" i="9"/>
  <c r="AI448" i="9"/>
  <c r="AE448" i="9"/>
  <c r="AA448" i="9"/>
  <c r="S448" i="9"/>
  <c r="AM447" i="9"/>
  <c r="AI447" i="9"/>
  <c r="AE447" i="9"/>
  <c r="AA447" i="9"/>
  <c r="S447" i="9"/>
  <c r="AM446" i="9"/>
  <c r="AI446" i="9"/>
  <c r="AE446" i="9"/>
  <c r="AA446" i="9"/>
  <c r="S446" i="9"/>
  <c r="AM445" i="9"/>
  <c r="AI445" i="9"/>
  <c r="AE445" i="9"/>
  <c r="AA445" i="9"/>
  <c r="S445" i="9"/>
  <c r="AM444" i="9"/>
  <c r="AI444" i="9"/>
  <c r="AE444" i="9"/>
  <c r="AA444" i="9"/>
  <c r="S444" i="9"/>
  <c r="AM443" i="9"/>
  <c r="AI443" i="9"/>
  <c r="AE443" i="9"/>
  <c r="AA443" i="9"/>
  <c r="S443" i="9"/>
  <c r="AM442" i="9"/>
  <c r="AI442" i="9"/>
  <c r="AE442" i="9"/>
  <c r="AA442" i="9"/>
  <c r="S442" i="9"/>
  <c r="AM441" i="9"/>
  <c r="AI441" i="9"/>
  <c r="AE441" i="9"/>
  <c r="AA441" i="9"/>
  <c r="S441" i="9"/>
  <c r="AM440" i="9"/>
  <c r="AI440" i="9"/>
  <c r="AE440" i="9"/>
  <c r="AA440" i="9"/>
  <c r="S440" i="9"/>
  <c r="AM439" i="9"/>
  <c r="AI439" i="9"/>
  <c r="AE439" i="9"/>
  <c r="AA439" i="9"/>
  <c r="S439" i="9"/>
  <c r="AM438" i="9"/>
  <c r="AI438" i="9"/>
  <c r="AE438" i="9"/>
  <c r="AA438" i="9"/>
  <c r="S438" i="9"/>
  <c r="AM437" i="9"/>
  <c r="AI437" i="9"/>
  <c r="AE437" i="9"/>
  <c r="AA437" i="9"/>
  <c r="S437" i="9"/>
  <c r="AM436" i="9"/>
  <c r="AI436" i="9"/>
  <c r="AE436" i="9"/>
  <c r="AA436" i="9"/>
  <c r="S436" i="9"/>
  <c r="AM435" i="9"/>
  <c r="AI435" i="9"/>
  <c r="AE435" i="9"/>
  <c r="AA435" i="9"/>
  <c r="S435" i="9"/>
  <c r="AM434" i="9"/>
  <c r="AI434" i="9"/>
  <c r="AE434" i="9"/>
  <c r="AA434" i="9"/>
  <c r="S434" i="9"/>
  <c r="AM433" i="9"/>
  <c r="AI433" i="9"/>
  <c r="AE433" i="9"/>
  <c r="AA433" i="9"/>
  <c r="S433" i="9"/>
  <c r="AM432" i="9"/>
  <c r="AI432" i="9"/>
  <c r="AE432" i="9"/>
  <c r="AA432" i="9"/>
  <c r="S432" i="9"/>
  <c r="AM431" i="9"/>
  <c r="AI431" i="9"/>
  <c r="AE431" i="9"/>
  <c r="AA431" i="9"/>
  <c r="S431" i="9"/>
  <c r="AM430" i="9"/>
  <c r="AI430" i="9"/>
  <c r="AE430" i="9"/>
  <c r="AA430" i="9"/>
  <c r="S430" i="9"/>
  <c r="AM429" i="9"/>
  <c r="AI429" i="9"/>
  <c r="AE429" i="9"/>
  <c r="AA429" i="9"/>
  <c r="S429" i="9"/>
  <c r="AM428" i="9"/>
  <c r="AI428" i="9"/>
  <c r="AE428" i="9"/>
  <c r="AA428" i="9"/>
  <c r="S428" i="9"/>
  <c r="AM427" i="9"/>
  <c r="AI427" i="9"/>
  <c r="AE427" i="9"/>
  <c r="AA427" i="9"/>
  <c r="S427" i="9"/>
  <c r="AM426" i="9"/>
  <c r="AI426" i="9"/>
  <c r="AE426" i="9"/>
  <c r="AA426" i="9"/>
  <c r="S426" i="9"/>
  <c r="AM425" i="9"/>
  <c r="AI425" i="9"/>
  <c r="AE425" i="9"/>
  <c r="AA425" i="9"/>
  <c r="S425" i="9"/>
  <c r="AM424" i="9"/>
  <c r="AI424" i="9"/>
  <c r="AE424" i="9"/>
  <c r="AA424" i="9"/>
  <c r="S424" i="9"/>
  <c r="AM423" i="9"/>
  <c r="AI423" i="9"/>
  <c r="AE423" i="9"/>
  <c r="AA423" i="9"/>
  <c r="S423" i="9"/>
  <c r="AM422" i="9"/>
  <c r="AI422" i="9"/>
  <c r="AE422" i="9"/>
  <c r="AA422" i="9"/>
  <c r="S422" i="9"/>
  <c r="AM421" i="9"/>
  <c r="AI421" i="9"/>
  <c r="AE421" i="9"/>
  <c r="AA421" i="9"/>
  <c r="S421" i="9"/>
  <c r="AM420" i="9"/>
  <c r="AI420" i="9"/>
  <c r="AE420" i="9"/>
  <c r="AA420" i="9"/>
  <c r="S420" i="9"/>
  <c r="AM419" i="9"/>
  <c r="AI419" i="9"/>
  <c r="AE419" i="9"/>
  <c r="AA419" i="9"/>
  <c r="S419" i="9"/>
  <c r="AM418" i="9"/>
  <c r="AI418" i="9"/>
  <c r="AE418" i="9"/>
  <c r="AA418" i="9"/>
  <c r="S418" i="9"/>
  <c r="AM417" i="9"/>
  <c r="AI417" i="9"/>
  <c r="AE417" i="9"/>
  <c r="AA417" i="9"/>
  <c r="S417" i="9"/>
  <c r="AM416" i="9"/>
  <c r="AI416" i="9"/>
  <c r="AE416" i="9"/>
  <c r="AA416" i="9"/>
  <c r="S416" i="9"/>
  <c r="AM415" i="9"/>
  <c r="AI415" i="9"/>
  <c r="AE415" i="9"/>
  <c r="AA415" i="9"/>
  <c r="S415" i="9"/>
  <c r="AM414" i="9"/>
  <c r="AI414" i="9"/>
  <c r="AE414" i="9"/>
  <c r="AA414" i="9"/>
  <c r="S414" i="9"/>
  <c r="AM413" i="9"/>
  <c r="AI413" i="9"/>
  <c r="AE413" i="9"/>
  <c r="AA413" i="9"/>
  <c r="S413" i="9"/>
  <c r="AM412" i="9"/>
  <c r="AI412" i="9"/>
  <c r="AE412" i="9"/>
  <c r="AA412" i="9"/>
  <c r="S412" i="9"/>
  <c r="AM411" i="9"/>
  <c r="AI411" i="9"/>
  <c r="AE411" i="9"/>
  <c r="AA411" i="9"/>
  <c r="S411" i="9"/>
  <c r="AM410" i="9"/>
  <c r="AI410" i="9"/>
  <c r="AE410" i="9"/>
  <c r="AA410" i="9"/>
  <c r="S410" i="9"/>
  <c r="AM409" i="9"/>
  <c r="AI409" i="9"/>
  <c r="AE409" i="9"/>
  <c r="AA409" i="9"/>
  <c r="S409" i="9"/>
  <c r="AM408" i="9"/>
  <c r="AI408" i="9"/>
  <c r="AE408" i="9"/>
  <c r="AA408" i="9"/>
  <c r="S408" i="9"/>
  <c r="AM407" i="9"/>
  <c r="AI407" i="9"/>
  <c r="AE407" i="9"/>
  <c r="AA407" i="9"/>
  <c r="S407" i="9"/>
  <c r="AM406" i="9"/>
  <c r="AI406" i="9"/>
  <c r="AE406" i="9"/>
  <c r="AA406" i="9"/>
  <c r="S406" i="9"/>
  <c r="AM405" i="9"/>
  <c r="AI405" i="9"/>
  <c r="AE405" i="9"/>
  <c r="AA405" i="9"/>
  <c r="S405" i="9"/>
  <c r="AM404" i="9"/>
  <c r="AI404" i="9"/>
  <c r="AE404" i="9"/>
  <c r="AA404" i="9"/>
  <c r="S404" i="9"/>
  <c r="AM403" i="9"/>
  <c r="AI403" i="9"/>
  <c r="AE403" i="9"/>
  <c r="AA403" i="9"/>
  <c r="S403" i="9"/>
  <c r="AM402" i="9"/>
  <c r="AI402" i="9"/>
  <c r="AE402" i="9"/>
  <c r="AA402" i="9"/>
  <c r="S402" i="9"/>
  <c r="AM401" i="9"/>
  <c r="AI401" i="9"/>
  <c r="AE401" i="9"/>
  <c r="AA401" i="9"/>
  <c r="S401" i="9"/>
  <c r="AM400" i="9"/>
  <c r="AI400" i="9"/>
  <c r="AE400" i="9"/>
  <c r="AA400" i="9"/>
  <c r="S400" i="9"/>
  <c r="AM399" i="9"/>
  <c r="AI399" i="9"/>
  <c r="AE399" i="9"/>
  <c r="AA399" i="9"/>
  <c r="S399" i="9"/>
  <c r="AM398" i="9"/>
  <c r="AI398" i="9"/>
  <c r="AE398" i="9"/>
  <c r="AA398" i="9"/>
  <c r="S398" i="9"/>
  <c r="AM397" i="9"/>
  <c r="AI397" i="9"/>
  <c r="AE397" i="9"/>
  <c r="AA397" i="9"/>
  <c r="S397" i="9"/>
  <c r="AM396" i="9"/>
  <c r="AI396" i="9"/>
  <c r="AE396" i="9"/>
  <c r="AA396" i="9"/>
  <c r="S396" i="9"/>
  <c r="AM395" i="9"/>
  <c r="AI395" i="9"/>
  <c r="AE395" i="9"/>
  <c r="AA395" i="9"/>
  <c r="S395" i="9"/>
  <c r="AM394" i="9"/>
  <c r="AI394" i="9"/>
  <c r="AE394" i="9"/>
  <c r="AA394" i="9"/>
  <c r="S394" i="9"/>
  <c r="AM393" i="9"/>
  <c r="AI393" i="9"/>
  <c r="AE393" i="9"/>
  <c r="AA393" i="9"/>
  <c r="S393" i="9"/>
  <c r="AM392" i="9"/>
  <c r="AI392" i="9"/>
  <c r="AE392" i="9"/>
  <c r="AA392" i="9"/>
  <c r="S392" i="9"/>
  <c r="AM391" i="9"/>
  <c r="AI391" i="9"/>
  <c r="AE391" i="9"/>
  <c r="AA391" i="9"/>
  <c r="S391" i="9"/>
  <c r="AM390" i="9"/>
  <c r="AI390" i="9"/>
  <c r="AE390" i="9"/>
  <c r="AA390" i="9"/>
  <c r="S390" i="9"/>
  <c r="AM389" i="9"/>
  <c r="AI389" i="9"/>
  <c r="AE389" i="9"/>
  <c r="AA389" i="9"/>
  <c r="S389" i="9"/>
  <c r="AM388" i="9"/>
  <c r="AI388" i="9"/>
  <c r="AE388" i="9"/>
  <c r="AA388" i="9"/>
  <c r="S388" i="9"/>
  <c r="AM387" i="9"/>
  <c r="AI387" i="9"/>
  <c r="AE387" i="9"/>
  <c r="AA387" i="9"/>
  <c r="S387" i="9"/>
  <c r="AM386" i="9"/>
  <c r="AI386" i="9"/>
  <c r="AE386" i="9"/>
  <c r="AA386" i="9"/>
  <c r="S386" i="9"/>
  <c r="AM385" i="9"/>
  <c r="AI385" i="9"/>
  <c r="AE385" i="9"/>
  <c r="AA385" i="9"/>
  <c r="S385" i="9"/>
  <c r="AM384" i="9"/>
  <c r="AI384" i="9"/>
  <c r="AE384" i="9"/>
  <c r="AA384" i="9"/>
  <c r="S384" i="9"/>
  <c r="AM383" i="9"/>
  <c r="AI383" i="9"/>
  <c r="AE383" i="9"/>
  <c r="AA383" i="9"/>
  <c r="S383" i="9"/>
  <c r="AM382" i="9"/>
  <c r="AI382" i="9"/>
  <c r="AE382" i="9"/>
  <c r="AA382" i="9"/>
  <c r="S382" i="9"/>
  <c r="AM381" i="9"/>
  <c r="AI381" i="9"/>
  <c r="AE381" i="9"/>
  <c r="AA381" i="9"/>
  <c r="S381" i="9"/>
  <c r="AM380" i="9"/>
  <c r="AI380" i="9"/>
  <c r="AE380" i="9"/>
  <c r="AA380" i="9"/>
  <c r="S380" i="9"/>
  <c r="AM379" i="9"/>
  <c r="AI379" i="9"/>
  <c r="AE379" i="9"/>
  <c r="AA379" i="9"/>
  <c r="S379" i="9"/>
  <c r="AM378" i="9"/>
  <c r="AI378" i="9"/>
  <c r="AE378" i="9"/>
  <c r="AA378" i="9"/>
  <c r="S378" i="9"/>
  <c r="AM377" i="9"/>
  <c r="AI377" i="9"/>
  <c r="AE377" i="9"/>
  <c r="AA377" i="9"/>
  <c r="S377" i="9"/>
  <c r="AM376" i="9"/>
  <c r="AI376" i="9"/>
  <c r="AE376" i="9"/>
  <c r="AA376" i="9"/>
  <c r="S376" i="9"/>
  <c r="AM375" i="9"/>
  <c r="AI375" i="9"/>
  <c r="AE375" i="9"/>
  <c r="AA375" i="9"/>
  <c r="S375" i="9"/>
  <c r="AM374" i="9"/>
  <c r="AI374" i="9"/>
  <c r="AE374" i="9"/>
  <c r="AA374" i="9"/>
  <c r="S374" i="9"/>
  <c r="AM373" i="9"/>
  <c r="AI373" i="9"/>
  <c r="AE373" i="9"/>
  <c r="AA373" i="9"/>
  <c r="S373" i="9"/>
  <c r="AM372" i="9"/>
  <c r="AI372" i="9"/>
  <c r="AE372" i="9"/>
  <c r="AA372" i="9"/>
  <c r="S372" i="9"/>
  <c r="AM371" i="9"/>
  <c r="AI371" i="9"/>
  <c r="AE371" i="9"/>
  <c r="AA371" i="9"/>
  <c r="S371" i="9"/>
  <c r="AM370" i="9"/>
  <c r="AI370" i="9"/>
  <c r="AE370" i="9"/>
  <c r="AA370" i="9"/>
  <c r="S370" i="9"/>
  <c r="AM369" i="9"/>
  <c r="AI369" i="9"/>
  <c r="AE369" i="9"/>
  <c r="AA369" i="9"/>
  <c r="S369" i="9"/>
  <c r="AM368" i="9"/>
  <c r="AI368" i="9"/>
  <c r="AE368" i="9"/>
  <c r="AA368" i="9"/>
  <c r="S368" i="9"/>
  <c r="AM367" i="9"/>
  <c r="AI367" i="9"/>
  <c r="AE367" i="9"/>
  <c r="AA367" i="9"/>
  <c r="S367" i="9"/>
  <c r="AM366" i="9"/>
  <c r="AI366" i="9"/>
  <c r="AE366" i="9"/>
  <c r="AA366" i="9"/>
  <c r="S366" i="9"/>
  <c r="AM365" i="9"/>
  <c r="AI365" i="9"/>
  <c r="AE365" i="9"/>
  <c r="AA365" i="9"/>
  <c r="S365" i="9"/>
  <c r="AM364" i="9"/>
  <c r="AI364" i="9"/>
  <c r="AE364" i="9"/>
  <c r="AA364" i="9"/>
  <c r="S364" i="9"/>
  <c r="AM363" i="9"/>
  <c r="AI363" i="9"/>
  <c r="AE363" i="9"/>
  <c r="AA363" i="9"/>
  <c r="S363" i="9"/>
  <c r="AM362" i="9"/>
  <c r="AI362" i="9"/>
  <c r="AE362" i="9"/>
  <c r="AA362" i="9"/>
  <c r="S362" i="9"/>
  <c r="AM361" i="9"/>
  <c r="AI361" i="9"/>
  <c r="AE361" i="9"/>
  <c r="AA361" i="9"/>
  <c r="S361" i="9"/>
  <c r="AM360" i="9"/>
  <c r="AI360" i="9"/>
  <c r="AE360" i="9"/>
  <c r="AA360" i="9"/>
  <c r="S360" i="9"/>
  <c r="AM359" i="9"/>
  <c r="AI359" i="9"/>
  <c r="AE359" i="9"/>
  <c r="AA359" i="9"/>
  <c r="S359" i="9"/>
  <c r="AM358" i="9"/>
  <c r="AI358" i="9"/>
  <c r="AE358" i="9"/>
  <c r="AA358" i="9"/>
  <c r="S358" i="9"/>
  <c r="AM357" i="9"/>
  <c r="AI357" i="9"/>
  <c r="AE357" i="9"/>
  <c r="AA357" i="9"/>
  <c r="S357" i="9"/>
  <c r="AM356" i="9"/>
  <c r="AI356" i="9"/>
  <c r="AE356" i="9"/>
  <c r="AA356" i="9"/>
  <c r="S356" i="9"/>
  <c r="AM355" i="9"/>
  <c r="AI355" i="9"/>
  <c r="AE355" i="9"/>
  <c r="AA355" i="9"/>
  <c r="S355" i="9"/>
  <c r="AM354" i="9"/>
  <c r="AI354" i="9"/>
  <c r="AE354" i="9"/>
  <c r="AA354" i="9"/>
  <c r="S354" i="9"/>
  <c r="AM353" i="9"/>
  <c r="AI353" i="9"/>
  <c r="AE353" i="9"/>
  <c r="AA353" i="9"/>
  <c r="S353" i="9"/>
  <c r="AM352" i="9"/>
  <c r="AI352" i="9"/>
  <c r="AE352" i="9"/>
  <c r="AA352" i="9"/>
  <c r="S352" i="9"/>
  <c r="AM351" i="9"/>
  <c r="AI351" i="9"/>
  <c r="AE351" i="9"/>
  <c r="AA351" i="9"/>
  <c r="S351" i="9"/>
  <c r="AM350" i="9"/>
  <c r="AI350" i="9"/>
  <c r="AE350" i="9"/>
  <c r="AA350" i="9"/>
  <c r="S350" i="9"/>
  <c r="AM349" i="9"/>
  <c r="AI349" i="9"/>
  <c r="AE349" i="9"/>
  <c r="AA349" i="9"/>
  <c r="S349" i="9"/>
  <c r="AM348" i="9"/>
  <c r="AI348" i="9"/>
  <c r="AE348" i="9"/>
  <c r="AA348" i="9"/>
  <c r="S348" i="9"/>
  <c r="AM347" i="9"/>
  <c r="AI347" i="9"/>
  <c r="AE347" i="9"/>
  <c r="AA347" i="9"/>
  <c r="S347" i="9"/>
  <c r="AM346" i="9"/>
  <c r="AI346" i="9"/>
  <c r="AE346" i="9"/>
  <c r="AA346" i="9"/>
  <c r="S346" i="9"/>
  <c r="AM345" i="9"/>
  <c r="AI345" i="9"/>
  <c r="AE345" i="9"/>
  <c r="AA345" i="9"/>
  <c r="S345" i="9"/>
  <c r="AM344" i="9"/>
  <c r="AI344" i="9"/>
  <c r="AE344" i="9"/>
  <c r="AA344" i="9"/>
  <c r="S344" i="9"/>
  <c r="AM343" i="9"/>
  <c r="AI343" i="9"/>
  <c r="AE343" i="9"/>
  <c r="AA343" i="9"/>
  <c r="S343" i="9"/>
  <c r="AM342" i="9"/>
  <c r="AI342" i="9"/>
  <c r="AE342" i="9"/>
  <c r="AA342" i="9"/>
  <c r="S342" i="9"/>
  <c r="AM341" i="9"/>
  <c r="AI341" i="9"/>
  <c r="AE341" i="9"/>
  <c r="AA341" i="9"/>
  <c r="S341" i="9"/>
  <c r="AM340" i="9"/>
  <c r="AI340" i="9"/>
  <c r="AE340" i="9"/>
  <c r="AA340" i="9"/>
  <c r="S340" i="9"/>
  <c r="AM339" i="9"/>
  <c r="AI339" i="9"/>
  <c r="AE339" i="9"/>
  <c r="AA339" i="9"/>
  <c r="S339" i="9"/>
  <c r="AM338" i="9"/>
  <c r="AI338" i="9"/>
  <c r="AE338" i="9"/>
  <c r="AA338" i="9"/>
  <c r="S338" i="9"/>
  <c r="AM337" i="9"/>
  <c r="AI337" i="9"/>
  <c r="AE337" i="9"/>
  <c r="AA337" i="9"/>
  <c r="S337" i="9"/>
  <c r="AM336" i="9"/>
  <c r="AI336" i="9"/>
  <c r="AE336" i="9"/>
  <c r="AA336" i="9"/>
  <c r="S336" i="9"/>
  <c r="AM335" i="9"/>
  <c r="AI335" i="9"/>
  <c r="AE335" i="9"/>
  <c r="AA335" i="9"/>
  <c r="S335" i="9"/>
  <c r="AM334" i="9"/>
  <c r="AI334" i="9"/>
  <c r="AE334" i="9"/>
  <c r="AA334" i="9"/>
  <c r="S334" i="9"/>
  <c r="AM333" i="9"/>
  <c r="AI333" i="9"/>
  <c r="AE333" i="9"/>
  <c r="AA333" i="9"/>
  <c r="S333" i="9"/>
  <c r="AM332" i="9"/>
  <c r="AI332" i="9"/>
  <c r="AE332" i="9"/>
  <c r="AA332" i="9"/>
  <c r="S332" i="9"/>
  <c r="AM331" i="9"/>
  <c r="AI331" i="9"/>
  <c r="AE331" i="9"/>
  <c r="AA331" i="9"/>
  <c r="S331" i="9"/>
  <c r="AM330" i="9"/>
  <c r="AI330" i="9"/>
  <c r="AE330" i="9"/>
  <c r="AA330" i="9"/>
  <c r="S330" i="9"/>
  <c r="AM329" i="9"/>
  <c r="AI329" i="9"/>
  <c r="AE329" i="9"/>
  <c r="AA329" i="9"/>
  <c r="S329" i="9"/>
  <c r="AM328" i="9"/>
  <c r="AI328" i="9"/>
  <c r="AE328" i="9"/>
  <c r="AA328" i="9"/>
  <c r="S328" i="9"/>
  <c r="AM327" i="9"/>
  <c r="AI327" i="9"/>
  <c r="AE327" i="9"/>
  <c r="AA327" i="9"/>
  <c r="S327" i="9"/>
  <c r="AM326" i="9"/>
  <c r="AI326" i="9"/>
  <c r="AE326" i="9"/>
  <c r="AA326" i="9"/>
  <c r="S326" i="9"/>
  <c r="AM325" i="9"/>
  <c r="AI325" i="9"/>
  <c r="AE325" i="9"/>
  <c r="AA325" i="9"/>
  <c r="S325" i="9"/>
  <c r="AM324" i="9"/>
  <c r="AI324" i="9"/>
  <c r="AE324" i="9"/>
  <c r="AA324" i="9"/>
  <c r="S324" i="9"/>
  <c r="AM323" i="9"/>
  <c r="AI323" i="9"/>
  <c r="AE323" i="9"/>
  <c r="AA323" i="9"/>
  <c r="S323" i="9"/>
  <c r="AM322" i="9"/>
  <c r="AI322" i="9"/>
  <c r="AE322" i="9"/>
  <c r="AA322" i="9"/>
  <c r="S322" i="9"/>
  <c r="AM321" i="9"/>
  <c r="AI321" i="9"/>
  <c r="AE321" i="9"/>
  <c r="AA321" i="9"/>
  <c r="S321" i="9"/>
  <c r="AM320" i="9"/>
  <c r="AI320" i="9"/>
  <c r="AE320" i="9"/>
  <c r="AA320" i="9"/>
  <c r="S320" i="9"/>
  <c r="AM319" i="9"/>
  <c r="AI319" i="9"/>
  <c r="AE319" i="9"/>
  <c r="AA319" i="9"/>
  <c r="S319" i="9"/>
  <c r="AM318" i="9"/>
  <c r="AI318" i="9"/>
  <c r="AE318" i="9"/>
  <c r="AA318" i="9"/>
  <c r="S318" i="9"/>
  <c r="AM317" i="9"/>
  <c r="AI317" i="9"/>
  <c r="AE317" i="9"/>
  <c r="AA317" i="9"/>
  <c r="S317" i="9"/>
  <c r="AM316" i="9"/>
  <c r="AI316" i="9"/>
  <c r="AE316" i="9"/>
  <c r="AA316" i="9"/>
  <c r="S316" i="9"/>
  <c r="AM315" i="9"/>
  <c r="AI315" i="9"/>
  <c r="AE315" i="9"/>
  <c r="AA315" i="9"/>
  <c r="S315" i="9"/>
  <c r="AM314" i="9"/>
  <c r="AI314" i="9"/>
  <c r="AE314" i="9"/>
  <c r="AA314" i="9"/>
  <c r="S314" i="9"/>
  <c r="AM313" i="9"/>
  <c r="AI313" i="9"/>
  <c r="AE313" i="9"/>
  <c r="AA313" i="9"/>
  <c r="S313" i="9"/>
  <c r="AM312" i="9"/>
  <c r="AI312" i="9"/>
  <c r="AE312" i="9"/>
  <c r="AA312" i="9"/>
  <c r="S312" i="9"/>
  <c r="AM311" i="9"/>
  <c r="AI311" i="9"/>
  <c r="AE311" i="9"/>
  <c r="AA311" i="9"/>
  <c r="S311" i="9"/>
  <c r="AM310" i="9"/>
  <c r="AI310" i="9"/>
  <c r="AE310" i="9"/>
  <c r="AA310" i="9"/>
  <c r="S310" i="9"/>
  <c r="AM309" i="9"/>
  <c r="AI309" i="9"/>
  <c r="AE309" i="9"/>
  <c r="AA309" i="9"/>
  <c r="S309" i="9"/>
  <c r="AM308" i="9"/>
  <c r="AI308" i="9"/>
  <c r="AE308" i="9"/>
  <c r="AA308" i="9"/>
  <c r="S308" i="9"/>
  <c r="AM307" i="9"/>
  <c r="AI307" i="9"/>
  <c r="AE307" i="9"/>
  <c r="AA307" i="9"/>
  <c r="S307" i="9"/>
  <c r="AM306" i="9"/>
  <c r="AI306" i="9"/>
  <c r="AE306" i="9"/>
  <c r="AA306" i="9"/>
  <c r="S306" i="9"/>
  <c r="AM305" i="9"/>
  <c r="AI305" i="9"/>
  <c r="AE305" i="9"/>
  <c r="AA305" i="9"/>
  <c r="S305" i="9"/>
  <c r="AM304" i="9"/>
  <c r="AI304" i="9"/>
  <c r="AE304" i="9"/>
  <c r="AA304" i="9"/>
  <c r="S304" i="9"/>
  <c r="AM303" i="9"/>
  <c r="AI303" i="9"/>
  <c r="AE303" i="9"/>
  <c r="AA303" i="9"/>
  <c r="S303" i="9"/>
  <c r="AM302" i="9"/>
  <c r="AI302" i="9"/>
  <c r="AE302" i="9"/>
  <c r="AA302" i="9"/>
  <c r="S302" i="9"/>
  <c r="AM301" i="9"/>
  <c r="AI301" i="9"/>
  <c r="AE301" i="9"/>
  <c r="AA301" i="9"/>
  <c r="S301" i="9"/>
  <c r="AM300" i="9"/>
  <c r="AI300" i="9"/>
  <c r="AE300" i="9"/>
  <c r="AA300" i="9"/>
  <c r="S300" i="9"/>
  <c r="AM299" i="9"/>
  <c r="AI299" i="9"/>
  <c r="AE299" i="9"/>
  <c r="AA299" i="9"/>
  <c r="S299" i="9"/>
  <c r="AM298" i="9"/>
  <c r="AI298" i="9"/>
  <c r="AE298" i="9"/>
  <c r="AA298" i="9"/>
  <c r="S298" i="9"/>
  <c r="AM297" i="9"/>
  <c r="AI297" i="9"/>
  <c r="AE297" i="9"/>
  <c r="AA297" i="9"/>
  <c r="S297" i="9"/>
  <c r="AM296" i="9"/>
  <c r="AI296" i="9"/>
  <c r="AE296" i="9"/>
  <c r="AA296" i="9"/>
  <c r="S296" i="9"/>
  <c r="AM295" i="9"/>
  <c r="AI295" i="9"/>
  <c r="AE295" i="9"/>
  <c r="AA295" i="9"/>
  <c r="S295" i="9"/>
  <c r="AM294" i="9"/>
  <c r="AI294" i="9"/>
  <c r="AE294" i="9"/>
  <c r="AA294" i="9"/>
  <c r="S294" i="9"/>
  <c r="AM293" i="9"/>
  <c r="AI293" i="9"/>
  <c r="AE293" i="9"/>
  <c r="AA293" i="9"/>
  <c r="S293" i="9"/>
  <c r="AM292" i="9"/>
  <c r="AI292" i="9"/>
  <c r="AE292" i="9"/>
  <c r="AA292" i="9"/>
  <c r="S292" i="9"/>
  <c r="AM291" i="9"/>
  <c r="AI291" i="9"/>
  <c r="AE291" i="9"/>
  <c r="AA291" i="9"/>
  <c r="S291" i="9"/>
  <c r="AM290" i="9"/>
  <c r="AI290" i="9"/>
  <c r="AE290" i="9"/>
  <c r="AA290" i="9"/>
  <c r="S290" i="9"/>
  <c r="AM289" i="9"/>
  <c r="AI289" i="9"/>
  <c r="AE289" i="9"/>
  <c r="AA289" i="9"/>
  <c r="S289" i="9"/>
  <c r="AM288" i="9"/>
  <c r="AI288" i="9"/>
  <c r="AE288" i="9"/>
  <c r="AA288" i="9"/>
  <c r="S288" i="9"/>
  <c r="AM287" i="9"/>
  <c r="AI287" i="9"/>
  <c r="AE287" i="9"/>
  <c r="AA287" i="9"/>
  <c r="S287" i="9"/>
  <c r="AM286" i="9"/>
  <c r="AI286" i="9"/>
  <c r="AE286" i="9"/>
  <c r="AA286" i="9"/>
  <c r="S286" i="9"/>
  <c r="AM285" i="9"/>
  <c r="AI285" i="9"/>
  <c r="AE285" i="9"/>
  <c r="AA285" i="9"/>
  <c r="S285" i="9"/>
  <c r="AM284" i="9"/>
  <c r="AI284" i="9"/>
  <c r="AE284" i="9"/>
  <c r="AA284" i="9"/>
  <c r="S284" i="9"/>
  <c r="AM283" i="9"/>
  <c r="AI283" i="9"/>
  <c r="AE283" i="9"/>
  <c r="AA283" i="9"/>
  <c r="S283" i="9"/>
  <c r="AM282" i="9"/>
  <c r="AI282" i="9"/>
  <c r="AE282" i="9"/>
  <c r="AA282" i="9"/>
  <c r="S282" i="9"/>
  <c r="AM281" i="9"/>
  <c r="AI281" i="9"/>
  <c r="AE281" i="9"/>
  <c r="AA281" i="9"/>
  <c r="S281" i="9"/>
  <c r="AM280" i="9"/>
  <c r="AI280" i="9"/>
  <c r="AE280" i="9"/>
  <c r="AA280" i="9"/>
  <c r="S280" i="9"/>
  <c r="AM279" i="9"/>
  <c r="AI279" i="9"/>
  <c r="AE279" i="9"/>
  <c r="AA279" i="9"/>
  <c r="S279" i="9"/>
  <c r="AM278" i="9"/>
  <c r="AI278" i="9"/>
  <c r="AE278" i="9"/>
  <c r="AA278" i="9"/>
  <c r="S278" i="9"/>
  <c r="AM277" i="9"/>
  <c r="AI277" i="9"/>
  <c r="AE277" i="9"/>
  <c r="AA277" i="9"/>
  <c r="S277" i="9"/>
  <c r="AM276" i="9"/>
  <c r="AI276" i="9"/>
  <c r="AE276" i="9"/>
  <c r="AA276" i="9"/>
  <c r="S276" i="9"/>
  <c r="AM275" i="9"/>
  <c r="AI275" i="9"/>
  <c r="AE275" i="9"/>
  <c r="AA275" i="9"/>
  <c r="S275" i="9"/>
  <c r="AM274" i="9"/>
  <c r="AI274" i="9"/>
  <c r="AE274" i="9"/>
  <c r="AA274" i="9"/>
  <c r="S274" i="9"/>
  <c r="AM273" i="9"/>
  <c r="AI273" i="9"/>
  <c r="AE273" i="9"/>
  <c r="AA273" i="9"/>
  <c r="S273" i="9"/>
  <c r="AM272" i="9"/>
  <c r="AI272" i="9"/>
  <c r="AE272" i="9"/>
  <c r="AA272" i="9"/>
  <c r="S272" i="9"/>
  <c r="AM271" i="9"/>
  <c r="AI271" i="9"/>
  <c r="AE271" i="9"/>
  <c r="AA271" i="9"/>
  <c r="S271" i="9"/>
  <c r="AM270" i="9"/>
  <c r="AI270" i="9"/>
  <c r="AE270" i="9"/>
  <c r="AA270" i="9"/>
  <c r="S270" i="9"/>
  <c r="AM269" i="9"/>
  <c r="AI269" i="9"/>
  <c r="AE269" i="9"/>
  <c r="AA269" i="9"/>
  <c r="S269" i="9"/>
  <c r="AM268" i="9"/>
  <c r="AI268" i="9"/>
  <c r="AE268" i="9"/>
  <c r="AA268" i="9"/>
  <c r="S268" i="9"/>
  <c r="AM267" i="9"/>
  <c r="AI267" i="9"/>
  <c r="AE267" i="9"/>
  <c r="AA267" i="9"/>
  <c r="S267" i="9"/>
  <c r="AM266" i="9"/>
  <c r="AI266" i="9"/>
  <c r="AE266" i="9"/>
  <c r="AA266" i="9"/>
  <c r="S266" i="9"/>
  <c r="AM265" i="9"/>
  <c r="AI265" i="9"/>
  <c r="AE265" i="9"/>
  <c r="AA265" i="9"/>
  <c r="S265" i="9"/>
  <c r="AM264" i="9"/>
  <c r="AI264" i="9"/>
  <c r="AE264" i="9"/>
  <c r="AA264" i="9"/>
  <c r="S264" i="9"/>
  <c r="AM263" i="9"/>
  <c r="AI263" i="9"/>
  <c r="AE263" i="9"/>
  <c r="AA263" i="9"/>
  <c r="S263" i="9"/>
  <c r="AM262" i="9"/>
  <c r="AI262" i="9"/>
  <c r="AE262" i="9"/>
  <c r="AA262" i="9"/>
  <c r="S262" i="9"/>
  <c r="AM261" i="9"/>
  <c r="AI261" i="9"/>
  <c r="AE261" i="9"/>
  <c r="AA261" i="9"/>
  <c r="S261" i="9"/>
  <c r="AM260" i="9"/>
  <c r="AI260" i="9"/>
  <c r="AE260" i="9"/>
  <c r="AA260" i="9"/>
  <c r="S260" i="9"/>
  <c r="AM259" i="9"/>
  <c r="AI259" i="9"/>
  <c r="AE259" i="9"/>
  <c r="AA259" i="9"/>
  <c r="S259" i="9"/>
  <c r="AM258" i="9"/>
  <c r="AI258" i="9"/>
  <c r="AE258" i="9"/>
  <c r="AA258" i="9"/>
  <c r="S258" i="9"/>
  <c r="AM257" i="9"/>
  <c r="AI257" i="9"/>
  <c r="AE257" i="9"/>
  <c r="AA257" i="9"/>
  <c r="S257" i="9"/>
  <c r="AM256" i="9"/>
  <c r="AI256" i="9"/>
  <c r="AE256" i="9"/>
  <c r="AA256" i="9"/>
  <c r="S256" i="9"/>
  <c r="AM255" i="9"/>
  <c r="AI255" i="9"/>
  <c r="AE255" i="9"/>
  <c r="AA255" i="9"/>
  <c r="S255" i="9"/>
  <c r="AM254" i="9"/>
  <c r="AI254" i="9"/>
  <c r="AE254" i="9"/>
  <c r="AA254" i="9"/>
  <c r="S254" i="9"/>
  <c r="AM253" i="9"/>
  <c r="AI253" i="9"/>
  <c r="AE253" i="9"/>
  <c r="AA253" i="9"/>
  <c r="S253" i="9"/>
  <c r="AM252" i="9"/>
  <c r="AI252" i="9"/>
  <c r="AE252" i="9"/>
  <c r="AA252" i="9"/>
  <c r="S252" i="9"/>
  <c r="AM251" i="9"/>
  <c r="AI251" i="9"/>
  <c r="AE251" i="9"/>
  <c r="AA251" i="9"/>
  <c r="S251" i="9"/>
  <c r="AM250" i="9"/>
  <c r="AI250" i="9"/>
  <c r="AE250" i="9"/>
  <c r="AA250" i="9"/>
  <c r="S250" i="9"/>
  <c r="AM249" i="9"/>
  <c r="AI249" i="9"/>
  <c r="AE249" i="9"/>
  <c r="AA249" i="9"/>
  <c r="S249" i="9"/>
  <c r="AM248" i="9"/>
  <c r="AI248" i="9"/>
  <c r="AE248" i="9"/>
  <c r="AA248" i="9"/>
  <c r="S248" i="9"/>
  <c r="AM247" i="9"/>
  <c r="AI247" i="9"/>
  <c r="AE247" i="9"/>
  <c r="AA247" i="9"/>
  <c r="S247" i="9"/>
  <c r="AM246" i="9"/>
  <c r="AI246" i="9"/>
  <c r="AE246" i="9"/>
  <c r="AA246" i="9"/>
  <c r="S246" i="9"/>
  <c r="AM245" i="9"/>
  <c r="AI245" i="9"/>
  <c r="AE245" i="9"/>
  <c r="AA245" i="9"/>
  <c r="S245" i="9"/>
  <c r="AM244" i="9"/>
  <c r="AI244" i="9"/>
  <c r="AE244" i="9"/>
  <c r="AA244" i="9"/>
  <c r="S244" i="9"/>
  <c r="AM243" i="9"/>
  <c r="AI243" i="9"/>
  <c r="AE243" i="9"/>
  <c r="AA243" i="9"/>
  <c r="S243" i="9"/>
  <c r="AM242" i="9"/>
  <c r="AI242" i="9"/>
  <c r="AE242" i="9"/>
  <c r="AA242" i="9"/>
  <c r="S242" i="9"/>
  <c r="AM241" i="9"/>
  <c r="AI241" i="9"/>
  <c r="AE241" i="9"/>
  <c r="AA241" i="9"/>
  <c r="S241" i="9"/>
  <c r="AM240" i="9"/>
  <c r="AI240" i="9"/>
  <c r="AE240" i="9"/>
  <c r="AA240" i="9"/>
  <c r="S240" i="9"/>
  <c r="AM239" i="9"/>
  <c r="AI239" i="9"/>
  <c r="AE239" i="9"/>
  <c r="AA239" i="9"/>
  <c r="S239" i="9"/>
  <c r="AM238" i="9"/>
  <c r="AI238" i="9"/>
  <c r="AE238" i="9"/>
  <c r="AA238" i="9"/>
  <c r="S238" i="9"/>
  <c r="AM237" i="9"/>
  <c r="AI237" i="9"/>
  <c r="AE237" i="9"/>
  <c r="AA237" i="9"/>
  <c r="S237" i="9"/>
  <c r="AM236" i="9"/>
  <c r="AI236" i="9"/>
  <c r="AE236" i="9"/>
  <c r="AA236" i="9"/>
  <c r="S236" i="9"/>
  <c r="AM235" i="9"/>
  <c r="AI235" i="9"/>
  <c r="AE235" i="9"/>
  <c r="AA235" i="9"/>
  <c r="S235" i="9"/>
  <c r="AM234" i="9"/>
  <c r="AI234" i="9"/>
  <c r="AE234" i="9"/>
  <c r="AA234" i="9"/>
  <c r="S234" i="9"/>
  <c r="AM233" i="9"/>
  <c r="AI233" i="9"/>
  <c r="AE233" i="9"/>
  <c r="AA233" i="9"/>
  <c r="S233" i="9"/>
  <c r="AM232" i="9"/>
  <c r="AI232" i="9"/>
  <c r="AE232" i="9"/>
  <c r="AA232" i="9"/>
  <c r="S232" i="9"/>
  <c r="AM231" i="9"/>
  <c r="AI231" i="9"/>
  <c r="AE231" i="9"/>
  <c r="AA231" i="9"/>
  <c r="S231" i="9"/>
  <c r="AM230" i="9"/>
  <c r="AI230" i="9"/>
  <c r="AE230" i="9"/>
  <c r="AA230" i="9"/>
  <c r="S230" i="9"/>
  <c r="AM229" i="9"/>
  <c r="AI229" i="9"/>
  <c r="AE229" i="9"/>
  <c r="AA229" i="9"/>
  <c r="S229" i="9"/>
  <c r="AM228" i="9"/>
  <c r="AI228" i="9"/>
  <c r="AE228" i="9"/>
  <c r="AA228" i="9"/>
  <c r="S228" i="9"/>
  <c r="AM227" i="9"/>
  <c r="AI227" i="9"/>
  <c r="AE227" i="9"/>
  <c r="AA227" i="9"/>
  <c r="S227" i="9"/>
  <c r="AM226" i="9"/>
  <c r="AI226" i="9"/>
  <c r="AE226" i="9"/>
  <c r="AA226" i="9"/>
  <c r="S226" i="9"/>
  <c r="AM225" i="9"/>
  <c r="AI225" i="9"/>
  <c r="AE225" i="9"/>
  <c r="AA225" i="9"/>
  <c r="S225" i="9"/>
  <c r="AM224" i="9"/>
  <c r="AI224" i="9"/>
  <c r="AE224" i="9"/>
  <c r="AA224" i="9"/>
  <c r="S224" i="9"/>
  <c r="AM223" i="9"/>
  <c r="AI223" i="9"/>
  <c r="AE223" i="9"/>
  <c r="AA223" i="9"/>
  <c r="S223" i="9"/>
  <c r="AM222" i="9"/>
  <c r="AI222" i="9"/>
  <c r="AE222" i="9"/>
  <c r="AA222" i="9"/>
  <c r="S222" i="9"/>
  <c r="AM221" i="9"/>
  <c r="AI221" i="9"/>
  <c r="AE221" i="9"/>
  <c r="AA221" i="9"/>
  <c r="S221" i="9"/>
  <c r="AM220" i="9"/>
  <c r="AI220" i="9"/>
  <c r="AE220" i="9"/>
  <c r="AA220" i="9"/>
  <c r="S220" i="9"/>
  <c r="AM219" i="9"/>
  <c r="AI219" i="9"/>
  <c r="AE219" i="9"/>
  <c r="AA219" i="9"/>
  <c r="S219" i="9"/>
  <c r="AM218" i="9"/>
  <c r="AI218" i="9"/>
  <c r="AE218" i="9"/>
  <c r="AA218" i="9"/>
  <c r="S218" i="9"/>
  <c r="AM217" i="9"/>
  <c r="AI217" i="9"/>
  <c r="AE217" i="9"/>
  <c r="AA217" i="9"/>
  <c r="S217" i="9"/>
  <c r="AM216" i="9"/>
  <c r="AI216" i="9"/>
  <c r="AE216" i="9"/>
  <c r="AA216" i="9"/>
  <c r="S216" i="9"/>
  <c r="AM215" i="9"/>
  <c r="AI215" i="9"/>
  <c r="AE215" i="9"/>
  <c r="AA215" i="9"/>
  <c r="S215" i="9"/>
  <c r="AM214" i="9"/>
  <c r="AI214" i="9"/>
  <c r="AE214" i="9"/>
  <c r="AA214" i="9"/>
  <c r="S214" i="9"/>
  <c r="AM213" i="9"/>
  <c r="AI213" i="9"/>
  <c r="AE213" i="9"/>
  <c r="AA213" i="9"/>
  <c r="S213" i="9"/>
  <c r="AM212" i="9"/>
  <c r="AI212" i="9"/>
  <c r="AE212" i="9"/>
  <c r="AA212" i="9"/>
  <c r="S212" i="9"/>
  <c r="AM211" i="9"/>
  <c r="AI211" i="9"/>
  <c r="AE211" i="9"/>
  <c r="AA211" i="9"/>
  <c r="S211" i="9"/>
  <c r="AM210" i="9"/>
  <c r="AI210" i="9"/>
  <c r="AE210" i="9"/>
  <c r="AA210" i="9"/>
  <c r="S210" i="9"/>
  <c r="AM209" i="9"/>
  <c r="AI209" i="9"/>
  <c r="AE209" i="9"/>
  <c r="AA209" i="9"/>
  <c r="S209" i="9"/>
  <c r="AM208" i="9"/>
  <c r="AI208" i="9"/>
  <c r="AE208" i="9"/>
  <c r="AA208" i="9"/>
  <c r="S208" i="9"/>
  <c r="AM207" i="9"/>
  <c r="AI207" i="9"/>
  <c r="AE207" i="9"/>
  <c r="AA207" i="9"/>
  <c r="S207" i="9"/>
  <c r="AM206" i="9"/>
  <c r="AI206" i="9"/>
  <c r="AE206" i="9"/>
  <c r="AA206" i="9"/>
  <c r="S206" i="9"/>
  <c r="AM205" i="9"/>
  <c r="AI205" i="9"/>
  <c r="AE205" i="9"/>
  <c r="AA205" i="9"/>
  <c r="S205" i="9"/>
  <c r="AM204" i="9"/>
  <c r="AI204" i="9"/>
  <c r="AE204" i="9"/>
  <c r="AA204" i="9"/>
  <c r="S204" i="9"/>
  <c r="AM203" i="9"/>
  <c r="AI203" i="9"/>
  <c r="AE203" i="9"/>
  <c r="AA203" i="9"/>
  <c r="S203" i="9"/>
  <c r="AM202" i="9"/>
  <c r="AI202" i="9"/>
  <c r="AE202" i="9"/>
  <c r="AA202" i="9"/>
  <c r="S202" i="9"/>
  <c r="AM201" i="9"/>
  <c r="AI201" i="9"/>
  <c r="AE201" i="9"/>
  <c r="AA201" i="9"/>
  <c r="S201" i="9"/>
  <c r="AM200" i="9"/>
  <c r="AI200" i="9"/>
  <c r="AE200" i="9"/>
  <c r="AA200" i="9"/>
  <c r="S200" i="9"/>
  <c r="AM199" i="9"/>
  <c r="AI199" i="9"/>
  <c r="AE199" i="9"/>
  <c r="AA199" i="9"/>
  <c r="S199" i="9"/>
  <c r="AM198" i="9"/>
  <c r="AI198" i="9"/>
  <c r="AE198" i="9"/>
  <c r="AA198" i="9"/>
  <c r="S198" i="9"/>
  <c r="AM197" i="9"/>
  <c r="AI197" i="9"/>
  <c r="AE197" i="9"/>
  <c r="AA197" i="9"/>
  <c r="S197" i="9"/>
  <c r="AM196" i="9"/>
  <c r="AI196" i="9"/>
  <c r="AE196" i="9"/>
  <c r="AA196" i="9"/>
  <c r="S196" i="9"/>
  <c r="AM195" i="9"/>
  <c r="AI195" i="9"/>
  <c r="AE195" i="9"/>
  <c r="AA195" i="9"/>
  <c r="S195" i="9"/>
  <c r="AM194" i="9"/>
  <c r="AI194" i="9"/>
  <c r="AE194" i="9"/>
  <c r="AA194" i="9"/>
  <c r="S194" i="9"/>
  <c r="AM193" i="9"/>
  <c r="AI193" i="9"/>
  <c r="AE193" i="9"/>
  <c r="AA193" i="9"/>
  <c r="S193" i="9"/>
  <c r="AM192" i="9"/>
  <c r="AI192" i="9"/>
  <c r="AE192" i="9"/>
  <c r="AA192" i="9"/>
  <c r="S192" i="9"/>
  <c r="AM191" i="9"/>
  <c r="AI191" i="9"/>
  <c r="AE191" i="9"/>
  <c r="AA191" i="9"/>
  <c r="S191" i="9"/>
  <c r="AM190" i="9"/>
  <c r="AI190" i="9"/>
  <c r="AE190" i="9"/>
  <c r="AA190" i="9"/>
  <c r="S190" i="9"/>
  <c r="AM189" i="9"/>
  <c r="AI189" i="9"/>
  <c r="AE189" i="9"/>
  <c r="AA189" i="9"/>
  <c r="S189" i="9"/>
  <c r="AM188" i="9"/>
  <c r="AI188" i="9"/>
  <c r="AE188" i="9"/>
  <c r="AA188" i="9"/>
  <c r="S188" i="9"/>
  <c r="AM187" i="9"/>
  <c r="AI187" i="9"/>
  <c r="AE187" i="9"/>
  <c r="AA187" i="9"/>
  <c r="S187" i="9"/>
  <c r="AM186" i="9"/>
  <c r="AI186" i="9"/>
  <c r="AE186" i="9"/>
  <c r="AA186" i="9"/>
  <c r="S186" i="9"/>
  <c r="AM185" i="9"/>
  <c r="AI185" i="9"/>
  <c r="AE185" i="9"/>
  <c r="AA185" i="9"/>
  <c r="S185" i="9"/>
  <c r="AM184" i="9"/>
  <c r="AI184" i="9"/>
  <c r="AE184" i="9"/>
  <c r="AA184" i="9"/>
  <c r="S184" i="9"/>
  <c r="AM183" i="9"/>
  <c r="AI183" i="9"/>
  <c r="AE183" i="9"/>
  <c r="AA183" i="9"/>
  <c r="S183" i="9"/>
  <c r="AM182" i="9"/>
  <c r="AI182" i="9"/>
  <c r="AE182" i="9"/>
  <c r="AA182" i="9"/>
  <c r="S182" i="9"/>
  <c r="AM181" i="9"/>
  <c r="AI181" i="9"/>
  <c r="AE181" i="9"/>
  <c r="AA181" i="9"/>
  <c r="S181" i="9"/>
  <c r="AM180" i="9"/>
  <c r="AI180" i="9"/>
  <c r="AE180" i="9"/>
  <c r="AA180" i="9"/>
  <c r="S180" i="9"/>
  <c r="AM179" i="9"/>
  <c r="AI179" i="9"/>
  <c r="AE179" i="9"/>
  <c r="AA179" i="9"/>
  <c r="S179" i="9"/>
  <c r="AM178" i="9"/>
  <c r="AI178" i="9"/>
  <c r="AE178" i="9"/>
  <c r="AA178" i="9"/>
  <c r="S178" i="9"/>
  <c r="AM177" i="9"/>
  <c r="AI177" i="9"/>
  <c r="AE177" i="9"/>
  <c r="AA177" i="9"/>
  <c r="S177" i="9"/>
  <c r="AM176" i="9"/>
  <c r="AI176" i="9"/>
  <c r="AE176" i="9"/>
  <c r="AA176" i="9"/>
  <c r="S176" i="9"/>
  <c r="AM175" i="9"/>
  <c r="AI175" i="9"/>
  <c r="AE175" i="9"/>
  <c r="AA175" i="9"/>
  <c r="S175" i="9"/>
  <c r="AM174" i="9"/>
  <c r="AI174" i="9"/>
  <c r="AE174" i="9"/>
  <c r="AA174" i="9"/>
  <c r="S174" i="9"/>
  <c r="AM173" i="9"/>
  <c r="AI173" i="9"/>
  <c r="AE173" i="9"/>
  <c r="AA173" i="9"/>
  <c r="S173" i="9"/>
  <c r="AM172" i="9"/>
  <c r="AI172" i="9"/>
  <c r="AE172" i="9"/>
  <c r="AA172" i="9"/>
  <c r="S172" i="9"/>
  <c r="AM171" i="9"/>
  <c r="AI171" i="9"/>
  <c r="AE171" i="9"/>
  <c r="AA171" i="9"/>
  <c r="S171" i="9"/>
  <c r="AM170" i="9"/>
  <c r="AI170" i="9"/>
  <c r="AE170" i="9"/>
  <c r="AA170" i="9"/>
  <c r="S170" i="9"/>
  <c r="AM169" i="9"/>
  <c r="AI169" i="9"/>
  <c r="AE169" i="9"/>
  <c r="AA169" i="9"/>
  <c r="S169" i="9"/>
  <c r="AM168" i="9"/>
  <c r="AI168" i="9"/>
  <c r="AE168" i="9"/>
  <c r="AA168" i="9"/>
  <c r="S168" i="9"/>
  <c r="AM167" i="9"/>
  <c r="AI167" i="9"/>
  <c r="AE167" i="9"/>
  <c r="AA167" i="9"/>
  <c r="S167" i="9"/>
  <c r="AM166" i="9"/>
  <c r="AI166" i="9"/>
  <c r="AE166" i="9"/>
  <c r="AA166" i="9"/>
  <c r="S166" i="9"/>
  <c r="AM165" i="9"/>
  <c r="AI165" i="9"/>
  <c r="AE165" i="9"/>
  <c r="AA165" i="9"/>
  <c r="S165" i="9"/>
  <c r="AM164" i="9"/>
  <c r="AI164" i="9"/>
  <c r="AE164" i="9"/>
  <c r="AA164" i="9"/>
  <c r="S164" i="9"/>
  <c r="AM163" i="9"/>
  <c r="AI163" i="9"/>
  <c r="AE163" i="9"/>
  <c r="AA163" i="9"/>
  <c r="S163" i="9"/>
  <c r="AM162" i="9"/>
  <c r="AI162" i="9"/>
  <c r="AE162" i="9"/>
  <c r="AA162" i="9"/>
  <c r="S162" i="9"/>
  <c r="AM161" i="9"/>
  <c r="AI161" i="9"/>
  <c r="AE161" i="9"/>
  <c r="AA161" i="9"/>
  <c r="S161" i="9"/>
  <c r="AM160" i="9"/>
  <c r="AI160" i="9"/>
  <c r="AE160" i="9"/>
  <c r="AA160" i="9"/>
  <c r="S160" i="9"/>
  <c r="AM159" i="9"/>
  <c r="AI159" i="9"/>
  <c r="AE159" i="9"/>
  <c r="AA159" i="9"/>
  <c r="S159" i="9"/>
  <c r="AM158" i="9"/>
  <c r="AI158" i="9"/>
  <c r="AE158" i="9"/>
  <c r="AA158" i="9"/>
  <c r="S158" i="9"/>
  <c r="AM157" i="9"/>
  <c r="AI157" i="9"/>
  <c r="AE157" i="9"/>
  <c r="AA157" i="9"/>
  <c r="S157" i="9"/>
  <c r="AM156" i="9"/>
  <c r="AI156" i="9"/>
  <c r="AE156" i="9"/>
  <c r="AA156" i="9"/>
  <c r="S156" i="9"/>
  <c r="AM155" i="9"/>
  <c r="AI155" i="9"/>
  <c r="AE155" i="9"/>
  <c r="AA155" i="9"/>
  <c r="S155" i="9"/>
  <c r="AM154" i="9"/>
  <c r="AI154" i="9"/>
  <c r="AE154" i="9"/>
  <c r="AA154" i="9"/>
  <c r="S154" i="9"/>
  <c r="AM153" i="9"/>
  <c r="AI153" i="9"/>
  <c r="AE153" i="9"/>
  <c r="AA153" i="9"/>
  <c r="S153" i="9"/>
  <c r="AM152" i="9"/>
  <c r="AI152" i="9"/>
  <c r="AE152" i="9"/>
  <c r="AA152" i="9"/>
  <c r="S152" i="9"/>
  <c r="AM151" i="9"/>
  <c r="AI151" i="9"/>
  <c r="AE151" i="9"/>
  <c r="AA151" i="9"/>
  <c r="S151" i="9"/>
  <c r="AM150" i="9"/>
  <c r="AI150" i="9"/>
  <c r="AE150" i="9"/>
  <c r="AA150" i="9"/>
  <c r="S150" i="9"/>
  <c r="AM149" i="9"/>
  <c r="AI149" i="9"/>
  <c r="AE149" i="9"/>
  <c r="AA149" i="9"/>
  <c r="S149" i="9"/>
  <c r="AM148" i="9"/>
  <c r="AI148" i="9"/>
  <c r="AE148" i="9"/>
  <c r="AA148" i="9"/>
  <c r="S148" i="9"/>
  <c r="AM147" i="9"/>
  <c r="AI147" i="9"/>
  <c r="AE147" i="9"/>
  <c r="AA147" i="9"/>
  <c r="S147" i="9"/>
  <c r="AM146" i="9"/>
  <c r="AI146" i="9"/>
  <c r="AE146" i="9"/>
  <c r="AA146" i="9"/>
  <c r="S146" i="9"/>
  <c r="AM145" i="9"/>
  <c r="AI145" i="9"/>
  <c r="AE145" i="9"/>
  <c r="AA145" i="9"/>
  <c r="S145" i="9"/>
  <c r="AM144" i="9"/>
  <c r="AI144" i="9"/>
  <c r="AE144" i="9"/>
  <c r="AA144" i="9"/>
  <c r="S144" i="9"/>
  <c r="AM143" i="9"/>
  <c r="AI143" i="9"/>
  <c r="AE143" i="9"/>
  <c r="AA143" i="9"/>
  <c r="S143" i="9"/>
  <c r="AM142" i="9"/>
  <c r="AI142" i="9"/>
  <c r="AE142" i="9"/>
  <c r="AA142" i="9"/>
  <c r="S142" i="9"/>
  <c r="AM141" i="9"/>
  <c r="AI141" i="9"/>
  <c r="AE141" i="9"/>
  <c r="AA141" i="9"/>
  <c r="S141" i="9"/>
  <c r="AM140" i="9"/>
  <c r="AI140" i="9"/>
  <c r="AE140" i="9"/>
  <c r="AA140" i="9"/>
  <c r="S140" i="9"/>
  <c r="AM139" i="9"/>
  <c r="AI139" i="9"/>
  <c r="AE139" i="9"/>
  <c r="AA139" i="9"/>
  <c r="S139" i="9"/>
  <c r="AM138" i="9"/>
  <c r="AI138" i="9"/>
  <c r="AE138" i="9"/>
  <c r="AA138" i="9"/>
  <c r="S138" i="9"/>
  <c r="AM137" i="9"/>
  <c r="AI137" i="9"/>
  <c r="AE137" i="9"/>
  <c r="AA137" i="9"/>
  <c r="S137" i="9"/>
  <c r="AM136" i="9"/>
  <c r="AI136" i="9"/>
  <c r="AE136" i="9"/>
  <c r="AA136" i="9"/>
  <c r="S136" i="9"/>
  <c r="AM135" i="9"/>
  <c r="AI135" i="9"/>
  <c r="AE135" i="9"/>
  <c r="AA135" i="9"/>
  <c r="S135" i="9"/>
  <c r="AM134" i="9"/>
  <c r="AI134" i="9"/>
  <c r="AE134" i="9"/>
  <c r="AA134" i="9"/>
  <c r="S134" i="9"/>
  <c r="AM133" i="9"/>
  <c r="AI133" i="9"/>
  <c r="AE133" i="9"/>
  <c r="AA133" i="9"/>
  <c r="S133" i="9"/>
  <c r="AM132" i="9"/>
  <c r="AI132" i="9"/>
  <c r="AE132" i="9"/>
  <c r="AA132" i="9"/>
  <c r="S132" i="9"/>
  <c r="AM131" i="9"/>
  <c r="AI131" i="9"/>
  <c r="AE131" i="9"/>
  <c r="AA131" i="9"/>
  <c r="S131" i="9"/>
  <c r="AM130" i="9"/>
  <c r="AI130" i="9"/>
  <c r="AE130" i="9"/>
  <c r="AA130" i="9"/>
  <c r="S130" i="9"/>
  <c r="AM129" i="9"/>
  <c r="AI129" i="9"/>
  <c r="AE129" i="9"/>
  <c r="AA129" i="9"/>
  <c r="S129" i="9"/>
  <c r="AM128" i="9"/>
  <c r="AI128" i="9"/>
  <c r="AE128" i="9"/>
  <c r="AA128" i="9"/>
  <c r="S128" i="9"/>
  <c r="AM127" i="9"/>
  <c r="AI127" i="9"/>
  <c r="AE127" i="9"/>
  <c r="AA127" i="9"/>
  <c r="S127" i="9"/>
  <c r="AM126" i="9"/>
  <c r="AI126" i="9"/>
  <c r="AE126" i="9"/>
  <c r="AA126" i="9"/>
  <c r="S126" i="9"/>
  <c r="AM125" i="9"/>
  <c r="AI125" i="9"/>
  <c r="AE125" i="9"/>
  <c r="AA125" i="9"/>
  <c r="S125" i="9"/>
  <c r="AM124" i="9"/>
  <c r="AI124" i="9"/>
  <c r="AE124" i="9"/>
  <c r="AA124" i="9"/>
  <c r="S124" i="9"/>
  <c r="AM123" i="9"/>
  <c r="AI123" i="9"/>
  <c r="AE123" i="9"/>
  <c r="AA123" i="9"/>
  <c r="S123" i="9"/>
  <c r="AM122" i="9"/>
  <c r="AI122" i="9"/>
  <c r="AE122" i="9"/>
  <c r="AA122" i="9"/>
  <c r="S122" i="9"/>
  <c r="AM121" i="9"/>
  <c r="AI121" i="9"/>
  <c r="AE121" i="9"/>
  <c r="AA121" i="9"/>
  <c r="S121" i="9"/>
  <c r="AM120" i="9"/>
  <c r="AI120" i="9"/>
  <c r="AE120" i="9"/>
  <c r="AA120" i="9"/>
  <c r="S120" i="9"/>
  <c r="AM119" i="9"/>
  <c r="AI119" i="9"/>
  <c r="AE119" i="9"/>
  <c r="AA119" i="9"/>
  <c r="S119" i="9"/>
  <c r="AM118" i="9"/>
  <c r="AI118" i="9"/>
  <c r="AE118" i="9"/>
  <c r="AA118" i="9"/>
  <c r="S118" i="9"/>
  <c r="AM117" i="9"/>
  <c r="AI117" i="9"/>
  <c r="AE117" i="9"/>
  <c r="AA117" i="9"/>
  <c r="S117" i="9"/>
  <c r="AM116" i="9"/>
  <c r="AI116" i="9"/>
  <c r="AE116" i="9"/>
  <c r="AA116" i="9"/>
  <c r="S116" i="9"/>
  <c r="AM115" i="9"/>
  <c r="AI115" i="9"/>
  <c r="AE115" i="9"/>
  <c r="AA115" i="9"/>
  <c r="S115" i="9"/>
  <c r="AM114" i="9"/>
  <c r="AI114" i="9"/>
  <c r="AE114" i="9"/>
  <c r="AA114" i="9"/>
  <c r="S114" i="9"/>
  <c r="AM113" i="9"/>
  <c r="AI113" i="9"/>
  <c r="AE113" i="9"/>
  <c r="AA113" i="9"/>
  <c r="S113" i="9"/>
  <c r="AM112" i="9"/>
  <c r="AI112" i="9"/>
  <c r="AE112" i="9"/>
  <c r="AA112" i="9"/>
  <c r="S112" i="9"/>
  <c r="AM111" i="9"/>
  <c r="AI111" i="9"/>
  <c r="AE111" i="9"/>
  <c r="AA111" i="9"/>
  <c r="S111" i="9"/>
  <c r="AM110" i="9"/>
  <c r="AI110" i="9"/>
  <c r="AE110" i="9"/>
  <c r="AA110" i="9"/>
  <c r="S110" i="9"/>
  <c r="AM109" i="9"/>
  <c r="AI109" i="9"/>
  <c r="AE109" i="9"/>
  <c r="AA109" i="9"/>
  <c r="S109" i="9"/>
  <c r="AM108" i="9"/>
  <c r="AI108" i="9"/>
  <c r="AE108" i="9"/>
  <c r="AA108" i="9"/>
  <c r="S108" i="9"/>
  <c r="AM107" i="9"/>
  <c r="AI107" i="9"/>
  <c r="AE107" i="9"/>
  <c r="AA107" i="9"/>
  <c r="S107" i="9"/>
  <c r="AM106" i="9"/>
  <c r="AI106" i="9"/>
  <c r="AE106" i="9"/>
  <c r="AA106" i="9"/>
  <c r="S106" i="9"/>
  <c r="AM105" i="9"/>
  <c r="AI105" i="9"/>
  <c r="AE105" i="9"/>
  <c r="AA105" i="9"/>
  <c r="S105" i="9"/>
  <c r="AM104" i="9"/>
  <c r="AI104" i="9"/>
  <c r="AE104" i="9"/>
  <c r="AA104" i="9"/>
  <c r="S104" i="9"/>
  <c r="AM103" i="9"/>
  <c r="AI103" i="9"/>
  <c r="AE103" i="9"/>
  <c r="AA103" i="9"/>
  <c r="S103" i="9"/>
  <c r="AM102" i="9"/>
  <c r="AI102" i="9"/>
  <c r="AE102" i="9"/>
  <c r="AA102" i="9"/>
  <c r="S102" i="9"/>
  <c r="AM101" i="9"/>
  <c r="AI101" i="9"/>
  <c r="AE101" i="9"/>
  <c r="AA101" i="9"/>
  <c r="S101" i="9"/>
  <c r="AM100" i="9"/>
  <c r="AI100" i="9"/>
  <c r="AE100" i="9"/>
  <c r="AA100" i="9"/>
  <c r="S100" i="9"/>
  <c r="AM99" i="9"/>
  <c r="AI99" i="9"/>
  <c r="AE99" i="9"/>
  <c r="AA99" i="9"/>
  <c r="S99" i="9"/>
  <c r="AM98" i="9"/>
  <c r="AI98" i="9"/>
  <c r="AE98" i="9"/>
  <c r="AA98" i="9"/>
  <c r="S98" i="9"/>
  <c r="AM97" i="9"/>
  <c r="AI97" i="9"/>
  <c r="AE97" i="9"/>
  <c r="AA97" i="9"/>
  <c r="S97" i="9"/>
  <c r="AM96" i="9"/>
  <c r="AI96" i="9"/>
  <c r="AE96" i="9"/>
  <c r="AA96" i="9"/>
  <c r="S96" i="9"/>
  <c r="AM95" i="9"/>
  <c r="AI95" i="9"/>
  <c r="AE95" i="9"/>
  <c r="AA95" i="9"/>
  <c r="S95" i="9"/>
  <c r="AM94" i="9"/>
  <c r="AI94" i="9"/>
  <c r="AE94" i="9"/>
  <c r="AA94" i="9"/>
  <c r="S94" i="9"/>
  <c r="AM93" i="9"/>
  <c r="AI93" i="9"/>
  <c r="AE93" i="9"/>
  <c r="AA93" i="9"/>
  <c r="S93" i="9"/>
  <c r="AM92" i="9"/>
  <c r="AI92" i="9"/>
  <c r="AE92" i="9"/>
  <c r="AA92" i="9"/>
  <c r="S92" i="9"/>
  <c r="AM91" i="9"/>
  <c r="AI91" i="9"/>
  <c r="AE91" i="9"/>
  <c r="AA91" i="9"/>
  <c r="S91" i="9"/>
  <c r="AM90" i="9"/>
  <c r="AI90" i="9"/>
  <c r="AE90" i="9"/>
  <c r="AA90" i="9"/>
  <c r="S90" i="9"/>
  <c r="AM89" i="9"/>
  <c r="AI89" i="9"/>
  <c r="AE89" i="9"/>
  <c r="AA89" i="9"/>
  <c r="S89" i="9"/>
  <c r="AM88" i="9"/>
  <c r="AI88" i="9"/>
  <c r="AE88" i="9"/>
  <c r="AA88" i="9"/>
  <c r="S88" i="9"/>
  <c r="AM87" i="9"/>
  <c r="AI87" i="9"/>
  <c r="AE87" i="9"/>
  <c r="AA87" i="9"/>
  <c r="S87" i="9"/>
  <c r="AM86" i="9"/>
  <c r="AI86" i="9"/>
  <c r="AE86" i="9"/>
  <c r="AA86" i="9"/>
  <c r="S86" i="9"/>
  <c r="AM85" i="9"/>
  <c r="AI85" i="9"/>
  <c r="AE85" i="9"/>
  <c r="AA85" i="9"/>
  <c r="S85" i="9"/>
  <c r="AM84" i="9"/>
  <c r="AI84" i="9"/>
  <c r="AE84" i="9"/>
  <c r="AA84" i="9"/>
  <c r="S84" i="9"/>
  <c r="AM83" i="9"/>
  <c r="AI83" i="9"/>
  <c r="AE83" i="9"/>
  <c r="AA83" i="9"/>
  <c r="S83" i="9"/>
  <c r="AM82" i="9"/>
  <c r="AI82" i="9"/>
  <c r="AE82" i="9"/>
  <c r="AA82" i="9"/>
  <c r="S82" i="9"/>
  <c r="AM81" i="9"/>
  <c r="AI81" i="9"/>
  <c r="AE81" i="9"/>
  <c r="AA81" i="9"/>
  <c r="S81" i="9"/>
  <c r="AM80" i="9"/>
  <c r="AI80" i="9"/>
  <c r="AE80" i="9"/>
  <c r="AA80" i="9"/>
  <c r="S80" i="9"/>
  <c r="AM79" i="9"/>
  <c r="AI79" i="9"/>
  <c r="AE79" i="9"/>
  <c r="AA79" i="9"/>
  <c r="S79" i="9"/>
  <c r="AM78" i="9"/>
  <c r="AI78" i="9"/>
  <c r="AE78" i="9"/>
  <c r="AA78" i="9"/>
  <c r="S78" i="9"/>
  <c r="AM77" i="9"/>
  <c r="AI77" i="9"/>
  <c r="AE77" i="9"/>
  <c r="AA77" i="9"/>
  <c r="S77" i="9"/>
  <c r="AM76" i="9"/>
  <c r="AI76" i="9"/>
  <c r="AE76" i="9"/>
  <c r="AA76" i="9"/>
  <c r="S76" i="9"/>
  <c r="AM75" i="9"/>
  <c r="AI75" i="9"/>
  <c r="AE75" i="9"/>
  <c r="AA75" i="9"/>
  <c r="S75" i="9"/>
  <c r="AM74" i="9"/>
  <c r="AI74" i="9"/>
  <c r="AE74" i="9"/>
  <c r="AA74" i="9"/>
  <c r="S74" i="9"/>
  <c r="AM73" i="9"/>
  <c r="AI73" i="9"/>
  <c r="AE73" i="9"/>
  <c r="AA73" i="9"/>
  <c r="S73" i="9"/>
  <c r="AM72" i="9"/>
  <c r="AI72" i="9"/>
  <c r="AE72" i="9"/>
  <c r="AA72" i="9"/>
  <c r="S72" i="9"/>
  <c r="AM71" i="9"/>
  <c r="AI71" i="9"/>
  <c r="AE71" i="9"/>
  <c r="AA71" i="9"/>
  <c r="S71" i="9"/>
  <c r="AM70" i="9"/>
  <c r="AI70" i="9"/>
  <c r="AE70" i="9"/>
  <c r="AA70" i="9"/>
  <c r="S70" i="9"/>
  <c r="AM69" i="9"/>
  <c r="AI69" i="9"/>
  <c r="AE69" i="9"/>
  <c r="AA69" i="9"/>
  <c r="S69" i="9"/>
  <c r="AM68" i="9"/>
  <c r="AI68" i="9"/>
  <c r="AE68" i="9"/>
  <c r="AA68" i="9"/>
  <c r="S68" i="9"/>
  <c r="AM67" i="9"/>
  <c r="AI67" i="9"/>
  <c r="AE67" i="9"/>
  <c r="AA67" i="9"/>
  <c r="S67" i="9"/>
  <c r="AM66" i="9"/>
  <c r="AI66" i="9"/>
  <c r="AE66" i="9"/>
  <c r="AA66" i="9"/>
  <c r="S66" i="9"/>
  <c r="AM65" i="9"/>
  <c r="AI65" i="9"/>
  <c r="AE65" i="9"/>
  <c r="AA65" i="9"/>
  <c r="S65" i="9"/>
  <c r="AM64" i="9"/>
  <c r="AI64" i="9"/>
  <c r="AE64" i="9"/>
  <c r="AA64" i="9"/>
  <c r="S64" i="9"/>
  <c r="AM63" i="9"/>
  <c r="AI63" i="9"/>
  <c r="AE63" i="9"/>
  <c r="AA63" i="9"/>
  <c r="S63" i="9"/>
  <c r="AM62" i="9"/>
  <c r="AI62" i="9"/>
  <c r="AE62" i="9"/>
  <c r="AA62" i="9"/>
  <c r="S62" i="9"/>
  <c r="AM61" i="9"/>
  <c r="AI61" i="9"/>
  <c r="AE61" i="9"/>
  <c r="AA61" i="9"/>
  <c r="S61" i="9"/>
  <c r="AM60" i="9"/>
  <c r="AI60" i="9"/>
  <c r="AE60" i="9"/>
  <c r="AA60" i="9"/>
  <c r="S60" i="9"/>
  <c r="AM59" i="9"/>
  <c r="AI59" i="9"/>
  <c r="AE59" i="9"/>
  <c r="AA59" i="9"/>
  <c r="S59" i="9"/>
  <c r="AM58" i="9"/>
  <c r="AI58" i="9"/>
  <c r="AE58" i="9"/>
  <c r="AA58" i="9"/>
  <c r="S58" i="9"/>
  <c r="AM57" i="9"/>
  <c r="AI57" i="9"/>
  <c r="AE57" i="9"/>
  <c r="AA57" i="9"/>
  <c r="S57" i="9"/>
  <c r="AM56" i="9"/>
  <c r="AI56" i="9"/>
  <c r="AE56" i="9"/>
  <c r="AA56" i="9"/>
  <c r="S56" i="9"/>
  <c r="AM55" i="9"/>
  <c r="AI55" i="9"/>
  <c r="AE55" i="9"/>
  <c r="AA55" i="9"/>
  <c r="S55" i="9"/>
  <c r="AM54" i="9"/>
  <c r="AI54" i="9"/>
  <c r="AE54" i="9"/>
  <c r="AA54" i="9"/>
  <c r="S54" i="9"/>
  <c r="AM53" i="9"/>
  <c r="AI53" i="9"/>
  <c r="AE53" i="9"/>
  <c r="AA53" i="9"/>
  <c r="S53" i="9"/>
  <c r="AM52" i="9"/>
  <c r="AI52" i="9"/>
  <c r="AE52" i="9"/>
  <c r="AA52" i="9"/>
  <c r="S52" i="9"/>
  <c r="AM51" i="9"/>
  <c r="AI51" i="9"/>
  <c r="AE51" i="9"/>
  <c r="AA51" i="9"/>
  <c r="S51" i="9"/>
  <c r="AM50" i="9"/>
  <c r="AI50" i="9"/>
  <c r="AE50" i="9"/>
  <c r="AA50" i="9"/>
  <c r="S50" i="9"/>
  <c r="AM49" i="9"/>
  <c r="AI49" i="9"/>
  <c r="AE49" i="9"/>
  <c r="AA49" i="9"/>
  <c r="S49" i="9"/>
  <c r="AM48" i="9"/>
  <c r="AI48" i="9"/>
  <c r="AE48" i="9"/>
  <c r="AA48" i="9"/>
  <c r="S48" i="9"/>
  <c r="AM47" i="9"/>
  <c r="AI47" i="9"/>
  <c r="AE47" i="9"/>
  <c r="AA47" i="9"/>
  <c r="S47" i="9"/>
  <c r="AM46" i="9"/>
  <c r="AI46" i="9"/>
  <c r="AE46" i="9"/>
  <c r="AA46" i="9"/>
  <c r="S46" i="9"/>
  <c r="AM45" i="9"/>
  <c r="AI45" i="9"/>
  <c r="AE45" i="9"/>
  <c r="AA45" i="9"/>
  <c r="S45" i="9"/>
  <c r="AM44" i="9"/>
  <c r="AI44" i="9"/>
  <c r="AE44" i="9"/>
  <c r="AA44" i="9"/>
  <c r="S44" i="9"/>
  <c r="AM43" i="9"/>
  <c r="AI43" i="9"/>
  <c r="AE43" i="9"/>
  <c r="AA43" i="9"/>
  <c r="S43" i="9"/>
  <c r="AM42" i="9"/>
  <c r="AI42" i="9"/>
  <c r="AE42" i="9"/>
  <c r="AA42" i="9"/>
  <c r="S42" i="9"/>
  <c r="AM41" i="9"/>
  <c r="AI41" i="9"/>
  <c r="AE41" i="9"/>
  <c r="AA41" i="9"/>
  <c r="S41" i="9"/>
  <c r="AM40" i="9"/>
  <c r="AI40" i="9"/>
  <c r="AE40" i="9"/>
  <c r="AA40" i="9"/>
  <c r="S40" i="9"/>
  <c r="AM39" i="9"/>
  <c r="AI39" i="9"/>
  <c r="AE39" i="9"/>
  <c r="AA39" i="9"/>
  <c r="S39" i="9"/>
  <c r="AM38" i="9"/>
  <c r="AI38" i="9"/>
  <c r="AE38" i="9"/>
  <c r="AA38" i="9"/>
  <c r="S38" i="9"/>
  <c r="AM37" i="9"/>
  <c r="AI37" i="9"/>
  <c r="AE37" i="9"/>
  <c r="AA37" i="9"/>
  <c r="S37" i="9"/>
  <c r="AM36" i="9"/>
  <c r="AI36" i="9"/>
  <c r="AE36" i="9"/>
  <c r="AA36" i="9"/>
  <c r="S36" i="9"/>
  <c r="AM35" i="9"/>
  <c r="AI35" i="9"/>
  <c r="AE35" i="9"/>
  <c r="AA35" i="9"/>
  <c r="S35" i="9"/>
  <c r="AM34" i="9"/>
  <c r="AI34" i="9"/>
  <c r="AE34" i="9"/>
  <c r="AA34" i="9"/>
  <c r="S34" i="9"/>
  <c r="AM33" i="9"/>
  <c r="AI33" i="9"/>
  <c r="AE33" i="9"/>
  <c r="AA33" i="9"/>
  <c r="S33" i="9"/>
  <c r="AM32" i="9"/>
  <c r="AI32" i="9"/>
  <c r="AE32" i="9"/>
  <c r="AA32" i="9"/>
  <c r="S32" i="9"/>
  <c r="AM31" i="9"/>
  <c r="AI31" i="9"/>
  <c r="AE31" i="9"/>
  <c r="AA31" i="9"/>
  <c r="S31" i="9"/>
  <c r="AM30" i="9"/>
  <c r="AI30" i="9"/>
  <c r="AE30" i="9"/>
  <c r="AA30" i="9"/>
  <c r="S30" i="9"/>
  <c r="AM29" i="9"/>
  <c r="AI29" i="9"/>
  <c r="AE29" i="9"/>
  <c r="AA29" i="9"/>
  <c r="S29" i="9"/>
  <c r="AM28" i="9"/>
  <c r="AI28" i="9"/>
  <c r="AE28" i="9"/>
  <c r="AA28" i="9"/>
  <c r="S28" i="9"/>
  <c r="AM27" i="9"/>
  <c r="AI27" i="9"/>
  <c r="AE27" i="9"/>
  <c r="AA27" i="9"/>
  <c r="S27" i="9"/>
  <c r="AM26" i="9"/>
  <c r="AI26" i="9"/>
  <c r="AE26" i="9"/>
  <c r="AA26" i="9"/>
  <c r="S26" i="9"/>
  <c r="AM25" i="9"/>
  <c r="AI25" i="9"/>
  <c r="AE25" i="9"/>
  <c r="AA25" i="9"/>
  <c r="S25" i="9"/>
  <c r="AM24" i="9"/>
  <c r="AI24" i="9"/>
  <c r="AE24" i="9"/>
  <c r="AA24" i="9"/>
  <c r="S24" i="9"/>
  <c r="AM23" i="9"/>
  <c r="AI23" i="9"/>
  <c r="AE23" i="9"/>
  <c r="AA23" i="9"/>
  <c r="S23" i="9"/>
  <c r="AM22" i="9"/>
  <c r="AI22" i="9"/>
  <c r="AE22" i="9"/>
  <c r="AA22" i="9"/>
  <c r="S22" i="9"/>
  <c r="AM21" i="9"/>
  <c r="AI21" i="9"/>
  <c r="AE21" i="9"/>
  <c r="AA21" i="9"/>
  <c r="S21" i="9"/>
  <c r="AM20" i="9"/>
  <c r="AI20" i="9"/>
  <c r="AE20" i="9"/>
  <c r="AA20" i="9"/>
  <c r="S20" i="9"/>
  <c r="AM19" i="9"/>
  <c r="AI19" i="9"/>
  <c r="AE19" i="9"/>
  <c r="AA19" i="9"/>
  <c r="S19" i="9"/>
  <c r="AM18" i="9"/>
  <c r="AI18" i="9"/>
  <c r="AE18" i="9"/>
  <c r="AA18" i="9"/>
  <c r="S18" i="9"/>
  <c r="AM17" i="9"/>
  <c r="AI17" i="9"/>
  <c r="AE17" i="9"/>
  <c r="AA17" i="9"/>
  <c r="S17" i="9"/>
  <c r="AM16" i="9"/>
  <c r="AI16" i="9"/>
  <c r="AE16" i="9"/>
  <c r="AA16" i="9"/>
  <c r="S16" i="9"/>
  <c r="AM15" i="9"/>
  <c r="AI15" i="9"/>
  <c r="AE15" i="9"/>
  <c r="AA15" i="9"/>
  <c r="S15" i="9"/>
  <c r="AM14" i="9"/>
  <c r="AI14" i="9"/>
  <c r="AE14" i="9"/>
  <c r="AA14" i="9"/>
  <c r="S14" i="9"/>
  <c r="AM13" i="9"/>
  <c r="AI13" i="9"/>
  <c r="AE13" i="9"/>
  <c r="AA13" i="9"/>
  <c r="S13" i="9"/>
  <c r="AM12" i="9"/>
  <c r="AI12" i="9"/>
  <c r="AE12" i="9"/>
  <c r="AA12" i="9"/>
  <c r="S12" i="9"/>
  <c r="AM11" i="9"/>
  <c r="AI11" i="9"/>
  <c r="AE11" i="9"/>
  <c r="AA11" i="9"/>
  <c r="S11" i="9"/>
  <c r="AM10" i="9"/>
  <c r="AI10" i="9"/>
  <c r="AE10" i="9"/>
  <c r="AA10" i="9"/>
  <c r="S10" i="9"/>
  <c r="H10" i="9"/>
  <c r="G10" i="9"/>
  <c r="E10" i="9"/>
  <c r="D10" i="9"/>
  <c r="AM9" i="9"/>
  <c r="AI9" i="9"/>
  <c r="AE9" i="9"/>
  <c r="AA9" i="9"/>
  <c r="S9" i="9"/>
  <c r="H9" i="9"/>
  <c r="G9" i="9"/>
  <c r="E9" i="9"/>
  <c r="D9" i="9"/>
  <c r="AM8" i="9"/>
  <c r="AI8" i="9"/>
  <c r="AE8" i="9"/>
  <c r="AA8" i="9"/>
  <c r="S8" i="9"/>
  <c r="H8" i="9"/>
  <c r="G8" i="9"/>
  <c r="E8" i="9"/>
  <c r="D8" i="9"/>
  <c r="AM7" i="9"/>
  <c r="AI7" i="9"/>
  <c r="AE7" i="9"/>
  <c r="AA7" i="9"/>
  <c r="S7" i="9"/>
  <c r="H7" i="9"/>
  <c r="G7" i="9"/>
  <c r="E7" i="9"/>
  <c r="D7" i="9"/>
  <c r="AM6" i="9"/>
  <c r="AI6" i="9"/>
  <c r="AE6" i="9"/>
  <c r="AA6" i="9"/>
  <c r="S6" i="9"/>
  <c r="H6" i="9"/>
  <c r="G6" i="9"/>
  <c r="E6" i="9"/>
  <c r="D6" i="9"/>
  <c r="AM5" i="9"/>
  <c r="AI5" i="9"/>
  <c r="AE5" i="9"/>
  <c r="AA5" i="9"/>
  <c r="S5" i="9"/>
  <c r="H5" i="9"/>
  <c r="G5" i="9"/>
  <c r="E5" i="9"/>
  <c r="D5" i="9"/>
  <c r="AM4" i="9"/>
  <c r="AI4" i="9"/>
  <c r="AE4" i="9"/>
  <c r="AA4" i="9"/>
  <c r="S4" i="9"/>
  <c r="H4" i="9"/>
  <c r="G4" i="9"/>
  <c r="E4" i="9"/>
  <c r="D4" i="9"/>
  <c r="D726" i="9"/>
  <c r="AM3" i="9"/>
  <c r="AL3" i="9"/>
  <c r="AK3" i="9"/>
  <c r="AJ3" i="9"/>
  <c r="AI3" i="9"/>
  <c r="AH3" i="9"/>
  <c r="AG3" i="9"/>
  <c r="AF3" i="9"/>
  <c r="AE3" i="9"/>
  <c r="AD3" i="9"/>
  <c r="AC3" i="9"/>
  <c r="AB3" i="9"/>
  <c r="AA3" i="9"/>
  <c r="Z3" i="9"/>
  <c r="Y3" i="9"/>
  <c r="X3" i="9"/>
  <c r="W3" i="9"/>
  <c r="V3" i="9"/>
  <c r="U3" i="9"/>
  <c r="H3" i="9"/>
  <c r="N2" i="9"/>
  <c r="L2" i="9"/>
  <c r="K2" i="9"/>
  <c r="N1" i="9"/>
  <c r="L1" i="9"/>
  <c r="K1" i="9"/>
  <c r="L727" i="10"/>
  <c r="AZ727" i="10"/>
  <c r="AZ728" i="10"/>
  <c r="AY727" i="10"/>
  <c r="AY728" i="10"/>
  <c r="AX727" i="10"/>
  <c r="AX728" i="10"/>
  <c r="AW727" i="10"/>
  <c r="AW728" i="10"/>
  <c r="AV727" i="10"/>
  <c r="AV728" i="10"/>
  <c r="AU727" i="10"/>
  <c r="AU728" i="10"/>
  <c r="AT727" i="10"/>
  <c r="AT728" i="10"/>
  <c r="AS727" i="10"/>
  <c r="AS728" i="10"/>
  <c r="AR727" i="10"/>
  <c r="AR728" i="10"/>
  <c r="AQ727" i="10"/>
  <c r="AQ728" i="10"/>
  <c r="AP727" i="10"/>
  <c r="AP728" i="10"/>
  <c r="AO727" i="10"/>
  <c r="AO728" i="10"/>
  <c r="AN727" i="10"/>
  <c r="AN728" i="10"/>
  <c r="AM727" i="10"/>
  <c r="AM728" i="10"/>
  <c r="AL727" i="10"/>
  <c r="AL728" i="10"/>
  <c r="BA727" i="10"/>
  <c r="BD5" i="10"/>
  <c r="BD6" i="10"/>
  <c r="BD7" i="10"/>
  <c r="BD8" i="10"/>
  <c r="BD9" i="10"/>
  <c r="BD10" i="10"/>
  <c r="BD11" i="10"/>
  <c r="BD12" i="10"/>
  <c r="BD13" i="10"/>
  <c r="BD14" i="10"/>
  <c r="BD15" i="10"/>
  <c r="BD16" i="10"/>
  <c r="BD17" i="10"/>
  <c r="BD18" i="10"/>
  <c r="BD19" i="10"/>
  <c r="BD20" i="10"/>
  <c r="BD21" i="10"/>
  <c r="BD22" i="10"/>
  <c r="BD23" i="10"/>
  <c r="BD24" i="10"/>
  <c r="BD25" i="10"/>
  <c r="BD26" i="10"/>
  <c r="BD27" i="10"/>
  <c r="BD28" i="10"/>
  <c r="BD29" i="10"/>
  <c r="BD30" i="10"/>
  <c r="BD31" i="10"/>
  <c r="BD32" i="10"/>
  <c r="BD33" i="10"/>
  <c r="BD34" i="10"/>
  <c r="BD35" i="10"/>
  <c r="BD36" i="10"/>
  <c r="BD37" i="10"/>
  <c r="BD38" i="10"/>
  <c r="BD39" i="10"/>
  <c r="BD40" i="10"/>
  <c r="BD41" i="10"/>
  <c r="BD42" i="10"/>
  <c r="BD43" i="10"/>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D120" i="10"/>
  <c r="BD121" i="10"/>
  <c r="BD122" i="10"/>
  <c r="BD123" i="10"/>
  <c r="BD124" i="10"/>
  <c r="BD125" i="10"/>
  <c r="BD126" i="10"/>
  <c r="BD127" i="10"/>
  <c r="BD128" i="10"/>
  <c r="BD129" i="10"/>
  <c r="BD130" i="10"/>
  <c r="BD131" i="10"/>
  <c r="BD132" i="10"/>
  <c r="BD133" i="10"/>
  <c r="BD134" i="10"/>
  <c r="BD135" i="10"/>
  <c r="BD136" i="10"/>
  <c r="BD137" i="10"/>
  <c r="BD138" i="10"/>
  <c r="BD139" i="10"/>
  <c r="BD140" i="10"/>
  <c r="BD141" i="10"/>
  <c r="BD142" i="10"/>
  <c r="BD143" i="10"/>
  <c r="BD144" i="10"/>
  <c r="BD145" i="10"/>
  <c r="BD146" i="10"/>
  <c r="BD147" i="10"/>
  <c r="BD148" i="10"/>
  <c r="BD149" i="10"/>
  <c r="BD150" i="10"/>
  <c r="BD151" i="10"/>
  <c r="BD152" i="10"/>
  <c r="BD153" i="10"/>
  <c r="BD154" i="10"/>
  <c r="BD155" i="10"/>
  <c r="BD156" i="10"/>
  <c r="BD157" i="10"/>
  <c r="BD158" i="10"/>
  <c r="BD159" i="10"/>
  <c r="BD160" i="10"/>
  <c r="BD161" i="10"/>
  <c r="BD162" i="10"/>
  <c r="BD163" i="10"/>
  <c r="BD164" i="10"/>
  <c r="BD165" i="10"/>
  <c r="BD166" i="10"/>
  <c r="BD167" i="10"/>
  <c r="BD168" i="10"/>
  <c r="BD169" i="10"/>
  <c r="BD170" i="10"/>
  <c r="BD171" i="10"/>
  <c r="BD172" i="10"/>
  <c r="BD173" i="10"/>
  <c r="BD174" i="10"/>
  <c r="BD175" i="10"/>
  <c r="BD176" i="10"/>
  <c r="BD177" i="10"/>
  <c r="BD178" i="10"/>
  <c r="BD179" i="10"/>
  <c r="BD180" i="10"/>
  <c r="BD181" i="10"/>
  <c r="BD182" i="10"/>
  <c r="BD183" i="10"/>
  <c r="BD184" i="10"/>
  <c r="BD185" i="10"/>
  <c r="BD186" i="10"/>
  <c r="BD187" i="10"/>
  <c r="BD188" i="10"/>
  <c r="BD189" i="10"/>
  <c r="BD190" i="10"/>
  <c r="BD191" i="10"/>
  <c r="BD192" i="10"/>
  <c r="BD193" i="10"/>
  <c r="BD194" i="10"/>
  <c r="BD195" i="10"/>
  <c r="BD196" i="10"/>
  <c r="BD197" i="10"/>
  <c r="BD198" i="10"/>
  <c r="BD199" i="10"/>
  <c r="BD200" i="10"/>
  <c r="BD201" i="10"/>
  <c r="BD202" i="10"/>
  <c r="BD203" i="10"/>
  <c r="BD204" i="10"/>
  <c r="BD205" i="10"/>
  <c r="BD206" i="10"/>
  <c r="BD207" i="10"/>
  <c r="BD208" i="10"/>
  <c r="BD209" i="10"/>
  <c r="BD210" i="10"/>
  <c r="BD211" i="10"/>
  <c r="BD212" i="10"/>
  <c r="BD213" i="10"/>
  <c r="BD214" i="10"/>
  <c r="BD215" i="10"/>
  <c r="BD216" i="10"/>
  <c r="BD217" i="10"/>
  <c r="BD218" i="10"/>
  <c r="BD219" i="10"/>
  <c r="BD220" i="10"/>
  <c r="BD221" i="10"/>
  <c r="BD222" i="10"/>
  <c r="BD223" i="10"/>
  <c r="BD224" i="10"/>
  <c r="BD225" i="10"/>
  <c r="BD226" i="10"/>
  <c r="BD227" i="10"/>
  <c r="BD228" i="10"/>
  <c r="BD229" i="10"/>
  <c r="BD230" i="10"/>
  <c r="BD231" i="10"/>
  <c r="BD232" i="10"/>
  <c r="BD233" i="10"/>
  <c r="BD234" i="10"/>
  <c r="BD235" i="10"/>
  <c r="BD236" i="10"/>
  <c r="BD237" i="10"/>
  <c r="BD238" i="10"/>
  <c r="BD239" i="10"/>
  <c r="BD240" i="10"/>
  <c r="BD241" i="10"/>
  <c r="BD242" i="10"/>
  <c r="BD243" i="10"/>
  <c r="BD244" i="10"/>
  <c r="BD245" i="10"/>
  <c r="BD246" i="10"/>
  <c r="BD247" i="10"/>
  <c r="BD248" i="10"/>
  <c r="BD249" i="10"/>
  <c r="BD250" i="10"/>
  <c r="BD251" i="10"/>
  <c r="BD252" i="10"/>
  <c r="BD253" i="10"/>
  <c r="BD254" i="10"/>
  <c r="BD255" i="10"/>
  <c r="BD256" i="10"/>
  <c r="BD257" i="10"/>
  <c r="BD258" i="10"/>
  <c r="BD259" i="10"/>
  <c r="BD260" i="10"/>
  <c r="BD261" i="10"/>
  <c r="BD262" i="10"/>
  <c r="BD263" i="10"/>
  <c r="BD264" i="10"/>
  <c r="BD265" i="10"/>
  <c r="BD266" i="10"/>
  <c r="BD267" i="10"/>
  <c r="BD268" i="10"/>
  <c r="BD269" i="10"/>
  <c r="BD270" i="10"/>
  <c r="BD271" i="10"/>
  <c r="BD272" i="10"/>
  <c r="BD273" i="10"/>
  <c r="BD274" i="10"/>
  <c r="BD275" i="10"/>
  <c r="BD276" i="10"/>
  <c r="BD277" i="10"/>
  <c r="BD278" i="10"/>
  <c r="BD279" i="10"/>
  <c r="BD280" i="10"/>
  <c r="BD281" i="10"/>
  <c r="BD282" i="10"/>
  <c r="BD283" i="10"/>
  <c r="BD284" i="10"/>
  <c r="BD285" i="10"/>
  <c r="BD286" i="10"/>
  <c r="BD287" i="10"/>
  <c r="BD288" i="10"/>
  <c r="BD289" i="10"/>
  <c r="BD290" i="10"/>
  <c r="BD291" i="10"/>
  <c r="BD292" i="10"/>
  <c r="BD293" i="10"/>
  <c r="BD294" i="10"/>
  <c r="BD295" i="10"/>
  <c r="BD296" i="10"/>
  <c r="BD297" i="10"/>
  <c r="BD298" i="10"/>
  <c r="BD299" i="10"/>
  <c r="BD300" i="10"/>
  <c r="BD301" i="10"/>
  <c r="BD302" i="10"/>
  <c r="BD303" i="10"/>
  <c r="BD304" i="10"/>
  <c r="BD305" i="10"/>
  <c r="BD306" i="10"/>
  <c r="BD307" i="10"/>
  <c r="BD308" i="10"/>
  <c r="BD309" i="10"/>
  <c r="BD310" i="10"/>
  <c r="BD311" i="10"/>
  <c r="BD312" i="10"/>
  <c r="BD313" i="10"/>
  <c r="BD314" i="10"/>
  <c r="BD315" i="10"/>
  <c r="BD316" i="10"/>
  <c r="BD317" i="10"/>
  <c r="BD318" i="10"/>
  <c r="BD319" i="10"/>
  <c r="BD320" i="10"/>
  <c r="BD321" i="10"/>
  <c r="BD322" i="10"/>
  <c r="BD323" i="10"/>
  <c r="BD324" i="10"/>
  <c r="BD325" i="10"/>
  <c r="BD326" i="10"/>
  <c r="BD327" i="10"/>
  <c r="BD328" i="10"/>
  <c r="BD329" i="10"/>
  <c r="BD330" i="10"/>
  <c r="BD331" i="10"/>
  <c r="BD332" i="10"/>
  <c r="BD333" i="10"/>
  <c r="BD334" i="10"/>
  <c r="BD335" i="10"/>
  <c r="BD336" i="10"/>
  <c r="BD337" i="10"/>
  <c r="BD338" i="10"/>
  <c r="BD339" i="10"/>
  <c r="BD340" i="10"/>
  <c r="BD341" i="10"/>
  <c r="BD342" i="10"/>
  <c r="BD343" i="10"/>
  <c r="BD344" i="10"/>
  <c r="BD345" i="10"/>
  <c r="BD346" i="10"/>
  <c r="BD347" i="10"/>
  <c r="BD348" i="10"/>
  <c r="BD349" i="10"/>
  <c r="BD350" i="10"/>
  <c r="BD351" i="10"/>
  <c r="BD352" i="10"/>
  <c r="BD353" i="10"/>
  <c r="BD354" i="10"/>
  <c r="BD355" i="10"/>
  <c r="BD356" i="10"/>
  <c r="BD357" i="10"/>
  <c r="BD358" i="10"/>
  <c r="BD359" i="10"/>
  <c r="BD360" i="10"/>
  <c r="BD361" i="10"/>
  <c r="BD362" i="10"/>
  <c r="BD363" i="10"/>
  <c r="BD364" i="10"/>
  <c r="BD365" i="10"/>
  <c r="BD366" i="10"/>
  <c r="BD367" i="10"/>
  <c r="BD368" i="10"/>
  <c r="BD369" i="10"/>
  <c r="BD370" i="10"/>
  <c r="BD371" i="10"/>
  <c r="BD372" i="10"/>
  <c r="BD373" i="10"/>
  <c r="BD374" i="10"/>
  <c r="BD375" i="10"/>
  <c r="BD376" i="10"/>
  <c r="BD377" i="10"/>
  <c r="BD378" i="10"/>
  <c r="BD379" i="10"/>
  <c r="BD380" i="10"/>
  <c r="BD381" i="10"/>
  <c r="BD382" i="10"/>
  <c r="BD383" i="10"/>
  <c r="BD384" i="10"/>
  <c r="BD385" i="10"/>
  <c r="BD386" i="10"/>
  <c r="BD387" i="10"/>
  <c r="BD388" i="10"/>
  <c r="BD389" i="10"/>
  <c r="BD390" i="10"/>
  <c r="BD391" i="10"/>
  <c r="BD392" i="10"/>
  <c r="BD393" i="10"/>
  <c r="BD394" i="10"/>
  <c r="BD395" i="10"/>
  <c r="BD396" i="10"/>
  <c r="BD397" i="10"/>
  <c r="BD398" i="10"/>
  <c r="BD399" i="10"/>
  <c r="BD400" i="10"/>
  <c r="BD401" i="10"/>
  <c r="BD402" i="10"/>
  <c r="BD403" i="10"/>
  <c r="BD404" i="10"/>
  <c r="BD405" i="10"/>
  <c r="BD406" i="10"/>
  <c r="BD407" i="10"/>
  <c r="BD408" i="10"/>
  <c r="BD409" i="10"/>
  <c r="BD410" i="10"/>
  <c r="BD411" i="10"/>
  <c r="BD412" i="10"/>
  <c r="BD413" i="10"/>
  <c r="BD414" i="10"/>
  <c r="BD415" i="10"/>
  <c r="BD416" i="10"/>
  <c r="BD417" i="10"/>
  <c r="BD418" i="10"/>
  <c r="BD419" i="10"/>
  <c r="BD420" i="10"/>
  <c r="BD421" i="10"/>
  <c r="BD422" i="10"/>
  <c r="BD423" i="10"/>
  <c r="BD424" i="10"/>
  <c r="BD425" i="10"/>
  <c r="BD426" i="10"/>
  <c r="BD427" i="10"/>
  <c r="BD428" i="10"/>
  <c r="BD429" i="10"/>
  <c r="BD430" i="10"/>
  <c r="BD431" i="10"/>
  <c r="BD432" i="10"/>
  <c r="BD433" i="10"/>
  <c r="BD434" i="10"/>
  <c r="BD435" i="10"/>
  <c r="BD436" i="10"/>
  <c r="BD437" i="10"/>
  <c r="BD438" i="10"/>
  <c r="BD439" i="10"/>
  <c r="BD440" i="10"/>
  <c r="BD441" i="10"/>
  <c r="BD442" i="10"/>
  <c r="BD443" i="10"/>
  <c r="BD444" i="10"/>
  <c r="BD445" i="10"/>
  <c r="BD446" i="10"/>
  <c r="BD447" i="10"/>
  <c r="BD448" i="10"/>
  <c r="BD449" i="10"/>
  <c r="BD450" i="10"/>
  <c r="BD451" i="10"/>
  <c r="BD452" i="10"/>
  <c r="BD453" i="10"/>
  <c r="BD454" i="10"/>
  <c r="BD455" i="10"/>
  <c r="BD456" i="10"/>
  <c r="BD457" i="10"/>
  <c r="BD458" i="10"/>
  <c r="BD459" i="10"/>
  <c r="BD460" i="10"/>
  <c r="BD461" i="10"/>
  <c r="BD462" i="10"/>
  <c r="BD463" i="10"/>
  <c r="BD464" i="10"/>
  <c r="BD465" i="10"/>
  <c r="BD466" i="10"/>
  <c r="BD467" i="10"/>
  <c r="BD468" i="10"/>
  <c r="BD469" i="10"/>
  <c r="BD470" i="10"/>
  <c r="BD471" i="10"/>
  <c r="BD472" i="10"/>
  <c r="BD473" i="10"/>
  <c r="BD474" i="10"/>
  <c r="BD475" i="10"/>
  <c r="BD476" i="10"/>
  <c r="BD477" i="10"/>
  <c r="BD478" i="10"/>
  <c r="BD479" i="10"/>
  <c r="BD480" i="10"/>
  <c r="BD481" i="10"/>
  <c r="BD482" i="10"/>
  <c r="BD483" i="10"/>
  <c r="BD484" i="10"/>
  <c r="BD485" i="10"/>
  <c r="BD486" i="10"/>
  <c r="BD487" i="10"/>
  <c r="BD488" i="10"/>
  <c r="BD489" i="10"/>
  <c r="BD490" i="10"/>
  <c r="BD491" i="10"/>
  <c r="BD492" i="10"/>
  <c r="BD493" i="10"/>
  <c r="BD494" i="10"/>
  <c r="BD495" i="10"/>
  <c r="BD496" i="10"/>
  <c r="BD497" i="10"/>
  <c r="BD498" i="10"/>
  <c r="BD499" i="10"/>
  <c r="BD500" i="10"/>
  <c r="BD501" i="10"/>
  <c r="BD502" i="10"/>
  <c r="BD503" i="10"/>
  <c r="BD504" i="10"/>
  <c r="BD505" i="10"/>
  <c r="BD506" i="10"/>
  <c r="BD507" i="10"/>
  <c r="BD508" i="10"/>
  <c r="BD509" i="10"/>
  <c r="BD510" i="10"/>
  <c r="BD511" i="10"/>
  <c r="BD512" i="10"/>
  <c r="BD513" i="10"/>
  <c r="BD514" i="10"/>
  <c r="BD515" i="10"/>
  <c r="BD516" i="10"/>
  <c r="BD517" i="10"/>
  <c r="BD518" i="10"/>
  <c r="BD519" i="10"/>
  <c r="BD520" i="10"/>
  <c r="BD521" i="10"/>
  <c r="BD522" i="10"/>
  <c r="BD523" i="10"/>
  <c r="BD524" i="10"/>
  <c r="BD525" i="10"/>
  <c r="BD526" i="10"/>
  <c r="BD527" i="10"/>
  <c r="BD528" i="10"/>
  <c r="BD529" i="10"/>
  <c r="BD530" i="10"/>
  <c r="BD531" i="10"/>
  <c r="BD532" i="10"/>
  <c r="BD533" i="10"/>
  <c r="BD534" i="10"/>
  <c r="BD535" i="10"/>
  <c r="BD536" i="10"/>
  <c r="BD537" i="10"/>
  <c r="BD538" i="10"/>
  <c r="BD539" i="10"/>
  <c r="BD540" i="10"/>
  <c r="BD541" i="10"/>
  <c r="BD542" i="10"/>
  <c r="BD543" i="10"/>
  <c r="BD544" i="10"/>
  <c r="BD545" i="10"/>
  <c r="BD546" i="10"/>
  <c r="BD547" i="10"/>
  <c r="BD548" i="10"/>
  <c r="BD549" i="10"/>
  <c r="BD550" i="10"/>
  <c r="BD551" i="10"/>
  <c r="BD552" i="10"/>
  <c r="BD553" i="10"/>
  <c r="BD554" i="10"/>
  <c r="BD555" i="10"/>
  <c r="BD556" i="10"/>
  <c r="BD557" i="10"/>
  <c r="BD558" i="10"/>
  <c r="BD559" i="10"/>
  <c r="BD560" i="10"/>
  <c r="BD561" i="10"/>
  <c r="BD562" i="10"/>
  <c r="BD563" i="10"/>
  <c r="BD564" i="10"/>
  <c r="BD565" i="10"/>
  <c r="BD566" i="10"/>
  <c r="BD567" i="10"/>
  <c r="BD568" i="10"/>
  <c r="BD569" i="10"/>
  <c r="BD570" i="10"/>
  <c r="BD571" i="10"/>
  <c r="BD572" i="10"/>
  <c r="BD573" i="10"/>
  <c r="BD574" i="10"/>
  <c r="BD575" i="10"/>
  <c r="BD576" i="10"/>
  <c r="BD577" i="10"/>
  <c r="BD578" i="10"/>
  <c r="BD579" i="10"/>
  <c r="BD580" i="10"/>
  <c r="BD581" i="10"/>
  <c r="BD582" i="10"/>
  <c r="BD583" i="10"/>
  <c r="BD584" i="10"/>
  <c r="BD585" i="10"/>
  <c r="BD586" i="10"/>
  <c r="BD587" i="10"/>
  <c r="BD588" i="10"/>
  <c r="BD589" i="10"/>
  <c r="BD590" i="10"/>
  <c r="BD591" i="10"/>
  <c r="BD592" i="10"/>
  <c r="BD593" i="10"/>
  <c r="BD594" i="10"/>
  <c r="BD595" i="10"/>
  <c r="BD596" i="10"/>
  <c r="BD597" i="10"/>
  <c r="BD598" i="10"/>
  <c r="BD599" i="10"/>
  <c r="BD600" i="10"/>
  <c r="BD601" i="10"/>
  <c r="BD602" i="10"/>
  <c r="BD603" i="10"/>
  <c r="BD604" i="10"/>
  <c r="BD605" i="10"/>
  <c r="BD606" i="10"/>
  <c r="BD607" i="10"/>
  <c r="BD608" i="10"/>
  <c r="BD609" i="10"/>
  <c r="BD610" i="10"/>
  <c r="BD611" i="10"/>
  <c r="BD612" i="10"/>
  <c r="BD613" i="10"/>
  <c r="BD614" i="10"/>
  <c r="BD615" i="10"/>
  <c r="BD616" i="10"/>
  <c r="BD617" i="10"/>
  <c r="BD618" i="10"/>
  <c r="BD619" i="10"/>
  <c r="BD620" i="10"/>
  <c r="BD621" i="10"/>
  <c r="BD622" i="10"/>
  <c r="BD623" i="10"/>
  <c r="BD624" i="10"/>
  <c r="BD625" i="10"/>
  <c r="BD626" i="10"/>
  <c r="BD627" i="10"/>
  <c r="BD628" i="10"/>
  <c r="BD629" i="10"/>
  <c r="BD630" i="10"/>
  <c r="BD631" i="10"/>
  <c r="BD632" i="10"/>
  <c r="BD633" i="10"/>
  <c r="BD634" i="10"/>
  <c r="BD635" i="10"/>
  <c r="BD636" i="10"/>
  <c r="BD637" i="10"/>
  <c r="BD638" i="10"/>
  <c r="BD639" i="10"/>
  <c r="BD640" i="10"/>
  <c r="BD641" i="10"/>
  <c r="BD642" i="10"/>
  <c r="BD643" i="10"/>
  <c r="BD644" i="10"/>
  <c r="BD645" i="10"/>
  <c r="BD646" i="10"/>
  <c r="BD647" i="10"/>
  <c r="BD648" i="10"/>
  <c r="BD649" i="10"/>
  <c r="BD650" i="10"/>
  <c r="BD651" i="10"/>
  <c r="BD652" i="10"/>
  <c r="BD653" i="10"/>
  <c r="BD654" i="10"/>
  <c r="BD655" i="10"/>
  <c r="BD656" i="10"/>
  <c r="BD657" i="10"/>
  <c r="BD658" i="10"/>
  <c r="BD659" i="10"/>
  <c r="BD660" i="10"/>
  <c r="BD661" i="10"/>
  <c r="BD662" i="10"/>
  <c r="BD663" i="10"/>
  <c r="BD664" i="10"/>
  <c r="BD665" i="10"/>
  <c r="BD666" i="10"/>
  <c r="BD667" i="10"/>
  <c r="BD668" i="10"/>
  <c r="BD669" i="10"/>
  <c r="BD670" i="10"/>
  <c r="BD671" i="10"/>
  <c r="BD672" i="10"/>
  <c r="BD673" i="10"/>
  <c r="BD674" i="10"/>
  <c r="BD675" i="10"/>
  <c r="BD676" i="10"/>
  <c r="BD677" i="10"/>
  <c r="BD678" i="10"/>
  <c r="BD679" i="10"/>
  <c r="BD680" i="10"/>
  <c r="BD681" i="10"/>
  <c r="BD682" i="10"/>
  <c r="BD683" i="10"/>
  <c r="BD684" i="10"/>
  <c r="BD685" i="10"/>
  <c r="BD686" i="10"/>
  <c r="BD687" i="10"/>
  <c r="BD688" i="10"/>
  <c r="BD689" i="10"/>
  <c r="BD690" i="10"/>
  <c r="BD691" i="10"/>
  <c r="BD692" i="10"/>
  <c r="BD693" i="10"/>
  <c r="BD694" i="10"/>
  <c r="BD695" i="10"/>
  <c r="BD696" i="10"/>
  <c r="BD697" i="10"/>
  <c r="BD698" i="10"/>
  <c r="BD699" i="10"/>
  <c r="BD700" i="10"/>
  <c r="BD701" i="10"/>
  <c r="BD702" i="10"/>
  <c r="BD703" i="10"/>
  <c r="BD704" i="10"/>
  <c r="BD705" i="10"/>
  <c r="BD706" i="10"/>
  <c r="BD707" i="10"/>
  <c r="BD708" i="10"/>
  <c r="BD709" i="10"/>
  <c r="BD710" i="10"/>
  <c r="BD711" i="10"/>
  <c r="BD712" i="10"/>
  <c r="BD713" i="10"/>
  <c r="BD714" i="10"/>
  <c r="BD715" i="10"/>
  <c r="BD716" i="10"/>
  <c r="BD717" i="10"/>
  <c r="BD718" i="10"/>
  <c r="BD719" i="10"/>
  <c r="BD720" i="10"/>
  <c r="BD721" i="10"/>
  <c r="BD722" i="10"/>
  <c r="BD723" i="10"/>
  <c r="BD724" i="10"/>
  <c r="BD725" i="10"/>
  <c r="AL725" i="10"/>
  <c r="AH725" i="10"/>
  <c r="AC725" i="10"/>
  <c r="P725" i="10"/>
  <c r="N725" i="10"/>
  <c r="K725" i="10"/>
  <c r="J725" i="10"/>
  <c r="AL724" i="10"/>
  <c r="AC724" i="10"/>
  <c r="N724" i="10"/>
  <c r="J724" i="10"/>
  <c r="AL723" i="10"/>
  <c r="AG723" i="10"/>
  <c r="AE723" i="10"/>
  <c r="AC723" i="10"/>
  <c r="N723" i="10"/>
  <c r="J723" i="10"/>
  <c r="AL722" i="10"/>
  <c r="AG722" i="10"/>
  <c r="AC722" i="10"/>
  <c r="N722" i="10"/>
  <c r="J722" i="10"/>
  <c r="AL721" i="10"/>
  <c r="AG721" i="10"/>
  <c r="AD721" i="10"/>
  <c r="AC721" i="10"/>
  <c r="N721" i="10"/>
  <c r="J721" i="10"/>
  <c r="AL720" i="10"/>
  <c r="AH720" i="10"/>
  <c r="AG720" i="10"/>
  <c r="AC720" i="10"/>
  <c r="N720" i="10"/>
  <c r="J720" i="10"/>
  <c r="BE719" i="10"/>
  <c r="AL719" i="10"/>
  <c r="O719" i="10"/>
  <c r="AH719" i="10"/>
  <c r="AG719" i="10"/>
  <c r="AD719" i="10"/>
  <c r="AD720" i="10"/>
  <c r="AC719" i="10"/>
  <c r="N719" i="10"/>
  <c r="J719" i="10"/>
  <c r="AL718" i="10"/>
  <c r="AH718" i="10"/>
  <c r="AC718" i="10"/>
  <c r="P718" i="10"/>
  <c r="N718" i="10"/>
  <c r="K718" i="10"/>
  <c r="J718" i="10"/>
  <c r="AL717" i="10"/>
  <c r="AC717" i="10"/>
  <c r="N717" i="10"/>
  <c r="J717" i="10"/>
  <c r="AL716" i="10"/>
  <c r="AG716" i="10"/>
  <c r="AE716" i="10"/>
  <c r="AC716" i="10"/>
  <c r="N716" i="10"/>
  <c r="J716" i="10"/>
  <c r="AL715" i="10"/>
  <c r="AG715" i="10"/>
  <c r="AC715" i="10"/>
  <c r="N715" i="10"/>
  <c r="J715" i="10"/>
  <c r="AL714" i="10"/>
  <c r="AG714" i="10"/>
  <c r="AD714" i="10"/>
  <c r="AC714" i="10"/>
  <c r="N714" i="10"/>
  <c r="J714" i="10"/>
  <c r="AL713" i="10"/>
  <c r="AH713" i="10"/>
  <c r="AG713" i="10"/>
  <c r="AC713" i="10"/>
  <c r="N713" i="10"/>
  <c r="J713" i="10"/>
  <c r="BE712" i="10"/>
  <c r="AL712" i="10"/>
  <c r="AG712" i="10"/>
  <c r="AD712" i="10"/>
  <c r="AD713" i="10"/>
  <c r="AC712" i="10"/>
  <c r="O712" i="10"/>
  <c r="AH712" i="10"/>
  <c r="N712" i="10"/>
  <c r="J712" i="10"/>
  <c r="AL711" i="10"/>
  <c r="AH711" i="10"/>
  <c r="AC711" i="10"/>
  <c r="P711" i="10"/>
  <c r="N711" i="10"/>
  <c r="K711" i="10"/>
  <c r="J711" i="10"/>
  <c r="AL710" i="10"/>
  <c r="AC710" i="10"/>
  <c r="N710" i="10"/>
  <c r="J710" i="10"/>
  <c r="AL709" i="10"/>
  <c r="AG709" i="10"/>
  <c r="AE709" i="10"/>
  <c r="AC709" i="10"/>
  <c r="N709" i="10"/>
  <c r="J709" i="10"/>
  <c r="AL708" i="10"/>
  <c r="AG708" i="10"/>
  <c r="AC708" i="10"/>
  <c r="N708" i="10"/>
  <c r="J708" i="10"/>
  <c r="AL707" i="10"/>
  <c r="AG707" i="10"/>
  <c r="AD707" i="10"/>
  <c r="AC707" i="10"/>
  <c r="N707" i="10"/>
  <c r="J707" i="10"/>
  <c r="AL706" i="10"/>
  <c r="AH706" i="10"/>
  <c r="AG706" i="10"/>
  <c r="AC706" i="10"/>
  <c r="N706" i="10"/>
  <c r="J706" i="10"/>
  <c r="BE705" i="10"/>
  <c r="AL705" i="10"/>
  <c r="AG705" i="10"/>
  <c r="AD705" i="10"/>
  <c r="AD706" i="10"/>
  <c r="AC705" i="10"/>
  <c r="O705" i="10"/>
  <c r="N705" i="10"/>
  <c r="J705" i="10"/>
  <c r="AL704" i="10"/>
  <c r="AH704" i="10"/>
  <c r="AC704" i="10"/>
  <c r="P704" i="10"/>
  <c r="N704" i="10"/>
  <c r="K704" i="10"/>
  <c r="J704" i="10"/>
  <c r="AL703" i="10"/>
  <c r="AC703" i="10"/>
  <c r="N703" i="10"/>
  <c r="J703" i="10"/>
  <c r="AL702" i="10"/>
  <c r="AG702" i="10"/>
  <c r="AE702" i="10"/>
  <c r="AC702" i="10"/>
  <c r="N702" i="10"/>
  <c r="J702" i="10"/>
  <c r="AL701" i="10"/>
  <c r="AG701" i="10"/>
  <c r="AC701" i="10"/>
  <c r="N701" i="10"/>
  <c r="J701" i="10"/>
  <c r="AL700" i="10"/>
  <c r="AG700" i="10"/>
  <c r="AD700" i="10"/>
  <c r="AC700" i="10"/>
  <c r="N700" i="10"/>
  <c r="J700" i="10"/>
  <c r="AL699" i="10"/>
  <c r="AH699" i="10"/>
  <c r="AG699" i="10"/>
  <c r="AC699" i="10"/>
  <c r="N699" i="10"/>
  <c r="J699" i="10"/>
  <c r="BE698" i="10"/>
  <c r="AL698" i="10"/>
  <c r="AG698" i="10"/>
  <c r="AD698" i="10"/>
  <c r="AD699" i="10"/>
  <c r="AC698" i="10"/>
  <c r="O698" i="10"/>
  <c r="AH698" i="10"/>
  <c r="N698" i="10"/>
  <c r="J698" i="10"/>
  <c r="AL697" i="10"/>
  <c r="AH697" i="10"/>
  <c r="AC697" i="10"/>
  <c r="P697" i="10"/>
  <c r="N697" i="10"/>
  <c r="K697" i="10"/>
  <c r="J697" i="10"/>
  <c r="AL696" i="10"/>
  <c r="AC696" i="10"/>
  <c r="N696" i="10"/>
  <c r="J696" i="10"/>
  <c r="AL695" i="10"/>
  <c r="AG695" i="10"/>
  <c r="AE695" i="10"/>
  <c r="AC695" i="10"/>
  <c r="N695" i="10"/>
  <c r="J695" i="10"/>
  <c r="AL694" i="10"/>
  <c r="AG694" i="10"/>
  <c r="AC694" i="10"/>
  <c r="N694" i="10"/>
  <c r="J694" i="10"/>
  <c r="AL693" i="10"/>
  <c r="AG693" i="10"/>
  <c r="AD693" i="10"/>
  <c r="AC693" i="10"/>
  <c r="N693" i="10"/>
  <c r="J693" i="10"/>
  <c r="AL692" i="10"/>
  <c r="AH692" i="10"/>
  <c r="AG692" i="10"/>
  <c r="AC692" i="10"/>
  <c r="N692" i="10"/>
  <c r="J692" i="10"/>
  <c r="BE691" i="10"/>
  <c r="AL691" i="10"/>
  <c r="O691" i="10"/>
  <c r="AH691" i="10"/>
  <c r="AG691" i="10"/>
  <c r="AD691" i="10"/>
  <c r="AD692" i="10"/>
  <c r="AC691" i="10"/>
  <c r="N691" i="10"/>
  <c r="J691" i="10"/>
  <c r="AL690" i="10"/>
  <c r="AH690" i="10"/>
  <c r="AC690" i="10"/>
  <c r="P690" i="10"/>
  <c r="N690" i="10"/>
  <c r="K690" i="10"/>
  <c r="J690" i="10"/>
  <c r="AL689" i="10"/>
  <c r="AC689" i="10"/>
  <c r="N689" i="10"/>
  <c r="J689" i="10"/>
  <c r="AL688" i="10"/>
  <c r="AG688" i="10"/>
  <c r="AE688" i="10"/>
  <c r="AC688" i="10"/>
  <c r="N688" i="10"/>
  <c r="J688" i="10"/>
  <c r="AL687" i="10"/>
  <c r="AG687" i="10"/>
  <c r="AC687" i="10"/>
  <c r="N687" i="10"/>
  <c r="J687" i="10"/>
  <c r="AL686" i="10"/>
  <c r="AG686" i="10"/>
  <c r="AD686" i="10"/>
  <c r="AC686" i="10"/>
  <c r="N686" i="10"/>
  <c r="J686" i="10"/>
  <c r="AL685" i="10"/>
  <c r="AH685" i="10"/>
  <c r="AG685" i="10"/>
  <c r="AC685" i="10"/>
  <c r="N685" i="10"/>
  <c r="J685" i="10"/>
  <c r="BE684" i="10"/>
  <c r="AL684" i="10"/>
  <c r="AG684" i="10"/>
  <c r="AD684" i="10"/>
  <c r="AD685" i="10"/>
  <c r="AC684" i="10"/>
  <c r="O684" i="10"/>
  <c r="AH684" i="10"/>
  <c r="N684" i="10"/>
  <c r="J684" i="10"/>
  <c r="AL683" i="10"/>
  <c r="AH683" i="10"/>
  <c r="AC683" i="10"/>
  <c r="P683" i="10"/>
  <c r="N683" i="10"/>
  <c r="K683" i="10"/>
  <c r="J683" i="10"/>
  <c r="AL682" i="10"/>
  <c r="AC682" i="10"/>
  <c r="N682" i="10"/>
  <c r="J682" i="10"/>
  <c r="AL681" i="10"/>
  <c r="AG681" i="10"/>
  <c r="AE681" i="10"/>
  <c r="AC681" i="10"/>
  <c r="N681" i="10"/>
  <c r="J681" i="10"/>
  <c r="AL680" i="10"/>
  <c r="AG680" i="10"/>
  <c r="AC680" i="10"/>
  <c r="N680" i="10"/>
  <c r="J680" i="10"/>
  <c r="AL679" i="10"/>
  <c r="AG679" i="10"/>
  <c r="AD679" i="10"/>
  <c r="AC679" i="10"/>
  <c r="N679" i="10"/>
  <c r="J679" i="10"/>
  <c r="AL678" i="10"/>
  <c r="AH678" i="10"/>
  <c r="AG678" i="10"/>
  <c r="AC678" i="10"/>
  <c r="N678" i="10"/>
  <c r="J678" i="10"/>
  <c r="BE677" i="10"/>
  <c r="AL677" i="10"/>
  <c r="O677" i="10"/>
  <c r="AH677" i="10"/>
  <c r="AG677" i="10"/>
  <c r="AD677" i="10"/>
  <c r="AD678" i="10"/>
  <c r="AC677" i="10"/>
  <c r="N677" i="10"/>
  <c r="J677" i="10"/>
  <c r="AL676" i="10"/>
  <c r="AH676" i="10"/>
  <c r="AC676" i="10"/>
  <c r="P676" i="10"/>
  <c r="N676" i="10"/>
  <c r="K676" i="10"/>
  <c r="J676" i="10"/>
  <c r="AL675" i="10"/>
  <c r="AC675" i="10"/>
  <c r="N675" i="10"/>
  <c r="J675" i="10"/>
  <c r="AL674" i="10"/>
  <c r="AG674" i="10"/>
  <c r="AE674" i="10"/>
  <c r="AC674" i="10"/>
  <c r="N674" i="10"/>
  <c r="J674" i="10"/>
  <c r="AL673" i="10"/>
  <c r="AG673" i="10"/>
  <c r="AC673" i="10"/>
  <c r="N673" i="10"/>
  <c r="J673" i="10"/>
  <c r="AL672" i="10"/>
  <c r="AG672" i="10"/>
  <c r="AD672" i="10"/>
  <c r="AC672" i="10"/>
  <c r="N672" i="10"/>
  <c r="J672" i="10"/>
  <c r="AL671" i="10"/>
  <c r="AH671" i="10"/>
  <c r="AG671" i="10"/>
  <c r="AC671" i="10"/>
  <c r="N671" i="10"/>
  <c r="J671" i="10"/>
  <c r="BE670" i="10"/>
  <c r="AL670" i="10"/>
  <c r="AG670" i="10"/>
  <c r="AD670" i="10"/>
  <c r="AD671" i="10"/>
  <c r="AC670" i="10"/>
  <c r="O670" i="10"/>
  <c r="AH670" i="10"/>
  <c r="N670" i="10"/>
  <c r="J670" i="10"/>
  <c r="AL669" i="10"/>
  <c r="AH669" i="10"/>
  <c r="AC669" i="10"/>
  <c r="P669" i="10"/>
  <c r="N669" i="10"/>
  <c r="K669" i="10"/>
  <c r="J669" i="10"/>
  <c r="AL668" i="10"/>
  <c r="AC668" i="10"/>
  <c r="N668" i="10"/>
  <c r="J668" i="10"/>
  <c r="AL667" i="10"/>
  <c r="AG667" i="10"/>
  <c r="AE667" i="10"/>
  <c r="AC667" i="10"/>
  <c r="N667" i="10"/>
  <c r="J667" i="10"/>
  <c r="AL666" i="10"/>
  <c r="AG666" i="10"/>
  <c r="AC666" i="10"/>
  <c r="N666" i="10"/>
  <c r="J666" i="10"/>
  <c r="AL665" i="10"/>
  <c r="AG665" i="10"/>
  <c r="AD665" i="10"/>
  <c r="AC665" i="10"/>
  <c r="N665" i="10"/>
  <c r="J665" i="10"/>
  <c r="AL664" i="10"/>
  <c r="AH664" i="10"/>
  <c r="AG664" i="10"/>
  <c r="AC664" i="10"/>
  <c r="N664" i="10"/>
  <c r="J664" i="10"/>
  <c r="BE663" i="10"/>
  <c r="AL663" i="10"/>
  <c r="O663" i="10"/>
  <c r="AH663" i="10"/>
  <c r="AG663" i="10"/>
  <c r="AD663" i="10"/>
  <c r="AD664" i="10"/>
  <c r="AC663" i="10"/>
  <c r="N663" i="10"/>
  <c r="J663" i="10"/>
  <c r="AL662" i="10"/>
  <c r="AH662" i="10"/>
  <c r="AC662" i="10"/>
  <c r="P662" i="10"/>
  <c r="N662" i="10"/>
  <c r="K662" i="10"/>
  <c r="J662" i="10"/>
  <c r="AL661" i="10"/>
  <c r="AC661" i="10"/>
  <c r="N661" i="10"/>
  <c r="J661" i="10"/>
  <c r="AL660" i="10"/>
  <c r="AG660" i="10"/>
  <c r="AE660" i="10"/>
  <c r="AC660" i="10"/>
  <c r="N660" i="10"/>
  <c r="J660" i="10"/>
  <c r="AL659" i="10"/>
  <c r="AG659" i="10"/>
  <c r="AC659" i="10"/>
  <c r="N659" i="10"/>
  <c r="J659" i="10"/>
  <c r="AL658" i="10"/>
  <c r="AG658" i="10"/>
  <c r="AD658" i="10"/>
  <c r="AC658" i="10"/>
  <c r="N658" i="10"/>
  <c r="J658" i="10"/>
  <c r="AL657" i="10"/>
  <c r="AH657" i="10"/>
  <c r="AG657" i="10"/>
  <c r="AC657" i="10"/>
  <c r="N657" i="10"/>
  <c r="J657" i="10"/>
  <c r="BE656" i="10"/>
  <c r="AL656" i="10"/>
  <c r="AG656" i="10"/>
  <c r="AD656" i="10"/>
  <c r="AD657" i="10"/>
  <c r="AC656" i="10"/>
  <c r="O656" i="10"/>
  <c r="AH656" i="10"/>
  <c r="N656" i="10"/>
  <c r="J656" i="10"/>
  <c r="AL655" i="10"/>
  <c r="AH655" i="10"/>
  <c r="AC655" i="10"/>
  <c r="P655" i="10"/>
  <c r="N655" i="10"/>
  <c r="K655" i="10"/>
  <c r="J655" i="10"/>
  <c r="AL654" i="10"/>
  <c r="AC654" i="10"/>
  <c r="N654" i="10"/>
  <c r="J654" i="10"/>
  <c r="AL653" i="10"/>
  <c r="AG653" i="10"/>
  <c r="AE653" i="10"/>
  <c r="AC653" i="10"/>
  <c r="N653" i="10"/>
  <c r="J653" i="10"/>
  <c r="AL652" i="10"/>
  <c r="AG652" i="10"/>
  <c r="AC652" i="10"/>
  <c r="N652" i="10"/>
  <c r="J652" i="10"/>
  <c r="AL651" i="10"/>
  <c r="AG651" i="10"/>
  <c r="AD651" i="10"/>
  <c r="AC651" i="10"/>
  <c r="N651" i="10"/>
  <c r="J651" i="10"/>
  <c r="AL650" i="10"/>
  <c r="AH650" i="10"/>
  <c r="AG650" i="10"/>
  <c r="AC650" i="10"/>
  <c r="N650" i="10"/>
  <c r="J650" i="10"/>
  <c r="BE649" i="10"/>
  <c r="AL649" i="10"/>
  <c r="O649" i="10"/>
  <c r="AH649" i="10"/>
  <c r="AG649" i="10"/>
  <c r="AD649" i="10"/>
  <c r="AD650" i="10"/>
  <c r="AC649" i="10"/>
  <c r="N649" i="10"/>
  <c r="J649" i="10"/>
  <c r="AL648" i="10"/>
  <c r="AH648" i="10"/>
  <c r="AC648" i="10"/>
  <c r="P648" i="10"/>
  <c r="N648" i="10"/>
  <c r="K648" i="10"/>
  <c r="J648" i="10"/>
  <c r="AL647" i="10"/>
  <c r="AC647" i="10"/>
  <c r="N647" i="10"/>
  <c r="J647" i="10"/>
  <c r="AL646" i="10"/>
  <c r="AG646" i="10"/>
  <c r="AE646" i="10"/>
  <c r="AC646" i="10"/>
  <c r="N646" i="10"/>
  <c r="J646" i="10"/>
  <c r="AL645" i="10"/>
  <c r="AG645" i="10"/>
  <c r="AC645" i="10"/>
  <c r="N645" i="10"/>
  <c r="J645" i="10"/>
  <c r="AL644" i="10"/>
  <c r="AG644" i="10"/>
  <c r="AD644" i="10"/>
  <c r="AC644" i="10"/>
  <c r="N644" i="10"/>
  <c r="J644" i="10"/>
  <c r="AL643" i="10"/>
  <c r="AH643" i="10"/>
  <c r="AG643" i="10"/>
  <c r="AC643" i="10"/>
  <c r="N643" i="10"/>
  <c r="J643" i="10"/>
  <c r="BE642" i="10"/>
  <c r="AL642" i="10"/>
  <c r="AG642" i="10"/>
  <c r="AD642" i="10"/>
  <c r="AD643" i="10"/>
  <c r="AC642" i="10"/>
  <c r="O642" i="10"/>
  <c r="AH642" i="10"/>
  <c r="N642" i="10"/>
  <c r="J642" i="10"/>
  <c r="AL641" i="10"/>
  <c r="AH641" i="10"/>
  <c r="AC641" i="10"/>
  <c r="P641" i="10"/>
  <c r="N641" i="10"/>
  <c r="K641" i="10"/>
  <c r="J641" i="10"/>
  <c r="AL640" i="10"/>
  <c r="AC640" i="10"/>
  <c r="N640" i="10"/>
  <c r="J640" i="10"/>
  <c r="AL639" i="10"/>
  <c r="AG639" i="10"/>
  <c r="AE639" i="10"/>
  <c r="AC639" i="10"/>
  <c r="N639" i="10"/>
  <c r="J639" i="10"/>
  <c r="AL638" i="10"/>
  <c r="AG638" i="10"/>
  <c r="AC638" i="10"/>
  <c r="N638" i="10"/>
  <c r="J638" i="10"/>
  <c r="AL637" i="10"/>
  <c r="AG637" i="10"/>
  <c r="AD637" i="10"/>
  <c r="AC637" i="10"/>
  <c r="N637" i="10"/>
  <c r="J637" i="10"/>
  <c r="AL636" i="10"/>
  <c r="AH636" i="10"/>
  <c r="AG636" i="10"/>
  <c r="AC636" i="10"/>
  <c r="N636" i="10"/>
  <c r="J636" i="10"/>
  <c r="BE635" i="10"/>
  <c r="AL635" i="10"/>
  <c r="O635" i="10"/>
  <c r="AH635" i="10"/>
  <c r="AG635" i="10"/>
  <c r="AD635" i="10"/>
  <c r="AD636" i="10"/>
  <c r="AC635" i="10"/>
  <c r="N635" i="10"/>
  <c r="J635" i="10"/>
  <c r="AL634" i="10"/>
  <c r="AH634" i="10"/>
  <c r="AC634" i="10"/>
  <c r="P634" i="10"/>
  <c r="N634" i="10"/>
  <c r="K634" i="10"/>
  <c r="J634" i="10"/>
  <c r="AL633" i="10"/>
  <c r="AC633" i="10"/>
  <c r="N633" i="10"/>
  <c r="J633" i="10"/>
  <c r="AL632" i="10"/>
  <c r="AG632" i="10"/>
  <c r="AE632" i="10"/>
  <c r="AC632" i="10"/>
  <c r="N632" i="10"/>
  <c r="J632" i="10"/>
  <c r="AL631" i="10"/>
  <c r="AG631" i="10"/>
  <c r="AC631" i="10"/>
  <c r="N631" i="10"/>
  <c r="J631" i="10"/>
  <c r="AL630" i="10"/>
  <c r="AG630" i="10"/>
  <c r="AD630" i="10"/>
  <c r="AC630" i="10"/>
  <c r="N630" i="10"/>
  <c r="J630" i="10"/>
  <c r="AL629" i="10"/>
  <c r="AH629" i="10"/>
  <c r="AG629" i="10"/>
  <c r="AC629" i="10"/>
  <c r="N629" i="10"/>
  <c r="J629" i="10"/>
  <c r="BE628" i="10"/>
  <c r="AL628" i="10"/>
  <c r="AG628" i="10"/>
  <c r="AD628" i="10"/>
  <c r="AD629" i="10"/>
  <c r="AC628" i="10"/>
  <c r="O628" i="10"/>
  <c r="AH628" i="10"/>
  <c r="N628" i="10"/>
  <c r="J628" i="10"/>
  <c r="AL627" i="10"/>
  <c r="AH627" i="10"/>
  <c r="AC627" i="10"/>
  <c r="P627" i="10"/>
  <c r="N627" i="10"/>
  <c r="K627" i="10"/>
  <c r="J627" i="10"/>
  <c r="AL626" i="10"/>
  <c r="AC626" i="10"/>
  <c r="N626" i="10"/>
  <c r="J626" i="10"/>
  <c r="AL625" i="10"/>
  <c r="AG625" i="10"/>
  <c r="AE625" i="10"/>
  <c r="AC625" i="10"/>
  <c r="N625" i="10"/>
  <c r="J625" i="10"/>
  <c r="AL624" i="10"/>
  <c r="AG624" i="10"/>
  <c r="AC624" i="10"/>
  <c r="N624" i="10"/>
  <c r="J624" i="10"/>
  <c r="AL623" i="10"/>
  <c r="AG623" i="10"/>
  <c r="AD623" i="10"/>
  <c r="AC623" i="10"/>
  <c r="N623" i="10"/>
  <c r="J623" i="10"/>
  <c r="AL622" i="10"/>
  <c r="AH622" i="10"/>
  <c r="AG622" i="10"/>
  <c r="AC622" i="10"/>
  <c r="N622" i="10"/>
  <c r="J622" i="10"/>
  <c r="BE621" i="10"/>
  <c r="AL621" i="10"/>
  <c r="O621" i="10"/>
  <c r="AH621" i="10"/>
  <c r="AG621" i="10"/>
  <c r="AD621" i="10"/>
  <c r="AD622" i="10"/>
  <c r="AC621" i="10"/>
  <c r="N621" i="10"/>
  <c r="J621" i="10"/>
  <c r="AL620" i="10"/>
  <c r="AH620" i="10"/>
  <c r="AC620" i="10"/>
  <c r="P620" i="10"/>
  <c r="N620" i="10"/>
  <c r="K620" i="10"/>
  <c r="J620" i="10"/>
  <c r="AL619" i="10"/>
  <c r="AC619" i="10"/>
  <c r="N619" i="10"/>
  <c r="J619" i="10"/>
  <c r="AL618" i="10"/>
  <c r="AG618" i="10"/>
  <c r="AE618" i="10"/>
  <c r="AC618" i="10"/>
  <c r="N618" i="10"/>
  <c r="J618" i="10"/>
  <c r="AL617" i="10"/>
  <c r="AG617" i="10"/>
  <c r="AC617" i="10"/>
  <c r="N617" i="10"/>
  <c r="J617" i="10"/>
  <c r="AL616" i="10"/>
  <c r="AG616" i="10"/>
  <c r="AD616" i="10"/>
  <c r="AC616" i="10"/>
  <c r="N616" i="10"/>
  <c r="J616" i="10"/>
  <c r="AL615" i="10"/>
  <c r="AH615" i="10"/>
  <c r="AG615" i="10"/>
  <c r="AC615" i="10"/>
  <c r="N615" i="10"/>
  <c r="J615" i="10"/>
  <c r="BE614" i="10"/>
  <c r="AL614" i="10"/>
  <c r="AG614" i="10"/>
  <c r="AD614" i="10"/>
  <c r="AD615" i="10"/>
  <c r="AC614" i="10"/>
  <c r="O614" i="10"/>
  <c r="AH614" i="10"/>
  <c r="N614" i="10"/>
  <c r="J614" i="10"/>
  <c r="AL613" i="10"/>
  <c r="AH613" i="10"/>
  <c r="AC613" i="10"/>
  <c r="P613" i="10"/>
  <c r="N613" i="10"/>
  <c r="K613" i="10"/>
  <c r="J613" i="10"/>
  <c r="AL612" i="10"/>
  <c r="AC612" i="10"/>
  <c r="N612" i="10"/>
  <c r="J612" i="10"/>
  <c r="AL611" i="10"/>
  <c r="AG611" i="10"/>
  <c r="AE611" i="10"/>
  <c r="AC611" i="10"/>
  <c r="N611" i="10"/>
  <c r="J611" i="10"/>
  <c r="AL610" i="10"/>
  <c r="AG610" i="10"/>
  <c r="AC610" i="10"/>
  <c r="N610" i="10"/>
  <c r="J610" i="10"/>
  <c r="AL609" i="10"/>
  <c r="AG609" i="10"/>
  <c r="AD609" i="10"/>
  <c r="AC609" i="10"/>
  <c r="N609" i="10"/>
  <c r="J609" i="10"/>
  <c r="AL608" i="10"/>
  <c r="AH608" i="10"/>
  <c r="AG608" i="10"/>
  <c r="AC608" i="10"/>
  <c r="N608" i="10"/>
  <c r="J608" i="10"/>
  <c r="BE607" i="10"/>
  <c r="AL607" i="10"/>
  <c r="O607" i="10"/>
  <c r="AH607" i="10"/>
  <c r="AG607" i="10"/>
  <c r="AD607" i="10"/>
  <c r="AD608" i="10"/>
  <c r="AC607" i="10"/>
  <c r="N607" i="10"/>
  <c r="J607" i="10"/>
  <c r="AL606" i="10"/>
  <c r="AH606" i="10"/>
  <c r="AC606" i="10"/>
  <c r="P606" i="10"/>
  <c r="N606" i="10"/>
  <c r="K606" i="10"/>
  <c r="J606" i="10"/>
  <c r="AL605" i="10"/>
  <c r="AC605" i="10"/>
  <c r="N605" i="10"/>
  <c r="J605" i="10"/>
  <c r="AL604" i="10"/>
  <c r="AG604" i="10"/>
  <c r="AE604" i="10"/>
  <c r="AC604" i="10"/>
  <c r="N604" i="10"/>
  <c r="J604" i="10"/>
  <c r="AL603" i="10"/>
  <c r="AG603" i="10"/>
  <c r="AC603" i="10"/>
  <c r="N603" i="10"/>
  <c r="J603" i="10"/>
  <c r="AL602" i="10"/>
  <c r="AG602" i="10"/>
  <c r="AD602" i="10"/>
  <c r="AC602" i="10"/>
  <c r="N602" i="10"/>
  <c r="J602" i="10"/>
  <c r="AL601" i="10"/>
  <c r="AH601" i="10"/>
  <c r="AG601" i="10"/>
  <c r="AC601" i="10"/>
  <c r="N601" i="10"/>
  <c r="J601" i="10"/>
  <c r="BE600" i="10"/>
  <c r="AL600" i="10"/>
  <c r="AG600" i="10"/>
  <c r="AD600" i="10"/>
  <c r="AD601" i="10"/>
  <c r="AC600" i="10"/>
  <c r="O600" i="10"/>
  <c r="AH600" i="10"/>
  <c r="N600" i="10"/>
  <c r="J600" i="10"/>
  <c r="AL599" i="10"/>
  <c r="AH599" i="10"/>
  <c r="AC599" i="10"/>
  <c r="P599" i="10"/>
  <c r="N599" i="10"/>
  <c r="K599" i="10"/>
  <c r="J599" i="10"/>
  <c r="AL598" i="10"/>
  <c r="AC598" i="10"/>
  <c r="N598" i="10"/>
  <c r="J598" i="10"/>
  <c r="AL597" i="10"/>
  <c r="AG597" i="10"/>
  <c r="AE597" i="10"/>
  <c r="AC597" i="10"/>
  <c r="N597" i="10"/>
  <c r="J597" i="10"/>
  <c r="AL596" i="10"/>
  <c r="AG596" i="10"/>
  <c r="AC596" i="10"/>
  <c r="N596" i="10"/>
  <c r="J596" i="10"/>
  <c r="AL595" i="10"/>
  <c r="AG595" i="10"/>
  <c r="AD595" i="10"/>
  <c r="AC595" i="10"/>
  <c r="N595" i="10"/>
  <c r="J595" i="10"/>
  <c r="AL594" i="10"/>
  <c r="AH594" i="10"/>
  <c r="AG594" i="10"/>
  <c r="AC594" i="10"/>
  <c r="N594" i="10"/>
  <c r="J594" i="10"/>
  <c r="BE593" i="10"/>
  <c r="AL593" i="10"/>
  <c r="AG593" i="10"/>
  <c r="AD593" i="10"/>
  <c r="AD594" i="10"/>
  <c r="AC593" i="10"/>
  <c r="O593" i="10"/>
  <c r="N593" i="10"/>
  <c r="J593" i="10"/>
  <c r="AL592" i="10"/>
  <c r="AH592" i="10"/>
  <c r="AC592" i="10"/>
  <c r="P592" i="10"/>
  <c r="N592" i="10"/>
  <c r="K592" i="10"/>
  <c r="J592" i="10"/>
  <c r="AL591" i="10"/>
  <c r="AC591" i="10"/>
  <c r="N591" i="10"/>
  <c r="J591" i="10"/>
  <c r="AL590" i="10"/>
  <c r="AG590" i="10"/>
  <c r="AE590" i="10"/>
  <c r="AC590" i="10"/>
  <c r="N590" i="10"/>
  <c r="J590" i="10"/>
  <c r="AL589" i="10"/>
  <c r="AG589" i="10"/>
  <c r="AC589" i="10"/>
  <c r="N589" i="10"/>
  <c r="J589" i="10"/>
  <c r="AL588" i="10"/>
  <c r="AG588" i="10"/>
  <c r="AD588" i="10"/>
  <c r="AC588" i="10"/>
  <c r="N588" i="10"/>
  <c r="J588" i="10"/>
  <c r="AL587" i="10"/>
  <c r="AH587" i="10"/>
  <c r="AG587" i="10"/>
  <c r="AC587" i="10"/>
  <c r="N587" i="10"/>
  <c r="J587" i="10"/>
  <c r="BE586" i="10"/>
  <c r="AL586" i="10"/>
  <c r="AG586" i="10"/>
  <c r="AD586" i="10"/>
  <c r="AD587" i="10"/>
  <c r="AC586" i="10"/>
  <c r="O586" i="10"/>
  <c r="AH586" i="10"/>
  <c r="N586" i="10"/>
  <c r="J586" i="10"/>
  <c r="AL585" i="10"/>
  <c r="AH585" i="10"/>
  <c r="AC585" i="10"/>
  <c r="P585" i="10"/>
  <c r="N585" i="10"/>
  <c r="K585" i="10"/>
  <c r="J585" i="10"/>
  <c r="AL584" i="10"/>
  <c r="AC584" i="10"/>
  <c r="N584" i="10"/>
  <c r="J584" i="10"/>
  <c r="AL583" i="10"/>
  <c r="AG583" i="10"/>
  <c r="AE583" i="10"/>
  <c r="AC583" i="10"/>
  <c r="N583" i="10"/>
  <c r="J583" i="10"/>
  <c r="AL582" i="10"/>
  <c r="AG582" i="10"/>
  <c r="AC582" i="10"/>
  <c r="N582" i="10"/>
  <c r="J582" i="10"/>
  <c r="AL581" i="10"/>
  <c r="AG581" i="10"/>
  <c r="AD581" i="10"/>
  <c r="AC581" i="10"/>
  <c r="N581" i="10"/>
  <c r="J581" i="10"/>
  <c r="AL580" i="10"/>
  <c r="AH580" i="10"/>
  <c r="AG580" i="10"/>
  <c r="AC580" i="10"/>
  <c r="N580" i="10"/>
  <c r="J580" i="10"/>
  <c r="BE579" i="10"/>
  <c r="AL579" i="10"/>
  <c r="AG579" i="10"/>
  <c r="AD579" i="10"/>
  <c r="AD580" i="10"/>
  <c r="AC579" i="10"/>
  <c r="O579" i="10"/>
  <c r="AH579" i="10"/>
  <c r="N579" i="10"/>
  <c r="J579" i="10"/>
  <c r="AL578" i="10"/>
  <c r="AH578" i="10"/>
  <c r="AC578" i="10"/>
  <c r="P578" i="10"/>
  <c r="N578" i="10"/>
  <c r="K578" i="10"/>
  <c r="J578" i="10"/>
  <c r="AL577" i="10"/>
  <c r="AC577" i="10"/>
  <c r="N577" i="10"/>
  <c r="J577" i="10"/>
  <c r="AL576" i="10"/>
  <c r="AG576" i="10"/>
  <c r="AE576" i="10"/>
  <c r="AC576" i="10"/>
  <c r="N576" i="10"/>
  <c r="J576" i="10"/>
  <c r="AL575" i="10"/>
  <c r="AG575" i="10"/>
  <c r="AC575" i="10"/>
  <c r="N575" i="10"/>
  <c r="J575" i="10"/>
  <c r="AL574" i="10"/>
  <c r="AG574" i="10"/>
  <c r="AD574" i="10"/>
  <c r="AC574" i="10"/>
  <c r="N574" i="10"/>
  <c r="J574" i="10"/>
  <c r="AL573" i="10"/>
  <c r="AH573" i="10"/>
  <c r="AG573" i="10"/>
  <c r="AC573" i="10"/>
  <c r="N573" i="10"/>
  <c r="J573" i="10"/>
  <c r="BE572" i="10"/>
  <c r="AL572" i="10"/>
  <c r="O572" i="10"/>
  <c r="AH572" i="10"/>
  <c r="AG572" i="10"/>
  <c r="AD572" i="10"/>
  <c r="AD573" i="10"/>
  <c r="AC572" i="10"/>
  <c r="N572" i="10"/>
  <c r="J572" i="10"/>
  <c r="AL571" i="10"/>
  <c r="AH571" i="10"/>
  <c r="AC571" i="10"/>
  <c r="P571" i="10"/>
  <c r="N571" i="10"/>
  <c r="K571" i="10"/>
  <c r="J571" i="10"/>
  <c r="AL570" i="10"/>
  <c r="AC570" i="10"/>
  <c r="N570" i="10"/>
  <c r="J570" i="10"/>
  <c r="AL569" i="10"/>
  <c r="AG569" i="10"/>
  <c r="AE569" i="10"/>
  <c r="AC569" i="10"/>
  <c r="N569" i="10"/>
  <c r="J569" i="10"/>
  <c r="AL568" i="10"/>
  <c r="AG568" i="10"/>
  <c r="AC568" i="10"/>
  <c r="N568" i="10"/>
  <c r="J568" i="10"/>
  <c r="AL567" i="10"/>
  <c r="AG567" i="10"/>
  <c r="AD567" i="10"/>
  <c r="AC567" i="10"/>
  <c r="N567" i="10"/>
  <c r="J567" i="10"/>
  <c r="AL566" i="10"/>
  <c r="AH566" i="10"/>
  <c r="AG566" i="10"/>
  <c r="AC566" i="10"/>
  <c r="N566" i="10"/>
  <c r="J566" i="10"/>
  <c r="BE565" i="10"/>
  <c r="AL565" i="10"/>
  <c r="AG565" i="10"/>
  <c r="AD565" i="10"/>
  <c r="AD566" i="10"/>
  <c r="AC565" i="10"/>
  <c r="O565" i="10"/>
  <c r="N565" i="10"/>
  <c r="J565" i="10"/>
  <c r="AL564" i="10"/>
  <c r="AH564" i="10"/>
  <c r="AC564" i="10"/>
  <c r="P564" i="10"/>
  <c r="N564" i="10"/>
  <c r="K564" i="10"/>
  <c r="J564" i="10"/>
  <c r="AL563" i="10"/>
  <c r="AC563" i="10"/>
  <c r="N563" i="10"/>
  <c r="J563" i="10"/>
  <c r="AL562" i="10"/>
  <c r="AG562" i="10"/>
  <c r="AE562" i="10"/>
  <c r="AC562" i="10"/>
  <c r="N562" i="10"/>
  <c r="J562" i="10"/>
  <c r="AL561" i="10"/>
  <c r="AG561" i="10"/>
  <c r="AC561" i="10"/>
  <c r="N561" i="10"/>
  <c r="J561" i="10"/>
  <c r="AL560" i="10"/>
  <c r="AG560" i="10"/>
  <c r="AD560" i="10"/>
  <c r="AC560" i="10"/>
  <c r="N560" i="10"/>
  <c r="J560" i="10"/>
  <c r="AL559" i="10"/>
  <c r="AH559" i="10"/>
  <c r="AG559" i="10"/>
  <c r="AC559" i="10"/>
  <c r="N559" i="10"/>
  <c r="J559" i="10"/>
  <c r="BE558" i="10"/>
  <c r="AL558" i="10"/>
  <c r="O558" i="10"/>
  <c r="AH558" i="10"/>
  <c r="AG558" i="10"/>
  <c r="AD558" i="10"/>
  <c r="AD559" i="10"/>
  <c r="AC558" i="10"/>
  <c r="N558" i="10"/>
  <c r="J558" i="10"/>
  <c r="AL557" i="10"/>
  <c r="AH557" i="10"/>
  <c r="AC557" i="10"/>
  <c r="P557" i="10"/>
  <c r="N557" i="10"/>
  <c r="K557" i="10"/>
  <c r="J557" i="10"/>
  <c r="AL556" i="10"/>
  <c r="AC556" i="10"/>
  <c r="N556" i="10"/>
  <c r="J556" i="10"/>
  <c r="AL555" i="10"/>
  <c r="AG555" i="10"/>
  <c r="AE555" i="10"/>
  <c r="AC555" i="10"/>
  <c r="N555" i="10"/>
  <c r="J555" i="10"/>
  <c r="AL554" i="10"/>
  <c r="AG554" i="10"/>
  <c r="AC554" i="10"/>
  <c r="N554" i="10"/>
  <c r="J554" i="10"/>
  <c r="AL553" i="10"/>
  <c r="AG553" i="10"/>
  <c r="AD553" i="10"/>
  <c r="AC553" i="10"/>
  <c r="N553" i="10"/>
  <c r="J553" i="10"/>
  <c r="AL552" i="10"/>
  <c r="AH552" i="10"/>
  <c r="AG552" i="10"/>
  <c r="AC552" i="10"/>
  <c r="N552" i="10"/>
  <c r="J552" i="10"/>
  <c r="BE551" i="10"/>
  <c r="AL551" i="10"/>
  <c r="AG551" i="10"/>
  <c r="AD551" i="10"/>
  <c r="AD552" i="10"/>
  <c r="AC551" i="10"/>
  <c r="O551" i="10"/>
  <c r="AH551" i="10"/>
  <c r="N551" i="10"/>
  <c r="J551" i="10"/>
  <c r="AL550" i="10"/>
  <c r="AH550" i="10"/>
  <c r="AC550" i="10"/>
  <c r="P550" i="10"/>
  <c r="N550" i="10"/>
  <c r="K550" i="10"/>
  <c r="J550" i="10"/>
  <c r="AL549" i="10"/>
  <c r="AC549" i="10"/>
  <c r="N549" i="10"/>
  <c r="J549" i="10"/>
  <c r="AL548" i="10"/>
  <c r="AG548" i="10"/>
  <c r="AE548" i="10"/>
  <c r="AC548" i="10"/>
  <c r="N548" i="10"/>
  <c r="J548" i="10"/>
  <c r="AL547" i="10"/>
  <c r="AG547" i="10"/>
  <c r="AC547" i="10"/>
  <c r="N547" i="10"/>
  <c r="J547" i="10"/>
  <c r="AL546" i="10"/>
  <c r="AG546" i="10"/>
  <c r="AD546" i="10"/>
  <c r="AC546" i="10"/>
  <c r="N546" i="10"/>
  <c r="J546" i="10"/>
  <c r="AL545" i="10"/>
  <c r="AH545" i="10"/>
  <c r="AG545" i="10"/>
  <c r="AC545" i="10"/>
  <c r="N545" i="10"/>
  <c r="J545" i="10"/>
  <c r="BE544" i="10"/>
  <c r="AL544" i="10"/>
  <c r="O544" i="10"/>
  <c r="AH544" i="10"/>
  <c r="AG544" i="10"/>
  <c r="AD544" i="10"/>
  <c r="AD545" i="10"/>
  <c r="AC544" i="10"/>
  <c r="N544" i="10"/>
  <c r="J544" i="10"/>
  <c r="AL543" i="10"/>
  <c r="AH543" i="10"/>
  <c r="AC543" i="10"/>
  <c r="P543" i="10"/>
  <c r="N543" i="10"/>
  <c r="K543" i="10"/>
  <c r="J543" i="10"/>
  <c r="AL542" i="10"/>
  <c r="AC542" i="10"/>
  <c r="N542" i="10"/>
  <c r="J542" i="10"/>
  <c r="AL541" i="10"/>
  <c r="AG541" i="10"/>
  <c r="AE541" i="10"/>
  <c r="AC541" i="10"/>
  <c r="N541" i="10"/>
  <c r="J541" i="10"/>
  <c r="AL540" i="10"/>
  <c r="AG540" i="10"/>
  <c r="AC540" i="10"/>
  <c r="N540" i="10"/>
  <c r="J540" i="10"/>
  <c r="AL539" i="10"/>
  <c r="AG539" i="10"/>
  <c r="AD539" i="10"/>
  <c r="AC539" i="10"/>
  <c r="N539" i="10"/>
  <c r="J539" i="10"/>
  <c r="AL538" i="10"/>
  <c r="AH538" i="10"/>
  <c r="AG538" i="10"/>
  <c r="AC538" i="10"/>
  <c r="N538" i="10"/>
  <c r="J538" i="10"/>
  <c r="BE537" i="10"/>
  <c r="AL537" i="10"/>
  <c r="AG537" i="10"/>
  <c r="AD537" i="10"/>
  <c r="AD538" i="10"/>
  <c r="AC537" i="10"/>
  <c r="O537" i="10"/>
  <c r="AH537" i="10"/>
  <c r="N537" i="10"/>
  <c r="J537" i="10"/>
  <c r="AL536" i="10"/>
  <c r="AH536" i="10"/>
  <c r="AC536" i="10"/>
  <c r="P536" i="10"/>
  <c r="N536" i="10"/>
  <c r="K536" i="10"/>
  <c r="J536" i="10"/>
  <c r="AL535" i="10"/>
  <c r="AC535" i="10"/>
  <c r="N535" i="10"/>
  <c r="J535" i="10"/>
  <c r="AL534" i="10"/>
  <c r="AG534" i="10"/>
  <c r="AE534" i="10"/>
  <c r="AC534" i="10"/>
  <c r="N534" i="10"/>
  <c r="J534" i="10"/>
  <c r="AL533" i="10"/>
  <c r="AG533" i="10"/>
  <c r="AC533" i="10"/>
  <c r="N533" i="10"/>
  <c r="J533" i="10"/>
  <c r="AL532" i="10"/>
  <c r="AG532" i="10"/>
  <c r="AD532" i="10"/>
  <c r="AC532" i="10"/>
  <c r="N532" i="10"/>
  <c r="J532" i="10"/>
  <c r="AL531" i="10"/>
  <c r="AH531" i="10"/>
  <c r="AG531" i="10"/>
  <c r="AC531" i="10"/>
  <c r="N531" i="10"/>
  <c r="J531" i="10"/>
  <c r="BE530" i="10"/>
  <c r="AL530" i="10"/>
  <c r="O530" i="10"/>
  <c r="AH530" i="10"/>
  <c r="AG530" i="10"/>
  <c r="AD530" i="10"/>
  <c r="AD531" i="10"/>
  <c r="AC530" i="10"/>
  <c r="N530" i="10"/>
  <c r="J530" i="10"/>
  <c r="AL529" i="10"/>
  <c r="AH529" i="10"/>
  <c r="AC529" i="10"/>
  <c r="P529" i="10"/>
  <c r="N529" i="10"/>
  <c r="K529" i="10"/>
  <c r="J529" i="10"/>
  <c r="AL528" i="10"/>
  <c r="AC528" i="10"/>
  <c r="N528" i="10"/>
  <c r="J528" i="10"/>
  <c r="AL527" i="10"/>
  <c r="AG527" i="10"/>
  <c r="AE527" i="10"/>
  <c r="AC527" i="10"/>
  <c r="N527" i="10"/>
  <c r="J527" i="10"/>
  <c r="AL526" i="10"/>
  <c r="AG526" i="10"/>
  <c r="AC526" i="10"/>
  <c r="N526" i="10"/>
  <c r="J526" i="10"/>
  <c r="AL525" i="10"/>
  <c r="AG525" i="10"/>
  <c r="AD525" i="10"/>
  <c r="AC525" i="10"/>
  <c r="N525" i="10"/>
  <c r="J525" i="10"/>
  <c r="AL524" i="10"/>
  <c r="AH524" i="10"/>
  <c r="AG524" i="10"/>
  <c r="AC524" i="10"/>
  <c r="N524" i="10"/>
  <c r="J524" i="10"/>
  <c r="BE523" i="10"/>
  <c r="AL523" i="10"/>
  <c r="AG523" i="10"/>
  <c r="AD523" i="10"/>
  <c r="AD524" i="10"/>
  <c r="AC523" i="10"/>
  <c r="O523" i="10"/>
  <c r="AH523" i="10"/>
  <c r="N523" i="10"/>
  <c r="J523" i="10"/>
  <c r="AL522" i="10"/>
  <c r="AH522" i="10"/>
  <c r="AC522" i="10"/>
  <c r="P522" i="10"/>
  <c r="N522" i="10"/>
  <c r="K522" i="10"/>
  <c r="J522" i="10"/>
  <c r="AL521" i="10"/>
  <c r="AC521" i="10"/>
  <c r="N521" i="10"/>
  <c r="J521" i="10"/>
  <c r="AL520" i="10"/>
  <c r="AG520" i="10"/>
  <c r="AE520" i="10"/>
  <c r="AC520" i="10"/>
  <c r="N520" i="10"/>
  <c r="J520" i="10"/>
  <c r="AL519" i="10"/>
  <c r="AG519" i="10"/>
  <c r="AC519" i="10"/>
  <c r="N519" i="10"/>
  <c r="J519" i="10"/>
  <c r="AL518" i="10"/>
  <c r="AG518" i="10"/>
  <c r="AD518" i="10"/>
  <c r="AC518" i="10"/>
  <c r="N518" i="10"/>
  <c r="J518" i="10"/>
  <c r="AL517" i="10"/>
  <c r="AH517" i="10"/>
  <c r="AG517" i="10"/>
  <c r="AC517" i="10"/>
  <c r="N517" i="10"/>
  <c r="J517" i="10"/>
  <c r="BE516" i="10"/>
  <c r="AL516" i="10"/>
  <c r="O516" i="10"/>
  <c r="AH516" i="10"/>
  <c r="AG516" i="10"/>
  <c r="AD516" i="10"/>
  <c r="AD517" i="10"/>
  <c r="AC516" i="10"/>
  <c r="N516" i="10"/>
  <c r="J516" i="10"/>
  <c r="AL515" i="10"/>
  <c r="AH515" i="10"/>
  <c r="AC515" i="10"/>
  <c r="P515" i="10"/>
  <c r="N515" i="10"/>
  <c r="K515" i="10"/>
  <c r="J515" i="10"/>
  <c r="AL514" i="10"/>
  <c r="AC514" i="10"/>
  <c r="N514" i="10"/>
  <c r="J514" i="10"/>
  <c r="AL513" i="10"/>
  <c r="AG513" i="10"/>
  <c r="AE513" i="10"/>
  <c r="AC513" i="10"/>
  <c r="N513" i="10"/>
  <c r="J513" i="10"/>
  <c r="AL512" i="10"/>
  <c r="AG512" i="10"/>
  <c r="AC512" i="10"/>
  <c r="N512" i="10"/>
  <c r="J512" i="10"/>
  <c r="AL511" i="10"/>
  <c r="AG511" i="10"/>
  <c r="AD511" i="10"/>
  <c r="AC511" i="10"/>
  <c r="N511" i="10"/>
  <c r="J511" i="10"/>
  <c r="AL510" i="10"/>
  <c r="AH510" i="10"/>
  <c r="AG510" i="10"/>
  <c r="AC510" i="10"/>
  <c r="N510" i="10"/>
  <c r="J510" i="10"/>
  <c r="BE509" i="10"/>
  <c r="AL509" i="10"/>
  <c r="AG509" i="10"/>
  <c r="AD509" i="10"/>
  <c r="AD510" i="10"/>
  <c r="AC509" i="10"/>
  <c r="O509" i="10"/>
  <c r="AH509" i="10"/>
  <c r="N509" i="10"/>
  <c r="J509" i="10"/>
  <c r="AL508" i="10"/>
  <c r="AH508" i="10"/>
  <c r="AC508" i="10"/>
  <c r="P508" i="10"/>
  <c r="N508" i="10"/>
  <c r="K508" i="10"/>
  <c r="J508" i="10"/>
  <c r="AL507" i="10"/>
  <c r="AC507" i="10"/>
  <c r="N507" i="10"/>
  <c r="J507" i="10"/>
  <c r="AL506" i="10"/>
  <c r="AG506" i="10"/>
  <c r="AE506" i="10"/>
  <c r="AC506" i="10"/>
  <c r="N506" i="10"/>
  <c r="J506" i="10"/>
  <c r="AL505" i="10"/>
  <c r="AG505" i="10"/>
  <c r="AC505" i="10"/>
  <c r="N505" i="10"/>
  <c r="J505" i="10"/>
  <c r="AL504" i="10"/>
  <c r="AG504" i="10"/>
  <c r="AD504" i="10"/>
  <c r="AC504" i="10"/>
  <c r="N504" i="10"/>
  <c r="J504" i="10"/>
  <c r="AL503" i="10"/>
  <c r="AH503" i="10"/>
  <c r="AG503" i="10"/>
  <c r="AC503" i="10"/>
  <c r="N503" i="10"/>
  <c r="J503" i="10"/>
  <c r="BE502" i="10"/>
  <c r="AL502" i="10"/>
  <c r="O502" i="10"/>
  <c r="AH502" i="10"/>
  <c r="AG502" i="10"/>
  <c r="AD502" i="10"/>
  <c r="AD503" i="10"/>
  <c r="AC502" i="10"/>
  <c r="N502" i="10"/>
  <c r="J502" i="10"/>
  <c r="AL501" i="10"/>
  <c r="AH501" i="10"/>
  <c r="AC501" i="10"/>
  <c r="P501" i="10"/>
  <c r="N501" i="10"/>
  <c r="K501" i="10"/>
  <c r="J501" i="10"/>
  <c r="AL500" i="10"/>
  <c r="AC500" i="10"/>
  <c r="N500" i="10"/>
  <c r="J500" i="10"/>
  <c r="AL499" i="10"/>
  <c r="AG499" i="10"/>
  <c r="AE499" i="10"/>
  <c r="AC499" i="10"/>
  <c r="N499" i="10"/>
  <c r="J499" i="10"/>
  <c r="AL498" i="10"/>
  <c r="AG498" i="10"/>
  <c r="AC498" i="10"/>
  <c r="N498" i="10"/>
  <c r="J498" i="10"/>
  <c r="AL497" i="10"/>
  <c r="AG497" i="10"/>
  <c r="AD497" i="10"/>
  <c r="AC497" i="10"/>
  <c r="N497" i="10"/>
  <c r="J497" i="10"/>
  <c r="AL496" i="10"/>
  <c r="AH496" i="10"/>
  <c r="AG496" i="10"/>
  <c r="AC496" i="10"/>
  <c r="N496" i="10"/>
  <c r="J496" i="10"/>
  <c r="BE495" i="10"/>
  <c r="AL495" i="10"/>
  <c r="AG495" i="10"/>
  <c r="AD495" i="10"/>
  <c r="AD496" i="10"/>
  <c r="AC495" i="10"/>
  <c r="O495" i="10"/>
  <c r="AH495" i="10"/>
  <c r="N495" i="10"/>
  <c r="J495" i="10"/>
  <c r="AL494" i="10"/>
  <c r="AH494" i="10"/>
  <c r="AC494" i="10"/>
  <c r="P494" i="10"/>
  <c r="N494" i="10"/>
  <c r="K494" i="10"/>
  <c r="J494" i="10"/>
  <c r="AL493" i="10"/>
  <c r="AC493" i="10"/>
  <c r="N493" i="10"/>
  <c r="J493" i="10"/>
  <c r="AL492" i="10"/>
  <c r="AG492" i="10"/>
  <c r="AE492" i="10"/>
  <c r="AC492" i="10"/>
  <c r="N492" i="10"/>
  <c r="J492" i="10"/>
  <c r="AL491" i="10"/>
  <c r="AG491" i="10"/>
  <c r="AC491" i="10"/>
  <c r="N491" i="10"/>
  <c r="J491" i="10"/>
  <c r="AL490" i="10"/>
  <c r="AG490" i="10"/>
  <c r="AD490" i="10"/>
  <c r="AC490" i="10"/>
  <c r="N490" i="10"/>
  <c r="J490" i="10"/>
  <c r="AL489" i="10"/>
  <c r="AH489" i="10"/>
  <c r="AG489" i="10"/>
  <c r="AC489" i="10"/>
  <c r="N489" i="10"/>
  <c r="J489" i="10"/>
  <c r="BE488" i="10"/>
  <c r="AL488" i="10"/>
  <c r="AG488" i="10"/>
  <c r="AD488" i="10"/>
  <c r="AD489" i="10"/>
  <c r="AC488" i="10"/>
  <c r="O488" i="10"/>
  <c r="N488" i="10"/>
  <c r="J488" i="10"/>
  <c r="AL487" i="10"/>
  <c r="AH487" i="10"/>
  <c r="AC487" i="10"/>
  <c r="P487" i="10"/>
  <c r="N487" i="10"/>
  <c r="K487" i="10"/>
  <c r="J487" i="10"/>
  <c r="AL486" i="10"/>
  <c r="AC486" i="10"/>
  <c r="N486" i="10"/>
  <c r="J486" i="10"/>
  <c r="AL485" i="10"/>
  <c r="AG485" i="10"/>
  <c r="AE485" i="10"/>
  <c r="AC485" i="10"/>
  <c r="N485" i="10"/>
  <c r="J485" i="10"/>
  <c r="AL484" i="10"/>
  <c r="AG484" i="10"/>
  <c r="AC484" i="10"/>
  <c r="N484" i="10"/>
  <c r="J484" i="10"/>
  <c r="AL483" i="10"/>
  <c r="AG483" i="10"/>
  <c r="AD483" i="10"/>
  <c r="AC483" i="10"/>
  <c r="N483" i="10"/>
  <c r="J483" i="10"/>
  <c r="AL482" i="10"/>
  <c r="AH482" i="10"/>
  <c r="AG482" i="10"/>
  <c r="AC482" i="10"/>
  <c r="N482" i="10"/>
  <c r="J482" i="10"/>
  <c r="BE481" i="10"/>
  <c r="AL481" i="10"/>
  <c r="AG481" i="10"/>
  <c r="AD481" i="10"/>
  <c r="AD482" i="10"/>
  <c r="AC481" i="10"/>
  <c r="O481" i="10"/>
  <c r="AH481" i="10"/>
  <c r="N481" i="10"/>
  <c r="J481" i="10"/>
  <c r="AL480" i="10"/>
  <c r="AH480" i="10"/>
  <c r="AC480" i="10"/>
  <c r="P480" i="10"/>
  <c r="N480" i="10"/>
  <c r="K480" i="10"/>
  <c r="J480" i="10"/>
  <c r="AL479" i="10"/>
  <c r="AC479" i="10"/>
  <c r="N479" i="10"/>
  <c r="J479" i="10"/>
  <c r="AL478" i="10"/>
  <c r="AG478" i="10"/>
  <c r="AE478" i="10"/>
  <c r="AC478" i="10"/>
  <c r="N478" i="10"/>
  <c r="J478" i="10"/>
  <c r="AL477" i="10"/>
  <c r="AG477" i="10"/>
  <c r="AC477" i="10"/>
  <c r="N477" i="10"/>
  <c r="J477" i="10"/>
  <c r="AL476" i="10"/>
  <c r="AG476" i="10"/>
  <c r="AD476" i="10"/>
  <c r="AC476" i="10"/>
  <c r="N476" i="10"/>
  <c r="J476" i="10"/>
  <c r="AL475" i="10"/>
  <c r="AH475" i="10"/>
  <c r="AG475" i="10"/>
  <c r="AC475" i="10"/>
  <c r="N475" i="10"/>
  <c r="J475" i="10"/>
  <c r="AL474" i="10"/>
  <c r="AG474" i="10"/>
  <c r="AD474" i="10"/>
  <c r="AD475" i="10"/>
  <c r="AC474" i="10"/>
  <c r="O474" i="10"/>
  <c r="N474" i="10"/>
  <c r="J474" i="10"/>
  <c r="AL473" i="10"/>
  <c r="AH473" i="10"/>
  <c r="AC473" i="10"/>
  <c r="P473" i="10"/>
  <c r="N473" i="10"/>
  <c r="K473" i="10"/>
  <c r="J473" i="10"/>
  <c r="AL472" i="10"/>
  <c r="AC472" i="10"/>
  <c r="N472" i="10"/>
  <c r="J472" i="10"/>
  <c r="AL471" i="10"/>
  <c r="AG471" i="10"/>
  <c r="AE471" i="10"/>
  <c r="AC471" i="10"/>
  <c r="N471" i="10"/>
  <c r="J471" i="10"/>
  <c r="AL470" i="10"/>
  <c r="AG470" i="10"/>
  <c r="AC470" i="10"/>
  <c r="N470" i="10"/>
  <c r="J470" i="10"/>
  <c r="AL469" i="10"/>
  <c r="AG469" i="10"/>
  <c r="AD469" i="10"/>
  <c r="AC469" i="10"/>
  <c r="N469" i="10"/>
  <c r="J469" i="10"/>
  <c r="AL468" i="10"/>
  <c r="AH468" i="10"/>
  <c r="AG468" i="10"/>
  <c r="AC468" i="10"/>
  <c r="N468" i="10"/>
  <c r="J468" i="10"/>
  <c r="AL467" i="10"/>
  <c r="AG467" i="10"/>
  <c r="AD467" i="10"/>
  <c r="AD468" i="10"/>
  <c r="AC467" i="10"/>
  <c r="O467" i="10"/>
  <c r="AH467" i="10"/>
  <c r="N467" i="10"/>
  <c r="J467" i="10"/>
  <c r="AL466" i="10"/>
  <c r="AC466" i="10"/>
  <c r="P466" i="10"/>
  <c r="N466" i="10"/>
  <c r="J466" i="10"/>
  <c r="AL465" i="10"/>
  <c r="AC465" i="10"/>
  <c r="N465" i="10"/>
  <c r="J465" i="10"/>
  <c r="AL464" i="10"/>
  <c r="AG464" i="10"/>
  <c r="AE464" i="10"/>
  <c r="AC464" i="10"/>
  <c r="N464" i="10"/>
  <c r="J464" i="10"/>
  <c r="AL463" i="10"/>
  <c r="AG463" i="10"/>
  <c r="AC463" i="10"/>
  <c r="N463" i="10"/>
  <c r="J463" i="10"/>
  <c r="AL462" i="10"/>
  <c r="AG462" i="10"/>
  <c r="AC462" i="10"/>
  <c r="N462" i="10"/>
  <c r="J462" i="10"/>
  <c r="AL461" i="10"/>
  <c r="AG461" i="10"/>
  <c r="AC461" i="10"/>
  <c r="N461" i="10"/>
  <c r="J461" i="10"/>
  <c r="AL460" i="10"/>
  <c r="AG460" i="10"/>
  <c r="AC460" i="10"/>
  <c r="N460" i="10"/>
  <c r="J460" i="10"/>
  <c r="AL459" i="10"/>
  <c r="AC459" i="10"/>
  <c r="P459" i="10"/>
  <c r="N459" i="10"/>
  <c r="J459" i="10"/>
  <c r="AL458" i="10"/>
  <c r="AC458" i="10"/>
  <c r="N458" i="10"/>
  <c r="J458" i="10"/>
  <c r="AL457" i="10"/>
  <c r="AG457" i="10"/>
  <c r="AE457" i="10"/>
  <c r="AC457" i="10"/>
  <c r="N457" i="10"/>
  <c r="J457" i="10"/>
  <c r="AL456" i="10"/>
  <c r="AG456" i="10"/>
  <c r="AC456" i="10"/>
  <c r="N456" i="10"/>
  <c r="J456" i="10"/>
  <c r="AL455" i="10"/>
  <c r="AG455" i="10"/>
  <c r="AC455" i="10"/>
  <c r="N455" i="10"/>
  <c r="J455" i="10"/>
  <c r="AL454" i="10"/>
  <c r="AG454" i="10"/>
  <c r="AC454" i="10"/>
  <c r="N454" i="10"/>
  <c r="J454" i="10"/>
  <c r="AL453" i="10"/>
  <c r="AG453" i="10"/>
  <c r="AC453" i="10"/>
  <c r="N453" i="10"/>
  <c r="J453" i="10"/>
  <c r="AL452" i="10"/>
  <c r="AC452" i="10"/>
  <c r="P452" i="10"/>
  <c r="N452" i="10"/>
  <c r="J452" i="10"/>
  <c r="AL451" i="10"/>
  <c r="AC451" i="10"/>
  <c r="N451" i="10"/>
  <c r="J451" i="10"/>
  <c r="AL450" i="10"/>
  <c r="AG450" i="10"/>
  <c r="AE450" i="10"/>
  <c r="AC450" i="10"/>
  <c r="N450" i="10"/>
  <c r="J450" i="10"/>
  <c r="AL449" i="10"/>
  <c r="AG449" i="10"/>
  <c r="AC449" i="10"/>
  <c r="N449" i="10"/>
  <c r="J449" i="10"/>
  <c r="AL448" i="10"/>
  <c r="AG448" i="10"/>
  <c r="AC448" i="10"/>
  <c r="N448" i="10"/>
  <c r="J448" i="10"/>
  <c r="AL447" i="10"/>
  <c r="AG447" i="10"/>
  <c r="AC447" i="10"/>
  <c r="N447" i="10"/>
  <c r="J447" i="10"/>
  <c r="AL446" i="10"/>
  <c r="AG446" i="10"/>
  <c r="AC446" i="10"/>
  <c r="N446" i="10"/>
  <c r="J446" i="10"/>
  <c r="AL445" i="10"/>
  <c r="AC445" i="10"/>
  <c r="P445" i="10"/>
  <c r="N445" i="10"/>
  <c r="J445" i="10"/>
  <c r="AL444" i="10"/>
  <c r="AC444" i="10"/>
  <c r="N444" i="10"/>
  <c r="J444" i="10"/>
  <c r="AL443" i="10"/>
  <c r="AG443" i="10"/>
  <c r="AE443" i="10"/>
  <c r="AC443" i="10"/>
  <c r="N443" i="10"/>
  <c r="J443" i="10"/>
  <c r="AL442" i="10"/>
  <c r="AG442" i="10"/>
  <c r="AC442" i="10"/>
  <c r="N442" i="10"/>
  <c r="J442" i="10"/>
  <c r="AL441" i="10"/>
  <c r="AG441" i="10"/>
  <c r="AC441" i="10"/>
  <c r="N441" i="10"/>
  <c r="J441" i="10"/>
  <c r="AL440" i="10"/>
  <c r="AG440" i="10"/>
  <c r="AC440" i="10"/>
  <c r="N440" i="10"/>
  <c r="J440" i="10"/>
  <c r="AL439" i="10"/>
  <c r="AG439" i="10"/>
  <c r="AC439" i="10"/>
  <c r="N439" i="10"/>
  <c r="J439" i="10"/>
  <c r="AL438" i="10"/>
  <c r="AC438" i="10"/>
  <c r="P438" i="10"/>
  <c r="N438" i="10"/>
  <c r="J438" i="10"/>
  <c r="AL437" i="10"/>
  <c r="AC437" i="10"/>
  <c r="N437" i="10"/>
  <c r="J437" i="10"/>
  <c r="AL436" i="10"/>
  <c r="AG436" i="10"/>
  <c r="AE436" i="10"/>
  <c r="AC436" i="10"/>
  <c r="N436" i="10"/>
  <c r="J436" i="10"/>
  <c r="AL435" i="10"/>
  <c r="AG435" i="10"/>
  <c r="AC435" i="10"/>
  <c r="N435" i="10"/>
  <c r="J435" i="10"/>
  <c r="AL434" i="10"/>
  <c r="AG434" i="10"/>
  <c r="AC434" i="10"/>
  <c r="N434" i="10"/>
  <c r="J434" i="10"/>
  <c r="AL433" i="10"/>
  <c r="AG433" i="10"/>
  <c r="AC433" i="10"/>
  <c r="N433" i="10"/>
  <c r="J433" i="10"/>
  <c r="AL432" i="10"/>
  <c r="AG432" i="10"/>
  <c r="AC432" i="10"/>
  <c r="N432" i="10"/>
  <c r="J432" i="10"/>
  <c r="AL431" i="10"/>
  <c r="AC431" i="10"/>
  <c r="P431" i="10"/>
  <c r="N431" i="10"/>
  <c r="J431" i="10"/>
  <c r="AL430" i="10"/>
  <c r="AC430" i="10"/>
  <c r="N430" i="10"/>
  <c r="J430" i="10"/>
  <c r="AL429" i="10"/>
  <c r="AG429" i="10"/>
  <c r="AE429" i="10"/>
  <c r="AC429" i="10"/>
  <c r="N429" i="10"/>
  <c r="J429" i="10"/>
  <c r="AL428" i="10"/>
  <c r="AG428" i="10"/>
  <c r="AC428" i="10"/>
  <c r="N428" i="10"/>
  <c r="J428" i="10"/>
  <c r="AL427" i="10"/>
  <c r="AG427" i="10"/>
  <c r="AC427" i="10"/>
  <c r="N427" i="10"/>
  <c r="J427" i="10"/>
  <c r="AL426" i="10"/>
  <c r="AG426" i="10"/>
  <c r="AC426" i="10"/>
  <c r="N426" i="10"/>
  <c r="J426" i="10"/>
  <c r="AL425" i="10"/>
  <c r="AG425" i="10"/>
  <c r="AC425" i="10"/>
  <c r="N425" i="10"/>
  <c r="J425" i="10"/>
  <c r="AL424" i="10"/>
  <c r="AC424" i="10"/>
  <c r="P424" i="10"/>
  <c r="N424" i="10"/>
  <c r="J424" i="10"/>
  <c r="AL423" i="10"/>
  <c r="AC423" i="10"/>
  <c r="N423" i="10"/>
  <c r="J423" i="10"/>
  <c r="AL422" i="10"/>
  <c r="AG422" i="10"/>
  <c r="AE422" i="10"/>
  <c r="AC422" i="10"/>
  <c r="N422" i="10"/>
  <c r="J422" i="10"/>
  <c r="AL421" i="10"/>
  <c r="AG421" i="10"/>
  <c r="AC421" i="10"/>
  <c r="N421" i="10"/>
  <c r="J421" i="10"/>
  <c r="AL420" i="10"/>
  <c r="AG420" i="10"/>
  <c r="AC420" i="10"/>
  <c r="N420" i="10"/>
  <c r="J420" i="10"/>
  <c r="AL419" i="10"/>
  <c r="AG419" i="10"/>
  <c r="AC419" i="10"/>
  <c r="N419" i="10"/>
  <c r="J419" i="10"/>
  <c r="AL418" i="10"/>
  <c r="AG418" i="10"/>
  <c r="AC418" i="10"/>
  <c r="N418" i="10"/>
  <c r="J418" i="10"/>
  <c r="AL417" i="10"/>
  <c r="AC417" i="10"/>
  <c r="P417" i="10"/>
  <c r="N417" i="10"/>
  <c r="J417" i="10"/>
  <c r="AL416" i="10"/>
  <c r="AC416" i="10"/>
  <c r="N416" i="10"/>
  <c r="J416" i="10"/>
  <c r="AL415" i="10"/>
  <c r="AG415" i="10"/>
  <c r="AE415" i="10"/>
  <c r="AC415" i="10"/>
  <c r="N415" i="10"/>
  <c r="J415" i="10"/>
  <c r="AL414" i="10"/>
  <c r="AG414" i="10"/>
  <c r="AC414" i="10"/>
  <c r="N414" i="10"/>
  <c r="J414" i="10"/>
  <c r="AL413" i="10"/>
  <c r="AG413" i="10"/>
  <c r="AC413" i="10"/>
  <c r="N413" i="10"/>
  <c r="J413" i="10"/>
  <c r="AL412" i="10"/>
  <c r="AG412" i="10"/>
  <c r="AC412" i="10"/>
  <c r="N412" i="10"/>
  <c r="J412" i="10"/>
  <c r="AL411" i="10"/>
  <c r="AG411" i="10"/>
  <c r="AC411" i="10"/>
  <c r="N411" i="10"/>
  <c r="J411" i="10"/>
  <c r="AL410" i="10"/>
  <c r="AC410" i="10"/>
  <c r="P410" i="10"/>
  <c r="N410" i="10"/>
  <c r="J410" i="10"/>
  <c r="AL409" i="10"/>
  <c r="AC409" i="10"/>
  <c r="N409" i="10"/>
  <c r="J409" i="10"/>
  <c r="AL408" i="10"/>
  <c r="AG408" i="10"/>
  <c r="AE408" i="10"/>
  <c r="AC408" i="10"/>
  <c r="N408" i="10"/>
  <c r="J408" i="10"/>
  <c r="AL407" i="10"/>
  <c r="AG407" i="10"/>
  <c r="AC407" i="10"/>
  <c r="N407" i="10"/>
  <c r="J407" i="10"/>
  <c r="AL406" i="10"/>
  <c r="AG406" i="10"/>
  <c r="AC406" i="10"/>
  <c r="N406" i="10"/>
  <c r="J406" i="10"/>
  <c r="AL405" i="10"/>
  <c r="AG405" i="10"/>
  <c r="AC405" i="10"/>
  <c r="N405" i="10"/>
  <c r="J405" i="10"/>
  <c r="AL404" i="10"/>
  <c r="AG404" i="10"/>
  <c r="AC404" i="10"/>
  <c r="N404" i="10"/>
  <c r="J404" i="10"/>
  <c r="AL403" i="10"/>
  <c r="AC403" i="10"/>
  <c r="P403" i="10"/>
  <c r="N403" i="10"/>
  <c r="J403" i="10"/>
  <c r="AL402" i="10"/>
  <c r="AC402" i="10"/>
  <c r="N402" i="10"/>
  <c r="J402" i="10"/>
  <c r="AL401" i="10"/>
  <c r="AG401" i="10"/>
  <c r="AE401" i="10"/>
  <c r="AC401" i="10"/>
  <c r="N401" i="10"/>
  <c r="J401" i="10"/>
  <c r="AL400" i="10"/>
  <c r="AG400" i="10"/>
  <c r="AC400" i="10"/>
  <c r="N400" i="10"/>
  <c r="J400" i="10"/>
  <c r="AL399" i="10"/>
  <c r="AG399" i="10"/>
  <c r="AC399" i="10"/>
  <c r="N399" i="10"/>
  <c r="J399" i="10"/>
  <c r="AL398" i="10"/>
  <c r="AG398" i="10"/>
  <c r="AC398" i="10"/>
  <c r="N398" i="10"/>
  <c r="J398" i="10"/>
  <c r="AL397" i="10"/>
  <c r="AG397" i="10"/>
  <c r="AC397" i="10"/>
  <c r="N397" i="10"/>
  <c r="J397" i="10"/>
  <c r="AL396" i="10"/>
  <c r="AC396" i="10"/>
  <c r="P396" i="10"/>
  <c r="N396" i="10"/>
  <c r="J396" i="10"/>
  <c r="AL395" i="10"/>
  <c r="AC395" i="10"/>
  <c r="N395" i="10"/>
  <c r="J395" i="10"/>
  <c r="AL394" i="10"/>
  <c r="AG394" i="10"/>
  <c r="AE394" i="10"/>
  <c r="AC394" i="10"/>
  <c r="N394" i="10"/>
  <c r="J394" i="10"/>
  <c r="AL393" i="10"/>
  <c r="AG393" i="10"/>
  <c r="AC393" i="10"/>
  <c r="N393" i="10"/>
  <c r="J393" i="10"/>
  <c r="AL392" i="10"/>
  <c r="AG392" i="10"/>
  <c r="AC392" i="10"/>
  <c r="N392" i="10"/>
  <c r="J392" i="10"/>
  <c r="AL391" i="10"/>
  <c r="AG391" i="10"/>
  <c r="AC391" i="10"/>
  <c r="N391" i="10"/>
  <c r="J391" i="10"/>
  <c r="AL390" i="10"/>
  <c r="AG390" i="10"/>
  <c r="AC390" i="10"/>
  <c r="N390" i="10"/>
  <c r="J390" i="10"/>
  <c r="AL389" i="10"/>
  <c r="AC389" i="10"/>
  <c r="P389" i="10"/>
  <c r="N389" i="10"/>
  <c r="J389" i="10"/>
  <c r="AL388" i="10"/>
  <c r="AC388" i="10"/>
  <c r="N388" i="10"/>
  <c r="J388" i="10"/>
  <c r="AL387" i="10"/>
  <c r="AG387" i="10"/>
  <c r="AE387" i="10"/>
  <c r="AC387" i="10"/>
  <c r="N387" i="10"/>
  <c r="J387" i="10"/>
  <c r="AL386" i="10"/>
  <c r="AG386" i="10"/>
  <c r="AC386" i="10"/>
  <c r="N386" i="10"/>
  <c r="J386" i="10"/>
  <c r="AL385" i="10"/>
  <c r="AG385" i="10"/>
  <c r="AC385" i="10"/>
  <c r="N385" i="10"/>
  <c r="J385" i="10"/>
  <c r="AL384" i="10"/>
  <c r="AG384" i="10"/>
  <c r="AC384" i="10"/>
  <c r="N384" i="10"/>
  <c r="J384" i="10"/>
  <c r="AL383" i="10"/>
  <c r="AG383" i="10"/>
  <c r="AC383" i="10"/>
  <c r="N383" i="10"/>
  <c r="J383" i="10"/>
  <c r="AL382" i="10"/>
  <c r="AC382" i="10"/>
  <c r="P382" i="10"/>
  <c r="N382" i="10"/>
  <c r="J382" i="10"/>
  <c r="AL381" i="10"/>
  <c r="AC381" i="10"/>
  <c r="N381" i="10"/>
  <c r="J381" i="10"/>
  <c r="AL380" i="10"/>
  <c r="AG380" i="10"/>
  <c r="AE380" i="10"/>
  <c r="AC380" i="10"/>
  <c r="N380" i="10"/>
  <c r="J380" i="10"/>
  <c r="AL379" i="10"/>
  <c r="AG379" i="10"/>
  <c r="AC379" i="10"/>
  <c r="N379" i="10"/>
  <c r="J379" i="10"/>
  <c r="AL378" i="10"/>
  <c r="AG378" i="10"/>
  <c r="AC378" i="10"/>
  <c r="N378" i="10"/>
  <c r="J378" i="10"/>
  <c r="AL377" i="10"/>
  <c r="AG377" i="10"/>
  <c r="AC377" i="10"/>
  <c r="N377" i="10"/>
  <c r="J377" i="10"/>
  <c r="AL376" i="10"/>
  <c r="AG376" i="10"/>
  <c r="AC376" i="10"/>
  <c r="N376" i="10"/>
  <c r="J376" i="10"/>
  <c r="AL375" i="10"/>
  <c r="AC375" i="10"/>
  <c r="P375" i="10"/>
  <c r="N375" i="10"/>
  <c r="J375" i="10"/>
  <c r="AL374" i="10"/>
  <c r="AC374" i="10"/>
  <c r="N374" i="10"/>
  <c r="J374" i="10"/>
  <c r="AL373" i="10"/>
  <c r="AG373" i="10"/>
  <c r="AE373" i="10"/>
  <c r="AC373" i="10"/>
  <c r="N373" i="10"/>
  <c r="J373" i="10"/>
  <c r="AL372" i="10"/>
  <c r="AG372" i="10"/>
  <c r="AC372" i="10"/>
  <c r="N372" i="10"/>
  <c r="J372" i="10"/>
  <c r="AL371" i="10"/>
  <c r="AG371" i="10"/>
  <c r="AC371" i="10"/>
  <c r="N371" i="10"/>
  <c r="J371" i="10"/>
  <c r="AL370" i="10"/>
  <c r="AG370" i="10"/>
  <c r="AC370" i="10"/>
  <c r="N370" i="10"/>
  <c r="J370" i="10"/>
  <c r="AL369" i="10"/>
  <c r="AG369" i="10"/>
  <c r="AC369" i="10"/>
  <c r="N369" i="10"/>
  <c r="J369" i="10"/>
  <c r="AL368" i="10"/>
  <c r="AC368" i="10"/>
  <c r="P368" i="10"/>
  <c r="N368" i="10"/>
  <c r="J368" i="10"/>
  <c r="AL367" i="10"/>
  <c r="AC367" i="10"/>
  <c r="N367" i="10"/>
  <c r="J367" i="10"/>
  <c r="AL366" i="10"/>
  <c r="AG366" i="10"/>
  <c r="AE366" i="10"/>
  <c r="AC366" i="10"/>
  <c r="N366" i="10"/>
  <c r="J366" i="10"/>
  <c r="AL365" i="10"/>
  <c r="AG365" i="10"/>
  <c r="AC365" i="10"/>
  <c r="N365" i="10"/>
  <c r="J365" i="10"/>
  <c r="AL364" i="10"/>
  <c r="AG364" i="10"/>
  <c r="AC364" i="10"/>
  <c r="N364" i="10"/>
  <c r="J364" i="10"/>
  <c r="AL363" i="10"/>
  <c r="AG363" i="10"/>
  <c r="AC363" i="10"/>
  <c r="N363" i="10"/>
  <c r="J363" i="10"/>
  <c r="AL362" i="10"/>
  <c r="AG362" i="10"/>
  <c r="AC362" i="10"/>
  <c r="N362" i="10"/>
  <c r="J362" i="10"/>
  <c r="AL361" i="10"/>
  <c r="AC361" i="10"/>
  <c r="P361" i="10"/>
  <c r="N361" i="10"/>
  <c r="J361" i="10"/>
  <c r="AL360" i="10"/>
  <c r="AC360" i="10"/>
  <c r="N360" i="10"/>
  <c r="J360" i="10"/>
  <c r="AL359" i="10"/>
  <c r="AG359" i="10"/>
  <c r="AE359" i="10"/>
  <c r="AC359" i="10"/>
  <c r="N359" i="10"/>
  <c r="J359" i="10"/>
  <c r="AL358" i="10"/>
  <c r="AG358" i="10"/>
  <c r="AC358" i="10"/>
  <c r="N358" i="10"/>
  <c r="J358" i="10"/>
  <c r="AL357" i="10"/>
  <c r="AG357" i="10"/>
  <c r="AC357" i="10"/>
  <c r="N357" i="10"/>
  <c r="J357" i="10"/>
  <c r="AL356" i="10"/>
  <c r="AG356" i="10"/>
  <c r="AC356" i="10"/>
  <c r="N356" i="10"/>
  <c r="J356" i="10"/>
  <c r="AL355" i="10"/>
  <c r="AG355" i="10"/>
  <c r="AC355" i="10"/>
  <c r="N355" i="10"/>
  <c r="J355" i="10"/>
  <c r="AL354" i="10"/>
  <c r="AC354" i="10"/>
  <c r="P354" i="10"/>
  <c r="N354" i="10"/>
  <c r="J354" i="10"/>
  <c r="AL353" i="10"/>
  <c r="AC353" i="10"/>
  <c r="N353" i="10"/>
  <c r="J353" i="10"/>
  <c r="AL352" i="10"/>
  <c r="AG352" i="10"/>
  <c r="AE352" i="10"/>
  <c r="AC352" i="10"/>
  <c r="N352" i="10"/>
  <c r="J352" i="10"/>
  <c r="AL351" i="10"/>
  <c r="AG351" i="10"/>
  <c r="AC351" i="10"/>
  <c r="N351" i="10"/>
  <c r="J351" i="10"/>
  <c r="AL350" i="10"/>
  <c r="AG350" i="10"/>
  <c r="AC350" i="10"/>
  <c r="N350" i="10"/>
  <c r="J350" i="10"/>
  <c r="AL349" i="10"/>
  <c r="AG349" i="10"/>
  <c r="AC349" i="10"/>
  <c r="N349" i="10"/>
  <c r="J349" i="10"/>
  <c r="AL348" i="10"/>
  <c r="AG348" i="10"/>
  <c r="AC348" i="10"/>
  <c r="N348" i="10"/>
  <c r="J348" i="10"/>
  <c r="AL347" i="10"/>
  <c r="AC347" i="10"/>
  <c r="P347" i="10"/>
  <c r="N347" i="10"/>
  <c r="J347" i="10"/>
  <c r="AL346" i="10"/>
  <c r="AC346" i="10"/>
  <c r="N346" i="10"/>
  <c r="J346" i="10"/>
  <c r="AL345" i="10"/>
  <c r="AG345" i="10"/>
  <c r="AE345" i="10"/>
  <c r="AC345" i="10"/>
  <c r="N345" i="10"/>
  <c r="J345" i="10"/>
  <c r="AL344" i="10"/>
  <c r="AG344" i="10"/>
  <c r="AC344" i="10"/>
  <c r="N344" i="10"/>
  <c r="J344" i="10"/>
  <c r="AL343" i="10"/>
  <c r="AG343" i="10"/>
  <c r="AC343" i="10"/>
  <c r="N343" i="10"/>
  <c r="J343" i="10"/>
  <c r="AL342" i="10"/>
  <c r="AG342" i="10"/>
  <c r="AC342" i="10"/>
  <c r="N342" i="10"/>
  <c r="J342" i="10"/>
  <c r="AL341" i="10"/>
  <c r="AG341" i="10"/>
  <c r="AC341" i="10"/>
  <c r="N341" i="10"/>
  <c r="J341" i="10"/>
  <c r="AL340" i="10"/>
  <c r="AC340" i="10"/>
  <c r="P340" i="10"/>
  <c r="N340" i="10"/>
  <c r="J340" i="10"/>
  <c r="AL339" i="10"/>
  <c r="AC339" i="10"/>
  <c r="N339" i="10"/>
  <c r="J339" i="10"/>
  <c r="AL338" i="10"/>
  <c r="AG338" i="10"/>
  <c r="AE338" i="10"/>
  <c r="AC338" i="10"/>
  <c r="N338" i="10"/>
  <c r="J338" i="10"/>
  <c r="AL337" i="10"/>
  <c r="AG337" i="10"/>
  <c r="AC337" i="10"/>
  <c r="N337" i="10"/>
  <c r="J337" i="10"/>
  <c r="AL336" i="10"/>
  <c r="AG336" i="10"/>
  <c r="AC336" i="10"/>
  <c r="N336" i="10"/>
  <c r="J336" i="10"/>
  <c r="AL335" i="10"/>
  <c r="AG335" i="10"/>
  <c r="AC335" i="10"/>
  <c r="N335" i="10"/>
  <c r="J335" i="10"/>
  <c r="AL334" i="10"/>
  <c r="AG334" i="10"/>
  <c r="AC334" i="10"/>
  <c r="N334" i="10"/>
  <c r="J334" i="10"/>
  <c r="AL333" i="10"/>
  <c r="AC333" i="10"/>
  <c r="P333" i="10"/>
  <c r="N333" i="10"/>
  <c r="J333" i="10"/>
  <c r="AL332" i="10"/>
  <c r="AC332" i="10"/>
  <c r="N332" i="10"/>
  <c r="J332" i="10"/>
  <c r="AL331" i="10"/>
  <c r="AG331" i="10"/>
  <c r="AE331" i="10"/>
  <c r="AC331" i="10"/>
  <c r="N331" i="10"/>
  <c r="J331" i="10"/>
  <c r="AL330" i="10"/>
  <c r="AG330" i="10"/>
  <c r="AC330" i="10"/>
  <c r="N330" i="10"/>
  <c r="J330" i="10"/>
  <c r="AL329" i="10"/>
  <c r="AG329" i="10"/>
  <c r="AC329" i="10"/>
  <c r="N329" i="10"/>
  <c r="J329" i="10"/>
  <c r="AL328" i="10"/>
  <c r="AG328" i="10"/>
  <c r="AC328" i="10"/>
  <c r="N328" i="10"/>
  <c r="J328" i="10"/>
  <c r="AL327" i="10"/>
  <c r="AG327" i="10"/>
  <c r="AC327" i="10"/>
  <c r="N327" i="10"/>
  <c r="J327" i="10"/>
  <c r="AL326" i="10"/>
  <c r="AC326" i="10"/>
  <c r="P326" i="10"/>
  <c r="N326" i="10"/>
  <c r="J326" i="10"/>
  <c r="AL325" i="10"/>
  <c r="AC325" i="10"/>
  <c r="N325" i="10"/>
  <c r="J325" i="10"/>
  <c r="AL324" i="10"/>
  <c r="AG324" i="10"/>
  <c r="AE324" i="10"/>
  <c r="AC324" i="10"/>
  <c r="N324" i="10"/>
  <c r="J324" i="10"/>
  <c r="AL323" i="10"/>
  <c r="AG323" i="10"/>
  <c r="AC323" i="10"/>
  <c r="N323" i="10"/>
  <c r="J323" i="10"/>
  <c r="AL322" i="10"/>
  <c r="AG322" i="10"/>
  <c r="AC322" i="10"/>
  <c r="N322" i="10"/>
  <c r="J322" i="10"/>
  <c r="AL321" i="10"/>
  <c r="AG321" i="10"/>
  <c r="AC321" i="10"/>
  <c r="N321" i="10"/>
  <c r="J321" i="10"/>
  <c r="AL320" i="10"/>
  <c r="AG320" i="10"/>
  <c r="AC320" i="10"/>
  <c r="N320" i="10"/>
  <c r="J320" i="10"/>
  <c r="AL319" i="10"/>
  <c r="AC319" i="10"/>
  <c r="P319" i="10"/>
  <c r="N319" i="10"/>
  <c r="J319" i="10"/>
  <c r="AL318" i="10"/>
  <c r="AC318" i="10"/>
  <c r="N318" i="10"/>
  <c r="J318" i="10"/>
  <c r="AL317" i="10"/>
  <c r="AG317" i="10"/>
  <c r="AE317" i="10"/>
  <c r="AC317" i="10"/>
  <c r="N317" i="10"/>
  <c r="J317" i="10"/>
  <c r="AL316" i="10"/>
  <c r="AG316" i="10"/>
  <c r="AC316" i="10"/>
  <c r="N316" i="10"/>
  <c r="J316" i="10"/>
  <c r="AL315" i="10"/>
  <c r="AG315" i="10"/>
  <c r="AC315" i="10"/>
  <c r="N315" i="10"/>
  <c r="J315" i="10"/>
  <c r="AL314" i="10"/>
  <c r="AG314" i="10"/>
  <c r="AC314" i="10"/>
  <c r="N314" i="10"/>
  <c r="J314" i="10"/>
  <c r="AL313" i="10"/>
  <c r="AG313" i="10"/>
  <c r="AC313" i="10"/>
  <c r="N313" i="10"/>
  <c r="J313" i="10"/>
  <c r="AL312" i="10"/>
  <c r="AC312" i="10"/>
  <c r="P312" i="10"/>
  <c r="N312" i="10"/>
  <c r="J312" i="10"/>
  <c r="AL311" i="10"/>
  <c r="AC311" i="10"/>
  <c r="N311" i="10"/>
  <c r="J311" i="10"/>
  <c r="AL310" i="10"/>
  <c r="AG310" i="10"/>
  <c r="AE310" i="10"/>
  <c r="AC310" i="10"/>
  <c r="N310" i="10"/>
  <c r="J310" i="10"/>
  <c r="AL309" i="10"/>
  <c r="AG309" i="10"/>
  <c r="AC309" i="10"/>
  <c r="N309" i="10"/>
  <c r="J309" i="10"/>
  <c r="AL308" i="10"/>
  <c r="AG308" i="10"/>
  <c r="AC308" i="10"/>
  <c r="N308" i="10"/>
  <c r="J308" i="10"/>
  <c r="AL307" i="10"/>
  <c r="AG307" i="10"/>
  <c r="AC307" i="10"/>
  <c r="N307" i="10"/>
  <c r="J307" i="10"/>
  <c r="AL306" i="10"/>
  <c r="AG306" i="10"/>
  <c r="AC306" i="10"/>
  <c r="N306" i="10"/>
  <c r="J306" i="10"/>
  <c r="AL305" i="10"/>
  <c r="AC305" i="10"/>
  <c r="P305" i="10"/>
  <c r="N305" i="10"/>
  <c r="J305" i="10"/>
  <c r="AL304" i="10"/>
  <c r="AC304" i="10"/>
  <c r="N304" i="10"/>
  <c r="J304" i="10"/>
  <c r="AL303" i="10"/>
  <c r="AG303" i="10"/>
  <c r="AE303" i="10"/>
  <c r="AC303" i="10"/>
  <c r="N303" i="10"/>
  <c r="J303" i="10"/>
  <c r="AL302" i="10"/>
  <c r="AG302" i="10"/>
  <c r="AC302" i="10"/>
  <c r="N302" i="10"/>
  <c r="J302" i="10"/>
  <c r="AL301" i="10"/>
  <c r="AG301" i="10"/>
  <c r="AC301" i="10"/>
  <c r="N301" i="10"/>
  <c r="J301" i="10"/>
  <c r="AL300" i="10"/>
  <c r="AG300" i="10"/>
  <c r="AC300" i="10"/>
  <c r="N300" i="10"/>
  <c r="J300" i="10"/>
  <c r="AL299" i="10"/>
  <c r="AG299" i="10"/>
  <c r="AC299" i="10"/>
  <c r="N299" i="10"/>
  <c r="J299" i="10"/>
  <c r="AL298" i="10"/>
  <c r="AC298" i="10"/>
  <c r="P298" i="10"/>
  <c r="N298" i="10"/>
  <c r="J298" i="10"/>
  <c r="AL297" i="10"/>
  <c r="AC297" i="10"/>
  <c r="N297" i="10"/>
  <c r="J297" i="10"/>
  <c r="AL296" i="10"/>
  <c r="AG296" i="10"/>
  <c r="AE296" i="10"/>
  <c r="AC296" i="10"/>
  <c r="N296" i="10"/>
  <c r="J296" i="10"/>
  <c r="AL295" i="10"/>
  <c r="AG295" i="10"/>
  <c r="AC295" i="10"/>
  <c r="N295" i="10"/>
  <c r="J295" i="10"/>
  <c r="AL294" i="10"/>
  <c r="AG294" i="10"/>
  <c r="AC294" i="10"/>
  <c r="N294" i="10"/>
  <c r="J294" i="10"/>
  <c r="AL293" i="10"/>
  <c r="AG293" i="10"/>
  <c r="AC293" i="10"/>
  <c r="N293" i="10"/>
  <c r="J293" i="10"/>
  <c r="AL292" i="10"/>
  <c r="AG292" i="10"/>
  <c r="AC292" i="10"/>
  <c r="N292" i="10"/>
  <c r="J292" i="10"/>
  <c r="AL291" i="10"/>
  <c r="AC291" i="10"/>
  <c r="P291" i="10"/>
  <c r="N291" i="10"/>
  <c r="J291" i="10"/>
  <c r="AL290" i="10"/>
  <c r="AC290" i="10"/>
  <c r="N290" i="10"/>
  <c r="J290" i="10"/>
  <c r="AL289" i="10"/>
  <c r="AG289" i="10"/>
  <c r="AE289" i="10"/>
  <c r="AC289" i="10"/>
  <c r="N289" i="10"/>
  <c r="J289" i="10"/>
  <c r="AL288" i="10"/>
  <c r="AG288" i="10"/>
  <c r="AC288" i="10"/>
  <c r="N288" i="10"/>
  <c r="J288" i="10"/>
  <c r="AL287" i="10"/>
  <c r="AG287" i="10"/>
  <c r="AC287" i="10"/>
  <c r="N287" i="10"/>
  <c r="J287" i="10"/>
  <c r="AL286" i="10"/>
  <c r="AG286" i="10"/>
  <c r="AC286" i="10"/>
  <c r="N286" i="10"/>
  <c r="J286" i="10"/>
  <c r="AL285" i="10"/>
  <c r="AG285" i="10"/>
  <c r="AC285" i="10"/>
  <c r="N285" i="10"/>
  <c r="J285" i="10"/>
  <c r="AL284" i="10"/>
  <c r="AC284" i="10"/>
  <c r="P284" i="10"/>
  <c r="N284" i="10"/>
  <c r="J284" i="10"/>
  <c r="AL283" i="10"/>
  <c r="AC283" i="10"/>
  <c r="N283" i="10"/>
  <c r="J283" i="10"/>
  <c r="AL282" i="10"/>
  <c r="AG282" i="10"/>
  <c r="AE282" i="10"/>
  <c r="AC282" i="10"/>
  <c r="N282" i="10"/>
  <c r="J282" i="10"/>
  <c r="AL281" i="10"/>
  <c r="AG281" i="10"/>
  <c r="AC281" i="10"/>
  <c r="N281" i="10"/>
  <c r="J281" i="10"/>
  <c r="AL280" i="10"/>
  <c r="AG280" i="10"/>
  <c r="AC280" i="10"/>
  <c r="N280" i="10"/>
  <c r="J280" i="10"/>
  <c r="AL279" i="10"/>
  <c r="AG279" i="10"/>
  <c r="AC279" i="10"/>
  <c r="N279" i="10"/>
  <c r="J279" i="10"/>
  <c r="AL278" i="10"/>
  <c r="AG278" i="10"/>
  <c r="AC278" i="10"/>
  <c r="N278" i="10"/>
  <c r="J278" i="10"/>
  <c r="AL277" i="10"/>
  <c r="AC277" i="10"/>
  <c r="P277" i="10"/>
  <c r="N277" i="10"/>
  <c r="J277" i="10"/>
  <c r="AL276" i="10"/>
  <c r="AC276" i="10"/>
  <c r="N276" i="10"/>
  <c r="J276" i="10"/>
  <c r="AL275" i="10"/>
  <c r="AG275" i="10"/>
  <c r="AE275" i="10"/>
  <c r="AC275" i="10"/>
  <c r="N275" i="10"/>
  <c r="J275" i="10"/>
  <c r="AL274" i="10"/>
  <c r="AG274" i="10"/>
  <c r="AC274" i="10"/>
  <c r="N274" i="10"/>
  <c r="J274" i="10"/>
  <c r="AL273" i="10"/>
  <c r="AG273" i="10"/>
  <c r="AC273" i="10"/>
  <c r="N273" i="10"/>
  <c r="J273" i="10"/>
  <c r="AL272" i="10"/>
  <c r="AG272" i="10"/>
  <c r="AC272" i="10"/>
  <c r="N272" i="10"/>
  <c r="J272" i="10"/>
  <c r="AL271" i="10"/>
  <c r="AG271" i="10"/>
  <c r="AC271" i="10"/>
  <c r="N271" i="10"/>
  <c r="J271" i="10"/>
  <c r="AL270" i="10"/>
  <c r="AC270" i="10"/>
  <c r="P270" i="10"/>
  <c r="N270" i="10"/>
  <c r="J270" i="10"/>
  <c r="AL269" i="10"/>
  <c r="AC269" i="10"/>
  <c r="N269" i="10"/>
  <c r="J269" i="10"/>
  <c r="AL268" i="10"/>
  <c r="AG268" i="10"/>
  <c r="AE268" i="10"/>
  <c r="AC268" i="10"/>
  <c r="N268" i="10"/>
  <c r="J268" i="10"/>
  <c r="AL267" i="10"/>
  <c r="AG267" i="10"/>
  <c r="AC267" i="10"/>
  <c r="N267" i="10"/>
  <c r="J267" i="10"/>
  <c r="AL266" i="10"/>
  <c r="AG266" i="10"/>
  <c r="AC266" i="10"/>
  <c r="N266" i="10"/>
  <c r="J266" i="10"/>
  <c r="AL265" i="10"/>
  <c r="AG265" i="10"/>
  <c r="AC265" i="10"/>
  <c r="N265" i="10"/>
  <c r="J265" i="10"/>
  <c r="AL264" i="10"/>
  <c r="AG264" i="10"/>
  <c r="AC264" i="10"/>
  <c r="N264" i="10"/>
  <c r="J264" i="10"/>
  <c r="AL263" i="10"/>
  <c r="AC263" i="10"/>
  <c r="P263" i="10"/>
  <c r="N263" i="10"/>
  <c r="J263" i="10"/>
  <c r="AL262" i="10"/>
  <c r="AC262" i="10"/>
  <c r="N262" i="10"/>
  <c r="J262" i="10"/>
  <c r="AL261" i="10"/>
  <c r="AG261" i="10"/>
  <c r="AE261" i="10"/>
  <c r="AC261" i="10"/>
  <c r="N261" i="10"/>
  <c r="J261" i="10"/>
  <c r="AL260" i="10"/>
  <c r="AG260" i="10"/>
  <c r="AC260" i="10"/>
  <c r="N260" i="10"/>
  <c r="J260" i="10"/>
  <c r="AL259" i="10"/>
  <c r="AG259" i="10"/>
  <c r="AC259" i="10"/>
  <c r="N259" i="10"/>
  <c r="J259" i="10"/>
  <c r="AL258" i="10"/>
  <c r="AG258" i="10"/>
  <c r="AC258" i="10"/>
  <c r="N258" i="10"/>
  <c r="J258" i="10"/>
  <c r="AL257" i="10"/>
  <c r="AG257" i="10"/>
  <c r="AC257" i="10"/>
  <c r="N257" i="10"/>
  <c r="J257" i="10"/>
  <c r="AL256" i="10"/>
  <c r="AC256" i="10"/>
  <c r="P256" i="10"/>
  <c r="N256" i="10"/>
  <c r="J256" i="10"/>
  <c r="AL255" i="10"/>
  <c r="AC255" i="10"/>
  <c r="N255" i="10"/>
  <c r="J255" i="10"/>
  <c r="AL254" i="10"/>
  <c r="AG254" i="10"/>
  <c r="AE254" i="10"/>
  <c r="AC254" i="10"/>
  <c r="N254" i="10"/>
  <c r="J254" i="10"/>
  <c r="AL253" i="10"/>
  <c r="AG253" i="10"/>
  <c r="AC253" i="10"/>
  <c r="N253" i="10"/>
  <c r="J253" i="10"/>
  <c r="AL252" i="10"/>
  <c r="AG252" i="10"/>
  <c r="AC252" i="10"/>
  <c r="N252" i="10"/>
  <c r="J252" i="10"/>
  <c r="AL251" i="10"/>
  <c r="AG251" i="10"/>
  <c r="AC251" i="10"/>
  <c r="N251" i="10"/>
  <c r="J251" i="10"/>
  <c r="AL250" i="10"/>
  <c r="AG250" i="10"/>
  <c r="AC250" i="10"/>
  <c r="N250" i="10"/>
  <c r="J250" i="10"/>
  <c r="AL249" i="10"/>
  <c r="AC249" i="10"/>
  <c r="P249" i="10"/>
  <c r="N249" i="10"/>
  <c r="J249" i="10"/>
  <c r="AL248" i="10"/>
  <c r="AC248" i="10"/>
  <c r="N248" i="10"/>
  <c r="J248" i="10"/>
  <c r="AL247" i="10"/>
  <c r="AG247" i="10"/>
  <c r="AE247" i="10"/>
  <c r="AC247" i="10"/>
  <c r="N247" i="10"/>
  <c r="J247" i="10"/>
  <c r="AL246" i="10"/>
  <c r="AG246" i="10"/>
  <c r="AC246" i="10"/>
  <c r="N246" i="10"/>
  <c r="J246" i="10"/>
  <c r="AL245" i="10"/>
  <c r="AG245" i="10"/>
  <c r="AC245" i="10"/>
  <c r="N245" i="10"/>
  <c r="J245" i="10"/>
  <c r="AL244" i="10"/>
  <c r="AG244" i="10"/>
  <c r="AC244" i="10"/>
  <c r="N244" i="10"/>
  <c r="J244" i="10"/>
  <c r="AL243" i="10"/>
  <c r="AG243" i="10"/>
  <c r="AC243" i="10"/>
  <c r="N243" i="10"/>
  <c r="J243" i="10"/>
  <c r="AL242" i="10"/>
  <c r="AC242" i="10"/>
  <c r="P242" i="10"/>
  <c r="N242" i="10"/>
  <c r="J242" i="10"/>
  <c r="AL241" i="10"/>
  <c r="AC241" i="10"/>
  <c r="N241" i="10"/>
  <c r="J241" i="10"/>
  <c r="AL240" i="10"/>
  <c r="AG240" i="10"/>
  <c r="AE240" i="10"/>
  <c r="AC240" i="10"/>
  <c r="N240" i="10"/>
  <c r="J240" i="10"/>
  <c r="AL239" i="10"/>
  <c r="AG239" i="10"/>
  <c r="AC239" i="10"/>
  <c r="N239" i="10"/>
  <c r="J239" i="10"/>
  <c r="AL238" i="10"/>
  <c r="AG238" i="10"/>
  <c r="AC238" i="10"/>
  <c r="N238" i="10"/>
  <c r="J238" i="10"/>
  <c r="AL237" i="10"/>
  <c r="AG237" i="10"/>
  <c r="AC237" i="10"/>
  <c r="N237" i="10"/>
  <c r="J237" i="10"/>
  <c r="AL236" i="10"/>
  <c r="AG236" i="10"/>
  <c r="AC236" i="10"/>
  <c r="N236" i="10"/>
  <c r="J236" i="10"/>
  <c r="AL235" i="10"/>
  <c r="AC235" i="10"/>
  <c r="P235" i="10"/>
  <c r="N235" i="10"/>
  <c r="J235" i="10"/>
  <c r="AL234" i="10"/>
  <c r="AC234" i="10"/>
  <c r="N234" i="10"/>
  <c r="J234" i="10"/>
  <c r="AL233" i="10"/>
  <c r="AG233" i="10"/>
  <c r="AE233" i="10"/>
  <c r="AC233" i="10"/>
  <c r="N233" i="10"/>
  <c r="J233" i="10"/>
  <c r="AL232" i="10"/>
  <c r="AG232" i="10"/>
  <c r="AC232" i="10"/>
  <c r="N232" i="10"/>
  <c r="J232" i="10"/>
  <c r="AL231" i="10"/>
  <c r="AG231" i="10"/>
  <c r="AC231" i="10"/>
  <c r="N231" i="10"/>
  <c r="J231" i="10"/>
  <c r="AL230" i="10"/>
  <c r="AG230" i="10"/>
  <c r="AC230" i="10"/>
  <c r="N230" i="10"/>
  <c r="J230" i="10"/>
  <c r="AL229" i="10"/>
  <c r="AG229" i="10"/>
  <c r="AC229" i="10"/>
  <c r="N229" i="10"/>
  <c r="J229" i="10"/>
  <c r="AL228" i="10"/>
  <c r="AC228" i="10"/>
  <c r="P228" i="10"/>
  <c r="N228" i="10"/>
  <c r="J228" i="10"/>
  <c r="AL227" i="10"/>
  <c r="AC227" i="10"/>
  <c r="N227" i="10"/>
  <c r="J227" i="10"/>
  <c r="AL226" i="10"/>
  <c r="AG226" i="10"/>
  <c r="AE226" i="10"/>
  <c r="AC226" i="10"/>
  <c r="N226" i="10"/>
  <c r="J226" i="10"/>
  <c r="AL225" i="10"/>
  <c r="AG225" i="10"/>
  <c r="AC225" i="10"/>
  <c r="N225" i="10"/>
  <c r="J225" i="10"/>
  <c r="AL224" i="10"/>
  <c r="AG224" i="10"/>
  <c r="AC224" i="10"/>
  <c r="N224" i="10"/>
  <c r="J224" i="10"/>
  <c r="AL223" i="10"/>
  <c r="AG223" i="10"/>
  <c r="AC223" i="10"/>
  <c r="N223" i="10"/>
  <c r="J223" i="10"/>
  <c r="AL222" i="10"/>
  <c r="AG222" i="10"/>
  <c r="AC222" i="10"/>
  <c r="N222" i="10"/>
  <c r="J222" i="10"/>
  <c r="AL221" i="10"/>
  <c r="AC221" i="10"/>
  <c r="P221" i="10"/>
  <c r="N221" i="10"/>
  <c r="J221" i="10"/>
  <c r="AL220" i="10"/>
  <c r="AC220" i="10"/>
  <c r="N220" i="10"/>
  <c r="J220" i="10"/>
  <c r="AL219" i="10"/>
  <c r="AG219" i="10"/>
  <c r="AE219" i="10"/>
  <c r="AC219" i="10"/>
  <c r="N219" i="10"/>
  <c r="J219" i="10"/>
  <c r="AL218" i="10"/>
  <c r="AG218" i="10"/>
  <c r="AC218" i="10"/>
  <c r="N218" i="10"/>
  <c r="J218" i="10"/>
  <c r="AL217" i="10"/>
  <c r="AG217" i="10"/>
  <c r="AC217" i="10"/>
  <c r="N217" i="10"/>
  <c r="J217" i="10"/>
  <c r="AL216" i="10"/>
  <c r="AG216" i="10"/>
  <c r="AC216" i="10"/>
  <c r="N216" i="10"/>
  <c r="J216" i="10"/>
  <c r="AL215" i="10"/>
  <c r="AG215" i="10"/>
  <c r="AC215" i="10"/>
  <c r="N215" i="10"/>
  <c r="J215" i="10"/>
  <c r="AL214" i="10"/>
  <c r="AC214" i="10"/>
  <c r="P214" i="10"/>
  <c r="N214" i="10"/>
  <c r="J214" i="10"/>
  <c r="AL213" i="10"/>
  <c r="AC213" i="10"/>
  <c r="N213" i="10"/>
  <c r="J213" i="10"/>
  <c r="AL212" i="10"/>
  <c r="AG212" i="10"/>
  <c r="AE212" i="10"/>
  <c r="AC212" i="10"/>
  <c r="N212" i="10"/>
  <c r="J212" i="10"/>
  <c r="AL211" i="10"/>
  <c r="AG211" i="10"/>
  <c r="AC211" i="10"/>
  <c r="N211" i="10"/>
  <c r="J211" i="10"/>
  <c r="AL210" i="10"/>
  <c r="AG210" i="10"/>
  <c r="AC210" i="10"/>
  <c r="N210" i="10"/>
  <c r="J210" i="10"/>
  <c r="AL209" i="10"/>
  <c r="AG209" i="10"/>
  <c r="AC209" i="10"/>
  <c r="N209" i="10"/>
  <c r="J209" i="10"/>
  <c r="AL208" i="10"/>
  <c r="AG208" i="10"/>
  <c r="AC208" i="10"/>
  <c r="N208" i="10"/>
  <c r="J208" i="10"/>
  <c r="AL207" i="10"/>
  <c r="AC207" i="10"/>
  <c r="P207" i="10"/>
  <c r="N207" i="10"/>
  <c r="J207" i="10"/>
  <c r="AL206" i="10"/>
  <c r="AC206" i="10"/>
  <c r="N206" i="10"/>
  <c r="J206" i="10"/>
  <c r="AL205" i="10"/>
  <c r="AG205" i="10"/>
  <c r="AE205" i="10"/>
  <c r="AC205" i="10"/>
  <c r="N205" i="10"/>
  <c r="J205" i="10"/>
  <c r="AL204" i="10"/>
  <c r="AG204" i="10"/>
  <c r="AC204" i="10"/>
  <c r="N204" i="10"/>
  <c r="J204" i="10"/>
  <c r="AL203" i="10"/>
  <c r="AG203" i="10"/>
  <c r="AC203" i="10"/>
  <c r="N203" i="10"/>
  <c r="J203" i="10"/>
  <c r="AL202" i="10"/>
  <c r="AG202" i="10"/>
  <c r="AC202" i="10"/>
  <c r="N202" i="10"/>
  <c r="J202" i="10"/>
  <c r="AL201" i="10"/>
  <c r="AG201" i="10"/>
  <c r="AC201" i="10"/>
  <c r="N201" i="10"/>
  <c r="J201" i="10"/>
  <c r="AL200" i="10"/>
  <c r="AC200" i="10"/>
  <c r="P200" i="10"/>
  <c r="N200" i="10"/>
  <c r="J200" i="10"/>
  <c r="AL199" i="10"/>
  <c r="AC199" i="10"/>
  <c r="N199" i="10"/>
  <c r="J199" i="10"/>
  <c r="AL198" i="10"/>
  <c r="AG198" i="10"/>
  <c r="AE198" i="10"/>
  <c r="AC198" i="10"/>
  <c r="N198" i="10"/>
  <c r="J198" i="10"/>
  <c r="AL197" i="10"/>
  <c r="AG197" i="10"/>
  <c r="AC197" i="10"/>
  <c r="N197" i="10"/>
  <c r="J197" i="10"/>
  <c r="AL196" i="10"/>
  <c r="AG196" i="10"/>
  <c r="AC196" i="10"/>
  <c r="N196" i="10"/>
  <c r="J196" i="10"/>
  <c r="AL195" i="10"/>
  <c r="AG195" i="10"/>
  <c r="AC195" i="10"/>
  <c r="N195" i="10"/>
  <c r="J195" i="10"/>
  <c r="AL194" i="10"/>
  <c r="AG194" i="10"/>
  <c r="AC194" i="10"/>
  <c r="N194" i="10"/>
  <c r="J194" i="10"/>
  <c r="AL193" i="10"/>
  <c r="AC193" i="10"/>
  <c r="P193" i="10"/>
  <c r="N193" i="10"/>
  <c r="J193" i="10"/>
  <c r="AL192" i="10"/>
  <c r="AC192" i="10"/>
  <c r="N192" i="10"/>
  <c r="J192" i="10"/>
  <c r="AL191" i="10"/>
  <c r="AG191" i="10"/>
  <c r="AE191" i="10"/>
  <c r="AC191" i="10"/>
  <c r="N191" i="10"/>
  <c r="J191" i="10"/>
  <c r="AL190" i="10"/>
  <c r="AG190" i="10"/>
  <c r="AC190" i="10"/>
  <c r="N190" i="10"/>
  <c r="J190" i="10"/>
  <c r="AL189" i="10"/>
  <c r="AG189" i="10"/>
  <c r="AC189" i="10"/>
  <c r="N189" i="10"/>
  <c r="J189" i="10"/>
  <c r="AL188" i="10"/>
  <c r="AG188" i="10"/>
  <c r="AC188" i="10"/>
  <c r="N188" i="10"/>
  <c r="J188" i="10"/>
  <c r="AL187" i="10"/>
  <c r="AG187" i="10"/>
  <c r="AC187" i="10"/>
  <c r="N187" i="10"/>
  <c r="J187" i="10"/>
  <c r="AL186" i="10"/>
  <c r="AC186" i="10"/>
  <c r="P186" i="10"/>
  <c r="N186" i="10"/>
  <c r="J186" i="10"/>
  <c r="AL185" i="10"/>
  <c r="AC185" i="10"/>
  <c r="N185" i="10"/>
  <c r="J185" i="10"/>
  <c r="AL184" i="10"/>
  <c r="AG184" i="10"/>
  <c r="AE184" i="10"/>
  <c r="AC184" i="10"/>
  <c r="N184" i="10"/>
  <c r="J184" i="10"/>
  <c r="AL183" i="10"/>
  <c r="AG183" i="10"/>
  <c r="AC183" i="10"/>
  <c r="N183" i="10"/>
  <c r="J183" i="10"/>
  <c r="AL182" i="10"/>
  <c r="AG182" i="10"/>
  <c r="AC182" i="10"/>
  <c r="N182" i="10"/>
  <c r="J182" i="10"/>
  <c r="AL181" i="10"/>
  <c r="AG181" i="10"/>
  <c r="AC181" i="10"/>
  <c r="N181" i="10"/>
  <c r="J181" i="10"/>
  <c r="AL180" i="10"/>
  <c r="AG180" i="10"/>
  <c r="AC180" i="10"/>
  <c r="N180" i="10"/>
  <c r="J180" i="10"/>
  <c r="AL179" i="10"/>
  <c r="AC179" i="10"/>
  <c r="P179" i="10"/>
  <c r="N179" i="10"/>
  <c r="J179" i="10"/>
  <c r="AL178" i="10"/>
  <c r="AC178" i="10"/>
  <c r="N178" i="10"/>
  <c r="J178" i="10"/>
  <c r="AL177" i="10"/>
  <c r="AG177" i="10"/>
  <c r="AE177" i="10"/>
  <c r="AC177" i="10"/>
  <c r="N177" i="10"/>
  <c r="J177" i="10"/>
  <c r="AL176" i="10"/>
  <c r="AG176" i="10"/>
  <c r="AC176" i="10"/>
  <c r="N176" i="10"/>
  <c r="J176" i="10"/>
  <c r="AL175" i="10"/>
  <c r="AG175" i="10"/>
  <c r="AC175" i="10"/>
  <c r="N175" i="10"/>
  <c r="J175" i="10"/>
  <c r="AL174" i="10"/>
  <c r="AG174" i="10"/>
  <c r="AC174" i="10"/>
  <c r="N174" i="10"/>
  <c r="J174" i="10"/>
  <c r="AL173" i="10"/>
  <c r="AG173" i="10"/>
  <c r="AC173" i="10"/>
  <c r="N173" i="10"/>
  <c r="J173" i="10"/>
  <c r="AL172" i="10"/>
  <c r="AC172" i="10"/>
  <c r="P172" i="10"/>
  <c r="N172" i="10"/>
  <c r="J172" i="10"/>
  <c r="AL171" i="10"/>
  <c r="AC171" i="10"/>
  <c r="N171" i="10"/>
  <c r="J171" i="10"/>
  <c r="AL170" i="10"/>
  <c r="AG170" i="10"/>
  <c r="AE170" i="10"/>
  <c r="AC170" i="10"/>
  <c r="N170" i="10"/>
  <c r="J170" i="10"/>
  <c r="AL169" i="10"/>
  <c r="AG169" i="10"/>
  <c r="AC169" i="10"/>
  <c r="N169" i="10"/>
  <c r="J169" i="10"/>
  <c r="AL168" i="10"/>
  <c r="AG168" i="10"/>
  <c r="AC168" i="10"/>
  <c r="N168" i="10"/>
  <c r="J168" i="10"/>
  <c r="AL167" i="10"/>
  <c r="AG167" i="10"/>
  <c r="AC167" i="10"/>
  <c r="N167" i="10"/>
  <c r="J167" i="10"/>
  <c r="AL166" i="10"/>
  <c r="AG166" i="10"/>
  <c r="AC166" i="10"/>
  <c r="N166" i="10"/>
  <c r="J166" i="10"/>
  <c r="AL165" i="10"/>
  <c r="AC165" i="10"/>
  <c r="P165" i="10"/>
  <c r="N165" i="10"/>
  <c r="J165" i="10"/>
  <c r="AL164" i="10"/>
  <c r="AC164" i="10"/>
  <c r="N164" i="10"/>
  <c r="J164" i="10"/>
  <c r="AL163" i="10"/>
  <c r="AG163" i="10"/>
  <c r="AE163" i="10"/>
  <c r="AC163" i="10"/>
  <c r="N163" i="10"/>
  <c r="J163" i="10"/>
  <c r="AL162" i="10"/>
  <c r="AG162" i="10"/>
  <c r="AC162" i="10"/>
  <c r="N162" i="10"/>
  <c r="J162" i="10"/>
  <c r="AL161" i="10"/>
  <c r="AG161" i="10"/>
  <c r="AC161" i="10"/>
  <c r="N161" i="10"/>
  <c r="J161" i="10"/>
  <c r="AL160" i="10"/>
  <c r="AG160" i="10"/>
  <c r="AC160" i="10"/>
  <c r="N160" i="10"/>
  <c r="J160" i="10"/>
  <c r="AL159" i="10"/>
  <c r="AG159" i="10"/>
  <c r="AC159" i="10"/>
  <c r="N159" i="10"/>
  <c r="J159" i="10"/>
  <c r="AL158" i="10"/>
  <c r="AC158" i="10"/>
  <c r="P158" i="10"/>
  <c r="N158" i="10"/>
  <c r="J158" i="10"/>
  <c r="AL157" i="10"/>
  <c r="AC157" i="10"/>
  <c r="N157" i="10"/>
  <c r="J157" i="10"/>
  <c r="AL156" i="10"/>
  <c r="AG156" i="10"/>
  <c r="AE156" i="10"/>
  <c r="AC156" i="10"/>
  <c r="N156" i="10"/>
  <c r="J156" i="10"/>
  <c r="AL155" i="10"/>
  <c r="AG155" i="10"/>
  <c r="AC155" i="10"/>
  <c r="N155" i="10"/>
  <c r="J155" i="10"/>
  <c r="AL154" i="10"/>
  <c r="AG154" i="10"/>
  <c r="AC154" i="10"/>
  <c r="N154" i="10"/>
  <c r="J154" i="10"/>
  <c r="AL153" i="10"/>
  <c r="AG153" i="10"/>
  <c r="AC153" i="10"/>
  <c r="N153" i="10"/>
  <c r="J153" i="10"/>
  <c r="AL152" i="10"/>
  <c r="AG152" i="10"/>
  <c r="AC152" i="10"/>
  <c r="N152" i="10"/>
  <c r="J152" i="10"/>
  <c r="AL151" i="10"/>
  <c r="AC151" i="10"/>
  <c r="P151" i="10"/>
  <c r="N151" i="10"/>
  <c r="J151" i="10"/>
  <c r="AL150" i="10"/>
  <c r="AC150" i="10"/>
  <c r="N150" i="10"/>
  <c r="J150" i="10"/>
  <c r="AL149" i="10"/>
  <c r="AG149" i="10"/>
  <c r="AE149" i="10"/>
  <c r="AC149" i="10"/>
  <c r="N149" i="10"/>
  <c r="J149" i="10"/>
  <c r="AL148" i="10"/>
  <c r="AG148" i="10"/>
  <c r="AC148" i="10"/>
  <c r="N148" i="10"/>
  <c r="J148" i="10"/>
  <c r="AL147" i="10"/>
  <c r="AG147" i="10"/>
  <c r="AC147" i="10"/>
  <c r="N147" i="10"/>
  <c r="J147" i="10"/>
  <c r="AL146" i="10"/>
  <c r="AG146" i="10"/>
  <c r="AC146" i="10"/>
  <c r="N146" i="10"/>
  <c r="J146" i="10"/>
  <c r="AL145" i="10"/>
  <c r="AG145" i="10"/>
  <c r="AC145" i="10"/>
  <c r="N145" i="10"/>
  <c r="J145" i="10"/>
  <c r="AL144" i="10"/>
  <c r="AC144" i="10"/>
  <c r="P144" i="10"/>
  <c r="N144" i="10"/>
  <c r="J144" i="10"/>
  <c r="AL143" i="10"/>
  <c r="AC143" i="10"/>
  <c r="N143" i="10"/>
  <c r="J143" i="10"/>
  <c r="AL142" i="10"/>
  <c r="AG142" i="10"/>
  <c r="AE142" i="10"/>
  <c r="AC142" i="10"/>
  <c r="N142" i="10"/>
  <c r="J142" i="10"/>
  <c r="AL141" i="10"/>
  <c r="AG141" i="10"/>
  <c r="AC141" i="10"/>
  <c r="N141" i="10"/>
  <c r="J141" i="10"/>
  <c r="AL140" i="10"/>
  <c r="AG140" i="10"/>
  <c r="AC140" i="10"/>
  <c r="N140" i="10"/>
  <c r="J140" i="10"/>
  <c r="AL139" i="10"/>
  <c r="AG139" i="10"/>
  <c r="AC139" i="10"/>
  <c r="N139" i="10"/>
  <c r="J139" i="10"/>
  <c r="AL138" i="10"/>
  <c r="AG138" i="10"/>
  <c r="AC138" i="10"/>
  <c r="N138" i="10"/>
  <c r="J138" i="10"/>
  <c r="AL137" i="10"/>
  <c r="AC137" i="10"/>
  <c r="P137" i="10"/>
  <c r="N137" i="10"/>
  <c r="J137" i="10"/>
  <c r="AL136" i="10"/>
  <c r="AC136" i="10"/>
  <c r="N136" i="10"/>
  <c r="J136" i="10"/>
  <c r="AL135" i="10"/>
  <c r="AG135" i="10"/>
  <c r="AE135" i="10"/>
  <c r="AC135" i="10"/>
  <c r="N135" i="10"/>
  <c r="J135" i="10"/>
  <c r="AL134" i="10"/>
  <c r="AG134" i="10"/>
  <c r="AC134" i="10"/>
  <c r="N134" i="10"/>
  <c r="J134" i="10"/>
  <c r="AL133" i="10"/>
  <c r="AG133" i="10"/>
  <c r="AC133" i="10"/>
  <c r="N133" i="10"/>
  <c r="J133" i="10"/>
  <c r="AL132" i="10"/>
  <c r="AG132" i="10"/>
  <c r="AC132" i="10"/>
  <c r="N132" i="10"/>
  <c r="J132" i="10"/>
  <c r="AL131" i="10"/>
  <c r="AG131" i="10"/>
  <c r="AC131" i="10"/>
  <c r="N131" i="10"/>
  <c r="J131" i="10"/>
  <c r="AL130" i="10"/>
  <c r="AC130" i="10"/>
  <c r="P130" i="10"/>
  <c r="N130" i="10"/>
  <c r="J130" i="10"/>
  <c r="AL129" i="10"/>
  <c r="AC129" i="10"/>
  <c r="N129" i="10"/>
  <c r="J129" i="10"/>
  <c r="AL128" i="10"/>
  <c r="AG128" i="10"/>
  <c r="AE128" i="10"/>
  <c r="AC128" i="10"/>
  <c r="N128" i="10"/>
  <c r="J128" i="10"/>
  <c r="AL127" i="10"/>
  <c r="AG127" i="10"/>
  <c r="AC127" i="10"/>
  <c r="N127" i="10"/>
  <c r="J127" i="10"/>
  <c r="AL126" i="10"/>
  <c r="AG126" i="10"/>
  <c r="AC126" i="10"/>
  <c r="N126" i="10"/>
  <c r="J126" i="10"/>
  <c r="AL125" i="10"/>
  <c r="AG125" i="10"/>
  <c r="AC125" i="10"/>
  <c r="N125" i="10"/>
  <c r="J125" i="10"/>
  <c r="AL124" i="10"/>
  <c r="AG124" i="10"/>
  <c r="AC124" i="10"/>
  <c r="N124" i="10"/>
  <c r="J124" i="10"/>
  <c r="AL123" i="10"/>
  <c r="AC123" i="10"/>
  <c r="P123" i="10"/>
  <c r="N123" i="10"/>
  <c r="J123" i="10"/>
  <c r="AL122" i="10"/>
  <c r="AC122" i="10"/>
  <c r="N122" i="10"/>
  <c r="J122" i="10"/>
  <c r="AL121" i="10"/>
  <c r="AG121" i="10"/>
  <c r="AE121" i="10"/>
  <c r="AC121" i="10"/>
  <c r="N121" i="10"/>
  <c r="J121" i="10"/>
  <c r="AL120" i="10"/>
  <c r="AG120" i="10"/>
  <c r="AC120" i="10"/>
  <c r="N120" i="10"/>
  <c r="J120" i="10"/>
  <c r="AL119" i="10"/>
  <c r="AG119" i="10"/>
  <c r="AC119" i="10"/>
  <c r="N119" i="10"/>
  <c r="J119" i="10"/>
  <c r="AL118" i="10"/>
  <c r="AG118" i="10"/>
  <c r="AC118" i="10"/>
  <c r="N118" i="10"/>
  <c r="J118" i="10"/>
  <c r="AL117" i="10"/>
  <c r="AG117" i="10"/>
  <c r="AC117" i="10"/>
  <c r="N117" i="10"/>
  <c r="J117" i="10"/>
  <c r="AL116" i="10"/>
  <c r="AC116" i="10"/>
  <c r="P116" i="10"/>
  <c r="N116" i="10"/>
  <c r="J116" i="10"/>
  <c r="AL115" i="10"/>
  <c r="AC115" i="10"/>
  <c r="N115" i="10"/>
  <c r="J115" i="10"/>
  <c r="AL114" i="10"/>
  <c r="AG114" i="10"/>
  <c r="AE114" i="10"/>
  <c r="AC114" i="10"/>
  <c r="N114" i="10"/>
  <c r="J114" i="10"/>
  <c r="AL113" i="10"/>
  <c r="AG113" i="10"/>
  <c r="AC113" i="10"/>
  <c r="N113" i="10"/>
  <c r="J113" i="10"/>
  <c r="AL112" i="10"/>
  <c r="AG112" i="10"/>
  <c r="AC112" i="10"/>
  <c r="N112" i="10"/>
  <c r="J112" i="10"/>
  <c r="AL111" i="10"/>
  <c r="AG111" i="10"/>
  <c r="AC111" i="10"/>
  <c r="N111" i="10"/>
  <c r="J111" i="10"/>
  <c r="AL110" i="10"/>
  <c r="AG110" i="10"/>
  <c r="AC110" i="10"/>
  <c r="N110" i="10"/>
  <c r="J110" i="10"/>
  <c r="AL109" i="10"/>
  <c r="AC109" i="10"/>
  <c r="P109" i="10"/>
  <c r="N109" i="10"/>
  <c r="J109" i="10"/>
  <c r="AL108" i="10"/>
  <c r="AC108" i="10"/>
  <c r="N108" i="10"/>
  <c r="J108" i="10"/>
  <c r="AL107" i="10"/>
  <c r="AG107" i="10"/>
  <c r="AE107" i="10"/>
  <c r="AC107" i="10"/>
  <c r="N107" i="10"/>
  <c r="J107" i="10"/>
  <c r="AL106" i="10"/>
  <c r="AG106" i="10"/>
  <c r="AC106" i="10"/>
  <c r="N106" i="10"/>
  <c r="J106" i="10"/>
  <c r="AL105" i="10"/>
  <c r="AG105" i="10"/>
  <c r="AC105" i="10"/>
  <c r="N105" i="10"/>
  <c r="J105" i="10"/>
  <c r="AL104" i="10"/>
  <c r="AG104" i="10"/>
  <c r="AC104" i="10"/>
  <c r="N104" i="10"/>
  <c r="J104" i="10"/>
  <c r="AL103" i="10"/>
  <c r="AG103" i="10"/>
  <c r="AC103" i="10"/>
  <c r="N103" i="10"/>
  <c r="J103" i="10"/>
  <c r="AL102" i="10"/>
  <c r="AC102" i="10"/>
  <c r="P102" i="10"/>
  <c r="N102" i="10"/>
  <c r="J102" i="10"/>
  <c r="AL101" i="10"/>
  <c r="AC101" i="10"/>
  <c r="N101" i="10"/>
  <c r="J101" i="10"/>
  <c r="AL100" i="10"/>
  <c r="AG100" i="10"/>
  <c r="AE100" i="10"/>
  <c r="AC100" i="10"/>
  <c r="N100" i="10"/>
  <c r="J100" i="10"/>
  <c r="AL99" i="10"/>
  <c r="AG99" i="10"/>
  <c r="AC99" i="10"/>
  <c r="N99" i="10"/>
  <c r="J99" i="10"/>
  <c r="AL98" i="10"/>
  <c r="AG98" i="10"/>
  <c r="AC98" i="10"/>
  <c r="N98" i="10"/>
  <c r="J98" i="10"/>
  <c r="AL97" i="10"/>
  <c r="AG97" i="10"/>
  <c r="AC97" i="10"/>
  <c r="N97" i="10"/>
  <c r="J97" i="10"/>
  <c r="AL96" i="10"/>
  <c r="AG96" i="10"/>
  <c r="AC96" i="10"/>
  <c r="N96" i="10"/>
  <c r="J96" i="10"/>
  <c r="AL95" i="10"/>
  <c r="AC95" i="10"/>
  <c r="P95" i="10"/>
  <c r="N95" i="10"/>
  <c r="J95" i="10"/>
  <c r="AL94" i="10"/>
  <c r="AC94" i="10"/>
  <c r="N94" i="10"/>
  <c r="J94" i="10"/>
  <c r="AL93" i="10"/>
  <c r="AG93" i="10"/>
  <c r="AE93" i="10"/>
  <c r="AC93" i="10"/>
  <c r="N93" i="10"/>
  <c r="J93" i="10"/>
  <c r="AL92" i="10"/>
  <c r="AG92" i="10"/>
  <c r="AC92" i="10"/>
  <c r="N92" i="10"/>
  <c r="J92" i="10"/>
  <c r="AL91" i="10"/>
  <c r="AG91" i="10"/>
  <c r="AC91" i="10"/>
  <c r="N91" i="10"/>
  <c r="J91" i="10"/>
  <c r="AL90" i="10"/>
  <c r="AG90" i="10"/>
  <c r="AC90" i="10"/>
  <c r="N90" i="10"/>
  <c r="J90" i="10"/>
  <c r="AL89" i="10"/>
  <c r="AG89" i="10"/>
  <c r="AC89" i="10"/>
  <c r="N89" i="10"/>
  <c r="J89" i="10"/>
  <c r="AL88" i="10"/>
  <c r="AC88" i="10"/>
  <c r="P88" i="10"/>
  <c r="N88" i="10"/>
  <c r="J88" i="10"/>
  <c r="AL87" i="10"/>
  <c r="AC87" i="10"/>
  <c r="N87" i="10"/>
  <c r="J87" i="10"/>
  <c r="AL86" i="10"/>
  <c r="AG86" i="10"/>
  <c r="AE86" i="10"/>
  <c r="AC86" i="10"/>
  <c r="N86" i="10"/>
  <c r="J86" i="10"/>
  <c r="AL85" i="10"/>
  <c r="AG85" i="10"/>
  <c r="AC85" i="10"/>
  <c r="N85" i="10"/>
  <c r="J85" i="10"/>
  <c r="AL84" i="10"/>
  <c r="AG84" i="10"/>
  <c r="AC84" i="10"/>
  <c r="N84" i="10"/>
  <c r="J84" i="10"/>
  <c r="AL83" i="10"/>
  <c r="AG83" i="10"/>
  <c r="AC83" i="10"/>
  <c r="N83" i="10"/>
  <c r="J83" i="10"/>
  <c r="AL82" i="10"/>
  <c r="AG82" i="10"/>
  <c r="AC82" i="10"/>
  <c r="N82" i="10"/>
  <c r="J82" i="10"/>
  <c r="AL81" i="10"/>
  <c r="AC81" i="10"/>
  <c r="P81" i="10"/>
  <c r="N81" i="10"/>
  <c r="J81" i="10"/>
  <c r="AL80" i="10"/>
  <c r="AC80" i="10"/>
  <c r="N80" i="10"/>
  <c r="J80" i="10"/>
  <c r="AL79" i="10"/>
  <c r="AG79" i="10"/>
  <c r="AE79" i="10"/>
  <c r="AC79" i="10"/>
  <c r="N79" i="10"/>
  <c r="J79" i="10"/>
  <c r="AL78" i="10"/>
  <c r="AG78" i="10"/>
  <c r="AC78" i="10"/>
  <c r="N78" i="10"/>
  <c r="J78" i="10"/>
  <c r="AL77" i="10"/>
  <c r="AG77" i="10"/>
  <c r="AC77" i="10"/>
  <c r="N77" i="10"/>
  <c r="J77" i="10"/>
  <c r="AL76" i="10"/>
  <c r="AG76" i="10"/>
  <c r="AC76" i="10"/>
  <c r="N76" i="10"/>
  <c r="J76" i="10"/>
  <c r="AL75" i="10"/>
  <c r="AG75" i="10"/>
  <c r="AC75" i="10"/>
  <c r="N75" i="10"/>
  <c r="J75" i="10"/>
  <c r="AL74" i="10"/>
  <c r="AC74" i="10"/>
  <c r="P74" i="10"/>
  <c r="N74" i="10"/>
  <c r="J74" i="10"/>
  <c r="AL73" i="10"/>
  <c r="AC73" i="10"/>
  <c r="N73" i="10"/>
  <c r="J73" i="10"/>
  <c r="AL72" i="10"/>
  <c r="AG72" i="10"/>
  <c r="AE72" i="10"/>
  <c r="AC72" i="10"/>
  <c r="N72" i="10"/>
  <c r="J72" i="10"/>
  <c r="AL71" i="10"/>
  <c r="AG71" i="10"/>
  <c r="AC71" i="10"/>
  <c r="N71" i="10"/>
  <c r="J71" i="10"/>
  <c r="AL70" i="10"/>
  <c r="AG70" i="10"/>
  <c r="AC70" i="10"/>
  <c r="N70" i="10"/>
  <c r="J70" i="10"/>
  <c r="AL69" i="10"/>
  <c r="AG69" i="10"/>
  <c r="AC69" i="10"/>
  <c r="N69" i="10"/>
  <c r="J69" i="10"/>
  <c r="AL68" i="10"/>
  <c r="AG68" i="10"/>
  <c r="AC68" i="10"/>
  <c r="N68" i="10"/>
  <c r="J68" i="10"/>
  <c r="AL67" i="10"/>
  <c r="AC67" i="10"/>
  <c r="P67" i="10"/>
  <c r="N67" i="10"/>
  <c r="J67" i="10"/>
  <c r="AL66" i="10"/>
  <c r="AC66" i="10"/>
  <c r="N66" i="10"/>
  <c r="J66" i="10"/>
  <c r="AL65" i="10"/>
  <c r="AG65" i="10"/>
  <c r="AE65" i="10"/>
  <c r="AC65" i="10"/>
  <c r="N65" i="10"/>
  <c r="J65" i="10"/>
  <c r="AL64" i="10"/>
  <c r="AG64" i="10"/>
  <c r="AC64" i="10"/>
  <c r="N64" i="10"/>
  <c r="J64" i="10"/>
  <c r="AL63" i="10"/>
  <c r="AG63" i="10"/>
  <c r="AC63" i="10"/>
  <c r="N63" i="10"/>
  <c r="J63" i="10"/>
  <c r="AL62" i="10"/>
  <c r="AG62" i="10"/>
  <c r="AC62" i="10"/>
  <c r="N62" i="10"/>
  <c r="J62" i="10"/>
  <c r="AL61" i="10"/>
  <c r="AG61" i="10"/>
  <c r="AC61" i="10"/>
  <c r="N61" i="10"/>
  <c r="J61" i="10"/>
  <c r="AL60" i="10"/>
  <c r="AC60" i="10"/>
  <c r="P60" i="10"/>
  <c r="N60" i="10"/>
  <c r="J60" i="10"/>
  <c r="AL59" i="10"/>
  <c r="AC59" i="10"/>
  <c r="N59" i="10"/>
  <c r="J59" i="10"/>
  <c r="AL58" i="10"/>
  <c r="AG58" i="10"/>
  <c r="AE58" i="10"/>
  <c r="AC58" i="10"/>
  <c r="N58" i="10"/>
  <c r="J58" i="10"/>
  <c r="AL57" i="10"/>
  <c r="AG57" i="10"/>
  <c r="AC57" i="10"/>
  <c r="N57" i="10"/>
  <c r="J57" i="10"/>
  <c r="AL56" i="10"/>
  <c r="AG56" i="10"/>
  <c r="AC56" i="10"/>
  <c r="N56" i="10"/>
  <c r="J56" i="10"/>
  <c r="AL55" i="10"/>
  <c r="AG55" i="10"/>
  <c r="AC55" i="10"/>
  <c r="N55" i="10"/>
  <c r="J55" i="10"/>
  <c r="AL54" i="10"/>
  <c r="AG54" i="10"/>
  <c r="AC54" i="10"/>
  <c r="N54" i="10"/>
  <c r="J54" i="10"/>
  <c r="AL53" i="10"/>
  <c r="AC53" i="10"/>
  <c r="P53" i="10"/>
  <c r="N53" i="10"/>
  <c r="J53" i="10"/>
  <c r="AL52" i="10"/>
  <c r="AC52" i="10"/>
  <c r="N52" i="10"/>
  <c r="J52" i="10"/>
  <c r="AL51" i="10"/>
  <c r="AG51" i="10"/>
  <c r="AE51" i="10"/>
  <c r="AC51" i="10"/>
  <c r="N51" i="10"/>
  <c r="J51" i="10"/>
  <c r="AL50" i="10"/>
  <c r="AG50" i="10"/>
  <c r="AC50" i="10"/>
  <c r="N50" i="10"/>
  <c r="J50" i="10"/>
  <c r="AL49" i="10"/>
  <c r="AG49" i="10"/>
  <c r="AC49" i="10"/>
  <c r="N49" i="10"/>
  <c r="J49" i="10"/>
  <c r="AL48" i="10"/>
  <c r="AG48" i="10"/>
  <c r="AC48" i="10"/>
  <c r="N48" i="10"/>
  <c r="J48" i="10"/>
  <c r="AL47" i="10"/>
  <c r="AG47" i="10"/>
  <c r="AC47" i="10"/>
  <c r="N47" i="10"/>
  <c r="J47" i="10"/>
  <c r="AL46" i="10"/>
  <c r="AC46" i="10"/>
  <c r="P46" i="10"/>
  <c r="N46" i="10"/>
  <c r="J46" i="10"/>
  <c r="AL45" i="10"/>
  <c r="AC45" i="10"/>
  <c r="N45" i="10"/>
  <c r="J45" i="10"/>
  <c r="AL44" i="10"/>
  <c r="AG44" i="10"/>
  <c r="AE44" i="10"/>
  <c r="AC44" i="10"/>
  <c r="N44" i="10"/>
  <c r="J44" i="10"/>
  <c r="AL43" i="10"/>
  <c r="AG43" i="10"/>
  <c r="AC43" i="10"/>
  <c r="N43" i="10"/>
  <c r="J43" i="10"/>
  <c r="AL42" i="10"/>
  <c r="AG42" i="10"/>
  <c r="AC42" i="10"/>
  <c r="N42" i="10"/>
  <c r="J42" i="10"/>
  <c r="AL41" i="10"/>
  <c r="AG41" i="10"/>
  <c r="AC41" i="10"/>
  <c r="N41" i="10"/>
  <c r="J41" i="10"/>
  <c r="AL40" i="10"/>
  <c r="AG40" i="10"/>
  <c r="AC40" i="10"/>
  <c r="N40" i="10"/>
  <c r="J40" i="10"/>
  <c r="AL39" i="10"/>
  <c r="AC39" i="10"/>
  <c r="P39" i="10"/>
  <c r="N39" i="10"/>
  <c r="J39" i="10"/>
  <c r="AL38" i="10"/>
  <c r="AC38" i="10"/>
  <c r="N38" i="10"/>
  <c r="J38" i="10"/>
  <c r="AL37" i="10"/>
  <c r="AG37" i="10"/>
  <c r="AE37" i="10"/>
  <c r="AC37" i="10"/>
  <c r="N37" i="10"/>
  <c r="J37" i="10"/>
  <c r="AL36" i="10"/>
  <c r="AG36" i="10"/>
  <c r="AC36" i="10"/>
  <c r="N36" i="10"/>
  <c r="J36" i="10"/>
  <c r="AL35" i="10"/>
  <c r="AG35" i="10"/>
  <c r="AC35" i="10"/>
  <c r="N35" i="10"/>
  <c r="J35" i="10"/>
  <c r="AL34" i="10"/>
  <c r="AG34" i="10"/>
  <c r="AC34" i="10"/>
  <c r="N34" i="10"/>
  <c r="J34" i="10"/>
  <c r="AL33" i="10"/>
  <c r="AG33" i="10"/>
  <c r="AC33" i="10"/>
  <c r="N33" i="10"/>
  <c r="J33" i="10"/>
  <c r="AL32" i="10"/>
  <c r="AC32" i="10"/>
  <c r="P32" i="10"/>
  <c r="N32" i="10"/>
  <c r="J32" i="10"/>
  <c r="AL31" i="10"/>
  <c r="AC31" i="10"/>
  <c r="N31" i="10"/>
  <c r="J31" i="10"/>
  <c r="AL30" i="10"/>
  <c r="AG30" i="10"/>
  <c r="AE30" i="10"/>
  <c r="AC30" i="10"/>
  <c r="N30" i="10"/>
  <c r="J30" i="10"/>
  <c r="AL29" i="10"/>
  <c r="AG29" i="10"/>
  <c r="AC29" i="10"/>
  <c r="N29" i="10"/>
  <c r="J29" i="10"/>
  <c r="AL28" i="10"/>
  <c r="AG28" i="10"/>
  <c r="AC28" i="10"/>
  <c r="N28" i="10"/>
  <c r="J28" i="10"/>
  <c r="AL27" i="10"/>
  <c r="AG27" i="10"/>
  <c r="AC27" i="10"/>
  <c r="N27" i="10"/>
  <c r="J27" i="10"/>
  <c r="AL26" i="10"/>
  <c r="AG26" i="10"/>
  <c r="AC26" i="10"/>
  <c r="N26" i="10"/>
  <c r="J26" i="10"/>
  <c r="AL25" i="10"/>
  <c r="AC25" i="10"/>
  <c r="P25" i="10"/>
  <c r="N25" i="10"/>
  <c r="J25" i="10"/>
  <c r="AL24" i="10"/>
  <c r="AC24" i="10"/>
  <c r="N24" i="10"/>
  <c r="J24" i="10"/>
  <c r="AL23" i="10"/>
  <c r="AG23" i="10"/>
  <c r="AE23" i="10"/>
  <c r="AC23" i="10"/>
  <c r="N23" i="10"/>
  <c r="J23" i="10"/>
  <c r="AL22" i="10"/>
  <c r="AG22" i="10"/>
  <c r="AC22" i="10"/>
  <c r="N22" i="10"/>
  <c r="J22" i="10"/>
  <c r="AL21" i="10"/>
  <c r="AG21" i="10"/>
  <c r="AC21" i="10"/>
  <c r="N21" i="10"/>
  <c r="J21" i="10"/>
  <c r="AL20" i="10"/>
  <c r="AG20" i="10"/>
  <c r="AC20" i="10"/>
  <c r="N20" i="10"/>
  <c r="J20" i="10"/>
  <c r="AL19" i="10"/>
  <c r="AG19" i="10"/>
  <c r="AC19" i="10"/>
  <c r="N19" i="10"/>
  <c r="J19" i="10"/>
  <c r="AL18" i="10"/>
  <c r="AC18" i="10"/>
  <c r="P18" i="10"/>
  <c r="N18" i="10"/>
  <c r="J18" i="10"/>
  <c r="AL17" i="10"/>
  <c r="AC17" i="10"/>
  <c r="N17" i="10"/>
  <c r="J17" i="10"/>
  <c r="AL16" i="10"/>
  <c r="AG16" i="10"/>
  <c r="AE16" i="10"/>
  <c r="AC16" i="10"/>
  <c r="N16" i="10"/>
  <c r="J16" i="10"/>
  <c r="AL15" i="10"/>
  <c r="AG15" i="10"/>
  <c r="AC15" i="10"/>
  <c r="N15" i="10"/>
  <c r="J15" i="10"/>
  <c r="AL14" i="10"/>
  <c r="AG14" i="10"/>
  <c r="AC14" i="10"/>
  <c r="N14" i="10"/>
  <c r="J14" i="10"/>
  <c r="AL13" i="10"/>
  <c r="AG13" i="10"/>
  <c r="AC13" i="10"/>
  <c r="N13" i="10"/>
  <c r="J13" i="10"/>
  <c r="AL12" i="10"/>
  <c r="AG12" i="10"/>
  <c r="AC12" i="10"/>
  <c r="N12" i="10"/>
  <c r="J12" i="10"/>
  <c r="AL11" i="10"/>
  <c r="S11" i="10"/>
  <c r="R11" i="10"/>
  <c r="AF23" i="3"/>
  <c r="O9" i="10"/>
  <c r="O11" i="10"/>
  <c r="Q11" i="10"/>
  <c r="P11" i="10"/>
  <c r="F11" i="10"/>
  <c r="E11" i="10"/>
  <c r="D11" i="10"/>
  <c r="AL10" i="10"/>
  <c r="S10" i="10"/>
  <c r="R10" i="10"/>
  <c r="O10" i="10"/>
  <c r="Q10" i="10"/>
  <c r="F10" i="10"/>
  <c r="E10" i="10"/>
  <c r="D10" i="10"/>
  <c r="AL9" i="10"/>
  <c r="R5" i="10"/>
  <c r="R6" i="10"/>
  <c r="R7" i="10"/>
  <c r="R8" i="10"/>
  <c r="R9" i="10"/>
  <c r="AE9" i="10"/>
  <c r="S9" i="10"/>
  <c r="Q9" i="10"/>
  <c r="J9" i="10"/>
  <c r="F9" i="10"/>
  <c r="E9" i="10"/>
  <c r="D9" i="10"/>
  <c r="AL8" i="10"/>
  <c r="S8" i="10"/>
  <c r="O8" i="10"/>
  <c r="J8" i="10"/>
  <c r="F8" i="10"/>
  <c r="E8" i="10"/>
  <c r="D8" i="10"/>
  <c r="AL7" i="10"/>
  <c r="S7" i="10"/>
  <c r="F7" i="10"/>
  <c r="E7" i="10"/>
  <c r="D7" i="10"/>
  <c r="AL6" i="10"/>
  <c r="S6" i="10"/>
  <c r="J6" i="10"/>
  <c r="F6" i="10"/>
  <c r="E6" i="10"/>
  <c r="D6" i="10"/>
  <c r="AL5" i="10"/>
  <c r="S5" i="10"/>
  <c r="J5" i="10"/>
  <c r="F5" i="10"/>
  <c r="E5" i="10"/>
  <c r="D5" i="10"/>
  <c r="D727" i="10"/>
  <c r="AA4" i="10"/>
  <c r="AQ2" i="10"/>
  <c r="AP2" i="10"/>
  <c r="AO2" i="10"/>
  <c r="AN2" i="10"/>
  <c r="R2" i="10"/>
  <c r="I2" i="10"/>
  <c r="H2" i="10"/>
  <c r="G2" i="12"/>
  <c r="D2" i="10"/>
  <c r="AQ1" i="10"/>
  <c r="AG1" i="10"/>
  <c r="W1" i="10"/>
  <c r="R1" i="10"/>
  <c r="N1" i="10"/>
  <c r="F3" i="12"/>
  <c r="M1" i="10"/>
  <c r="K1" i="10"/>
  <c r="O1" i="12"/>
  <c r="I1" i="10"/>
  <c r="BJ108" i="26"/>
  <c r="BJ107" i="26"/>
  <c r="BJ106" i="26"/>
  <c r="BJ105" i="26"/>
  <c r="BJ104" i="26"/>
  <c r="BJ103" i="26"/>
  <c r="BJ102" i="26"/>
  <c r="BJ101" i="26"/>
  <c r="BJ100" i="26"/>
  <c r="BJ99" i="26"/>
  <c r="BJ98" i="26"/>
  <c r="BJ97" i="26"/>
  <c r="BJ96" i="26"/>
  <c r="BJ95" i="26"/>
  <c r="BJ94" i="26"/>
  <c r="BJ93" i="26"/>
  <c r="BJ92" i="26"/>
  <c r="BJ91" i="26"/>
  <c r="BJ90" i="26"/>
  <c r="BJ89" i="26"/>
  <c r="BJ88" i="26"/>
  <c r="BJ87" i="26"/>
  <c r="BJ86" i="26"/>
  <c r="BJ85" i="26"/>
  <c r="BJ84" i="26"/>
  <c r="BJ83" i="26"/>
  <c r="BJ82" i="26"/>
  <c r="BJ81" i="26"/>
  <c r="BJ80" i="26"/>
  <c r="BJ79" i="26"/>
  <c r="BJ78" i="26"/>
  <c r="BJ77" i="26"/>
  <c r="BJ76" i="26"/>
  <c r="BJ75" i="26"/>
  <c r="BJ74" i="26"/>
  <c r="BJ73" i="26"/>
  <c r="BJ72" i="26"/>
  <c r="BJ71" i="26"/>
  <c r="AY71" i="26"/>
  <c r="BJ70" i="26"/>
  <c r="AY70" i="26"/>
  <c r="BJ69" i="26"/>
  <c r="AY69" i="26"/>
  <c r="BJ68" i="26"/>
  <c r="AY68" i="26"/>
  <c r="BJ67" i="26"/>
  <c r="AY67" i="26"/>
  <c r="BJ66" i="26"/>
  <c r="AY66" i="26"/>
  <c r="BJ65" i="26"/>
  <c r="AY65" i="26"/>
  <c r="BJ64" i="26"/>
  <c r="AY64" i="26"/>
  <c r="BJ63" i="26"/>
  <c r="AY63" i="26"/>
  <c r="BJ62" i="26"/>
  <c r="AY62" i="26"/>
  <c r="BJ61" i="26"/>
  <c r="AY61" i="26"/>
  <c r="BJ60" i="26"/>
  <c r="AY60" i="26"/>
  <c r="BJ59" i="26"/>
  <c r="AY59" i="26"/>
  <c r="BJ58" i="26"/>
  <c r="AY58" i="26"/>
  <c r="BJ57" i="26"/>
  <c r="AY57" i="26"/>
  <c r="BJ56" i="26"/>
  <c r="AY56" i="26"/>
  <c r="BJ55" i="26"/>
  <c r="AY55" i="26"/>
  <c r="BJ54" i="26"/>
  <c r="AY54" i="26"/>
  <c r="BJ53" i="26"/>
  <c r="AY53" i="26"/>
  <c r="BJ52" i="26"/>
  <c r="AY52" i="26"/>
  <c r="BJ51" i="26"/>
  <c r="AY51" i="26"/>
  <c r="BJ50" i="26"/>
  <c r="AY50" i="26"/>
  <c r="BJ49" i="26"/>
  <c r="AY49" i="26"/>
  <c r="BJ48" i="26"/>
  <c r="AY48" i="26"/>
  <c r="BJ47" i="26"/>
  <c r="AY47" i="26"/>
  <c r="BJ46" i="26"/>
  <c r="AY46" i="26"/>
  <c r="BJ45" i="26"/>
  <c r="AY45" i="26"/>
  <c r="BJ44" i="26"/>
  <c r="AY44" i="26"/>
  <c r="BJ43" i="26"/>
  <c r="AY43" i="26"/>
  <c r="BJ42" i="26"/>
  <c r="AY42" i="26"/>
  <c r="BJ41" i="26"/>
  <c r="AY41" i="26"/>
  <c r="BJ40" i="26"/>
  <c r="AY40" i="26"/>
  <c r="BJ39" i="26"/>
  <c r="AY39" i="26"/>
  <c r="BJ38" i="26"/>
  <c r="AY38" i="26"/>
  <c r="BJ37" i="26"/>
  <c r="AY37" i="26"/>
  <c r="BJ36" i="26"/>
  <c r="AY36" i="26"/>
  <c r="BJ35" i="26"/>
  <c r="AY35" i="26"/>
  <c r="BJ34" i="26"/>
  <c r="AY34" i="26"/>
  <c r="BJ33" i="26"/>
  <c r="AY33" i="26"/>
  <c r="BJ32" i="26"/>
  <c r="AY32" i="26"/>
  <c r="BJ31" i="26"/>
  <c r="AY31" i="26"/>
  <c r="BJ30" i="26"/>
  <c r="AY30" i="26"/>
  <c r="BJ29" i="26"/>
  <c r="AY29" i="26"/>
  <c r="BJ28" i="26"/>
  <c r="AY28" i="26"/>
  <c r="BJ27" i="26"/>
  <c r="AY27" i="26"/>
  <c r="BJ26" i="26"/>
  <c r="AY26" i="26"/>
  <c r="BJ25" i="26"/>
  <c r="AY25" i="26"/>
  <c r="BJ24" i="26"/>
  <c r="AY24" i="26"/>
  <c r="BJ23" i="26"/>
  <c r="AY23" i="26"/>
  <c r="K23" i="26"/>
  <c r="B23" i="26"/>
  <c r="B22" i="26"/>
  <c r="F23" i="26"/>
  <c r="A23" i="26"/>
  <c r="BJ22" i="26"/>
  <c r="AY22" i="26"/>
  <c r="K22" i="26"/>
  <c r="B21" i="26"/>
  <c r="F22" i="26"/>
  <c r="A22" i="26"/>
  <c r="BJ21" i="26"/>
  <c r="AY21" i="26"/>
  <c r="K21" i="26"/>
  <c r="B20" i="26"/>
  <c r="F21" i="26"/>
  <c r="A21" i="26"/>
  <c r="BJ20" i="26"/>
  <c r="AY20" i="26"/>
  <c r="K20" i="26"/>
  <c r="B19" i="26"/>
  <c r="F20" i="26"/>
  <c r="A20" i="26"/>
  <c r="BJ19" i="26"/>
  <c r="AY19" i="26"/>
  <c r="K19" i="26"/>
  <c r="B18" i="26"/>
  <c r="F19" i="26"/>
  <c r="A19" i="26"/>
  <c r="BJ18" i="26"/>
  <c r="AY18" i="26"/>
  <c r="K18" i="26"/>
  <c r="B17" i="26"/>
  <c r="F18" i="26"/>
  <c r="A18" i="26"/>
  <c r="BJ17" i="26"/>
  <c r="AY17" i="26"/>
  <c r="K17" i="26"/>
  <c r="B16" i="26"/>
  <c r="F17" i="26"/>
  <c r="A17" i="26"/>
  <c r="BJ16" i="26"/>
  <c r="AY16" i="26"/>
  <c r="K16" i="26"/>
  <c r="B15" i="26"/>
  <c r="F16" i="26"/>
  <c r="A16" i="26"/>
  <c r="BJ15" i="26"/>
  <c r="AY15" i="26"/>
  <c r="K15" i="26"/>
  <c r="B14" i="26"/>
  <c r="F15" i="26"/>
  <c r="A15" i="26"/>
  <c r="BJ14" i="26"/>
  <c r="AY14" i="26"/>
  <c r="K14" i="26"/>
  <c r="B13" i="26"/>
  <c r="F14" i="26"/>
  <c r="A14" i="26"/>
  <c r="BJ13" i="26"/>
  <c r="AY13" i="26"/>
  <c r="K13" i="26"/>
  <c r="B12" i="26"/>
  <c r="F13" i="26"/>
  <c r="A13" i="26"/>
  <c r="BJ12" i="26"/>
  <c r="AY12" i="26"/>
  <c r="K12" i="26"/>
  <c r="B11" i="26"/>
  <c r="F12" i="26"/>
  <c r="A12" i="26"/>
  <c r="BJ11" i="26"/>
  <c r="AY11" i="26"/>
  <c r="K11" i="26"/>
  <c r="B10" i="26"/>
  <c r="F11" i="26"/>
  <c r="A11" i="26"/>
  <c r="BJ10" i="26"/>
  <c r="AY10" i="26"/>
  <c r="K10" i="26"/>
  <c r="B9" i="26"/>
  <c r="F10" i="26"/>
  <c r="A10" i="26"/>
  <c r="BJ9" i="26"/>
  <c r="AY9" i="26"/>
  <c r="K9" i="26"/>
  <c r="B8" i="26"/>
  <c r="F9" i="26"/>
  <c r="A9" i="26"/>
  <c r="BJ8" i="26"/>
  <c r="AY8" i="26"/>
  <c r="K8" i="26"/>
  <c r="B7" i="26"/>
  <c r="F8" i="26"/>
  <c r="A8" i="26"/>
  <c r="BJ7" i="26"/>
  <c r="AY7" i="26"/>
  <c r="K7" i="26"/>
  <c r="B6" i="26"/>
  <c r="F7" i="26"/>
  <c r="A7" i="26"/>
  <c r="BJ6" i="26"/>
  <c r="AY6" i="26"/>
  <c r="BB6" i="26"/>
  <c r="K6" i="26"/>
  <c r="F6" i="26"/>
  <c r="CJ5" i="26"/>
  <c r="CI5" i="26"/>
  <c r="CH5" i="26"/>
  <c r="CG5" i="26"/>
  <c r="CF5" i="26"/>
  <c r="CE5" i="26"/>
  <c r="CD5" i="26"/>
  <c r="CC5" i="26"/>
  <c r="CB5" i="26"/>
  <c r="CA5" i="26"/>
  <c r="BZ5" i="26"/>
  <c r="BY5" i="26"/>
  <c r="BX5" i="26"/>
  <c r="BW5" i="26"/>
  <c r="BU5" i="26"/>
  <c r="BT5" i="26"/>
  <c r="BI5" i="26"/>
  <c r="BF5" i="26"/>
  <c r="W5" i="26"/>
  <c r="V5" i="26"/>
  <c r="P5" i="26"/>
  <c r="O5" i="26"/>
  <c r="J5" i="26"/>
  <c r="H5" i="26"/>
  <c r="G5" i="26"/>
  <c r="D5" i="26"/>
  <c r="C5" i="26"/>
  <c r="B5" i="26"/>
  <c r="AL4" i="26"/>
  <c r="AG4" i="26"/>
  <c r="AD3" i="26"/>
  <c r="F3" i="26"/>
  <c r="B3" i="26"/>
  <c r="A108" i="44"/>
  <c r="A107" i="44"/>
  <c r="A106" i="44"/>
  <c r="A105" i="44"/>
  <c r="A104" i="44"/>
  <c r="A103" i="44"/>
  <c r="A102" i="44"/>
  <c r="A101" i="44"/>
  <c r="A100" i="44"/>
  <c r="A99" i="44"/>
  <c r="A98" i="44"/>
  <c r="A97" i="44"/>
  <c r="A96" i="44"/>
  <c r="A95" i="44"/>
  <c r="A94" i="44"/>
  <c r="A93" i="44"/>
  <c r="A92" i="44"/>
  <c r="A91" i="44"/>
  <c r="J89" i="44"/>
  <c r="J90" i="44"/>
  <c r="J91" i="44"/>
  <c r="J92" i="44"/>
  <c r="J93" i="44"/>
  <c r="J94" i="44"/>
  <c r="J95" i="44"/>
  <c r="J96" i="44"/>
  <c r="J97" i="44"/>
  <c r="J98" i="44"/>
  <c r="J99" i="44"/>
  <c r="J100" i="44"/>
  <c r="J101" i="44"/>
  <c r="J102" i="44"/>
  <c r="J103" i="44"/>
  <c r="J104" i="44"/>
  <c r="J105" i="44"/>
  <c r="J106" i="44"/>
  <c r="J107" i="44"/>
  <c r="A90" i="44"/>
  <c r="F89" i="44"/>
  <c r="F90" i="44"/>
  <c r="F91" i="44"/>
  <c r="F92" i="44"/>
  <c r="F93" i="44"/>
  <c r="F94" i="44"/>
  <c r="F95" i="44"/>
  <c r="F96" i="44"/>
  <c r="F97" i="44"/>
  <c r="F98" i="44"/>
  <c r="F99" i="44"/>
  <c r="F100" i="44"/>
  <c r="F101" i="44"/>
  <c r="F102" i="44"/>
  <c r="F103" i="44"/>
  <c r="F104" i="44"/>
  <c r="F105" i="44"/>
  <c r="F106" i="44"/>
  <c r="F107" i="44"/>
  <c r="F108" i="44"/>
  <c r="E89" i="44"/>
  <c r="E90" i="44"/>
  <c r="E91" i="44"/>
  <c r="E92" i="44"/>
  <c r="E93" i="44"/>
  <c r="E94" i="44"/>
  <c r="E95" i="44"/>
  <c r="E96" i="44"/>
  <c r="E97" i="44"/>
  <c r="E98" i="44"/>
  <c r="E99" i="44"/>
  <c r="E100" i="44"/>
  <c r="E101" i="44"/>
  <c r="E102" i="44"/>
  <c r="E103" i="44"/>
  <c r="E104" i="44"/>
  <c r="E105" i="44"/>
  <c r="E106" i="44"/>
  <c r="E107" i="44"/>
  <c r="E108" i="44"/>
  <c r="D89" i="44"/>
  <c r="D90" i="44"/>
  <c r="D91" i="44"/>
  <c r="D92" i="44"/>
  <c r="D93" i="44"/>
  <c r="D94" i="44"/>
  <c r="D95" i="44"/>
  <c r="D96" i="44"/>
  <c r="D97" i="44"/>
  <c r="D98" i="44"/>
  <c r="D99" i="44"/>
  <c r="D100" i="44"/>
  <c r="D101" i="44"/>
  <c r="D102" i="44"/>
  <c r="D103" i="44"/>
  <c r="D104" i="44"/>
  <c r="D105" i="44"/>
  <c r="D106" i="44"/>
  <c r="D107" i="44"/>
  <c r="D108" i="44"/>
  <c r="A89" i="44"/>
  <c r="A88" i="44"/>
  <c r="A87" i="44"/>
  <c r="A86" i="44"/>
  <c r="A85" i="44"/>
  <c r="A84" i="44"/>
  <c r="A83" i="44"/>
  <c r="A82" i="44"/>
  <c r="A81" i="44"/>
  <c r="A80" i="44"/>
  <c r="A79" i="44"/>
  <c r="H78" i="44"/>
  <c r="A78" i="44"/>
  <c r="H77" i="44"/>
  <c r="A77" i="44"/>
  <c r="H76" i="44"/>
  <c r="A76" i="44"/>
  <c r="H75" i="44"/>
  <c r="A75" i="44"/>
  <c r="H74" i="44"/>
  <c r="A74" i="44"/>
  <c r="H73" i="44"/>
  <c r="A73" i="44"/>
  <c r="H72" i="44"/>
  <c r="A72" i="44"/>
  <c r="H71" i="44"/>
  <c r="A71" i="44"/>
  <c r="H70" i="44"/>
  <c r="A70" i="44"/>
  <c r="H69" i="44"/>
  <c r="A69" i="44"/>
  <c r="H68" i="44"/>
  <c r="A68" i="44"/>
  <c r="H67" i="44"/>
  <c r="A67" i="44"/>
  <c r="H66" i="44"/>
  <c r="A66" i="44"/>
  <c r="H65" i="44"/>
  <c r="A65" i="44"/>
  <c r="H64" i="44"/>
  <c r="A64" i="44"/>
  <c r="H63" i="44"/>
  <c r="A63" i="44"/>
  <c r="H62" i="44"/>
  <c r="A62" i="44"/>
  <c r="H61" i="44"/>
  <c r="A61" i="44"/>
  <c r="H60" i="44"/>
  <c r="A60" i="44"/>
  <c r="H59" i="44"/>
  <c r="A59" i="44"/>
  <c r="H58" i="44"/>
  <c r="A58" i="44"/>
  <c r="H57" i="44"/>
  <c r="A57" i="44"/>
  <c r="H56" i="44"/>
  <c r="A56" i="44"/>
  <c r="H55" i="44"/>
  <c r="A55" i="44"/>
  <c r="H54" i="44"/>
  <c r="A54" i="44"/>
  <c r="H53" i="44"/>
  <c r="A53" i="44"/>
  <c r="H52" i="44"/>
  <c r="A52" i="44"/>
  <c r="H51" i="44"/>
  <c r="A51" i="44"/>
  <c r="H50" i="44"/>
  <c r="A50" i="44"/>
  <c r="H49" i="44"/>
  <c r="A49" i="44"/>
  <c r="H48" i="44"/>
  <c r="A48" i="44"/>
  <c r="H47" i="44"/>
  <c r="A47" i="44"/>
  <c r="H46" i="44"/>
  <c r="A46" i="44"/>
  <c r="H45" i="44"/>
  <c r="A45" i="44"/>
  <c r="H44" i="44"/>
  <c r="A44" i="44"/>
  <c r="H43" i="44"/>
  <c r="A43" i="44"/>
  <c r="H42" i="44"/>
  <c r="A42" i="44"/>
  <c r="H41" i="44"/>
  <c r="A41" i="44"/>
  <c r="H40" i="44"/>
  <c r="A40" i="44"/>
  <c r="H39" i="44"/>
  <c r="A39" i="44"/>
  <c r="H38" i="44"/>
  <c r="A38" i="44"/>
  <c r="H37" i="44"/>
  <c r="A37" i="44"/>
  <c r="H36" i="44"/>
  <c r="A36" i="44"/>
  <c r="H35" i="44"/>
  <c r="A35" i="44"/>
  <c r="H34" i="44"/>
  <c r="A34" i="44"/>
  <c r="H33" i="44"/>
  <c r="A33" i="44"/>
  <c r="H32" i="44"/>
  <c r="A32" i="44"/>
  <c r="H31" i="44"/>
  <c r="A31" i="44"/>
  <c r="H30" i="44"/>
  <c r="A30" i="44"/>
  <c r="H29" i="44"/>
  <c r="A29" i="44"/>
  <c r="H28" i="44"/>
  <c r="A28" i="44"/>
  <c r="H27" i="44"/>
  <c r="A27" i="44"/>
  <c r="H26" i="44"/>
  <c r="A26" i="44"/>
  <c r="H25" i="44"/>
  <c r="A25" i="44"/>
  <c r="H24" i="44"/>
  <c r="A24" i="44"/>
  <c r="H23" i="44"/>
  <c r="A23" i="44"/>
  <c r="H22" i="44"/>
  <c r="A22" i="44"/>
  <c r="H21" i="44"/>
  <c r="A21" i="44"/>
  <c r="H20" i="44"/>
  <c r="A20" i="44"/>
  <c r="H19" i="44"/>
  <c r="A19" i="44"/>
  <c r="H18" i="44"/>
  <c r="A18" i="44"/>
  <c r="H17" i="44"/>
  <c r="A17" i="44"/>
  <c r="H16" i="44"/>
  <c r="A16" i="44"/>
  <c r="H15" i="44"/>
  <c r="A15" i="44"/>
  <c r="H14" i="44"/>
  <c r="A14" i="44"/>
  <c r="H13" i="44"/>
  <c r="A13" i="44"/>
  <c r="H12" i="44"/>
  <c r="A12" i="44"/>
  <c r="H11" i="44"/>
  <c r="A11" i="44"/>
  <c r="H10" i="44"/>
  <c r="A10" i="44"/>
  <c r="H9" i="44"/>
  <c r="A9" i="44"/>
  <c r="H8" i="44"/>
  <c r="A8" i="44"/>
  <c r="G6" i="44"/>
  <c r="I7" i="44"/>
  <c r="H7" i="44"/>
  <c r="G7" i="44"/>
  <c r="I8" i="44"/>
  <c r="A7" i="44"/>
  <c r="I6" i="44"/>
  <c r="H6" i="44"/>
  <c r="BP3" i="43"/>
  <c r="CW3" i="44"/>
  <c r="BJ3" i="43"/>
  <c r="CN3" i="44"/>
  <c r="BD3" i="43"/>
  <c r="CE3" i="44"/>
  <c r="AX3" i="43"/>
  <c r="BV3" i="44"/>
  <c r="AR3" i="43"/>
  <c r="BM3" i="44"/>
  <c r="AF3" i="43"/>
  <c r="AU3" i="44"/>
  <c r="Z3" i="43"/>
  <c r="AL3" i="44"/>
  <c r="AC3" i="44"/>
  <c r="T3" i="44"/>
  <c r="K3" i="44"/>
  <c r="B3" i="43"/>
  <c r="B3" i="44"/>
  <c r="W21" i="45"/>
  <c r="T21" i="45"/>
  <c r="S21" i="45"/>
  <c r="U21" i="45"/>
  <c r="V21" i="45"/>
  <c r="O22" i="45"/>
  <c r="N21" i="45"/>
  <c r="J21" i="45"/>
  <c r="G21" i="45"/>
  <c r="F21" i="45"/>
  <c r="Z19" i="45"/>
  <c r="Z18" i="45"/>
  <c r="Z17" i="45"/>
  <c r="Z16" i="45"/>
  <c r="Z15" i="45"/>
  <c r="Z14" i="45"/>
  <c r="Z13" i="45"/>
  <c r="Z12" i="45"/>
  <c r="Z11" i="45"/>
  <c r="Z10" i="45"/>
  <c r="Z9" i="45"/>
  <c r="Z8" i="45"/>
  <c r="Z7" i="45"/>
  <c r="Z6" i="45"/>
  <c r="Z5" i="45"/>
  <c r="Z4" i="45"/>
  <c r="X4" i="45"/>
  <c r="X5" i="45"/>
  <c r="X6" i="45"/>
  <c r="X7" i="45"/>
  <c r="X8" i="45"/>
  <c r="X9" i="45"/>
  <c r="X10" i="45"/>
  <c r="X11" i="45"/>
  <c r="X12" i="45"/>
  <c r="X13" i="45"/>
  <c r="X14" i="45"/>
  <c r="X15" i="45"/>
  <c r="X16" i="45"/>
  <c r="X17" i="45"/>
  <c r="X18" i="45"/>
  <c r="X19" i="45"/>
  <c r="X20" i="45"/>
  <c r="E4" i="45"/>
  <c r="E5" i="45"/>
  <c r="Z3" i="45"/>
  <c r="AJ23" i="3"/>
  <c r="AI23" i="3"/>
  <c r="A23" i="3"/>
  <c r="AJ22" i="3"/>
  <c r="AI22" i="3"/>
  <c r="AF22" i="3"/>
  <c r="A22" i="3"/>
  <c r="AJ21" i="3"/>
  <c r="AI21" i="3"/>
  <c r="AF21" i="3"/>
  <c r="A21" i="3"/>
  <c r="AJ20" i="3"/>
  <c r="AI20" i="3"/>
  <c r="AF20" i="3"/>
  <c r="A20" i="3"/>
  <c r="AJ19" i="3"/>
  <c r="AI19" i="3"/>
  <c r="AF19" i="3"/>
  <c r="A19" i="3"/>
  <c r="AJ18" i="3"/>
  <c r="AI18" i="3"/>
  <c r="AF18" i="3"/>
  <c r="A18" i="3"/>
  <c r="AJ17" i="3"/>
  <c r="AI17" i="3"/>
  <c r="AF17" i="3"/>
  <c r="A17" i="3"/>
  <c r="AJ16" i="3"/>
  <c r="AI16" i="3"/>
  <c r="AF16" i="3"/>
  <c r="A16" i="3"/>
  <c r="AJ15" i="3"/>
  <c r="AI15" i="3"/>
  <c r="AF15" i="3"/>
  <c r="A15" i="3"/>
  <c r="AJ14" i="3"/>
  <c r="AI14" i="3"/>
  <c r="AF14" i="3"/>
  <c r="A14" i="3"/>
  <c r="AJ13" i="3"/>
  <c r="AI13" i="3"/>
  <c r="AF13" i="3"/>
  <c r="A13" i="3"/>
  <c r="AJ12" i="3"/>
  <c r="AI12" i="3"/>
  <c r="AF12" i="3"/>
  <c r="A12" i="3"/>
  <c r="AJ11" i="3"/>
  <c r="AI11" i="3"/>
  <c r="AF11" i="3"/>
  <c r="A11" i="3"/>
  <c r="AJ10" i="3"/>
  <c r="AI10" i="3"/>
  <c r="AF10" i="3"/>
  <c r="A10" i="3"/>
  <c r="AJ9" i="3"/>
  <c r="AI9" i="3"/>
  <c r="AF9" i="3"/>
  <c r="A9" i="3"/>
  <c r="AJ8" i="3"/>
  <c r="AI8" i="3"/>
  <c r="AF8" i="3"/>
  <c r="A8" i="3"/>
  <c r="AJ7" i="3"/>
  <c r="AI7" i="3"/>
  <c r="AF7" i="3"/>
  <c r="A7" i="3"/>
  <c r="AJ6" i="3"/>
  <c r="AF6" i="3"/>
  <c r="AA6" i="3"/>
  <c r="X4" i="3"/>
  <c r="G3" i="3"/>
  <c r="P1" i="45"/>
  <c r="F3" i="3"/>
  <c r="R2" i="3"/>
  <c r="M1" i="45"/>
  <c r="I2" i="3"/>
  <c r="F2" i="3"/>
  <c r="R1" i="3"/>
  <c r="J1" i="45"/>
  <c r="O1" i="3"/>
  <c r="F1" i="3"/>
  <c r="AC133" i="1"/>
  <c r="AB133" i="1"/>
  <c r="Q133" i="1"/>
  <c r="N133" i="1"/>
  <c r="K133" i="1"/>
  <c r="G133" i="1"/>
  <c r="F133" i="1"/>
  <c r="E133" i="1"/>
  <c r="W131" i="1"/>
  <c r="CD5" i="43"/>
  <c r="CA5" i="43"/>
  <c r="BZ5" i="43"/>
  <c r="BY5" i="43"/>
  <c r="V131" i="1"/>
  <c r="J129" i="1"/>
  <c r="I131" i="1"/>
  <c r="W130" i="1"/>
  <c r="V130" i="1"/>
  <c r="Y129" i="1"/>
  <c r="W129" i="1"/>
  <c r="V129" i="1"/>
  <c r="I129" i="1"/>
  <c r="V128" i="1"/>
  <c r="W127" i="1"/>
  <c r="V127" i="1"/>
  <c r="V126" i="1"/>
  <c r="I126" i="1"/>
  <c r="W125" i="1"/>
  <c r="V125" i="1"/>
  <c r="J125" i="1"/>
  <c r="I125" i="1"/>
  <c r="W124" i="1"/>
  <c r="I124" i="1"/>
  <c r="W123" i="1"/>
  <c r="Y122" i="1"/>
  <c r="W122" i="1"/>
  <c r="I122" i="1"/>
  <c r="W120" i="1"/>
  <c r="I119" i="1"/>
  <c r="W118" i="1"/>
  <c r="J118" i="1"/>
  <c r="I118" i="1"/>
  <c r="W117" i="1"/>
  <c r="V117" i="1"/>
  <c r="J117" i="1"/>
  <c r="J122" i="1"/>
  <c r="I117" i="1"/>
  <c r="W116" i="1"/>
  <c r="V116" i="1"/>
  <c r="Y115" i="1"/>
  <c r="W115" i="1"/>
  <c r="V115" i="1"/>
  <c r="I115" i="1"/>
  <c r="V114" i="1"/>
  <c r="W113" i="1"/>
  <c r="V113" i="1"/>
  <c r="V112" i="1"/>
  <c r="I112" i="1"/>
  <c r="W111" i="1"/>
  <c r="V111" i="1"/>
  <c r="J111" i="1"/>
  <c r="I111" i="1"/>
  <c r="W110" i="1"/>
  <c r="J110" i="1"/>
  <c r="J115" i="1"/>
  <c r="I110" i="1"/>
  <c r="W109" i="1"/>
  <c r="Y108" i="1"/>
  <c r="W108" i="1"/>
  <c r="J108" i="1"/>
  <c r="I108" i="1"/>
  <c r="W106" i="1"/>
  <c r="I105" i="1"/>
  <c r="W104" i="1"/>
  <c r="J104" i="1"/>
  <c r="I104" i="1"/>
  <c r="W103" i="1"/>
  <c r="V103" i="1"/>
  <c r="J103" i="1"/>
  <c r="I103" i="1"/>
  <c r="W102" i="1"/>
  <c r="V102" i="1"/>
  <c r="Y101" i="1"/>
  <c r="W101" i="1"/>
  <c r="V101" i="1"/>
  <c r="I101" i="1"/>
  <c r="V100" i="1"/>
  <c r="W99" i="1"/>
  <c r="V99" i="1"/>
  <c r="V98" i="1"/>
  <c r="I98" i="1"/>
  <c r="W97" i="1"/>
  <c r="V97" i="1"/>
  <c r="J97" i="1"/>
  <c r="I97" i="1"/>
  <c r="W96" i="1"/>
  <c r="V96" i="1"/>
  <c r="J96" i="1"/>
  <c r="J94" i="1"/>
  <c r="I96" i="1"/>
  <c r="W95" i="1"/>
  <c r="V95" i="1"/>
  <c r="Y94" i="1"/>
  <c r="W94" i="1"/>
  <c r="V94" i="1"/>
  <c r="I94" i="1"/>
  <c r="V93" i="1"/>
  <c r="W92" i="1"/>
  <c r="V92" i="1"/>
  <c r="V91" i="1"/>
  <c r="I91" i="1"/>
  <c r="W90" i="1"/>
  <c r="V90" i="1"/>
  <c r="J90" i="1"/>
  <c r="I90" i="1"/>
  <c r="W89" i="1"/>
  <c r="V89" i="1"/>
  <c r="J89" i="1"/>
  <c r="I89" i="1"/>
  <c r="W88" i="1"/>
  <c r="V88" i="1"/>
  <c r="Y87" i="1"/>
  <c r="W87" i="1"/>
  <c r="V87" i="1"/>
  <c r="I87" i="1"/>
  <c r="V86" i="1"/>
  <c r="W85" i="1"/>
  <c r="V85" i="1"/>
  <c r="V84" i="1"/>
  <c r="I84" i="1"/>
  <c r="W83" i="1"/>
  <c r="V83" i="1"/>
  <c r="J83" i="1"/>
  <c r="I83" i="1"/>
  <c r="W82" i="1"/>
  <c r="V82" i="1"/>
  <c r="J82" i="1"/>
  <c r="J87" i="1"/>
  <c r="I82" i="1"/>
  <c r="W81" i="1"/>
  <c r="V81" i="1"/>
  <c r="Y80" i="1"/>
  <c r="W80" i="1"/>
  <c r="V80" i="1"/>
  <c r="I80" i="1"/>
  <c r="V79" i="1"/>
  <c r="W78" i="1"/>
  <c r="V78" i="1"/>
  <c r="V77" i="1"/>
  <c r="AK77" i="1"/>
  <c r="I77" i="1"/>
  <c r="AK76" i="1"/>
  <c r="W76" i="1"/>
  <c r="V76" i="1"/>
  <c r="J76" i="1"/>
  <c r="I76" i="1"/>
  <c r="W75" i="1"/>
  <c r="V75" i="1"/>
  <c r="J75" i="1"/>
  <c r="J80" i="1"/>
  <c r="I75" i="1"/>
  <c r="W74" i="1"/>
  <c r="V74" i="1"/>
  <c r="Y73" i="1"/>
  <c r="W73" i="1"/>
  <c r="V73" i="1"/>
  <c r="I73" i="1"/>
  <c r="V72" i="1"/>
  <c r="W71" i="1"/>
  <c r="V71" i="1"/>
  <c r="V70" i="1"/>
  <c r="I70" i="1"/>
  <c r="W69" i="1"/>
  <c r="V69" i="1"/>
  <c r="J69" i="1"/>
  <c r="I69" i="1"/>
  <c r="W68" i="1"/>
  <c r="V68" i="1"/>
  <c r="J68" i="1"/>
  <c r="J73" i="1"/>
  <c r="I68" i="1"/>
  <c r="W67" i="1"/>
  <c r="V67" i="1"/>
  <c r="Y66" i="1"/>
  <c r="W66" i="1"/>
  <c r="V66" i="1"/>
  <c r="I66" i="1"/>
  <c r="V65" i="1"/>
  <c r="W64" i="1"/>
  <c r="V64" i="1"/>
  <c r="V63" i="1"/>
  <c r="I63" i="1"/>
  <c r="W62" i="1"/>
  <c r="V62" i="1"/>
  <c r="J62" i="1"/>
  <c r="I62" i="1"/>
  <c r="W61" i="1"/>
  <c r="V61" i="1"/>
  <c r="J61" i="1"/>
  <c r="J59" i="1"/>
  <c r="I61" i="1"/>
  <c r="W60" i="1"/>
  <c r="V60" i="1"/>
  <c r="Y59" i="1"/>
  <c r="W59" i="1"/>
  <c r="V59" i="1"/>
  <c r="I59" i="1"/>
  <c r="V58" i="1"/>
  <c r="W57" i="1"/>
  <c r="V57" i="1"/>
  <c r="V56" i="1"/>
  <c r="I56" i="1"/>
  <c r="W55" i="1"/>
  <c r="V55" i="1"/>
  <c r="J55" i="1"/>
  <c r="I55" i="1"/>
  <c r="W54" i="1"/>
  <c r="V54" i="1"/>
  <c r="J54" i="1"/>
  <c r="I54" i="1"/>
  <c r="W53" i="1"/>
  <c r="V53" i="1"/>
  <c r="Y52" i="1"/>
  <c r="W52" i="1"/>
  <c r="V52" i="1"/>
  <c r="J52" i="1"/>
  <c r="I52" i="1"/>
  <c r="V51" i="1"/>
  <c r="W50" i="1"/>
  <c r="V50" i="1"/>
  <c r="V49" i="1"/>
  <c r="I49" i="1"/>
  <c r="W48" i="1"/>
  <c r="V48" i="1"/>
  <c r="J48" i="1"/>
  <c r="I48" i="1"/>
  <c r="W47" i="1"/>
  <c r="V47" i="1"/>
  <c r="J47" i="1"/>
  <c r="I47" i="1"/>
  <c r="W46" i="1"/>
  <c r="V46" i="1"/>
  <c r="Y45" i="1"/>
  <c r="W45" i="1"/>
  <c r="V45" i="1"/>
  <c r="I45" i="1"/>
  <c r="V44" i="1"/>
  <c r="W43" i="1"/>
  <c r="V43" i="1"/>
  <c r="V42" i="1"/>
  <c r="I42" i="1"/>
  <c r="W41" i="1"/>
  <c r="V41" i="1"/>
  <c r="J41" i="1"/>
  <c r="I41" i="1"/>
  <c r="W40" i="1"/>
  <c r="V40" i="1"/>
  <c r="J40" i="1"/>
  <c r="J45" i="1"/>
  <c r="I40" i="1"/>
  <c r="W39" i="1"/>
  <c r="V39" i="1"/>
  <c r="Y38" i="1"/>
  <c r="W38" i="1"/>
  <c r="V38" i="1"/>
  <c r="I38" i="1"/>
  <c r="V37" i="1"/>
  <c r="W36" i="1"/>
  <c r="V36" i="1"/>
  <c r="V35" i="1"/>
  <c r="I35" i="1"/>
  <c r="W34" i="1"/>
  <c r="V34" i="1"/>
  <c r="J34" i="1"/>
  <c r="I34" i="1"/>
  <c r="W33" i="1"/>
  <c r="V33" i="1"/>
  <c r="J33" i="1"/>
  <c r="J31" i="1"/>
  <c r="I33" i="1"/>
  <c r="W32" i="1"/>
  <c r="V32" i="1"/>
  <c r="Y31" i="1"/>
  <c r="W31" i="1"/>
  <c r="V31" i="1"/>
  <c r="I31" i="1"/>
  <c r="V30" i="1"/>
  <c r="W29" i="1"/>
  <c r="V29" i="1"/>
  <c r="V28" i="1"/>
  <c r="AK28" i="1"/>
  <c r="I28" i="1"/>
  <c r="AK27" i="1"/>
  <c r="W27" i="1"/>
  <c r="V27" i="1"/>
  <c r="J27" i="1"/>
  <c r="I27" i="1"/>
  <c r="W26" i="1"/>
  <c r="V26" i="1"/>
  <c r="J26" i="1"/>
  <c r="J24" i="1"/>
  <c r="I26" i="1"/>
  <c r="W25" i="1"/>
  <c r="V25" i="1"/>
  <c r="Y24" i="1"/>
  <c r="W24" i="1"/>
  <c r="V24" i="1"/>
  <c r="I24" i="1"/>
  <c r="V23" i="1"/>
  <c r="W22" i="1"/>
  <c r="V22" i="1"/>
  <c r="V21" i="1"/>
  <c r="I21" i="1"/>
  <c r="W20" i="1"/>
  <c r="V20" i="1"/>
  <c r="J20" i="1"/>
  <c r="I20" i="1"/>
  <c r="W19" i="1"/>
  <c r="V19" i="1"/>
  <c r="J19" i="1"/>
  <c r="I19" i="1"/>
  <c r="W18" i="1"/>
  <c r="V18" i="1"/>
  <c r="Y17" i="1"/>
  <c r="W17" i="1"/>
  <c r="V17" i="1"/>
  <c r="J17" i="1"/>
  <c r="I17" i="1"/>
  <c r="V16" i="1"/>
  <c r="W15" i="1"/>
  <c r="V15" i="1"/>
  <c r="V14" i="1"/>
  <c r="I14" i="1"/>
  <c r="AH13" i="1"/>
  <c r="AH20" i="1"/>
  <c r="AH27" i="1"/>
  <c r="AH34" i="1"/>
  <c r="AH41" i="1"/>
  <c r="AH48" i="1"/>
  <c r="AH55" i="1"/>
  <c r="AH62" i="1"/>
  <c r="AH69" i="1"/>
  <c r="AH76" i="1"/>
  <c r="AH83" i="1"/>
  <c r="AH90" i="1"/>
  <c r="AH97" i="1"/>
  <c r="AH104" i="1"/>
  <c r="AH111" i="1"/>
  <c r="AH118" i="1"/>
  <c r="AH125" i="1"/>
  <c r="W13" i="1"/>
  <c r="V13" i="1"/>
  <c r="J13" i="1"/>
  <c r="I13" i="1"/>
  <c r="B13" i="1"/>
  <c r="A13" i="1"/>
  <c r="A14" i="1"/>
  <c r="A15" i="1"/>
  <c r="A16" i="1"/>
  <c r="A17" i="1"/>
  <c r="A18" i="1"/>
  <c r="A19" i="1"/>
  <c r="V12" i="1"/>
  <c r="J12" i="1"/>
  <c r="V11" i="1"/>
  <c r="I11" i="1"/>
  <c r="I123" i="1"/>
  <c r="Y10" i="1"/>
  <c r="V10" i="1"/>
  <c r="J10" i="1"/>
  <c r="V9" i="1"/>
  <c r="I9" i="1"/>
  <c r="I128" i="1"/>
  <c r="V8" i="1"/>
  <c r="I8" i="1"/>
  <c r="I99" i="1"/>
  <c r="V7" i="1"/>
  <c r="AK7" i="1"/>
  <c r="AK6" i="1"/>
  <c r="AH6" i="1"/>
  <c r="AA6" i="1"/>
  <c r="V6"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J6" i="1"/>
  <c r="A6" i="1"/>
  <c r="AE4" i="1"/>
  <c r="AD4" i="1"/>
  <c r="AC4" i="1"/>
  <c r="AB4" i="1"/>
  <c r="AA4" i="1"/>
  <c r="V4" i="1"/>
  <c r="R4" i="1"/>
  <c r="Q4" i="1"/>
  <c r="P4" i="1"/>
  <c r="N4" i="1"/>
  <c r="M4" i="1"/>
  <c r="AH3" i="1"/>
  <c r="AC3" i="1"/>
  <c r="K3" i="1"/>
  <c r="F3" i="1"/>
  <c r="AG2" i="1"/>
  <c r="AF2" i="3"/>
  <c r="AE2" i="1"/>
  <c r="V3" i="3"/>
  <c r="AA2" i="1"/>
  <c r="V2" i="3"/>
  <c r="X2" i="1"/>
  <c r="N2" i="1"/>
  <c r="K2" i="1"/>
  <c r="I2" i="1"/>
  <c r="E2" i="1"/>
  <c r="AG1" i="1"/>
  <c r="AE1" i="1"/>
  <c r="AA1" i="3"/>
  <c r="AA1" i="1"/>
  <c r="V1" i="3"/>
  <c r="Y1" i="1"/>
  <c r="V1" i="1"/>
  <c r="K1" i="1"/>
  <c r="I1" i="1"/>
  <c r="D1" i="10"/>
  <c r="D1" i="12"/>
  <c r="E1" i="1"/>
  <c r="BX131" i="43"/>
  <c r="BX130" i="43"/>
  <c r="BX129" i="43"/>
  <c r="BX128" i="43"/>
  <c r="BX127" i="43"/>
  <c r="BX126" i="43"/>
  <c r="BX125" i="43"/>
  <c r="BX124" i="43"/>
  <c r="BX123" i="43"/>
  <c r="BX122" i="43"/>
  <c r="BX121" i="43"/>
  <c r="BX120" i="43"/>
  <c r="BX119" i="43"/>
  <c r="BX118" i="43"/>
  <c r="BX117" i="43"/>
  <c r="BX116" i="43"/>
  <c r="BX115" i="43"/>
  <c r="BX114" i="43"/>
  <c r="BX113" i="43"/>
  <c r="BX112" i="43"/>
  <c r="BX111" i="43"/>
  <c r="BX110" i="43"/>
  <c r="BX109" i="43"/>
  <c r="BX108" i="43"/>
  <c r="BX107" i="43"/>
  <c r="BX106" i="43"/>
  <c r="BX105" i="43"/>
  <c r="BX104" i="43"/>
  <c r="BX103" i="43"/>
  <c r="BX102" i="43"/>
  <c r="BX101" i="43"/>
  <c r="BX100" i="43"/>
  <c r="BX99" i="43"/>
  <c r="BX98" i="43"/>
  <c r="BX97" i="43"/>
  <c r="BX96" i="43"/>
  <c r="BX95" i="43"/>
  <c r="BX94" i="43"/>
  <c r="BX93" i="43"/>
  <c r="BX92" i="43"/>
  <c r="BX91" i="43"/>
  <c r="BX90" i="43"/>
  <c r="BX89" i="43"/>
  <c r="BX88" i="43"/>
  <c r="BX87" i="43"/>
  <c r="BX86" i="43"/>
  <c r="BX85" i="43"/>
  <c r="BX84" i="43"/>
  <c r="BX83" i="43"/>
  <c r="BX82" i="43"/>
  <c r="BX81" i="43"/>
  <c r="BX80" i="43"/>
  <c r="BX79" i="43"/>
  <c r="BX78" i="43"/>
  <c r="BX77" i="43"/>
  <c r="BX76" i="43"/>
  <c r="BX75" i="43"/>
  <c r="BX74" i="43"/>
  <c r="BX73" i="43"/>
  <c r="BX72" i="43"/>
  <c r="BX71" i="43"/>
  <c r="BX70" i="43"/>
  <c r="BX69" i="43"/>
  <c r="BX68" i="43"/>
  <c r="BX67" i="43"/>
  <c r="BX66" i="43"/>
  <c r="BX65" i="43"/>
  <c r="BX64" i="43"/>
  <c r="BX63" i="43"/>
  <c r="BX62" i="43"/>
  <c r="BX61" i="43"/>
  <c r="BX60" i="43"/>
  <c r="BX59" i="43"/>
  <c r="BX58" i="43"/>
  <c r="BX57" i="43"/>
  <c r="BX56" i="43"/>
  <c r="BX55" i="43"/>
  <c r="BX54" i="43"/>
  <c r="BX53" i="43"/>
  <c r="BX52" i="43"/>
  <c r="BX51" i="43"/>
  <c r="BX50" i="43"/>
  <c r="BX49" i="43"/>
  <c r="BX48" i="43"/>
  <c r="BX47" i="43"/>
  <c r="BX46" i="43"/>
  <c r="BX45" i="43"/>
  <c r="BX44" i="43"/>
  <c r="BX43" i="43"/>
  <c r="BX42" i="43"/>
  <c r="BX41" i="43"/>
  <c r="BX40" i="43"/>
  <c r="BX39" i="43"/>
  <c r="BX38" i="43"/>
  <c r="BX37" i="43"/>
  <c r="BX36" i="43"/>
  <c r="BX35" i="43"/>
  <c r="BX34" i="43"/>
  <c r="BX33" i="43"/>
  <c r="BX32" i="43"/>
  <c r="BX31" i="43"/>
  <c r="BX30" i="43"/>
  <c r="BX29" i="43"/>
  <c r="BX28" i="43"/>
  <c r="BX27" i="43"/>
  <c r="BX26" i="43"/>
  <c r="BX25" i="43"/>
  <c r="BX24" i="43"/>
  <c r="BX23" i="43"/>
  <c r="A23" i="43"/>
  <c r="BX22" i="43"/>
  <c r="A22" i="43"/>
  <c r="BX21" i="43"/>
  <c r="A21" i="43"/>
  <c r="BX20" i="43"/>
  <c r="A20" i="43"/>
  <c r="BX19" i="43"/>
  <c r="A19" i="43"/>
  <c r="BX18" i="43"/>
  <c r="A18" i="43"/>
  <c r="BX17" i="43"/>
  <c r="A17" i="43"/>
  <c r="BX16" i="43"/>
  <c r="A16" i="43"/>
  <c r="BX15" i="43"/>
  <c r="A15" i="43"/>
  <c r="BX14" i="43"/>
  <c r="A14" i="43"/>
  <c r="BX13" i="43"/>
  <c r="A13" i="43"/>
  <c r="BX12" i="43"/>
  <c r="A12" i="43"/>
  <c r="BX11" i="43"/>
  <c r="A11" i="43"/>
  <c r="BX10" i="43"/>
  <c r="A10" i="43"/>
  <c r="BX9" i="43"/>
  <c r="A9" i="43"/>
  <c r="BX8" i="43"/>
  <c r="A8" i="43"/>
  <c r="BX7" i="43"/>
  <c r="F6" i="43"/>
  <c r="F7" i="43"/>
  <c r="F8" i="43"/>
  <c r="F9" i="43"/>
  <c r="F10" i="43"/>
  <c r="F11" i="43"/>
  <c r="F12" i="43"/>
  <c r="F13" i="43"/>
  <c r="F14" i="43"/>
  <c r="F15" i="43"/>
  <c r="F16" i="43"/>
  <c r="F17" i="43"/>
  <c r="F18" i="43"/>
  <c r="F19" i="43"/>
  <c r="F20" i="43"/>
  <c r="F21" i="43"/>
  <c r="F22" i="43"/>
  <c r="F23" i="43"/>
  <c r="A7" i="43"/>
  <c r="G6" i="43"/>
  <c r="G7" i="43"/>
  <c r="G8" i="43"/>
  <c r="G9" i="43"/>
  <c r="G10" i="43"/>
  <c r="G11" i="43"/>
  <c r="G12" i="43"/>
  <c r="G13" i="43"/>
  <c r="G14" i="43"/>
  <c r="G15" i="43"/>
  <c r="G16" i="43"/>
  <c r="G17" i="43"/>
  <c r="G18" i="43"/>
  <c r="G19" i="43"/>
  <c r="G20" i="43"/>
  <c r="G21" i="43"/>
  <c r="G22" i="43"/>
  <c r="G23" i="43"/>
  <c r="CJ5" i="43"/>
  <c r="CI5" i="43"/>
  <c r="CH5" i="43"/>
  <c r="CG5" i="43"/>
  <c r="CF5" i="43"/>
  <c r="CC5" i="43"/>
  <c r="CB5" i="43"/>
  <c r="BU5" i="43"/>
  <c r="BT5" i="43"/>
  <c r="BS5" i="43"/>
  <c r="BR5" i="43"/>
  <c r="BQ5" i="43"/>
  <c r="BP5" i="43"/>
  <c r="BO5" i="43"/>
  <c r="BN5" i="43"/>
  <c r="BM5" i="43"/>
  <c r="BL5" i="43"/>
  <c r="BK5" i="43"/>
  <c r="BJ5" i="43"/>
  <c r="BI5" i="43"/>
  <c r="BH5" i="43"/>
  <c r="BG5" i="43"/>
  <c r="BF5" i="43"/>
  <c r="BE5" i="43"/>
  <c r="BD5" i="43"/>
  <c r="BC5" i="43"/>
  <c r="BB5" i="43"/>
  <c r="BA5" i="43"/>
  <c r="AZ5" i="43"/>
  <c r="AY5" i="43"/>
  <c r="AX5" i="43"/>
  <c r="AW5" i="43"/>
  <c r="AV5" i="43"/>
  <c r="AU5" i="43"/>
  <c r="AT5" i="43"/>
  <c r="AS5" i="43"/>
  <c r="AR5" i="43"/>
  <c r="AQ5" i="43"/>
  <c r="AP5" i="43"/>
  <c r="AO5" i="43"/>
  <c r="AN5" i="43"/>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D23" i="26"/>
  <c r="W23" i="3"/>
  <c r="M101" i="19"/>
  <c r="C101" i="19"/>
  <c r="A101" i="19"/>
  <c r="M100" i="19"/>
  <c r="C100" i="19"/>
  <c r="A100" i="19"/>
  <c r="M99" i="19"/>
  <c r="C99" i="19"/>
  <c r="A99" i="19"/>
  <c r="M98" i="19"/>
  <c r="C98" i="19"/>
  <c r="A98" i="19"/>
  <c r="M97" i="19"/>
  <c r="C97" i="19"/>
  <c r="A97" i="19"/>
  <c r="M96" i="19"/>
  <c r="C96" i="19"/>
  <c r="A96" i="19"/>
  <c r="M95" i="19"/>
  <c r="C95" i="19"/>
  <c r="A95" i="19"/>
  <c r="M94" i="19"/>
  <c r="C94" i="19"/>
  <c r="A94" i="19"/>
  <c r="M93" i="19"/>
  <c r="C93" i="19"/>
  <c r="A93" i="19"/>
  <c r="M92" i="19"/>
  <c r="C92" i="19"/>
  <c r="A92" i="19"/>
  <c r="M91" i="19"/>
  <c r="C91" i="19"/>
  <c r="A91" i="19"/>
  <c r="M90" i="19"/>
  <c r="C90" i="19"/>
  <c r="A90" i="19"/>
  <c r="M89" i="19"/>
  <c r="C89" i="19"/>
  <c r="A89" i="19"/>
  <c r="M88" i="19"/>
  <c r="C88" i="19"/>
  <c r="A88" i="19"/>
  <c r="M87" i="19"/>
  <c r="C87" i="19"/>
  <c r="A87" i="19"/>
  <c r="M86" i="19"/>
  <c r="C86" i="19"/>
  <c r="A86" i="19"/>
  <c r="M85" i="19"/>
  <c r="C85" i="19"/>
  <c r="A85" i="19"/>
  <c r="M84" i="19"/>
  <c r="C84" i="19"/>
  <c r="A84" i="19"/>
  <c r="M83" i="19"/>
  <c r="C83" i="19"/>
  <c r="A83" i="19"/>
  <c r="M82" i="19"/>
  <c r="C82" i="19"/>
  <c r="A82" i="19"/>
  <c r="M81" i="19"/>
  <c r="C81" i="19"/>
  <c r="A81" i="19"/>
  <c r="M80" i="19"/>
  <c r="C80" i="19"/>
  <c r="A80" i="19"/>
  <c r="M79" i="19"/>
  <c r="C79" i="19"/>
  <c r="A79" i="19"/>
  <c r="M78" i="19"/>
  <c r="C78" i="19"/>
  <c r="A78" i="19"/>
  <c r="M77" i="19"/>
  <c r="C77" i="19"/>
  <c r="A77" i="19"/>
  <c r="M76" i="19"/>
  <c r="C76" i="19"/>
  <c r="A76" i="19"/>
  <c r="M75" i="19"/>
  <c r="C75" i="19"/>
  <c r="A75" i="19"/>
  <c r="M74" i="19"/>
  <c r="C74" i="19"/>
  <c r="A74" i="19"/>
  <c r="M73" i="19"/>
  <c r="C73" i="19"/>
  <c r="A73" i="19"/>
  <c r="M72" i="19"/>
  <c r="C72" i="19"/>
  <c r="A72" i="19"/>
  <c r="M71" i="19"/>
  <c r="C71" i="19"/>
  <c r="A71" i="19"/>
  <c r="M70" i="19"/>
  <c r="C70" i="19"/>
  <c r="A70" i="19"/>
  <c r="M69" i="19"/>
  <c r="C69" i="19"/>
  <c r="A69" i="19"/>
  <c r="M68" i="19"/>
  <c r="C68" i="19"/>
  <c r="A68" i="19"/>
  <c r="M67" i="19"/>
  <c r="C67" i="19"/>
  <c r="A67" i="19"/>
  <c r="M66" i="19"/>
  <c r="C66" i="19"/>
  <c r="A66" i="19"/>
  <c r="M65" i="19"/>
  <c r="C65" i="19"/>
  <c r="A65" i="19"/>
  <c r="M64" i="19"/>
  <c r="C64" i="19"/>
  <c r="A64" i="19"/>
  <c r="M63" i="19"/>
  <c r="C63" i="19"/>
  <c r="A63" i="19"/>
  <c r="M62" i="19"/>
  <c r="C62" i="19"/>
  <c r="A62" i="19"/>
  <c r="M61" i="19"/>
  <c r="C61" i="19"/>
  <c r="A61" i="19"/>
  <c r="M60" i="19"/>
  <c r="C60" i="19"/>
  <c r="A60" i="19"/>
  <c r="M59" i="19"/>
  <c r="C59" i="19"/>
  <c r="A59" i="19"/>
  <c r="M58" i="19"/>
  <c r="C58" i="19"/>
  <c r="A58" i="19"/>
  <c r="M57" i="19"/>
  <c r="C57" i="19"/>
  <c r="A57" i="19"/>
  <c r="M56" i="19"/>
  <c r="C56" i="19"/>
  <c r="A56" i="19"/>
  <c r="M55" i="19"/>
  <c r="C55" i="19"/>
  <c r="A55" i="19"/>
  <c r="M54" i="19"/>
  <c r="C54" i="19"/>
  <c r="A54" i="19"/>
  <c r="M53" i="19"/>
  <c r="C53" i="19"/>
  <c r="A53" i="19"/>
  <c r="M52" i="19"/>
  <c r="C52" i="19"/>
  <c r="A52" i="19"/>
  <c r="M51" i="19"/>
  <c r="C51" i="19"/>
  <c r="A51" i="19"/>
  <c r="M50" i="19"/>
  <c r="C50" i="19"/>
  <c r="A50" i="19"/>
  <c r="M49" i="19"/>
  <c r="C49" i="19"/>
  <c r="A49" i="19"/>
  <c r="M48" i="19"/>
  <c r="C48" i="19"/>
  <c r="A48" i="19"/>
  <c r="M47" i="19"/>
  <c r="C47" i="19"/>
  <c r="A47" i="19"/>
  <c r="M46" i="19"/>
  <c r="C46" i="19"/>
  <c r="A46" i="19"/>
  <c r="M45" i="19"/>
  <c r="C45" i="19"/>
  <c r="A45" i="19"/>
  <c r="M44" i="19"/>
  <c r="C44" i="19"/>
  <c r="A44" i="19"/>
  <c r="M43" i="19"/>
  <c r="C43" i="19"/>
  <c r="A43" i="19"/>
  <c r="M42" i="19"/>
  <c r="C42" i="19"/>
  <c r="A42" i="19"/>
  <c r="M41" i="19"/>
  <c r="C41" i="19"/>
  <c r="A41" i="19"/>
  <c r="M40" i="19"/>
  <c r="C40" i="19"/>
  <c r="A40" i="19"/>
  <c r="M39" i="19"/>
  <c r="C39" i="19"/>
  <c r="A39" i="19"/>
  <c r="M38" i="19"/>
  <c r="C38" i="19"/>
  <c r="A38" i="19"/>
  <c r="M37" i="19"/>
  <c r="C37" i="19"/>
  <c r="A37" i="19"/>
  <c r="M36" i="19"/>
  <c r="C36" i="19"/>
  <c r="A36" i="19"/>
  <c r="M35" i="19"/>
  <c r="C35" i="19"/>
  <c r="A35" i="19"/>
  <c r="M34" i="19"/>
  <c r="C34" i="19"/>
  <c r="A34" i="19"/>
  <c r="M33" i="19"/>
  <c r="C33" i="19"/>
  <c r="A33" i="19"/>
  <c r="M32" i="19"/>
  <c r="C32" i="19"/>
  <c r="D32" i="19"/>
  <c r="A32" i="19"/>
  <c r="M31" i="19"/>
  <c r="C31" i="19"/>
  <c r="D31" i="19"/>
  <c r="A31" i="19"/>
  <c r="M30" i="19"/>
  <c r="C30" i="19"/>
  <c r="D30" i="19"/>
  <c r="A30" i="19"/>
  <c r="M29" i="19"/>
  <c r="C29" i="19"/>
  <c r="D29" i="19"/>
  <c r="A29" i="19"/>
  <c r="M28" i="19"/>
  <c r="C28" i="19"/>
  <c r="D28" i="19"/>
  <c r="A28" i="19"/>
  <c r="M27" i="19"/>
  <c r="A27" i="19"/>
  <c r="M26" i="19"/>
  <c r="A26" i="19"/>
  <c r="M25" i="19"/>
  <c r="A25" i="19"/>
  <c r="M24" i="19"/>
  <c r="A24" i="19"/>
  <c r="M23" i="19"/>
  <c r="A23" i="19"/>
  <c r="M22" i="19"/>
  <c r="A22" i="19"/>
  <c r="M21" i="19"/>
  <c r="A21" i="19"/>
  <c r="M20" i="19"/>
  <c r="A20" i="19"/>
  <c r="M19" i="19"/>
  <c r="A19" i="19"/>
  <c r="M18" i="19"/>
  <c r="A18" i="19"/>
  <c r="M17" i="19"/>
  <c r="A17" i="19"/>
  <c r="M16" i="19"/>
  <c r="A16" i="19"/>
  <c r="M15" i="19"/>
  <c r="A15" i="19"/>
  <c r="M14" i="19"/>
  <c r="A14" i="19"/>
  <c r="M13" i="19"/>
  <c r="A13" i="19"/>
  <c r="M12" i="19"/>
  <c r="A12" i="19"/>
  <c r="M11" i="19"/>
  <c r="A11" i="19"/>
  <c r="M10" i="19"/>
  <c r="A10" i="19"/>
  <c r="E6" i="19"/>
  <c r="A6" i="19"/>
  <c r="E5" i="19"/>
  <c r="E4" i="19"/>
  <c r="A4" i="19"/>
  <c r="G3" i="19"/>
  <c r="E3" i="19"/>
  <c r="C24" i="19"/>
  <c r="D24" i="19"/>
  <c r="A3" i="19"/>
  <c r="E2" i="19"/>
  <c r="A2" i="19"/>
  <c r="G1" i="19"/>
  <c r="E1" i="19"/>
  <c r="C37" i="24"/>
  <c r="B36" i="24"/>
  <c r="B35" i="24"/>
  <c r="B34" i="24"/>
  <c r="B33" i="24"/>
  <c r="B32" i="24"/>
  <c r="B31" i="24"/>
  <c r="B30" i="24"/>
  <c r="B29" i="24"/>
  <c r="U4" i="10"/>
  <c r="B25" i="24"/>
  <c r="P6" i="1"/>
  <c r="AG2" i="10"/>
  <c r="AI2" i="12"/>
  <c r="W4" i="10"/>
  <c r="T4" i="10"/>
  <c r="X4" i="10"/>
  <c r="AG710" i="10"/>
  <c r="AG689" i="10"/>
  <c r="AG668" i="10"/>
  <c r="AG640" i="10"/>
  <c r="AG612" i="10"/>
  <c r="AG591" i="10"/>
  <c r="AG577" i="10"/>
  <c r="AG549" i="10"/>
  <c r="AG521" i="10"/>
  <c r="AG493" i="10"/>
  <c r="AG479" i="10"/>
  <c r="AG696" i="10"/>
  <c r="AG675" i="10"/>
  <c r="AG647" i="10"/>
  <c r="AG619" i="10"/>
  <c r="AG556" i="10"/>
  <c r="AG528" i="10"/>
  <c r="AG500" i="10"/>
  <c r="B4" i="38"/>
  <c r="AG717" i="10"/>
  <c r="AG703" i="10"/>
  <c r="AG682" i="10"/>
  <c r="AG654" i="10"/>
  <c r="AG626" i="10"/>
  <c r="AG598" i="10"/>
  <c r="AG584" i="10"/>
  <c r="AG563" i="10"/>
  <c r="AG535" i="10"/>
  <c r="AG507" i="10"/>
  <c r="AG486" i="10"/>
  <c r="AG472" i="10"/>
  <c r="AG465" i="10"/>
  <c r="AG458" i="10"/>
  <c r="AG451" i="10"/>
  <c r="AG444" i="10"/>
  <c r="AG437" i="10"/>
  <c r="AG430" i="10"/>
  <c r="AG423" i="10"/>
  <c r="AG416" i="10"/>
  <c r="AG409" i="10"/>
  <c r="AG402" i="10"/>
  <c r="AG395" i="10"/>
  <c r="AG388" i="10"/>
  <c r="AG381" i="10"/>
  <c r="AG374" i="10"/>
  <c r="AG367" i="10"/>
  <c r="AG360" i="10"/>
  <c r="AG353" i="10"/>
  <c r="AG346" i="10"/>
  <c r="AG339" i="10"/>
  <c r="AG332" i="10"/>
  <c r="AG325" i="10"/>
  <c r="AG318" i="10"/>
  <c r="AG311" i="10"/>
  <c r="AG304" i="10"/>
  <c r="AG297" i="10"/>
  <c r="AG290" i="10"/>
  <c r="AG283" i="10"/>
  <c r="AG276" i="10"/>
  <c r="AG269" i="10"/>
  <c r="AG262" i="10"/>
  <c r="AG255" i="10"/>
  <c r="AG248" i="10"/>
  <c r="AG241" i="10"/>
  <c r="AG234" i="10"/>
  <c r="AG227" i="10"/>
  <c r="AG220" i="10"/>
  <c r="AG724" i="10"/>
  <c r="AG661" i="10"/>
  <c r="AG633" i="10"/>
  <c r="AG605" i="10"/>
  <c r="AG570" i="10"/>
  <c r="AG542" i="10"/>
  <c r="AG514" i="10"/>
  <c r="V4" i="10"/>
  <c r="A1" i="10"/>
  <c r="AG10" i="10"/>
  <c r="AG17" i="10"/>
  <c r="AG24" i="10"/>
  <c r="AG31" i="10"/>
  <c r="AG38" i="10"/>
  <c r="AG45" i="10"/>
  <c r="AG52" i="10"/>
  <c r="AG59" i="10"/>
  <c r="AG66" i="10"/>
  <c r="AG73" i="10"/>
  <c r="AG80" i="10"/>
  <c r="AG87" i="10"/>
  <c r="AG94" i="10"/>
  <c r="AG101" i="10"/>
  <c r="AG108" i="10"/>
  <c r="AG115" i="10"/>
  <c r="AG122" i="10"/>
  <c r="AG129" i="10"/>
  <c r="AG136" i="10"/>
  <c r="AG143" i="10"/>
  <c r="AG150" i="10"/>
  <c r="AG157" i="10"/>
  <c r="AG164" i="10"/>
  <c r="AG171" i="10"/>
  <c r="AG178" i="10"/>
  <c r="AG185" i="10"/>
  <c r="AG192" i="10"/>
  <c r="AG199" i="10"/>
  <c r="AG206" i="10"/>
  <c r="AG213" i="10"/>
  <c r="C12" i="19"/>
  <c r="D12" i="19"/>
  <c r="C20" i="19"/>
  <c r="D20" i="19"/>
  <c r="C21" i="19"/>
  <c r="D21" i="19"/>
  <c r="C17" i="19"/>
  <c r="D17" i="19"/>
  <c r="C25" i="19"/>
  <c r="D25" i="19"/>
  <c r="C13" i="19"/>
  <c r="D13" i="19"/>
  <c r="D7" i="19"/>
  <c r="F7" i="19"/>
  <c r="C16" i="19"/>
  <c r="D16" i="19"/>
  <c r="C11" i="19"/>
  <c r="D11" i="19"/>
  <c r="C15" i="19"/>
  <c r="D15" i="19"/>
  <c r="C19" i="19"/>
  <c r="D19" i="19"/>
  <c r="C23" i="19"/>
  <c r="D23" i="19"/>
  <c r="C27" i="19"/>
  <c r="D27" i="19"/>
  <c r="C10" i="19"/>
  <c r="D10" i="19"/>
  <c r="C14" i="19"/>
  <c r="D14" i="19"/>
  <c r="C18" i="19"/>
  <c r="D18" i="19"/>
  <c r="C22" i="19"/>
  <c r="D22" i="19"/>
  <c r="C26" i="19"/>
  <c r="D26" i="19"/>
  <c r="AJ6" i="1"/>
  <c r="D22" i="38"/>
  <c r="E22" i="38"/>
  <c r="C29" i="38"/>
  <c r="D15" i="38"/>
  <c r="E15" i="38"/>
  <c r="C27" i="38"/>
  <c r="D13" i="38"/>
  <c r="E13" i="38"/>
  <c r="G8" i="44"/>
  <c r="I9" i="44"/>
  <c r="G9" i="44"/>
  <c r="H79" i="44"/>
  <c r="D10" i="26"/>
  <c r="W10" i="3"/>
  <c r="W12" i="26"/>
  <c r="S12" i="3"/>
  <c r="W16" i="26"/>
  <c r="S16" i="3"/>
  <c r="V17" i="26"/>
  <c r="R17" i="3"/>
  <c r="BD3" i="44"/>
  <c r="D6" i="26"/>
  <c r="W6" i="3"/>
  <c r="D7" i="26"/>
  <c r="W7" i="3"/>
  <c r="C8" i="26"/>
  <c r="W9" i="26"/>
  <c r="S9" i="3"/>
  <c r="V10" i="26"/>
  <c r="R10" i="3"/>
  <c r="D11" i="26"/>
  <c r="W11" i="3"/>
  <c r="L11" i="3"/>
  <c r="C12" i="26"/>
  <c r="W13" i="26"/>
  <c r="S13" i="3"/>
  <c r="V14" i="26"/>
  <c r="R14" i="3"/>
  <c r="D15" i="26"/>
  <c r="W15" i="3"/>
  <c r="L15" i="3"/>
  <c r="C16" i="26"/>
  <c r="W17" i="26"/>
  <c r="S17" i="3"/>
  <c r="V18" i="26"/>
  <c r="R18" i="3"/>
  <c r="D19" i="26"/>
  <c r="W19" i="3"/>
  <c r="C20" i="26"/>
  <c r="W21" i="26"/>
  <c r="S21" i="3"/>
  <c r="W22" i="26"/>
  <c r="S22" i="3"/>
  <c r="C23" i="26"/>
  <c r="D22" i="26"/>
  <c r="W22" i="3"/>
  <c r="V21" i="26"/>
  <c r="R21" i="3"/>
  <c r="W23" i="26"/>
  <c r="S23" i="3"/>
  <c r="C22" i="26"/>
  <c r="D21" i="26"/>
  <c r="W21" i="3"/>
  <c r="C7" i="26"/>
  <c r="W8" i="26"/>
  <c r="S8" i="3"/>
  <c r="D14" i="26"/>
  <c r="W14" i="3"/>
  <c r="C15" i="26"/>
  <c r="C19" i="26"/>
  <c r="V22" i="26"/>
  <c r="R22" i="3"/>
  <c r="V23" i="26"/>
  <c r="R23" i="3"/>
  <c r="CE5" i="43"/>
  <c r="V6" i="26"/>
  <c r="V7" i="26"/>
  <c r="R7" i="3"/>
  <c r="D8" i="26"/>
  <c r="W8" i="3"/>
  <c r="L8" i="3"/>
  <c r="C9" i="26"/>
  <c r="W10" i="26"/>
  <c r="S10" i="3"/>
  <c r="V11" i="26"/>
  <c r="R11" i="3"/>
  <c r="D12" i="26"/>
  <c r="W12" i="3"/>
  <c r="L12" i="3"/>
  <c r="C13" i="26"/>
  <c r="W14" i="26"/>
  <c r="S14" i="3"/>
  <c r="V15" i="26"/>
  <c r="R15" i="3"/>
  <c r="D16" i="26"/>
  <c r="W16" i="3"/>
  <c r="L16" i="3"/>
  <c r="C17" i="26"/>
  <c r="W18" i="26"/>
  <c r="S18" i="3"/>
  <c r="V19" i="26"/>
  <c r="R19" i="3"/>
  <c r="D20" i="26"/>
  <c r="W20" i="3"/>
  <c r="L20" i="3"/>
  <c r="C21" i="26"/>
  <c r="C6" i="26"/>
  <c r="V9" i="26"/>
  <c r="R9" i="3"/>
  <c r="C11" i="26"/>
  <c r="V13" i="26"/>
  <c r="R13" i="3"/>
  <c r="D18" i="26"/>
  <c r="W18" i="3"/>
  <c r="W20" i="26"/>
  <c r="S20" i="3"/>
  <c r="W6" i="26"/>
  <c r="W7" i="26"/>
  <c r="S7" i="3"/>
  <c r="V8" i="26"/>
  <c r="R8" i="3"/>
  <c r="D9" i="26"/>
  <c r="W9" i="3"/>
  <c r="C10" i="26"/>
  <c r="W11" i="26"/>
  <c r="S11" i="3"/>
  <c r="V12" i="26"/>
  <c r="R12" i="3"/>
  <c r="D13" i="26"/>
  <c r="W13" i="3"/>
  <c r="C14" i="26"/>
  <c r="W15" i="26"/>
  <c r="S15" i="3"/>
  <c r="V16" i="26"/>
  <c r="R16" i="3"/>
  <c r="D17" i="26"/>
  <c r="W17" i="3"/>
  <c r="C18" i="26"/>
  <c r="W19" i="26"/>
  <c r="S19" i="3"/>
  <c r="V20" i="26"/>
  <c r="R20" i="3"/>
  <c r="AK79" i="1"/>
  <c r="P7" i="1"/>
  <c r="Y11" i="1"/>
  <c r="M3" i="25"/>
  <c r="R3" i="3"/>
  <c r="J128" i="1"/>
  <c r="A7" i="1"/>
  <c r="A8" i="1"/>
  <c r="A9" i="1"/>
  <c r="A10" i="1"/>
  <c r="A11" i="1"/>
  <c r="A12" i="1"/>
  <c r="J7" i="1"/>
  <c r="J14" i="1"/>
  <c r="J21" i="1"/>
  <c r="J28" i="1"/>
  <c r="J35" i="1"/>
  <c r="J42" i="1"/>
  <c r="J49" i="1"/>
  <c r="J56" i="1"/>
  <c r="J63" i="1"/>
  <c r="J70" i="1"/>
  <c r="J77" i="1"/>
  <c r="J84" i="1"/>
  <c r="J91" i="1"/>
  <c r="J98" i="1"/>
  <c r="J105" i="1"/>
  <c r="J112" i="1"/>
  <c r="J119" i="1"/>
  <c r="J126" i="1"/>
  <c r="S7" i="1"/>
  <c r="U7" i="1"/>
  <c r="S12" i="1"/>
  <c r="U12" i="1"/>
  <c r="I18" i="1"/>
  <c r="B20" i="1"/>
  <c r="J23" i="1"/>
  <c r="J30" i="1"/>
  <c r="I37" i="1"/>
  <c r="J38" i="1"/>
  <c r="I43" i="1"/>
  <c r="J46" i="1"/>
  <c r="I53" i="1"/>
  <c r="J58" i="1"/>
  <c r="I65" i="1"/>
  <c r="J66" i="1"/>
  <c r="I71" i="1"/>
  <c r="J74" i="1"/>
  <c r="I78" i="1"/>
  <c r="AK78" i="1"/>
  <c r="J81" i="1"/>
  <c r="I88" i="1"/>
  <c r="J93" i="1"/>
  <c r="I100" i="1"/>
  <c r="J101" i="1"/>
  <c r="I107" i="1"/>
  <c r="I109" i="1"/>
  <c r="I113" i="1"/>
  <c r="J116" i="1"/>
  <c r="I121" i="1"/>
  <c r="J123" i="1"/>
  <c r="S10" i="1"/>
  <c r="U10" i="1"/>
  <c r="I15" i="1"/>
  <c r="J18" i="1"/>
  <c r="I25" i="1"/>
  <c r="I32" i="1"/>
  <c r="J37" i="1"/>
  <c r="I44" i="1"/>
  <c r="I50" i="1"/>
  <c r="J53" i="1"/>
  <c r="I60" i="1"/>
  <c r="J65" i="1"/>
  <c r="I72" i="1"/>
  <c r="I79" i="1"/>
  <c r="I85" i="1"/>
  <c r="J88" i="1"/>
  <c r="I95" i="1"/>
  <c r="J100" i="1"/>
  <c r="J107" i="1"/>
  <c r="J109" i="1"/>
  <c r="I114" i="1"/>
  <c r="J121" i="1"/>
  <c r="I127" i="1"/>
  <c r="U10" i="10"/>
  <c r="V9" i="10"/>
  <c r="V8" i="10"/>
  <c r="U7" i="10"/>
  <c r="V6" i="10"/>
  <c r="U5" i="10"/>
  <c r="W11" i="10"/>
  <c r="U9" i="10"/>
  <c r="U8" i="10"/>
  <c r="V11" i="10"/>
  <c r="W10" i="10"/>
  <c r="W7" i="10"/>
  <c r="W5" i="10"/>
  <c r="U11" i="10"/>
  <c r="V10" i="10"/>
  <c r="W9" i="10"/>
  <c r="W8" i="10"/>
  <c r="V7" i="10"/>
  <c r="W6" i="10"/>
  <c r="V5" i="10"/>
  <c r="U6" i="10"/>
  <c r="AA7" i="1"/>
  <c r="I16" i="1"/>
  <c r="I22" i="1"/>
  <c r="J25" i="1"/>
  <c r="I29" i="1"/>
  <c r="J32" i="1"/>
  <c r="I39" i="1"/>
  <c r="J44" i="1"/>
  <c r="I51" i="1"/>
  <c r="I57" i="1"/>
  <c r="J60" i="1"/>
  <c r="I67" i="1"/>
  <c r="J72" i="1"/>
  <c r="J79" i="1"/>
  <c r="I86" i="1"/>
  <c r="I92" i="1"/>
  <c r="J95" i="1"/>
  <c r="I102" i="1"/>
  <c r="I106" i="1"/>
  <c r="J114" i="1"/>
  <c r="I120" i="1"/>
  <c r="I130" i="1"/>
  <c r="S6" i="1"/>
  <c r="U6" i="1"/>
  <c r="T6" i="1"/>
  <c r="AD6" i="1"/>
  <c r="S8" i="1"/>
  <c r="U8" i="1"/>
  <c r="J9" i="1"/>
  <c r="S9" i="1"/>
  <c r="U9" i="1"/>
  <c r="J11" i="1"/>
  <c r="S11" i="1"/>
  <c r="U11" i="1"/>
  <c r="J16" i="1"/>
  <c r="I23" i="1"/>
  <c r="I30" i="1"/>
  <c r="I36" i="1"/>
  <c r="J39" i="1"/>
  <c r="I46" i="1"/>
  <c r="J51" i="1"/>
  <c r="I58" i="1"/>
  <c r="I64" i="1"/>
  <c r="J67" i="1"/>
  <c r="I74" i="1"/>
  <c r="I81" i="1"/>
  <c r="J86" i="1"/>
  <c r="I93" i="1"/>
  <c r="J102" i="1"/>
  <c r="I116" i="1"/>
  <c r="J130" i="1"/>
  <c r="F727" i="10"/>
  <c r="R727" i="10"/>
  <c r="E727" i="10"/>
  <c r="AH474" i="10"/>
  <c r="AH488" i="10"/>
  <c r="AH593" i="10"/>
  <c r="AH565" i="10"/>
  <c r="AH705" i="10"/>
  <c r="E726" i="9"/>
  <c r="M21" i="45"/>
  <c r="E6" i="45"/>
  <c r="D467" i="38"/>
  <c r="D474" i="38"/>
  <c r="D614" i="38"/>
  <c r="D635" i="38"/>
  <c r="D698" i="38"/>
  <c r="D705" i="38"/>
  <c r="D537" i="38"/>
  <c r="D593" i="38"/>
  <c r="D481" i="38"/>
  <c r="D509" i="38"/>
  <c r="D495" i="38"/>
  <c r="D572" i="38"/>
  <c r="D544" i="38"/>
  <c r="D565" i="38"/>
  <c r="D523" i="38"/>
  <c r="D558" i="38"/>
  <c r="D586" i="38"/>
  <c r="D621" i="38"/>
  <c r="D677" i="38"/>
  <c r="D600" i="38"/>
  <c r="D628" i="38"/>
  <c r="D656" i="38"/>
  <c r="D670" i="38"/>
  <c r="D684" i="38"/>
  <c r="D712" i="38"/>
  <c r="D719" i="38"/>
  <c r="B11" i="38"/>
  <c r="B718" i="38"/>
  <c r="B466" i="38"/>
  <c r="B452" i="38"/>
  <c r="B711" i="38"/>
  <c r="B704" i="38"/>
  <c r="B697" i="38"/>
  <c r="B690" i="38"/>
  <c r="B683" i="38"/>
  <c r="B676" i="38"/>
  <c r="B669" i="38"/>
  <c r="B662" i="38"/>
  <c r="B655" i="38"/>
  <c r="B648" i="38"/>
  <c r="B641" i="38"/>
  <c r="B634" i="38"/>
  <c r="B627" i="38"/>
  <c r="B620" i="38"/>
  <c r="B613" i="38"/>
  <c r="B606" i="38"/>
  <c r="B599" i="38"/>
  <c r="B592" i="38"/>
  <c r="B585" i="38"/>
  <c r="B578" i="38"/>
  <c r="B571" i="38"/>
  <c r="B564" i="38"/>
  <c r="B557" i="38"/>
  <c r="B550" i="38"/>
  <c r="B543" i="38"/>
  <c r="B536" i="38"/>
  <c r="B529" i="38"/>
  <c r="B522" i="38"/>
  <c r="B515" i="38"/>
  <c r="B508" i="38"/>
  <c r="B501" i="38"/>
  <c r="B494" i="38"/>
  <c r="B487" i="38"/>
  <c r="B480" i="38"/>
  <c r="B473" i="38"/>
  <c r="B459" i="38"/>
  <c r="B445" i="38"/>
  <c r="B438" i="38"/>
  <c r="B431" i="38"/>
  <c r="B424" i="38"/>
  <c r="B417" i="38"/>
  <c r="B410" i="38"/>
  <c r="B403" i="38"/>
  <c r="B396" i="38"/>
  <c r="B389" i="38"/>
  <c r="B382" i="38"/>
  <c r="B375" i="38"/>
  <c r="B368" i="38"/>
  <c r="B361" i="38"/>
  <c r="B354" i="38"/>
  <c r="B347" i="38"/>
  <c r="B340" i="38"/>
  <c r="B333" i="38"/>
  <c r="B326" i="38"/>
  <c r="B319" i="38"/>
  <c r="B312" i="38"/>
  <c r="B305" i="38"/>
  <c r="B298" i="38"/>
  <c r="B291" i="38"/>
  <c r="B284" i="38"/>
  <c r="B277" i="38"/>
  <c r="B270" i="38"/>
  <c r="B263" i="38"/>
  <c r="B256" i="38"/>
  <c r="B249" i="38"/>
  <c r="B242" i="38"/>
  <c r="B235" i="38"/>
  <c r="B228" i="38"/>
  <c r="B221" i="38"/>
  <c r="B214" i="38"/>
  <c r="B207" i="38"/>
  <c r="B200" i="38"/>
  <c r="B193" i="38"/>
  <c r="B186" i="38"/>
  <c r="B179" i="38"/>
  <c r="B172" i="38"/>
  <c r="B165" i="38"/>
  <c r="B158" i="38"/>
  <c r="B151" i="38"/>
  <c r="B144" i="38"/>
  <c r="B137" i="38"/>
  <c r="B130" i="38"/>
  <c r="B123" i="38"/>
  <c r="B116" i="38"/>
  <c r="B109" i="38"/>
  <c r="B102" i="38"/>
  <c r="B95" i="38"/>
  <c r="B88" i="38"/>
  <c r="B81" i="38"/>
  <c r="B74" i="38"/>
  <c r="B67" i="38"/>
  <c r="B60" i="38"/>
  <c r="B53" i="38"/>
  <c r="B46" i="38"/>
  <c r="B39" i="38"/>
  <c r="B32" i="38"/>
  <c r="B25" i="38"/>
  <c r="B18" i="38"/>
  <c r="AD7" i="1"/>
  <c r="Y14" i="1"/>
  <c r="Z14" i="1"/>
  <c r="D29" i="38"/>
  <c r="E29" i="38"/>
  <c r="C36" i="38"/>
  <c r="C34" i="38"/>
  <c r="D27" i="38"/>
  <c r="E27" i="38"/>
  <c r="G10" i="44"/>
  <c r="I10" i="44"/>
  <c r="H80" i="44"/>
  <c r="L13" i="3"/>
  <c r="L23" i="3"/>
  <c r="L10" i="3"/>
  <c r="E18" i="26"/>
  <c r="V18" i="3"/>
  <c r="AC13" i="3"/>
  <c r="E11" i="26"/>
  <c r="V11" i="3"/>
  <c r="X11" i="3"/>
  <c r="AC14" i="3"/>
  <c r="E16" i="26"/>
  <c r="V16" i="3"/>
  <c r="X16" i="3"/>
  <c r="AC11" i="3"/>
  <c r="E8" i="26"/>
  <c r="V8" i="3"/>
  <c r="AC10" i="3"/>
  <c r="L9" i="3"/>
  <c r="AC18" i="3"/>
  <c r="X18" i="3"/>
  <c r="AC20" i="3"/>
  <c r="V9" i="3"/>
  <c r="X9" i="3"/>
  <c r="E9" i="26"/>
  <c r="AR108" i="26"/>
  <c r="E108" i="12"/>
  <c r="AZ107" i="26"/>
  <c r="AA107" i="12"/>
  <c r="AR106" i="26"/>
  <c r="E106" i="12"/>
  <c r="AZ105" i="26"/>
  <c r="AA105" i="12"/>
  <c r="AR104" i="26"/>
  <c r="E104" i="12"/>
  <c r="AZ103" i="26"/>
  <c r="AA103" i="12"/>
  <c r="AR102" i="26"/>
  <c r="E102" i="12"/>
  <c r="AZ101" i="26"/>
  <c r="AA101" i="12"/>
  <c r="AR100" i="26"/>
  <c r="E100" i="12"/>
  <c r="AZ99" i="26"/>
  <c r="AA99" i="12"/>
  <c r="AR98" i="26"/>
  <c r="E98" i="12"/>
  <c r="AZ97" i="26"/>
  <c r="AA97" i="12"/>
  <c r="AR96" i="26"/>
  <c r="E96" i="12"/>
  <c r="AZ95" i="26"/>
  <c r="AA95" i="12"/>
  <c r="AR94" i="26"/>
  <c r="E94" i="12"/>
  <c r="AZ93" i="26"/>
  <c r="AA93" i="12"/>
  <c r="AR92" i="26"/>
  <c r="E92" i="12"/>
  <c r="AZ91" i="26"/>
  <c r="AA91" i="12"/>
  <c r="AR90" i="26"/>
  <c r="E90" i="12"/>
  <c r="AZ89" i="26"/>
  <c r="AA89" i="12"/>
  <c r="AR88" i="26"/>
  <c r="E88" i="12"/>
  <c r="AZ108" i="26"/>
  <c r="AA108" i="12"/>
  <c r="AR107" i="26"/>
  <c r="E107" i="12"/>
  <c r="AZ106" i="26"/>
  <c r="AA106" i="12"/>
  <c r="AR105" i="26"/>
  <c r="E105" i="12"/>
  <c r="AZ104" i="26"/>
  <c r="AA104" i="12"/>
  <c r="AR103" i="26"/>
  <c r="E103" i="12"/>
  <c r="AZ102" i="26"/>
  <c r="AA102" i="12"/>
  <c r="AR101" i="26"/>
  <c r="E101" i="12"/>
  <c r="AZ100" i="26"/>
  <c r="AA100" i="12"/>
  <c r="AR99" i="26"/>
  <c r="E99" i="12"/>
  <c r="AZ98" i="26"/>
  <c r="AA98" i="12"/>
  <c r="AR97" i="26"/>
  <c r="E97" i="12"/>
  <c r="AZ96" i="26"/>
  <c r="AA96" i="12"/>
  <c r="AR95" i="26"/>
  <c r="E95" i="12"/>
  <c r="AZ94" i="26"/>
  <c r="AA94" i="12"/>
  <c r="AR93" i="26"/>
  <c r="E93" i="12"/>
  <c r="AZ92" i="26"/>
  <c r="AA92" i="12"/>
  <c r="AR91" i="26"/>
  <c r="E91" i="12"/>
  <c r="AZ90" i="26"/>
  <c r="AA90" i="12"/>
  <c r="AR89" i="26"/>
  <c r="E89" i="12"/>
  <c r="AZ88" i="26"/>
  <c r="AA88" i="12"/>
  <c r="BK108" i="26"/>
  <c r="AU108" i="26"/>
  <c r="P108" i="12"/>
  <c r="BK107" i="26"/>
  <c r="AU107" i="26"/>
  <c r="P107" i="12"/>
  <c r="BK106" i="26"/>
  <c r="AU106" i="26"/>
  <c r="P106" i="12"/>
  <c r="BK105" i="26"/>
  <c r="AU105" i="26"/>
  <c r="P105" i="12"/>
  <c r="BK104" i="26"/>
  <c r="AU104" i="26"/>
  <c r="P104" i="12"/>
  <c r="BK103" i="26"/>
  <c r="AU103" i="26"/>
  <c r="P103" i="12"/>
  <c r="BK102" i="26"/>
  <c r="AU102" i="26"/>
  <c r="P102" i="12"/>
  <c r="BK101" i="26"/>
  <c r="AU101" i="26"/>
  <c r="P101" i="12"/>
  <c r="BK100" i="26"/>
  <c r="AU100" i="26"/>
  <c r="P100" i="12"/>
  <c r="BK99" i="26"/>
  <c r="AU99" i="26"/>
  <c r="P99" i="12"/>
  <c r="BK98" i="26"/>
  <c r="AU98" i="26"/>
  <c r="P98" i="12"/>
  <c r="BK97" i="26"/>
  <c r="AU97" i="26"/>
  <c r="P97" i="12"/>
  <c r="BK96" i="26"/>
  <c r="AU96" i="26"/>
  <c r="P96" i="12"/>
  <c r="BK95" i="26"/>
  <c r="AU95" i="26"/>
  <c r="P95" i="12"/>
  <c r="BK94" i="26"/>
  <c r="AU94" i="26"/>
  <c r="P94" i="12"/>
  <c r="BK93" i="26"/>
  <c r="AU93" i="26"/>
  <c r="P93" i="12"/>
  <c r="BK92" i="26"/>
  <c r="AU92" i="26"/>
  <c r="P92" i="12"/>
  <c r="BK91" i="26"/>
  <c r="AU91" i="26"/>
  <c r="P91" i="12"/>
  <c r="BK90" i="26"/>
  <c r="AU90" i="26"/>
  <c r="P90" i="12"/>
  <c r="BK89" i="26"/>
  <c r="AU89" i="26"/>
  <c r="P89" i="12"/>
  <c r="BK88" i="26"/>
  <c r="AU88" i="26"/>
  <c r="P88" i="12"/>
  <c r="AZ87" i="26"/>
  <c r="AA87" i="12"/>
  <c r="AR86" i="26"/>
  <c r="E86" i="12"/>
  <c r="AZ85" i="26"/>
  <c r="AA85" i="12"/>
  <c r="AR84" i="26"/>
  <c r="E84" i="12"/>
  <c r="AZ83" i="26"/>
  <c r="AA83" i="12"/>
  <c r="AR82" i="26"/>
  <c r="E82" i="12"/>
  <c r="AZ81" i="26"/>
  <c r="AA81" i="12"/>
  <c r="AE81" i="26"/>
  <c r="AR80" i="26"/>
  <c r="E80" i="12"/>
  <c r="AZ79" i="26"/>
  <c r="AA79" i="12"/>
  <c r="AE79" i="26"/>
  <c r="AR78" i="26"/>
  <c r="E78" i="12"/>
  <c r="AZ77" i="26"/>
  <c r="AA77" i="12"/>
  <c r="AE77" i="26"/>
  <c r="AR76" i="26"/>
  <c r="E76" i="12"/>
  <c r="AZ75" i="26"/>
  <c r="AA75" i="12"/>
  <c r="AE75" i="26"/>
  <c r="AR74" i="26"/>
  <c r="E74" i="12"/>
  <c r="AZ73" i="26"/>
  <c r="AA73" i="12"/>
  <c r="AE73" i="26"/>
  <c r="AR72" i="26"/>
  <c r="E72" i="12"/>
  <c r="AZ71" i="26"/>
  <c r="AA71" i="12"/>
  <c r="AE70" i="26"/>
  <c r="AU69" i="26"/>
  <c r="P69" i="12"/>
  <c r="AJ69" i="26"/>
  <c r="BK68" i="26"/>
  <c r="AR68" i="26"/>
  <c r="E68" i="12"/>
  <c r="AZ67" i="26"/>
  <c r="AA67" i="12"/>
  <c r="AE66" i="26"/>
  <c r="AU65" i="26"/>
  <c r="P65" i="12"/>
  <c r="AJ65" i="26"/>
  <c r="BK64" i="26"/>
  <c r="AR64" i="26"/>
  <c r="E64" i="12"/>
  <c r="AZ63" i="26"/>
  <c r="AA63" i="12"/>
  <c r="AE62" i="26"/>
  <c r="AU61" i="26"/>
  <c r="P61" i="12"/>
  <c r="AJ61" i="26"/>
  <c r="BK60" i="26"/>
  <c r="AR60" i="26"/>
  <c r="E60" i="12"/>
  <c r="AU87" i="26"/>
  <c r="P87" i="12"/>
  <c r="BK86" i="26"/>
  <c r="AU85" i="26"/>
  <c r="P85" i="12"/>
  <c r="BK84" i="26"/>
  <c r="AU83" i="26"/>
  <c r="P83" i="12"/>
  <c r="BK82" i="26"/>
  <c r="AU81" i="26"/>
  <c r="P81" i="12"/>
  <c r="BK80" i="26"/>
  <c r="AU79" i="26"/>
  <c r="P79" i="12"/>
  <c r="AJ79" i="26"/>
  <c r="BK78" i="26"/>
  <c r="AU77" i="26"/>
  <c r="P77" i="12"/>
  <c r="AJ77" i="26"/>
  <c r="BK76" i="26"/>
  <c r="AU75" i="26"/>
  <c r="P75" i="12"/>
  <c r="AJ75" i="26"/>
  <c r="BK74" i="26"/>
  <c r="AU73" i="26"/>
  <c r="P73" i="12"/>
  <c r="AJ73" i="26"/>
  <c r="BK72" i="26"/>
  <c r="AE71" i="26"/>
  <c r="AU70" i="26"/>
  <c r="P70" i="12"/>
  <c r="AJ70" i="26"/>
  <c r="BK69" i="26"/>
  <c r="AR69" i="26"/>
  <c r="E69" i="12"/>
  <c r="AZ68" i="26"/>
  <c r="AA68" i="12"/>
  <c r="AE67" i="26"/>
  <c r="AU66" i="26"/>
  <c r="P66" i="12"/>
  <c r="AJ66" i="26"/>
  <c r="BK65" i="26"/>
  <c r="AR65" i="26"/>
  <c r="E65" i="12"/>
  <c r="AZ64" i="26"/>
  <c r="AA64" i="12"/>
  <c r="AE63" i="26"/>
  <c r="AU62" i="26"/>
  <c r="P62" i="12"/>
  <c r="AJ62" i="26"/>
  <c r="BK61" i="26"/>
  <c r="AR61" i="26"/>
  <c r="E61" i="12"/>
  <c r="AZ60" i="26"/>
  <c r="AA60" i="12"/>
  <c r="AE59" i="26"/>
  <c r="AU58" i="26"/>
  <c r="P58" i="12"/>
  <c r="AJ58" i="26"/>
  <c r="BK57" i="26"/>
  <c r="AR57" i="26"/>
  <c r="E57" i="12"/>
  <c r="AZ56" i="26"/>
  <c r="AA56" i="12"/>
  <c r="AE55" i="26"/>
  <c r="AU54" i="26"/>
  <c r="P54" i="12"/>
  <c r="AJ54" i="26"/>
  <c r="AR87" i="26"/>
  <c r="E87" i="12"/>
  <c r="AZ86" i="26"/>
  <c r="AA86" i="12"/>
  <c r="AR85" i="26"/>
  <c r="E85" i="12"/>
  <c r="AZ84" i="26"/>
  <c r="AA84" i="12"/>
  <c r="AR83" i="26"/>
  <c r="E83" i="12"/>
  <c r="AZ82" i="26"/>
  <c r="AA82" i="12"/>
  <c r="AR81" i="26"/>
  <c r="E81" i="12"/>
  <c r="AZ80" i="26"/>
  <c r="AA80" i="12"/>
  <c r="AE80" i="26"/>
  <c r="AR79" i="26"/>
  <c r="E79" i="12"/>
  <c r="AZ78" i="26"/>
  <c r="AA78" i="12"/>
  <c r="AE78" i="26"/>
  <c r="AR77" i="26"/>
  <c r="E77" i="12"/>
  <c r="AZ76" i="26"/>
  <c r="AA76" i="12"/>
  <c r="AE76" i="26"/>
  <c r="AR75" i="26"/>
  <c r="E75" i="12"/>
  <c r="AZ74" i="26"/>
  <c r="AA74" i="12"/>
  <c r="AE74" i="26"/>
  <c r="AR73" i="26"/>
  <c r="E73" i="12"/>
  <c r="AZ72" i="26"/>
  <c r="AA72" i="12"/>
  <c r="AE72" i="26"/>
  <c r="AU71" i="26"/>
  <c r="P71" i="12"/>
  <c r="AJ71" i="26"/>
  <c r="BK70" i="26"/>
  <c r="AR70" i="26"/>
  <c r="E70" i="12"/>
  <c r="AZ69" i="26"/>
  <c r="AA69" i="12"/>
  <c r="AE68" i="26"/>
  <c r="AU67" i="26"/>
  <c r="P67" i="12"/>
  <c r="AJ67" i="26"/>
  <c r="BK66" i="26"/>
  <c r="AR66" i="26"/>
  <c r="E66" i="12"/>
  <c r="AZ65" i="26"/>
  <c r="AA65" i="12"/>
  <c r="AE64" i="26"/>
  <c r="AU63" i="26"/>
  <c r="P63" i="12"/>
  <c r="AJ63" i="26"/>
  <c r="BK62" i="26"/>
  <c r="AR62" i="26"/>
  <c r="E62" i="12"/>
  <c r="AZ61" i="26"/>
  <c r="AA61" i="12"/>
  <c r="AE60" i="26"/>
  <c r="AU86" i="26"/>
  <c r="P86" i="12"/>
  <c r="BK81" i="26"/>
  <c r="AJ80" i="26"/>
  <c r="AU78" i="26"/>
  <c r="P78" i="12"/>
  <c r="BK73" i="26"/>
  <c r="AJ72" i="26"/>
  <c r="AZ70" i="26"/>
  <c r="AA70" i="12"/>
  <c r="AE69" i="26"/>
  <c r="AU68" i="26"/>
  <c r="P68" i="12"/>
  <c r="AR59" i="26"/>
  <c r="E59" i="12"/>
  <c r="AE58" i="26"/>
  <c r="AZ57" i="26"/>
  <c r="AA57" i="12"/>
  <c r="BK56" i="26"/>
  <c r="BK55" i="26"/>
  <c r="AZ55" i="26"/>
  <c r="AA55" i="12"/>
  <c r="BK54" i="26"/>
  <c r="AZ54" i="26"/>
  <c r="AA54" i="12"/>
  <c r="BK53" i="26"/>
  <c r="AR53" i="26"/>
  <c r="E53" i="12"/>
  <c r="AZ52" i="26"/>
  <c r="AA52" i="12"/>
  <c r="AE51" i="26"/>
  <c r="AU50" i="26"/>
  <c r="P50" i="12"/>
  <c r="AJ50" i="26"/>
  <c r="BK49" i="26"/>
  <c r="AR49" i="26"/>
  <c r="E49" i="12"/>
  <c r="AZ48" i="26"/>
  <c r="AA48" i="12"/>
  <c r="AE47" i="26"/>
  <c r="AU46" i="26"/>
  <c r="P46" i="12"/>
  <c r="AJ46" i="26"/>
  <c r="BK45" i="26"/>
  <c r="AR45" i="26"/>
  <c r="E45" i="12"/>
  <c r="AZ44" i="26"/>
  <c r="AA44" i="12"/>
  <c r="AE43" i="26"/>
  <c r="AU42" i="26"/>
  <c r="P42" i="12"/>
  <c r="AJ42" i="26"/>
  <c r="BK41" i="26"/>
  <c r="AR41" i="26"/>
  <c r="E41" i="12"/>
  <c r="AZ40" i="26"/>
  <c r="AA40" i="12"/>
  <c r="AE39" i="26"/>
  <c r="AU38" i="26"/>
  <c r="P38" i="12"/>
  <c r="AJ38" i="26"/>
  <c r="BK37" i="26"/>
  <c r="AR37" i="26"/>
  <c r="E37" i="12"/>
  <c r="AZ36" i="26"/>
  <c r="AA36" i="12"/>
  <c r="AE35" i="26"/>
  <c r="AU34" i="26"/>
  <c r="P34" i="12"/>
  <c r="AJ34" i="26"/>
  <c r="BK33" i="26"/>
  <c r="AR33" i="26"/>
  <c r="E33" i="12"/>
  <c r="AZ32" i="26"/>
  <c r="AA32" i="12"/>
  <c r="AE31" i="26"/>
  <c r="AU30" i="26"/>
  <c r="P30" i="12"/>
  <c r="AJ30" i="26"/>
  <c r="BK29" i="26"/>
  <c r="AR29" i="26"/>
  <c r="E29" i="12"/>
  <c r="AZ28" i="26"/>
  <c r="AA28" i="12"/>
  <c r="AE27" i="26"/>
  <c r="AU26" i="26"/>
  <c r="P26" i="12"/>
  <c r="AJ26" i="26"/>
  <c r="BK25" i="26"/>
  <c r="AR25" i="26"/>
  <c r="E25" i="12"/>
  <c r="AZ24" i="26"/>
  <c r="AA24" i="12"/>
  <c r="AE23" i="26"/>
  <c r="AZ22" i="26"/>
  <c r="AA22" i="12"/>
  <c r="BK21" i="26"/>
  <c r="AR21" i="26"/>
  <c r="E21" i="12"/>
  <c r="BK87" i="26"/>
  <c r="AU84" i="26"/>
  <c r="P84" i="12"/>
  <c r="BK79" i="26"/>
  <c r="AJ78" i="26"/>
  <c r="AU76" i="26"/>
  <c r="P76" i="12"/>
  <c r="BK71" i="26"/>
  <c r="AR71" i="26"/>
  <c r="E71" i="12"/>
  <c r="AJ68" i="26"/>
  <c r="AZ66" i="26"/>
  <c r="AA66" i="12"/>
  <c r="AE65" i="26"/>
  <c r="AU64" i="26"/>
  <c r="P64" i="12"/>
  <c r="BK59" i="26"/>
  <c r="AZ59" i="26"/>
  <c r="AA59" i="12"/>
  <c r="BK58" i="26"/>
  <c r="AZ58" i="26"/>
  <c r="AA58" i="12"/>
  <c r="AJ57" i="26"/>
  <c r="AJ56" i="26"/>
  <c r="AJ55" i="26"/>
  <c r="AZ53" i="26"/>
  <c r="AA53" i="12"/>
  <c r="AE52" i="26"/>
  <c r="AU51" i="26"/>
  <c r="P51" i="12"/>
  <c r="AJ51" i="26"/>
  <c r="BK50" i="26"/>
  <c r="AR50" i="26"/>
  <c r="E50" i="12"/>
  <c r="AZ49" i="26"/>
  <c r="AA49" i="12"/>
  <c r="AE48" i="26"/>
  <c r="AU47" i="26"/>
  <c r="P47" i="12"/>
  <c r="AJ47" i="26"/>
  <c r="BK46" i="26"/>
  <c r="AR46" i="26"/>
  <c r="E46" i="12"/>
  <c r="AZ45" i="26"/>
  <c r="AA45" i="12"/>
  <c r="AE44" i="26"/>
  <c r="AU43" i="26"/>
  <c r="P43" i="12"/>
  <c r="AJ43" i="26"/>
  <c r="BK42" i="26"/>
  <c r="AR42" i="26"/>
  <c r="E42" i="12"/>
  <c r="AZ41" i="26"/>
  <c r="AA41" i="12"/>
  <c r="AE40" i="26"/>
  <c r="AU39" i="26"/>
  <c r="P39" i="12"/>
  <c r="AJ39" i="26"/>
  <c r="BK38" i="26"/>
  <c r="AR38" i="26"/>
  <c r="E38" i="12"/>
  <c r="AZ37" i="26"/>
  <c r="AA37" i="12"/>
  <c r="AE36" i="26"/>
  <c r="AU35" i="26"/>
  <c r="P35" i="12"/>
  <c r="AJ35" i="26"/>
  <c r="BK34" i="26"/>
  <c r="AR34" i="26"/>
  <c r="E34" i="12"/>
  <c r="AZ33" i="26"/>
  <c r="AA33" i="12"/>
  <c r="AE32" i="26"/>
  <c r="AU31" i="26"/>
  <c r="P31" i="12"/>
  <c r="AJ31" i="26"/>
  <c r="BK30" i="26"/>
  <c r="AR30" i="26"/>
  <c r="E30" i="12"/>
  <c r="AZ29" i="26"/>
  <c r="AA29" i="12"/>
  <c r="AE28" i="26"/>
  <c r="AU27" i="26"/>
  <c r="P27" i="12"/>
  <c r="AJ27" i="26"/>
  <c r="BK26" i="26"/>
  <c r="AR26" i="26"/>
  <c r="E26" i="12"/>
  <c r="AZ25" i="26"/>
  <c r="AA25" i="12"/>
  <c r="AE24" i="26"/>
  <c r="AU23" i="26"/>
  <c r="P23" i="12"/>
  <c r="AJ23" i="26"/>
  <c r="AE22" i="26"/>
  <c r="AZ21" i="26"/>
  <c r="AA21" i="12"/>
  <c r="BK85" i="26"/>
  <c r="AU82" i="26"/>
  <c r="P82" i="12"/>
  <c r="BK77" i="26"/>
  <c r="AJ76" i="26"/>
  <c r="AU74" i="26"/>
  <c r="P74" i="12"/>
  <c r="BK67" i="26"/>
  <c r="AR67" i="26"/>
  <c r="E67" i="12"/>
  <c r="AJ64" i="26"/>
  <c r="AZ62" i="26"/>
  <c r="AA62" i="12"/>
  <c r="AE61" i="26"/>
  <c r="AU60" i="26"/>
  <c r="P60" i="12"/>
  <c r="AJ59" i="26"/>
  <c r="AU57" i="26"/>
  <c r="P57" i="12"/>
  <c r="AU56" i="26"/>
  <c r="P56" i="12"/>
  <c r="AU55" i="26"/>
  <c r="P55" i="12"/>
  <c r="AR54" i="26"/>
  <c r="E54" i="12"/>
  <c r="AE53" i="26"/>
  <c r="AU52" i="26"/>
  <c r="P52" i="12"/>
  <c r="AJ52" i="26"/>
  <c r="BK51" i="26"/>
  <c r="AR51" i="26"/>
  <c r="E51" i="12"/>
  <c r="AZ50" i="26"/>
  <c r="AA50" i="12"/>
  <c r="AE49" i="26"/>
  <c r="AU48" i="26"/>
  <c r="P48" i="12"/>
  <c r="AJ48" i="26"/>
  <c r="BK47" i="26"/>
  <c r="AR47" i="26"/>
  <c r="E47" i="12"/>
  <c r="AZ46" i="26"/>
  <c r="AA46" i="12"/>
  <c r="AE45" i="26"/>
  <c r="AU44" i="26"/>
  <c r="P44" i="12"/>
  <c r="AJ44" i="26"/>
  <c r="BK43" i="26"/>
  <c r="AR43" i="26"/>
  <c r="E43" i="12"/>
  <c r="AZ42" i="26"/>
  <c r="AA42" i="12"/>
  <c r="AE41" i="26"/>
  <c r="AU40" i="26"/>
  <c r="P40" i="12"/>
  <c r="AJ40" i="26"/>
  <c r="BK39" i="26"/>
  <c r="AR39" i="26"/>
  <c r="E39" i="12"/>
  <c r="AZ38" i="26"/>
  <c r="AA38" i="12"/>
  <c r="AE37" i="26"/>
  <c r="AU36" i="26"/>
  <c r="P36" i="12"/>
  <c r="AJ36" i="26"/>
  <c r="BK35" i="26"/>
  <c r="AR35" i="26"/>
  <c r="E35" i="12"/>
  <c r="AZ34" i="26"/>
  <c r="AA34" i="12"/>
  <c r="AE33" i="26"/>
  <c r="AU32" i="26"/>
  <c r="P32" i="12"/>
  <c r="AJ32" i="26"/>
  <c r="BK31" i="26"/>
  <c r="AR31" i="26"/>
  <c r="E31" i="12"/>
  <c r="AZ30" i="26"/>
  <c r="AA30" i="12"/>
  <c r="AE29" i="26"/>
  <c r="AU28" i="26"/>
  <c r="P28" i="12"/>
  <c r="AJ28" i="26"/>
  <c r="BK27" i="26"/>
  <c r="AR27" i="26"/>
  <c r="E27" i="12"/>
  <c r="AZ26" i="26"/>
  <c r="AA26" i="12"/>
  <c r="AE25" i="26"/>
  <c r="AU24" i="26"/>
  <c r="P24" i="12"/>
  <c r="AR63" i="26"/>
  <c r="E63" i="12"/>
  <c r="AJ60" i="26"/>
  <c r="AU59" i="26"/>
  <c r="P59" i="12"/>
  <c r="AE56" i="26"/>
  <c r="AR55" i="26"/>
  <c r="E55" i="12"/>
  <c r="BK52" i="26"/>
  <c r="AR52" i="26"/>
  <c r="E52" i="12"/>
  <c r="AJ49" i="26"/>
  <c r="AZ47" i="26"/>
  <c r="AA47" i="12"/>
  <c r="AE46" i="26"/>
  <c r="AU45" i="26"/>
  <c r="P45" i="12"/>
  <c r="BK36" i="26"/>
  <c r="AR36" i="26"/>
  <c r="E36" i="12"/>
  <c r="AJ33" i="26"/>
  <c r="AZ31" i="26"/>
  <c r="AA31" i="12"/>
  <c r="AE30" i="26"/>
  <c r="AU29" i="26"/>
  <c r="P29" i="12"/>
  <c r="AJ24" i="26"/>
  <c r="AJ22" i="26"/>
  <c r="AJ21" i="26"/>
  <c r="BK20" i="26"/>
  <c r="AR20" i="26"/>
  <c r="E20" i="12"/>
  <c r="AU19" i="26"/>
  <c r="P19" i="12"/>
  <c r="AJ19" i="26"/>
  <c r="AE18" i="26"/>
  <c r="AZ17" i="26"/>
  <c r="AA17" i="12"/>
  <c r="BK16" i="26"/>
  <c r="AR16" i="26"/>
  <c r="E16" i="12"/>
  <c r="AU15" i="26"/>
  <c r="P15" i="12"/>
  <c r="AJ15" i="26"/>
  <c r="AE14" i="26"/>
  <c r="AZ13" i="26"/>
  <c r="AA13" i="12"/>
  <c r="BK12" i="26"/>
  <c r="AR12" i="26"/>
  <c r="E12" i="12"/>
  <c r="AU11" i="26"/>
  <c r="P11" i="12"/>
  <c r="AJ11" i="26"/>
  <c r="AE10" i="26"/>
  <c r="AZ9" i="26"/>
  <c r="AA9" i="12"/>
  <c r="BK8" i="26"/>
  <c r="AR8" i="26"/>
  <c r="E8" i="12"/>
  <c r="AU7" i="26"/>
  <c r="P7" i="12"/>
  <c r="AJ7" i="26"/>
  <c r="AZ6" i="26"/>
  <c r="BK83" i="26"/>
  <c r="AJ53" i="26"/>
  <c r="AE50" i="26"/>
  <c r="BK40" i="26"/>
  <c r="AZ35" i="26"/>
  <c r="AA35" i="12"/>
  <c r="AR23" i="26"/>
  <c r="E23" i="12"/>
  <c r="AR22" i="26"/>
  <c r="E22" i="12"/>
  <c r="AZ18" i="26"/>
  <c r="AA18" i="12"/>
  <c r="AR17" i="26"/>
  <c r="E17" i="12"/>
  <c r="AU16" i="26"/>
  <c r="P16" i="12"/>
  <c r="AE15" i="26"/>
  <c r="AZ14" i="26"/>
  <c r="AA14" i="12"/>
  <c r="AJ12" i="26"/>
  <c r="BK9" i="26"/>
  <c r="AU8" i="26"/>
  <c r="P8" i="12"/>
  <c r="AE7" i="26"/>
  <c r="AR6" i="26"/>
  <c r="E6" i="12"/>
  <c r="BK63" i="26"/>
  <c r="AR58" i="26"/>
  <c r="E58" i="12"/>
  <c r="BK48" i="26"/>
  <c r="AR48" i="26"/>
  <c r="E48" i="12"/>
  <c r="AJ45" i="26"/>
  <c r="AZ43" i="26"/>
  <c r="AA43" i="12"/>
  <c r="AE42" i="26"/>
  <c r="AU41" i="26"/>
  <c r="P41" i="12"/>
  <c r="BK32" i="26"/>
  <c r="AR32" i="26"/>
  <c r="E32" i="12"/>
  <c r="AJ29" i="26"/>
  <c r="AZ27" i="26"/>
  <c r="AA27" i="12"/>
  <c r="AE26" i="26"/>
  <c r="AU25" i="26"/>
  <c r="P25" i="12"/>
  <c r="AZ23" i="26"/>
  <c r="AA23" i="12"/>
  <c r="BK22" i="26"/>
  <c r="AE21" i="26"/>
  <c r="AZ20" i="26"/>
  <c r="AA20" i="12"/>
  <c r="BK19" i="26"/>
  <c r="AR19" i="26"/>
  <c r="E19" i="12"/>
  <c r="AU18" i="26"/>
  <c r="P18" i="12"/>
  <c r="AJ18" i="26"/>
  <c r="AE17" i="26"/>
  <c r="AZ16" i="26"/>
  <c r="AA16" i="12"/>
  <c r="BK15" i="26"/>
  <c r="AR15" i="26"/>
  <c r="E15" i="12"/>
  <c r="AU14" i="26"/>
  <c r="P14" i="12"/>
  <c r="AJ14" i="26"/>
  <c r="AE13" i="26"/>
  <c r="AZ12" i="26"/>
  <c r="AA12" i="12"/>
  <c r="BK11" i="26"/>
  <c r="AR11" i="26"/>
  <c r="E11" i="12"/>
  <c r="AU10" i="26"/>
  <c r="P10" i="12"/>
  <c r="AJ10" i="26"/>
  <c r="AE9" i="26"/>
  <c r="AZ8" i="26"/>
  <c r="AA8" i="12"/>
  <c r="BK7" i="26"/>
  <c r="AR7" i="26"/>
  <c r="E7" i="12"/>
  <c r="AJ6" i="26"/>
  <c r="AE57" i="26"/>
  <c r="AZ51" i="26"/>
  <c r="AA51" i="12"/>
  <c r="AJ37" i="26"/>
  <c r="AE34" i="26"/>
  <c r="BK24" i="26"/>
  <c r="AU20" i="26"/>
  <c r="P20" i="12"/>
  <c r="AE19" i="26"/>
  <c r="BK17" i="26"/>
  <c r="AJ16" i="26"/>
  <c r="AR13" i="26"/>
  <c r="E13" i="12"/>
  <c r="AU12" i="26"/>
  <c r="P12" i="12"/>
  <c r="AE11" i="26"/>
  <c r="AZ10" i="26"/>
  <c r="AA10" i="12"/>
  <c r="BK75" i="26"/>
  <c r="AJ74" i="26"/>
  <c r="AU72" i="26"/>
  <c r="P72" i="12"/>
  <c r="AE54" i="26"/>
  <c r="AU53" i="26"/>
  <c r="P53" i="12"/>
  <c r="BK44" i="26"/>
  <c r="AR44" i="26"/>
  <c r="E44" i="12"/>
  <c r="AJ41" i="26"/>
  <c r="AZ39" i="26"/>
  <c r="AA39" i="12"/>
  <c r="AE38" i="26"/>
  <c r="AU37" i="26"/>
  <c r="P37" i="12"/>
  <c r="BK28" i="26"/>
  <c r="AR28" i="26"/>
  <c r="E28" i="12"/>
  <c r="AJ25" i="26"/>
  <c r="BK23" i="26"/>
  <c r="AU22" i="26"/>
  <c r="P22" i="12"/>
  <c r="AU21" i="26"/>
  <c r="P21" i="12"/>
  <c r="AE20" i="26"/>
  <c r="AZ19" i="26"/>
  <c r="AA19" i="12"/>
  <c r="BK18" i="26"/>
  <c r="AR18" i="26"/>
  <c r="E18" i="12"/>
  <c r="AU17" i="26"/>
  <c r="P17" i="12"/>
  <c r="AJ17" i="26"/>
  <c r="AE16" i="26"/>
  <c r="AZ15" i="26"/>
  <c r="AA15" i="12"/>
  <c r="BK14" i="26"/>
  <c r="AR14" i="26"/>
  <c r="E14" i="12"/>
  <c r="AU13" i="26"/>
  <c r="P13" i="12"/>
  <c r="AJ13" i="26"/>
  <c r="AE12" i="26"/>
  <c r="AZ11" i="26"/>
  <c r="AA11" i="12"/>
  <c r="BK10" i="26"/>
  <c r="AR10" i="26"/>
  <c r="E10" i="12"/>
  <c r="AU9" i="26"/>
  <c r="P9" i="12"/>
  <c r="AJ9" i="26"/>
  <c r="AE8" i="26"/>
  <c r="AZ7" i="26"/>
  <c r="AA7" i="12"/>
  <c r="BK6" i="26"/>
  <c r="AU6" i="26"/>
  <c r="P6" i="12"/>
  <c r="AU80" i="26"/>
  <c r="P80" i="12"/>
  <c r="AR56" i="26"/>
  <c r="E56" i="12"/>
  <c r="AU49" i="26"/>
  <c r="P49" i="12"/>
  <c r="AR40" i="26"/>
  <c r="E40" i="12"/>
  <c r="AU33" i="26"/>
  <c r="P33" i="12"/>
  <c r="AR24" i="26"/>
  <c r="E24" i="12"/>
  <c r="AJ20" i="26"/>
  <c r="BK13" i="26"/>
  <c r="AR9" i="26"/>
  <c r="E9" i="12"/>
  <c r="AJ8" i="26"/>
  <c r="AE6" i="26"/>
  <c r="Y13" i="1"/>
  <c r="L7" i="3"/>
  <c r="Y15" i="1"/>
  <c r="AC17" i="3"/>
  <c r="E14" i="26"/>
  <c r="V14" i="3"/>
  <c r="AC9" i="3"/>
  <c r="L14" i="3"/>
  <c r="E6" i="26"/>
  <c r="Y6" i="3"/>
  <c r="V6" i="3"/>
  <c r="AB6" i="3"/>
  <c r="G6" i="26"/>
  <c r="Y16" i="1"/>
  <c r="Z16" i="1"/>
  <c r="V19" i="3"/>
  <c r="AB19" i="3"/>
  <c r="G19" i="26"/>
  <c r="E19" i="26"/>
  <c r="L21" i="3"/>
  <c r="E20" i="26"/>
  <c r="V20" i="3"/>
  <c r="AB20" i="3"/>
  <c r="G20" i="26"/>
  <c r="AC15" i="3"/>
  <c r="E12" i="26"/>
  <c r="V12" i="3"/>
  <c r="AC7" i="3"/>
  <c r="L18" i="3"/>
  <c r="E10" i="26"/>
  <c r="V10" i="3"/>
  <c r="Y6" i="1"/>
  <c r="L22" i="3"/>
  <c r="AC19" i="3"/>
  <c r="AC6" i="3"/>
  <c r="L17" i="3"/>
  <c r="S6" i="3"/>
  <c r="Y9" i="1"/>
  <c r="Z9" i="1"/>
  <c r="V17" i="3"/>
  <c r="E17" i="26"/>
  <c r="AC12" i="3"/>
  <c r="R6" i="3"/>
  <c r="Y8" i="1"/>
  <c r="AC21" i="3"/>
  <c r="V23" i="3"/>
  <c r="E23" i="26"/>
  <c r="E21" i="26"/>
  <c r="V21" i="3"/>
  <c r="AC16" i="3"/>
  <c r="V13" i="3"/>
  <c r="X13" i="3"/>
  <c r="E13" i="26"/>
  <c r="AC8" i="3"/>
  <c r="X8" i="3"/>
  <c r="V15" i="3"/>
  <c r="E15" i="26"/>
  <c r="E7" i="26"/>
  <c r="V7" i="3"/>
  <c r="V22" i="3"/>
  <c r="E22" i="26"/>
  <c r="AC22" i="3"/>
  <c r="L19" i="3"/>
  <c r="Y7" i="1"/>
  <c r="Z7" i="1"/>
  <c r="AC23" i="3"/>
  <c r="U727" i="10"/>
  <c r="AK29" i="1"/>
  <c r="T11" i="1"/>
  <c r="P11" i="1"/>
  <c r="P8" i="1"/>
  <c r="AK80" i="1"/>
  <c r="W727" i="10"/>
  <c r="AJ7" i="1"/>
  <c r="T9" i="1"/>
  <c r="T10" i="1"/>
  <c r="P9" i="1"/>
  <c r="C4" i="9"/>
  <c r="V727" i="10"/>
  <c r="AD701" i="10"/>
  <c r="AD694" i="10"/>
  <c r="C5" i="9"/>
  <c r="AD687" i="10"/>
  <c r="AD673" i="10"/>
  <c r="AD659" i="10"/>
  <c r="AD645" i="10"/>
  <c r="AD631" i="10"/>
  <c r="AD617" i="10"/>
  <c r="AD603" i="10"/>
  <c r="AD722" i="10"/>
  <c r="AD680" i="10"/>
  <c r="AD624" i="10"/>
  <c r="AD575" i="10"/>
  <c r="AD561" i="10"/>
  <c r="AD666" i="10"/>
  <c r="AD610" i="10"/>
  <c r="AD582" i="10"/>
  <c r="AD715" i="10"/>
  <c r="AD708" i="10"/>
  <c r="AD652" i="10"/>
  <c r="AD589" i="10"/>
  <c r="AD568" i="10"/>
  <c r="AD554" i="10"/>
  <c r="AD540" i="10"/>
  <c r="AD526" i="10"/>
  <c r="AD512" i="10"/>
  <c r="AD498" i="10"/>
  <c r="AD638" i="10"/>
  <c r="AD596" i="10"/>
  <c r="AD547" i="10"/>
  <c r="AD484" i="10"/>
  <c r="AD470" i="10"/>
  <c r="AH461" i="10"/>
  <c r="AD456" i="10"/>
  <c r="AH447" i="10"/>
  <c r="AD442" i="10"/>
  <c r="AH433" i="10"/>
  <c r="AD428" i="10"/>
  <c r="AH419" i="10"/>
  <c r="AD414" i="10"/>
  <c r="AH405" i="10"/>
  <c r="AD400" i="10"/>
  <c r="AH391" i="10"/>
  <c r="AD533" i="10"/>
  <c r="AD505" i="10"/>
  <c r="AD491" i="10"/>
  <c r="AD519" i="10"/>
  <c r="AD477" i="10"/>
  <c r="AD463" i="10"/>
  <c r="AH454" i="10"/>
  <c r="AD449" i="10"/>
  <c r="AH440" i="10"/>
  <c r="AD435" i="10"/>
  <c r="AH426" i="10"/>
  <c r="AD421" i="10"/>
  <c r="AH412" i="10"/>
  <c r="AD407" i="10"/>
  <c r="AH398" i="10"/>
  <c r="AD393" i="10"/>
  <c r="AH384" i="10"/>
  <c r="AH370" i="10"/>
  <c r="AD365" i="10"/>
  <c r="AH356" i="10"/>
  <c r="AD351" i="10"/>
  <c r="AH342" i="10"/>
  <c r="AD337" i="10"/>
  <c r="AH328" i="10"/>
  <c r="AD323" i="10"/>
  <c r="AH314" i="10"/>
  <c r="AD309" i="10"/>
  <c r="AH300" i="10"/>
  <c r="AD295" i="10"/>
  <c r="AH286" i="10"/>
  <c r="AD281" i="10"/>
  <c r="AH272" i="10"/>
  <c r="AD267" i="10"/>
  <c r="AH258" i="10"/>
  <c r="AD253" i="10"/>
  <c r="AD379" i="10"/>
  <c r="AH377" i="10"/>
  <c r="AD372" i="10"/>
  <c r="AH363" i="10"/>
  <c r="AD358" i="10"/>
  <c r="AH349" i="10"/>
  <c r="AD344" i="10"/>
  <c r="AH335" i="10"/>
  <c r="AD330" i="10"/>
  <c r="AH321" i="10"/>
  <c r="AD316" i="10"/>
  <c r="AH307" i="10"/>
  <c r="AD302" i="10"/>
  <c r="AH293" i="10"/>
  <c r="AD288" i="10"/>
  <c r="AH279" i="10"/>
  <c r="AD274" i="10"/>
  <c r="AH265" i="10"/>
  <c r="AD260" i="10"/>
  <c r="AH251" i="10"/>
  <c r="AD246" i="10"/>
  <c r="AD386" i="10"/>
  <c r="AD239" i="10"/>
  <c r="AH237" i="10"/>
  <c r="AH244" i="10"/>
  <c r="AH230" i="10"/>
  <c r="AD225" i="10"/>
  <c r="AH216" i="10"/>
  <c r="AD211" i="10"/>
  <c r="AH202" i="10"/>
  <c r="AD197" i="10"/>
  <c r="AH188" i="10"/>
  <c r="AD183" i="10"/>
  <c r="AH174" i="10"/>
  <c r="AD169" i="10"/>
  <c r="AH160" i="10"/>
  <c r="AD155" i="10"/>
  <c r="AH146" i="10"/>
  <c r="AD141" i="10"/>
  <c r="AH132" i="10"/>
  <c r="AD127" i="10"/>
  <c r="AH118" i="10"/>
  <c r="AD113" i="10"/>
  <c r="AH104" i="10"/>
  <c r="AD99" i="10"/>
  <c r="AH90" i="10"/>
  <c r="AD85" i="10"/>
  <c r="AH76" i="10"/>
  <c r="AD71" i="10"/>
  <c r="AH62" i="10"/>
  <c r="AD57" i="10"/>
  <c r="AH48" i="10"/>
  <c r="AD43" i="10"/>
  <c r="AH34" i="10"/>
  <c r="AD29" i="10"/>
  <c r="AH20" i="10"/>
  <c r="AD15" i="10"/>
  <c r="AD8" i="10"/>
  <c r="AD232" i="10"/>
  <c r="AH223" i="10"/>
  <c r="AD218" i="10"/>
  <c r="AH209" i="10"/>
  <c r="AD204" i="10"/>
  <c r="AH195" i="10"/>
  <c r="AD190" i="10"/>
  <c r="AH181" i="10"/>
  <c r="AD176" i="10"/>
  <c r="AH167" i="10"/>
  <c r="AD162" i="10"/>
  <c r="AH153" i="10"/>
  <c r="AD148" i="10"/>
  <c r="AH139" i="10"/>
  <c r="AD134" i="10"/>
  <c r="AH125" i="10"/>
  <c r="AD120" i="10"/>
  <c r="AH111" i="10"/>
  <c r="AD106" i="10"/>
  <c r="AH97" i="10"/>
  <c r="AD92" i="10"/>
  <c r="AH83" i="10"/>
  <c r="AD78" i="10"/>
  <c r="AH69" i="10"/>
  <c r="AD64" i="10"/>
  <c r="AH55" i="10"/>
  <c r="AD50" i="10"/>
  <c r="AH41" i="10"/>
  <c r="AD36" i="10"/>
  <c r="AH27" i="10"/>
  <c r="AD22" i="10"/>
  <c r="AH13" i="10"/>
  <c r="AH6" i="10"/>
  <c r="T12" i="1"/>
  <c r="X6" i="1"/>
  <c r="Y12" i="1"/>
  <c r="T8" i="1"/>
  <c r="T7" i="1"/>
  <c r="AA8" i="1"/>
  <c r="Y20" i="1"/>
  <c r="A20" i="1"/>
  <c r="B27" i="1"/>
  <c r="Y22" i="1"/>
  <c r="Y23" i="1"/>
  <c r="Z23" i="1"/>
  <c r="Y21" i="1"/>
  <c r="Z21" i="1"/>
  <c r="AK8" i="1"/>
  <c r="J8" i="1"/>
  <c r="P12" i="1"/>
  <c r="P10" i="1"/>
  <c r="E7" i="45"/>
  <c r="C43" i="38"/>
  <c r="D36" i="38"/>
  <c r="E36" i="38"/>
  <c r="D34" i="38"/>
  <c r="E34" i="38"/>
  <c r="C41" i="38"/>
  <c r="G11" i="44"/>
  <c r="I11" i="44"/>
  <c r="H81" i="44"/>
  <c r="L6" i="3"/>
  <c r="AB10" i="3"/>
  <c r="G10" i="26"/>
  <c r="AB12" i="3"/>
  <c r="G12" i="26"/>
  <c r="AB21" i="3"/>
  <c r="G21" i="26"/>
  <c r="AB17" i="3"/>
  <c r="G17" i="26"/>
  <c r="X6" i="3"/>
  <c r="AB14" i="3"/>
  <c r="G14" i="26"/>
  <c r="AB9" i="3"/>
  <c r="G9" i="26"/>
  <c r="AB7" i="3"/>
  <c r="G7" i="26"/>
  <c r="H22" i="26"/>
  <c r="H7" i="26"/>
  <c r="BL75" i="26"/>
  <c r="AE75" i="12"/>
  <c r="AD75" i="12"/>
  <c r="L18" i="12"/>
  <c r="AK19" i="26"/>
  <c r="BK19" i="12"/>
  <c r="I15" i="12"/>
  <c r="BE15" i="26"/>
  <c r="AJ15" i="12"/>
  <c r="AF16" i="26"/>
  <c r="BI16" i="12"/>
  <c r="I50" i="12"/>
  <c r="BE50" i="26"/>
  <c r="AJ50" i="12"/>
  <c r="AF51" i="26"/>
  <c r="BI51" i="12"/>
  <c r="L15" i="12"/>
  <c r="AK16" i="26"/>
  <c r="BK16" i="12"/>
  <c r="L33" i="12"/>
  <c r="AK34" i="26"/>
  <c r="BK34" i="12"/>
  <c r="AD52" i="12"/>
  <c r="BL52" i="26"/>
  <c r="AE52" i="12"/>
  <c r="AD31" i="12"/>
  <c r="BL31" i="26"/>
  <c r="AE31" i="12"/>
  <c r="AD47" i="12"/>
  <c r="BL47" i="26"/>
  <c r="AE47" i="12"/>
  <c r="I61" i="12"/>
  <c r="BE61" i="26"/>
  <c r="AJ61" i="12"/>
  <c r="AF62" i="26"/>
  <c r="BI62" i="12"/>
  <c r="AD30" i="12"/>
  <c r="BL30" i="26"/>
  <c r="AE30" i="12"/>
  <c r="AD46" i="12"/>
  <c r="BL46" i="26"/>
  <c r="AE46" i="12"/>
  <c r="AD33" i="12"/>
  <c r="BL33" i="26"/>
  <c r="AE33" i="12"/>
  <c r="AD49" i="12"/>
  <c r="BL49" i="26"/>
  <c r="AE49" i="12"/>
  <c r="AD54" i="12"/>
  <c r="BL54" i="26"/>
  <c r="AE54" i="12"/>
  <c r="I69" i="12"/>
  <c r="BE69" i="26"/>
  <c r="AJ69" i="12"/>
  <c r="AF70" i="26"/>
  <c r="BI70" i="12"/>
  <c r="BL70" i="26"/>
  <c r="AE70" i="12"/>
  <c r="AD70" i="12"/>
  <c r="L54" i="12"/>
  <c r="AK55" i="26"/>
  <c r="BK55" i="12"/>
  <c r="I59" i="12"/>
  <c r="AF60" i="26"/>
  <c r="BI60" i="12"/>
  <c r="BE59" i="26"/>
  <c r="AJ59" i="12"/>
  <c r="L70" i="12"/>
  <c r="AK71" i="26"/>
  <c r="BK71" i="12"/>
  <c r="BL60" i="26"/>
  <c r="AE60" i="12"/>
  <c r="AD60" i="12"/>
  <c r="I77" i="12"/>
  <c r="AF78" i="26"/>
  <c r="BI78" i="12"/>
  <c r="BE77" i="26"/>
  <c r="AJ77" i="12"/>
  <c r="AD89" i="12"/>
  <c r="BL89" i="26"/>
  <c r="AE89" i="12"/>
  <c r="AD93" i="12"/>
  <c r="BL93" i="26"/>
  <c r="AE93" i="12"/>
  <c r="AD97" i="12"/>
  <c r="BL97" i="26"/>
  <c r="AE97" i="12"/>
  <c r="AD101" i="12"/>
  <c r="BL101" i="26"/>
  <c r="AE101" i="12"/>
  <c r="AD105" i="12"/>
  <c r="BL105" i="26"/>
  <c r="AE105" i="12"/>
  <c r="AD20" i="3"/>
  <c r="H20" i="26"/>
  <c r="I20" i="26"/>
  <c r="X14" i="3"/>
  <c r="AB23" i="3"/>
  <c r="G23" i="26"/>
  <c r="X23" i="3"/>
  <c r="AD10" i="12"/>
  <c r="BL10" i="26"/>
  <c r="AE10" i="12"/>
  <c r="I16" i="12"/>
  <c r="AF17" i="26"/>
  <c r="BI17" i="12"/>
  <c r="BE16" i="26"/>
  <c r="AJ16" i="12"/>
  <c r="L41" i="12"/>
  <c r="AK42" i="26"/>
  <c r="BK42" i="12"/>
  <c r="AD24" i="12"/>
  <c r="BL24" i="26"/>
  <c r="AE24" i="12"/>
  <c r="AD7" i="12"/>
  <c r="BL7" i="26"/>
  <c r="AE7" i="12"/>
  <c r="I13" i="12"/>
  <c r="AF14" i="26"/>
  <c r="BI14" i="12"/>
  <c r="BE13" i="26"/>
  <c r="AJ13" i="12"/>
  <c r="I26" i="12"/>
  <c r="BE26" i="26"/>
  <c r="AJ26" i="12"/>
  <c r="AF27" i="26"/>
  <c r="BI27" i="12"/>
  <c r="L45" i="12"/>
  <c r="AK46" i="26"/>
  <c r="BK46" i="12"/>
  <c r="AD9" i="12"/>
  <c r="BL9" i="26"/>
  <c r="AE9" i="12"/>
  <c r="AD12" i="12"/>
  <c r="BL12" i="26"/>
  <c r="AE12" i="12"/>
  <c r="I18" i="12"/>
  <c r="BE18" i="26"/>
  <c r="AJ18" i="12"/>
  <c r="AF19" i="26"/>
  <c r="BI19" i="12"/>
  <c r="I29" i="12"/>
  <c r="AF30" i="26"/>
  <c r="BI30" i="12"/>
  <c r="BE29" i="26"/>
  <c r="AJ29" i="12"/>
  <c r="L40" i="12"/>
  <c r="AK41" i="26"/>
  <c r="BK41" i="12"/>
  <c r="I45" i="12"/>
  <c r="AF46" i="26"/>
  <c r="BI46" i="12"/>
  <c r="BE45" i="26"/>
  <c r="AJ45" i="12"/>
  <c r="L23" i="12"/>
  <c r="AK24" i="26"/>
  <c r="BK24" i="12"/>
  <c r="I28" i="12"/>
  <c r="AF29" i="26"/>
  <c r="BI29" i="12"/>
  <c r="BE28" i="26"/>
  <c r="AJ28" i="12"/>
  <c r="L39" i="12"/>
  <c r="AK40" i="26"/>
  <c r="BK40" i="12"/>
  <c r="I44" i="12"/>
  <c r="AF45" i="26"/>
  <c r="BI45" i="12"/>
  <c r="BE44" i="26"/>
  <c r="AJ44" i="12"/>
  <c r="L57" i="12"/>
  <c r="AK58" i="26"/>
  <c r="BK58" i="12"/>
  <c r="L78" i="12"/>
  <c r="AK79" i="26"/>
  <c r="BK79" i="12"/>
  <c r="I23" i="12"/>
  <c r="AF24" i="26"/>
  <c r="BI24" i="12"/>
  <c r="BE23" i="26"/>
  <c r="AJ23" i="12"/>
  <c r="L34" i="12"/>
  <c r="AK35" i="26"/>
  <c r="BK35" i="12"/>
  <c r="I39" i="12"/>
  <c r="AF40" i="26"/>
  <c r="BI40" i="12"/>
  <c r="BE39" i="26"/>
  <c r="AJ39" i="12"/>
  <c r="L50" i="12"/>
  <c r="AK51" i="26"/>
  <c r="BK51" i="12"/>
  <c r="I58" i="12"/>
  <c r="BE58" i="26"/>
  <c r="AJ58" i="12"/>
  <c r="AF59" i="26"/>
  <c r="BI59" i="12"/>
  <c r="L80" i="12"/>
  <c r="AK81" i="26"/>
  <c r="BK81" i="12"/>
  <c r="L63" i="12"/>
  <c r="AK64" i="26"/>
  <c r="BK64" i="12"/>
  <c r="I68" i="12"/>
  <c r="AF69" i="26"/>
  <c r="BI69" i="12"/>
  <c r="BE68" i="26"/>
  <c r="AJ68" i="12"/>
  <c r="AD57" i="12"/>
  <c r="BL57" i="26"/>
  <c r="AE57" i="12"/>
  <c r="L79" i="12"/>
  <c r="AK80" i="26"/>
  <c r="BK80" i="12"/>
  <c r="BL84" i="26"/>
  <c r="AE84" i="12"/>
  <c r="AD84" i="12"/>
  <c r="L61" i="12"/>
  <c r="AK62" i="26"/>
  <c r="BK62" i="12"/>
  <c r="I66" i="12"/>
  <c r="AF67" i="26"/>
  <c r="BI67" i="12"/>
  <c r="BE66" i="26"/>
  <c r="AJ66" i="12"/>
  <c r="H11" i="26"/>
  <c r="H13" i="26"/>
  <c r="AB22" i="3"/>
  <c r="G22" i="26"/>
  <c r="I22" i="26"/>
  <c r="AB15" i="3"/>
  <c r="G15" i="26"/>
  <c r="AB13" i="3"/>
  <c r="G13" i="26"/>
  <c r="X21" i="3"/>
  <c r="X12" i="3"/>
  <c r="AD6" i="3"/>
  <c r="H6" i="26"/>
  <c r="X17" i="3"/>
  <c r="AD13" i="12"/>
  <c r="BL13" i="26"/>
  <c r="AE13" i="12"/>
  <c r="L9" i="12"/>
  <c r="AK10" i="26"/>
  <c r="BK10" i="12"/>
  <c r="L17" i="12"/>
  <c r="AK18" i="26"/>
  <c r="BK18" i="12"/>
  <c r="AD23" i="12"/>
  <c r="BL23" i="26"/>
  <c r="AE23" i="12"/>
  <c r="I11" i="12"/>
  <c r="BE11" i="26"/>
  <c r="AJ11" i="12"/>
  <c r="AF12" i="26"/>
  <c r="BI12" i="12"/>
  <c r="AD17" i="12"/>
  <c r="BL17" i="26"/>
  <c r="AE17" i="12"/>
  <c r="I34" i="12"/>
  <c r="BE34" i="26"/>
  <c r="AJ34" i="12"/>
  <c r="AF35" i="26"/>
  <c r="BI35" i="12"/>
  <c r="L14" i="12"/>
  <c r="AK15" i="26"/>
  <c r="BK15" i="12"/>
  <c r="AD22" i="12"/>
  <c r="BL22" i="26"/>
  <c r="AE22" i="12"/>
  <c r="L12" i="12"/>
  <c r="AK13" i="26"/>
  <c r="BK13" i="12"/>
  <c r="BL83" i="26"/>
  <c r="AE83" i="12"/>
  <c r="AD83" i="12"/>
  <c r="L11" i="12"/>
  <c r="AK12" i="26"/>
  <c r="BK12" i="12"/>
  <c r="L19" i="12"/>
  <c r="AK20" i="26"/>
  <c r="BK20" i="12"/>
  <c r="L21" i="12"/>
  <c r="AK22" i="26"/>
  <c r="BK22" i="12"/>
  <c r="I30" i="12"/>
  <c r="BE30" i="26"/>
  <c r="AJ30" i="12"/>
  <c r="AF31" i="26"/>
  <c r="BI31" i="12"/>
  <c r="AD36" i="12"/>
  <c r="BL36" i="26"/>
  <c r="AE36" i="12"/>
  <c r="L49" i="12"/>
  <c r="AK50" i="26"/>
  <c r="BK50" i="12"/>
  <c r="I56" i="12"/>
  <c r="AF57" i="26"/>
  <c r="BI57" i="12"/>
  <c r="BE56" i="26"/>
  <c r="AJ56" i="12"/>
  <c r="AD27" i="12"/>
  <c r="BL27" i="26"/>
  <c r="AE27" i="12"/>
  <c r="AD35" i="12"/>
  <c r="BL35" i="26"/>
  <c r="AE35" i="12"/>
  <c r="AD43" i="12"/>
  <c r="BL43" i="26"/>
  <c r="AE43" i="12"/>
  <c r="AD51" i="12"/>
  <c r="BL51" i="26"/>
  <c r="AE51" i="12"/>
  <c r="L59" i="12"/>
  <c r="AK60" i="26"/>
  <c r="BK60" i="12"/>
  <c r="L64" i="12"/>
  <c r="AK65" i="26"/>
  <c r="BK65" i="12"/>
  <c r="L76" i="12"/>
  <c r="AK77" i="26"/>
  <c r="BK77" i="12"/>
  <c r="BL85" i="26"/>
  <c r="AE85" i="12"/>
  <c r="AD85" i="12"/>
  <c r="AD26" i="12"/>
  <c r="BL26" i="26"/>
  <c r="AE26" i="12"/>
  <c r="AD34" i="12"/>
  <c r="BL34" i="26"/>
  <c r="AE34" i="12"/>
  <c r="AD42" i="12"/>
  <c r="BL42" i="26"/>
  <c r="AE42" i="12"/>
  <c r="AD50" i="12"/>
  <c r="BL50" i="26"/>
  <c r="AE50" i="12"/>
  <c r="BL79" i="26"/>
  <c r="AE79" i="12"/>
  <c r="AD79" i="12"/>
  <c r="AD29" i="12"/>
  <c r="BL29" i="26"/>
  <c r="AE29" i="12"/>
  <c r="AD37" i="12"/>
  <c r="BL37" i="26"/>
  <c r="AE37" i="12"/>
  <c r="AD45" i="12"/>
  <c r="BL45" i="26"/>
  <c r="AE45" i="12"/>
  <c r="AD53" i="12"/>
  <c r="BL53" i="26"/>
  <c r="AE53" i="12"/>
  <c r="AD55" i="12"/>
  <c r="BL55" i="26"/>
  <c r="AE55" i="12"/>
  <c r="L72" i="12"/>
  <c r="AK73" i="26"/>
  <c r="BK73" i="12"/>
  <c r="BL81" i="26"/>
  <c r="AE81" i="12"/>
  <c r="AD81" i="12"/>
  <c r="BL66" i="26"/>
  <c r="AE66" i="12"/>
  <c r="AD66" i="12"/>
  <c r="I74" i="12"/>
  <c r="BE74" i="26"/>
  <c r="AJ74" i="12"/>
  <c r="AF75" i="26"/>
  <c r="BI75" i="12"/>
  <c r="I55" i="12"/>
  <c r="AF56" i="26"/>
  <c r="BI56" i="12"/>
  <c r="BE55" i="26"/>
  <c r="AJ55" i="12"/>
  <c r="L58" i="12"/>
  <c r="AK59" i="26"/>
  <c r="BK59" i="12"/>
  <c r="I63" i="12"/>
  <c r="AF64" i="26"/>
  <c r="BI64" i="12"/>
  <c r="BE63" i="26"/>
  <c r="AJ63" i="12"/>
  <c r="L66" i="12"/>
  <c r="AK67" i="26"/>
  <c r="BK67" i="12"/>
  <c r="I71" i="12"/>
  <c r="AF72" i="26"/>
  <c r="BI72" i="12"/>
  <c r="BE71" i="26"/>
  <c r="AJ71" i="12"/>
  <c r="BL74" i="26"/>
  <c r="AE74" i="12"/>
  <c r="AD74" i="12"/>
  <c r="L77" i="12"/>
  <c r="AK78" i="26"/>
  <c r="BK78" i="12"/>
  <c r="BL82" i="26"/>
  <c r="AE82" i="12"/>
  <c r="AD82" i="12"/>
  <c r="BL64" i="26"/>
  <c r="AE64" i="12"/>
  <c r="AD64" i="12"/>
  <c r="I73" i="12"/>
  <c r="AF74" i="26"/>
  <c r="BI74" i="12"/>
  <c r="BE73" i="26"/>
  <c r="AJ73" i="12"/>
  <c r="I81" i="12"/>
  <c r="AF82" i="26"/>
  <c r="BI82" i="12"/>
  <c r="BE81" i="26"/>
  <c r="AJ81" i="12"/>
  <c r="BL88" i="26"/>
  <c r="AE88" i="12"/>
  <c r="AD88" i="12"/>
  <c r="BL90" i="26"/>
  <c r="AE90" i="12"/>
  <c r="AD90" i="12"/>
  <c r="AD92" i="12"/>
  <c r="BL92" i="26"/>
  <c r="AE92" i="12"/>
  <c r="BL94" i="26"/>
  <c r="AE94" i="12"/>
  <c r="AD94" i="12"/>
  <c r="BL96" i="26"/>
  <c r="AE96" i="12"/>
  <c r="AD96" i="12"/>
  <c r="BL98" i="26"/>
  <c r="AE98" i="12"/>
  <c r="AD98" i="12"/>
  <c r="AD100" i="12"/>
  <c r="BL100" i="26"/>
  <c r="AE100" i="12"/>
  <c r="AD102" i="12"/>
  <c r="BL102" i="26"/>
  <c r="AE102" i="12"/>
  <c r="AD104" i="12"/>
  <c r="BL104" i="26"/>
  <c r="AE104" i="12"/>
  <c r="BL106" i="26"/>
  <c r="AE106" i="12"/>
  <c r="AD106" i="12"/>
  <c r="AD108" i="12"/>
  <c r="BL108" i="26"/>
  <c r="AE108" i="12"/>
  <c r="H18" i="26"/>
  <c r="AB8" i="3"/>
  <c r="G8" i="26"/>
  <c r="AB16" i="3"/>
  <c r="G16" i="26"/>
  <c r="AB11" i="3"/>
  <c r="G11" i="26"/>
  <c r="AB18" i="3"/>
  <c r="G18" i="26"/>
  <c r="I18" i="26"/>
  <c r="H8" i="26"/>
  <c r="H16" i="26"/>
  <c r="AD19" i="3"/>
  <c r="H19" i="26"/>
  <c r="I19" i="26"/>
  <c r="H15" i="26"/>
  <c r="L8" i="12"/>
  <c r="AK9" i="26"/>
  <c r="BK9" i="12"/>
  <c r="L13" i="12"/>
  <c r="AK14" i="26"/>
  <c r="BK14" i="12"/>
  <c r="L10" i="12"/>
  <c r="AK11" i="26"/>
  <c r="BK11" i="12"/>
  <c r="L7" i="12"/>
  <c r="AK8" i="26"/>
  <c r="BK8" i="12"/>
  <c r="L24" i="12"/>
  <c r="AL24" i="26"/>
  <c r="BL24" i="12"/>
  <c r="AK25" i="26"/>
  <c r="BK25" i="12"/>
  <c r="I46" i="12"/>
  <c r="BE46" i="26"/>
  <c r="AJ46" i="12"/>
  <c r="AF47" i="26"/>
  <c r="BI47" i="12"/>
  <c r="L60" i="12"/>
  <c r="AK61" i="26"/>
  <c r="BK61" i="12"/>
  <c r="AD39" i="12"/>
  <c r="BL39" i="26"/>
  <c r="AE39" i="12"/>
  <c r="BL67" i="26"/>
  <c r="AE67" i="12"/>
  <c r="AD67" i="12"/>
  <c r="I22" i="12"/>
  <c r="BE22" i="26"/>
  <c r="AJ22" i="12"/>
  <c r="AF23" i="26"/>
  <c r="BI23" i="12"/>
  <c r="AD38" i="12"/>
  <c r="BL38" i="26"/>
  <c r="AE38" i="12"/>
  <c r="L56" i="12"/>
  <c r="AK57" i="26"/>
  <c r="BK57" i="12"/>
  <c r="AD25" i="12"/>
  <c r="BL25" i="26"/>
  <c r="AE25" i="12"/>
  <c r="AD41" i="12"/>
  <c r="BL41" i="26"/>
  <c r="AE41" i="12"/>
  <c r="BL62" i="26"/>
  <c r="AE62" i="12"/>
  <c r="AD62" i="12"/>
  <c r="I78" i="12"/>
  <c r="BE78" i="26"/>
  <c r="AJ78" i="12"/>
  <c r="AF79" i="26"/>
  <c r="BI79" i="12"/>
  <c r="L62" i="12"/>
  <c r="AK63" i="26"/>
  <c r="BK63" i="12"/>
  <c r="I67" i="12"/>
  <c r="AF68" i="26"/>
  <c r="BI68" i="12"/>
  <c r="BE67" i="26"/>
  <c r="AJ67" i="12"/>
  <c r="L73" i="12"/>
  <c r="AK74" i="26"/>
  <c r="BK74" i="12"/>
  <c r="BL78" i="26"/>
  <c r="AE78" i="12"/>
  <c r="AD78" i="12"/>
  <c r="BL86" i="26"/>
  <c r="AE86" i="12"/>
  <c r="AD86" i="12"/>
  <c r="BL68" i="26"/>
  <c r="AE68" i="12"/>
  <c r="AD68" i="12"/>
  <c r="AD91" i="12"/>
  <c r="BL91" i="26"/>
  <c r="AE91" i="12"/>
  <c r="AD95" i="12"/>
  <c r="BL95" i="26"/>
  <c r="AE95" i="12"/>
  <c r="AD99" i="12"/>
  <c r="BL99" i="26"/>
  <c r="AE99" i="12"/>
  <c r="AD103" i="12"/>
  <c r="BL103" i="26"/>
  <c r="AE103" i="12"/>
  <c r="AD107" i="12"/>
  <c r="BL107" i="26"/>
  <c r="AE107" i="12"/>
  <c r="X10" i="3"/>
  <c r="I8" i="12"/>
  <c r="AF9" i="26"/>
  <c r="BI9" i="12"/>
  <c r="BE8" i="26"/>
  <c r="AJ8" i="12"/>
  <c r="AD18" i="12"/>
  <c r="BL18" i="26"/>
  <c r="AE18" i="12"/>
  <c r="AD28" i="12"/>
  <c r="BL28" i="26"/>
  <c r="AE28" i="12"/>
  <c r="I54" i="12"/>
  <c r="BE54" i="26"/>
  <c r="AJ54" i="12"/>
  <c r="AF55" i="26"/>
  <c r="BI55" i="12"/>
  <c r="L16" i="12"/>
  <c r="AK17" i="26"/>
  <c r="BK17" i="12"/>
  <c r="I57" i="12"/>
  <c r="BE57" i="26"/>
  <c r="AJ57" i="12"/>
  <c r="AF58" i="26"/>
  <c r="BI58" i="12"/>
  <c r="AD15" i="12"/>
  <c r="BL15" i="26"/>
  <c r="AE15" i="12"/>
  <c r="I21" i="12"/>
  <c r="AF22" i="26"/>
  <c r="BI22" i="12"/>
  <c r="BE21" i="26"/>
  <c r="AJ21" i="12"/>
  <c r="AD32" i="12"/>
  <c r="BL32" i="26"/>
  <c r="AE32" i="12"/>
  <c r="BL63" i="26"/>
  <c r="AE63" i="12"/>
  <c r="AD63" i="12"/>
  <c r="L53" i="12"/>
  <c r="AK54" i="26"/>
  <c r="BK54" i="12"/>
  <c r="I10" i="12"/>
  <c r="BE10" i="26"/>
  <c r="AJ10" i="12"/>
  <c r="AF11" i="26"/>
  <c r="BI11" i="12"/>
  <c r="AD20" i="12"/>
  <c r="BL20" i="26"/>
  <c r="AE20" i="12"/>
  <c r="L32" i="12"/>
  <c r="AK33" i="26"/>
  <c r="BK33" i="12"/>
  <c r="I37" i="12"/>
  <c r="AF38" i="26"/>
  <c r="BI38" i="12"/>
  <c r="BE37" i="26"/>
  <c r="AJ37" i="12"/>
  <c r="L48" i="12"/>
  <c r="AK49" i="26"/>
  <c r="BK49" i="12"/>
  <c r="I53" i="12"/>
  <c r="AF54" i="26"/>
  <c r="BI54" i="12"/>
  <c r="BE53" i="26"/>
  <c r="AJ53" i="12"/>
  <c r="L31" i="12"/>
  <c r="AK32" i="26"/>
  <c r="BK32" i="12"/>
  <c r="I36" i="12"/>
  <c r="AF37" i="26"/>
  <c r="BI37" i="12"/>
  <c r="BE36" i="26"/>
  <c r="AJ36" i="12"/>
  <c r="L47" i="12"/>
  <c r="AK48" i="26"/>
  <c r="BK48" i="12"/>
  <c r="I52" i="12"/>
  <c r="AF53" i="26"/>
  <c r="BI53" i="12"/>
  <c r="BE52" i="26"/>
  <c r="AJ52" i="12"/>
  <c r="BL59" i="26"/>
  <c r="AE59" i="12"/>
  <c r="AD59" i="12"/>
  <c r="L68" i="12"/>
  <c r="AK69" i="26"/>
  <c r="BK69" i="12"/>
  <c r="BL87" i="26"/>
  <c r="AE87" i="12"/>
  <c r="AD87" i="12"/>
  <c r="L26" i="12"/>
  <c r="AK27" i="26"/>
  <c r="BK27" i="12"/>
  <c r="I31" i="12"/>
  <c r="AF32" i="26"/>
  <c r="BI32" i="12"/>
  <c r="BE31" i="26"/>
  <c r="AJ31" i="12"/>
  <c r="L42" i="12"/>
  <c r="AK43" i="26"/>
  <c r="BK43" i="12"/>
  <c r="I47" i="12"/>
  <c r="AF48" i="26"/>
  <c r="BI48" i="12"/>
  <c r="BE47" i="26"/>
  <c r="AJ47" i="12"/>
  <c r="I60" i="12"/>
  <c r="AF61" i="26"/>
  <c r="BI61" i="12"/>
  <c r="BE60" i="26"/>
  <c r="AJ60" i="12"/>
  <c r="L71" i="12"/>
  <c r="AK72" i="26"/>
  <c r="BK72" i="12"/>
  <c r="I76" i="12"/>
  <c r="BE76" i="26"/>
  <c r="AJ76" i="12"/>
  <c r="AF77" i="26"/>
  <c r="BI77" i="12"/>
  <c r="BL65" i="26"/>
  <c r="AE65" i="12"/>
  <c r="AD65" i="12"/>
  <c r="BL76" i="26"/>
  <c r="AE76" i="12"/>
  <c r="AD76" i="12"/>
  <c r="L69" i="12"/>
  <c r="AK70" i="26"/>
  <c r="BK70" i="12"/>
  <c r="I75" i="12"/>
  <c r="AF76" i="26"/>
  <c r="BI76" i="12"/>
  <c r="BE75" i="26"/>
  <c r="AJ75" i="12"/>
  <c r="AD10" i="3"/>
  <c r="H10" i="26"/>
  <c r="I10" i="26"/>
  <c r="H14" i="26"/>
  <c r="AD23" i="3"/>
  <c r="H23" i="26"/>
  <c r="X22" i="3"/>
  <c r="H21" i="26"/>
  <c r="AD12" i="3"/>
  <c r="H12" i="26"/>
  <c r="I12" i="26"/>
  <c r="X19" i="3"/>
  <c r="X7" i="3"/>
  <c r="X15" i="3"/>
  <c r="I6" i="26"/>
  <c r="AE6" i="3"/>
  <c r="H9" i="26"/>
  <c r="H17" i="26"/>
  <c r="I6" i="12"/>
  <c r="BE6" i="26"/>
  <c r="AJ6" i="12"/>
  <c r="AF7" i="26"/>
  <c r="BI7" i="12"/>
  <c r="AG6" i="26"/>
  <c r="BJ6" i="12"/>
  <c r="L20" i="12"/>
  <c r="AK21" i="26"/>
  <c r="BK21" i="12"/>
  <c r="AD6" i="12"/>
  <c r="BL6" i="26"/>
  <c r="AE6" i="12"/>
  <c r="I12" i="12"/>
  <c r="AF13" i="26"/>
  <c r="BI13" i="12"/>
  <c r="BE12" i="26"/>
  <c r="AJ12" i="12"/>
  <c r="AD14" i="12"/>
  <c r="BL14" i="26"/>
  <c r="AE14" i="12"/>
  <c r="I20" i="12"/>
  <c r="AF21" i="26"/>
  <c r="BI21" i="12"/>
  <c r="BE20" i="26"/>
  <c r="AJ20" i="12"/>
  <c r="L25" i="12"/>
  <c r="AK26" i="26"/>
  <c r="BK26" i="12"/>
  <c r="I38" i="12"/>
  <c r="BE38" i="26"/>
  <c r="AJ38" i="12"/>
  <c r="AF39" i="26"/>
  <c r="BI39" i="12"/>
  <c r="AD44" i="12"/>
  <c r="BL44" i="26"/>
  <c r="AE44" i="12"/>
  <c r="L74" i="12"/>
  <c r="AK75" i="26"/>
  <c r="BK75" i="12"/>
  <c r="I19" i="12"/>
  <c r="BE19" i="26"/>
  <c r="AJ19" i="12"/>
  <c r="AF20" i="26"/>
  <c r="BI20" i="12"/>
  <c r="L37" i="12"/>
  <c r="AK38" i="26"/>
  <c r="BK38" i="12"/>
  <c r="L6" i="12"/>
  <c r="BH6" i="26"/>
  <c r="AM6" i="12"/>
  <c r="AL6" i="26"/>
  <c r="BL6" i="12"/>
  <c r="AK7" i="26"/>
  <c r="BK7" i="12"/>
  <c r="I9" i="12"/>
  <c r="AF10" i="26"/>
  <c r="BI10" i="12"/>
  <c r="BE9" i="26"/>
  <c r="AJ9" i="12"/>
  <c r="AD11" i="12"/>
  <c r="BL11" i="26"/>
  <c r="AE11" i="12"/>
  <c r="I17" i="12"/>
  <c r="BE17" i="26"/>
  <c r="AJ17" i="12"/>
  <c r="AF18" i="26"/>
  <c r="BI18" i="12"/>
  <c r="AD19" i="12"/>
  <c r="BL19" i="26"/>
  <c r="AE19" i="12"/>
  <c r="L29" i="12"/>
  <c r="AK30" i="26"/>
  <c r="BK30" i="12"/>
  <c r="I42" i="12"/>
  <c r="BE42" i="26"/>
  <c r="AJ42" i="12"/>
  <c r="AF43" i="26"/>
  <c r="BI43" i="12"/>
  <c r="AD48" i="12"/>
  <c r="BL48" i="26"/>
  <c r="AE48" i="12"/>
  <c r="I7" i="12"/>
  <c r="BE7" i="26"/>
  <c r="AJ7" i="12"/>
  <c r="AF8" i="26"/>
  <c r="BI8" i="12"/>
  <c r="AG7" i="26"/>
  <c r="BJ7" i="12"/>
  <c r="AD40" i="12"/>
  <c r="BL40" i="26"/>
  <c r="AE40" i="12"/>
  <c r="AA6" i="12"/>
  <c r="BC6" i="26"/>
  <c r="BH7" i="26"/>
  <c r="AM7" i="12"/>
  <c r="AD8" i="12"/>
  <c r="BL8" i="26"/>
  <c r="AE8" i="12"/>
  <c r="I14" i="12"/>
  <c r="BE14" i="26"/>
  <c r="AJ14" i="12"/>
  <c r="AF15" i="26"/>
  <c r="BI15" i="12"/>
  <c r="AD16" i="12"/>
  <c r="BL16" i="26"/>
  <c r="AE16" i="12"/>
  <c r="L22" i="12"/>
  <c r="AK23" i="26"/>
  <c r="BK23" i="12"/>
  <c r="I25" i="12"/>
  <c r="AF26" i="26"/>
  <c r="BI26" i="12"/>
  <c r="BE25" i="26"/>
  <c r="AJ25" i="12"/>
  <c r="L28" i="12"/>
  <c r="AK29" i="26"/>
  <c r="BK29" i="12"/>
  <c r="I33" i="12"/>
  <c r="AF34" i="26"/>
  <c r="BI34" i="12"/>
  <c r="BE33" i="26"/>
  <c r="AJ33" i="12"/>
  <c r="L36" i="12"/>
  <c r="AK37" i="26"/>
  <c r="BK37" i="12"/>
  <c r="I41" i="12"/>
  <c r="AF42" i="26"/>
  <c r="BI42" i="12"/>
  <c r="BE41" i="26"/>
  <c r="AJ41" i="12"/>
  <c r="L44" i="12"/>
  <c r="AK45" i="26"/>
  <c r="BK45" i="12"/>
  <c r="I49" i="12"/>
  <c r="AF50" i="26"/>
  <c r="BI50" i="12"/>
  <c r="BE49" i="26"/>
  <c r="AJ49" i="12"/>
  <c r="L52" i="12"/>
  <c r="AK53" i="26"/>
  <c r="BK53" i="12"/>
  <c r="BL77" i="26"/>
  <c r="AE77" i="12"/>
  <c r="AD77" i="12"/>
  <c r="I24" i="12"/>
  <c r="AF25" i="26"/>
  <c r="BI25" i="12"/>
  <c r="BE24" i="26"/>
  <c r="AJ24" i="12"/>
  <c r="L27" i="12"/>
  <c r="AK28" i="26"/>
  <c r="BK28" i="12"/>
  <c r="I32" i="12"/>
  <c r="AF33" i="26"/>
  <c r="BI33" i="12"/>
  <c r="BE32" i="26"/>
  <c r="AJ32" i="12"/>
  <c r="AK36" i="26"/>
  <c r="BK36" i="12"/>
  <c r="L35" i="12"/>
  <c r="I40" i="12"/>
  <c r="AF41" i="26"/>
  <c r="BI41" i="12"/>
  <c r="BE40" i="26"/>
  <c r="AJ40" i="12"/>
  <c r="L43" i="12"/>
  <c r="AK44" i="26"/>
  <c r="BK44" i="12"/>
  <c r="I48" i="12"/>
  <c r="AF49" i="26"/>
  <c r="BI49" i="12"/>
  <c r="BE48" i="26"/>
  <c r="AJ48" i="12"/>
  <c r="L51" i="12"/>
  <c r="AK52" i="26"/>
  <c r="BK52" i="12"/>
  <c r="L55" i="12"/>
  <c r="AK56" i="26"/>
  <c r="BK56" i="12"/>
  <c r="BL58" i="26"/>
  <c r="AE58" i="12"/>
  <c r="AD58" i="12"/>
  <c r="I65" i="12"/>
  <c r="BE65" i="26"/>
  <c r="AJ65" i="12"/>
  <c r="AF66" i="26"/>
  <c r="BI66" i="12"/>
  <c r="BL71" i="26"/>
  <c r="AE71" i="12"/>
  <c r="AD71" i="12"/>
  <c r="AD21" i="12"/>
  <c r="BL21" i="26"/>
  <c r="AE21" i="12"/>
  <c r="I27" i="12"/>
  <c r="AF28" i="26"/>
  <c r="BI28" i="12"/>
  <c r="BE27" i="26"/>
  <c r="AJ27" i="12"/>
  <c r="L30" i="12"/>
  <c r="AK31" i="26"/>
  <c r="BK31" i="12"/>
  <c r="I35" i="12"/>
  <c r="AF36" i="26"/>
  <c r="BI36" i="12"/>
  <c r="BE35" i="26"/>
  <c r="AJ35" i="12"/>
  <c r="L38" i="12"/>
  <c r="AK39" i="26"/>
  <c r="BK39" i="12"/>
  <c r="I43" i="12"/>
  <c r="AF44" i="26"/>
  <c r="BI44" i="12"/>
  <c r="BE43" i="26"/>
  <c r="AJ43" i="12"/>
  <c r="L46" i="12"/>
  <c r="AK47" i="26"/>
  <c r="BK47" i="12"/>
  <c r="I51" i="12"/>
  <c r="AF52" i="26"/>
  <c r="BI52" i="12"/>
  <c r="BE51" i="26"/>
  <c r="AJ51" i="12"/>
  <c r="AD56" i="12"/>
  <c r="BL56" i="26"/>
  <c r="AE56" i="12"/>
  <c r="BL73" i="26"/>
  <c r="AE73" i="12"/>
  <c r="AD73" i="12"/>
  <c r="I64" i="12"/>
  <c r="AF65" i="26"/>
  <c r="BI65" i="12"/>
  <c r="BE64" i="26"/>
  <c r="AJ64" i="12"/>
  <c r="L67" i="12"/>
  <c r="AK68" i="26"/>
  <c r="BK68" i="12"/>
  <c r="I72" i="12"/>
  <c r="BE72" i="26"/>
  <c r="AJ72" i="12"/>
  <c r="AF73" i="26"/>
  <c r="BI73" i="12"/>
  <c r="I80" i="12"/>
  <c r="BE80" i="26"/>
  <c r="AJ80" i="12"/>
  <c r="AF81" i="26"/>
  <c r="BI81" i="12"/>
  <c r="BL61" i="26"/>
  <c r="AE61" i="12"/>
  <c r="AD61" i="12"/>
  <c r="BL69" i="26"/>
  <c r="AE69" i="12"/>
  <c r="AD69" i="12"/>
  <c r="BL72" i="26"/>
  <c r="AE72" i="12"/>
  <c r="AD72" i="12"/>
  <c r="L75" i="12"/>
  <c r="AK76" i="26"/>
  <c r="BK76" i="12"/>
  <c r="BL80" i="26"/>
  <c r="AE80" i="12"/>
  <c r="AD80" i="12"/>
  <c r="I62" i="12"/>
  <c r="AF63" i="26"/>
  <c r="BI63" i="12"/>
  <c r="BE62" i="26"/>
  <c r="AJ62" i="12"/>
  <c r="AG62" i="26"/>
  <c r="BJ62" i="12"/>
  <c r="L65" i="12"/>
  <c r="AK66" i="26"/>
  <c r="BK66" i="12"/>
  <c r="I70" i="12"/>
  <c r="AF71" i="26"/>
  <c r="BI71" i="12"/>
  <c r="BE70" i="26"/>
  <c r="AJ70" i="12"/>
  <c r="I79" i="12"/>
  <c r="AF80" i="26"/>
  <c r="BI80" i="12"/>
  <c r="BE79" i="26"/>
  <c r="AJ79" i="12"/>
  <c r="X20" i="3"/>
  <c r="P13" i="1"/>
  <c r="T13" i="1"/>
  <c r="Y27" i="1"/>
  <c r="B34" i="1"/>
  <c r="Y29" i="1"/>
  <c r="Y30" i="1"/>
  <c r="Z30" i="1"/>
  <c r="Y28" i="1"/>
  <c r="Z28" i="1"/>
  <c r="A27" i="1"/>
  <c r="A28" i="1"/>
  <c r="A29" i="1"/>
  <c r="A30" i="1"/>
  <c r="A31" i="1"/>
  <c r="A32" i="1"/>
  <c r="A33" i="1"/>
  <c r="AK9" i="1"/>
  <c r="A21" i="1"/>
  <c r="AK30" i="1"/>
  <c r="X8" i="1"/>
  <c r="Z6" i="1"/>
  <c r="AI12" i="1"/>
  <c r="C6" i="9"/>
  <c r="AJ8" i="1"/>
  <c r="AD8" i="1"/>
  <c r="AK81" i="1"/>
  <c r="AA9" i="1"/>
  <c r="E8" i="45"/>
  <c r="AD9" i="1"/>
  <c r="I14" i="26"/>
  <c r="AD14" i="3"/>
  <c r="AD15" i="3"/>
  <c r="C50" i="38"/>
  <c r="D43" i="38"/>
  <c r="E43" i="38"/>
  <c r="C48" i="38"/>
  <c r="D41" i="38"/>
  <c r="E41" i="38"/>
  <c r="AL51" i="26"/>
  <c r="BL51" i="12"/>
  <c r="AG67" i="26"/>
  <c r="BJ67" i="12"/>
  <c r="AG51" i="26"/>
  <c r="BJ51" i="12"/>
  <c r="AG46" i="26"/>
  <c r="BJ46" i="12"/>
  <c r="AG64" i="26"/>
  <c r="BJ64" i="12"/>
  <c r="AL27" i="26"/>
  <c r="BL27" i="12"/>
  <c r="AG17" i="26"/>
  <c r="BJ17" i="12"/>
  <c r="AL69" i="26"/>
  <c r="BL69" i="12"/>
  <c r="AL65" i="26"/>
  <c r="BL65" i="12"/>
  <c r="AG57" i="26"/>
  <c r="BJ57" i="12"/>
  <c r="AG40" i="26"/>
  <c r="BJ40" i="12"/>
  <c r="AL55" i="26"/>
  <c r="BL55" i="12"/>
  <c r="AG9" i="26"/>
  <c r="BJ9" i="12"/>
  <c r="AL74" i="26"/>
  <c r="BL74" i="12"/>
  <c r="AL73" i="26"/>
  <c r="BL73" i="12"/>
  <c r="AG75" i="26"/>
  <c r="BJ75" i="12"/>
  <c r="AL19" i="26"/>
  <c r="BL19" i="12"/>
  <c r="AL43" i="26"/>
  <c r="BL43" i="12"/>
  <c r="AG70" i="26"/>
  <c r="BJ70" i="12"/>
  <c r="AG32" i="26"/>
  <c r="BJ32" i="12"/>
  <c r="AG31" i="26"/>
  <c r="BJ31" i="12"/>
  <c r="AL46" i="26"/>
  <c r="BL46" i="12"/>
  <c r="AL42" i="26"/>
  <c r="BL42" i="12"/>
  <c r="AG37" i="26"/>
  <c r="BJ37" i="12"/>
  <c r="AL16" i="26"/>
  <c r="BL16" i="12"/>
  <c r="AL13" i="26"/>
  <c r="BL13" i="12"/>
  <c r="AG12" i="26"/>
  <c r="BJ12" i="12"/>
  <c r="AG56" i="26"/>
  <c r="BJ56" i="12"/>
  <c r="AL28" i="26"/>
  <c r="BL28" i="12"/>
  <c r="BC7" i="26"/>
  <c r="BH8" i="26"/>
  <c r="AM8" i="12"/>
  <c r="AL9" i="26"/>
  <c r="BL9" i="12"/>
  <c r="G12" i="44"/>
  <c r="I12" i="44"/>
  <c r="AG78" i="26"/>
  <c r="BJ78" i="12"/>
  <c r="AL79" i="26"/>
  <c r="BL79" i="12"/>
  <c r="H82" i="44"/>
  <c r="AE82" i="26"/>
  <c r="AG82" i="26"/>
  <c r="BJ82" i="12"/>
  <c r="AG79" i="26"/>
  <c r="BJ79" i="12"/>
  <c r="AG72" i="26"/>
  <c r="BJ72" i="12"/>
  <c r="AL80" i="26"/>
  <c r="BL80" i="12"/>
  <c r="AJ81" i="26"/>
  <c r="AG66" i="26"/>
  <c r="BJ66" i="12"/>
  <c r="AG44" i="26"/>
  <c r="BJ44" i="12"/>
  <c r="AG50" i="26"/>
  <c r="BJ50" i="12"/>
  <c r="AG80" i="26"/>
  <c r="BJ80" i="12"/>
  <c r="AG43" i="26"/>
  <c r="BJ43" i="12"/>
  <c r="AG65" i="26"/>
  <c r="BJ65" i="12"/>
  <c r="AL36" i="26"/>
  <c r="BL36" i="12"/>
  <c r="AG33" i="26"/>
  <c r="BJ33" i="12"/>
  <c r="AG42" i="26"/>
  <c r="BJ42" i="12"/>
  <c r="AG38" i="26"/>
  <c r="BJ38" i="12"/>
  <c r="AL25" i="26"/>
  <c r="BL25" i="12"/>
  <c r="AG10" i="26"/>
  <c r="BJ10" i="12"/>
  <c r="AG63" i="26"/>
  <c r="BJ63" i="12"/>
  <c r="AL58" i="26"/>
  <c r="BL58" i="12"/>
  <c r="AL64" i="26"/>
  <c r="BL64" i="12"/>
  <c r="AL21" i="26"/>
  <c r="BL21" i="12"/>
  <c r="AL23" i="26"/>
  <c r="BL23" i="12"/>
  <c r="AL40" i="26"/>
  <c r="BL40" i="12"/>
  <c r="AG29" i="26"/>
  <c r="BJ29" i="12"/>
  <c r="AL44" i="26"/>
  <c r="BL44" i="12"/>
  <c r="AG30" i="26"/>
  <c r="BJ30" i="12"/>
  <c r="AG45" i="26"/>
  <c r="BJ45" i="12"/>
  <c r="AG77" i="26"/>
  <c r="BJ77" i="12"/>
  <c r="AG61" i="26"/>
  <c r="BJ61" i="12"/>
  <c r="AL75" i="26"/>
  <c r="BL75" i="12"/>
  <c r="AL30" i="26"/>
  <c r="BL30" i="12"/>
  <c r="AG41" i="26"/>
  <c r="BJ41" i="12"/>
  <c r="AL56" i="26"/>
  <c r="BL56" i="12"/>
  <c r="AL77" i="26"/>
  <c r="BL77" i="12"/>
  <c r="AL12" i="26"/>
  <c r="BL12" i="12"/>
  <c r="AL45" i="26"/>
  <c r="BL45" i="12"/>
  <c r="AG59" i="26"/>
  <c r="BJ59" i="12"/>
  <c r="AD17" i="3"/>
  <c r="AD21" i="3"/>
  <c r="I21" i="26"/>
  <c r="I17" i="26"/>
  <c r="I13" i="26"/>
  <c r="AD7" i="3"/>
  <c r="AD18" i="3"/>
  <c r="I9" i="26"/>
  <c r="AD13" i="3"/>
  <c r="I7" i="26"/>
  <c r="AD8" i="3"/>
  <c r="AD9" i="3"/>
  <c r="I16" i="26"/>
  <c r="AG68" i="26"/>
  <c r="BJ68" i="12"/>
  <c r="AG58" i="26"/>
  <c r="BJ58" i="12"/>
  <c r="AL39" i="26"/>
  <c r="BL39" i="12"/>
  <c r="AL29" i="26"/>
  <c r="BL29" i="12"/>
  <c r="AL68" i="26"/>
  <c r="BL68" i="12"/>
  <c r="AG22" i="26"/>
  <c r="BJ22" i="12"/>
  <c r="I8" i="26"/>
  <c r="AL11" i="26"/>
  <c r="BL11" i="12"/>
  <c r="AL50" i="26"/>
  <c r="BL50" i="12"/>
  <c r="AL67" i="26"/>
  <c r="BL67" i="12"/>
  <c r="AL38" i="26"/>
  <c r="BL38" i="12"/>
  <c r="AG35" i="26"/>
  <c r="BJ35" i="12"/>
  <c r="AG24" i="26"/>
  <c r="BJ24" i="12"/>
  <c r="AG25" i="26"/>
  <c r="BJ25" i="12"/>
  <c r="AL22" i="26"/>
  <c r="BL22" i="12"/>
  <c r="AL37" i="26"/>
  <c r="BL37" i="12"/>
  <c r="AG20" i="26"/>
  <c r="BJ20" i="12"/>
  <c r="AG52" i="26"/>
  <c r="BJ52" i="12"/>
  <c r="AL47" i="26"/>
  <c r="BL47" i="12"/>
  <c r="AL53" i="26"/>
  <c r="BL53" i="12"/>
  <c r="AG54" i="26"/>
  <c r="BJ54" i="12"/>
  <c r="AG8" i="26"/>
  <c r="BJ8" i="12"/>
  <c r="AL62" i="26"/>
  <c r="BL62" i="12"/>
  <c r="AL60" i="26"/>
  <c r="BL60" i="12"/>
  <c r="AL7" i="26"/>
  <c r="BL7" i="12"/>
  <c r="AL8" i="26"/>
  <c r="BL8" i="12"/>
  <c r="AL76" i="26"/>
  <c r="BL76" i="12"/>
  <c r="AL49" i="26"/>
  <c r="BL49" i="12"/>
  <c r="AG34" i="26"/>
  <c r="BJ34" i="12"/>
  <c r="AL61" i="26"/>
  <c r="BL61" i="12"/>
  <c r="AL34" i="26"/>
  <c r="BL34" i="12"/>
  <c r="AG23" i="26"/>
  <c r="BJ23" i="12"/>
  <c r="AG13" i="26"/>
  <c r="BJ13" i="12"/>
  <c r="AL41" i="26"/>
  <c r="BL41" i="12"/>
  <c r="AG16" i="26"/>
  <c r="BJ16" i="12"/>
  <c r="I23" i="26"/>
  <c r="AL70" i="26"/>
  <c r="BL70" i="12"/>
  <c r="AG69" i="26"/>
  <c r="BJ69" i="12"/>
  <c r="AL15" i="26"/>
  <c r="BL15" i="12"/>
  <c r="AD22" i="3"/>
  <c r="AL48" i="26"/>
  <c r="BL48" i="12"/>
  <c r="AL35" i="26"/>
  <c r="BL35" i="12"/>
  <c r="AG19" i="26"/>
  <c r="BJ19" i="12"/>
  <c r="AL71" i="26"/>
  <c r="BL71" i="12"/>
  <c r="AL26" i="26"/>
  <c r="BL26" i="12"/>
  <c r="AL32" i="26"/>
  <c r="BL32" i="12"/>
  <c r="AG55" i="26"/>
  <c r="BJ55" i="12"/>
  <c r="AL63" i="26"/>
  <c r="BL63" i="12"/>
  <c r="AG39" i="26"/>
  <c r="BJ39" i="12"/>
  <c r="AG28" i="26"/>
  <c r="BJ28" i="12"/>
  <c r="AG26" i="26"/>
  <c r="BJ26" i="12"/>
  <c r="AG27" i="26"/>
  <c r="BJ27" i="12"/>
  <c r="AG48" i="26"/>
  <c r="BJ48" i="12"/>
  <c r="AL52" i="26"/>
  <c r="BL52" i="12"/>
  <c r="AG49" i="26"/>
  <c r="BJ49" i="12"/>
  <c r="AG14" i="26"/>
  <c r="BJ14" i="12"/>
  <c r="AL20" i="26"/>
  <c r="BL20" i="12"/>
  <c r="AG76" i="26"/>
  <c r="BJ76" i="12"/>
  <c r="AG60" i="26"/>
  <c r="BJ60" i="12"/>
  <c r="AG47" i="26"/>
  <c r="BJ47" i="12"/>
  <c r="AG36" i="26"/>
  <c r="BJ36" i="12"/>
  <c r="AL31" i="26"/>
  <c r="BL31" i="12"/>
  <c r="AG53" i="26"/>
  <c r="BJ53" i="12"/>
  <c r="AG21" i="26"/>
  <c r="BJ21" i="12"/>
  <c r="AL10" i="26"/>
  <c r="BL10" i="12"/>
  <c r="AD16" i="3"/>
  <c r="I11" i="26"/>
  <c r="AG81" i="26"/>
  <c r="BJ81" i="12"/>
  <c r="AG73" i="26"/>
  <c r="BJ73" i="12"/>
  <c r="AG71" i="26"/>
  <c r="BJ71" i="12"/>
  <c r="AL66" i="26"/>
  <c r="BL66" i="12"/>
  <c r="AG74" i="26"/>
  <c r="BJ74" i="12"/>
  <c r="AL72" i="26"/>
  <c r="BL72" i="12"/>
  <c r="AL59" i="26"/>
  <c r="BL59" i="12"/>
  <c r="AL14" i="26"/>
  <c r="BL14" i="12"/>
  <c r="AG11" i="26"/>
  <c r="BJ11" i="12"/>
  <c r="AL17" i="26"/>
  <c r="BL17" i="12"/>
  <c r="I15" i="26"/>
  <c r="AD11" i="3"/>
  <c r="AL78" i="26"/>
  <c r="BL78" i="12"/>
  <c r="AL57" i="26"/>
  <c r="BL57" i="12"/>
  <c r="AG18" i="26"/>
  <c r="BJ18" i="12"/>
  <c r="AL54" i="26"/>
  <c r="BL54" i="12"/>
  <c r="AL33" i="26"/>
  <c r="BL33" i="12"/>
  <c r="AG15" i="26"/>
  <c r="BJ15" i="12"/>
  <c r="AL18" i="26"/>
  <c r="BL18" i="12"/>
  <c r="AK10" i="1"/>
  <c r="C7" i="9"/>
  <c r="C8" i="9"/>
  <c r="AK82" i="1"/>
  <c r="AJ9" i="1"/>
  <c r="Z8" i="1"/>
  <c r="AK31" i="1"/>
  <c r="AA10" i="1"/>
  <c r="B41" i="1"/>
  <c r="Y36" i="1"/>
  <c r="Y37" i="1"/>
  <c r="Z37" i="1"/>
  <c r="Y35" i="1"/>
  <c r="Z35" i="1"/>
  <c r="Y34" i="1"/>
  <c r="A34" i="1"/>
  <c r="A35" i="1"/>
  <c r="A36" i="1"/>
  <c r="A37" i="1"/>
  <c r="A38" i="1"/>
  <c r="A39" i="1"/>
  <c r="A40" i="1"/>
  <c r="P14" i="1"/>
  <c r="A22" i="1"/>
  <c r="T14" i="1"/>
  <c r="E9" i="45"/>
  <c r="D50" i="38"/>
  <c r="E50" i="38"/>
  <c r="C57" i="38"/>
  <c r="D48" i="38"/>
  <c r="E48" i="38"/>
  <c r="C55" i="38"/>
  <c r="I13" i="44"/>
  <c r="G13" i="44"/>
  <c r="BC8" i="26"/>
  <c r="BH9" i="26"/>
  <c r="AM9" i="12"/>
  <c r="I82" i="12"/>
  <c r="AF83" i="26"/>
  <c r="BI83" i="12"/>
  <c r="BE82" i="26"/>
  <c r="AJ82" i="12"/>
  <c r="AK82" i="26"/>
  <c r="BK82" i="12"/>
  <c r="L81" i="12"/>
  <c r="AL81" i="26"/>
  <c r="BL81" i="12"/>
  <c r="AJ82" i="26"/>
  <c r="H83" i="44"/>
  <c r="AE83" i="26"/>
  <c r="A23" i="1"/>
  <c r="B48" i="1"/>
  <c r="Y43" i="1"/>
  <c r="Y44" i="1"/>
  <c r="Z44" i="1"/>
  <c r="Y42" i="1"/>
  <c r="Z42" i="1"/>
  <c r="Y41" i="1"/>
  <c r="A41" i="1"/>
  <c r="A42" i="1"/>
  <c r="A43" i="1"/>
  <c r="A44" i="1"/>
  <c r="A45" i="1"/>
  <c r="A46" i="1"/>
  <c r="A47" i="1"/>
  <c r="AJ10" i="1"/>
  <c r="AK11" i="1"/>
  <c r="P15" i="1"/>
  <c r="T15" i="1"/>
  <c r="AK32" i="1"/>
  <c r="C9" i="9"/>
  <c r="C10" i="9"/>
  <c r="AK83" i="1"/>
  <c r="AA11" i="1"/>
  <c r="AA12" i="1"/>
  <c r="AD10" i="1"/>
  <c r="E10" i="45"/>
  <c r="AD11" i="1"/>
  <c r="AD12" i="1"/>
  <c r="AA13" i="1"/>
  <c r="D57" i="38"/>
  <c r="E57" i="38"/>
  <c r="C64" i="38"/>
  <c r="C62" i="38"/>
  <c r="D55" i="38"/>
  <c r="E55" i="38"/>
  <c r="BC9" i="26"/>
  <c r="BC10" i="26"/>
  <c r="G14" i="44"/>
  <c r="I14" i="44"/>
  <c r="AJ83" i="26"/>
  <c r="BE83" i="26"/>
  <c r="AJ83" i="12"/>
  <c r="I83" i="12"/>
  <c r="AF84" i="26"/>
  <c r="BI84" i="12"/>
  <c r="AG83" i="26"/>
  <c r="BJ83" i="12"/>
  <c r="H84" i="44"/>
  <c r="AE84" i="26"/>
  <c r="L82" i="12"/>
  <c r="AK83" i="26"/>
  <c r="BK83" i="12"/>
  <c r="AL82" i="26"/>
  <c r="BL82" i="12"/>
  <c r="C11" i="9"/>
  <c r="AA14" i="1"/>
  <c r="AA15" i="1"/>
  <c r="AK33" i="1"/>
  <c r="P16" i="1"/>
  <c r="T16" i="1"/>
  <c r="AK12" i="1"/>
  <c r="Y51" i="1"/>
  <c r="Z51" i="1"/>
  <c r="Y49" i="1"/>
  <c r="Z49" i="1"/>
  <c r="Y48" i="1"/>
  <c r="A48" i="1"/>
  <c r="A49" i="1"/>
  <c r="A50" i="1"/>
  <c r="A51" i="1"/>
  <c r="A52" i="1"/>
  <c r="A53" i="1"/>
  <c r="A54" i="1"/>
  <c r="B55" i="1"/>
  <c r="Y50" i="1"/>
  <c r="A24" i="1"/>
  <c r="AD13" i="1"/>
  <c r="AK84" i="1"/>
  <c r="T5" i="10"/>
  <c r="AK125" i="1"/>
  <c r="AJ11" i="1"/>
  <c r="E11" i="45"/>
  <c r="AD14" i="1"/>
  <c r="C71" i="38"/>
  <c r="D64" i="38"/>
  <c r="E64" i="38"/>
  <c r="D62" i="38"/>
  <c r="E62" i="38"/>
  <c r="C69" i="38"/>
  <c r="BH10" i="26"/>
  <c r="AM10" i="12"/>
  <c r="G15" i="44"/>
  <c r="I15" i="44"/>
  <c r="AF85" i="26"/>
  <c r="BI85" i="12"/>
  <c r="BE84" i="26"/>
  <c r="AJ84" i="12"/>
  <c r="I84" i="12"/>
  <c r="AG84" i="26"/>
  <c r="BJ84" i="12"/>
  <c r="AJ84" i="26"/>
  <c r="H85" i="44"/>
  <c r="AE85" i="26"/>
  <c r="AK84" i="26"/>
  <c r="BK84" i="12"/>
  <c r="AL83" i="26"/>
  <c r="BL83" i="12"/>
  <c r="L83" i="12"/>
  <c r="BH11" i="26"/>
  <c r="AM11" i="12"/>
  <c r="BC11" i="26"/>
  <c r="C12" i="9"/>
  <c r="C13" i="9"/>
  <c r="A25" i="1"/>
  <c r="T6" i="10"/>
  <c r="BH6" i="10"/>
  <c r="AK126" i="1"/>
  <c r="AK85" i="1"/>
  <c r="AA16" i="1"/>
  <c r="AK34" i="1"/>
  <c r="P17" i="1"/>
  <c r="T17" i="1"/>
  <c r="AJ12" i="1"/>
  <c r="BH5" i="10"/>
  <c r="AD15" i="1"/>
  <c r="Y55" i="1"/>
  <c r="A55" i="1"/>
  <c r="A56" i="1"/>
  <c r="A57" i="1"/>
  <c r="A58" i="1"/>
  <c r="A59" i="1"/>
  <c r="A60" i="1"/>
  <c r="A61" i="1"/>
  <c r="B62" i="1"/>
  <c r="Y57" i="1"/>
  <c r="Y58" i="1"/>
  <c r="Z58" i="1"/>
  <c r="Y56" i="1"/>
  <c r="Z56" i="1"/>
  <c r="AK13" i="1"/>
  <c r="E12" i="45"/>
  <c r="AD16" i="1"/>
  <c r="C78" i="38"/>
  <c r="D71" i="38"/>
  <c r="E71" i="38"/>
  <c r="C76" i="38"/>
  <c r="D69" i="38"/>
  <c r="E69" i="38"/>
  <c r="I16" i="44"/>
  <c r="G16" i="44"/>
  <c r="H86" i="44"/>
  <c r="AE86" i="26"/>
  <c r="L84" i="12"/>
  <c r="AK85" i="26"/>
  <c r="BK85" i="12"/>
  <c r="AL84" i="26"/>
  <c r="BL84" i="12"/>
  <c r="AJ85" i="26"/>
  <c r="BE85" i="26"/>
  <c r="AJ85" i="12"/>
  <c r="I85" i="12"/>
  <c r="AF86" i="26"/>
  <c r="BI86" i="12"/>
  <c r="AG85" i="26"/>
  <c r="BJ85" i="12"/>
  <c r="BC12" i="26"/>
  <c r="BH12" i="26"/>
  <c r="AM12" i="12"/>
  <c r="B69" i="1"/>
  <c r="Y64" i="1"/>
  <c r="Y65" i="1"/>
  <c r="Z65" i="1"/>
  <c r="Y63" i="1"/>
  <c r="Z63" i="1"/>
  <c r="Y62" i="1"/>
  <c r="A62" i="1"/>
  <c r="A63" i="1"/>
  <c r="A64" i="1"/>
  <c r="A65" i="1"/>
  <c r="A66" i="1"/>
  <c r="A67" i="1"/>
  <c r="A68" i="1"/>
  <c r="P18" i="1"/>
  <c r="T18"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T7" i="10"/>
  <c r="AK127" i="1"/>
  <c r="C14" i="9"/>
  <c r="AK14" i="1"/>
  <c r="AJ13" i="1"/>
  <c r="AK35" i="1"/>
  <c r="AK86" i="1"/>
  <c r="A26" i="1"/>
  <c r="E13" i="45"/>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D78" i="38"/>
  <c r="E78" i="38"/>
  <c r="C85" i="38"/>
  <c r="D76" i="38"/>
  <c r="E76" i="38"/>
  <c r="C83" i="38"/>
  <c r="I17" i="44"/>
  <c r="G17" i="44"/>
  <c r="AJ86" i="26"/>
  <c r="BE86" i="26"/>
  <c r="AJ86" i="12"/>
  <c r="AF87" i="26"/>
  <c r="BI87" i="12"/>
  <c r="I86" i="12"/>
  <c r="AG86" i="26"/>
  <c r="BJ86" i="12"/>
  <c r="AK86" i="26"/>
  <c r="BK86" i="12"/>
  <c r="AL85" i="26"/>
  <c r="BL85" i="12"/>
  <c r="L85" i="12"/>
  <c r="H87" i="44"/>
  <c r="AE87" i="26"/>
  <c r="BC13" i="26"/>
  <c r="BH13" i="26"/>
  <c r="AM13" i="12"/>
  <c r="AK36" i="1"/>
  <c r="AJ14" i="1"/>
  <c r="AK15" i="1"/>
  <c r="P19" i="1"/>
  <c r="Y18" i="1"/>
  <c r="J15" i="1"/>
  <c r="Z15" i="26"/>
  <c r="Y14" i="26"/>
  <c r="Z11" i="26"/>
  <c r="Y10" i="26"/>
  <c r="Z7" i="26"/>
  <c r="N6" i="26"/>
  <c r="Y15" i="26"/>
  <c r="Z12" i="26"/>
  <c r="Y11" i="26"/>
  <c r="Z8" i="26"/>
  <c r="Y7" i="26"/>
  <c r="Z6" i="26"/>
  <c r="G6" i="3"/>
  <c r="U6" i="26"/>
  <c r="Z13" i="26"/>
  <c r="Y12" i="26"/>
  <c r="Z9" i="26"/>
  <c r="Y8" i="26"/>
  <c r="Y6" i="26"/>
  <c r="E6" i="3"/>
  <c r="Z14" i="26"/>
  <c r="Y13" i="26"/>
  <c r="Z10" i="26"/>
  <c r="Y9" i="26"/>
  <c r="B76" i="1"/>
  <c r="Y71" i="1"/>
  <c r="Y72" i="1"/>
  <c r="Z72" i="1"/>
  <c r="Y70" i="1"/>
  <c r="Z70" i="1"/>
  <c r="Y69" i="1"/>
  <c r="A69" i="1"/>
  <c r="A70" i="1"/>
  <c r="A71" i="1"/>
  <c r="A72" i="1"/>
  <c r="A73" i="1"/>
  <c r="A74" i="1"/>
  <c r="A75" i="1"/>
  <c r="BH7" i="10"/>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6" i="9"/>
  <c r="AK87" i="1"/>
  <c r="T8" i="10"/>
  <c r="BH8" i="10"/>
  <c r="AK128" i="1"/>
  <c r="E14" i="45"/>
  <c r="D85" i="38"/>
  <c r="E85" i="38"/>
  <c r="C92" i="38"/>
  <c r="C90" i="38"/>
  <c r="D83" i="38"/>
  <c r="E83" i="38"/>
  <c r="G18" i="44"/>
  <c r="I18" i="44"/>
  <c r="AL86" i="26"/>
  <c r="BL86" i="12"/>
  <c r="L86" i="12"/>
  <c r="AK87" i="26"/>
  <c r="BK87" i="12"/>
  <c r="AJ87" i="26"/>
  <c r="B89" i="44"/>
  <c r="H88" i="44"/>
  <c r="AE88" i="26"/>
  <c r="BE87" i="26"/>
  <c r="AJ87" i="12"/>
  <c r="AG87" i="26"/>
  <c r="BJ87" i="12"/>
  <c r="AF88" i="26"/>
  <c r="BI88" i="12"/>
  <c r="I87" i="12"/>
  <c r="BC14" i="26"/>
  <c r="BH14" i="26"/>
  <c r="AM14" i="12"/>
  <c r="AI19" i="1"/>
  <c r="Z13" i="1"/>
  <c r="X15" i="1"/>
  <c r="F15" i="3"/>
  <c r="F14" i="3"/>
  <c r="H12" i="3"/>
  <c r="F10" i="3"/>
  <c r="H8" i="3"/>
  <c r="F16" i="3"/>
  <c r="H13" i="3"/>
  <c r="F11" i="3"/>
  <c r="H9" i="3"/>
  <c r="F7" i="3"/>
  <c r="H6" i="3"/>
  <c r="H15" i="3"/>
  <c r="H14" i="3"/>
  <c r="F12" i="3"/>
  <c r="H10" i="3"/>
  <c r="F8" i="3"/>
  <c r="H16" i="3"/>
  <c r="F13" i="3"/>
  <c r="H11" i="3"/>
  <c r="F9" i="3"/>
  <c r="H7" i="3"/>
  <c r="F6" i="3"/>
  <c r="B83" i="1"/>
  <c r="Y78" i="1"/>
  <c r="Y79" i="1"/>
  <c r="Z79" i="1"/>
  <c r="Y77" i="1"/>
  <c r="Z77" i="1"/>
  <c r="A76" i="1"/>
  <c r="A77" i="1"/>
  <c r="A78" i="1"/>
  <c r="A79" i="1"/>
  <c r="A80" i="1"/>
  <c r="A81" i="1"/>
  <c r="A82" i="1"/>
  <c r="Y76" i="1"/>
  <c r="Y19" i="1"/>
  <c r="X6" i="26"/>
  <c r="T6" i="3"/>
  <c r="Q6" i="3"/>
  <c r="AA6" i="26"/>
  <c r="Q6" i="26"/>
  <c r="N6" i="3"/>
  <c r="J6" i="3"/>
  <c r="T9" i="10"/>
  <c r="BH9" i="10"/>
  <c r="AK129" i="1"/>
  <c r="AK88" i="1"/>
  <c r="P20" i="1"/>
  <c r="T20" i="1"/>
  <c r="AJ15" i="1"/>
  <c r="AK37" i="1"/>
  <c r="AK16" i="1"/>
  <c r="E15" i="45"/>
  <c r="C99" i="38"/>
  <c r="D92" i="38"/>
  <c r="E92" i="38"/>
  <c r="D90" i="38"/>
  <c r="E90" i="38"/>
  <c r="C97" i="38"/>
  <c r="G19" i="44"/>
  <c r="I19" i="44"/>
  <c r="B90" i="44"/>
  <c r="H89" i="44"/>
  <c r="AE89" i="26"/>
  <c r="L87" i="12"/>
  <c r="AK88" i="26"/>
  <c r="BK88" i="12"/>
  <c r="AL87" i="26"/>
  <c r="BL87" i="12"/>
  <c r="AF89" i="26"/>
  <c r="BI89" i="12"/>
  <c r="I88" i="12"/>
  <c r="BE88" i="26"/>
  <c r="AJ88" i="12"/>
  <c r="AG88" i="26"/>
  <c r="BJ88" i="12"/>
  <c r="AJ88" i="26"/>
  <c r="C89" i="44"/>
  <c r="BH15" i="26"/>
  <c r="AM15" i="12"/>
  <c r="BC15" i="26"/>
  <c r="AK38" i="1"/>
  <c r="AJ16" i="1"/>
  <c r="Q21" i="45"/>
  <c r="Q7" i="26"/>
  <c r="AA7" i="26"/>
  <c r="AK17" i="1"/>
  <c r="P21" i="1"/>
  <c r="Y86" i="1"/>
  <c r="Z86" i="1"/>
  <c r="Y84" i="1"/>
  <c r="Z84" i="1"/>
  <c r="Y83" i="1"/>
  <c r="A83" i="1"/>
  <c r="A84" i="1"/>
  <c r="A85" i="1"/>
  <c r="A86" i="1"/>
  <c r="A87" i="1"/>
  <c r="A88" i="1"/>
  <c r="A89" i="1"/>
  <c r="B90" i="1"/>
  <c r="Y85" i="1"/>
  <c r="Z15" i="1"/>
  <c r="U7" i="26"/>
  <c r="T21" i="1"/>
  <c r="T10" i="10"/>
  <c r="BH10" i="10"/>
  <c r="AK130" i="1"/>
  <c r="AK89" i="1"/>
  <c r="E16" i="45"/>
  <c r="C106" i="38"/>
  <c r="D99" i="38"/>
  <c r="E99" i="38"/>
  <c r="C104" i="38"/>
  <c r="D97" i="38"/>
  <c r="E97" i="38"/>
  <c r="I20" i="44"/>
  <c r="G20" i="44"/>
  <c r="L88" i="12"/>
  <c r="AK89" i="26"/>
  <c r="BK89" i="12"/>
  <c r="AL88" i="26"/>
  <c r="BL88" i="12"/>
  <c r="B91" i="44"/>
  <c r="H90" i="44"/>
  <c r="AE90" i="26"/>
  <c r="C90" i="44"/>
  <c r="AJ89" i="26"/>
  <c r="AF90" i="26"/>
  <c r="BI90" i="12"/>
  <c r="BE89" i="26"/>
  <c r="AJ89" i="12"/>
  <c r="I89" i="12"/>
  <c r="AG89" i="26"/>
  <c r="BJ89" i="12"/>
  <c r="BC16" i="26"/>
  <c r="BH16" i="26"/>
  <c r="AM16" i="12"/>
  <c r="X7" i="26"/>
  <c r="AJ17" i="1"/>
  <c r="T11" i="10"/>
  <c r="AK131" i="1"/>
  <c r="T22" i="1"/>
  <c r="P22" i="1"/>
  <c r="Y90" i="1"/>
  <c r="A90" i="1"/>
  <c r="A91" i="1"/>
  <c r="A92" i="1"/>
  <c r="A93" i="1"/>
  <c r="A94" i="1"/>
  <c r="A95" i="1"/>
  <c r="A96" i="1"/>
  <c r="B97" i="1"/>
  <c r="Y92" i="1"/>
  <c r="Y93" i="1"/>
  <c r="Z93" i="1"/>
  <c r="Y91" i="1"/>
  <c r="Z91" i="1"/>
  <c r="AH10" i="10"/>
  <c r="AH11" i="10"/>
  <c r="AK18" i="1"/>
  <c r="AK39" i="1"/>
  <c r="AK90" i="1"/>
  <c r="E17" i="45"/>
  <c r="D106" i="38"/>
  <c r="E106" i="38"/>
  <c r="C113" i="38"/>
  <c r="D104" i="38"/>
  <c r="E104" i="38"/>
  <c r="C111" i="38"/>
  <c r="G21" i="44"/>
  <c r="I21" i="44"/>
  <c r="AK90" i="26"/>
  <c r="BK90" i="12"/>
  <c r="AL89" i="26"/>
  <c r="BL89" i="12"/>
  <c r="L89" i="12"/>
  <c r="C91" i="44"/>
  <c r="AJ90" i="26"/>
  <c r="BE90" i="26"/>
  <c r="AJ90" i="12"/>
  <c r="AF91" i="26"/>
  <c r="BI91" i="12"/>
  <c r="I90" i="12"/>
  <c r="AG90" i="26"/>
  <c r="BJ90" i="12"/>
  <c r="B92" i="44"/>
  <c r="H91" i="44"/>
  <c r="AE91" i="26"/>
  <c r="BH17" i="26"/>
  <c r="AM17" i="12"/>
  <c r="BC17" i="26"/>
  <c r="B104" i="1"/>
  <c r="Y99" i="1"/>
  <c r="Y100" i="1"/>
  <c r="Z100" i="1"/>
  <c r="Y98" i="1"/>
  <c r="Z98" i="1"/>
  <c r="Y97" i="1"/>
  <c r="A97" i="1"/>
  <c r="A98" i="1"/>
  <c r="A99" i="1"/>
  <c r="A100" i="1"/>
  <c r="A101" i="1"/>
  <c r="A102" i="1"/>
  <c r="A103" i="1"/>
  <c r="BH11" i="10"/>
  <c r="AK91" i="1"/>
  <c r="AK40" i="1"/>
  <c r="AK19" i="1"/>
  <c r="P23" i="1"/>
  <c r="T23" i="1"/>
  <c r="AJ18" i="1"/>
  <c r="E18" i="45"/>
  <c r="D113" i="38"/>
  <c r="E113" i="38"/>
  <c r="C120" i="38"/>
  <c r="C118" i="38"/>
  <c r="D111" i="38"/>
  <c r="E111" i="38"/>
  <c r="G22" i="44"/>
  <c r="I22" i="44"/>
  <c r="B93" i="44"/>
  <c r="H92" i="44"/>
  <c r="AE92" i="26"/>
  <c r="C92" i="44"/>
  <c r="AJ91" i="26"/>
  <c r="I91" i="12"/>
  <c r="BE91" i="26"/>
  <c r="AJ91" i="12"/>
  <c r="AF92" i="26"/>
  <c r="BI92" i="12"/>
  <c r="AG91" i="26"/>
  <c r="BJ91" i="12"/>
  <c r="L90" i="12"/>
  <c r="AK91" i="26"/>
  <c r="BK91" i="12"/>
  <c r="AL90" i="26"/>
  <c r="BL90" i="12"/>
  <c r="BC18" i="26"/>
  <c r="BH18" i="26"/>
  <c r="AM18" i="12"/>
  <c r="AJ19" i="1"/>
  <c r="AK41" i="1"/>
  <c r="BH12" i="10"/>
  <c r="T13" i="10"/>
  <c r="B111" i="1"/>
  <c r="Y107" i="1"/>
  <c r="Z107" i="1"/>
  <c r="Y106" i="1"/>
  <c r="Y104" i="1"/>
  <c r="A104" i="1"/>
  <c r="A105" i="1"/>
  <c r="A106" i="1"/>
  <c r="A107" i="1"/>
  <c r="A108" i="1"/>
  <c r="A109" i="1"/>
  <c r="A110" i="1"/>
  <c r="Y105" i="1"/>
  <c r="Z105" i="1"/>
  <c r="Z19" i="26"/>
  <c r="Y19" i="26"/>
  <c r="Y17" i="26"/>
  <c r="Z17" i="26"/>
  <c r="Y18" i="26"/>
  <c r="Z20" i="26"/>
  <c r="Z16" i="26"/>
  <c r="Z18" i="26"/>
  <c r="Y20" i="26"/>
  <c r="Y16" i="26"/>
  <c r="T24" i="1"/>
  <c r="P24" i="1"/>
  <c r="AK20" i="1"/>
  <c r="AK92" i="1"/>
  <c r="E19" i="45"/>
  <c r="C127" i="38"/>
  <c r="D120" i="38"/>
  <c r="E120" i="38"/>
  <c r="D118" i="38"/>
  <c r="E118" i="38"/>
  <c r="C125" i="38"/>
  <c r="G23" i="44"/>
  <c r="I23" i="44"/>
  <c r="I92" i="12"/>
  <c r="AF93" i="26"/>
  <c r="BI93" i="12"/>
  <c r="BE92" i="26"/>
  <c r="AJ92" i="12"/>
  <c r="AG92" i="26"/>
  <c r="BJ92" i="12"/>
  <c r="AJ92" i="26"/>
  <c r="C93" i="44"/>
  <c r="L91" i="12"/>
  <c r="AK92" i="26"/>
  <c r="BK92" i="12"/>
  <c r="AL91" i="26"/>
  <c r="BL91" i="12"/>
  <c r="B94" i="44"/>
  <c r="H93" i="44"/>
  <c r="AE93" i="26"/>
  <c r="BC19" i="26"/>
  <c r="BH19" i="26"/>
  <c r="AM19" i="12"/>
  <c r="BH13" i="10"/>
  <c r="T14" i="10"/>
  <c r="AK42" i="1"/>
  <c r="AJ20" i="1"/>
  <c r="P25" i="1"/>
  <c r="T25" i="1"/>
  <c r="AK21" i="1"/>
  <c r="B118" i="1"/>
  <c r="Y113" i="1"/>
  <c r="Y114" i="1"/>
  <c r="Z114" i="1"/>
  <c r="Y112" i="1"/>
  <c r="Z112" i="1"/>
  <c r="Y111" i="1"/>
  <c r="A111" i="1"/>
  <c r="A112" i="1"/>
  <c r="A113" i="1"/>
  <c r="A114" i="1"/>
  <c r="A115" i="1"/>
  <c r="A116" i="1"/>
  <c r="A117" i="1"/>
  <c r="F19" i="3"/>
  <c r="F20" i="3"/>
  <c r="H17" i="3"/>
  <c r="H18" i="3"/>
  <c r="F21" i="3"/>
  <c r="H19" i="3"/>
  <c r="H20" i="3"/>
  <c r="H21" i="3"/>
  <c r="F17" i="3"/>
  <c r="F18" i="3"/>
  <c r="AK93" i="1"/>
  <c r="E20" i="45"/>
  <c r="C134" i="38"/>
  <c r="D127" i="38"/>
  <c r="E127" i="38"/>
  <c r="C132" i="38"/>
  <c r="D125" i="38"/>
  <c r="E125" i="38"/>
  <c r="G24" i="44"/>
  <c r="I24" i="44"/>
  <c r="BE93" i="26"/>
  <c r="AJ93" i="12"/>
  <c r="AF94" i="26"/>
  <c r="BI94" i="12"/>
  <c r="I93" i="12"/>
  <c r="AG93" i="26"/>
  <c r="BJ93" i="12"/>
  <c r="AJ93" i="26"/>
  <c r="C94" i="44"/>
  <c r="H94" i="44"/>
  <c r="B95" i="44"/>
  <c r="AE94" i="26"/>
  <c r="L92" i="12"/>
  <c r="AL92" i="26"/>
  <c r="BL92" i="12"/>
  <c r="AK93" i="26"/>
  <c r="BK93" i="12"/>
  <c r="BH20" i="26"/>
  <c r="AM20" i="12"/>
  <c r="BC20" i="26"/>
  <c r="AK94" i="1"/>
  <c r="AJ21" i="1"/>
  <c r="AK43" i="1"/>
  <c r="B125" i="1"/>
  <c r="Y121" i="1"/>
  <c r="Z121" i="1"/>
  <c r="Y120" i="1"/>
  <c r="Y118" i="1"/>
  <c r="A118" i="1"/>
  <c r="A119" i="1"/>
  <c r="A120" i="1"/>
  <c r="A121" i="1"/>
  <c r="A122" i="1"/>
  <c r="A123" i="1"/>
  <c r="A124" i="1"/>
  <c r="Y119" i="1"/>
  <c r="Z119" i="1"/>
  <c r="Y22" i="26"/>
  <c r="Z23" i="26"/>
  <c r="Z22" i="26"/>
  <c r="Y21" i="26"/>
  <c r="Y23" i="26"/>
  <c r="Z21" i="26"/>
  <c r="AK22" i="1"/>
  <c r="J22" i="1"/>
  <c r="Y25" i="1"/>
  <c r="P26" i="1"/>
  <c r="T15" i="10"/>
  <c r="BH14" i="10"/>
  <c r="D134" i="38"/>
  <c r="E134" i="38"/>
  <c r="C141" i="38"/>
  <c r="D132" i="38"/>
  <c r="E132" i="38"/>
  <c r="C139" i="38"/>
  <c r="I25" i="44"/>
  <c r="G25" i="44"/>
  <c r="AG94" i="26"/>
  <c r="BJ94" i="12"/>
  <c r="AF95" i="26"/>
  <c r="BI95" i="12"/>
  <c r="BE94" i="26"/>
  <c r="AJ94" i="12"/>
  <c r="I94" i="12"/>
  <c r="B96" i="44"/>
  <c r="H95" i="44"/>
  <c r="AE95" i="26"/>
  <c r="L93" i="12"/>
  <c r="AK94" i="26"/>
  <c r="BK94" i="12"/>
  <c r="AL93" i="26"/>
  <c r="BL93" i="12"/>
  <c r="C95" i="44"/>
  <c r="AJ94" i="26"/>
  <c r="BH21" i="26"/>
  <c r="AM21" i="12"/>
  <c r="BC21" i="26"/>
  <c r="AI26" i="1"/>
  <c r="Z20" i="1"/>
  <c r="X22" i="1"/>
  <c r="R21" i="45"/>
  <c r="P27" i="1"/>
  <c r="T27" i="1"/>
  <c r="AK95" i="1"/>
  <c r="A5" i="10"/>
  <c r="Y128" i="1"/>
  <c r="Z128" i="1"/>
  <c r="Y126" i="1"/>
  <c r="Z126" i="1"/>
  <c r="Y125" i="1"/>
  <c r="A125" i="1"/>
  <c r="A126" i="1"/>
  <c r="A127" i="1"/>
  <c r="A128" i="1"/>
  <c r="A129" i="1"/>
  <c r="A130" i="1"/>
  <c r="A131" i="1"/>
  <c r="Y127" i="1"/>
  <c r="AK44" i="1"/>
  <c r="AJ22" i="1"/>
  <c r="T16" i="10"/>
  <c r="BH15" i="10"/>
  <c r="Y26" i="1"/>
  <c r="AK23" i="1"/>
  <c r="D141" i="38"/>
  <c r="E141" i="38"/>
  <c r="C148" i="38"/>
  <c r="C146" i="38"/>
  <c r="D139" i="38"/>
  <c r="E139" i="38"/>
  <c r="I26" i="44"/>
  <c r="G26" i="44"/>
  <c r="I95" i="12"/>
  <c r="BE95" i="26"/>
  <c r="AJ95" i="12"/>
  <c r="AF96" i="26"/>
  <c r="BI96" i="12"/>
  <c r="AG95" i="26"/>
  <c r="BJ95" i="12"/>
  <c r="AK95" i="26"/>
  <c r="BK95" i="12"/>
  <c r="AL94" i="26"/>
  <c r="BL94" i="12"/>
  <c r="L94" i="12"/>
  <c r="AJ95" i="26"/>
  <c r="C96" i="44"/>
  <c r="B97" i="44"/>
  <c r="H96" i="44"/>
  <c r="AE96" i="26"/>
  <c r="BC22" i="26"/>
  <c r="BH22" i="26"/>
  <c r="AM22" i="12"/>
  <c r="AK45" i="1"/>
  <c r="AK96" i="1"/>
  <c r="P28" i="1"/>
  <c r="Z22" i="1"/>
  <c r="U8" i="26"/>
  <c r="AK24" i="1"/>
  <c r="T28" i="1"/>
  <c r="AA8" i="26"/>
  <c r="Q8" i="26"/>
  <c r="AJ23" i="1"/>
  <c r="T17" i="10"/>
  <c r="BH16" i="10"/>
  <c r="R22" i="26"/>
  <c r="R21" i="26"/>
  <c r="R20" i="26"/>
  <c r="R19" i="26"/>
  <c r="R13" i="26"/>
  <c r="R8" i="26"/>
  <c r="S8" i="26"/>
  <c r="R18" i="26"/>
  <c r="R10" i="26"/>
  <c r="R16" i="26"/>
  <c r="R11" i="26"/>
  <c r="R7" i="26"/>
  <c r="S7" i="26"/>
  <c r="R9" i="26"/>
  <c r="L16" i="26"/>
  <c r="I16" i="3"/>
  <c r="L9" i="26"/>
  <c r="I9" i="3"/>
  <c r="L7" i="26"/>
  <c r="I7" i="3"/>
  <c r="L15" i="26"/>
  <c r="I15" i="3"/>
  <c r="L10" i="26"/>
  <c r="I10" i="3"/>
  <c r="R23" i="26"/>
  <c r="R15" i="26"/>
  <c r="L18" i="26"/>
  <c r="I18" i="3"/>
  <c r="L21" i="26"/>
  <c r="I21" i="3"/>
  <c r="R14" i="26"/>
  <c r="L8" i="26"/>
  <c r="I8" i="3"/>
  <c r="R17" i="26"/>
  <c r="M6" i="26"/>
  <c r="L13" i="26"/>
  <c r="I13" i="3"/>
  <c r="R6" i="26"/>
  <c r="S6" i="26"/>
  <c r="R12" i="26"/>
  <c r="L23" i="26"/>
  <c r="I23" i="3"/>
  <c r="L11" i="26"/>
  <c r="I11" i="3"/>
  <c r="L19" i="26"/>
  <c r="I19" i="3"/>
  <c r="L12" i="26"/>
  <c r="I12" i="3"/>
  <c r="L17" i="26"/>
  <c r="I17" i="3"/>
  <c r="L14" i="26"/>
  <c r="I14" i="3"/>
  <c r="L6" i="26"/>
  <c r="I6" i="3"/>
  <c r="A4" i="38"/>
  <c r="A6" i="12"/>
  <c r="A4" i="9"/>
  <c r="A11" i="9"/>
  <c r="A18" i="9"/>
  <c r="A25" i="9"/>
  <c r="A32" i="9"/>
  <c r="A39" i="9"/>
  <c r="A46" i="9"/>
  <c r="A53" i="9"/>
  <c r="A60" i="9"/>
  <c r="A67" i="9"/>
  <c r="A74" i="9"/>
  <c r="A81" i="9"/>
  <c r="A88" i="9"/>
  <c r="A95" i="9"/>
  <c r="A102" i="9"/>
  <c r="A109" i="9"/>
  <c r="A116" i="9"/>
  <c r="A123" i="9"/>
  <c r="A130" i="9"/>
  <c r="A137" i="9"/>
  <c r="A144" i="9"/>
  <c r="A151" i="9"/>
  <c r="A158" i="9"/>
  <c r="A165" i="9"/>
  <c r="A172" i="9"/>
  <c r="A179" i="9"/>
  <c r="A186" i="9"/>
  <c r="A193" i="9"/>
  <c r="A200" i="9"/>
  <c r="A207" i="9"/>
  <c r="A214" i="9"/>
  <c r="A221" i="9"/>
  <c r="A228" i="9"/>
  <c r="A235" i="9"/>
  <c r="A242" i="9"/>
  <c r="A249" i="9"/>
  <c r="A256" i="9"/>
  <c r="A263" i="9"/>
  <c r="A270" i="9"/>
  <c r="A277" i="9"/>
  <c r="A284" i="9"/>
  <c r="A291" i="9"/>
  <c r="A298" i="9"/>
  <c r="A305" i="9"/>
  <c r="A312" i="9"/>
  <c r="A319" i="9"/>
  <c r="A326" i="9"/>
  <c r="A333" i="9"/>
  <c r="A340" i="9"/>
  <c r="A347" i="9"/>
  <c r="A354" i="9"/>
  <c r="A361" i="9"/>
  <c r="A368" i="9"/>
  <c r="A375" i="9"/>
  <c r="A382" i="9"/>
  <c r="A389" i="9"/>
  <c r="A396" i="9"/>
  <c r="A403" i="9"/>
  <c r="A410" i="9"/>
  <c r="A417" i="9"/>
  <c r="A424" i="9"/>
  <c r="A431" i="9"/>
  <c r="A438" i="9"/>
  <c r="A445" i="9"/>
  <c r="A452" i="9"/>
  <c r="A459" i="9"/>
  <c r="A466" i="9"/>
  <c r="A473" i="9"/>
  <c r="A480" i="9"/>
  <c r="A487" i="9"/>
  <c r="A494" i="9"/>
  <c r="A501" i="9"/>
  <c r="A508" i="9"/>
  <c r="A515" i="9"/>
  <c r="A522" i="9"/>
  <c r="A529" i="9"/>
  <c r="A536" i="9"/>
  <c r="A543" i="9"/>
  <c r="A550" i="9"/>
  <c r="A557" i="9"/>
  <c r="A564" i="9"/>
  <c r="A571" i="9"/>
  <c r="A578" i="9"/>
  <c r="A585" i="9"/>
  <c r="A592" i="9"/>
  <c r="A599" i="9"/>
  <c r="A606" i="9"/>
  <c r="A613" i="9"/>
  <c r="A620" i="9"/>
  <c r="A627" i="9"/>
  <c r="A634" i="9"/>
  <c r="A641" i="9"/>
  <c r="A648" i="9"/>
  <c r="A655" i="9"/>
  <c r="A662" i="9"/>
  <c r="A669" i="9"/>
  <c r="A676" i="9"/>
  <c r="A683" i="9"/>
  <c r="A690" i="9"/>
  <c r="A697" i="9"/>
  <c r="A704" i="9"/>
  <c r="A711" i="9"/>
  <c r="A718" i="9"/>
  <c r="P7" i="10"/>
  <c r="P6" i="10"/>
  <c r="BG5" i="10"/>
  <c r="A12" i="10"/>
  <c r="K10" i="10"/>
  <c r="K7" i="10"/>
  <c r="AE5" i="10"/>
  <c r="P5" i="10"/>
  <c r="P8" i="10"/>
  <c r="Q8" i="10"/>
  <c r="C155" i="38"/>
  <c r="D148" i="38"/>
  <c r="E148" i="38"/>
  <c r="D146" i="38"/>
  <c r="E146" i="38"/>
  <c r="C153" i="38"/>
  <c r="G27" i="44"/>
  <c r="I27" i="44"/>
  <c r="I96" i="12"/>
  <c r="AF97" i="26"/>
  <c r="BI97" i="12"/>
  <c r="BE96" i="26"/>
  <c r="AJ96" i="12"/>
  <c r="AG96" i="26"/>
  <c r="BJ96" i="12"/>
  <c r="L95" i="12"/>
  <c r="AL95" i="26"/>
  <c r="BL95" i="12"/>
  <c r="AK96" i="26"/>
  <c r="BK96" i="12"/>
  <c r="B98" i="44"/>
  <c r="H97" i="44"/>
  <c r="AE97" i="26"/>
  <c r="AJ96" i="26"/>
  <c r="C97" i="44"/>
  <c r="BH23" i="26"/>
  <c r="AM23" i="12"/>
  <c r="BC23" i="26"/>
  <c r="T18" i="10"/>
  <c r="BH17" i="10"/>
  <c r="AH17" i="10"/>
  <c r="AH18" i="10"/>
  <c r="AJ24" i="1"/>
  <c r="AK25" i="1"/>
  <c r="T8" i="26"/>
  <c r="P8" i="3"/>
  <c r="X8" i="26"/>
  <c r="AK46" i="1"/>
  <c r="AI8" i="10"/>
  <c r="A7" i="12"/>
  <c r="BV6" i="26"/>
  <c r="A11" i="38"/>
  <c r="P29" i="1"/>
  <c r="T29" i="1"/>
  <c r="AK97" i="1"/>
  <c r="AI7" i="10"/>
  <c r="AE6" i="10"/>
  <c r="AI9" i="10"/>
  <c r="AI6" i="10"/>
  <c r="AJ6" i="10"/>
  <c r="AI5" i="10"/>
  <c r="AI11" i="10"/>
  <c r="AJ11" i="10"/>
  <c r="T6" i="26"/>
  <c r="P6" i="3"/>
  <c r="O6" i="3"/>
  <c r="P14" i="10"/>
  <c r="P13" i="10"/>
  <c r="AE12" i="10"/>
  <c r="A19" i="10"/>
  <c r="K17" i="10"/>
  <c r="K14" i="10"/>
  <c r="BG12" i="10"/>
  <c r="P12" i="10"/>
  <c r="P15" i="10"/>
  <c r="T7" i="26"/>
  <c r="P7" i="3"/>
  <c r="C162" i="38"/>
  <c r="D155" i="38"/>
  <c r="E155" i="38"/>
  <c r="C160" i="38"/>
  <c r="D153" i="38"/>
  <c r="E153" i="38"/>
  <c r="I28" i="44"/>
  <c r="G28" i="44"/>
  <c r="AF98" i="26"/>
  <c r="BI98" i="12"/>
  <c r="I97" i="12"/>
  <c r="BE97" i="26"/>
  <c r="AJ97" i="12"/>
  <c r="AG97" i="26"/>
  <c r="BJ97" i="12"/>
  <c r="AK97" i="26"/>
  <c r="BK97" i="12"/>
  <c r="AL96" i="26"/>
  <c r="BL96" i="12"/>
  <c r="L96" i="12"/>
  <c r="H98" i="44"/>
  <c r="B99" i="44"/>
  <c r="AE98" i="26"/>
  <c r="AJ97" i="26"/>
  <c r="C98" i="44"/>
  <c r="BH24" i="26"/>
  <c r="AM24" i="12"/>
  <c r="BC24" i="26"/>
  <c r="AK47" i="1"/>
  <c r="AJ25" i="1"/>
  <c r="T19" i="10"/>
  <c r="BH18" i="10"/>
  <c r="P30" i="1"/>
  <c r="T30" i="1"/>
  <c r="BG19" i="10"/>
  <c r="P19" i="10"/>
  <c r="P21" i="10"/>
  <c r="P20" i="10"/>
  <c r="AE19" i="10"/>
  <c r="A26" i="10"/>
  <c r="K24" i="10"/>
  <c r="K21" i="10"/>
  <c r="P22" i="10"/>
  <c r="A8" i="12"/>
  <c r="AK26" i="1"/>
  <c r="AI12" i="10"/>
  <c r="AI14" i="10"/>
  <c r="AI13" i="10"/>
  <c r="AJ13" i="10"/>
  <c r="AI18" i="10"/>
  <c r="AJ18" i="10"/>
  <c r="AI15" i="10"/>
  <c r="CI6" i="26"/>
  <c r="BA6" i="12"/>
  <c r="CE6" i="26"/>
  <c r="AW6" i="12"/>
  <c r="CA6" i="26"/>
  <c r="AS6" i="12"/>
  <c r="BW6" i="26"/>
  <c r="AO6" i="12"/>
  <c r="CH6" i="26"/>
  <c r="AZ6" i="12"/>
  <c r="CD6" i="26"/>
  <c r="AV6" i="12"/>
  <c r="BZ6" i="26"/>
  <c r="AR6" i="12"/>
  <c r="BV7" i="26"/>
  <c r="CG6" i="26"/>
  <c r="AY6" i="12"/>
  <c r="CC6" i="26"/>
  <c r="AU6" i="12"/>
  <c r="BY6" i="26"/>
  <c r="AQ6" i="12"/>
  <c r="CJ6" i="26"/>
  <c r="BB6" i="12"/>
  <c r="CF6" i="26"/>
  <c r="AX6" i="12"/>
  <c r="CB6" i="26"/>
  <c r="AT6" i="12"/>
  <c r="BX6" i="26"/>
  <c r="AP6" i="12"/>
  <c r="AC6" i="26"/>
  <c r="AE7" i="10"/>
  <c r="AE13" i="10"/>
  <c r="AK98" i="1"/>
  <c r="A18" i="38"/>
  <c r="D162" i="38"/>
  <c r="E162" i="38"/>
  <c r="C169" i="38"/>
  <c r="D160" i="38"/>
  <c r="E160" i="38"/>
  <c r="C167" i="38"/>
  <c r="G29" i="44"/>
  <c r="I29" i="44"/>
  <c r="C99" i="44"/>
  <c r="AJ98" i="26"/>
  <c r="I98" i="12"/>
  <c r="BE98" i="26"/>
  <c r="AJ98" i="12"/>
  <c r="AF99" i="26"/>
  <c r="BI99" i="12"/>
  <c r="AG98" i="26"/>
  <c r="BJ98" i="12"/>
  <c r="L97" i="12"/>
  <c r="AL97" i="26"/>
  <c r="BL97" i="12"/>
  <c r="AK98" i="26"/>
  <c r="BK98" i="12"/>
  <c r="B100" i="44"/>
  <c r="H99" i="44"/>
  <c r="AE99" i="26"/>
  <c r="BC25" i="26"/>
  <c r="BH25" i="26"/>
  <c r="AM25" i="12"/>
  <c r="AE14" i="10"/>
  <c r="AE20" i="10"/>
  <c r="AI21" i="10"/>
  <c r="AI20" i="10"/>
  <c r="AJ20" i="10"/>
  <c r="AI19" i="10"/>
  <c r="P31" i="1"/>
  <c r="T31" i="1"/>
  <c r="AJ26" i="1"/>
  <c r="A25" i="38"/>
  <c r="CJ7" i="26"/>
  <c r="BB7" i="12"/>
  <c r="CF7" i="26"/>
  <c r="AX7" i="12"/>
  <c r="CB7" i="26"/>
  <c r="AT7" i="12"/>
  <c r="BX7" i="26"/>
  <c r="AP7" i="12"/>
  <c r="CI7" i="26"/>
  <c r="BA7" i="12"/>
  <c r="CE7" i="26"/>
  <c r="AW7" i="12"/>
  <c r="CA7" i="26"/>
  <c r="AS7" i="12"/>
  <c r="BW7" i="26"/>
  <c r="AO7" i="12"/>
  <c r="CH7" i="26"/>
  <c r="AZ7" i="12"/>
  <c r="CD7" i="26"/>
  <c r="AV7" i="12"/>
  <c r="BZ7" i="26"/>
  <c r="AR7" i="12"/>
  <c r="AC7" i="26"/>
  <c r="BV8" i="26"/>
  <c r="CG7" i="26"/>
  <c r="AY7" i="12"/>
  <c r="CC7" i="26"/>
  <c r="AU7" i="12"/>
  <c r="BY7" i="26"/>
  <c r="AQ7" i="12"/>
  <c r="A9" i="12"/>
  <c r="AI22" i="10"/>
  <c r="AK48" i="1"/>
  <c r="AK99" i="1"/>
  <c r="AI16" i="10"/>
  <c r="P28" i="10"/>
  <c r="P27" i="10"/>
  <c r="AE26" i="10"/>
  <c r="A33" i="10"/>
  <c r="K31" i="10"/>
  <c r="K28" i="10"/>
  <c r="BG26" i="10"/>
  <c r="P26" i="10"/>
  <c r="P29" i="10"/>
  <c r="T20" i="10"/>
  <c r="BH19" i="10"/>
  <c r="D169" i="38"/>
  <c r="E169" i="38"/>
  <c r="C176" i="38"/>
  <c r="C174" i="38"/>
  <c r="D167" i="38"/>
  <c r="E167" i="38"/>
  <c r="I30" i="44"/>
  <c r="G30" i="44"/>
  <c r="BE99" i="26"/>
  <c r="AJ99" i="12"/>
  <c r="AF100" i="26"/>
  <c r="BI100" i="12"/>
  <c r="I99" i="12"/>
  <c r="AG99" i="26"/>
  <c r="BJ99" i="12"/>
  <c r="B101" i="44"/>
  <c r="H100" i="44"/>
  <c r="AE100" i="26"/>
  <c r="L98" i="12"/>
  <c r="AK99" i="26"/>
  <c r="BK99" i="12"/>
  <c r="AL98" i="26"/>
  <c r="BL98" i="12"/>
  <c r="AI23" i="10"/>
  <c r="C100" i="44"/>
  <c r="AJ99" i="26"/>
  <c r="BC26" i="26"/>
  <c r="BH26" i="26"/>
  <c r="AM26" i="12"/>
  <c r="AK100" i="1"/>
  <c r="T21" i="10"/>
  <c r="BH20" i="10"/>
  <c r="T32" i="1"/>
  <c r="P32" i="1"/>
  <c r="AE21" i="10"/>
  <c r="BG33" i="10"/>
  <c r="P33" i="10"/>
  <c r="P35" i="10"/>
  <c r="P34" i="10"/>
  <c r="AE33" i="10"/>
  <c r="A40" i="10"/>
  <c r="K38" i="10"/>
  <c r="K35" i="10"/>
  <c r="P36" i="10"/>
  <c r="AE27" i="10"/>
  <c r="AK49" i="1"/>
  <c r="A10" i="12"/>
  <c r="BV9" i="26"/>
  <c r="CG8" i="26"/>
  <c r="AY8" i="12"/>
  <c r="CC8" i="26"/>
  <c r="AU8" i="12"/>
  <c r="BY8" i="26"/>
  <c r="AQ8" i="12"/>
  <c r="CJ8" i="26"/>
  <c r="BB8" i="12"/>
  <c r="CF8" i="26"/>
  <c r="AX8" i="12"/>
  <c r="CB8" i="26"/>
  <c r="AT8" i="12"/>
  <c r="BX8" i="26"/>
  <c r="AP8" i="12"/>
  <c r="CI8" i="26"/>
  <c r="BA8" i="12"/>
  <c r="CE8" i="26"/>
  <c r="AW8" i="12"/>
  <c r="CA8" i="26"/>
  <c r="AS8" i="12"/>
  <c r="BW8" i="26"/>
  <c r="AO8" i="12"/>
  <c r="CH8" i="26"/>
  <c r="AZ8" i="12"/>
  <c r="CD8" i="26"/>
  <c r="AV8" i="12"/>
  <c r="BZ8" i="26"/>
  <c r="AR8" i="12"/>
  <c r="AC8" i="26"/>
  <c r="AJ27" i="1"/>
  <c r="AI26" i="10"/>
  <c r="AI28" i="10"/>
  <c r="AI27" i="10"/>
  <c r="AJ27" i="10"/>
  <c r="AI29" i="10"/>
  <c r="A32" i="38"/>
  <c r="C183" i="38"/>
  <c r="D176" i="38"/>
  <c r="E176" i="38"/>
  <c r="D174" i="38"/>
  <c r="E174" i="38"/>
  <c r="C181" i="38"/>
  <c r="G31" i="44"/>
  <c r="I31" i="44"/>
  <c r="L99" i="12"/>
  <c r="AK100" i="26"/>
  <c r="BK100" i="12"/>
  <c r="AL99" i="26"/>
  <c r="BL99" i="12"/>
  <c r="AJ100" i="26"/>
  <c r="C101" i="44"/>
  <c r="I100" i="12"/>
  <c r="AF101" i="26"/>
  <c r="BI101" i="12"/>
  <c r="BE100" i="26"/>
  <c r="AJ100" i="12"/>
  <c r="AG100" i="26"/>
  <c r="BJ100" i="12"/>
  <c r="B102" i="44"/>
  <c r="H101" i="44"/>
  <c r="AE101" i="26"/>
  <c r="AI30" i="10"/>
  <c r="BC27" i="26"/>
  <c r="BH27" i="26"/>
  <c r="AM27" i="12"/>
  <c r="A11" i="12"/>
  <c r="AI35" i="10"/>
  <c r="AI34" i="10"/>
  <c r="AJ34" i="10"/>
  <c r="AI33" i="10"/>
  <c r="P33" i="1"/>
  <c r="J29" i="1"/>
  <c r="Y32" i="1"/>
  <c r="T22" i="10"/>
  <c r="BH21" i="10"/>
  <c r="AE34" i="10"/>
  <c r="AJ28" i="1"/>
  <c r="AI36" i="10"/>
  <c r="AK101" i="1"/>
  <c r="CH9" i="26"/>
  <c r="AZ9" i="12"/>
  <c r="CD9" i="26"/>
  <c r="AV9" i="12"/>
  <c r="BZ9" i="26"/>
  <c r="AR9" i="12"/>
  <c r="AC9" i="26"/>
  <c r="BV10" i="26"/>
  <c r="CG9" i="26"/>
  <c r="AY9" i="12"/>
  <c r="CC9" i="26"/>
  <c r="AU9" i="12"/>
  <c r="BY9" i="26"/>
  <c r="AQ9" i="12"/>
  <c r="CJ9" i="26"/>
  <c r="BB9" i="12"/>
  <c r="CF9" i="26"/>
  <c r="AX9" i="12"/>
  <c r="CB9" i="26"/>
  <c r="AT9" i="12"/>
  <c r="BX9" i="26"/>
  <c r="AP9" i="12"/>
  <c r="CI9" i="26"/>
  <c r="BA9" i="12"/>
  <c r="CE9" i="26"/>
  <c r="AW9" i="12"/>
  <c r="CA9" i="26"/>
  <c r="AS9" i="12"/>
  <c r="BW9" i="26"/>
  <c r="AO9" i="12"/>
  <c r="P42" i="10"/>
  <c r="P41" i="10"/>
  <c r="AE40" i="10"/>
  <c r="A47" i="10"/>
  <c r="K45" i="10"/>
  <c r="K42" i="10"/>
  <c r="BG40" i="10"/>
  <c r="P40" i="10"/>
  <c r="P43" i="10"/>
  <c r="A39" i="38"/>
  <c r="AK50" i="1"/>
  <c r="AE28" i="10"/>
  <c r="C190" i="38"/>
  <c r="D183" i="38"/>
  <c r="E183" i="38"/>
  <c r="C188" i="38"/>
  <c r="D181" i="38"/>
  <c r="E181" i="38"/>
  <c r="I32" i="44"/>
  <c r="G32" i="44"/>
  <c r="AF102" i="26"/>
  <c r="BI102" i="12"/>
  <c r="BE101" i="26"/>
  <c r="AJ101" i="12"/>
  <c r="I101" i="12"/>
  <c r="AG101" i="26"/>
  <c r="BJ101" i="12"/>
  <c r="H102" i="44"/>
  <c r="B103" i="44"/>
  <c r="AE102" i="26"/>
  <c r="AJ101" i="26"/>
  <c r="C102" i="44"/>
  <c r="AL100" i="26"/>
  <c r="BL100" i="12"/>
  <c r="AK101" i="26"/>
  <c r="BK101" i="12"/>
  <c r="L100" i="12"/>
  <c r="BC28" i="26"/>
  <c r="BH28" i="26"/>
  <c r="AM28" i="12"/>
  <c r="AE35" i="10"/>
  <c r="AI40" i="10"/>
  <c r="AI42" i="10"/>
  <c r="AI41" i="10"/>
  <c r="AJ41" i="10"/>
  <c r="AI43" i="10"/>
  <c r="AK102" i="1"/>
  <c r="AJ29" i="1"/>
  <c r="S9" i="26"/>
  <c r="AE41" i="10"/>
  <c r="BH22" i="10"/>
  <c r="T23" i="10"/>
  <c r="T34" i="1"/>
  <c r="P34" i="1"/>
  <c r="A46" i="38"/>
  <c r="CI10" i="26"/>
  <c r="BA10" i="12"/>
  <c r="CE10" i="26"/>
  <c r="AW10" i="12"/>
  <c r="CA10" i="26"/>
  <c r="AS10" i="12"/>
  <c r="BW10" i="26"/>
  <c r="AO10" i="12"/>
  <c r="CH10" i="26"/>
  <c r="AZ10" i="12"/>
  <c r="CD10" i="26"/>
  <c r="AV10" i="12"/>
  <c r="BZ10" i="26"/>
  <c r="AR10" i="12"/>
  <c r="AC10" i="26"/>
  <c r="BV11" i="26"/>
  <c r="CG10" i="26"/>
  <c r="AY10" i="12"/>
  <c r="CC10" i="26"/>
  <c r="AU10" i="12"/>
  <c r="BY10" i="26"/>
  <c r="AQ10" i="12"/>
  <c r="CJ10" i="26"/>
  <c r="BB10" i="12"/>
  <c r="CF10" i="26"/>
  <c r="AX10" i="12"/>
  <c r="CB10" i="26"/>
  <c r="AT10" i="12"/>
  <c r="BX10" i="26"/>
  <c r="AP10" i="12"/>
  <c r="AI37" i="10"/>
  <c r="AI33" i="1"/>
  <c r="Z27" i="1"/>
  <c r="X29" i="1"/>
  <c r="A12" i="12"/>
  <c r="AK51" i="1"/>
  <c r="BG47" i="10"/>
  <c r="P47" i="10"/>
  <c r="P49" i="10"/>
  <c r="P48" i="10"/>
  <c r="AE47" i="10"/>
  <c r="A54" i="10"/>
  <c r="K52" i="10"/>
  <c r="K49" i="10"/>
  <c r="P50" i="10"/>
  <c r="Y33" i="1"/>
  <c r="D190" i="38"/>
  <c r="E190" i="38"/>
  <c r="C197" i="38"/>
  <c r="D188" i="38"/>
  <c r="E188" i="38"/>
  <c r="C195" i="38"/>
  <c r="I33" i="44"/>
  <c r="G33" i="44"/>
  <c r="AI44" i="10"/>
  <c r="L101" i="12"/>
  <c r="AK102" i="26"/>
  <c r="BK102" i="12"/>
  <c r="AL101" i="26"/>
  <c r="BL101" i="12"/>
  <c r="AG102" i="26"/>
  <c r="BJ102" i="12"/>
  <c r="AF103" i="26"/>
  <c r="BI103" i="12"/>
  <c r="BE102" i="26"/>
  <c r="AJ102" i="12"/>
  <c r="I102" i="12"/>
  <c r="C103" i="44"/>
  <c r="AJ102" i="26"/>
  <c r="B104" i="44"/>
  <c r="H103" i="44"/>
  <c r="AE103" i="26"/>
  <c r="BC29" i="26"/>
  <c r="BH29" i="26"/>
  <c r="AM29" i="12"/>
  <c r="AE48" i="10"/>
  <c r="AI49" i="10"/>
  <c r="AI48" i="10"/>
  <c r="AJ48" i="10"/>
  <c r="AI47" i="10"/>
  <c r="A53" i="38"/>
  <c r="AI50" i="10"/>
  <c r="AK52" i="1"/>
  <c r="Z29" i="1"/>
  <c r="U9" i="26"/>
  <c r="P35" i="1"/>
  <c r="T35" i="1"/>
  <c r="CJ11" i="26"/>
  <c r="BB11" i="12"/>
  <c r="CF11" i="26"/>
  <c r="AX11" i="12"/>
  <c r="CB11" i="26"/>
  <c r="AT11" i="12"/>
  <c r="BX11" i="26"/>
  <c r="AP11" i="12"/>
  <c r="CI11" i="26"/>
  <c r="BA11" i="12"/>
  <c r="CE11" i="26"/>
  <c r="AW11" i="12"/>
  <c r="CA11" i="26"/>
  <c r="AS11" i="12"/>
  <c r="BW11" i="26"/>
  <c r="AO11" i="12"/>
  <c r="CH11" i="26"/>
  <c r="AZ11" i="12"/>
  <c r="CD11" i="26"/>
  <c r="AV11" i="12"/>
  <c r="BZ11" i="26"/>
  <c r="AR11" i="12"/>
  <c r="AC11" i="26"/>
  <c r="BV12" i="26"/>
  <c r="CG11" i="26"/>
  <c r="AY11" i="12"/>
  <c r="CC11" i="26"/>
  <c r="AU11" i="12"/>
  <c r="BY11" i="26"/>
  <c r="AQ11" i="12"/>
  <c r="AE42" i="10"/>
  <c r="AK103" i="1"/>
  <c r="AA9" i="26"/>
  <c r="Q9" i="26"/>
  <c r="P56" i="10"/>
  <c r="P55" i="10"/>
  <c r="AE54" i="10"/>
  <c r="A61" i="10"/>
  <c r="K59" i="10"/>
  <c r="K56" i="10"/>
  <c r="BG54" i="10"/>
  <c r="P54" i="10"/>
  <c r="P57" i="10"/>
  <c r="A13" i="12"/>
  <c r="BH23" i="10"/>
  <c r="T24" i="10"/>
  <c r="T9" i="26"/>
  <c r="P9" i="3"/>
  <c r="AJ30" i="1"/>
  <c r="D197" i="38"/>
  <c r="E197" i="38"/>
  <c r="C204" i="38"/>
  <c r="C202" i="38"/>
  <c r="D195" i="38"/>
  <c r="E195" i="38"/>
  <c r="G34" i="44"/>
  <c r="I34" i="44"/>
  <c r="I103" i="12"/>
  <c r="BE103" i="26"/>
  <c r="AJ103" i="12"/>
  <c r="AF104" i="26"/>
  <c r="BI104" i="12"/>
  <c r="AG103" i="26"/>
  <c r="BJ103" i="12"/>
  <c r="B105" i="44"/>
  <c r="H104" i="44"/>
  <c r="AE104" i="26"/>
  <c r="L102" i="12"/>
  <c r="AK103" i="26"/>
  <c r="BK103" i="12"/>
  <c r="AL102" i="26"/>
  <c r="BL102" i="12"/>
  <c r="C104" i="44"/>
  <c r="AJ103" i="26"/>
  <c r="AI51" i="10"/>
  <c r="BC30" i="26"/>
  <c r="BH30" i="26"/>
  <c r="AM30" i="12"/>
  <c r="AI54" i="10"/>
  <c r="AI56" i="10"/>
  <c r="AI55" i="10"/>
  <c r="AJ55" i="10"/>
  <c r="BH24" i="10"/>
  <c r="T25" i="10"/>
  <c r="P36" i="1"/>
  <c r="T36" i="1"/>
  <c r="X9" i="26"/>
  <c r="AK53" i="1"/>
  <c r="AE49" i="10"/>
  <c r="A14" i="12"/>
  <c r="AI57" i="10"/>
  <c r="AJ31" i="1"/>
  <c r="BG61" i="10"/>
  <c r="P61" i="10"/>
  <c r="P63" i="10"/>
  <c r="P62" i="10"/>
  <c r="AE61" i="10"/>
  <c r="A68" i="10"/>
  <c r="K66" i="10"/>
  <c r="K63" i="10"/>
  <c r="P64" i="10"/>
  <c r="AE55" i="10"/>
  <c r="BV13" i="26"/>
  <c r="CG12" i="26"/>
  <c r="AY12" i="12"/>
  <c r="CC12" i="26"/>
  <c r="AU12" i="12"/>
  <c r="BY12" i="26"/>
  <c r="AQ12" i="12"/>
  <c r="CJ12" i="26"/>
  <c r="BB12" i="12"/>
  <c r="CF12" i="26"/>
  <c r="AX12" i="12"/>
  <c r="CB12" i="26"/>
  <c r="AT12" i="12"/>
  <c r="BX12" i="26"/>
  <c r="AP12" i="12"/>
  <c r="CI12" i="26"/>
  <c r="BA12" i="12"/>
  <c r="CE12" i="26"/>
  <c r="AW12" i="12"/>
  <c r="CA12" i="26"/>
  <c r="AS12" i="12"/>
  <c r="BW12" i="26"/>
  <c r="AO12" i="12"/>
  <c r="CH12" i="26"/>
  <c r="AZ12" i="12"/>
  <c r="CD12" i="26"/>
  <c r="AV12" i="12"/>
  <c r="BZ12" i="26"/>
  <c r="AR12" i="12"/>
  <c r="AC12" i="26"/>
  <c r="A60" i="38"/>
  <c r="C211" i="38"/>
  <c r="D204" i="38"/>
  <c r="E204" i="38"/>
  <c r="D202" i="38"/>
  <c r="E202" i="38"/>
  <c r="C209" i="38"/>
  <c r="G35" i="44"/>
  <c r="I35" i="44"/>
  <c r="AK104" i="26"/>
  <c r="BK104" i="12"/>
  <c r="AL103" i="26"/>
  <c r="BL103" i="12"/>
  <c r="L103" i="12"/>
  <c r="B106" i="44"/>
  <c r="H105" i="44"/>
  <c r="AE105" i="26"/>
  <c r="AJ104" i="26"/>
  <c r="C105" i="44"/>
  <c r="I104" i="12"/>
  <c r="AF105" i="26"/>
  <c r="BI105" i="12"/>
  <c r="BE104" i="26"/>
  <c r="AJ104" i="12"/>
  <c r="AG104" i="26"/>
  <c r="BJ104" i="12"/>
  <c r="BC31" i="26"/>
  <c r="BH31" i="26"/>
  <c r="AM31" i="12"/>
  <c r="AK54" i="1"/>
  <c r="P70" i="10"/>
  <c r="P69" i="10"/>
  <c r="AE68" i="10"/>
  <c r="A75" i="10"/>
  <c r="K73" i="10"/>
  <c r="K70" i="10"/>
  <c r="BG68" i="10"/>
  <c r="P68" i="10"/>
  <c r="P71" i="10"/>
  <c r="A15" i="12"/>
  <c r="AE62" i="10"/>
  <c r="AI63" i="10"/>
  <c r="AI62" i="10"/>
  <c r="AJ62" i="10"/>
  <c r="AI61" i="10"/>
  <c r="T26" i="10"/>
  <c r="BH25" i="10"/>
  <c r="AH24" i="10"/>
  <c r="A67" i="38"/>
  <c r="CH13" i="26"/>
  <c r="AZ13" i="12"/>
  <c r="CD13" i="26"/>
  <c r="AV13" i="12"/>
  <c r="BZ13" i="26"/>
  <c r="AR13" i="12"/>
  <c r="AC13" i="26"/>
  <c r="BV14" i="26"/>
  <c r="CG13" i="26"/>
  <c r="AY13" i="12"/>
  <c r="CC13" i="26"/>
  <c r="AU13" i="12"/>
  <c r="BY13" i="26"/>
  <c r="AQ13" i="12"/>
  <c r="CJ13" i="26"/>
  <c r="BB13" i="12"/>
  <c r="CF13" i="26"/>
  <c r="AX13" i="12"/>
  <c r="CB13" i="26"/>
  <c r="AT13" i="12"/>
  <c r="BX13" i="26"/>
  <c r="AP13" i="12"/>
  <c r="CI13" i="26"/>
  <c r="BA13" i="12"/>
  <c r="CE13" i="26"/>
  <c r="AW13" i="12"/>
  <c r="CA13" i="26"/>
  <c r="AS13" i="12"/>
  <c r="BW13" i="26"/>
  <c r="AO13" i="12"/>
  <c r="AE56" i="10"/>
  <c r="AI64" i="10"/>
  <c r="AJ32" i="1"/>
  <c r="AI58" i="10"/>
  <c r="P37" i="1"/>
  <c r="T37" i="1"/>
  <c r="C218" i="38"/>
  <c r="D211" i="38"/>
  <c r="E211" i="38"/>
  <c r="C216" i="38"/>
  <c r="D209" i="38"/>
  <c r="E209" i="38"/>
  <c r="G36" i="44"/>
  <c r="I36" i="44"/>
  <c r="H106" i="44"/>
  <c r="B107" i="44"/>
  <c r="AE106" i="26"/>
  <c r="AJ105" i="26"/>
  <c r="C106" i="44"/>
  <c r="AF106" i="26"/>
  <c r="BI106" i="12"/>
  <c r="I105" i="12"/>
  <c r="AG105" i="26"/>
  <c r="BJ105" i="12"/>
  <c r="BE105" i="26"/>
  <c r="AJ105" i="12"/>
  <c r="L104" i="12"/>
  <c r="AL104" i="26"/>
  <c r="BL104" i="12"/>
  <c r="AK105" i="26"/>
  <c r="BK105" i="12"/>
  <c r="BH32" i="26"/>
  <c r="AM32" i="12"/>
  <c r="BC32" i="26"/>
  <c r="CI14" i="26"/>
  <c r="BA14" i="12"/>
  <c r="CE14" i="26"/>
  <c r="AW14" i="12"/>
  <c r="CA14" i="26"/>
  <c r="AS14" i="12"/>
  <c r="BW14" i="26"/>
  <c r="AO14" i="12"/>
  <c r="CH14" i="26"/>
  <c r="AZ14" i="12"/>
  <c r="CD14" i="26"/>
  <c r="AV14" i="12"/>
  <c r="BZ14" i="26"/>
  <c r="AR14" i="12"/>
  <c r="AC14" i="26"/>
  <c r="BV15" i="26"/>
  <c r="CG14" i="26"/>
  <c r="AY14" i="12"/>
  <c r="CC14" i="26"/>
  <c r="AU14" i="12"/>
  <c r="BY14" i="26"/>
  <c r="AQ14" i="12"/>
  <c r="CJ14" i="26"/>
  <c r="BB14" i="12"/>
  <c r="CF14" i="26"/>
  <c r="AX14" i="12"/>
  <c r="CB14" i="26"/>
  <c r="AT14" i="12"/>
  <c r="BX14" i="26"/>
  <c r="AP14" i="12"/>
  <c r="AE63" i="10"/>
  <c r="AI68" i="10"/>
  <c r="AI70" i="10"/>
  <c r="AI69" i="10"/>
  <c r="AJ69" i="10"/>
  <c r="AI71" i="10"/>
  <c r="AH25" i="10"/>
  <c r="AI25" i="10"/>
  <c r="P38" i="1"/>
  <c r="T38" i="1"/>
  <c r="AJ33" i="1"/>
  <c r="BH26" i="10"/>
  <c r="T27" i="10"/>
  <c r="A16" i="12"/>
  <c r="AK55" i="1"/>
  <c r="AE69" i="10"/>
  <c r="AI65" i="10"/>
  <c r="A74" i="38"/>
  <c r="BG75" i="10"/>
  <c r="P75" i="10"/>
  <c r="P77" i="10"/>
  <c r="P76" i="10"/>
  <c r="AE75" i="10"/>
  <c r="A82" i="10"/>
  <c r="K80" i="10"/>
  <c r="K77" i="10"/>
  <c r="P78" i="10"/>
  <c r="D218" i="38"/>
  <c r="E218" i="38"/>
  <c r="C225" i="38"/>
  <c r="D216" i="38"/>
  <c r="E216" i="38"/>
  <c r="C223" i="38"/>
  <c r="I37" i="44"/>
  <c r="G37" i="44"/>
  <c r="AI72" i="10"/>
  <c r="AF107" i="26"/>
  <c r="BI107" i="12"/>
  <c r="BE106" i="26"/>
  <c r="AJ106" i="12"/>
  <c r="I106" i="12"/>
  <c r="AG106" i="26"/>
  <c r="BJ106" i="12"/>
  <c r="L105" i="12"/>
  <c r="AK106" i="26"/>
  <c r="BK106" i="12"/>
  <c r="AL105" i="26"/>
  <c r="BL105" i="12"/>
  <c r="B108" i="44"/>
  <c r="H107" i="44"/>
  <c r="AE107" i="26"/>
  <c r="C107" i="44"/>
  <c r="AJ106" i="26"/>
  <c r="BC33" i="26"/>
  <c r="BH33" i="26"/>
  <c r="AM33" i="12"/>
  <c r="AE76" i="10"/>
  <c r="A17" i="12"/>
  <c r="AI78" i="10"/>
  <c r="AE70" i="10"/>
  <c r="AK56" i="1"/>
  <c r="AI77" i="10"/>
  <c r="AI76" i="10"/>
  <c r="AJ76" i="10"/>
  <c r="AI75" i="10"/>
  <c r="A81" i="38"/>
  <c r="P39" i="1"/>
  <c r="T39" i="1"/>
  <c r="CJ15" i="26"/>
  <c r="BB15" i="12"/>
  <c r="CF15" i="26"/>
  <c r="AX15" i="12"/>
  <c r="CB15" i="26"/>
  <c r="AT15" i="12"/>
  <c r="BX15" i="26"/>
  <c r="AP15" i="12"/>
  <c r="CI15" i="26"/>
  <c r="BA15" i="12"/>
  <c r="CE15" i="26"/>
  <c r="AW15" i="12"/>
  <c r="CA15" i="26"/>
  <c r="AS15" i="12"/>
  <c r="BW15" i="26"/>
  <c r="AO15" i="12"/>
  <c r="CH15" i="26"/>
  <c r="AZ15" i="12"/>
  <c r="CD15" i="26"/>
  <c r="AV15" i="12"/>
  <c r="BZ15" i="26"/>
  <c r="AR15" i="12"/>
  <c r="AC15" i="26"/>
  <c r="BV16" i="26"/>
  <c r="CG15" i="26"/>
  <c r="AY15" i="12"/>
  <c r="CC15" i="26"/>
  <c r="AU15" i="12"/>
  <c r="BY15" i="26"/>
  <c r="AQ15" i="12"/>
  <c r="P84" i="10"/>
  <c r="P83" i="10"/>
  <c r="AE82" i="10"/>
  <c r="A89" i="10"/>
  <c r="K87" i="10"/>
  <c r="K84" i="10"/>
  <c r="BG82" i="10"/>
  <c r="P82" i="10"/>
  <c r="P85" i="10"/>
  <c r="BH27" i="10"/>
  <c r="T28" i="10"/>
  <c r="AJ34" i="1"/>
  <c r="AJ25" i="10"/>
  <c r="D225" i="38"/>
  <c r="E225" i="38"/>
  <c r="C232" i="38"/>
  <c r="C230" i="38"/>
  <c r="D223" i="38"/>
  <c r="E223" i="38"/>
  <c r="I38" i="44"/>
  <c r="G38" i="44"/>
  <c r="AF108" i="26"/>
  <c r="BI108" i="12"/>
  <c r="I107" i="12"/>
  <c r="BE107" i="26"/>
  <c r="AJ107" i="12"/>
  <c r="AG107" i="26"/>
  <c r="BJ107" i="12"/>
  <c r="L106" i="12"/>
  <c r="AL106" i="26"/>
  <c r="BL106" i="12"/>
  <c r="AK107" i="26"/>
  <c r="BK107" i="12"/>
  <c r="H108" i="44"/>
  <c r="AE108" i="26"/>
  <c r="C108" i="44"/>
  <c r="AJ107" i="26"/>
  <c r="BC34" i="26"/>
  <c r="BH34" i="26"/>
  <c r="AM34" i="12"/>
  <c r="AE83" i="10"/>
  <c r="AJ35" i="1"/>
  <c r="AI82" i="10"/>
  <c r="AI84" i="10"/>
  <c r="AI83" i="10"/>
  <c r="AJ83" i="10"/>
  <c r="AI85" i="10"/>
  <c r="J36" i="1"/>
  <c r="P40" i="1"/>
  <c r="Y39" i="1"/>
  <c r="T29" i="10"/>
  <c r="BH28" i="10"/>
  <c r="AK57" i="1"/>
  <c r="BV17" i="26"/>
  <c r="CG16" i="26"/>
  <c r="AY16" i="12"/>
  <c r="CC16" i="26"/>
  <c r="AU16" i="12"/>
  <c r="BY16" i="26"/>
  <c r="AQ16" i="12"/>
  <c r="CJ16" i="26"/>
  <c r="BB16" i="12"/>
  <c r="CF16" i="26"/>
  <c r="AX16" i="12"/>
  <c r="CB16" i="26"/>
  <c r="AT16" i="12"/>
  <c r="BX16" i="26"/>
  <c r="AP16" i="12"/>
  <c r="CI16" i="26"/>
  <c r="BA16" i="12"/>
  <c r="CE16" i="26"/>
  <c r="AW16" i="12"/>
  <c r="CA16" i="26"/>
  <c r="AS16" i="12"/>
  <c r="BW16" i="26"/>
  <c r="AO16" i="12"/>
  <c r="CH16" i="26"/>
  <c r="AZ16" i="12"/>
  <c r="CD16" i="26"/>
  <c r="AV16" i="12"/>
  <c r="BZ16" i="26"/>
  <c r="AR16" i="12"/>
  <c r="AC16" i="26"/>
  <c r="AI79" i="10"/>
  <c r="AE77" i="10"/>
  <c r="A88" i="38"/>
  <c r="BG89" i="10"/>
  <c r="P89" i="10"/>
  <c r="P91" i="10"/>
  <c r="P90" i="10"/>
  <c r="AE89" i="10"/>
  <c r="A96" i="10"/>
  <c r="K94" i="10"/>
  <c r="K91" i="10"/>
  <c r="P92" i="10"/>
  <c r="A18" i="12"/>
  <c r="C239" i="38"/>
  <c r="D232" i="38"/>
  <c r="E232" i="38"/>
  <c r="D230" i="38"/>
  <c r="E230" i="38"/>
  <c r="C237" i="38"/>
  <c r="I39" i="44"/>
  <c r="G39" i="44"/>
  <c r="AL107" i="26"/>
  <c r="BL107" i="12"/>
  <c r="AK108" i="26"/>
  <c r="BK108" i="12"/>
  <c r="L107" i="12"/>
  <c r="AJ108" i="26"/>
  <c r="BE108" i="26"/>
  <c r="AJ108" i="12"/>
  <c r="I108" i="12"/>
  <c r="AG108" i="26"/>
  <c r="BJ108" i="12"/>
  <c r="AI86" i="10"/>
  <c r="BH35" i="26"/>
  <c r="AM35" i="12"/>
  <c r="BC35" i="26"/>
  <c r="S10" i="26"/>
  <c r="A19" i="12"/>
  <c r="AI92" i="10"/>
  <c r="CH17" i="26"/>
  <c r="AZ17" i="12"/>
  <c r="CD17" i="26"/>
  <c r="AV17" i="12"/>
  <c r="BZ17" i="26"/>
  <c r="AR17" i="12"/>
  <c r="AC17" i="26"/>
  <c r="BV18" i="26"/>
  <c r="CG17" i="26"/>
  <c r="AY17" i="12"/>
  <c r="CC17" i="26"/>
  <c r="AU17" i="12"/>
  <c r="BY17" i="26"/>
  <c r="AQ17" i="12"/>
  <c r="CJ17" i="26"/>
  <c r="BB17" i="12"/>
  <c r="CF17" i="26"/>
  <c r="AX17" i="12"/>
  <c r="CB17" i="26"/>
  <c r="AT17" i="12"/>
  <c r="BX17" i="26"/>
  <c r="AP17" i="12"/>
  <c r="CI17" i="26"/>
  <c r="BA17" i="12"/>
  <c r="CE17" i="26"/>
  <c r="AW17" i="12"/>
  <c r="CA17" i="26"/>
  <c r="AS17" i="12"/>
  <c r="BW17" i="26"/>
  <c r="AO17" i="12"/>
  <c r="A95" i="38"/>
  <c r="AI40" i="1"/>
  <c r="Z34" i="1"/>
  <c r="X36" i="1"/>
  <c r="P98" i="10"/>
  <c r="P97" i="10"/>
  <c r="AE96" i="10"/>
  <c r="A103" i="10"/>
  <c r="K101" i="10"/>
  <c r="K98" i="10"/>
  <c r="BG96" i="10"/>
  <c r="P96" i="10"/>
  <c r="P99" i="10"/>
  <c r="AE90" i="10"/>
  <c r="AI91" i="10"/>
  <c r="AI90" i="10"/>
  <c r="AJ90" i="10"/>
  <c r="AI89" i="10"/>
  <c r="AK58" i="1"/>
  <c r="T30" i="10"/>
  <c r="BH29" i="10"/>
  <c r="Y40" i="1"/>
  <c r="P41" i="1"/>
  <c r="T41" i="1"/>
  <c r="AJ36" i="1"/>
  <c r="AE84" i="10"/>
  <c r="C246" i="38"/>
  <c r="D239" i="38"/>
  <c r="E239" i="38"/>
  <c r="C244" i="38"/>
  <c r="D237" i="38"/>
  <c r="E237" i="38"/>
  <c r="G40" i="44"/>
  <c r="I40" i="44"/>
  <c r="AL108" i="26"/>
  <c r="BL108" i="12"/>
  <c r="L108" i="12"/>
  <c r="BC36" i="26"/>
  <c r="BH36" i="26"/>
  <c r="AM36" i="12"/>
  <c r="AE97" i="10"/>
  <c r="AI96" i="10"/>
  <c r="AI98" i="10"/>
  <c r="AI97" i="10"/>
  <c r="AJ97" i="10"/>
  <c r="AI99" i="10"/>
  <c r="Z36" i="1"/>
  <c r="U10" i="26"/>
  <c r="P42" i="1"/>
  <c r="CI18" i="26"/>
  <c r="BA18" i="12"/>
  <c r="CE18" i="26"/>
  <c r="AW18" i="12"/>
  <c r="CA18" i="26"/>
  <c r="AS18" i="12"/>
  <c r="BW18" i="26"/>
  <c r="AO18" i="12"/>
  <c r="CH18" i="26"/>
  <c r="AZ18" i="12"/>
  <c r="CD18" i="26"/>
  <c r="AV18" i="12"/>
  <c r="BZ18" i="26"/>
  <c r="AR18" i="12"/>
  <c r="AC18" i="26"/>
  <c r="BV19" i="26"/>
  <c r="CG18" i="26"/>
  <c r="AY18" i="12"/>
  <c r="CC18" i="26"/>
  <c r="AU18" i="12"/>
  <c r="BY18" i="26"/>
  <c r="AQ18" i="12"/>
  <c r="CJ18" i="26"/>
  <c r="BB18" i="12"/>
  <c r="CF18" i="26"/>
  <c r="AX18" i="12"/>
  <c r="CB18" i="26"/>
  <c r="AT18" i="12"/>
  <c r="BX18" i="26"/>
  <c r="AP18" i="12"/>
  <c r="A20" i="12"/>
  <c r="T42" i="1"/>
  <c r="T31" i="10"/>
  <c r="BH30" i="10"/>
  <c r="AE91" i="10"/>
  <c r="AJ37" i="1"/>
  <c r="AK59" i="1"/>
  <c r="BG103" i="10"/>
  <c r="P103" i="10"/>
  <c r="P105" i="10"/>
  <c r="P104" i="10"/>
  <c r="AE103" i="10"/>
  <c r="A110" i="10"/>
  <c r="K108" i="10"/>
  <c r="K105" i="10"/>
  <c r="P106" i="10"/>
  <c r="AA10" i="26"/>
  <c r="Q10" i="26"/>
  <c r="A102" i="38"/>
  <c r="AI93" i="10"/>
  <c r="T10" i="26"/>
  <c r="P10" i="3"/>
  <c r="D246" i="38"/>
  <c r="E246" i="38"/>
  <c r="C253" i="38"/>
  <c r="D244" i="38"/>
  <c r="E244" i="38"/>
  <c r="C251" i="38"/>
  <c r="I41" i="44"/>
  <c r="G41" i="44"/>
  <c r="AI100" i="10"/>
  <c r="BC37" i="26"/>
  <c r="BH37" i="26"/>
  <c r="AM37" i="12"/>
  <c r="AE104" i="10"/>
  <c r="AI106" i="10"/>
  <c r="AK60" i="1"/>
  <c r="AK111" i="1"/>
  <c r="CJ19" i="26"/>
  <c r="BB19" i="12"/>
  <c r="CF19" i="26"/>
  <c r="AX19" i="12"/>
  <c r="CB19" i="26"/>
  <c r="AT19" i="12"/>
  <c r="BX19" i="26"/>
  <c r="AP19" i="12"/>
  <c r="CI19" i="26"/>
  <c r="BA19" i="12"/>
  <c r="CE19" i="26"/>
  <c r="AW19" i="12"/>
  <c r="CA19" i="26"/>
  <c r="AS19" i="12"/>
  <c r="BW19" i="26"/>
  <c r="AO19" i="12"/>
  <c r="CH19" i="26"/>
  <c r="AZ19" i="12"/>
  <c r="CD19" i="26"/>
  <c r="AV19" i="12"/>
  <c r="BZ19" i="26"/>
  <c r="AR19" i="12"/>
  <c r="AC19" i="26"/>
  <c r="BV20" i="26"/>
  <c r="CG19" i="26"/>
  <c r="AY19" i="12"/>
  <c r="CC19" i="26"/>
  <c r="AU19" i="12"/>
  <c r="BY19" i="26"/>
  <c r="AQ19" i="12"/>
  <c r="T43" i="1"/>
  <c r="P43" i="1"/>
  <c r="A109" i="38"/>
  <c r="AE98" i="10"/>
  <c r="AI105" i="10"/>
  <c r="AI104" i="10"/>
  <c r="AJ104" i="10"/>
  <c r="AI103" i="10"/>
  <c r="AJ38" i="1"/>
  <c r="T32" i="10"/>
  <c r="BH31" i="10"/>
  <c r="P112" i="10"/>
  <c r="P111" i="10"/>
  <c r="AE110" i="10"/>
  <c r="A117" i="10"/>
  <c r="K115" i="10"/>
  <c r="K112" i="10"/>
  <c r="BG110" i="10"/>
  <c r="P110" i="10"/>
  <c r="P113" i="10"/>
  <c r="A21" i="12"/>
  <c r="X10" i="26"/>
  <c r="D253" i="38"/>
  <c r="E253" i="38"/>
  <c r="C260" i="38"/>
  <c r="C258" i="38"/>
  <c r="D251" i="38"/>
  <c r="E251" i="38"/>
  <c r="I42" i="44"/>
  <c r="G42" i="44"/>
  <c r="BC38" i="26"/>
  <c r="BH38" i="26"/>
  <c r="AM38" i="12"/>
  <c r="T33" i="10"/>
  <c r="BH32" i="10"/>
  <c r="AE105" i="10"/>
  <c r="AI110" i="10"/>
  <c r="AI112" i="10"/>
  <c r="AI111" i="10"/>
  <c r="AJ111" i="10"/>
  <c r="A116" i="38"/>
  <c r="AK112" i="1"/>
  <c r="A22" i="12"/>
  <c r="P44" i="1"/>
  <c r="T44" i="1"/>
  <c r="AI113" i="10"/>
  <c r="BG117" i="10"/>
  <c r="P117" i="10"/>
  <c r="P119" i="10"/>
  <c r="P118" i="10"/>
  <c r="AE117" i="10"/>
  <c r="A124" i="10"/>
  <c r="K122" i="10"/>
  <c r="K119" i="10"/>
  <c r="P120" i="10"/>
  <c r="AK61" i="1"/>
  <c r="AI107" i="10"/>
  <c r="AE111" i="10"/>
  <c r="AJ39" i="1"/>
  <c r="BV21" i="26"/>
  <c r="CG20" i="26"/>
  <c r="AY20" i="12"/>
  <c r="CC20" i="26"/>
  <c r="AU20" i="12"/>
  <c r="BY20" i="26"/>
  <c r="AQ20" i="12"/>
  <c r="CJ20" i="26"/>
  <c r="BB20" i="12"/>
  <c r="CF20" i="26"/>
  <c r="AX20" i="12"/>
  <c r="CB20" i="26"/>
  <c r="AT20" i="12"/>
  <c r="BX20" i="26"/>
  <c r="AP20" i="12"/>
  <c r="CI20" i="26"/>
  <c r="BA20" i="12"/>
  <c r="CE20" i="26"/>
  <c r="AW20" i="12"/>
  <c r="CA20" i="26"/>
  <c r="AS20" i="12"/>
  <c r="BW20" i="26"/>
  <c r="AO20" i="12"/>
  <c r="CH20" i="26"/>
  <c r="AZ20" i="12"/>
  <c r="CD20" i="26"/>
  <c r="AV20" i="12"/>
  <c r="BZ20" i="26"/>
  <c r="AR20" i="12"/>
  <c r="AC20" i="26"/>
  <c r="AH31" i="10"/>
  <c r="C267" i="38"/>
  <c r="D260" i="38"/>
  <c r="E260" i="38"/>
  <c r="D258" i="38"/>
  <c r="E258" i="38"/>
  <c r="C265" i="38"/>
  <c r="G43" i="44"/>
  <c r="I43" i="44"/>
  <c r="BH39" i="26"/>
  <c r="AM39" i="12"/>
  <c r="BC39" i="26"/>
  <c r="AI119" i="10"/>
  <c r="AI118" i="10"/>
  <c r="AJ118" i="10"/>
  <c r="AI117" i="10"/>
  <c r="AI120" i="10"/>
  <c r="P45" i="1"/>
  <c r="T45" i="1"/>
  <c r="A23" i="12"/>
  <c r="A123" i="38"/>
  <c r="CH21" i="26"/>
  <c r="AZ21" i="12"/>
  <c r="CD21" i="26"/>
  <c r="AV21" i="12"/>
  <c r="BZ21" i="26"/>
  <c r="AR21" i="12"/>
  <c r="AC21" i="26"/>
  <c r="BV22" i="26"/>
  <c r="CG21" i="26"/>
  <c r="AY21" i="12"/>
  <c r="CC21" i="26"/>
  <c r="AU21" i="12"/>
  <c r="BY21" i="26"/>
  <c r="AQ21" i="12"/>
  <c r="CJ21" i="26"/>
  <c r="BB21" i="12"/>
  <c r="CF21" i="26"/>
  <c r="AX21" i="12"/>
  <c r="CB21" i="26"/>
  <c r="AT21" i="12"/>
  <c r="BX21" i="26"/>
  <c r="AP21" i="12"/>
  <c r="CI21" i="26"/>
  <c r="BA21" i="12"/>
  <c r="CE21" i="26"/>
  <c r="AW21" i="12"/>
  <c r="CA21" i="26"/>
  <c r="AS21" i="12"/>
  <c r="BW21" i="26"/>
  <c r="AO21" i="12"/>
  <c r="AE112" i="10"/>
  <c r="AK62" i="1"/>
  <c r="AI114" i="10"/>
  <c r="AK113" i="1"/>
  <c r="AE118" i="10"/>
  <c r="AH32" i="10"/>
  <c r="AI32" i="10"/>
  <c r="AJ40" i="1"/>
  <c r="P126" i="10"/>
  <c r="P125" i="10"/>
  <c r="AE124" i="10"/>
  <c r="A131" i="10"/>
  <c r="K129" i="10"/>
  <c r="K126" i="10"/>
  <c r="BG124" i="10"/>
  <c r="P124" i="10"/>
  <c r="P127" i="10"/>
  <c r="T34" i="10"/>
  <c r="BH33" i="10"/>
  <c r="C274" i="38"/>
  <c r="D267" i="38"/>
  <c r="E267" i="38"/>
  <c r="C272" i="38"/>
  <c r="D265" i="38"/>
  <c r="E265" i="38"/>
  <c r="I44" i="44"/>
  <c r="G44" i="44"/>
  <c r="BH40" i="26"/>
  <c r="AM40" i="12"/>
  <c r="BC40" i="26"/>
  <c r="BG131" i="10"/>
  <c r="P131" i="10"/>
  <c r="P133" i="10"/>
  <c r="P132" i="10"/>
  <c r="AE131" i="10"/>
  <c r="A138" i="10"/>
  <c r="K136" i="10"/>
  <c r="K133" i="10"/>
  <c r="P134" i="10"/>
  <c r="AJ41" i="1"/>
  <c r="AE119" i="10"/>
  <c r="A130" i="38"/>
  <c r="AE125" i="10"/>
  <c r="AJ32" i="10"/>
  <c r="A24" i="12"/>
  <c r="P46" i="1"/>
  <c r="T46" i="1"/>
  <c r="AI121" i="10"/>
  <c r="T35" i="10"/>
  <c r="BH34" i="10"/>
  <c r="AI124" i="10"/>
  <c r="AI126" i="10"/>
  <c r="AI125" i="10"/>
  <c r="AJ125" i="10"/>
  <c r="AI127" i="10"/>
  <c r="CI22" i="26"/>
  <c r="BA22" i="12"/>
  <c r="CE22" i="26"/>
  <c r="AW22" i="12"/>
  <c r="CA22" i="26"/>
  <c r="AS22" i="12"/>
  <c r="BW22" i="26"/>
  <c r="AO22" i="12"/>
  <c r="CH22" i="26"/>
  <c r="AZ22" i="12"/>
  <c r="CD22" i="26"/>
  <c r="AV22" i="12"/>
  <c r="BZ22" i="26"/>
  <c r="AR22" i="12"/>
  <c r="AC22" i="26"/>
  <c r="BV23" i="26"/>
  <c r="CG22" i="26"/>
  <c r="AY22" i="12"/>
  <c r="CC22" i="26"/>
  <c r="AU22" i="12"/>
  <c r="BY22" i="26"/>
  <c r="AQ22" i="12"/>
  <c r="CJ22" i="26"/>
  <c r="BB22" i="12"/>
  <c r="CF22" i="26"/>
  <c r="AX22" i="12"/>
  <c r="CB22" i="26"/>
  <c r="AT22" i="12"/>
  <c r="BX22" i="26"/>
  <c r="AP22" i="12"/>
  <c r="AK114" i="1"/>
  <c r="AK63" i="1"/>
  <c r="D274" i="38"/>
  <c r="E274" i="38"/>
  <c r="C281" i="38"/>
  <c r="D272" i="38"/>
  <c r="E272" i="38"/>
  <c r="C279" i="38"/>
  <c r="I45" i="44"/>
  <c r="G45" i="44"/>
  <c r="BC41" i="26"/>
  <c r="BH41" i="26"/>
  <c r="AM41" i="12"/>
  <c r="AE126" i="10"/>
  <c r="J43" i="1"/>
  <c r="P47" i="1"/>
  <c r="Y46" i="1"/>
  <c r="P140" i="10"/>
  <c r="P139" i="10"/>
  <c r="AE138" i="10"/>
  <c r="A145" i="10"/>
  <c r="K143" i="10"/>
  <c r="K140" i="10"/>
  <c r="BG138" i="10"/>
  <c r="P138" i="10"/>
  <c r="P141" i="10"/>
  <c r="AK64" i="1"/>
  <c r="AE132" i="10"/>
  <c r="AI133" i="10"/>
  <c r="AI132" i="10"/>
  <c r="AJ132" i="10"/>
  <c r="AI131" i="10"/>
  <c r="CJ23" i="26"/>
  <c r="BB23" i="12"/>
  <c r="CF23" i="26"/>
  <c r="AX23" i="12"/>
  <c r="CB23" i="26"/>
  <c r="AT23" i="12"/>
  <c r="BX23" i="26"/>
  <c r="AP23" i="12"/>
  <c r="CI23" i="26"/>
  <c r="BA23" i="12"/>
  <c r="CE23" i="26"/>
  <c r="AW23" i="12"/>
  <c r="CA23" i="26"/>
  <c r="AS23" i="12"/>
  <c r="BW23" i="26"/>
  <c r="AO23" i="12"/>
  <c r="BV24" i="26"/>
  <c r="CH23" i="26"/>
  <c r="AZ23" i="12"/>
  <c r="CD23" i="26"/>
  <c r="AV23" i="12"/>
  <c r="BZ23" i="26"/>
  <c r="AR23" i="12"/>
  <c r="AC23" i="26"/>
  <c r="CG23" i="26"/>
  <c r="AY23" i="12"/>
  <c r="CC23" i="26"/>
  <c r="AU23" i="12"/>
  <c r="BY23" i="26"/>
  <c r="AQ23" i="12"/>
  <c r="AK115" i="1"/>
  <c r="AI128" i="10"/>
  <c r="T36" i="10"/>
  <c r="BH35" i="10"/>
  <c r="A25" i="12"/>
  <c r="A137" i="38"/>
  <c r="AJ42" i="1"/>
  <c r="AI134" i="10"/>
  <c r="C288" i="38"/>
  <c r="D281" i="38"/>
  <c r="E281" i="38"/>
  <c r="C286" i="38"/>
  <c r="D279" i="38"/>
  <c r="E279" i="38"/>
  <c r="G46" i="44"/>
  <c r="I46" i="44"/>
  <c r="BH42" i="26"/>
  <c r="AM42" i="12"/>
  <c r="BC42" i="26"/>
  <c r="AI47" i="1"/>
  <c r="Z41" i="1"/>
  <c r="X43" i="1"/>
  <c r="CJ24" i="26"/>
  <c r="BB24" i="12"/>
  <c r="CF24" i="26"/>
  <c r="AX24" i="12"/>
  <c r="CB24" i="26"/>
  <c r="AT24" i="12"/>
  <c r="BX24" i="26"/>
  <c r="AP24" i="12"/>
  <c r="CI24" i="26"/>
  <c r="BA24" i="12"/>
  <c r="CE24" i="26"/>
  <c r="AW24" i="12"/>
  <c r="CA24" i="26"/>
  <c r="AS24" i="12"/>
  <c r="BW24" i="26"/>
  <c r="AO24" i="12"/>
  <c r="BV25" i="26"/>
  <c r="CH24" i="26"/>
  <c r="AZ24" i="12"/>
  <c r="CD24" i="26"/>
  <c r="AV24" i="12"/>
  <c r="BZ24" i="26"/>
  <c r="AR24" i="12"/>
  <c r="AC24" i="26"/>
  <c r="CG24" i="26"/>
  <c r="AY24" i="12"/>
  <c r="CC24" i="26"/>
  <c r="AU24" i="12"/>
  <c r="BY24" i="26"/>
  <c r="AQ24" i="12"/>
  <c r="AE139" i="10"/>
  <c r="AI135" i="10"/>
  <c r="AK116" i="1"/>
  <c r="AK117" i="1"/>
  <c r="AI138" i="10"/>
  <c r="AI140" i="10"/>
  <c r="AI139" i="10"/>
  <c r="AJ139" i="10"/>
  <c r="AI141" i="10"/>
  <c r="AE133" i="10"/>
  <c r="P21" i="45"/>
  <c r="S11" i="26"/>
  <c r="AK65" i="1"/>
  <c r="AJ43" i="1"/>
  <c r="A144" i="38"/>
  <c r="BH36" i="10"/>
  <c r="T37" i="10"/>
  <c r="A26" i="12"/>
  <c r="BG145" i="10"/>
  <c r="P145" i="10"/>
  <c r="P147" i="10"/>
  <c r="P146" i="10"/>
  <c r="AE145" i="10"/>
  <c r="A152" i="10"/>
  <c r="K150" i="10"/>
  <c r="K147" i="10"/>
  <c r="P148" i="10"/>
  <c r="Y47" i="1"/>
  <c r="P48" i="1"/>
  <c r="T48" i="1"/>
  <c r="C295" i="38"/>
  <c r="D288" i="38"/>
  <c r="E288" i="38"/>
  <c r="D286" i="38"/>
  <c r="E286" i="38"/>
  <c r="C293" i="38"/>
  <c r="G47" i="44"/>
  <c r="I47" i="44"/>
  <c r="AI142" i="10"/>
  <c r="BC43" i="26"/>
  <c r="BH43" i="26"/>
  <c r="AM43" i="12"/>
  <c r="AK66" i="1"/>
  <c r="P49" i="1"/>
  <c r="T49" i="1"/>
  <c r="AE146" i="10"/>
  <c r="AI147" i="10"/>
  <c r="AI146" i="10"/>
  <c r="AJ146" i="10"/>
  <c r="AI145" i="10"/>
  <c r="BH37" i="10"/>
  <c r="T38" i="10"/>
  <c r="AE140" i="10"/>
  <c r="Q11" i="26"/>
  <c r="AA11" i="26"/>
  <c r="P154" i="10"/>
  <c r="P153" i="10"/>
  <c r="AE152" i="10"/>
  <c r="A159" i="10"/>
  <c r="K157" i="10"/>
  <c r="K154" i="10"/>
  <c r="BG152" i="10"/>
  <c r="P152" i="10"/>
  <c r="P155" i="10"/>
  <c r="A151" i="38"/>
  <c r="T11" i="26"/>
  <c r="P11" i="3"/>
  <c r="BV26" i="26"/>
  <c r="CJ25" i="26"/>
  <c r="BB25" i="12"/>
  <c r="CF25" i="26"/>
  <c r="AX25" i="12"/>
  <c r="CB25" i="26"/>
  <c r="AT25" i="12"/>
  <c r="BX25" i="26"/>
  <c r="AP25" i="12"/>
  <c r="CI25" i="26"/>
  <c r="BA25" i="12"/>
  <c r="CE25" i="26"/>
  <c r="AW25" i="12"/>
  <c r="CA25" i="26"/>
  <c r="AS25" i="12"/>
  <c r="BW25" i="26"/>
  <c r="AO25" i="12"/>
  <c r="CH25" i="26"/>
  <c r="AZ25" i="12"/>
  <c r="CD25" i="26"/>
  <c r="AV25" i="12"/>
  <c r="BZ25" i="26"/>
  <c r="AR25" i="12"/>
  <c r="AC25" i="26"/>
  <c r="CG25" i="26"/>
  <c r="AY25" i="12"/>
  <c r="CC25" i="26"/>
  <c r="AU25" i="12"/>
  <c r="BY25" i="26"/>
  <c r="AQ25" i="12"/>
  <c r="Z43" i="1"/>
  <c r="U11" i="26"/>
  <c r="AI148" i="10"/>
  <c r="AJ44" i="1"/>
  <c r="A27" i="12"/>
  <c r="D295" i="38"/>
  <c r="E295" i="38"/>
  <c r="C302" i="38"/>
  <c r="C300" i="38"/>
  <c r="D293" i="38"/>
  <c r="E293" i="38"/>
  <c r="G48" i="44"/>
  <c r="I48" i="44"/>
  <c r="AI149" i="10"/>
  <c r="BH44" i="26"/>
  <c r="AM44" i="12"/>
  <c r="BC44" i="26"/>
  <c r="AI152" i="10"/>
  <c r="AI154" i="10"/>
  <c r="AI153" i="10"/>
  <c r="AJ153" i="10"/>
  <c r="AI155" i="10"/>
  <c r="AK67" i="1"/>
  <c r="AJ45" i="1"/>
  <c r="X11" i="26"/>
  <c r="A158" i="38"/>
  <c r="BG159" i="10"/>
  <c r="P159" i="10"/>
  <c r="P161" i="10"/>
  <c r="P160" i="10"/>
  <c r="AE159" i="10"/>
  <c r="A166" i="10"/>
  <c r="K164" i="10"/>
  <c r="K161" i="10"/>
  <c r="P162" i="10"/>
  <c r="A28" i="12"/>
  <c r="CH26" i="26"/>
  <c r="AZ26" i="12"/>
  <c r="CD26" i="26"/>
  <c r="AV26" i="12"/>
  <c r="BZ26" i="26"/>
  <c r="AR26" i="12"/>
  <c r="AC26" i="26"/>
  <c r="CG26" i="26"/>
  <c r="AY26" i="12"/>
  <c r="CC26" i="26"/>
  <c r="AU26" i="12"/>
  <c r="BY26" i="26"/>
  <c r="AQ26" i="12"/>
  <c r="CJ26" i="26"/>
  <c r="BB26" i="12"/>
  <c r="CF26" i="26"/>
  <c r="AX26" i="12"/>
  <c r="CB26" i="26"/>
  <c r="AT26" i="12"/>
  <c r="BX26" i="26"/>
  <c r="AP26" i="12"/>
  <c r="BV27" i="26"/>
  <c r="CI26" i="26"/>
  <c r="BA26" i="12"/>
  <c r="CE26" i="26"/>
  <c r="AW26" i="12"/>
  <c r="CA26" i="26"/>
  <c r="AS26" i="12"/>
  <c r="BW26" i="26"/>
  <c r="AO26" i="12"/>
  <c r="AE153" i="10"/>
  <c r="BH38" i="10"/>
  <c r="T39" i="10"/>
  <c r="AE147" i="10"/>
  <c r="T50" i="1"/>
  <c r="P50" i="1"/>
  <c r="D302" i="38"/>
  <c r="E302" i="38"/>
  <c r="C309" i="38"/>
  <c r="D300" i="38"/>
  <c r="E300" i="38"/>
  <c r="C307" i="38"/>
  <c r="I49" i="44"/>
  <c r="G49" i="44"/>
  <c r="AI156" i="10"/>
  <c r="BH45" i="26"/>
  <c r="AM45" i="12"/>
  <c r="BC45" i="26"/>
  <c r="AI162" i="10"/>
  <c r="T40" i="10"/>
  <c r="BH39" i="10"/>
  <c r="AH38" i="10"/>
  <c r="A29" i="12"/>
  <c r="AJ46" i="1"/>
  <c r="AE154" i="10"/>
  <c r="P51" i="1"/>
  <c r="P168" i="10"/>
  <c r="P167" i="10"/>
  <c r="AE166" i="10"/>
  <c r="A173" i="10"/>
  <c r="K171" i="10"/>
  <c r="K168" i="10"/>
  <c r="BG166" i="10"/>
  <c r="P166" i="10"/>
  <c r="P169" i="10"/>
  <c r="A165" i="38"/>
  <c r="AK68" i="1"/>
  <c r="CG27" i="26"/>
  <c r="AY27" i="12"/>
  <c r="CC27" i="26"/>
  <c r="AU27" i="12"/>
  <c r="BY27" i="26"/>
  <c r="AQ27" i="12"/>
  <c r="CJ27" i="26"/>
  <c r="BB27" i="12"/>
  <c r="CF27" i="26"/>
  <c r="AX27" i="12"/>
  <c r="CB27" i="26"/>
  <c r="AT27" i="12"/>
  <c r="BX27" i="26"/>
  <c r="AP27" i="12"/>
  <c r="BV28" i="26"/>
  <c r="CI27" i="26"/>
  <c r="BA27" i="12"/>
  <c r="CE27" i="26"/>
  <c r="AW27" i="12"/>
  <c r="CA27" i="26"/>
  <c r="AS27" i="12"/>
  <c r="BW27" i="26"/>
  <c r="AO27" i="12"/>
  <c r="CH27" i="26"/>
  <c r="AZ27" i="12"/>
  <c r="CD27" i="26"/>
  <c r="AV27" i="12"/>
  <c r="BZ27" i="26"/>
  <c r="AR27" i="12"/>
  <c r="AC27" i="26"/>
  <c r="T51" i="1"/>
  <c r="AE160" i="10"/>
  <c r="AI161" i="10"/>
  <c r="AI160" i="10"/>
  <c r="AJ160" i="10"/>
  <c r="AI159" i="10"/>
  <c r="C316" i="38"/>
  <c r="D309" i="38"/>
  <c r="E309" i="38"/>
  <c r="C314" i="38"/>
  <c r="D307" i="38"/>
  <c r="E307" i="38"/>
  <c r="I50" i="44"/>
  <c r="G50" i="44"/>
  <c r="BC46" i="26"/>
  <c r="BH46" i="26"/>
  <c r="AM46" i="12"/>
  <c r="CJ28" i="26"/>
  <c r="BB28" i="12"/>
  <c r="CF28" i="26"/>
  <c r="AX28" i="12"/>
  <c r="CB28" i="26"/>
  <c r="AT28" i="12"/>
  <c r="BX28" i="26"/>
  <c r="AP28" i="12"/>
  <c r="BV29" i="26"/>
  <c r="CI28" i="26"/>
  <c r="BA28" i="12"/>
  <c r="CE28" i="26"/>
  <c r="AW28" i="12"/>
  <c r="CA28" i="26"/>
  <c r="AS28" i="12"/>
  <c r="BW28" i="26"/>
  <c r="AO28" i="12"/>
  <c r="CH28" i="26"/>
  <c r="AZ28" i="12"/>
  <c r="CD28" i="26"/>
  <c r="AV28" i="12"/>
  <c r="BZ28" i="26"/>
  <c r="AR28" i="12"/>
  <c r="AC28" i="26"/>
  <c r="CG28" i="26"/>
  <c r="AY28" i="12"/>
  <c r="CC28" i="26"/>
  <c r="AU28" i="12"/>
  <c r="BY28" i="26"/>
  <c r="AQ28" i="12"/>
  <c r="AI166" i="10"/>
  <c r="AI168" i="10"/>
  <c r="AI167" i="10"/>
  <c r="AJ167" i="10"/>
  <c r="AI169" i="10"/>
  <c r="AJ47" i="1"/>
  <c r="A172" i="38"/>
  <c r="A30" i="12"/>
  <c r="BH40" i="10"/>
  <c r="T41" i="10"/>
  <c r="AI163" i="10"/>
  <c r="AK69" i="1"/>
  <c r="AE167" i="10"/>
  <c r="P52" i="1"/>
  <c r="T52" i="1"/>
  <c r="AH39" i="10"/>
  <c r="AI39" i="10"/>
  <c r="AE161" i="10"/>
  <c r="BG173" i="10"/>
  <c r="P173" i="10"/>
  <c r="P175" i="10"/>
  <c r="P174" i="10"/>
  <c r="AE173" i="10"/>
  <c r="A180" i="10"/>
  <c r="K178" i="10"/>
  <c r="K175" i="10"/>
  <c r="P176" i="10"/>
  <c r="C323" i="38"/>
  <c r="D316" i="38"/>
  <c r="E316" i="38"/>
  <c r="D314" i="38"/>
  <c r="E314" i="38"/>
  <c r="C321" i="38"/>
  <c r="G51" i="44"/>
  <c r="I51" i="44"/>
  <c r="AI170" i="10"/>
  <c r="BC47" i="26"/>
  <c r="BH47" i="26"/>
  <c r="AM47" i="12"/>
  <c r="P182" i="10"/>
  <c r="P181" i="10"/>
  <c r="AE180" i="10"/>
  <c r="A187" i="10"/>
  <c r="K185" i="10"/>
  <c r="K182" i="10"/>
  <c r="BG180" i="10"/>
  <c r="P180" i="10"/>
  <c r="P183" i="10"/>
  <c r="AK70" i="1"/>
  <c r="AE174" i="10"/>
  <c r="AI175" i="10"/>
  <c r="AI174" i="10"/>
  <c r="AJ174" i="10"/>
  <c r="AI173" i="10"/>
  <c r="AE168" i="10"/>
  <c r="AI176" i="10"/>
  <c r="A31" i="12"/>
  <c r="AJ48" i="1"/>
  <c r="A179" i="38"/>
  <c r="AJ39" i="10"/>
  <c r="P53" i="1"/>
  <c r="T53" i="1"/>
  <c r="BH41" i="10"/>
  <c r="T42" i="10"/>
  <c r="BV30" i="26"/>
  <c r="CI29" i="26"/>
  <c r="BA29" i="12"/>
  <c r="CE29" i="26"/>
  <c r="AW29" i="12"/>
  <c r="CA29" i="26"/>
  <c r="AS29" i="12"/>
  <c r="BW29" i="26"/>
  <c r="AO29" i="12"/>
  <c r="CH29" i="26"/>
  <c r="AZ29" i="12"/>
  <c r="CD29" i="26"/>
  <c r="AV29" i="12"/>
  <c r="BZ29" i="26"/>
  <c r="AR29" i="12"/>
  <c r="AC29" i="26"/>
  <c r="CG29" i="26"/>
  <c r="AY29" i="12"/>
  <c r="CC29" i="26"/>
  <c r="AU29" i="12"/>
  <c r="BY29" i="26"/>
  <c r="AQ29" i="12"/>
  <c r="CJ29" i="26"/>
  <c r="BB29" i="12"/>
  <c r="CF29" i="26"/>
  <c r="AX29" i="12"/>
  <c r="CB29" i="26"/>
  <c r="AT29" i="12"/>
  <c r="BX29" i="26"/>
  <c r="AP29" i="12"/>
  <c r="D323" i="38"/>
  <c r="E323" i="38"/>
  <c r="C330" i="38"/>
  <c r="C328" i="38"/>
  <c r="D321" i="38"/>
  <c r="E321" i="38"/>
  <c r="I52" i="44"/>
  <c r="G52" i="44"/>
  <c r="AI177" i="10"/>
  <c r="BH48" i="26"/>
  <c r="AM48" i="12"/>
  <c r="BC48" i="26"/>
  <c r="A186" i="38"/>
  <c r="T43" i="10"/>
  <c r="BH42" i="10"/>
  <c r="AJ49" i="1"/>
  <c r="AE175" i="10"/>
  <c r="AE181" i="10"/>
  <c r="CH30" i="26"/>
  <c r="AZ30" i="12"/>
  <c r="CD30" i="26"/>
  <c r="AV30" i="12"/>
  <c r="BZ30" i="26"/>
  <c r="AR30" i="12"/>
  <c r="AC30" i="26"/>
  <c r="CG30" i="26"/>
  <c r="AY30" i="12"/>
  <c r="CC30" i="26"/>
  <c r="AU30" i="12"/>
  <c r="BY30" i="26"/>
  <c r="AQ30" i="12"/>
  <c r="CJ30" i="26"/>
  <c r="BB30" i="12"/>
  <c r="CF30" i="26"/>
  <c r="AX30" i="12"/>
  <c r="CB30" i="26"/>
  <c r="AT30" i="12"/>
  <c r="BX30" i="26"/>
  <c r="AP30" i="12"/>
  <c r="BV31" i="26"/>
  <c r="CI30" i="26"/>
  <c r="BA30" i="12"/>
  <c r="CE30" i="26"/>
  <c r="AW30" i="12"/>
  <c r="CA30" i="26"/>
  <c r="AS30" i="12"/>
  <c r="BW30" i="26"/>
  <c r="AO30" i="12"/>
  <c r="P54" i="1"/>
  <c r="Y53" i="1"/>
  <c r="J50" i="1"/>
  <c r="BG187" i="10"/>
  <c r="P187" i="10"/>
  <c r="P189" i="10"/>
  <c r="P188" i="10"/>
  <c r="AE187" i="10"/>
  <c r="A194" i="10"/>
  <c r="K192" i="10"/>
  <c r="K189" i="10"/>
  <c r="P190" i="10"/>
  <c r="A32" i="12"/>
  <c r="AK71" i="1"/>
  <c r="AI180" i="10"/>
  <c r="AI182" i="10"/>
  <c r="AI181" i="10"/>
  <c r="AJ181" i="10"/>
  <c r="AI183" i="10"/>
  <c r="D330" i="38"/>
  <c r="E330" i="38"/>
  <c r="C337" i="38"/>
  <c r="D328" i="38"/>
  <c r="E328" i="38"/>
  <c r="C335" i="38"/>
  <c r="G53" i="44"/>
  <c r="I53" i="44"/>
  <c r="AI184" i="10"/>
  <c r="BC49" i="26"/>
  <c r="BH49" i="26"/>
  <c r="AM49" i="12"/>
  <c r="AI54" i="1"/>
  <c r="Z48" i="1"/>
  <c r="X50" i="1"/>
  <c r="AE188" i="10"/>
  <c r="A33" i="12"/>
  <c r="Y54" i="1"/>
  <c r="AE182" i="10"/>
  <c r="S12" i="26"/>
  <c r="T44" i="10"/>
  <c r="BH43" i="10"/>
  <c r="AK72" i="1"/>
  <c r="AI189" i="10"/>
  <c r="AI188" i="10"/>
  <c r="AJ188" i="10"/>
  <c r="AI187" i="10"/>
  <c r="AI190" i="10"/>
  <c r="CG31" i="26"/>
  <c r="AY31" i="12"/>
  <c r="CC31" i="26"/>
  <c r="AU31" i="12"/>
  <c r="BY31" i="26"/>
  <c r="AQ31" i="12"/>
  <c r="CJ31" i="26"/>
  <c r="BB31" i="12"/>
  <c r="CF31" i="26"/>
  <c r="AX31" i="12"/>
  <c r="CB31" i="26"/>
  <c r="AT31" i="12"/>
  <c r="BX31" i="26"/>
  <c r="AP31" i="12"/>
  <c r="BV32" i="26"/>
  <c r="CI31" i="26"/>
  <c r="BA31" i="12"/>
  <c r="CE31" i="26"/>
  <c r="AW31" i="12"/>
  <c r="CA31" i="26"/>
  <c r="AS31" i="12"/>
  <c r="BW31" i="26"/>
  <c r="AO31" i="12"/>
  <c r="CH31" i="26"/>
  <c r="AZ31" i="12"/>
  <c r="CD31" i="26"/>
  <c r="AV31" i="12"/>
  <c r="BZ31" i="26"/>
  <c r="AR31" i="12"/>
  <c r="AC31" i="26"/>
  <c r="A193" i="38"/>
  <c r="P196" i="10"/>
  <c r="P195" i="10"/>
  <c r="AE194" i="10"/>
  <c r="A201" i="10"/>
  <c r="K199" i="10"/>
  <c r="K196" i="10"/>
  <c r="BG194" i="10"/>
  <c r="P194" i="10"/>
  <c r="P197" i="10"/>
  <c r="P55" i="1"/>
  <c r="T55" i="1"/>
  <c r="AJ50" i="1"/>
  <c r="C344" i="38"/>
  <c r="D337" i="38"/>
  <c r="E337" i="38"/>
  <c r="C342" i="38"/>
  <c r="D335" i="38"/>
  <c r="E335" i="38"/>
  <c r="I54" i="44"/>
  <c r="G54" i="44"/>
  <c r="AI191" i="10"/>
  <c r="BH50" i="26"/>
  <c r="AM50" i="12"/>
  <c r="BC50" i="26"/>
  <c r="AE195" i="10"/>
  <c r="AA12" i="26"/>
  <c r="Q12" i="26"/>
  <c r="AI194" i="10"/>
  <c r="AI196" i="10"/>
  <c r="AI195" i="10"/>
  <c r="AJ195" i="10"/>
  <c r="AI197" i="10"/>
  <c r="A200" i="38"/>
  <c r="A34" i="12"/>
  <c r="AE189" i="10"/>
  <c r="P56" i="1"/>
  <c r="T56" i="1"/>
  <c r="T12" i="26"/>
  <c r="P12" i="3"/>
  <c r="AJ51" i="1"/>
  <c r="BG201" i="10"/>
  <c r="P201" i="10"/>
  <c r="P203" i="10"/>
  <c r="P202" i="10"/>
  <c r="AE201" i="10"/>
  <c r="A208" i="10"/>
  <c r="K206" i="10"/>
  <c r="K203" i="10"/>
  <c r="P204" i="10"/>
  <c r="CJ32" i="26"/>
  <c r="BB32" i="12"/>
  <c r="CF32" i="26"/>
  <c r="AX32" i="12"/>
  <c r="CB32" i="26"/>
  <c r="AT32" i="12"/>
  <c r="BX32" i="26"/>
  <c r="AP32" i="12"/>
  <c r="BV33" i="26"/>
  <c r="CI32" i="26"/>
  <c r="BA32" i="12"/>
  <c r="CE32" i="26"/>
  <c r="AW32" i="12"/>
  <c r="CA32" i="26"/>
  <c r="AS32" i="12"/>
  <c r="BW32" i="26"/>
  <c r="AO32" i="12"/>
  <c r="CH32" i="26"/>
  <c r="AZ32" i="12"/>
  <c r="CD32" i="26"/>
  <c r="AV32" i="12"/>
  <c r="BZ32" i="26"/>
  <c r="AR32" i="12"/>
  <c r="AC32" i="26"/>
  <c r="CG32" i="26"/>
  <c r="AY32" i="12"/>
  <c r="CC32" i="26"/>
  <c r="AU32" i="12"/>
  <c r="BY32" i="26"/>
  <c r="AQ32" i="12"/>
  <c r="AK73" i="1"/>
  <c r="T45" i="10"/>
  <c r="BH44" i="10"/>
  <c r="Z50" i="1"/>
  <c r="U12" i="26"/>
  <c r="C351" i="38"/>
  <c r="D344" i="38"/>
  <c r="E344" i="38"/>
  <c r="D342" i="38"/>
  <c r="E342" i="38"/>
  <c r="C349" i="38"/>
  <c r="I55" i="44"/>
  <c r="G55" i="44"/>
  <c r="BC51" i="26"/>
  <c r="BH51" i="26"/>
  <c r="AM51" i="12"/>
  <c r="P210" i="10"/>
  <c r="P209" i="10"/>
  <c r="AE208" i="10"/>
  <c r="A215" i="10"/>
  <c r="K213" i="10"/>
  <c r="K210" i="10"/>
  <c r="BG208" i="10"/>
  <c r="P208" i="10"/>
  <c r="P211" i="10"/>
  <c r="AE202" i="10"/>
  <c r="P57" i="1"/>
  <c r="T57" i="1"/>
  <c r="A207" i="38"/>
  <c r="X12" i="26"/>
  <c r="AK74" i="1"/>
  <c r="AK75" i="1"/>
  <c r="BV34" i="26"/>
  <c r="CI33" i="26"/>
  <c r="BA33" i="12"/>
  <c r="CE33" i="26"/>
  <c r="AW33" i="12"/>
  <c r="CA33" i="26"/>
  <c r="AS33" i="12"/>
  <c r="BW33" i="26"/>
  <c r="AO33" i="12"/>
  <c r="CH33" i="26"/>
  <c r="AZ33" i="12"/>
  <c r="CD33" i="26"/>
  <c r="AV33" i="12"/>
  <c r="BZ33" i="26"/>
  <c r="AR33" i="12"/>
  <c r="AC33" i="26"/>
  <c r="CG33" i="26"/>
  <c r="AY33" i="12"/>
  <c r="CC33" i="26"/>
  <c r="AU33" i="12"/>
  <c r="BY33" i="26"/>
  <c r="AQ33" i="12"/>
  <c r="CJ33" i="26"/>
  <c r="BB33" i="12"/>
  <c r="CF33" i="26"/>
  <c r="AX33" i="12"/>
  <c r="CB33" i="26"/>
  <c r="AT33" i="12"/>
  <c r="BX33" i="26"/>
  <c r="AP33" i="12"/>
  <c r="AI204" i="10"/>
  <c r="A35" i="12"/>
  <c r="T46" i="10"/>
  <c r="BH45" i="10"/>
  <c r="AI203" i="10"/>
  <c r="AI202" i="10"/>
  <c r="AJ202" i="10"/>
  <c r="AI201" i="10"/>
  <c r="AJ52" i="1"/>
  <c r="AI198" i="10"/>
  <c r="AE196" i="10"/>
  <c r="C358" i="38"/>
  <c r="D351" i="38"/>
  <c r="E351" i="38"/>
  <c r="C356" i="38"/>
  <c r="D349" i="38"/>
  <c r="E349" i="38"/>
  <c r="I56" i="44"/>
  <c r="G56" i="44"/>
  <c r="BH52" i="26"/>
  <c r="AM52" i="12"/>
  <c r="BC52" i="26"/>
  <c r="AE209" i="10"/>
  <c r="T47" i="10"/>
  <c r="BH46" i="10"/>
  <c r="AH45" i="10"/>
  <c r="AE203" i="10"/>
  <c r="AI208" i="10"/>
  <c r="AI210" i="10"/>
  <c r="AI209" i="10"/>
  <c r="AJ209" i="10"/>
  <c r="AI211" i="10"/>
  <c r="AJ53" i="1"/>
  <c r="A214" i="38"/>
  <c r="P58" i="1"/>
  <c r="T58" i="1"/>
  <c r="A36" i="12"/>
  <c r="AI205" i="10"/>
  <c r="CH34" i="26"/>
  <c r="AZ34" i="12"/>
  <c r="CD34" i="26"/>
  <c r="AV34" i="12"/>
  <c r="BZ34" i="26"/>
  <c r="AR34" i="12"/>
  <c r="AC34" i="26"/>
  <c r="CG34" i="26"/>
  <c r="AY34" i="12"/>
  <c r="CC34" i="26"/>
  <c r="AU34" i="12"/>
  <c r="BY34" i="26"/>
  <c r="AQ34" i="12"/>
  <c r="CJ34" i="26"/>
  <c r="BB34" i="12"/>
  <c r="CF34" i="26"/>
  <c r="AX34" i="12"/>
  <c r="CB34" i="26"/>
  <c r="AT34" i="12"/>
  <c r="BX34" i="26"/>
  <c r="AP34" i="12"/>
  <c r="BV35" i="26"/>
  <c r="CI34" i="26"/>
  <c r="BA34" i="12"/>
  <c r="CE34" i="26"/>
  <c r="AW34" i="12"/>
  <c r="CA34" i="26"/>
  <c r="AS34" i="12"/>
  <c r="BW34" i="26"/>
  <c r="AO34" i="12"/>
  <c r="BG215" i="10"/>
  <c r="P215" i="10"/>
  <c r="P217" i="10"/>
  <c r="P216" i="10"/>
  <c r="AE215" i="10"/>
  <c r="A222" i="10"/>
  <c r="K220" i="10"/>
  <c r="K217" i="10"/>
  <c r="P218" i="10"/>
  <c r="D358" i="38"/>
  <c r="E358" i="38"/>
  <c r="C365" i="38"/>
  <c r="D356" i="38"/>
  <c r="E356" i="38"/>
  <c r="C363" i="38"/>
  <c r="I57" i="44"/>
  <c r="G57" i="44"/>
  <c r="BC53" i="26"/>
  <c r="BH53" i="26"/>
  <c r="AM53" i="12"/>
  <c r="CG35" i="26"/>
  <c r="AY35" i="12"/>
  <c r="CC35" i="26"/>
  <c r="AU35" i="12"/>
  <c r="BY35" i="26"/>
  <c r="AQ35" i="12"/>
  <c r="CJ35" i="26"/>
  <c r="BB35" i="12"/>
  <c r="CF35" i="26"/>
  <c r="AX35" i="12"/>
  <c r="CB35" i="26"/>
  <c r="AT35" i="12"/>
  <c r="BX35" i="26"/>
  <c r="AP35" i="12"/>
  <c r="BV36" i="26"/>
  <c r="CI35" i="26"/>
  <c r="BA35" i="12"/>
  <c r="CE35" i="26"/>
  <c r="AW35" i="12"/>
  <c r="CA35" i="26"/>
  <c r="AS35" i="12"/>
  <c r="BW35" i="26"/>
  <c r="AO35" i="12"/>
  <c r="CH35" i="26"/>
  <c r="AZ35" i="12"/>
  <c r="CD35" i="26"/>
  <c r="AV35" i="12"/>
  <c r="BZ35" i="26"/>
  <c r="AR35" i="12"/>
  <c r="AC35" i="26"/>
  <c r="A37" i="12"/>
  <c r="P224" i="10"/>
  <c r="P223" i="10"/>
  <c r="AE222" i="10"/>
  <c r="A229" i="10"/>
  <c r="K227" i="10"/>
  <c r="K224" i="10"/>
  <c r="BG222" i="10"/>
  <c r="P222" i="10"/>
  <c r="P225" i="10"/>
  <c r="AE210" i="10"/>
  <c r="AI217" i="10"/>
  <c r="AI216" i="10"/>
  <c r="AJ216" i="10"/>
  <c r="AI215" i="10"/>
  <c r="A221" i="38"/>
  <c r="AH46" i="10"/>
  <c r="AI46" i="10"/>
  <c r="AE216" i="10"/>
  <c r="AI218" i="10"/>
  <c r="T59" i="1"/>
  <c r="P59" i="1"/>
  <c r="AJ54" i="1"/>
  <c r="AI212" i="10"/>
  <c r="T48" i="10"/>
  <c r="BH47" i="10"/>
  <c r="D365" i="38"/>
  <c r="E365" i="38"/>
  <c r="C372" i="38"/>
  <c r="C370" i="38"/>
  <c r="D363" i="38"/>
  <c r="E363" i="38"/>
  <c r="I58" i="44"/>
  <c r="G58" i="44"/>
  <c r="AI219" i="10"/>
  <c r="BH54" i="26"/>
  <c r="AM54" i="12"/>
  <c r="BC54" i="26"/>
  <c r="P60" i="1"/>
  <c r="A228" i="38"/>
  <c r="CJ36" i="26"/>
  <c r="BB36" i="12"/>
  <c r="CF36" i="26"/>
  <c r="AX36" i="12"/>
  <c r="CB36" i="26"/>
  <c r="AT36" i="12"/>
  <c r="BX36" i="26"/>
  <c r="AP36" i="12"/>
  <c r="BV37" i="26"/>
  <c r="CI36" i="26"/>
  <c r="BA36" i="12"/>
  <c r="CE36" i="26"/>
  <c r="AW36" i="12"/>
  <c r="CA36" i="26"/>
  <c r="AS36" i="12"/>
  <c r="BW36" i="26"/>
  <c r="AO36" i="12"/>
  <c r="CH36" i="26"/>
  <c r="AZ36" i="12"/>
  <c r="CD36" i="26"/>
  <c r="AV36" i="12"/>
  <c r="BZ36" i="26"/>
  <c r="AR36" i="12"/>
  <c r="AC36" i="26"/>
  <c r="CG36" i="26"/>
  <c r="AY36" i="12"/>
  <c r="CC36" i="26"/>
  <c r="AU36" i="12"/>
  <c r="BY36" i="26"/>
  <c r="AQ36" i="12"/>
  <c r="T49" i="10"/>
  <c r="BH48" i="10"/>
  <c r="AE217" i="10"/>
  <c r="AE223" i="10"/>
  <c r="A38" i="12"/>
  <c r="AJ55" i="1"/>
  <c r="T60" i="1"/>
  <c r="BG229" i="10"/>
  <c r="P229" i="10"/>
  <c r="A236" i="10"/>
  <c r="P231" i="10"/>
  <c r="P230" i="10"/>
  <c r="AE229" i="10"/>
  <c r="K234" i="10"/>
  <c r="K231" i="10"/>
  <c r="P232" i="10"/>
  <c r="AJ46" i="10"/>
  <c r="AI222" i="10"/>
  <c r="AI224" i="10"/>
  <c r="AI223" i="10"/>
  <c r="AJ223" i="10"/>
  <c r="AI225" i="10"/>
  <c r="C379" i="38"/>
  <c r="D372" i="38"/>
  <c r="E372" i="38"/>
  <c r="D370" i="38"/>
  <c r="E370" i="38"/>
  <c r="C377" i="38"/>
  <c r="I59" i="44"/>
  <c r="G59" i="44"/>
  <c r="BH55" i="26"/>
  <c r="AM55" i="12"/>
  <c r="BC55" i="26"/>
  <c r="AI226" i="10"/>
  <c r="AJ56" i="1"/>
  <c r="A39" i="12"/>
  <c r="BG236" i="10"/>
  <c r="P236" i="10"/>
  <c r="P238" i="10"/>
  <c r="P237" i="10"/>
  <c r="AE236" i="10"/>
  <c r="A243" i="10"/>
  <c r="K241" i="10"/>
  <c r="K238" i="10"/>
  <c r="P239" i="10"/>
  <c r="T50" i="10"/>
  <c r="BH49" i="10"/>
  <c r="AE230" i="10"/>
  <c r="AE224" i="10"/>
  <c r="BV38" i="26"/>
  <c r="CI37" i="26"/>
  <c r="BA37" i="12"/>
  <c r="CE37" i="26"/>
  <c r="AW37" i="12"/>
  <c r="CA37" i="26"/>
  <c r="AS37" i="12"/>
  <c r="BW37" i="26"/>
  <c r="AO37" i="12"/>
  <c r="CH37" i="26"/>
  <c r="AZ37" i="12"/>
  <c r="CD37" i="26"/>
  <c r="AV37" i="12"/>
  <c r="BZ37" i="26"/>
  <c r="AR37" i="12"/>
  <c r="AC37" i="26"/>
  <c r="CG37" i="26"/>
  <c r="AY37" i="12"/>
  <c r="CC37" i="26"/>
  <c r="AU37" i="12"/>
  <c r="BY37" i="26"/>
  <c r="AQ37" i="12"/>
  <c r="CJ37" i="26"/>
  <c r="BB37" i="12"/>
  <c r="CF37" i="26"/>
  <c r="AX37" i="12"/>
  <c r="CB37" i="26"/>
  <c r="AT37" i="12"/>
  <c r="BX37" i="26"/>
  <c r="AP37" i="12"/>
  <c r="AI232" i="10"/>
  <c r="AI231" i="10"/>
  <c r="AI233" i="10"/>
  <c r="AI230" i="10"/>
  <c r="AJ230" i="10"/>
  <c r="AI229" i="10"/>
  <c r="A235" i="38"/>
  <c r="J57" i="1"/>
  <c r="Y60" i="1"/>
  <c r="Y61" i="1"/>
  <c r="P61" i="1"/>
  <c r="C386" i="38"/>
  <c r="D379" i="38"/>
  <c r="E379" i="38"/>
  <c r="C384" i="38"/>
  <c r="D377" i="38"/>
  <c r="E377" i="38"/>
  <c r="I60" i="44"/>
  <c r="G60" i="44"/>
  <c r="BC56" i="26"/>
  <c r="BH56" i="26"/>
  <c r="AM56" i="12"/>
  <c r="AI239" i="10"/>
  <c r="S13" i="26"/>
  <c r="A40" i="12"/>
  <c r="P245" i="10"/>
  <c r="P244" i="10"/>
  <c r="AE243" i="10"/>
  <c r="A250" i="10"/>
  <c r="K248" i="10"/>
  <c r="K245" i="10"/>
  <c r="BG243" i="10"/>
  <c r="P243" i="10"/>
  <c r="P246" i="10"/>
  <c r="AI238" i="10"/>
  <c r="AI237" i="10"/>
  <c r="AJ237" i="10"/>
  <c r="AI236" i="10"/>
  <c r="A242" i="38"/>
  <c r="BH50" i="10"/>
  <c r="T51" i="10"/>
  <c r="T62" i="1"/>
  <c r="P62" i="1"/>
  <c r="CH38" i="26"/>
  <c r="AZ38" i="12"/>
  <c r="CD38" i="26"/>
  <c r="AV38" i="12"/>
  <c r="BZ38" i="26"/>
  <c r="AR38" i="12"/>
  <c r="AC38" i="26"/>
  <c r="CG38" i="26"/>
  <c r="AY38" i="12"/>
  <c r="CC38" i="26"/>
  <c r="AU38" i="12"/>
  <c r="BY38" i="26"/>
  <c r="AQ38" i="12"/>
  <c r="CJ38" i="26"/>
  <c r="BB38" i="12"/>
  <c r="CF38" i="26"/>
  <c r="AX38" i="12"/>
  <c r="CB38" i="26"/>
  <c r="AT38" i="12"/>
  <c r="BX38" i="26"/>
  <c r="AP38" i="12"/>
  <c r="BV39" i="26"/>
  <c r="CI38" i="26"/>
  <c r="BA38" i="12"/>
  <c r="CE38" i="26"/>
  <c r="AW38" i="12"/>
  <c r="CA38" i="26"/>
  <c r="AS38" i="12"/>
  <c r="BW38" i="26"/>
  <c r="AO38" i="12"/>
  <c r="AJ57" i="1"/>
  <c r="AI61" i="1"/>
  <c r="Z55" i="1"/>
  <c r="X57" i="1"/>
  <c r="AE231" i="10"/>
  <c r="AE237" i="10"/>
  <c r="D386" i="38"/>
  <c r="E386" i="38"/>
  <c r="C393" i="38"/>
  <c r="D384" i="38"/>
  <c r="E384" i="38"/>
  <c r="C391" i="38"/>
  <c r="I61" i="44"/>
  <c r="G61" i="44"/>
  <c r="BC57" i="26"/>
  <c r="BH57" i="26"/>
  <c r="AM57" i="12"/>
  <c r="AE238" i="10"/>
  <c r="AA13" i="26"/>
  <c r="Q13" i="26"/>
  <c r="T63" i="1"/>
  <c r="P63" i="1"/>
  <c r="A257" i="10"/>
  <c r="K255" i="10"/>
  <c r="K252" i="10"/>
  <c r="BG250" i="10"/>
  <c r="P250" i="10"/>
  <c r="P252" i="10"/>
  <c r="P251" i="10"/>
  <c r="AE250" i="10"/>
  <c r="P253" i="10"/>
  <c r="AJ58" i="1"/>
  <c r="CG39" i="26"/>
  <c r="AY39" i="12"/>
  <c r="CC39" i="26"/>
  <c r="AU39" i="12"/>
  <c r="BY39" i="26"/>
  <c r="AQ39" i="12"/>
  <c r="CJ39" i="26"/>
  <c r="BB39" i="12"/>
  <c r="CF39" i="26"/>
  <c r="AX39" i="12"/>
  <c r="CB39" i="26"/>
  <c r="AT39" i="12"/>
  <c r="BX39" i="26"/>
  <c r="AP39" i="12"/>
  <c r="BV40" i="26"/>
  <c r="CI39" i="26"/>
  <c r="BA39" i="12"/>
  <c r="CE39" i="26"/>
  <c r="AW39" i="12"/>
  <c r="CA39" i="26"/>
  <c r="AS39" i="12"/>
  <c r="BW39" i="26"/>
  <c r="AO39" i="12"/>
  <c r="CH39" i="26"/>
  <c r="AZ39" i="12"/>
  <c r="CD39" i="26"/>
  <c r="AV39" i="12"/>
  <c r="BZ39" i="26"/>
  <c r="AR39" i="12"/>
  <c r="AC39" i="26"/>
  <c r="AE244" i="10"/>
  <c r="A41" i="12"/>
  <c r="T13" i="26"/>
  <c r="P13" i="3"/>
  <c r="Z57" i="1"/>
  <c r="U13" i="26"/>
  <c r="BH51" i="10"/>
  <c r="T52" i="10"/>
  <c r="A249" i="38"/>
  <c r="AI243" i="10"/>
  <c r="AI245" i="10"/>
  <c r="AI244" i="10"/>
  <c r="AJ244" i="10"/>
  <c r="AI246" i="10"/>
  <c r="AI240" i="10"/>
  <c r="C400" i="38"/>
  <c r="D393" i="38"/>
  <c r="E393" i="38"/>
  <c r="C398" i="38"/>
  <c r="D391" i="38"/>
  <c r="E391" i="38"/>
  <c r="I62" i="44"/>
  <c r="G62" i="44"/>
  <c r="BH58" i="26"/>
  <c r="AM58" i="12"/>
  <c r="BC58" i="26"/>
  <c r="AI247" i="10"/>
  <c r="A256" i="38"/>
  <c r="AE245" i="10"/>
  <c r="BH52" i="10"/>
  <c r="T53" i="10"/>
  <c r="A42" i="12"/>
  <c r="P64" i="1"/>
  <c r="T64" i="1"/>
  <c r="X13" i="26"/>
  <c r="P259" i="10"/>
  <c r="P258" i="10"/>
  <c r="AE257" i="10"/>
  <c r="A264" i="10"/>
  <c r="K262" i="10"/>
  <c r="K259" i="10"/>
  <c r="BG257" i="10"/>
  <c r="P257" i="10"/>
  <c r="P260" i="10"/>
  <c r="CJ40" i="26"/>
  <c r="BB40" i="12"/>
  <c r="CF40" i="26"/>
  <c r="AX40" i="12"/>
  <c r="CB40" i="26"/>
  <c r="AT40" i="12"/>
  <c r="BX40" i="26"/>
  <c r="AP40" i="12"/>
  <c r="BV41" i="26"/>
  <c r="CI40" i="26"/>
  <c r="BA40" i="12"/>
  <c r="CE40" i="26"/>
  <c r="AW40" i="12"/>
  <c r="CA40" i="26"/>
  <c r="AS40" i="12"/>
  <c r="BW40" i="26"/>
  <c r="AO40" i="12"/>
  <c r="CH40" i="26"/>
  <c r="AZ40" i="12"/>
  <c r="CD40" i="26"/>
  <c r="AV40" i="12"/>
  <c r="BZ40" i="26"/>
  <c r="AR40" i="12"/>
  <c r="AC40" i="26"/>
  <c r="CG40" i="26"/>
  <c r="AY40" i="12"/>
  <c r="CC40" i="26"/>
  <c r="AU40" i="12"/>
  <c r="BY40" i="26"/>
  <c r="AQ40" i="12"/>
  <c r="AE251" i="10"/>
  <c r="AI252" i="10"/>
  <c r="AI251" i="10"/>
  <c r="AJ251" i="10"/>
  <c r="AI250" i="10"/>
  <c r="AJ59" i="1"/>
  <c r="AI253" i="10"/>
  <c r="C407" i="38"/>
  <c r="D400" i="38"/>
  <c r="E400" i="38"/>
  <c r="D398" i="38"/>
  <c r="E398" i="38"/>
  <c r="C405" i="38"/>
  <c r="I63" i="44"/>
  <c r="G63" i="44"/>
  <c r="BH59" i="26"/>
  <c r="AM59" i="12"/>
  <c r="BC59" i="26"/>
  <c r="A263" i="38"/>
  <c r="AI257" i="10"/>
  <c r="AI259" i="10"/>
  <c r="AI258" i="10"/>
  <c r="AJ258" i="10"/>
  <c r="AI260" i="10"/>
  <c r="A43" i="12"/>
  <c r="AJ60" i="1"/>
  <c r="A271" i="10"/>
  <c r="K269" i="10"/>
  <c r="K266" i="10"/>
  <c r="BG264" i="10"/>
  <c r="P264" i="10"/>
  <c r="P266" i="10"/>
  <c r="P265" i="10"/>
  <c r="AE264" i="10"/>
  <c r="P267" i="10"/>
  <c r="BV42" i="26"/>
  <c r="CI41" i="26"/>
  <c r="BA41" i="12"/>
  <c r="CE41" i="26"/>
  <c r="AW41" i="12"/>
  <c r="CA41" i="26"/>
  <c r="AS41" i="12"/>
  <c r="BW41" i="26"/>
  <c r="AO41" i="12"/>
  <c r="CH41" i="26"/>
  <c r="AZ41" i="12"/>
  <c r="CD41" i="26"/>
  <c r="AV41" i="12"/>
  <c r="BZ41" i="26"/>
  <c r="AR41" i="12"/>
  <c r="AC41" i="26"/>
  <c r="CG41" i="26"/>
  <c r="AY41" i="12"/>
  <c r="CC41" i="26"/>
  <c r="AU41" i="12"/>
  <c r="BY41" i="26"/>
  <c r="AQ41" i="12"/>
  <c r="CJ41" i="26"/>
  <c r="BB41" i="12"/>
  <c r="CF41" i="26"/>
  <c r="AX41" i="12"/>
  <c r="CB41" i="26"/>
  <c r="AT41" i="12"/>
  <c r="BX41" i="26"/>
  <c r="AP41" i="12"/>
  <c r="AE252" i="10"/>
  <c r="P65" i="1"/>
  <c r="T65" i="1"/>
  <c r="T54" i="10"/>
  <c r="BH53" i="10"/>
  <c r="AH52" i="10"/>
  <c r="AI254" i="10"/>
  <c r="AE258" i="10"/>
  <c r="C414" i="38"/>
  <c r="D407" i="38"/>
  <c r="E407" i="38"/>
  <c r="C412" i="38"/>
  <c r="D405" i="38"/>
  <c r="E405" i="38"/>
  <c r="G64" i="44"/>
  <c r="I64" i="44"/>
  <c r="BC60" i="26"/>
  <c r="BH60" i="26"/>
  <c r="AM60" i="12"/>
  <c r="AJ61" i="1"/>
  <c r="AH53" i="10"/>
  <c r="AI53" i="10"/>
  <c r="AJ53" i="10"/>
  <c r="P273" i="10"/>
  <c r="P272" i="10"/>
  <c r="AE271" i="10"/>
  <c r="A278" i="10"/>
  <c r="K276" i="10"/>
  <c r="K273" i="10"/>
  <c r="BG271" i="10"/>
  <c r="P271" i="10"/>
  <c r="P274" i="10"/>
  <c r="P66" i="1"/>
  <c r="A270" i="38"/>
  <c r="AE259" i="10"/>
  <c r="AI267" i="10"/>
  <c r="T66" i="1"/>
  <c r="BH54" i="10"/>
  <c r="T55" i="10"/>
  <c r="CH42" i="26"/>
  <c r="AZ42" i="12"/>
  <c r="CD42" i="26"/>
  <c r="AV42" i="12"/>
  <c r="BZ42" i="26"/>
  <c r="AR42" i="12"/>
  <c r="AC42" i="26"/>
  <c r="CG42" i="26"/>
  <c r="AY42" i="12"/>
  <c r="CC42" i="26"/>
  <c r="AU42" i="12"/>
  <c r="BY42" i="26"/>
  <c r="AQ42" i="12"/>
  <c r="CJ42" i="26"/>
  <c r="BB42" i="12"/>
  <c r="CF42" i="26"/>
  <c r="AX42" i="12"/>
  <c r="CB42" i="26"/>
  <c r="AT42" i="12"/>
  <c r="BX42" i="26"/>
  <c r="AP42" i="12"/>
  <c r="BV43" i="26"/>
  <c r="CI42" i="26"/>
  <c r="BA42" i="12"/>
  <c r="CE42" i="26"/>
  <c r="AW42" i="12"/>
  <c r="CA42" i="26"/>
  <c r="AS42" i="12"/>
  <c r="BW42" i="26"/>
  <c r="AO42" i="12"/>
  <c r="AE265" i="10"/>
  <c r="AI266" i="10"/>
  <c r="AI265" i="10"/>
  <c r="AJ265" i="10"/>
  <c r="AI264" i="10"/>
  <c r="A44" i="12"/>
  <c r="AI261" i="10"/>
  <c r="D414" i="38"/>
  <c r="E414" i="38"/>
  <c r="C421" i="38"/>
  <c r="D412" i="38"/>
  <c r="E412" i="38"/>
  <c r="C419" i="38"/>
  <c r="I65" i="44"/>
  <c r="G65" i="44"/>
  <c r="AI268" i="10"/>
  <c r="BC61" i="26"/>
  <c r="BH61" i="26"/>
  <c r="AM61" i="12"/>
  <c r="A277" i="38"/>
  <c r="P67" i="1"/>
  <c r="AI271" i="10"/>
  <c r="AI273" i="10"/>
  <c r="AI272" i="10"/>
  <c r="AJ272" i="10"/>
  <c r="AI274" i="10"/>
  <c r="AE266" i="10"/>
  <c r="A45" i="12"/>
  <c r="T67" i="1"/>
  <c r="A285" i="10"/>
  <c r="K283" i="10"/>
  <c r="K280" i="10"/>
  <c r="BG278" i="10"/>
  <c r="P278" i="10"/>
  <c r="P280" i="10"/>
  <c r="P279" i="10"/>
  <c r="AE278" i="10"/>
  <c r="P281" i="10"/>
  <c r="AJ62" i="1"/>
  <c r="CG43" i="26"/>
  <c r="AY43" i="12"/>
  <c r="CC43" i="26"/>
  <c r="AU43" i="12"/>
  <c r="BY43" i="26"/>
  <c r="AQ43" i="12"/>
  <c r="CJ43" i="26"/>
  <c r="BB43" i="12"/>
  <c r="CF43" i="26"/>
  <c r="AX43" i="12"/>
  <c r="CB43" i="26"/>
  <c r="AT43" i="12"/>
  <c r="BX43" i="26"/>
  <c r="AP43" i="12"/>
  <c r="BV44" i="26"/>
  <c r="CI43" i="26"/>
  <c r="BA43" i="12"/>
  <c r="CE43" i="26"/>
  <c r="AW43" i="12"/>
  <c r="CA43" i="26"/>
  <c r="AS43" i="12"/>
  <c r="BW43" i="26"/>
  <c r="AO43" i="12"/>
  <c r="CH43" i="26"/>
  <c r="AZ43" i="12"/>
  <c r="CD43" i="26"/>
  <c r="AV43" i="12"/>
  <c r="BZ43" i="26"/>
  <c r="AR43" i="12"/>
  <c r="AC43" i="26"/>
  <c r="BH55" i="10"/>
  <c r="T56" i="10"/>
  <c r="AE272" i="10"/>
  <c r="D421" i="38"/>
  <c r="E421" i="38"/>
  <c r="C428" i="38"/>
  <c r="C426" i="38"/>
  <c r="D419" i="38"/>
  <c r="E419" i="38"/>
  <c r="G66" i="44"/>
  <c r="I66" i="44"/>
  <c r="AI275" i="10"/>
  <c r="BC62" i="26"/>
  <c r="BH62" i="26"/>
  <c r="AM62" i="12"/>
  <c r="CJ44" i="26"/>
  <c r="BB44" i="12"/>
  <c r="CF44" i="26"/>
  <c r="AX44" i="12"/>
  <c r="CB44" i="26"/>
  <c r="AT44" i="12"/>
  <c r="BX44" i="26"/>
  <c r="AP44" i="12"/>
  <c r="BV45" i="26"/>
  <c r="CI44" i="26"/>
  <c r="BA44" i="12"/>
  <c r="CE44" i="26"/>
  <c r="AW44" i="12"/>
  <c r="CA44" i="26"/>
  <c r="AS44" i="12"/>
  <c r="BW44" i="26"/>
  <c r="AO44" i="12"/>
  <c r="CH44" i="26"/>
  <c r="AZ44" i="12"/>
  <c r="CD44" i="26"/>
  <c r="AV44" i="12"/>
  <c r="BZ44" i="26"/>
  <c r="AR44" i="12"/>
  <c r="AC44" i="26"/>
  <c r="CG44" i="26"/>
  <c r="AY44" i="12"/>
  <c r="CC44" i="26"/>
  <c r="AU44" i="12"/>
  <c r="BY44" i="26"/>
  <c r="AQ44" i="12"/>
  <c r="AJ63" i="1"/>
  <c r="AE279" i="10"/>
  <c r="AI280" i="10"/>
  <c r="AI279" i="10"/>
  <c r="AJ279" i="10"/>
  <c r="AI278" i="10"/>
  <c r="T57" i="10"/>
  <c r="BH56" i="10"/>
  <c r="AE273" i="10"/>
  <c r="AI281" i="10"/>
  <c r="A284" i="38"/>
  <c r="A46" i="12"/>
  <c r="P287" i="10"/>
  <c r="P286" i="10"/>
  <c r="AE285" i="10"/>
  <c r="A292" i="10"/>
  <c r="K290" i="10"/>
  <c r="K287" i="10"/>
  <c r="BG285" i="10"/>
  <c r="P285" i="10"/>
  <c r="P288" i="10"/>
  <c r="J64" i="1"/>
  <c r="P68" i="1"/>
  <c r="Y67" i="1"/>
  <c r="C435" i="38"/>
  <c r="D428" i="38"/>
  <c r="E428" i="38"/>
  <c r="D426" i="38"/>
  <c r="E426" i="38"/>
  <c r="C433" i="38"/>
  <c r="G67" i="44"/>
  <c r="I67" i="44"/>
  <c r="AI282" i="10"/>
  <c r="BC63" i="26"/>
  <c r="BH63" i="26"/>
  <c r="AM63" i="12"/>
  <c r="AI288" i="10"/>
  <c r="A291" i="38"/>
  <c r="S14" i="26"/>
  <c r="AI68" i="1"/>
  <c r="Z62" i="1"/>
  <c r="X64" i="1"/>
  <c r="P69" i="1"/>
  <c r="A299" i="10"/>
  <c r="K297" i="10"/>
  <c r="K294" i="10"/>
  <c r="BG292" i="10"/>
  <c r="P292" i="10"/>
  <c r="P294" i="10"/>
  <c r="P293" i="10"/>
  <c r="AE292" i="10"/>
  <c r="P295" i="10"/>
  <c r="A47" i="12"/>
  <c r="T58" i="10"/>
  <c r="BH57" i="10"/>
  <c r="AE280" i="10"/>
  <c r="BV46" i="26"/>
  <c r="CI45" i="26"/>
  <c r="BA45" i="12"/>
  <c r="CE45" i="26"/>
  <c r="AW45" i="12"/>
  <c r="CA45" i="26"/>
  <c r="AS45" i="12"/>
  <c r="BW45" i="26"/>
  <c r="AO45" i="12"/>
  <c r="CH45" i="26"/>
  <c r="AZ45" i="12"/>
  <c r="CD45" i="26"/>
  <c r="AV45" i="12"/>
  <c r="BZ45" i="26"/>
  <c r="AR45" i="12"/>
  <c r="AC45" i="26"/>
  <c r="CG45" i="26"/>
  <c r="AY45" i="12"/>
  <c r="CC45" i="26"/>
  <c r="AU45" i="12"/>
  <c r="BY45" i="26"/>
  <c r="AQ45" i="12"/>
  <c r="CJ45" i="26"/>
  <c r="BB45" i="12"/>
  <c r="CF45" i="26"/>
  <c r="AX45" i="12"/>
  <c r="CB45" i="26"/>
  <c r="AT45" i="12"/>
  <c r="BX45" i="26"/>
  <c r="AP45" i="12"/>
  <c r="AI285" i="10"/>
  <c r="AI287" i="10"/>
  <c r="AI286" i="10"/>
  <c r="AJ286" i="10"/>
  <c r="Y68" i="1"/>
  <c r="AE286" i="10"/>
  <c r="AJ64" i="1"/>
  <c r="D435" i="38"/>
  <c r="E435" i="38"/>
  <c r="C442" i="38"/>
  <c r="D442" i="38"/>
  <c r="E442" i="38"/>
  <c r="C440" i="38"/>
  <c r="D433" i="38"/>
  <c r="E433" i="38"/>
  <c r="G68" i="44"/>
  <c r="I68" i="44"/>
  <c r="BH64" i="26"/>
  <c r="AM64" i="12"/>
  <c r="BC64" i="26"/>
  <c r="AE293" i="10"/>
  <c r="AI294" i="10"/>
  <c r="AI293" i="10"/>
  <c r="AJ293" i="10"/>
  <c r="AI292" i="10"/>
  <c r="A48" i="12"/>
  <c r="AI295" i="10"/>
  <c r="T69" i="1"/>
  <c r="Z64" i="1"/>
  <c r="U14" i="26"/>
  <c r="AJ65" i="1"/>
  <c r="AE287" i="10"/>
  <c r="P301" i="10"/>
  <c r="P300" i="10"/>
  <c r="AE299" i="10"/>
  <c r="A306" i="10"/>
  <c r="K304" i="10"/>
  <c r="K301" i="10"/>
  <c r="BG299" i="10"/>
  <c r="P299" i="10"/>
  <c r="P302" i="10"/>
  <c r="P70" i="1"/>
  <c r="T70" i="1"/>
  <c r="T14" i="26"/>
  <c r="P14" i="3"/>
  <c r="AI289" i="10"/>
  <c r="CH46" i="26"/>
  <c r="AZ46" i="12"/>
  <c r="CD46" i="26"/>
  <c r="AV46" i="12"/>
  <c r="BZ46" i="26"/>
  <c r="AR46" i="12"/>
  <c r="AC46" i="26"/>
  <c r="CG46" i="26"/>
  <c r="AY46" i="12"/>
  <c r="CC46" i="26"/>
  <c r="AU46" i="12"/>
  <c r="BY46" i="26"/>
  <c r="AQ46" i="12"/>
  <c r="CJ46" i="26"/>
  <c r="BB46" i="12"/>
  <c r="CF46" i="26"/>
  <c r="AX46" i="12"/>
  <c r="CB46" i="26"/>
  <c r="AT46" i="12"/>
  <c r="BX46" i="26"/>
  <c r="AP46" i="12"/>
  <c r="BV47" i="26"/>
  <c r="CI46" i="26"/>
  <c r="BA46" i="12"/>
  <c r="CE46" i="26"/>
  <c r="AW46" i="12"/>
  <c r="CA46" i="26"/>
  <c r="AS46" i="12"/>
  <c r="BW46" i="26"/>
  <c r="AO46" i="12"/>
  <c r="T59" i="10"/>
  <c r="BH58" i="10"/>
  <c r="AA14" i="26"/>
  <c r="Q14" i="26"/>
  <c r="A298" i="38"/>
  <c r="D440" i="38"/>
  <c r="E440" i="38"/>
  <c r="C447" i="38"/>
  <c r="I69" i="44"/>
  <c r="G69" i="44"/>
  <c r="AI296" i="10"/>
  <c r="BC65" i="26"/>
  <c r="BH65" i="26"/>
  <c r="AM65" i="12"/>
  <c r="CG47" i="26"/>
  <c r="AY47" i="12"/>
  <c r="CC47" i="26"/>
  <c r="AU47" i="12"/>
  <c r="BY47" i="26"/>
  <c r="AQ47" i="12"/>
  <c r="CJ47" i="26"/>
  <c r="BB47" i="12"/>
  <c r="CF47" i="26"/>
  <c r="AX47" i="12"/>
  <c r="CB47" i="26"/>
  <c r="AT47" i="12"/>
  <c r="BX47" i="26"/>
  <c r="AP47" i="12"/>
  <c r="BV48" i="26"/>
  <c r="CI47" i="26"/>
  <c r="BA47" i="12"/>
  <c r="CE47" i="26"/>
  <c r="AW47" i="12"/>
  <c r="CA47" i="26"/>
  <c r="AS47" i="12"/>
  <c r="BW47" i="26"/>
  <c r="AO47" i="12"/>
  <c r="CH47" i="26"/>
  <c r="AZ47" i="12"/>
  <c r="CD47" i="26"/>
  <c r="AV47" i="12"/>
  <c r="BZ47" i="26"/>
  <c r="AR47" i="12"/>
  <c r="AC47" i="26"/>
  <c r="A49" i="12"/>
  <c r="P71" i="1"/>
  <c r="T71" i="1"/>
  <c r="A313" i="10"/>
  <c r="K311" i="10"/>
  <c r="K308" i="10"/>
  <c r="BG306" i="10"/>
  <c r="P306" i="10"/>
  <c r="P308" i="10"/>
  <c r="P307" i="10"/>
  <c r="AE306" i="10"/>
  <c r="P309" i="10"/>
  <c r="X14" i="26"/>
  <c r="AI299" i="10"/>
  <c r="AI301" i="10"/>
  <c r="AI300" i="10"/>
  <c r="AJ300" i="10"/>
  <c r="AI302" i="10"/>
  <c r="A305" i="38"/>
  <c r="T60" i="10"/>
  <c r="BH59" i="10"/>
  <c r="AE300" i="10"/>
  <c r="AJ66" i="1"/>
  <c r="AE294" i="10"/>
  <c r="C454" i="38"/>
  <c r="D447" i="38"/>
  <c r="E447" i="38"/>
  <c r="I70" i="44"/>
  <c r="G70" i="44"/>
  <c r="AI303" i="10"/>
  <c r="BC66" i="26"/>
  <c r="BH66" i="26"/>
  <c r="AM66" i="12"/>
  <c r="AI309" i="10"/>
  <c r="T61" i="10"/>
  <c r="BH60" i="10"/>
  <c r="AH59" i="10"/>
  <c r="AI308" i="10"/>
  <c r="AI307" i="10"/>
  <c r="AJ307" i="10"/>
  <c r="AI306" i="10"/>
  <c r="P72" i="1"/>
  <c r="T72" i="1"/>
  <c r="AJ67" i="1"/>
  <c r="A312" i="38"/>
  <c r="P315" i="10"/>
  <c r="P314" i="10"/>
  <c r="AE313" i="10"/>
  <c r="A320" i="10"/>
  <c r="K318" i="10"/>
  <c r="K315" i="10"/>
  <c r="BG313" i="10"/>
  <c r="P313" i="10"/>
  <c r="P316" i="10"/>
  <c r="A50" i="12"/>
  <c r="AE307" i="10"/>
  <c r="AE301" i="10"/>
  <c r="CJ48" i="26"/>
  <c r="BB48" i="12"/>
  <c r="CF48" i="26"/>
  <c r="AX48" i="12"/>
  <c r="CB48" i="26"/>
  <c r="AT48" i="12"/>
  <c r="BX48" i="26"/>
  <c r="AP48" i="12"/>
  <c r="BV49" i="26"/>
  <c r="CI48" i="26"/>
  <c r="BA48" i="12"/>
  <c r="CE48" i="26"/>
  <c r="AW48" i="12"/>
  <c r="CA48" i="26"/>
  <c r="AS48" i="12"/>
  <c r="BW48" i="26"/>
  <c r="AO48" i="12"/>
  <c r="CH48" i="26"/>
  <c r="AZ48" i="12"/>
  <c r="CD48" i="26"/>
  <c r="AV48" i="12"/>
  <c r="BZ48" i="26"/>
  <c r="AR48" i="12"/>
  <c r="AC48" i="26"/>
  <c r="CG48" i="26"/>
  <c r="AY48" i="12"/>
  <c r="CC48" i="26"/>
  <c r="AU48" i="12"/>
  <c r="BY48" i="26"/>
  <c r="AQ48" i="12"/>
  <c r="C461" i="38"/>
  <c r="D454" i="38"/>
  <c r="E454" i="38"/>
  <c r="G71" i="44"/>
  <c r="I71" i="44"/>
  <c r="AI310" i="10"/>
  <c r="BC67" i="26"/>
  <c r="BH67" i="26"/>
  <c r="AM67" i="12"/>
  <c r="AI313" i="10"/>
  <c r="AI315" i="10"/>
  <c r="AI314" i="10"/>
  <c r="AJ314" i="10"/>
  <c r="AI316" i="10"/>
  <c r="AJ68" i="1"/>
  <c r="A319" i="38"/>
  <c r="P73" i="1"/>
  <c r="T73" i="1"/>
  <c r="T62" i="10"/>
  <c r="BH61" i="10"/>
  <c r="BV50" i="26"/>
  <c r="CI49" i="26"/>
  <c r="BA49" i="12"/>
  <c r="CE49" i="26"/>
  <c r="AW49" i="12"/>
  <c r="CA49" i="26"/>
  <c r="AS49" i="12"/>
  <c r="BW49" i="26"/>
  <c r="AO49" i="12"/>
  <c r="CH49" i="26"/>
  <c r="AZ49" i="12"/>
  <c r="CD49" i="26"/>
  <c r="AV49" i="12"/>
  <c r="BZ49" i="26"/>
  <c r="AR49" i="12"/>
  <c r="AC49" i="26"/>
  <c r="CG49" i="26"/>
  <c r="AY49" i="12"/>
  <c r="CC49" i="26"/>
  <c r="AU49" i="12"/>
  <c r="BY49" i="26"/>
  <c r="AQ49" i="12"/>
  <c r="CJ49" i="26"/>
  <c r="BB49" i="12"/>
  <c r="CF49" i="26"/>
  <c r="AX49" i="12"/>
  <c r="CB49" i="26"/>
  <c r="AT49" i="12"/>
  <c r="BX49" i="26"/>
  <c r="AP49" i="12"/>
  <c r="A51" i="12"/>
  <c r="A327" i="10"/>
  <c r="K325" i="10"/>
  <c r="K322" i="10"/>
  <c r="BG320" i="10"/>
  <c r="P320" i="10"/>
  <c r="P322" i="10"/>
  <c r="P321" i="10"/>
  <c r="AE320" i="10"/>
  <c r="P323" i="10"/>
  <c r="AE308" i="10"/>
  <c r="AE314" i="10"/>
  <c r="AH60" i="10"/>
  <c r="AI60" i="10"/>
  <c r="D461" i="38"/>
  <c r="E461" i="38"/>
  <c r="C468" i="38"/>
  <c r="AJ60" i="10"/>
  <c r="G72" i="44"/>
  <c r="I72" i="44"/>
  <c r="AI317" i="10"/>
  <c r="BH68" i="26"/>
  <c r="AM68" i="12"/>
  <c r="BC68" i="26"/>
  <c r="P329" i="10"/>
  <c r="P328" i="10"/>
  <c r="AE327" i="10"/>
  <c r="A334" i="10"/>
  <c r="K332" i="10"/>
  <c r="K329" i="10"/>
  <c r="BG327" i="10"/>
  <c r="P327" i="10"/>
  <c r="P330" i="10"/>
  <c r="AJ69" i="1"/>
  <c r="AE321" i="10"/>
  <c r="AI322" i="10"/>
  <c r="AI321" i="10"/>
  <c r="AJ321" i="10"/>
  <c r="AI320" i="10"/>
  <c r="CH50" i="26"/>
  <c r="AZ50" i="12"/>
  <c r="CD50" i="26"/>
  <c r="AV50" i="12"/>
  <c r="BZ50" i="26"/>
  <c r="AR50" i="12"/>
  <c r="AC50" i="26"/>
  <c r="CG50" i="26"/>
  <c r="AY50" i="12"/>
  <c r="CC50" i="26"/>
  <c r="AU50" i="12"/>
  <c r="BY50" i="26"/>
  <c r="AQ50" i="12"/>
  <c r="CJ50" i="26"/>
  <c r="BB50" i="12"/>
  <c r="CF50" i="26"/>
  <c r="AX50" i="12"/>
  <c r="CB50" i="26"/>
  <c r="AT50" i="12"/>
  <c r="BX50" i="26"/>
  <c r="AP50" i="12"/>
  <c r="BV51" i="26"/>
  <c r="CI50" i="26"/>
  <c r="BA50" i="12"/>
  <c r="CE50" i="26"/>
  <c r="AW50" i="12"/>
  <c r="CA50" i="26"/>
  <c r="AS50" i="12"/>
  <c r="BW50" i="26"/>
  <c r="AO50" i="12"/>
  <c r="AI323" i="10"/>
  <c r="A326" i="38"/>
  <c r="AE315" i="10"/>
  <c r="A52" i="12"/>
  <c r="T63" i="10"/>
  <c r="BH62" i="10"/>
  <c r="P74" i="1"/>
  <c r="T74" i="1"/>
  <c r="C475" i="38"/>
  <c r="D468" i="38"/>
  <c r="E468" i="38"/>
  <c r="AI324" i="10"/>
  <c r="I73" i="44"/>
  <c r="G73" i="44"/>
  <c r="BC69" i="26"/>
  <c r="BH69" i="26"/>
  <c r="AM69" i="12"/>
  <c r="J71" i="1"/>
  <c r="Y74" i="1"/>
  <c r="P75" i="1"/>
  <c r="AI327" i="10"/>
  <c r="AI329" i="10"/>
  <c r="AI328" i="10"/>
  <c r="AJ328" i="10"/>
  <c r="AI330" i="10"/>
  <c r="A333" i="38"/>
  <c r="AJ70" i="1"/>
  <c r="A53" i="12"/>
  <c r="CG51" i="26"/>
  <c r="AY51" i="12"/>
  <c r="CC51" i="26"/>
  <c r="AU51" i="12"/>
  <c r="BY51" i="26"/>
  <c r="AQ51" i="12"/>
  <c r="CJ51" i="26"/>
  <c r="BB51" i="12"/>
  <c r="CF51" i="26"/>
  <c r="AX51" i="12"/>
  <c r="CB51" i="26"/>
  <c r="AT51" i="12"/>
  <c r="BX51" i="26"/>
  <c r="AP51" i="12"/>
  <c r="BV52" i="26"/>
  <c r="CI51" i="26"/>
  <c r="BA51" i="12"/>
  <c r="CE51" i="26"/>
  <c r="AW51" i="12"/>
  <c r="CA51" i="26"/>
  <c r="AS51" i="12"/>
  <c r="BW51" i="26"/>
  <c r="AO51" i="12"/>
  <c r="CH51" i="26"/>
  <c r="AZ51" i="12"/>
  <c r="CD51" i="26"/>
  <c r="AV51" i="12"/>
  <c r="BZ51" i="26"/>
  <c r="AR51" i="12"/>
  <c r="AC51" i="26"/>
  <c r="A341" i="10"/>
  <c r="K339" i="10"/>
  <c r="K336" i="10"/>
  <c r="BG334" i="10"/>
  <c r="P334" i="10"/>
  <c r="P336" i="10"/>
  <c r="P335" i="10"/>
  <c r="AE334" i="10"/>
  <c r="P337" i="10"/>
  <c r="T64" i="10"/>
  <c r="BH63" i="10"/>
  <c r="AE322" i="10"/>
  <c r="AE328" i="10"/>
  <c r="D475" i="38"/>
  <c r="E475" i="38"/>
  <c r="C482" i="38"/>
  <c r="I74" i="44"/>
  <c r="G74" i="44"/>
  <c r="BC70" i="26"/>
  <c r="BH70" i="26"/>
  <c r="AM70" i="12"/>
  <c r="AI337" i="10"/>
  <c r="AI75" i="1"/>
  <c r="Z69" i="1"/>
  <c r="X71" i="1"/>
  <c r="Y75" i="1"/>
  <c r="AE329" i="10"/>
  <c r="A54" i="12"/>
  <c r="A340" i="38"/>
  <c r="P343" i="10"/>
  <c r="P342" i="10"/>
  <c r="AE341" i="10"/>
  <c r="A348" i="10"/>
  <c r="K346" i="10"/>
  <c r="K343" i="10"/>
  <c r="BG341" i="10"/>
  <c r="P341" i="10"/>
  <c r="P344" i="10"/>
  <c r="S15" i="26"/>
  <c r="BH64" i="10"/>
  <c r="T65" i="10"/>
  <c r="AE335" i="10"/>
  <c r="AI336" i="10"/>
  <c r="AI335" i="10"/>
  <c r="AJ335" i="10"/>
  <c r="AI334" i="10"/>
  <c r="CJ52" i="26"/>
  <c r="BB52" i="12"/>
  <c r="CF52" i="26"/>
  <c r="AX52" i="12"/>
  <c r="CB52" i="26"/>
  <c r="AT52" i="12"/>
  <c r="BX52" i="26"/>
  <c r="AP52" i="12"/>
  <c r="BV53" i="26"/>
  <c r="CI52" i="26"/>
  <c r="BA52" i="12"/>
  <c r="CE52" i="26"/>
  <c r="AW52" i="12"/>
  <c r="CA52" i="26"/>
  <c r="AS52" i="12"/>
  <c r="BW52" i="26"/>
  <c r="AO52" i="12"/>
  <c r="CH52" i="26"/>
  <c r="AZ52" i="12"/>
  <c r="CD52" i="26"/>
  <c r="AV52" i="12"/>
  <c r="BZ52" i="26"/>
  <c r="AR52" i="12"/>
  <c r="AC52" i="26"/>
  <c r="CG52" i="26"/>
  <c r="AY52" i="12"/>
  <c r="CC52" i="26"/>
  <c r="AU52" i="12"/>
  <c r="BY52" i="26"/>
  <c r="AQ52" i="12"/>
  <c r="AJ71" i="1"/>
  <c r="AI331" i="10"/>
  <c r="P76" i="1"/>
  <c r="D482" i="38"/>
  <c r="E482" i="38"/>
  <c r="C489" i="38"/>
  <c r="I75" i="44"/>
  <c r="G75" i="44"/>
  <c r="BH71" i="26"/>
  <c r="AM71" i="12"/>
  <c r="BC71" i="26"/>
  <c r="AE336" i="10"/>
  <c r="A347" i="38"/>
  <c r="Q15" i="26"/>
  <c r="AA15" i="26"/>
  <c r="T76" i="1"/>
  <c r="T15" i="26"/>
  <c r="P15" i="3"/>
  <c r="AI344" i="10"/>
  <c r="P77" i="1"/>
  <c r="T77" i="1"/>
  <c r="A355" i="10"/>
  <c r="K353" i="10"/>
  <c r="K350" i="10"/>
  <c r="BG348" i="10"/>
  <c r="P348" i="10"/>
  <c r="P350" i="10"/>
  <c r="P349" i="10"/>
  <c r="AE348" i="10"/>
  <c r="P351" i="10"/>
  <c r="A55" i="12"/>
  <c r="U15" i="26"/>
  <c r="Z71" i="1"/>
  <c r="AI338" i="10"/>
  <c r="AJ72" i="1"/>
  <c r="BV54" i="26"/>
  <c r="CI53" i="26"/>
  <c r="BA53" i="12"/>
  <c r="CE53" i="26"/>
  <c r="AW53" i="12"/>
  <c r="CA53" i="26"/>
  <c r="AS53" i="12"/>
  <c r="BW53" i="26"/>
  <c r="AO53" i="12"/>
  <c r="CH53" i="26"/>
  <c r="AZ53" i="12"/>
  <c r="CD53" i="26"/>
  <c r="AV53" i="12"/>
  <c r="BZ53" i="26"/>
  <c r="AR53" i="12"/>
  <c r="AC53" i="26"/>
  <c r="CG53" i="26"/>
  <c r="AY53" i="12"/>
  <c r="CC53" i="26"/>
  <c r="AU53" i="12"/>
  <c r="BY53" i="26"/>
  <c r="AQ53" i="12"/>
  <c r="CJ53" i="26"/>
  <c r="BB53" i="12"/>
  <c r="CF53" i="26"/>
  <c r="AX53" i="12"/>
  <c r="CB53" i="26"/>
  <c r="AT53" i="12"/>
  <c r="BX53" i="26"/>
  <c r="AP53" i="12"/>
  <c r="AI341" i="10"/>
  <c r="AI343" i="10"/>
  <c r="AI342" i="10"/>
  <c r="AJ342" i="10"/>
  <c r="BH65" i="10"/>
  <c r="T66" i="10"/>
  <c r="AE342" i="10"/>
  <c r="C496" i="38"/>
  <c r="D489" i="38"/>
  <c r="E489" i="38"/>
  <c r="G76" i="44"/>
  <c r="I76" i="44"/>
  <c r="AI345" i="10"/>
  <c r="BC72" i="26"/>
  <c r="BH72" i="26"/>
  <c r="AM72" i="12"/>
  <c r="AE349" i="10"/>
  <c r="AI350" i="10"/>
  <c r="AI349" i="10"/>
  <c r="AJ349" i="10"/>
  <c r="AI348" i="10"/>
  <c r="P78" i="1"/>
  <c r="T78" i="1"/>
  <c r="X15" i="26"/>
  <c r="A354" i="38"/>
  <c r="CH54" i="26"/>
  <c r="AZ54" i="12"/>
  <c r="CD54" i="26"/>
  <c r="AV54" i="12"/>
  <c r="BZ54" i="26"/>
  <c r="AR54" i="12"/>
  <c r="AC54" i="26"/>
  <c r="CG54" i="26"/>
  <c r="AY54" i="12"/>
  <c r="CC54" i="26"/>
  <c r="AU54" i="12"/>
  <c r="BY54" i="26"/>
  <c r="AQ54" i="12"/>
  <c r="CJ54" i="26"/>
  <c r="BB54" i="12"/>
  <c r="CF54" i="26"/>
  <c r="AX54" i="12"/>
  <c r="CB54" i="26"/>
  <c r="AT54" i="12"/>
  <c r="BX54" i="26"/>
  <c r="AP54" i="12"/>
  <c r="BV55" i="26"/>
  <c r="CI54" i="26"/>
  <c r="BA54" i="12"/>
  <c r="CE54" i="26"/>
  <c r="AW54" i="12"/>
  <c r="CA54" i="26"/>
  <c r="AS54" i="12"/>
  <c r="BW54" i="26"/>
  <c r="AO54" i="12"/>
  <c r="A56" i="12"/>
  <c r="AI351" i="10"/>
  <c r="AE343" i="10"/>
  <c r="BH66" i="10"/>
  <c r="T67" i="10"/>
  <c r="AJ73" i="1"/>
  <c r="P357" i="10"/>
  <c r="P356" i="10"/>
  <c r="AE355" i="10"/>
  <c r="A362" i="10"/>
  <c r="K360" i="10"/>
  <c r="K357" i="10"/>
  <c r="BG355" i="10"/>
  <c r="P355" i="10"/>
  <c r="P358" i="10"/>
  <c r="C503" i="38"/>
  <c r="D496" i="38"/>
  <c r="E496" i="38"/>
  <c r="G77" i="44"/>
  <c r="I77" i="44"/>
  <c r="AI352" i="10"/>
  <c r="BC73" i="26"/>
  <c r="BH73" i="26"/>
  <c r="AM73" i="12"/>
  <c r="AE350" i="10"/>
  <c r="A369" i="10"/>
  <c r="K367" i="10"/>
  <c r="K364" i="10"/>
  <c r="BG362" i="10"/>
  <c r="P362" i="10"/>
  <c r="P364" i="10"/>
  <c r="P363" i="10"/>
  <c r="AE362" i="10"/>
  <c r="P365" i="10"/>
  <c r="P79" i="1"/>
  <c r="T79" i="1"/>
  <c r="AE356" i="10"/>
  <c r="A57" i="12"/>
  <c r="CG55" i="26"/>
  <c r="AY55" i="12"/>
  <c r="CC55" i="26"/>
  <c r="AU55" i="12"/>
  <c r="BY55" i="26"/>
  <c r="AQ55" i="12"/>
  <c r="BQ55" i="26"/>
  <c r="X55" i="12"/>
  <c r="CJ55" i="26"/>
  <c r="BB55" i="12"/>
  <c r="CF55" i="26"/>
  <c r="AX55" i="12"/>
  <c r="CB55" i="26"/>
  <c r="AT55" i="12"/>
  <c r="BX55" i="26"/>
  <c r="AP55" i="12"/>
  <c r="BP55" i="26"/>
  <c r="BV56" i="26"/>
  <c r="CI55" i="26"/>
  <c r="BA55" i="12"/>
  <c r="CE55" i="26"/>
  <c r="AW55" i="12"/>
  <c r="CA55" i="26"/>
  <c r="AS55" i="12"/>
  <c r="BW55" i="26"/>
  <c r="AO55" i="12"/>
  <c r="CH55" i="26"/>
  <c r="AZ55" i="12"/>
  <c r="CD55" i="26"/>
  <c r="AV55" i="12"/>
  <c r="BZ55" i="26"/>
  <c r="AR55" i="12"/>
  <c r="BN55" i="26"/>
  <c r="U55" i="12"/>
  <c r="AC55" i="26"/>
  <c r="A361" i="38"/>
  <c r="AI355" i="10"/>
  <c r="AI357" i="10"/>
  <c r="AI356" i="10"/>
  <c r="AJ356" i="10"/>
  <c r="AI358" i="10"/>
  <c r="AJ74" i="1"/>
  <c r="T68" i="10"/>
  <c r="BH67" i="10"/>
  <c r="AH66" i="10"/>
  <c r="D503" i="38"/>
  <c r="E503" i="38"/>
  <c r="C510" i="38"/>
  <c r="AI359" i="10"/>
  <c r="G78" i="44"/>
  <c r="I78" i="44"/>
  <c r="BR55" i="26"/>
  <c r="Y55" i="12"/>
  <c r="BC74" i="26"/>
  <c r="BH74" i="26"/>
  <c r="AM74" i="12"/>
  <c r="AJ75" i="1"/>
  <c r="BH68" i="10"/>
  <c r="T69" i="10"/>
  <c r="A58" i="12"/>
  <c r="O7" i="10"/>
  <c r="Q7" i="10"/>
  <c r="BA6" i="26"/>
  <c r="AB6" i="12"/>
  <c r="O14" i="10"/>
  <c r="Q14" i="10"/>
  <c r="BA7" i="26"/>
  <c r="AB7" i="12"/>
  <c r="O16" i="10"/>
  <c r="O17" i="10"/>
  <c r="Q17" i="10"/>
  <c r="O23" i="10"/>
  <c r="O24" i="10"/>
  <c r="Q24" i="10"/>
  <c r="Q21" i="10"/>
  <c r="BA8" i="26"/>
  <c r="AB8" i="12"/>
  <c r="O28" i="10"/>
  <c r="Q28" i="10"/>
  <c r="BA9" i="26"/>
  <c r="AB9" i="12"/>
  <c r="O30" i="10"/>
  <c r="O31" i="10"/>
  <c r="Q31" i="10"/>
  <c r="O38" i="10"/>
  <c r="Q38" i="10"/>
  <c r="O37" i="10"/>
  <c r="O35" i="10"/>
  <c r="Q35" i="10"/>
  <c r="O45" i="10"/>
  <c r="Q45" i="10"/>
  <c r="O42" i="10"/>
  <c r="Q42" i="10"/>
  <c r="BA11" i="26"/>
  <c r="AB11" i="12"/>
  <c r="O44" i="10"/>
  <c r="O51" i="10"/>
  <c r="O52" i="10"/>
  <c r="Q52" i="10"/>
  <c r="O49" i="10"/>
  <c r="Q49" i="10"/>
  <c r="BA12" i="26"/>
  <c r="AB12" i="12"/>
  <c r="O56" i="10"/>
  <c r="Q56" i="10"/>
  <c r="BA13" i="26"/>
  <c r="AB13" i="12"/>
  <c r="O58" i="10"/>
  <c r="O59" i="10"/>
  <c r="Q59" i="10"/>
  <c r="O63" i="10"/>
  <c r="Q63" i="10"/>
  <c r="BA14" i="26"/>
  <c r="AB14" i="12"/>
  <c r="O66" i="10"/>
  <c r="Q66" i="10"/>
  <c r="O65" i="10"/>
  <c r="O73" i="10"/>
  <c r="Q73" i="10"/>
  <c r="O70" i="10"/>
  <c r="Q70" i="10"/>
  <c r="BA15" i="26"/>
  <c r="AB15" i="12"/>
  <c r="O72" i="10"/>
  <c r="O79" i="10"/>
  <c r="O80" i="10"/>
  <c r="Q80" i="10"/>
  <c r="O77" i="10"/>
  <c r="Q77" i="10"/>
  <c r="BA16" i="26"/>
  <c r="AB16" i="12"/>
  <c r="O87" i="10"/>
  <c r="Q87" i="10"/>
  <c r="O84" i="10"/>
  <c r="Q84" i="10"/>
  <c r="O86" i="10"/>
  <c r="O91" i="10"/>
  <c r="Q91" i="10"/>
  <c r="BA18" i="26"/>
  <c r="AB18" i="12"/>
  <c r="O93" i="10"/>
  <c r="O94" i="10"/>
  <c r="Q94" i="10"/>
  <c r="O101" i="10"/>
  <c r="Q101" i="10"/>
  <c r="O98" i="10"/>
  <c r="Q98" i="10"/>
  <c r="BA19" i="26"/>
  <c r="AB19" i="12"/>
  <c r="O100" i="10"/>
  <c r="O107" i="10"/>
  <c r="O108" i="10"/>
  <c r="Q108" i="10"/>
  <c r="O105" i="10"/>
  <c r="Q105" i="10"/>
  <c r="BA20" i="26"/>
  <c r="AB20" i="12"/>
  <c r="O112" i="10"/>
  <c r="Q112" i="10"/>
  <c r="BA21" i="26"/>
  <c r="AB21" i="12"/>
  <c r="O114" i="10"/>
  <c r="O115" i="10"/>
  <c r="Q115" i="10"/>
  <c r="O121" i="10"/>
  <c r="O122" i="10"/>
  <c r="Q122" i="10"/>
  <c r="O119" i="10"/>
  <c r="Q119" i="10"/>
  <c r="O129" i="10"/>
  <c r="Q129" i="10"/>
  <c r="O126" i="10"/>
  <c r="Q126" i="10"/>
  <c r="BA23" i="26"/>
  <c r="AB23" i="12"/>
  <c r="O128" i="10"/>
  <c r="O133" i="10"/>
  <c r="Q133" i="10"/>
  <c r="BA24" i="26"/>
  <c r="AB24" i="12"/>
  <c r="O135" i="10"/>
  <c r="O136" i="10"/>
  <c r="Q136" i="10"/>
  <c r="O143" i="10"/>
  <c r="Q143" i="10"/>
  <c r="O140" i="10"/>
  <c r="Q140" i="10"/>
  <c r="O142" i="10"/>
  <c r="O150" i="10"/>
  <c r="Q150" i="10"/>
  <c r="O147" i="10"/>
  <c r="Q147" i="10"/>
  <c r="BA26" i="26"/>
  <c r="AB26" i="12"/>
  <c r="O149" i="10"/>
  <c r="O154" i="10"/>
  <c r="Q154" i="10"/>
  <c r="BA27" i="26"/>
  <c r="AB27" i="12"/>
  <c r="O156" i="10"/>
  <c r="O157" i="10"/>
  <c r="Q157" i="10"/>
  <c r="O161" i="10"/>
  <c r="Q161" i="10"/>
  <c r="BA28" i="26"/>
  <c r="AB28" i="12"/>
  <c r="O163" i="10"/>
  <c r="O164" i="10"/>
  <c r="Q164" i="10"/>
  <c r="O171" i="10"/>
  <c r="Q171" i="10"/>
  <c r="O168" i="10"/>
  <c r="Q168" i="10"/>
  <c r="BA29" i="26"/>
  <c r="AB29" i="12"/>
  <c r="O170" i="10"/>
  <c r="O178" i="10"/>
  <c r="Q178" i="10"/>
  <c r="O175" i="10"/>
  <c r="Q175" i="10"/>
  <c r="BA30" i="26"/>
  <c r="AB30" i="12"/>
  <c r="O177" i="10"/>
  <c r="O182" i="10"/>
  <c r="Q182" i="10"/>
  <c r="BA31" i="26"/>
  <c r="AB31" i="12"/>
  <c r="O184" i="10"/>
  <c r="O185" i="10"/>
  <c r="Q185" i="10"/>
  <c r="O191" i="10"/>
  <c r="O192" i="10"/>
  <c r="Q192" i="10"/>
  <c r="O189" i="10"/>
  <c r="Q189" i="10"/>
  <c r="BA32" i="26"/>
  <c r="AB32" i="12"/>
  <c r="O199" i="10"/>
  <c r="Q199" i="10"/>
  <c r="O196" i="10"/>
  <c r="Q196" i="10"/>
  <c r="O198" i="10"/>
  <c r="O206" i="10"/>
  <c r="Q206" i="10"/>
  <c r="O203" i="10"/>
  <c r="Q203" i="10"/>
  <c r="BA34" i="26"/>
  <c r="AB34" i="12"/>
  <c r="O205" i="10"/>
  <c r="O213" i="10"/>
  <c r="Q213" i="10"/>
  <c r="O210" i="10"/>
  <c r="Q210" i="10"/>
  <c r="BA35" i="26"/>
  <c r="AB35" i="12"/>
  <c r="O212" i="10"/>
  <c r="O219" i="10"/>
  <c r="O220" i="10"/>
  <c r="Q220" i="10"/>
  <c r="O217" i="10"/>
  <c r="Q217" i="10"/>
  <c r="BA36" i="26"/>
  <c r="AB36" i="12"/>
  <c r="O227" i="10"/>
  <c r="Q227" i="10"/>
  <c r="O224" i="10"/>
  <c r="Q224" i="10"/>
  <c r="BA37" i="26"/>
  <c r="AB37" i="12"/>
  <c r="O226" i="10"/>
  <c r="O231" i="10"/>
  <c r="Q231" i="10"/>
  <c r="BA38" i="26"/>
  <c r="AB38" i="12"/>
  <c r="O234" i="10"/>
  <c r="Q234" i="10"/>
  <c r="O233" i="10"/>
  <c r="O241" i="10"/>
  <c r="Q241" i="10"/>
  <c r="O240" i="10"/>
  <c r="O238" i="10"/>
  <c r="Q238" i="10"/>
  <c r="BA39" i="26"/>
  <c r="AB39" i="12"/>
  <c r="O245" i="10"/>
  <c r="Q245" i="10"/>
  <c r="BA40" i="26"/>
  <c r="AB40" i="12"/>
  <c r="O247" i="10"/>
  <c r="O248" i="10"/>
  <c r="Q248" i="10"/>
  <c r="O255" i="10"/>
  <c r="Q255" i="10"/>
  <c r="O252" i="10"/>
  <c r="Q252" i="10"/>
  <c r="O254" i="10"/>
  <c r="O259" i="10"/>
  <c r="Q259" i="10"/>
  <c r="BA42" i="26"/>
  <c r="AB42" i="12"/>
  <c r="O261" i="10"/>
  <c r="O262" i="10"/>
  <c r="Q262" i="10"/>
  <c r="O266" i="10"/>
  <c r="Q266" i="10"/>
  <c r="BA43" i="26"/>
  <c r="AB43" i="12"/>
  <c r="O268" i="10"/>
  <c r="O269" i="10"/>
  <c r="Q269" i="10"/>
  <c r="O273" i="10"/>
  <c r="Q273" i="10"/>
  <c r="O275" i="10"/>
  <c r="O276" i="10"/>
  <c r="Q276" i="10"/>
  <c r="O283" i="10"/>
  <c r="Q283" i="10"/>
  <c r="O282" i="10"/>
  <c r="O280" i="10"/>
  <c r="Q280" i="10"/>
  <c r="BA45" i="26"/>
  <c r="AB45" i="12"/>
  <c r="O287" i="10"/>
  <c r="Q287" i="10"/>
  <c r="BA46" i="26"/>
  <c r="AB46" i="12"/>
  <c r="O289" i="10"/>
  <c r="O290" i="10"/>
  <c r="Q290" i="10"/>
  <c r="O294" i="10"/>
  <c r="Q294" i="10"/>
  <c r="BA47" i="26"/>
  <c r="AB47" i="12"/>
  <c r="O296" i="10"/>
  <c r="O297" i="10"/>
  <c r="Q297" i="10"/>
  <c r="O301" i="10"/>
  <c r="Q301" i="10"/>
  <c r="BA48" i="26"/>
  <c r="AB48" i="12"/>
  <c r="O303" i="10"/>
  <c r="O304" i="10"/>
  <c r="Q304" i="10"/>
  <c r="O308" i="10"/>
  <c r="Q308" i="10"/>
  <c r="BA49" i="26"/>
  <c r="AB49" i="12"/>
  <c r="O310" i="10"/>
  <c r="O311" i="10"/>
  <c r="Q311" i="10"/>
  <c r="O315" i="10"/>
  <c r="Q315" i="10"/>
  <c r="BA50" i="26"/>
  <c r="AB50" i="12"/>
  <c r="O317" i="10"/>
  <c r="O318" i="10"/>
  <c r="Q318" i="10"/>
  <c r="O322" i="10"/>
  <c r="Q322" i="10"/>
  <c r="BA51" i="26"/>
  <c r="AB51" i="12"/>
  <c r="O324" i="10"/>
  <c r="O325" i="10"/>
  <c r="Q325" i="10"/>
  <c r="O329" i="10"/>
  <c r="Q329" i="10"/>
  <c r="O331" i="10"/>
  <c r="O332" i="10"/>
  <c r="Q332" i="10"/>
  <c r="O336" i="10"/>
  <c r="Q336" i="10"/>
  <c r="BA53" i="26"/>
  <c r="AB53" i="12"/>
  <c r="O338" i="10"/>
  <c r="O339" i="10"/>
  <c r="Q339" i="10"/>
  <c r="O343" i="10"/>
  <c r="Q343" i="10"/>
  <c r="BA54" i="26"/>
  <c r="AB54" i="12"/>
  <c r="O345" i="10"/>
  <c r="O346" i="10"/>
  <c r="Q346" i="10"/>
  <c r="O353" i="10"/>
  <c r="Q353" i="10"/>
  <c r="O352" i="10"/>
  <c r="O350" i="10"/>
  <c r="Q350" i="10"/>
  <c r="BA55" i="26"/>
  <c r="AB55" i="12"/>
  <c r="O357" i="10"/>
  <c r="Q357" i="10"/>
  <c r="BA56" i="26"/>
  <c r="AB56" i="12"/>
  <c r="O359" i="10"/>
  <c r="O360" i="10"/>
  <c r="Q360" i="10"/>
  <c r="AE363" i="10"/>
  <c r="AI364" i="10"/>
  <c r="AI363" i="10"/>
  <c r="AJ363" i="10"/>
  <c r="AI362" i="10"/>
  <c r="CJ56" i="26"/>
  <c r="BB56" i="12"/>
  <c r="CF56" i="26"/>
  <c r="AX56" i="12"/>
  <c r="CB56" i="26"/>
  <c r="AT56" i="12"/>
  <c r="BX56" i="26"/>
  <c r="AP56" i="12"/>
  <c r="BP56" i="26"/>
  <c r="BV57" i="26"/>
  <c r="CI56" i="26"/>
  <c r="BA56" i="12"/>
  <c r="CE56" i="26"/>
  <c r="AW56" i="12"/>
  <c r="CA56" i="26"/>
  <c r="AS56" i="12"/>
  <c r="BW56" i="26"/>
  <c r="AO56" i="12"/>
  <c r="CH56" i="26"/>
  <c r="AZ56" i="12"/>
  <c r="CD56" i="26"/>
  <c r="AV56" i="12"/>
  <c r="BZ56" i="26"/>
  <c r="AR56" i="12"/>
  <c r="BN56" i="26"/>
  <c r="U56" i="12"/>
  <c r="AC56" i="26"/>
  <c r="CG56" i="26"/>
  <c r="AY56" i="12"/>
  <c r="CC56" i="26"/>
  <c r="AU56" i="12"/>
  <c r="BY56" i="26"/>
  <c r="AQ56" i="12"/>
  <c r="BQ56" i="26"/>
  <c r="X56" i="12"/>
  <c r="P80" i="1"/>
  <c r="T80" i="1"/>
  <c r="AI365" i="10"/>
  <c r="A368" i="38"/>
  <c r="AH67" i="10"/>
  <c r="AI67" i="10"/>
  <c r="AJ67" i="10"/>
  <c r="AE357" i="10"/>
  <c r="O367" i="10"/>
  <c r="Q367" i="10"/>
  <c r="P371" i="10"/>
  <c r="P370" i="10"/>
  <c r="AE369" i="10"/>
  <c r="K374" i="10"/>
  <c r="K371" i="10"/>
  <c r="A376" i="10"/>
  <c r="BG369" i="10"/>
  <c r="P369" i="10"/>
  <c r="BT56" i="26"/>
  <c r="BG56" i="12"/>
  <c r="BT52" i="26"/>
  <c r="BG52" i="12"/>
  <c r="BT48" i="26"/>
  <c r="BG48" i="12"/>
  <c r="BT44" i="26"/>
  <c r="BG44" i="12"/>
  <c r="BT40" i="26"/>
  <c r="BG40" i="12"/>
  <c r="BT36" i="26"/>
  <c r="BG36" i="12"/>
  <c r="BT32" i="26"/>
  <c r="BG32" i="12"/>
  <c r="BT28" i="26"/>
  <c r="BG28" i="12"/>
  <c r="BT25" i="26"/>
  <c r="BG25" i="12"/>
  <c r="BT24" i="26"/>
  <c r="BG24" i="12"/>
  <c r="BT23" i="26"/>
  <c r="BG23" i="12"/>
  <c r="BT19" i="26"/>
  <c r="BG19" i="12"/>
  <c r="BA17" i="26"/>
  <c r="AB17" i="12"/>
  <c r="BT15" i="26"/>
  <c r="BG15" i="12"/>
  <c r="BT11" i="26"/>
  <c r="BG11" i="12"/>
  <c r="BT7" i="26"/>
  <c r="BG7" i="12"/>
  <c r="BT55" i="26"/>
  <c r="BG55" i="12"/>
  <c r="BT51" i="26"/>
  <c r="BG51" i="12"/>
  <c r="BT47" i="26"/>
  <c r="BG47" i="12"/>
  <c r="BT43" i="26"/>
  <c r="BG43" i="12"/>
  <c r="BA41" i="26"/>
  <c r="AB41" i="12"/>
  <c r="BT39" i="26"/>
  <c r="BG39" i="12"/>
  <c r="BT35" i="26"/>
  <c r="BG35" i="12"/>
  <c r="BA33" i="26"/>
  <c r="AB33" i="12"/>
  <c r="BT31" i="26"/>
  <c r="BG31" i="12"/>
  <c r="BT27" i="26"/>
  <c r="BG27" i="12"/>
  <c r="BA22" i="26"/>
  <c r="AB22" i="12"/>
  <c r="BT20" i="26"/>
  <c r="BG20" i="12"/>
  <c r="BT16" i="26"/>
  <c r="BG16" i="12"/>
  <c r="BT12" i="26"/>
  <c r="BG12" i="12"/>
  <c r="BA10" i="26"/>
  <c r="AB10" i="12"/>
  <c r="BT8" i="26"/>
  <c r="BG8" i="12"/>
  <c r="BT54" i="26"/>
  <c r="BG54" i="12"/>
  <c r="BA52" i="26"/>
  <c r="AB52" i="12"/>
  <c r="BT50" i="26"/>
  <c r="BG50" i="12"/>
  <c r="BT46" i="26"/>
  <c r="BG46" i="12"/>
  <c r="BA44" i="26"/>
  <c r="AB44" i="12"/>
  <c r="BT42" i="26"/>
  <c r="BG42" i="12"/>
  <c r="BT38" i="26"/>
  <c r="BG38" i="12"/>
  <c r="BT34" i="26"/>
  <c r="BG34" i="12"/>
  <c r="BT30" i="26"/>
  <c r="BG30" i="12"/>
  <c r="BT26" i="26"/>
  <c r="BG26" i="12"/>
  <c r="BA25" i="26"/>
  <c r="AB25" i="12"/>
  <c r="BT21" i="26"/>
  <c r="BG21" i="12"/>
  <c r="BT17" i="26"/>
  <c r="BG17" i="12"/>
  <c r="BT13" i="26"/>
  <c r="BG13" i="12"/>
  <c r="BT9" i="26"/>
  <c r="BG9" i="12"/>
  <c r="BT53" i="26"/>
  <c r="BG53" i="12"/>
  <c r="BT49" i="26"/>
  <c r="BG49" i="12"/>
  <c r="BT45" i="26"/>
  <c r="BG45" i="12"/>
  <c r="BT41" i="26"/>
  <c r="BG41" i="12"/>
  <c r="BT37" i="26"/>
  <c r="BG37" i="12"/>
  <c r="BT33" i="26"/>
  <c r="BG33" i="12"/>
  <c r="BT29" i="26"/>
  <c r="BG29" i="12"/>
  <c r="BT22" i="26"/>
  <c r="BG22" i="12"/>
  <c r="BT18" i="26"/>
  <c r="BG18" i="12"/>
  <c r="BT14" i="26"/>
  <c r="BG14" i="12"/>
  <c r="BT10" i="26"/>
  <c r="BG10" i="12"/>
  <c r="BT6" i="26"/>
  <c r="BG6" i="12"/>
  <c r="P372" i="10"/>
  <c r="C4" i="38"/>
  <c r="BP6" i="26"/>
  <c r="C11" i="38"/>
  <c r="BN6" i="26"/>
  <c r="U6" i="12"/>
  <c r="BQ6" i="26"/>
  <c r="X6" i="12"/>
  <c r="C18" i="38"/>
  <c r="BN7" i="26"/>
  <c r="U7" i="12"/>
  <c r="BQ7" i="26"/>
  <c r="X7" i="12"/>
  <c r="BP7" i="26"/>
  <c r="BP8" i="26"/>
  <c r="BQ8" i="26"/>
  <c r="X8" i="12"/>
  <c r="C25" i="38"/>
  <c r="BN8" i="26"/>
  <c r="U8" i="12"/>
  <c r="BP9" i="26"/>
  <c r="BN9" i="26"/>
  <c r="U9" i="12"/>
  <c r="BQ9" i="26"/>
  <c r="X9" i="12"/>
  <c r="C32" i="38"/>
  <c r="C39" i="38"/>
  <c r="BP10" i="26"/>
  <c r="BN10" i="26"/>
  <c r="U10" i="12"/>
  <c r="BQ10" i="26"/>
  <c r="X10" i="12"/>
  <c r="BN11" i="26"/>
  <c r="U11" i="12"/>
  <c r="BQ11" i="26"/>
  <c r="X11" i="12"/>
  <c r="C46" i="38"/>
  <c r="BP11" i="26"/>
  <c r="BQ12" i="26"/>
  <c r="X12" i="12"/>
  <c r="BN12" i="26"/>
  <c r="U12" i="12"/>
  <c r="BP12" i="26"/>
  <c r="C53" i="38"/>
  <c r="BP13" i="26"/>
  <c r="C60" i="38"/>
  <c r="BN13" i="26"/>
  <c r="U13" i="12"/>
  <c r="BQ13" i="26"/>
  <c r="X13" i="12"/>
  <c r="BP14" i="26"/>
  <c r="BN14" i="26"/>
  <c r="U14" i="12"/>
  <c r="BQ14" i="26"/>
  <c r="X14" i="12"/>
  <c r="BP15" i="26"/>
  <c r="BN15" i="26"/>
  <c r="U15" i="12"/>
  <c r="BQ15" i="26"/>
  <c r="X15" i="12"/>
  <c r="BP16" i="26"/>
  <c r="BQ16" i="26"/>
  <c r="X16" i="12"/>
  <c r="BN16" i="26"/>
  <c r="U16" i="12"/>
  <c r="BN17" i="26"/>
  <c r="U17" i="12"/>
  <c r="BQ17" i="26"/>
  <c r="X17" i="12"/>
  <c r="BP17" i="26"/>
  <c r="BP18" i="26"/>
  <c r="BN18" i="26"/>
  <c r="U18" i="12"/>
  <c r="BQ18" i="26"/>
  <c r="X18" i="12"/>
  <c r="BN19" i="26"/>
  <c r="U19" i="12"/>
  <c r="BQ19" i="26"/>
  <c r="X19" i="12"/>
  <c r="BP19" i="26"/>
  <c r="BP20" i="26"/>
  <c r="BQ20" i="26"/>
  <c r="X20" i="12"/>
  <c r="BN20" i="26"/>
  <c r="U20" i="12"/>
  <c r="BN21" i="26"/>
  <c r="U21" i="12"/>
  <c r="BQ21" i="26"/>
  <c r="X21" i="12"/>
  <c r="BP21" i="26"/>
  <c r="BP22" i="26"/>
  <c r="BN22" i="26"/>
  <c r="U22" i="12"/>
  <c r="BQ22" i="26"/>
  <c r="X22" i="12"/>
  <c r="BN23" i="26"/>
  <c r="U23" i="12"/>
  <c r="BP23" i="26"/>
  <c r="BQ23" i="26"/>
  <c r="X23" i="12"/>
  <c r="BN24" i="26"/>
  <c r="U24" i="12"/>
  <c r="BP24" i="26"/>
  <c r="BQ24" i="26"/>
  <c r="X24" i="12"/>
  <c r="BP25" i="26"/>
  <c r="BQ25" i="26"/>
  <c r="X25" i="12"/>
  <c r="BN25" i="26"/>
  <c r="U25" i="12"/>
  <c r="BP26" i="26"/>
  <c r="BN26" i="26"/>
  <c r="U26" i="12"/>
  <c r="BQ26" i="26"/>
  <c r="X26" i="12"/>
  <c r="BN27" i="26"/>
  <c r="U27" i="12"/>
  <c r="BP27" i="26"/>
  <c r="BQ27" i="26"/>
  <c r="X27" i="12"/>
  <c r="BQ28" i="26"/>
  <c r="X28" i="12"/>
  <c r="BN28" i="26"/>
  <c r="U28" i="12"/>
  <c r="BP28" i="26"/>
  <c r="BQ29" i="26"/>
  <c r="X29" i="12"/>
  <c r="BN29" i="26"/>
  <c r="U29" i="12"/>
  <c r="BP29" i="26"/>
  <c r="BN30" i="26"/>
  <c r="U30" i="12"/>
  <c r="BP30" i="26"/>
  <c r="BQ30" i="26"/>
  <c r="X30" i="12"/>
  <c r="BP31" i="26"/>
  <c r="BQ31" i="26"/>
  <c r="X31" i="12"/>
  <c r="BN31" i="26"/>
  <c r="U31" i="12"/>
  <c r="BP32" i="26"/>
  <c r="BQ32" i="26"/>
  <c r="X32" i="12"/>
  <c r="BN32" i="26"/>
  <c r="U32" i="12"/>
  <c r="BQ33" i="26"/>
  <c r="X33" i="12"/>
  <c r="BN33" i="26"/>
  <c r="U33" i="12"/>
  <c r="BP33" i="26"/>
  <c r="BQ34" i="26"/>
  <c r="X34" i="12"/>
  <c r="BP34" i="26"/>
  <c r="BN34" i="26"/>
  <c r="U34" i="12"/>
  <c r="BN35" i="26"/>
  <c r="U35" i="12"/>
  <c r="BQ35" i="26"/>
  <c r="X35" i="12"/>
  <c r="BP35" i="26"/>
  <c r="BQ36" i="26"/>
  <c r="X36" i="12"/>
  <c r="BN36" i="26"/>
  <c r="U36" i="12"/>
  <c r="BP36" i="26"/>
  <c r="BN37" i="26"/>
  <c r="U37" i="12"/>
  <c r="BP37" i="26"/>
  <c r="BQ37" i="26"/>
  <c r="X37" i="12"/>
  <c r="BP38" i="26"/>
  <c r="BQ38" i="26"/>
  <c r="X38" i="12"/>
  <c r="BN38" i="26"/>
  <c r="U38" i="12"/>
  <c r="BP39" i="26"/>
  <c r="BQ39" i="26"/>
  <c r="X39" i="12"/>
  <c r="BN39" i="26"/>
  <c r="U39" i="12"/>
  <c r="BQ40" i="26"/>
  <c r="X40" i="12"/>
  <c r="BN40" i="26"/>
  <c r="U40" i="12"/>
  <c r="BP40" i="26"/>
  <c r="BQ41" i="26"/>
  <c r="X41" i="12"/>
  <c r="BN41" i="26"/>
  <c r="U41" i="12"/>
  <c r="BP41" i="26"/>
  <c r="BP42" i="26"/>
  <c r="BQ42" i="26"/>
  <c r="X42" i="12"/>
  <c r="BN42" i="26"/>
  <c r="U42" i="12"/>
  <c r="BQ43" i="26"/>
  <c r="X43" i="12"/>
  <c r="BN43" i="26"/>
  <c r="U43" i="12"/>
  <c r="BP43" i="26"/>
  <c r="BP44" i="26"/>
  <c r="BQ44" i="26"/>
  <c r="X44" i="12"/>
  <c r="BN44" i="26"/>
  <c r="U44" i="12"/>
  <c r="BQ45" i="26"/>
  <c r="X45" i="12"/>
  <c r="BN45" i="26"/>
  <c r="U45" i="12"/>
  <c r="BP45" i="26"/>
  <c r="BN46" i="26"/>
  <c r="U46" i="12"/>
  <c r="BP46" i="26"/>
  <c r="BQ46" i="26"/>
  <c r="X46" i="12"/>
  <c r="BQ47" i="26"/>
  <c r="X47" i="12"/>
  <c r="BP47" i="26"/>
  <c r="BN47" i="26"/>
  <c r="U47" i="12"/>
  <c r="BP48" i="26"/>
  <c r="BN48" i="26"/>
  <c r="U48" i="12"/>
  <c r="BQ48" i="26"/>
  <c r="X48" i="12"/>
  <c r="BQ49" i="26"/>
  <c r="X49" i="12"/>
  <c r="BN49" i="26"/>
  <c r="U49" i="12"/>
  <c r="BP49" i="26"/>
  <c r="BP50" i="26"/>
  <c r="BN50" i="26"/>
  <c r="U50" i="12"/>
  <c r="BQ50" i="26"/>
  <c r="X50" i="12"/>
  <c r="BP51" i="26"/>
  <c r="BQ51" i="26"/>
  <c r="X51" i="12"/>
  <c r="BN51" i="26"/>
  <c r="U51" i="12"/>
  <c r="BQ52" i="26"/>
  <c r="X52" i="12"/>
  <c r="BN52" i="26"/>
  <c r="U52" i="12"/>
  <c r="BP52" i="26"/>
  <c r="BP53" i="26"/>
  <c r="BN53" i="26"/>
  <c r="U53" i="12"/>
  <c r="BQ53" i="26"/>
  <c r="X53" i="12"/>
  <c r="BP54" i="26"/>
  <c r="BQ54" i="26"/>
  <c r="X54" i="12"/>
  <c r="BN54" i="26"/>
  <c r="U54" i="12"/>
  <c r="D510" i="38"/>
  <c r="E510" i="38"/>
  <c r="C517" i="38"/>
  <c r="AI366" i="10"/>
  <c r="BR35" i="26"/>
  <c r="Y35" i="12"/>
  <c r="BR19" i="26"/>
  <c r="Y19" i="12"/>
  <c r="G79" i="44"/>
  <c r="I79" i="44"/>
  <c r="BR51" i="26"/>
  <c r="Y51" i="12"/>
  <c r="BR31" i="26"/>
  <c r="Y31" i="12"/>
  <c r="BR44" i="26"/>
  <c r="Y44" i="12"/>
  <c r="BR37" i="26"/>
  <c r="Y37" i="12"/>
  <c r="BR20" i="26"/>
  <c r="Y20" i="12"/>
  <c r="BR12" i="26"/>
  <c r="Y12" i="12"/>
  <c r="BR43" i="26"/>
  <c r="Y43" i="12"/>
  <c r="BR10" i="26"/>
  <c r="Y10" i="12"/>
  <c r="BR30" i="26"/>
  <c r="Y30" i="12"/>
  <c r="BR50" i="26"/>
  <c r="Y50" i="12"/>
  <c r="BR42" i="26"/>
  <c r="Y42" i="12"/>
  <c r="BR40" i="26"/>
  <c r="Y40" i="12"/>
  <c r="BR36" i="26"/>
  <c r="Y36" i="12"/>
  <c r="BR18" i="26"/>
  <c r="Y18" i="12"/>
  <c r="BR13" i="26"/>
  <c r="Y13" i="12"/>
  <c r="BR8" i="26"/>
  <c r="Y8" i="12"/>
  <c r="BR6" i="26"/>
  <c r="Y6" i="12"/>
  <c r="BH75" i="26"/>
  <c r="AM75" i="12"/>
  <c r="BC75" i="26"/>
  <c r="BR49" i="26"/>
  <c r="Y49" i="12"/>
  <c r="BR45" i="26"/>
  <c r="Y45" i="12"/>
  <c r="BR33" i="26"/>
  <c r="Y33" i="12"/>
  <c r="BR15" i="26"/>
  <c r="Y15" i="12"/>
  <c r="BR7" i="26"/>
  <c r="Y7" i="12"/>
  <c r="BR52" i="26"/>
  <c r="Y52" i="12"/>
  <c r="AI369" i="10"/>
  <c r="AI371" i="10"/>
  <c r="AI370" i="10"/>
  <c r="AJ370" i="10"/>
  <c r="BV58" i="26"/>
  <c r="CI57" i="26"/>
  <c r="BA57" i="12"/>
  <c r="CE57" i="26"/>
  <c r="AW57" i="12"/>
  <c r="CA57" i="26"/>
  <c r="AS57" i="12"/>
  <c r="BW57" i="26"/>
  <c r="AO57" i="12"/>
  <c r="CH57" i="26"/>
  <c r="AZ57" i="12"/>
  <c r="CD57" i="26"/>
  <c r="AV57" i="12"/>
  <c r="BZ57" i="26"/>
  <c r="AR57" i="12"/>
  <c r="BN57" i="26"/>
  <c r="U57" i="12"/>
  <c r="AC57" i="26"/>
  <c r="CG57" i="26"/>
  <c r="AY57" i="12"/>
  <c r="CC57" i="26"/>
  <c r="AU57" i="12"/>
  <c r="BY57" i="26"/>
  <c r="AQ57" i="12"/>
  <c r="BQ57" i="26"/>
  <c r="X57" i="12"/>
  <c r="CJ57" i="26"/>
  <c r="BB57" i="12"/>
  <c r="CF57" i="26"/>
  <c r="AX57" i="12"/>
  <c r="CB57" i="26"/>
  <c r="AT57" i="12"/>
  <c r="BX57" i="26"/>
  <c r="AP57" i="12"/>
  <c r="BP57" i="26"/>
  <c r="O15" i="10"/>
  <c r="Q15" i="10"/>
  <c r="O22" i="10"/>
  <c r="Q22" i="10"/>
  <c r="O29" i="10"/>
  <c r="Q29" i="10"/>
  <c r="O36" i="10"/>
  <c r="Q36" i="10"/>
  <c r="O43" i="10"/>
  <c r="Q43" i="10"/>
  <c r="O50" i="10"/>
  <c r="Q50" i="10"/>
  <c r="O57" i="10"/>
  <c r="Q57" i="10"/>
  <c r="O64" i="10"/>
  <c r="Q64" i="10"/>
  <c r="O71" i="10"/>
  <c r="Q71" i="10"/>
  <c r="O78" i="10"/>
  <c r="Q78" i="10"/>
  <c r="O85" i="10"/>
  <c r="Q85" i="10"/>
  <c r="O92" i="10"/>
  <c r="Q92" i="10"/>
  <c r="O99" i="10"/>
  <c r="Q99" i="10"/>
  <c r="O106" i="10"/>
  <c r="Q106" i="10"/>
  <c r="O113" i="10"/>
  <c r="Q113" i="10"/>
  <c r="O120" i="10"/>
  <c r="Q120" i="10"/>
  <c r="O127" i="10"/>
  <c r="Q127" i="10"/>
  <c r="O134" i="10"/>
  <c r="Q134" i="10"/>
  <c r="O141" i="10"/>
  <c r="Q141" i="10"/>
  <c r="O148" i="10"/>
  <c r="Q148" i="10"/>
  <c r="O155" i="10"/>
  <c r="Q155" i="10"/>
  <c r="O162" i="10"/>
  <c r="Q162" i="10"/>
  <c r="O169" i="10"/>
  <c r="Q169" i="10"/>
  <c r="O176" i="10"/>
  <c r="Q176" i="10"/>
  <c r="O183" i="10"/>
  <c r="Q183" i="10"/>
  <c r="O190" i="10"/>
  <c r="Q190" i="10"/>
  <c r="O197" i="10"/>
  <c r="Q197" i="10"/>
  <c r="O204" i="10"/>
  <c r="Q204" i="10"/>
  <c r="O211" i="10"/>
  <c r="Q211" i="10"/>
  <c r="O218" i="10"/>
  <c r="Q218" i="10"/>
  <c r="O225" i="10"/>
  <c r="Q225" i="10"/>
  <c r="O232" i="10"/>
  <c r="Q232" i="10"/>
  <c r="O239" i="10"/>
  <c r="Q239" i="10"/>
  <c r="O246" i="10"/>
  <c r="Q246" i="10"/>
  <c r="O253" i="10"/>
  <c r="Q253" i="10"/>
  <c r="O260" i="10"/>
  <c r="Q260" i="10"/>
  <c r="O267" i="10"/>
  <c r="Q267" i="10"/>
  <c r="O274" i="10"/>
  <c r="Q274" i="10"/>
  <c r="O281" i="10"/>
  <c r="Q281" i="10"/>
  <c r="O288" i="10"/>
  <c r="Q288" i="10"/>
  <c r="O295" i="10"/>
  <c r="Q295" i="10"/>
  <c r="O302" i="10"/>
  <c r="Q302" i="10"/>
  <c r="O309" i="10"/>
  <c r="Q309" i="10"/>
  <c r="O316" i="10"/>
  <c r="Q316" i="10"/>
  <c r="O323" i="10"/>
  <c r="Q323" i="10"/>
  <c r="O330" i="10"/>
  <c r="Q330" i="10"/>
  <c r="O337" i="10"/>
  <c r="Q337" i="10"/>
  <c r="O344" i="10"/>
  <c r="Q344" i="10"/>
  <c r="O351" i="10"/>
  <c r="Q351" i="10"/>
  <c r="O358" i="10"/>
  <c r="Q358" i="10"/>
  <c r="O365" i="10"/>
  <c r="Q365" i="10"/>
  <c r="AE364" i="10"/>
  <c r="O263" i="10"/>
  <c r="Q263" i="10"/>
  <c r="Q261" i="10"/>
  <c r="Q100" i="10"/>
  <c r="O102" i="10"/>
  <c r="Q102" i="10"/>
  <c r="Q93" i="10"/>
  <c r="O95" i="10"/>
  <c r="Q95" i="10"/>
  <c r="Q72" i="10"/>
  <c r="O74" i="10"/>
  <c r="Q74" i="10"/>
  <c r="Q44" i="10"/>
  <c r="O46" i="10"/>
  <c r="Q46" i="10"/>
  <c r="BR53" i="26"/>
  <c r="Y53" i="12"/>
  <c r="BR47" i="26"/>
  <c r="Y47" i="12"/>
  <c r="BR46" i="26"/>
  <c r="Y46" i="12"/>
  <c r="BR41" i="26"/>
  <c r="Y41" i="12"/>
  <c r="BR39" i="26"/>
  <c r="Y39" i="12"/>
  <c r="BR29" i="26"/>
  <c r="Y29" i="12"/>
  <c r="A375" i="38"/>
  <c r="BR56" i="26"/>
  <c r="Y56" i="12"/>
  <c r="Q352" i="10"/>
  <c r="O354" i="10"/>
  <c r="Q354" i="10"/>
  <c r="Q324" i="10"/>
  <c r="O326" i="10"/>
  <c r="Q326" i="10"/>
  <c r="Q296" i="10"/>
  <c r="O298" i="10"/>
  <c r="Q298" i="10"/>
  <c r="Q268" i="10"/>
  <c r="O270" i="10"/>
  <c r="Q270" i="10"/>
  <c r="Q240" i="10"/>
  <c r="O242" i="10"/>
  <c r="Q242" i="10"/>
  <c r="Q184" i="10"/>
  <c r="O186" i="10"/>
  <c r="Q186" i="10"/>
  <c r="Q156" i="10"/>
  <c r="O158" i="10"/>
  <c r="Q158" i="10"/>
  <c r="Q121" i="10"/>
  <c r="O123" i="10"/>
  <c r="Q123" i="10"/>
  <c r="Q16" i="10"/>
  <c r="O18" i="10"/>
  <c r="Q18" i="10"/>
  <c r="A59" i="12"/>
  <c r="O364" i="10"/>
  <c r="Q364" i="10"/>
  <c r="BA57" i="26"/>
  <c r="AB57" i="12"/>
  <c r="O366" i="10"/>
  <c r="BH69" i="10"/>
  <c r="T70" i="10"/>
  <c r="AI372" i="10"/>
  <c r="P81" i="1"/>
  <c r="T81" i="1"/>
  <c r="O347" i="10"/>
  <c r="Q347" i="10"/>
  <c r="Q345" i="10"/>
  <c r="O319" i="10"/>
  <c r="Q319" i="10"/>
  <c r="Q317" i="10"/>
  <c r="O291" i="10"/>
  <c r="Q291" i="10"/>
  <c r="Q289" i="10"/>
  <c r="Q212" i="10"/>
  <c r="O214" i="10"/>
  <c r="Q214" i="10"/>
  <c r="Q128" i="10"/>
  <c r="O130" i="10"/>
  <c r="Q130" i="10"/>
  <c r="Q37" i="10"/>
  <c r="O39" i="10"/>
  <c r="Q39" i="10"/>
  <c r="BR48" i="26"/>
  <c r="Y48" i="12"/>
  <c r="BR34" i="26"/>
  <c r="Y34" i="12"/>
  <c r="BR32" i="26"/>
  <c r="Y32" i="12"/>
  <c r="BR28" i="26"/>
  <c r="Y28" i="12"/>
  <c r="BR27" i="26"/>
  <c r="Y27" i="12"/>
  <c r="BR25" i="26"/>
  <c r="Y25" i="12"/>
  <c r="BR23" i="26"/>
  <c r="Y23" i="12"/>
  <c r="BR22" i="26"/>
  <c r="Y22" i="12"/>
  <c r="BR17" i="26"/>
  <c r="Y17" i="12"/>
  <c r="BR16" i="26"/>
  <c r="Y16" i="12"/>
  <c r="BR14" i="26"/>
  <c r="Y14" i="12"/>
  <c r="BR9" i="26"/>
  <c r="Y9" i="12"/>
  <c r="BT57" i="26"/>
  <c r="BG57" i="12"/>
  <c r="O361" i="10"/>
  <c r="Q361" i="10"/>
  <c r="Q359" i="10"/>
  <c r="O333" i="10"/>
  <c r="Q333" i="10"/>
  <c r="Q331" i="10"/>
  <c r="O305" i="10"/>
  <c r="Q305" i="10"/>
  <c r="Q303" i="10"/>
  <c r="O277" i="10"/>
  <c r="Q277" i="10"/>
  <c r="Q275" i="10"/>
  <c r="Q254" i="10"/>
  <c r="O256" i="10"/>
  <c r="Q256" i="10"/>
  <c r="Q247" i="10"/>
  <c r="O249" i="10"/>
  <c r="Q249" i="10"/>
  <c r="Q226" i="10"/>
  <c r="O228" i="10"/>
  <c r="Q228" i="10"/>
  <c r="Q198" i="10"/>
  <c r="O200" i="10"/>
  <c r="Q200" i="10"/>
  <c r="Q170" i="10"/>
  <c r="O172" i="10"/>
  <c r="Q172" i="10"/>
  <c r="Q163" i="10"/>
  <c r="O165" i="10"/>
  <c r="Q165" i="10"/>
  <c r="Q142" i="10"/>
  <c r="O144" i="10"/>
  <c r="Q144" i="10"/>
  <c r="Q135" i="10"/>
  <c r="O137" i="10"/>
  <c r="Q137" i="10"/>
  <c r="Q86" i="10"/>
  <c r="O88" i="10"/>
  <c r="Q88" i="10"/>
  <c r="BR54" i="26"/>
  <c r="Y54" i="12"/>
  <c r="BR38" i="26"/>
  <c r="Y38" i="12"/>
  <c r="BR26" i="26"/>
  <c r="Y26" i="12"/>
  <c r="BR24" i="26"/>
  <c r="Y24" i="12"/>
  <c r="BR21" i="26"/>
  <c r="Y21" i="12"/>
  <c r="BR11" i="26"/>
  <c r="Y11" i="12"/>
  <c r="BG376" i="10"/>
  <c r="P376" i="10"/>
  <c r="P378" i="10"/>
  <c r="P377" i="10"/>
  <c r="AE376" i="10"/>
  <c r="A383" i="10"/>
  <c r="K381" i="10"/>
  <c r="K378" i="10"/>
  <c r="P379" i="10"/>
  <c r="AE370" i="10"/>
  <c r="Q338" i="10"/>
  <c r="O340" i="10"/>
  <c r="Q340" i="10"/>
  <c r="Q310" i="10"/>
  <c r="O312" i="10"/>
  <c r="Q312" i="10"/>
  <c r="Q282" i="10"/>
  <c r="O284" i="10"/>
  <c r="Q284" i="10"/>
  <c r="Q233" i="10"/>
  <c r="O235" i="10"/>
  <c r="Q235" i="10"/>
  <c r="Q219" i="10"/>
  <c r="O221" i="10"/>
  <c r="Q221" i="10"/>
  <c r="Q205" i="10"/>
  <c r="O207" i="10"/>
  <c r="Q207" i="10"/>
  <c r="Q191" i="10"/>
  <c r="O193" i="10"/>
  <c r="Q193" i="10"/>
  <c r="Q177" i="10"/>
  <c r="O179" i="10"/>
  <c r="Q179" i="10"/>
  <c r="Q149" i="10"/>
  <c r="O151" i="10"/>
  <c r="Q151" i="10"/>
  <c r="Q114" i="10"/>
  <c r="O116" i="10"/>
  <c r="Q116" i="10"/>
  <c r="Q107" i="10"/>
  <c r="O109" i="10"/>
  <c r="Q109" i="10"/>
  <c r="Q79" i="10"/>
  <c r="O81" i="10"/>
  <c r="Q81" i="10"/>
  <c r="Q65" i="10"/>
  <c r="O67" i="10"/>
  <c r="Q67" i="10"/>
  <c r="Q58" i="10"/>
  <c r="O60" i="10"/>
  <c r="Q60" i="10"/>
  <c r="Q51" i="10"/>
  <c r="O53" i="10"/>
  <c r="Q53" i="10"/>
  <c r="Q30" i="10"/>
  <c r="O32" i="10"/>
  <c r="Q32" i="10"/>
  <c r="Q23" i="10"/>
  <c r="O25" i="10"/>
  <c r="Q25" i="10"/>
  <c r="AJ76" i="1"/>
  <c r="C524" i="38"/>
  <c r="D517" i="38"/>
  <c r="E517" i="38"/>
  <c r="BR57" i="26"/>
  <c r="Y57" i="12"/>
  <c r="G80" i="44"/>
  <c r="I80" i="44"/>
  <c r="AI373" i="10"/>
  <c r="BT58" i="26"/>
  <c r="BG58" i="12"/>
  <c r="BC76" i="26"/>
  <c r="BH76" i="26"/>
  <c r="AM76" i="12"/>
  <c r="T71" i="10"/>
  <c r="BH70" i="10"/>
  <c r="J78" i="1"/>
  <c r="Y81" i="1"/>
  <c r="P82" i="1"/>
  <c r="A60" i="12"/>
  <c r="AI378" i="10"/>
  <c r="AI377" i="10"/>
  <c r="AJ377" i="10"/>
  <c r="AI376" i="10"/>
  <c r="AJ77" i="1"/>
  <c r="AE371" i="10"/>
  <c r="AE377" i="10"/>
  <c r="Q366" i="10"/>
  <c r="O368" i="10"/>
  <c r="Q368" i="10"/>
  <c r="P385" i="10"/>
  <c r="P384" i="10"/>
  <c r="AE383" i="10"/>
  <c r="A390" i="10"/>
  <c r="BG383" i="10"/>
  <c r="P383" i="10"/>
  <c r="K388" i="10"/>
  <c r="K385" i="10"/>
  <c r="P386" i="10"/>
  <c r="AI379" i="10"/>
  <c r="A382" i="38"/>
  <c r="CH58" i="26"/>
  <c r="AZ58" i="12"/>
  <c r="CD58" i="26"/>
  <c r="AV58" i="12"/>
  <c r="BZ58" i="26"/>
  <c r="AR58" i="12"/>
  <c r="BN58" i="26"/>
  <c r="U58" i="12"/>
  <c r="AC58" i="26"/>
  <c r="CG58" i="26"/>
  <c r="AY58" i="12"/>
  <c r="CC58" i="26"/>
  <c r="AU58" i="12"/>
  <c r="BY58" i="26"/>
  <c r="AQ58" i="12"/>
  <c r="BQ58" i="26"/>
  <c r="X58" i="12"/>
  <c r="CJ58" i="26"/>
  <c r="BB58" i="12"/>
  <c r="CF58" i="26"/>
  <c r="AX58" i="12"/>
  <c r="CB58" i="26"/>
  <c r="AT58" i="12"/>
  <c r="BX58" i="26"/>
  <c r="AP58" i="12"/>
  <c r="BP58" i="26"/>
  <c r="BV59" i="26"/>
  <c r="CI58" i="26"/>
  <c r="BA58" i="12"/>
  <c r="CE58" i="26"/>
  <c r="AW58" i="12"/>
  <c r="CA58" i="26"/>
  <c r="AS58" i="12"/>
  <c r="BW58" i="26"/>
  <c r="AO58" i="12"/>
  <c r="C531" i="38"/>
  <c r="D524" i="38"/>
  <c r="E524" i="38"/>
  <c r="I81" i="44"/>
  <c r="G81" i="44"/>
  <c r="BH77" i="26"/>
  <c r="AM77" i="12"/>
  <c r="BC77" i="26"/>
  <c r="AI82" i="1"/>
  <c r="Z76" i="1"/>
  <c r="X78" i="1"/>
  <c r="BG390" i="10"/>
  <c r="P390" i="10"/>
  <c r="P392" i="10"/>
  <c r="P391" i="10"/>
  <c r="AE390" i="10"/>
  <c r="A397" i="10"/>
  <c r="K395" i="10"/>
  <c r="K392" i="10"/>
  <c r="P393" i="10"/>
  <c r="Y82" i="1"/>
  <c r="CG59" i="26"/>
  <c r="AY59" i="12"/>
  <c r="CC59" i="26"/>
  <c r="AU59" i="12"/>
  <c r="BY59" i="26"/>
  <c r="AQ59" i="12"/>
  <c r="CJ59" i="26"/>
  <c r="BB59" i="12"/>
  <c r="CF59" i="26"/>
  <c r="AX59" i="12"/>
  <c r="CB59" i="26"/>
  <c r="AT59" i="12"/>
  <c r="BX59" i="26"/>
  <c r="AP59" i="12"/>
  <c r="BV60" i="26"/>
  <c r="CI59" i="26"/>
  <c r="BA59" i="12"/>
  <c r="CE59" i="26"/>
  <c r="AW59" i="12"/>
  <c r="CA59" i="26"/>
  <c r="AS59" i="12"/>
  <c r="BW59" i="26"/>
  <c r="AO59" i="12"/>
  <c r="CH59" i="26"/>
  <c r="AZ59" i="12"/>
  <c r="CD59" i="26"/>
  <c r="AV59" i="12"/>
  <c r="BZ59" i="26"/>
  <c r="AR59" i="12"/>
  <c r="AC59" i="26"/>
  <c r="AI386" i="10"/>
  <c r="A61" i="12"/>
  <c r="S16" i="26"/>
  <c r="T72" i="10"/>
  <c r="BH71" i="10"/>
  <c r="AJ78" i="1"/>
  <c r="AI380" i="10"/>
  <c r="AI383" i="10"/>
  <c r="AI385" i="10"/>
  <c r="AI384" i="10"/>
  <c r="AJ384" i="10"/>
  <c r="AE384" i="10"/>
  <c r="AE378" i="10"/>
  <c r="BR58" i="26"/>
  <c r="Y58" i="12"/>
  <c r="A389" i="38"/>
  <c r="P83" i="1"/>
  <c r="T83" i="1"/>
  <c r="D531" i="38"/>
  <c r="E531" i="38"/>
  <c r="C538" i="38"/>
  <c r="G82" i="44"/>
  <c r="I82" i="44"/>
  <c r="AI387" i="10"/>
  <c r="BH78" i="26"/>
  <c r="AM78" i="12"/>
  <c r="BC78" i="26"/>
  <c r="A396" i="38"/>
  <c r="AE391" i="10"/>
  <c r="AE385" i="10"/>
  <c r="T73" i="10"/>
  <c r="BH72" i="10"/>
  <c r="AI393" i="10"/>
  <c r="AA16" i="26"/>
  <c r="Q16" i="26"/>
  <c r="Z78" i="1"/>
  <c r="U16" i="26"/>
  <c r="AJ79" i="1"/>
  <c r="T16" i="26"/>
  <c r="P16" i="3"/>
  <c r="AI392" i="10"/>
  <c r="AI391" i="10"/>
  <c r="AJ391" i="10"/>
  <c r="AI390" i="10"/>
  <c r="T84" i="1"/>
  <c r="P84" i="1"/>
  <c r="A62" i="12"/>
  <c r="CJ60" i="26"/>
  <c r="BB60" i="12"/>
  <c r="CF60" i="26"/>
  <c r="AX60" i="12"/>
  <c r="CB60" i="26"/>
  <c r="AT60" i="12"/>
  <c r="BX60" i="26"/>
  <c r="AP60" i="12"/>
  <c r="BV61" i="26"/>
  <c r="CI60" i="26"/>
  <c r="BA60" i="12"/>
  <c r="CE60" i="26"/>
  <c r="AW60" i="12"/>
  <c r="CA60" i="26"/>
  <c r="AS60" i="12"/>
  <c r="BW60" i="26"/>
  <c r="AO60" i="12"/>
  <c r="CH60" i="26"/>
  <c r="AZ60" i="12"/>
  <c r="CD60" i="26"/>
  <c r="AV60" i="12"/>
  <c r="BZ60" i="26"/>
  <c r="AR60" i="12"/>
  <c r="AC60" i="26"/>
  <c r="CG60" i="26"/>
  <c r="AY60" i="12"/>
  <c r="CC60" i="26"/>
  <c r="AU60" i="12"/>
  <c r="BY60" i="26"/>
  <c r="AQ60" i="12"/>
  <c r="P399" i="10"/>
  <c r="P398" i="10"/>
  <c r="AE397" i="10"/>
  <c r="A404" i="10"/>
  <c r="K402" i="10"/>
  <c r="K399" i="10"/>
  <c r="BG397" i="10"/>
  <c r="P397" i="10"/>
  <c r="P400" i="10"/>
  <c r="D538" i="38"/>
  <c r="E538" i="38"/>
  <c r="C545" i="38"/>
  <c r="I83" i="44"/>
  <c r="G83" i="44"/>
  <c r="BH79" i="26"/>
  <c r="AM79" i="12"/>
  <c r="BC79" i="26"/>
  <c r="BV62" i="26"/>
  <c r="CI61" i="26"/>
  <c r="BA61" i="12"/>
  <c r="CE61" i="26"/>
  <c r="AW61" i="12"/>
  <c r="CA61" i="26"/>
  <c r="AS61" i="12"/>
  <c r="BW61" i="26"/>
  <c r="AO61" i="12"/>
  <c r="CH61" i="26"/>
  <c r="AZ61" i="12"/>
  <c r="CD61" i="26"/>
  <c r="AV61" i="12"/>
  <c r="BZ61" i="26"/>
  <c r="AR61" i="12"/>
  <c r="AC61" i="26"/>
  <c r="CG61" i="26"/>
  <c r="AY61" i="12"/>
  <c r="CC61" i="26"/>
  <c r="AU61" i="12"/>
  <c r="BY61" i="26"/>
  <c r="AQ61" i="12"/>
  <c r="CJ61" i="26"/>
  <c r="BB61" i="12"/>
  <c r="CF61" i="26"/>
  <c r="AX61" i="12"/>
  <c r="CB61" i="26"/>
  <c r="AT61" i="12"/>
  <c r="BX61" i="26"/>
  <c r="AP61" i="12"/>
  <c r="X16" i="26"/>
  <c r="AE392" i="10"/>
  <c r="BG404" i="10"/>
  <c r="P404" i="10"/>
  <c r="P406" i="10"/>
  <c r="P405" i="10"/>
  <c r="AE404" i="10"/>
  <c r="A411" i="10"/>
  <c r="K409" i="10"/>
  <c r="K406" i="10"/>
  <c r="P407" i="10"/>
  <c r="AE398" i="10"/>
  <c r="P85" i="1"/>
  <c r="T85" i="1"/>
  <c r="AI394" i="10"/>
  <c r="T74" i="10"/>
  <c r="BH73" i="10"/>
  <c r="A403" i="38"/>
  <c r="AI397" i="10"/>
  <c r="AI399" i="10"/>
  <c r="AI398" i="10"/>
  <c r="AJ398" i="10"/>
  <c r="AI400" i="10"/>
  <c r="A63" i="12"/>
  <c r="AJ80" i="1"/>
  <c r="C552" i="38"/>
  <c r="D545" i="38"/>
  <c r="E545" i="38"/>
  <c r="G84" i="44"/>
  <c r="I84" i="44"/>
  <c r="BH80" i="26"/>
  <c r="AM80" i="12"/>
  <c r="BC80" i="26"/>
  <c r="AE405" i="10"/>
  <c r="AI406" i="10"/>
  <c r="AI405" i="10"/>
  <c r="AJ405" i="10"/>
  <c r="AI404" i="10"/>
  <c r="CH62" i="26"/>
  <c r="AZ62" i="12"/>
  <c r="CD62" i="26"/>
  <c r="AV62" i="12"/>
  <c r="BZ62" i="26"/>
  <c r="AR62" i="12"/>
  <c r="AC62" i="26"/>
  <c r="CG62" i="26"/>
  <c r="AY62" i="12"/>
  <c r="CC62" i="26"/>
  <c r="AU62" i="12"/>
  <c r="BY62" i="26"/>
  <c r="AQ62" i="12"/>
  <c r="CJ62" i="26"/>
  <c r="BB62" i="12"/>
  <c r="CF62" i="26"/>
  <c r="AX62" i="12"/>
  <c r="CB62" i="26"/>
  <c r="AT62" i="12"/>
  <c r="BX62" i="26"/>
  <c r="AP62" i="12"/>
  <c r="BV63" i="26"/>
  <c r="CI62" i="26"/>
  <c r="BA62" i="12"/>
  <c r="CE62" i="26"/>
  <c r="AW62" i="12"/>
  <c r="CA62" i="26"/>
  <c r="AS62" i="12"/>
  <c r="BW62" i="26"/>
  <c r="AO62" i="12"/>
  <c r="A64" i="12"/>
  <c r="A410" i="38"/>
  <c r="P86" i="1"/>
  <c r="P413" i="10"/>
  <c r="P412" i="10"/>
  <c r="AE411" i="10"/>
  <c r="A418" i="10"/>
  <c r="K416" i="10"/>
  <c r="K413" i="10"/>
  <c r="BG411" i="10"/>
  <c r="P411" i="10"/>
  <c r="P414" i="10"/>
  <c r="T86" i="1"/>
  <c r="T75" i="10"/>
  <c r="BH74" i="10"/>
  <c r="AH73" i="10"/>
  <c r="AE399" i="10"/>
  <c r="AI407" i="10"/>
  <c r="AJ81" i="1"/>
  <c r="AI401" i="10"/>
  <c r="C559" i="38"/>
  <c r="D552" i="38"/>
  <c r="E552" i="38"/>
  <c r="G85" i="44"/>
  <c r="I85" i="44"/>
  <c r="BC81" i="26"/>
  <c r="BH81" i="26"/>
  <c r="AM81" i="12"/>
  <c r="BG418" i="10"/>
  <c r="P418" i="10"/>
  <c r="P420" i="10"/>
  <c r="P419" i="10"/>
  <c r="AE418" i="10"/>
  <c r="A425" i="10"/>
  <c r="K423" i="10"/>
  <c r="K420" i="10"/>
  <c r="P421" i="10"/>
  <c r="A417" i="38"/>
  <c r="CG63" i="26"/>
  <c r="AY63" i="12"/>
  <c r="CC63" i="26"/>
  <c r="AU63" i="12"/>
  <c r="BY63" i="26"/>
  <c r="AQ63" i="12"/>
  <c r="CJ63" i="26"/>
  <c r="BB63" i="12"/>
  <c r="CF63" i="26"/>
  <c r="AX63" i="12"/>
  <c r="CB63" i="26"/>
  <c r="AT63" i="12"/>
  <c r="BX63" i="26"/>
  <c r="AP63" i="12"/>
  <c r="BV64" i="26"/>
  <c r="CI63" i="26"/>
  <c r="BA63" i="12"/>
  <c r="CE63" i="26"/>
  <c r="AW63" i="12"/>
  <c r="CA63" i="26"/>
  <c r="AS63" i="12"/>
  <c r="BW63" i="26"/>
  <c r="AO63" i="12"/>
  <c r="CH63" i="26"/>
  <c r="AZ63" i="12"/>
  <c r="CD63" i="26"/>
  <c r="AV63" i="12"/>
  <c r="BZ63" i="26"/>
  <c r="AR63" i="12"/>
  <c r="AC63" i="26"/>
  <c r="T76" i="10"/>
  <c r="BH75" i="10"/>
  <c r="AI414" i="10"/>
  <c r="AH74" i="10"/>
  <c r="AI74" i="10"/>
  <c r="C67" i="38"/>
  <c r="AJ82" i="1"/>
  <c r="AI408" i="10"/>
  <c r="AE412" i="10"/>
  <c r="A65" i="12"/>
  <c r="AE406" i="10"/>
  <c r="AI411" i="10"/>
  <c r="AI413" i="10"/>
  <c r="AI412" i="10"/>
  <c r="AJ412" i="10"/>
  <c r="P87" i="1"/>
  <c r="T87" i="1"/>
  <c r="D559" i="38"/>
  <c r="E559" i="38"/>
  <c r="C566" i="38"/>
  <c r="I86" i="44"/>
  <c r="G86" i="44"/>
  <c r="BH82" i="26"/>
  <c r="AM82" i="12"/>
  <c r="BC82" i="26"/>
  <c r="AE419" i="10"/>
  <c r="AI420" i="10"/>
  <c r="AI419" i="10"/>
  <c r="AJ419" i="10"/>
  <c r="AI418" i="10"/>
  <c r="AE413" i="10"/>
  <c r="AJ83" i="1"/>
  <c r="AI415" i="10"/>
  <c r="T77" i="10"/>
  <c r="BH76" i="10"/>
  <c r="AI421" i="10"/>
  <c r="P88" i="1"/>
  <c r="T88" i="1"/>
  <c r="A66" i="12"/>
  <c r="CJ64" i="26"/>
  <c r="BB64" i="12"/>
  <c r="CF64" i="26"/>
  <c r="AX64" i="12"/>
  <c r="CB64" i="26"/>
  <c r="AT64" i="12"/>
  <c r="BX64" i="26"/>
  <c r="AP64" i="12"/>
  <c r="BV65" i="26"/>
  <c r="CI64" i="26"/>
  <c r="BA64" i="12"/>
  <c r="CE64" i="26"/>
  <c r="AW64" i="12"/>
  <c r="CA64" i="26"/>
  <c r="AS64" i="12"/>
  <c r="BW64" i="26"/>
  <c r="AO64" i="12"/>
  <c r="CH64" i="26"/>
  <c r="AZ64" i="12"/>
  <c r="CD64" i="26"/>
  <c r="AV64" i="12"/>
  <c r="BZ64" i="26"/>
  <c r="AR64" i="12"/>
  <c r="AC64" i="26"/>
  <c r="CG64" i="26"/>
  <c r="AY64" i="12"/>
  <c r="CC64" i="26"/>
  <c r="AU64" i="12"/>
  <c r="BY64" i="26"/>
  <c r="AQ64" i="12"/>
  <c r="A424" i="38"/>
  <c r="AJ74" i="10"/>
  <c r="P427" i="10"/>
  <c r="P426" i="10"/>
  <c r="AE425" i="10"/>
  <c r="A432" i="10"/>
  <c r="K430" i="10"/>
  <c r="K427" i="10"/>
  <c r="BG425" i="10"/>
  <c r="P425" i="10"/>
  <c r="P428" i="10"/>
  <c r="D566" i="38"/>
  <c r="E566" i="38"/>
  <c r="C573" i="38"/>
  <c r="I87" i="44"/>
  <c r="G87" i="44"/>
  <c r="BC83" i="26"/>
  <c r="BH83" i="26"/>
  <c r="AM83" i="12"/>
  <c r="T78" i="10"/>
  <c r="BH77" i="10"/>
  <c r="AJ84" i="1"/>
  <c r="BV66" i="26"/>
  <c r="CI65" i="26"/>
  <c r="BA65" i="12"/>
  <c r="CE65" i="26"/>
  <c r="AW65" i="12"/>
  <c r="CA65" i="26"/>
  <c r="AS65" i="12"/>
  <c r="BW65" i="26"/>
  <c r="AO65" i="12"/>
  <c r="CH65" i="26"/>
  <c r="AZ65" i="12"/>
  <c r="CD65" i="26"/>
  <c r="AV65" i="12"/>
  <c r="BZ65" i="26"/>
  <c r="AR65" i="12"/>
  <c r="AC65" i="26"/>
  <c r="CG65" i="26"/>
  <c r="AY65" i="12"/>
  <c r="CC65" i="26"/>
  <c r="AU65" i="12"/>
  <c r="BY65" i="26"/>
  <c r="AQ65" i="12"/>
  <c r="CJ65" i="26"/>
  <c r="BB65" i="12"/>
  <c r="CF65" i="26"/>
  <c r="AX65" i="12"/>
  <c r="CB65" i="26"/>
  <c r="AT65" i="12"/>
  <c r="BX65" i="26"/>
  <c r="AP65" i="12"/>
  <c r="BG432" i="10"/>
  <c r="P432" i="10"/>
  <c r="P434" i="10"/>
  <c r="P433" i="10"/>
  <c r="AE432" i="10"/>
  <c r="A439" i="10"/>
  <c r="K437" i="10"/>
  <c r="K434" i="10"/>
  <c r="P435" i="10"/>
  <c r="A431" i="38"/>
  <c r="AE426" i="10"/>
  <c r="P89" i="1"/>
  <c r="Y88" i="1"/>
  <c r="J85" i="1"/>
  <c r="AI422" i="10"/>
  <c r="AI425" i="10"/>
  <c r="AI427" i="10"/>
  <c r="AI426" i="10"/>
  <c r="AJ426" i="10"/>
  <c r="AI428" i="10"/>
  <c r="A67" i="12"/>
  <c r="AE420" i="10"/>
  <c r="C580" i="38"/>
  <c r="D573" i="38"/>
  <c r="E573" i="38"/>
  <c r="I88" i="44"/>
  <c r="G88" i="44"/>
  <c r="AI429" i="10"/>
  <c r="BC84" i="26"/>
  <c r="BH84" i="26"/>
  <c r="AM84" i="12"/>
  <c r="AI89" i="1"/>
  <c r="Z83" i="1"/>
  <c r="X85" i="1"/>
  <c r="CH66" i="26"/>
  <c r="AZ66" i="12"/>
  <c r="CD66" i="26"/>
  <c r="AV66" i="12"/>
  <c r="BZ66" i="26"/>
  <c r="AR66" i="12"/>
  <c r="AC66" i="26"/>
  <c r="CG66" i="26"/>
  <c r="AY66" i="12"/>
  <c r="CC66" i="26"/>
  <c r="AU66" i="12"/>
  <c r="BY66" i="26"/>
  <c r="AQ66" i="12"/>
  <c r="CJ66" i="26"/>
  <c r="BB66" i="12"/>
  <c r="CF66" i="26"/>
  <c r="AX66" i="12"/>
  <c r="CB66" i="26"/>
  <c r="AT66" i="12"/>
  <c r="BX66" i="26"/>
  <c r="AP66" i="12"/>
  <c r="BV67" i="26"/>
  <c r="CI66" i="26"/>
  <c r="BA66" i="12"/>
  <c r="CE66" i="26"/>
  <c r="AW66" i="12"/>
  <c r="CA66" i="26"/>
  <c r="AS66" i="12"/>
  <c r="BW66" i="26"/>
  <c r="AO66" i="12"/>
  <c r="A68" i="12"/>
  <c r="S17" i="26"/>
  <c r="P441" i="10"/>
  <c r="P440" i="10"/>
  <c r="AE439" i="10"/>
  <c r="A446" i="10"/>
  <c r="K444" i="10"/>
  <c r="K441" i="10"/>
  <c r="BG439" i="10"/>
  <c r="P439" i="10"/>
  <c r="P442" i="10"/>
  <c r="Y89" i="1"/>
  <c r="AE427" i="10"/>
  <c r="P90" i="1"/>
  <c r="T90" i="1"/>
  <c r="AE433" i="10"/>
  <c r="AI434" i="10"/>
  <c r="AI433" i="10"/>
  <c r="AJ433" i="10"/>
  <c r="AI432" i="10"/>
  <c r="AJ85" i="1"/>
  <c r="BH78" i="10"/>
  <c r="T79" i="10"/>
  <c r="A438" i="38"/>
  <c r="AI435" i="10"/>
  <c r="C587" i="38"/>
  <c r="D580" i="38"/>
  <c r="E580" i="38"/>
  <c r="G89" i="44"/>
  <c r="I89" i="44"/>
  <c r="BH85" i="26"/>
  <c r="AM85" i="12"/>
  <c r="BC85" i="26"/>
  <c r="AE434" i="10"/>
  <c r="Z85" i="1"/>
  <c r="U17" i="26"/>
  <c r="A445" i="38"/>
  <c r="BH79" i="10"/>
  <c r="T80" i="10"/>
  <c r="AJ86" i="1"/>
  <c r="AE440" i="10"/>
  <c r="T17" i="26"/>
  <c r="P17" i="3"/>
  <c r="CG67" i="26"/>
  <c r="AY67" i="12"/>
  <c r="CC67" i="26"/>
  <c r="AU67" i="12"/>
  <c r="BY67" i="26"/>
  <c r="AQ67" i="12"/>
  <c r="CJ67" i="26"/>
  <c r="BB67" i="12"/>
  <c r="CF67" i="26"/>
  <c r="AX67" i="12"/>
  <c r="CB67" i="26"/>
  <c r="AT67" i="12"/>
  <c r="BX67" i="26"/>
  <c r="AP67" i="12"/>
  <c r="BV68" i="26"/>
  <c r="CI67" i="26"/>
  <c r="BA67" i="12"/>
  <c r="CE67" i="26"/>
  <c r="AW67" i="12"/>
  <c r="CA67" i="26"/>
  <c r="AS67" i="12"/>
  <c r="BW67" i="26"/>
  <c r="AO67" i="12"/>
  <c r="CH67" i="26"/>
  <c r="AZ67" i="12"/>
  <c r="CD67" i="26"/>
  <c r="AV67" i="12"/>
  <c r="BZ67" i="26"/>
  <c r="AR67" i="12"/>
  <c r="AC67" i="26"/>
  <c r="AA17" i="26"/>
  <c r="Q17" i="26"/>
  <c r="BG446" i="10"/>
  <c r="P446" i="10"/>
  <c r="P448" i="10"/>
  <c r="P447" i="10"/>
  <c r="AE446" i="10"/>
  <c r="A453" i="10"/>
  <c r="K451" i="10"/>
  <c r="K448" i="10"/>
  <c r="P449" i="10"/>
  <c r="AI436" i="10"/>
  <c r="AI439" i="10"/>
  <c r="AI441" i="10"/>
  <c r="AI440" i="10"/>
  <c r="AJ440" i="10"/>
  <c r="AI442" i="10"/>
  <c r="P91" i="1"/>
  <c r="T91" i="1"/>
  <c r="A69" i="12"/>
  <c r="D587" i="38"/>
  <c r="E587" i="38"/>
  <c r="C594" i="38"/>
  <c r="I90" i="44"/>
  <c r="G90" i="44"/>
  <c r="AI443" i="10"/>
  <c r="BC86" i="26"/>
  <c r="BH86" i="26"/>
  <c r="AM86" i="12"/>
  <c r="AI449" i="10"/>
  <c r="A452" i="38"/>
  <c r="C448" i="38"/>
  <c r="D448" i="38"/>
  <c r="E448" i="38"/>
  <c r="A70" i="12"/>
  <c r="CJ68" i="26"/>
  <c r="BB68" i="12"/>
  <c r="CF68" i="26"/>
  <c r="AX68" i="12"/>
  <c r="CB68" i="26"/>
  <c r="AT68" i="12"/>
  <c r="BX68" i="26"/>
  <c r="AP68" i="12"/>
  <c r="BV69" i="26"/>
  <c r="CI68" i="26"/>
  <c r="BA68" i="12"/>
  <c r="CE68" i="26"/>
  <c r="AW68" i="12"/>
  <c r="CA68" i="26"/>
  <c r="AS68" i="12"/>
  <c r="BW68" i="26"/>
  <c r="AO68" i="12"/>
  <c r="CH68" i="26"/>
  <c r="AZ68" i="12"/>
  <c r="CD68" i="26"/>
  <c r="AV68" i="12"/>
  <c r="BZ68" i="26"/>
  <c r="AR68" i="12"/>
  <c r="AC68" i="26"/>
  <c r="CG68" i="26"/>
  <c r="AY68" i="12"/>
  <c r="CC68" i="26"/>
  <c r="AU68" i="12"/>
  <c r="BY68" i="26"/>
  <c r="AQ68" i="12"/>
  <c r="BH80" i="10"/>
  <c r="T81" i="10"/>
  <c r="X17" i="26"/>
  <c r="AJ87" i="1"/>
  <c r="P92" i="1"/>
  <c r="T92" i="1"/>
  <c r="P455" i="10"/>
  <c r="P454" i="10"/>
  <c r="AE453" i="10"/>
  <c r="A460" i="10"/>
  <c r="K458" i="10"/>
  <c r="K455" i="10"/>
  <c r="BG453" i="10"/>
  <c r="P453" i="10"/>
  <c r="P456" i="10"/>
  <c r="AE447" i="10"/>
  <c r="AI448" i="10"/>
  <c r="AI447" i="10"/>
  <c r="AJ447" i="10"/>
  <c r="AI446" i="10"/>
  <c r="AE441" i="10"/>
  <c r="D594" i="38"/>
  <c r="E594" i="38"/>
  <c r="C601" i="38"/>
  <c r="I91" i="44"/>
  <c r="G91" i="44"/>
  <c r="AI450" i="10"/>
  <c r="BC87" i="26"/>
  <c r="BH87" i="26"/>
  <c r="AM87" i="12"/>
  <c r="AE454" i="10"/>
  <c r="AE448" i="10"/>
  <c r="AI453" i="10"/>
  <c r="AI455" i="10"/>
  <c r="AI454" i="10"/>
  <c r="AJ454" i="10"/>
  <c r="AI456" i="10"/>
  <c r="AJ88" i="1"/>
  <c r="BV70" i="26"/>
  <c r="CI69" i="26"/>
  <c r="BA69" i="12"/>
  <c r="CE69" i="26"/>
  <c r="AW69" i="12"/>
  <c r="CA69" i="26"/>
  <c r="AS69" i="12"/>
  <c r="BW69" i="26"/>
  <c r="AO69" i="12"/>
  <c r="CH69" i="26"/>
  <c r="AZ69" i="12"/>
  <c r="CD69" i="26"/>
  <c r="AV69" i="12"/>
  <c r="BZ69" i="26"/>
  <c r="AR69" i="12"/>
  <c r="AC69" i="26"/>
  <c r="CG69" i="26"/>
  <c r="AY69" i="12"/>
  <c r="CC69" i="26"/>
  <c r="AU69" i="12"/>
  <c r="BY69" i="26"/>
  <c r="AQ69" i="12"/>
  <c r="CJ69" i="26"/>
  <c r="BB69" i="12"/>
  <c r="CF69" i="26"/>
  <c r="AX69" i="12"/>
  <c r="CB69" i="26"/>
  <c r="AT69" i="12"/>
  <c r="BX69" i="26"/>
  <c r="AP69" i="12"/>
  <c r="P93" i="1"/>
  <c r="T93" i="1"/>
  <c r="T82" i="10"/>
  <c r="BH81" i="10"/>
  <c r="AH80" i="10"/>
  <c r="BG460" i="10"/>
  <c r="BG467" i="10"/>
  <c r="BG474" i="10"/>
  <c r="BG481" i="10"/>
  <c r="BG488" i="10"/>
  <c r="BG495" i="10"/>
  <c r="BG502" i="10"/>
  <c r="BG509" i="10"/>
  <c r="BG516" i="10"/>
  <c r="BG523" i="10"/>
  <c r="BG530" i="10"/>
  <c r="BG537" i="10"/>
  <c r="BG544" i="10"/>
  <c r="BG551" i="10"/>
  <c r="BG558" i="10"/>
  <c r="BG565" i="10"/>
  <c r="BG572" i="10"/>
  <c r="BG579" i="10"/>
  <c r="BG586" i="10"/>
  <c r="BG593" i="10"/>
  <c r="BG600" i="10"/>
  <c r="BG607" i="10"/>
  <c r="BG614" i="10"/>
  <c r="BG621" i="10"/>
  <c r="BG628" i="10"/>
  <c r="BG635" i="10"/>
  <c r="BG642" i="10"/>
  <c r="BG649" i="10"/>
  <c r="BG656" i="10"/>
  <c r="BG663" i="10"/>
  <c r="BG670" i="10"/>
  <c r="BG677" i="10"/>
  <c r="BG684" i="10"/>
  <c r="BG691" i="10"/>
  <c r="BG698" i="10"/>
  <c r="BG705" i="10"/>
  <c r="BG712" i="10"/>
  <c r="BG719" i="10"/>
  <c r="P460" i="10"/>
  <c r="P462" i="10"/>
  <c r="P461" i="10"/>
  <c r="AE460" i="10"/>
  <c r="A467" i="10"/>
  <c r="K465" i="10"/>
  <c r="K462" i="10"/>
  <c r="P463" i="10"/>
  <c r="A71" i="12"/>
  <c r="A459" i="38"/>
  <c r="C455" i="38"/>
  <c r="D455" i="38"/>
  <c r="E455" i="38"/>
  <c r="C608" i="38"/>
  <c r="D601" i="38"/>
  <c r="E601" i="38"/>
  <c r="G92" i="44"/>
  <c r="I92" i="44"/>
  <c r="AI457" i="10"/>
  <c r="BH88" i="26"/>
  <c r="AM88" i="12"/>
  <c r="BC88" i="26"/>
  <c r="AE455" i="10"/>
  <c r="AI463" i="10"/>
  <c r="BH82" i="10"/>
  <c r="T83" i="10"/>
  <c r="CH70" i="26"/>
  <c r="AZ70" i="12"/>
  <c r="CD70" i="26"/>
  <c r="AV70" i="12"/>
  <c r="BZ70" i="26"/>
  <c r="AR70" i="12"/>
  <c r="AC70" i="26"/>
  <c r="CG70" i="26"/>
  <c r="AY70" i="12"/>
  <c r="CC70" i="26"/>
  <c r="AU70" i="12"/>
  <c r="BY70" i="26"/>
  <c r="AQ70" i="12"/>
  <c r="CJ70" i="26"/>
  <c r="BB70" i="12"/>
  <c r="CF70" i="26"/>
  <c r="AX70" i="12"/>
  <c r="CB70" i="26"/>
  <c r="AT70" i="12"/>
  <c r="BX70" i="26"/>
  <c r="AP70" i="12"/>
  <c r="BV71" i="26"/>
  <c r="CI70" i="26"/>
  <c r="BA70" i="12"/>
  <c r="CE70" i="26"/>
  <c r="AW70" i="12"/>
  <c r="CA70" i="26"/>
  <c r="AS70" i="12"/>
  <c r="BW70" i="26"/>
  <c r="AO70" i="12"/>
  <c r="AH81" i="10"/>
  <c r="AI81" i="10"/>
  <c r="C74" i="38"/>
  <c r="A466" i="38"/>
  <c r="C462" i="38"/>
  <c r="D462" i="38"/>
  <c r="E462" i="38"/>
  <c r="P469" i="10"/>
  <c r="P468" i="10"/>
  <c r="AE467" i="10"/>
  <c r="A474" i="10"/>
  <c r="K472" i="10"/>
  <c r="K469" i="10"/>
  <c r="P467" i="10"/>
  <c r="P470" i="10"/>
  <c r="A72" i="12"/>
  <c r="AE461" i="10"/>
  <c r="AI462" i="10"/>
  <c r="AI461" i="10"/>
  <c r="AJ461" i="10"/>
  <c r="AI460" i="10"/>
  <c r="P94" i="1"/>
  <c r="T94" i="1"/>
  <c r="AJ89" i="1"/>
  <c r="C615" i="38"/>
  <c r="D608" i="38"/>
  <c r="E608" i="38"/>
  <c r="G93" i="44"/>
  <c r="I93" i="44"/>
  <c r="AI464" i="10"/>
  <c r="BC89" i="26"/>
  <c r="BH89" i="26"/>
  <c r="AM89" i="12"/>
  <c r="AI470" i="10"/>
  <c r="AI467" i="10"/>
  <c r="AJ467" i="10"/>
  <c r="Q467" i="10"/>
  <c r="AI469" i="10"/>
  <c r="AI468" i="10"/>
  <c r="AJ468" i="10"/>
  <c r="AJ81" i="10"/>
  <c r="P95" i="1"/>
  <c r="T95" i="1"/>
  <c r="AE462" i="10"/>
  <c r="AJ90" i="1"/>
  <c r="A73" i="12"/>
  <c r="P474" i="10"/>
  <c r="P476" i="10"/>
  <c r="P475" i="10"/>
  <c r="AE474" i="10"/>
  <c r="A481" i="10"/>
  <c r="K479" i="10"/>
  <c r="K476" i="10"/>
  <c r="P477" i="10"/>
  <c r="AE468" i="10"/>
  <c r="AF467" i="10"/>
  <c r="A473" i="38"/>
  <c r="C469" i="38"/>
  <c r="D469" i="38"/>
  <c r="E469" i="38"/>
  <c r="CG71" i="26"/>
  <c r="AY71" i="12"/>
  <c r="CC71" i="26"/>
  <c r="AU71" i="12"/>
  <c r="BY71" i="26"/>
  <c r="AQ71" i="12"/>
  <c r="CJ71" i="26"/>
  <c r="BB71" i="12"/>
  <c r="CF71" i="26"/>
  <c r="AX71" i="12"/>
  <c r="CB71" i="26"/>
  <c r="AT71" i="12"/>
  <c r="BX71" i="26"/>
  <c r="AP71" i="12"/>
  <c r="BV72" i="26"/>
  <c r="CI71" i="26"/>
  <c r="BA71" i="12"/>
  <c r="CE71" i="26"/>
  <c r="AW71" i="12"/>
  <c r="CA71" i="26"/>
  <c r="AS71" i="12"/>
  <c r="BW71" i="26"/>
  <c r="AO71" i="12"/>
  <c r="CH71" i="26"/>
  <c r="AZ71" i="12"/>
  <c r="CD71" i="26"/>
  <c r="AV71" i="12"/>
  <c r="BZ71" i="26"/>
  <c r="AR71" i="12"/>
  <c r="AC71" i="26"/>
  <c r="BH83" i="10"/>
  <c r="T84" i="10"/>
  <c r="D615" i="38"/>
  <c r="E615" i="38"/>
  <c r="C622" i="38"/>
  <c r="G94" i="44"/>
  <c r="I94" i="44"/>
  <c r="BH90" i="26"/>
  <c r="AM90" i="12"/>
  <c r="BC90" i="26"/>
  <c r="AI477" i="10"/>
  <c r="A480" i="38"/>
  <c r="C476" i="38"/>
  <c r="D476" i="38"/>
  <c r="E476" i="38"/>
  <c r="A74" i="12"/>
  <c r="AJ91" i="1"/>
  <c r="P96" i="1"/>
  <c r="J92" i="1"/>
  <c r="Y95" i="1"/>
  <c r="P483" i="10"/>
  <c r="P482" i="10"/>
  <c r="AE481" i="10"/>
  <c r="A488" i="10"/>
  <c r="K486" i="10"/>
  <c r="K483" i="10"/>
  <c r="P481" i="10"/>
  <c r="P484" i="10"/>
  <c r="T85" i="10"/>
  <c r="BH84" i="10"/>
  <c r="CJ72" i="26"/>
  <c r="BB72" i="12"/>
  <c r="CF72" i="26"/>
  <c r="AX72" i="12"/>
  <c r="CB72" i="26"/>
  <c r="AT72" i="12"/>
  <c r="BX72" i="26"/>
  <c r="AP72" i="12"/>
  <c r="BV73" i="26"/>
  <c r="CI72" i="26"/>
  <c r="BA72" i="12"/>
  <c r="CE72" i="26"/>
  <c r="AW72" i="12"/>
  <c r="CA72" i="26"/>
  <c r="AS72" i="12"/>
  <c r="BW72" i="26"/>
  <c r="AO72" i="12"/>
  <c r="CH72" i="26"/>
  <c r="AZ72" i="12"/>
  <c r="CD72" i="26"/>
  <c r="AV72" i="12"/>
  <c r="BZ72" i="26"/>
  <c r="AR72" i="12"/>
  <c r="AC72" i="26"/>
  <c r="CG72" i="26"/>
  <c r="AY72" i="12"/>
  <c r="CC72" i="26"/>
  <c r="AU72" i="12"/>
  <c r="BY72" i="26"/>
  <c r="AQ72" i="12"/>
  <c r="AI471" i="10"/>
  <c r="AF468" i="10"/>
  <c r="AE469" i="10"/>
  <c r="AF469" i="10"/>
  <c r="AE475" i="10"/>
  <c r="AF474" i="10"/>
  <c r="AI476" i="10"/>
  <c r="AI475" i="10"/>
  <c r="AJ475" i="10"/>
  <c r="AI474" i="10"/>
  <c r="AJ474" i="10"/>
  <c r="Q474" i="10"/>
  <c r="D622" i="38"/>
  <c r="E622" i="38"/>
  <c r="C629" i="38"/>
  <c r="I95" i="44"/>
  <c r="G95" i="44"/>
  <c r="BC91" i="26"/>
  <c r="BH91" i="26"/>
  <c r="AM91" i="12"/>
  <c r="AI96" i="1"/>
  <c r="Z90" i="1"/>
  <c r="X92" i="1"/>
  <c r="S18" i="26"/>
  <c r="AE482" i="10"/>
  <c r="AF481" i="10"/>
  <c r="AJ92" i="1"/>
  <c r="AI484" i="10"/>
  <c r="Y96" i="1"/>
  <c r="A75" i="12"/>
  <c r="BV74" i="26"/>
  <c r="CI73" i="26"/>
  <c r="BA73" i="12"/>
  <c r="CE73" i="26"/>
  <c r="AW73" i="12"/>
  <c r="CA73" i="26"/>
  <c r="AS73" i="12"/>
  <c r="BW73" i="26"/>
  <c r="AO73" i="12"/>
  <c r="CH73" i="26"/>
  <c r="AZ73" i="12"/>
  <c r="CD73" i="26"/>
  <c r="AV73" i="12"/>
  <c r="BZ73" i="26"/>
  <c r="AR73" i="12"/>
  <c r="AC73" i="26"/>
  <c r="CG73" i="26"/>
  <c r="AY73" i="12"/>
  <c r="CC73" i="26"/>
  <c r="AU73" i="12"/>
  <c r="BY73" i="26"/>
  <c r="AQ73" i="12"/>
  <c r="CJ73" i="26"/>
  <c r="BB73" i="12"/>
  <c r="CF73" i="26"/>
  <c r="AX73" i="12"/>
  <c r="CB73" i="26"/>
  <c r="AT73" i="12"/>
  <c r="BX73" i="26"/>
  <c r="AP73" i="12"/>
  <c r="K493" i="10"/>
  <c r="K490" i="10"/>
  <c r="P488" i="10"/>
  <c r="P490" i="10"/>
  <c r="P489" i="10"/>
  <c r="AE488" i="10"/>
  <c r="A495" i="10"/>
  <c r="P491" i="10"/>
  <c r="A487" i="38"/>
  <c r="C483" i="38"/>
  <c r="D483" i="38"/>
  <c r="E483" i="38"/>
  <c r="AE476" i="10"/>
  <c r="AF476" i="10"/>
  <c r="AF475" i="10"/>
  <c r="T86" i="10"/>
  <c r="BH85" i="10"/>
  <c r="AI481" i="10"/>
  <c r="AJ481" i="10"/>
  <c r="Q481" i="10"/>
  <c r="AI483" i="10"/>
  <c r="AI482" i="10"/>
  <c r="AJ482" i="10"/>
  <c r="P97" i="1"/>
  <c r="T97" i="1"/>
  <c r="AI478" i="10"/>
  <c r="C636" i="38"/>
  <c r="D629" i="38"/>
  <c r="E629" i="38"/>
  <c r="I96" i="44"/>
  <c r="G96" i="44"/>
  <c r="BH92" i="26"/>
  <c r="AM92" i="12"/>
  <c r="BC92" i="26"/>
  <c r="AE489" i="10"/>
  <c r="AF488" i="10"/>
  <c r="A76" i="12"/>
  <c r="T18" i="26"/>
  <c r="P18" i="3"/>
  <c r="Z92" i="1"/>
  <c r="U18" i="26"/>
  <c r="T87" i="10"/>
  <c r="BH86" i="10"/>
  <c r="A494" i="38"/>
  <c r="C490" i="38"/>
  <c r="D490" i="38"/>
  <c r="E490" i="38"/>
  <c r="AI490" i="10"/>
  <c r="AI489" i="10"/>
  <c r="AJ489" i="10"/>
  <c r="AI488" i="10"/>
  <c r="AJ488" i="10"/>
  <c r="Q488" i="10"/>
  <c r="P98" i="1"/>
  <c r="T98" i="1"/>
  <c r="AI491" i="10"/>
  <c r="AI485" i="10"/>
  <c r="AA18" i="26"/>
  <c r="Q18" i="26"/>
  <c r="AF482" i="10"/>
  <c r="AE483" i="10"/>
  <c r="AF483" i="10"/>
  <c r="P497" i="10"/>
  <c r="P496" i="10"/>
  <c r="AE495" i="10"/>
  <c r="A502" i="10"/>
  <c r="K500" i="10"/>
  <c r="K497" i="10"/>
  <c r="P495" i="10"/>
  <c r="P498" i="10"/>
  <c r="CH74" i="26"/>
  <c r="AZ74" i="12"/>
  <c r="CD74" i="26"/>
  <c r="AV74" i="12"/>
  <c r="BZ74" i="26"/>
  <c r="AR74" i="12"/>
  <c r="AC74" i="26"/>
  <c r="CG74" i="26"/>
  <c r="AY74" i="12"/>
  <c r="CC74" i="26"/>
  <c r="AU74" i="12"/>
  <c r="BY74" i="26"/>
  <c r="AQ74" i="12"/>
  <c r="CJ74" i="26"/>
  <c r="BB74" i="12"/>
  <c r="CF74" i="26"/>
  <c r="AX74" i="12"/>
  <c r="CB74" i="26"/>
  <c r="AT74" i="12"/>
  <c r="BX74" i="26"/>
  <c r="AP74" i="12"/>
  <c r="BV75" i="26"/>
  <c r="CI74" i="26"/>
  <c r="BA74" i="12"/>
  <c r="CE74" i="26"/>
  <c r="AW74" i="12"/>
  <c r="CA74" i="26"/>
  <c r="AS74" i="12"/>
  <c r="BW74" i="26"/>
  <c r="AO74" i="12"/>
  <c r="AJ93" i="1"/>
  <c r="C643" i="38"/>
  <c r="D636" i="38"/>
  <c r="E636" i="38"/>
  <c r="G97" i="44"/>
  <c r="I97" i="44"/>
  <c r="BH93" i="26"/>
  <c r="AM93" i="12"/>
  <c r="BC93" i="26"/>
  <c r="AI498" i="10"/>
  <c r="X18" i="26"/>
  <c r="CG75" i="26"/>
  <c r="AY75" i="12"/>
  <c r="CC75" i="26"/>
  <c r="AU75" i="12"/>
  <c r="BY75" i="26"/>
  <c r="AQ75" i="12"/>
  <c r="CJ75" i="26"/>
  <c r="BB75" i="12"/>
  <c r="CF75" i="26"/>
  <c r="AX75" i="12"/>
  <c r="CB75" i="26"/>
  <c r="AT75" i="12"/>
  <c r="BX75" i="26"/>
  <c r="AP75" i="12"/>
  <c r="BV76" i="26"/>
  <c r="CI75" i="26"/>
  <c r="BA75" i="12"/>
  <c r="CE75" i="26"/>
  <c r="AW75" i="12"/>
  <c r="CA75" i="26"/>
  <c r="AS75" i="12"/>
  <c r="BW75" i="26"/>
  <c r="AO75" i="12"/>
  <c r="CH75" i="26"/>
  <c r="AZ75" i="12"/>
  <c r="CD75" i="26"/>
  <c r="AV75" i="12"/>
  <c r="BZ75" i="26"/>
  <c r="AR75" i="12"/>
  <c r="AC75" i="26"/>
  <c r="AI495" i="10"/>
  <c r="AJ495" i="10"/>
  <c r="Q495" i="10"/>
  <c r="AI496" i="10"/>
  <c r="AJ496" i="10"/>
  <c r="AI497" i="10"/>
  <c r="AJ94" i="1"/>
  <c r="P502" i="10"/>
  <c r="K507" i="10"/>
  <c r="K504" i="10"/>
  <c r="P503" i="10"/>
  <c r="AE502" i="10"/>
  <c r="A509" i="10"/>
  <c r="P504" i="10"/>
  <c r="P505" i="10"/>
  <c r="P99" i="1"/>
  <c r="T99" i="1"/>
  <c r="A77" i="12"/>
  <c r="AE490" i="10"/>
  <c r="AF490" i="10"/>
  <c r="AF489" i="10"/>
  <c r="AE496" i="10"/>
  <c r="AF495" i="10"/>
  <c r="AI492" i="10"/>
  <c r="A501" i="38"/>
  <c r="C497" i="38"/>
  <c r="D497" i="38"/>
  <c r="E497" i="38"/>
  <c r="T88" i="10"/>
  <c r="BH87" i="10"/>
  <c r="D643" i="38"/>
  <c r="E643" i="38"/>
  <c r="C650" i="38"/>
  <c r="G98" i="44"/>
  <c r="I98" i="44"/>
  <c r="BH94" i="26"/>
  <c r="AM94" i="12"/>
  <c r="BC94" i="26"/>
  <c r="T89" i="10"/>
  <c r="BH88" i="10"/>
  <c r="AH87" i="10"/>
  <c r="P511" i="10"/>
  <c r="P510" i="10"/>
  <c r="AE509" i="10"/>
  <c r="A516" i="10"/>
  <c r="K514" i="10"/>
  <c r="K511" i="10"/>
  <c r="P509" i="10"/>
  <c r="P512" i="10"/>
  <c r="AE503" i="10"/>
  <c r="AF502" i="10"/>
  <c r="AI499" i="10"/>
  <c r="AF496" i="10"/>
  <c r="AE497" i="10"/>
  <c r="AF497" i="10"/>
  <c r="A78" i="12"/>
  <c r="AI505" i="10"/>
  <c r="AI504" i="10"/>
  <c r="AI503" i="10"/>
  <c r="AJ503" i="10"/>
  <c r="AI502" i="10"/>
  <c r="AJ502" i="10"/>
  <c r="Q502" i="10"/>
  <c r="CJ76" i="26"/>
  <c r="BB76" i="12"/>
  <c r="CF76" i="26"/>
  <c r="AX76" i="12"/>
  <c r="CB76" i="26"/>
  <c r="AT76" i="12"/>
  <c r="BX76" i="26"/>
  <c r="AP76" i="12"/>
  <c r="BV77" i="26"/>
  <c r="CI76" i="26"/>
  <c r="BA76" i="12"/>
  <c r="CE76" i="26"/>
  <c r="AW76" i="12"/>
  <c r="CA76" i="26"/>
  <c r="AS76" i="12"/>
  <c r="BW76" i="26"/>
  <c r="AO76" i="12"/>
  <c r="CH76" i="26"/>
  <c r="AZ76" i="12"/>
  <c r="CD76" i="26"/>
  <c r="AV76" i="12"/>
  <c r="BZ76" i="26"/>
  <c r="AR76" i="12"/>
  <c r="AC76" i="26"/>
  <c r="CG76" i="26"/>
  <c r="AY76" i="12"/>
  <c r="CC76" i="26"/>
  <c r="AU76" i="12"/>
  <c r="BY76" i="26"/>
  <c r="AQ76" i="12"/>
  <c r="A508" i="38"/>
  <c r="C504" i="38"/>
  <c r="D504" i="38"/>
  <c r="E504" i="38"/>
  <c r="P100" i="1"/>
  <c r="T100" i="1"/>
  <c r="AJ95" i="1"/>
  <c r="D650" i="38"/>
  <c r="E650" i="38"/>
  <c r="C657" i="38"/>
  <c r="I99" i="44"/>
  <c r="G99" i="44"/>
  <c r="BC95" i="26"/>
  <c r="BH95" i="26"/>
  <c r="AM95" i="12"/>
  <c r="AI506" i="10"/>
  <c r="AI509" i="10"/>
  <c r="AJ509" i="10"/>
  <c r="Q509" i="10"/>
  <c r="AI511" i="10"/>
  <c r="AI510" i="10"/>
  <c r="AJ510" i="10"/>
  <c r="P516" i="10"/>
  <c r="P518" i="10"/>
  <c r="P517" i="10"/>
  <c r="AE516" i="10"/>
  <c r="K521" i="10"/>
  <c r="K518" i="10"/>
  <c r="A523" i="10"/>
  <c r="P519" i="10"/>
  <c r="AH88" i="10"/>
  <c r="AI88" i="10"/>
  <c r="C81" i="38"/>
  <c r="P101" i="1"/>
  <c r="T101" i="1"/>
  <c r="A515" i="38"/>
  <c r="C511" i="38"/>
  <c r="D511" i="38"/>
  <c r="E511" i="38"/>
  <c r="AJ96" i="1"/>
  <c r="AE510" i="10"/>
  <c r="AF509" i="10"/>
  <c r="BV78" i="26"/>
  <c r="CI77" i="26"/>
  <c r="BA77" i="12"/>
  <c r="CE77" i="26"/>
  <c r="AW77" i="12"/>
  <c r="CA77" i="26"/>
  <c r="AS77" i="12"/>
  <c r="BW77" i="26"/>
  <c r="AO77" i="12"/>
  <c r="CH77" i="26"/>
  <c r="AZ77" i="12"/>
  <c r="CD77" i="26"/>
  <c r="AV77" i="12"/>
  <c r="BZ77" i="26"/>
  <c r="AR77" i="12"/>
  <c r="AC77" i="26"/>
  <c r="CG77" i="26"/>
  <c r="AY77" i="12"/>
  <c r="CC77" i="26"/>
  <c r="AU77" i="12"/>
  <c r="BY77" i="26"/>
  <c r="AQ77" i="12"/>
  <c r="CJ77" i="26"/>
  <c r="BB77" i="12"/>
  <c r="CF77" i="26"/>
  <c r="AX77" i="12"/>
  <c r="CB77" i="26"/>
  <c r="AT77" i="12"/>
  <c r="BX77" i="26"/>
  <c r="AP77" i="12"/>
  <c r="AE504" i="10"/>
  <c r="AF504" i="10"/>
  <c r="AF503" i="10"/>
  <c r="A79" i="12"/>
  <c r="AI512" i="10"/>
  <c r="T90" i="10"/>
  <c r="BH89" i="10"/>
  <c r="C664" i="38"/>
  <c r="D657" i="38"/>
  <c r="E657" i="38"/>
  <c r="G100" i="44"/>
  <c r="I100" i="44"/>
  <c r="AI513" i="10"/>
  <c r="BH96" i="26"/>
  <c r="AM96" i="12"/>
  <c r="BC96" i="26"/>
  <c r="AJ97" i="1"/>
  <c r="P102" i="1"/>
  <c r="A80" i="12"/>
  <c r="AF510" i="10"/>
  <c r="AE511" i="10"/>
  <c r="AF511" i="10"/>
  <c r="AE517" i="10"/>
  <c r="AF516" i="10"/>
  <c r="AI518" i="10"/>
  <c r="AI517" i="10"/>
  <c r="AJ517" i="10"/>
  <c r="AI516" i="10"/>
  <c r="AJ516" i="10"/>
  <c r="Q516" i="10"/>
  <c r="T102" i="1"/>
  <c r="T91" i="10"/>
  <c r="BH90" i="10"/>
  <c r="CH78" i="26"/>
  <c r="AZ78" i="12"/>
  <c r="CD78" i="26"/>
  <c r="AV78" i="12"/>
  <c r="BZ78" i="26"/>
  <c r="AR78" i="12"/>
  <c r="AC78" i="26"/>
  <c r="CG78" i="26"/>
  <c r="AY78" i="12"/>
  <c r="CC78" i="26"/>
  <c r="AU78" i="12"/>
  <c r="BY78" i="26"/>
  <c r="AQ78" i="12"/>
  <c r="CJ78" i="26"/>
  <c r="BB78" i="12"/>
  <c r="CF78" i="26"/>
  <c r="AX78" i="12"/>
  <c r="CB78" i="26"/>
  <c r="AT78" i="12"/>
  <c r="BX78" i="26"/>
  <c r="AP78" i="12"/>
  <c r="BV79" i="26"/>
  <c r="CI78" i="26"/>
  <c r="BA78" i="12"/>
  <c r="CE78" i="26"/>
  <c r="AW78" i="12"/>
  <c r="CA78" i="26"/>
  <c r="AS78" i="12"/>
  <c r="BW78" i="26"/>
  <c r="AO78" i="12"/>
  <c r="A522" i="38"/>
  <c r="C518" i="38"/>
  <c r="D518" i="38"/>
  <c r="E518" i="38"/>
  <c r="AJ88" i="10"/>
  <c r="P525" i="10"/>
  <c r="P524" i="10"/>
  <c r="AE523" i="10"/>
  <c r="A530" i="10"/>
  <c r="K528" i="10"/>
  <c r="K525" i="10"/>
  <c r="P523" i="10"/>
  <c r="P526" i="10"/>
  <c r="AI519" i="10"/>
  <c r="C671" i="38"/>
  <c r="D664" i="38"/>
  <c r="E664" i="38"/>
  <c r="G101" i="44"/>
  <c r="I101" i="44"/>
  <c r="BH97" i="26"/>
  <c r="AM97" i="12"/>
  <c r="BC97" i="26"/>
  <c r="AE524" i="10"/>
  <c r="AF523" i="10"/>
  <c r="CG79" i="26"/>
  <c r="AY79" i="12"/>
  <c r="CC79" i="26"/>
  <c r="AU79" i="12"/>
  <c r="BY79" i="26"/>
  <c r="AQ79" i="12"/>
  <c r="CJ79" i="26"/>
  <c r="BB79" i="12"/>
  <c r="CF79" i="26"/>
  <c r="AX79" i="12"/>
  <c r="CB79" i="26"/>
  <c r="AT79" i="12"/>
  <c r="BX79" i="26"/>
  <c r="AP79" i="12"/>
  <c r="BV80" i="26"/>
  <c r="CI79" i="26"/>
  <c r="BA79" i="12"/>
  <c r="CE79" i="26"/>
  <c r="AW79" i="12"/>
  <c r="CA79" i="26"/>
  <c r="AS79" i="12"/>
  <c r="BW79" i="26"/>
  <c r="AO79" i="12"/>
  <c r="CH79" i="26"/>
  <c r="AZ79" i="12"/>
  <c r="CD79" i="26"/>
  <c r="AV79" i="12"/>
  <c r="BZ79" i="26"/>
  <c r="AR79" i="12"/>
  <c r="AC79" i="26"/>
  <c r="T92" i="10"/>
  <c r="BH91" i="10"/>
  <c r="AE518" i="10"/>
  <c r="AF518" i="10"/>
  <c r="AF517" i="10"/>
  <c r="AJ98" i="1"/>
  <c r="AI526" i="10"/>
  <c r="A529" i="38"/>
  <c r="C525" i="38"/>
  <c r="D525" i="38"/>
  <c r="E525" i="38"/>
  <c r="A81" i="12"/>
  <c r="J99" i="1"/>
  <c r="Y102" i="1"/>
  <c r="P103" i="1"/>
  <c r="AI523" i="10"/>
  <c r="AJ523" i="10"/>
  <c r="Q523" i="10"/>
  <c r="AI525" i="10"/>
  <c r="AI524" i="10"/>
  <c r="AJ524" i="10"/>
  <c r="AI520" i="10"/>
  <c r="P530" i="10"/>
  <c r="P532" i="10"/>
  <c r="P531" i="10"/>
  <c r="AE530" i="10"/>
  <c r="K535" i="10"/>
  <c r="K532" i="10"/>
  <c r="A537" i="10"/>
  <c r="P533" i="10"/>
  <c r="D671" i="38"/>
  <c r="E671" i="38"/>
  <c r="C678" i="38"/>
  <c r="I102" i="44"/>
  <c r="G102" i="44"/>
  <c r="BH98" i="26"/>
  <c r="AM98" i="12"/>
  <c r="BC98" i="26"/>
  <c r="AI103" i="1"/>
  <c r="Z97" i="1"/>
  <c r="X99" i="1"/>
  <c r="P539" i="10"/>
  <c r="P538" i="10"/>
  <c r="AE537" i="10"/>
  <c r="A544" i="10"/>
  <c r="K542" i="10"/>
  <c r="K539" i="10"/>
  <c r="P537" i="10"/>
  <c r="P540" i="10"/>
  <c r="A536" i="38"/>
  <c r="C532" i="38"/>
  <c r="D532" i="38"/>
  <c r="E532" i="38"/>
  <c r="AJ99" i="1"/>
  <c r="CJ80" i="26"/>
  <c r="BB80" i="12"/>
  <c r="CF80" i="26"/>
  <c r="AX80" i="12"/>
  <c r="CB80" i="26"/>
  <c r="AT80" i="12"/>
  <c r="BX80" i="26"/>
  <c r="AP80" i="12"/>
  <c r="BV81" i="26"/>
  <c r="CI80" i="26"/>
  <c r="BA80" i="12"/>
  <c r="CE80" i="26"/>
  <c r="AW80" i="12"/>
  <c r="CA80" i="26"/>
  <c r="AS80" i="12"/>
  <c r="BW80" i="26"/>
  <c r="AO80" i="12"/>
  <c r="CH80" i="26"/>
  <c r="AZ80" i="12"/>
  <c r="CD80" i="26"/>
  <c r="AV80" i="12"/>
  <c r="BZ80" i="26"/>
  <c r="AR80" i="12"/>
  <c r="AC80" i="26"/>
  <c r="CG80" i="26"/>
  <c r="AY80" i="12"/>
  <c r="CC80" i="26"/>
  <c r="AU80" i="12"/>
  <c r="BY80" i="26"/>
  <c r="AQ80" i="12"/>
  <c r="AF524" i="10"/>
  <c r="AE525" i="10"/>
  <c r="AF525" i="10"/>
  <c r="AI533" i="10"/>
  <c r="Y103" i="1"/>
  <c r="AI527" i="10"/>
  <c r="AE531" i="10"/>
  <c r="AF530" i="10"/>
  <c r="AI532" i="10"/>
  <c r="AI531" i="10"/>
  <c r="AJ531" i="10"/>
  <c r="AI530" i="10"/>
  <c r="AJ530" i="10"/>
  <c r="Q530" i="10"/>
  <c r="S19" i="26"/>
  <c r="A82" i="12"/>
  <c r="BH92" i="10"/>
  <c r="T93" i="10"/>
  <c r="D678" i="38"/>
  <c r="E678" i="38"/>
  <c r="C685" i="38"/>
  <c r="G103" i="44"/>
  <c r="I103" i="44"/>
  <c r="BC99" i="26"/>
  <c r="BH99" i="26"/>
  <c r="AM99" i="12"/>
  <c r="AJ100" i="1"/>
  <c r="A543" i="38"/>
  <c r="C539" i="38"/>
  <c r="D539" i="38"/>
  <c r="E539" i="38"/>
  <c r="P544" i="10"/>
  <c r="P546" i="10"/>
  <c r="P545" i="10"/>
  <c r="AE544" i="10"/>
  <c r="A551" i="10"/>
  <c r="K549" i="10"/>
  <c r="K546" i="10"/>
  <c r="P547" i="10"/>
  <c r="Z99" i="1"/>
  <c r="U19" i="26"/>
  <c r="T19" i="26"/>
  <c r="P19" i="3"/>
  <c r="BV82" i="26"/>
  <c r="CI81" i="26"/>
  <c r="BA81" i="12"/>
  <c r="CE81" i="26"/>
  <c r="AW81" i="12"/>
  <c r="CA81" i="26"/>
  <c r="AS81" i="12"/>
  <c r="BW81" i="26"/>
  <c r="AO81" i="12"/>
  <c r="CH81" i="26"/>
  <c r="AZ81" i="12"/>
  <c r="CD81" i="26"/>
  <c r="AV81" i="12"/>
  <c r="BZ81" i="26"/>
  <c r="AR81" i="12"/>
  <c r="BN81" i="26"/>
  <c r="U81" i="12"/>
  <c r="AC81" i="26"/>
  <c r="CG81" i="26"/>
  <c r="AY81" i="12"/>
  <c r="CC81" i="26"/>
  <c r="AU81" i="12"/>
  <c r="BY81" i="26"/>
  <c r="AQ81" i="12"/>
  <c r="BQ81" i="26"/>
  <c r="X81" i="12"/>
  <c r="BM81" i="26"/>
  <c r="CJ81" i="26"/>
  <c r="BB81" i="12"/>
  <c r="CF81" i="26"/>
  <c r="AX81" i="12"/>
  <c r="CB81" i="26"/>
  <c r="AT81" i="12"/>
  <c r="BX81" i="26"/>
  <c r="AP81" i="12"/>
  <c r="BP81" i="26"/>
  <c r="AE538" i="10"/>
  <c r="AF537" i="10"/>
  <c r="Q19" i="26"/>
  <c r="AA19" i="26"/>
  <c r="BH93" i="10"/>
  <c r="T94" i="10"/>
  <c r="AI540" i="10"/>
  <c r="Z82" i="12"/>
  <c r="AY82" i="26"/>
  <c r="A83" i="12"/>
  <c r="AE532" i="10"/>
  <c r="AF532" i="10"/>
  <c r="AF531" i="10"/>
  <c r="AI534" i="10"/>
  <c r="AI537" i="10"/>
  <c r="AJ537" i="10"/>
  <c r="Q537" i="10"/>
  <c r="AI539" i="10"/>
  <c r="AI538" i="10"/>
  <c r="AJ538" i="10"/>
  <c r="C692" i="38"/>
  <c r="D685" i="38"/>
  <c r="E685" i="38"/>
  <c r="BO81" i="26"/>
  <c r="V81" i="12"/>
  <c r="BR81" i="26"/>
  <c r="Y81" i="12"/>
  <c r="G104" i="44"/>
  <c r="I104" i="44"/>
  <c r="BH100" i="26"/>
  <c r="AM100" i="12"/>
  <c r="BC100" i="26"/>
  <c r="AA104" i="1"/>
  <c r="AD104" i="1"/>
  <c r="R104" i="1"/>
  <c r="R105" i="1"/>
  <c r="AK104" i="1"/>
  <c r="AE545" i="10"/>
  <c r="AF544" i="10"/>
  <c r="AI546" i="10"/>
  <c r="AI545" i="10"/>
  <c r="AJ545" i="10"/>
  <c r="AI544" i="10"/>
  <c r="AJ544" i="10"/>
  <c r="Q544" i="10"/>
  <c r="A550" i="38"/>
  <c r="C546" i="38"/>
  <c r="D546" i="38"/>
  <c r="E546" i="38"/>
  <c r="AJ101" i="1"/>
  <c r="AK105" i="1"/>
  <c r="AF538" i="10"/>
  <c r="AE539" i="10"/>
  <c r="AF539" i="10"/>
  <c r="P553" i="10"/>
  <c r="P552" i="10"/>
  <c r="AE551" i="10"/>
  <c r="A558" i="10"/>
  <c r="K556" i="10"/>
  <c r="K553" i="10"/>
  <c r="P551" i="10"/>
  <c r="P554" i="10"/>
  <c r="BT80" i="26"/>
  <c r="BG80" i="12"/>
  <c r="AT77" i="26"/>
  <c r="AV77" i="26"/>
  <c r="Q77" i="12"/>
  <c r="BT64" i="26"/>
  <c r="BG64" i="12"/>
  <c r="AT80" i="26"/>
  <c r="AV80" i="26"/>
  <c r="Q80" i="12"/>
  <c r="AD72" i="26"/>
  <c r="AH72" i="26"/>
  <c r="J72" i="12"/>
  <c r="BT67" i="26"/>
  <c r="BG67" i="12"/>
  <c r="AD83" i="26"/>
  <c r="AH83" i="26"/>
  <c r="J83" i="12"/>
  <c r="BT78" i="26"/>
  <c r="BG78" i="12"/>
  <c r="AT75" i="26"/>
  <c r="AV75" i="26"/>
  <c r="Q75" i="12"/>
  <c r="BT62" i="26"/>
  <c r="BG62" i="12"/>
  <c r="AT82" i="26"/>
  <c r="AV82" i="26"/>
  <c r="Q82" i="12"/>
  <c r="AD74" i="26"/>
  <c r="AH74" i="26"/>
  <c r="J74" i="12"/>
  <c r="BT69" i="26"/>
  <c r="BG69" i="12"/>
  <c r="AD84" i="26"/>
  <c r="AH84" i="26"/>
  <c r="J84" i="12"/>
  <c r="BT79" i="26"/>
  <c r="BG79" i="12"/>
  <c r="BT63" i="26"/>
  <c r="BG63" i="12"/>
  <c r="AT81" i="26"/>
  <c r="AV81" i="26"/>
  <c r="Q81" i="12"/>
  <c r="AD73" i="26"/>
  <c r="AH73" i="26"/>
  <c r="J73" i="12"/>
  <c r="BT68" i="26"/>
  <c r="BG68" i="12"/>
  <c r="AT84" i="26"/>
  <c r="AV84" i="26"/>
  <c r="Q84" i="12"/>
  <c r="AD76" i="26"/>
  <c r="AH76" i="26"/>
  <c r="J76" i="12"/>
  <c r="BT71" i="26"/>
  <c r="BG71" i="12"/>
  <c r="AT79" i="26"/>
  <c r="AV79" i="26"/>
  <c r="Q79" i="12"/>
  <c r="BT66" i="26"/>
  <c r="BG66" i="12"/>
  <c r="AD78" i="26"/>
  <c r="AH78" i="26"/>
  <c r="J78" i="12"/>
  <c r="BT73" i="26"/>
  <c r="BG73" i="12"/>
  <c r="BT60" i="26"/>
  <c r="BG60" i="12"/>
  <c r="BT81" i="26"/>
  <c r="BG81" i="12"/>
  <c r="AT78" i="26"/>
  <c r="AV78" i="26"/>
  <c r="Q78" i="12"/>
  <c r="BT65" i="26"/>
  <c r="BG65" i="12"/>
  <c r="AD77" i="26"/>
  <c r="AH77" i="26"/>
  <c r="J77" i="12"/>
  <c r="BT72" i="26"/>
  <c r="BG72" i="12"/>
  <c r="AD80" i="26"/>
  <c r="AH80" i="26"/>
  <c r="J80" i="12"/>
  <c r="BT75" i="26"/>
  <c r="BG75" i="12"/>
  <c r="AT72" i="26"/>
  <c r="AV72" i="26"/>
  <c r="Q72" i="12"/>
  <c r="BT59" i="26"/>
  <c r="BG59" i="12"/>
  <c r="AT83" i="26"/>
  <c r="AV83" i="26"/>
  <c r="Q83" i="12"/>
  <c r="AD75" i="26"/>
  <c r="AH75" i="26"/>
  <c r="J75" i="12"/>
  <c r="BT70" i="26"/>
  <c r="BG70" i="12"/>
  <c r="AD82" i="26"/>
  <c r="AH82" i="26"/>
  <c r="J82" i="12"/>
  <c r="BT77" i="26"/>
  <c r="BG77" i="12"/>
  <c r="AT74" i="26"/>
  <c r="AV74" i="26"/>
  <c r="Q74" i="12"/>
  <c r="BT61" i="26"/>
  <c r="BG61" i="12"/>
  <c r="AD81" i="26"/>
  <c r="AH81" i="26"/>
  <c r="J81" i="12"/>
  <c r="BT76" i="26"/>
  <c r="BG76" i="12"/>
  <c r="AT73" i="26"/>
  <c r="AV73" i="26"/>
  <c r="Q73" i="12"/>
  <c r="AT76" i="26"/>
  <c r="AV76" i="26"/>
  <c r="Q76" i="12"/>
  <c r="AD79" i="26"/>
  <c r="AH79" i="26"/>
  <c r="J79" i="12"/>
  <c r="BT74" i="26"/>
  <c r="BG74" i="12"/>
  <c r="BP59" i="26"/>
  <c r="BQ59" i="26"/>
  <c r="X59" i="12"/>
  <c r="BN59" i="26"/>
  <c r="U59" i="12"/>
  <c r="BQ60" i="26"/>
  <c r="X60" i="12"/>
  <c r="BN60" i="26"/>
  <c r="U60" i="12"/>
  <c r="BP60" i="26"/>
  <c r="BP61" i="26"/>
  <c r="BQ61" i="26"/>
  <c r="X61" i="12"/>
  <c r="BN61" i="26"/>
  <c r="U61" i="12"/>
  <c r="BN62" i="26"/>
  <c r="U62" i="12"/>
  <c r="BP62" i="26"/>
  <c r="BQ62" i="26"/>
  <c r="X62" i="12"/>
  <c r="BP63" i="26"/>
  <c r="BQ63" i="26"/>
  <c r="X63" i="12"/>
  <c r="BN63" i="26"/>
  <c r="U63" i="12"/>
  <c r="BN64" i="26"/>
  <c r="U64" i="12"/>
  <c r="BQ64" i="26"/>
  <c r="X64" i="12"/>
  <c r="BP64" i="26"/>
  <c r="BQ65" i="26"/>
  <c r="X65" i="12"/>
  <c r="BN65" i="26"/>
  <c r="U65" i="12"/>
  <c r="BP65" i="26"/>
  <c r="BN66" i="26"/>
  <c r="U66" i="12"/>
  <c r="BQ66" i="26"/>
  <c r="X66" i="12"/>
  <c r="BP66" i="26"/>
  <c r="BN67" i="26"/>
  <c r="U67" i="12"/>
  <c r="BQ67" i="26"/>
  <c r="X67" i="12"/>
  <c r="BP67" i="26"/>
  <c r="BP68" i="26"/>
  <c r="BQ68" i="26"/>
  <c r="X68" i="12"/>
  <c r="BN68" i="26"/>
  <c r="U68" i="12"/>
  <c r="BP69" i="26"/>
  <c r="BN69" i="26"/>
  <c r="U69" i="12"/>
  <c r="BQ69" i="26"/>
  <c r="X69" i="12"/>
  <c r="BQ70" i="26"/>
  <c r="X70" i="12"/>
  <c r="BN70" i="26"/>
  <c r="U70" i="12"/>
  <c r="BP70" i="26"/>
  <c r="AY72" i="26"/>
  <c r="BQ71" i="26"/>
  <c r="X71" i="12"/>
  <c r="BN71" i="26"/>
  <c r="U71" i="12"/>
  <c r="BP71" i="26"/>
  <c r="BQ72" i="26"/>
  <c r="X72" i="12"/>
  <c r="BN72" i="26"/>
  <c r="U72" i="12"/>
  <c r="BM72" i="26"/>
  <c r="BP72" i="26"/>
  <c r="AY73" i="26"/>
  <c r="Z74" i="12"/>
  <c r="AY74" i="26"/>
  <c r="BQ73" i="26"/>
  <c r="X73" i="12"/>
  <c r="BN73" i="26"/>
  <c r="U73" i="12"/>
  <c r="BM73" i="26"/>
  <c r="BP73" i="26"/>
  <c r="BQ74" i="26"/>
  <c r="X74" i="12"/>
  <c r="BN74" i="26"/>
  <c r="U74" i="12"/>
  <c r="BM74" i="26"/>
  <c r="BP74" i="26"/>
  <c r="Z75" i="12"/>
  <c r="AY75" i="26"/>
  <c r="BQ75" i="26"/>
  <c r="X75" i="12"/>
  <c r="BM75" i="26"/>
  <c r="BN75" i="26"/>
  <c r="U75" i="12"/>
  <c r="BP75" i="26"/>
  <c r="Z76" i="12"/>
  <c r="AY76" i="26"/>
  <c r="BQ76" i="26"/>
  <c r="X76" i="12"/>
  <c r="BN76" i="26"/>
  <c r="U76" i="12"/>
  <c r="BM76" i="26"/>
  <c r="Z77" i="12"/>
  <c r="AY77" i="26"/>
  <c r="BP76" i="26"/>
  <c r="BQ77" i="26"/>
  <c r="X77" i="12"/>
  <c r="Z78" i="12"/>
  <c r="AY78" i="26"/>
  <c r="BN77" i="26"/>
  <c r="U77" i="12"/>
  <c r="BM77" i="26"/>
  <c r="BP77" i="26"/>
  <c r="Z79" i="12"/>
  <c r="AY79" i="26"/>
  <c r="BQ78" i="26"/>
  <c r="X78" i="12"/>
  <c r="BM78" i="26"/>
  <c r="BN78" i="26"/>
  <c r="U78" i="12"/>
  <c r="BP78" i="26"/>
  <c r="BP79" i="26"/>
  <c r="BQ79" i="26"/>
  <c r="X79" i="12"/>
  <c r="Z80" i="12"/>
  <c r="AY80" i="26"/>
  <c r="BM79" i="26"/>
  <c r="BN79" i="26"/>
  <c r="U79" i="12"/>
  <c r="BN80" i="26"/>
  <c r="U80" i="12"/>
  <c r="BM80" i="26"/>
  <c r="BQ80" i="26"/>
  <c r="X80" i="12"/>
  <c r="BP80" i="26"/>
  <c r="Z81" i="12"/>
  <c r="AY81" i="26"/>
  <c r="Z83" i="12"/>
  <c r="AY83" i="26"/>
  <c r="A84" i="12"/>
  <c r="O373" i="10"/>
  <c r="O374" i="10"/>
  <c r="Q374" i="10"/>
  <c r="O371" i="10"/>
  <c r="Q371" i="10"/>
  <c r="BA58" i="26"/>
  <c r="AB58" i="12"/>
  <c r="O381" i="10"/>
  <c r="Q381" i="10"/>
  <c r="O378" i="10"/>
  <c r="Q378" i="10"/>
  <c r="BA59" i="26"/>
  <c r="AB59" i="12"/>
  <c r="O380" i="10"/>
  <c r="O388" i="10"/>
  <c r="Q388" i="10"/>
  <c r="O385" i="10"/>
  <c r="Q385" i="10"/>
  <c r="BA60" i="26"/>
  <c r="AB60" i="12"/>
  <c r="O387" i="10"/>
  <c r="O394" i="10"/>
  <c r="O392" i="10"/>
  <c r="Q392" i="10"/>
  <c r="BA61" i="26"/>
  <c r="AB61" i="12"/>
  <c r="O395" i="10"/>
  <c r="Q395" i="10"/>
  <c r="O399" i="10"/>
  <c r="Q399" i="10"/>
  <c r="BA62" i="26"/>
  <c r="AB62" i="12"/>
  <c r="O401" i="10"/>
  <c r="O402" i="10"/>
  <c r="Q402" i="10"/>
  <c r="O409" i="10"/>
  <c r="Q409" i="10"/>
  <c r="O406" i="10"/>
  <c r="Q406" i="10"/>
  <c r="BA63" i="26"/>
  <c r="AB63" i="12"/>
  <c r="O408" i="10"/>
  <c r="O413" i="10"/>
  <c r="Q413" i="10"/>
  <c r="BA64" i="26"/>
  <c r="AB64" i="12"/>
  <c r="O415" i="10"/>
  <c r="O416" i="10"/>
  <c r="Q416" i="10"/>
  <c r="O422" i="10"/>
  <c r="O423" i="10"/>
  <c r="Q423" i="10"/>
  <c r="O420" i="10"/>
  <c r="Q420" i="10"/>
  <c r="BA65" i="26"/>
  <c r="AB65" i="12"/>
  <c r="O429" i="10"/>
  <c r="O430" i="10"/>
  <c r="Q430" i="10"/>
  <c r="O427" i="10"/>
  <c r="Q427" i="10"/>
  <c r="BA66" i="26"/>
  <c r="AB66" i="12"/>
  <c r="O434" i="10"/>
  <c r="Q434" i="10"/>
  <c r="BA67" i="26"/>
  <c r="AB67" i="12"/>
  <c r="O437" i="10"/>
  <c r="Q437" i="10"/>
  <c r="O436" i="10"/>
  <c r="O444" i="10"/>
  <c r="Q444" i="10"/>
  <c r="O441" i="10"/>
  <c r="Q441" i="10"/>
  <c r="BA68" i="26"/>
  <c r="AB68" i="12"/>
  <c r="O443" i="10"/>
  <c r="O448" i="10"/>
  <c r="Q448" i="10"/>
  <c r="BA69" i="26"/>
  <c r="AB69" i="12"/>
  <c r="O450" i="10"/>
  <c r="O451" i="10"/>
  <c r="Q451" i="10"/>
  <c r="O458" i="10"/>
  <c r="Q458" i="10"/>
  <c r="O455" i="10"/>
  <c r="Q455" i="10"/>
  <c r="BA70" i="26"/>
  <c r="AB70" i="12"/>
  <c r="O457" i="10"/>
  <c r="O462" i="10"/>
  <c r="Q462" i="10"/>
  <c r="BA71" i="26"/>
  <c r="AB71" i="12"/>
  <c r="O464" i="10"/>
  <c r="O465" i="10"/>
  <c r="Q465" i="10"/>
  <c r="O469" i="10"/>
  <c r="O472" i="10"/>
  <c r="Q472" i="10"/>
  <c r="O471" i="10"/>
  <c r="O476" i="10"/>
  <c r="O479" i="10"/>
  <c r="Q479" i="10"/>
  <c r="O478" i="10"/>
  <c r="O485" i="10"/>
  <c r="O483" i="10"/>
  <c r="O486" i="10"/>
  <c r="Q486" i="10"/>
  <c r="O493" i="10"/>
  <c r="Q493" i="10"/>
  <c r="O492" i="10"/>
  <c r="O500" i="10"/>
  <c r="Q500" i="10"/>
  <c r="O499" i="10"/>
  <c r="O507" i="10"/>
  <c r="Q507" i="10"/>
  <c r="O506" i="10"/>
  <c r="O513" i="10"/>
  <c r="O511" i="10"/>
  <c r="O514" i="10"/>
  <c r="Q514" i="10"/>
  <c r="O521" i="10"/>
  <c r="Q521" i="10"/>
  <c r="O518" i="10"/>
  <c r="O520" i="10"/>
  <c r="O528" i="10"/>
  <c r="Q528" i="10"/>
  <c r="O525" i="10"/>
  <c r="O527" i="10"/>
  <c r="O532" i="10"/>
  <c r="O535" i="10"/>
  <c r="Q535" i="10"/>
  <c r="O534" i="10"/>
  <c r="O541" i="10"/>
  <c r="O539" i="10"/>
  <c r="O542" i="10"/>
  <c r="Q542" i="10"/>
  <c r="X19" i="26"/>
  <c r="AI541" i="10"/>
  <c r="BT82" i="26"/>
  <c r="BG82" i="12"/>
  <c r="AI547" i="10"/>
  <c r="BH94" i="10"/>
  <c r="T95" i="10"/>
  <c r="CH82" i="26"/>
  <c r="AZ82" i="12"/>
  <c r="CD82" i="26"/>
  <c r="AV82" i="12"/>
  <c r="BZ82" i="26"/>
  <c r="AR82" i="12"/>
  <c r="BN82" i="26"/>
  <c r="U82" i="12"/>
  <c r="AC82" i="26"/>
  <c r="CG82" i="26"/>
  <c r="AY82" i="12"/>
  <c r="CC82" i="26"/>
  <c r="AU82" i="12"/>
  <c r="BY82" i="26"/>
  <c r="AQ82" i="12"/>
  <c r="BQ82" i="26"/>
  <c r="X82" i="12"/>
  <c r="BM82" i="26"/>
  <c r="CJ82" i="26"/>
  <c r="BB82" i="12"/>
  <c r="CF82" i="26"/>
  <c r="AX82" i="12"/>
  <c r="CB82" i="26"/>
  <c r="AT82" i="12"/>
  <c r="BX82" i="26"/>
  <c r="AP82" i="12"/>
  <c r="BP82" i="26"/>
  <c r="BV83" i="26"/>
  <c r="CI82" i="26"/>
  <c r="BA82" i="12"/>
  <c r="CE82" i="26"/>
  <c r="AW82" i="12"/>
  <c r="CA82" i="26"/>
  <c r="AS82" i="12"/>
  <c r="BW82" i="26"/>
  <c r="AO82" i="12"/>
  <c r="C699" i="38"/>
  <c r="D692" i="38"/>
  <c r="E692" i="38"/>
  <c r="G105" i="44"/>
  <c r="I105" i="44"/>
  <c r="BR80" i="26"/>
  <c r="Y80" i="12"/>
  <c r="BO76" i="26"/>
  <c r="V76" i="12"/>
  <c r="BO72" i="26"/>
  <c r="V72" i="12"/>
  <c r="BO77" i="26"/>
  <c r="V77" i="12"/>
  <c r="BO74" i="26"/>
  <c r="V74" i="12"/>
  <c r="BR59" i="26"/>
  <c r="Y59" i="12"/>
  <c r="BR71" i="26"/>
  <c r="Y71" i="12"/>
  <c r="BR70" i="26"/>
  <c r="Y70" i="12"/>
  <c r="BR75" i="26"/>
  <c r="Y75" i="12"/>
  <c r="BR69" i="26"/>
  <c r="Y69" i="12"/>
  <c r="BR61" i="26"/>
  <c r="Y61" i="12"/>
  <c r="BH101" i="26"/>
  <c r="AM101" i="12"/>
  <c r="BC101" i="26"/>
  <c r="BR68" i="26"/>
  <c r="Y68" i="12"/>
  <c r="BO82" i="26"/>
  <c r="V82" i="12"/>
  <c r="BO80" i="26"/>
  <c r="V80" i="12"/>
  <c r="BR74" i="26"/>
  <c r="Y74" i="12"/>
  <c r="BR73" i="26"/>
  <c r="Y73" i="12"/>
  <c r="BR64" i="26"/>
  <c r="Y64" i="12"/>
  <c r="BR60" i="26"/>
  <c r="Y60" i="12"/>
  <c r="AA105" i="1"/>
  <c r="Z84" i="12"/>
  <c r="AY84" i="26"/>
  <c r="A85" i="12"/>
  <c r="A565" i="10"/>
  <c r="K563" i="10"/>
  <c r="K560" i="10"/>
  <c r="P558" i="10"/>
  <c r="P560" i="10"/>
  <c r="P559" i="10"/>
  <c r="AE558" i="10"/>
  <c r="P561" i="10"/>
  <c r="O548" i="10"/>
  <c r="CG83" i="26"/>
  <c r="AY83" i="12"/>
  <c r="CC83" i="26"/>
  <c r="AU83" i="12"/>
  <c r="BY83" i="26"/>
  <c r="AQ83" i="12"/>
  <c r="BQ83" i="26"/>
  <c r="X83" i="12"/>
  <c r="BM83" i="26"/>
  <c r="CJ83" i="26"/>
  <c r="BB83" i="12"/>
  <c r="CF83" i="26"/>
  <c r="AX83" i="12"/>
  <c r="CB83" i="26"/>
  <c r="AT83" i="12"/>
  <c r="BX83" i="26"/>
  <c r="AP83" i="12"/>
  <c r="BP83" i="26"/>
  <c r="BV84" i="26"/>
  <c r="CI83" i="26"/>
  <c r="BA83" i="12"/>
  <c r="CE83" i="26"/>
  <c r="AW83" i="12"/>
  <c r="CA83" i="26"/>
  <c r="AS83" i="12"/>
  <c r="BW83" i="26"/>
  <c r="AO83" i="12"/>
  <c r="CH83" i="26"/>
  <c r="AZ83" i="12"/>
  <c r="CD83" i="26"/>
  <c r="AV83" i="12"/>
  <c r="BZ83" i="26"/>
  <c r="AR83" i="12"/>
  <c r="BN83" i="26"/>
  <c r="U83" i="12"/>
  <c r="AC83" i="26"/>
  <c r="O379" i="10"/>
  <c r="Q379" i="10"/>
  <c r="O372" i="10"/>
  <c r="Q372" i="10"/>
  <c r="O386" i="10"/>
  <c r="Q386" i="10"/>
  <c r="O393" i="10"/>
  <c r="Q393" i="10"/>
  <c r="O400" i="10"/>
  <c r="Q400" i="10"/>
  <c r="O407" i="10"/>
  <c r="Q407" i="10"/>
  <c r="O414" i="10"/>
  <c r="Q414" i="10"/>
  <c r="O421" i="10"/>
  <c r="Q421" i="10"/>
  <c r="O428" i="10"/>
  <c r="Q428" i="10"/>
  <c r="O435" i="10"/>
  <c r="Q435" i="10"/>
  <c r="O442" i="10"/>
  <c r="Q442" i="10"/>
  <c r="O449" i="10"/>
  <c r="Q449" i="10"/>
  <c r="O456" i="10"/>
  <c r="Q456" i="10"/>
  <c r="O463" i="10"/>
  <c r="Q463" i="10"/>
  <c r="O470" i="10"/>
  <c r="Q470" i="10"/>
  <c r="O477" i="10"/>
  <c r="Q477" i="10"/>
  <c r="O484" i="10"/>
  <c r="Q484" i="10"/>
  <c r="O491" i="10"/>
  <c r="Q491" i="10"/>
  <c r="O498" i="10"/>
  <c r="Q498" i="10"/>
  <c r="O505" i="10"/>
  <c r="Q505" i="10"/>
  <c r="O512" i="10"/>
  <c r="Q512" i="10"/>
  <c r="O519" i="10"/>
  <c r="Q519" i="10"/>
  <c r="O526" i="10"/>
  <c r="Q526" i="10"/>
  <c r="O533" i="10"/>
  <c r="Q533" i="10"/>
  <c r="O540" i="10"/>
  <c r="Q540" i="10"/>
  <c r="O547" i="10"/>
  <c r="Q547" i="10"/>
  <c r="AI548" i="10"/>
  <c r="O504" i="10"/>
  <c r="O497" i="10"/>
  <c r="AH469" i="10"/>
  <c r="Q469" i="10"/>
  <c r="BA72" i="26"/>
  <c r="AB72" i="12"/>
  <c r="Q457" i="10"/>
  <c r="O459" i="10"/>
  <c r="Q459" i="10"/>
  <c r="Q450" i="10"/>
  <c r="O452" i="10"/>
  <c r="Q452" i="10"/>
  <c r="BR79" i="26"/>
  <c r="Y79" i="12"/>
  <c r="BO78" i="26"/>
  <c r="V78" i="12"/>
  <c r="BO73" i="26"/>
  <c r="V73" i="12"/>
  <c r="BR65" i="26"/>
  <c r="Y65" i="12"/>
  <c r="BR63" i="26"/>
  <c r="Y63" i="12"/>
  <c r="BR62" i="26"/>
  <c r="Y62" i="12"/>
  <c r="AE552" i="10"/>
  <c r="AF551" i="10"/>
  <c r="T104" i="1"/>
  <c r="T105" i="1"/>
  <c r="O546" i="10"/>
  <c r="AH525" i="10"/>
  <c r="Q525" i="10"/>
  <c r="BA80" i="26"/>
  <c r="AB80" i="12"/>
  <c r="Q506" i="10"/>
  <c r="O508" i="10"/>
  <c r="Q508" i="10"/>
  <c r="Q415" i="10"/>
  <c r="O417" i="10"/>
  <c r="Q417" i="10"/>
  <c r="BR72" i="26"/>
  <c r="Y72" i="12"/>
  <c r="BR82" i="26"/>
  <c r="Y82" i="12"/>
  <c r="AH532" i="10"/>
  <c r="Q532" i="10"/>
  <c r="BA81" i="26"/>
  <c r="AB81" i="12"/>
  <c r="AH511" i="10"/>
  <c r="Q511" i="10"/>
  <c r="BA78" i="26"/>
  <c r="AB78" i="12"/>
  <c r="Q492" i="10"/>
  <c r="O494" i="10"/>
  <c r="Q494" i="10"/>
  <c r="AH476" i="10"/>
  <c r="Q476" i="10"/>
  <c r="BA73" i="26"/>
  <c r="AB73" i="12"/>
  <c r="Q436" i="10"/>
  <c r="O438" i="10"/>
  <c r="Q438" i="10"/>
  <c r="Q422" i="10"/>
  <c r="O424" i="10"/>
  <c r="Q424" i="10"/>
  <c r="Q401" i="10"/>
  <c r="O403" i="10"/>
  <c r="Q403" i="10"/>
  <c r="BR78" i="26"/>
  <c r="Y78" i="12"/>
  <c r="BR77" i="26"/>
  <c r="Y77" i="12"/>
  <c r="AI554" i="10"/>
  <c r="AE546" i="10"/>
  <c r="AF546" i="10"/>
  <c r="AF545" i="10"/>
  <c r="R106" i="1"/>
  <c r="T96" i="10"/>
  <c r="BH95" i="10"/>
  <c r="AH94" i="10"/>
  <c r="Q534" i="10"/>
  <c r="O536" i="10"/>
  <c r="Q536" i="10"/>
  <c r="Q478" i="10"/>
  <c r="O480" i="10"/>
  <c r="Q480" i="10"/>
  <c r="AH539" i="10"/>
  <c r="Q539" i="10"/>
  <c r="BA82" i="26"/>
  <c r="AB82" i="12"/>
  <c r="Q520" i="10"/>
  <c r="O522" i="10"/>
  <c r="Q522" i="10"/>
  <c r="AH483" i="10"/>
  <c r="Q483" i="10"/>
  <c r="BA74" i="26"/>
  <c r="AB74" i="12"/>
  <c r="Q408" i="10"/>
  <c r="O410" i="10"/>
  <c r="Q410" i="10"/>
  <c r="Q394" i="10"/>
  <c r="O396" i="10"/>
  <c r="Q396" i="10"/>
  <c r="Q380" i="10"/>
  <c r="O382" i="10"/>
  <c r="Q382" i="10"/>
  <c r="Q541" i="10"/>
  <c r="O543" i="10"/>
  <c r="Q543" i="10"/>
  <c r="Q527" i="10"/>
  <c r="O529" i="10"/>
  <c r="Q529" i="10"/>
  <c r="AH518" i="10"/>
  <c r="Q518" i="10"/>
  <c r="BA79" i="26"/>
  <c r="AB79" i="12"/>
  <c r="Q513" i="10"/>
  <c r="O515" i="10"/>
  <c r="Q515" i="10"/>
  <c r="O501" i="10"/>
  <c r="Q501" i="10"/>
  <c r="Q499" i="10"/>
  <c r="O490" i="10"/>
  <c r="Q485" i="10"/>
  <c r="O487" i="10"/>
  <c r="Q487" i="10"/>
  <c r="Q471" i="10"/>
  <c r="O473" i="10"/>
  <c r="Q473" i="10"/>
  <c r="Q464" i="10"/>
  <c r="O466" i="10"/>
  <c r="Q466" i="10"/>
  <c r="Q443" i="10"/>
  <c r="O445" i="10"/>
  <c r="Q445" i="10"/>
  <c r="Q429" i="10"/>
  <c r="O431" i="10"/>
  <c r="Q431" i="10"/>
  <c r="Q387" i="10"/>
  <c r="O389" i="10"/>
  <c r="Q389" i="10"/>
  <c r="O375" i="10"/>
  <c r="Q375" i="10"/>
  <c r="Q373" i="10"/>
  <c r="BO79" i="26"/>
  <c r="V79" i="12"/>
  <c r="BR76" i="26"/>
  <c r="Y76" i="12"/>
  <c r="BO75" i="26"/>
  <c r="V75" i="12"/>
  <c r="BR67" i="26"/>
  <c r="Y67" i="12"/>
  <c r="BR66" i="26"/>
  <c r="Y66" i="12"/>
  <c r="AI551" i="10"/>
  <c r="AJ551" i="10"/>
  <c r="Q551" i="10"/>
  <c r="AI553" i="10"/>
  <c r="AI552" i="10"/>
  <c r="AJ552" i="10"/>
  <c r="AJ102" i="1"/>
  <c r="A557" i="38"/>
  <c r="C553" i="38"/>
  <c r="D553" i="38"/>
  <c r="E553" i="38"/>
  <c r="AD105" i="1"/>
  <c r="O549" i="10"/>
  <c r="Q549" i="10"/>
  <c r="D699" i="38"/>
  <c r="E699" i="38"/>
  <c r="C706" i="38"/>
  <c r="AI555" i="10"/>
  <c r="I106" i="44"/>
  <c r="G106" i="44"/>
  <c r="BR83" i="26"/>
  <c r="Y83" i="12"/>
  <c r="BH102" i="26"/>
  <c r="AM102" i="12"/>
  <c r="BC102" i="26"/>
  <c r="R107" i="1"/>
  <c r="AJ518" i="10"/>
  <c r="BD79" i="26"/>
  <c r="BF79" i="26"/>
  <c r="AK79" i="12"/>
  <c r="BD82" i="26"/>
  <c r="BF82" i="26"/>
  <c r="AK82" i="12"/>
  <c r="AJ539" i="10"/>
  <c r="AJ532" i="10"/>
  <c r="BD81" i="26"/>
  <c r="BF81" i="26"/>
  <c r="AK81" i="12"/>
  <c r="AH497" i="10"/>
  <c r="Q497" i="10"/>
  <c r="BA76" i="26"/>
  <c r="AB76" i="12"/>
  <c r="A564" i="38"/>
  <c r="C560" i="38"/>
  <c r="D560" i="38"/>
  <c r="E560" i="38"/>
  <c r="AH95" i="10"/>
  <c r="AI95" i="10"/>
  <c r="AJ95" i="10"/>
  <c r="C88" i="38"/>
  <c r="AJ525" i="10"/>
  <c r="BD80" i="26"/>
  <c r="BF80" i="26"/>
  <c r="AK80" i="12"/>
  <c r="AH504" i="10"/>
  <c r="Q504" i="10"/>
  <c r="BA77" i="26"/>
  <c r="AB77" i="12"/>
  <c r="AK107" i="1"/>
  <c r="BO83" i="26"/>
  <c r="V83" i="12"/>
  <c r="AE559" i="10"/>
  <c r="AF558" i="10"/>
  <c r="Q558" i="10"/>
  <c r="AI560" i="10"/>
  <c r="AI559" i="10"/>
  <c r="AJ559" i="10"/>
  <c r="AI558" i="10"/>
  <c r="AJ558" i="10"/>
  <c r="BT83" i="26"/>
  <c r="BG83" i="12"/>
  <c r="Q548" i="10"/>
  <c r="O550" i="10"/>
  <c r="Q550" i="10"/>
  <c r="AI561" i="10"/>
  <c r="P567" i="10"/>
  <c r="P566" i="10"/>
  <c r="AE565" i="10"/>
  <c r="A572" i="10"/>
  <c r="K570" i="10"/>
  <c r="K567" i="10"/>
  <c r="P565" i="10"/>
  <c r="P568" i="10"/>
  <c r="AJ483" i="10"/>
  <c r="BD74" i="26"/>
  <c r="BF74" i="26"/>
  <c r="AK74" i="12"/>
  <c r="AH490" i="10"/>
  <c r="Q490" i="10"/>
  <c r="BA75" i="26"/>
  <c r="AB75" i="12"/>
  <c r="BT84" i="26"/>
  <c r="BG84" i="12"/>
  <c r="AJ476" i="10"/>
  <c r="BD73" i="26"/>
  <c r="BF73" i="26"/>
  <c r="AK73" i="12"/>
  <c r="AJ511" i="10"/>
  <c r="BD78" i="26"/>
  <c r="BF78" i="26"/>
  <c r="AK78" i="12"/>
  <c r="AH546" i="10"/>
  <c r="Q546" i="10"/>
  <c r="BA83" i="26"/>
  <c r="AB83" i="12"/>
  <c r="AF552" i="10"/>
  <c r="AE553" i="10"/>
  <c r="AF553" i="10"/>
  <c r="AJ103" i="1"/>
  <c r="BH96" i="10"/>
  <c r="T97" i="10"/>
  <c r="AJ469" i="10"/>
  <c r="BD72" i="26"/>
  <c r="BF72" i="26"/>
  <c r="AK72" i="12"/>
  <c r="CJ84" i="26"/>
  <c r="BB84" i="12"/>
  <c r="CF84" i="26"/>
  <c r="AX84" i="12"/>
  <c r="CB84" i="26"/>
  <c r="AT84" i="12"/>
  <c r="BX84" i="26"/>
  <c r="AP84" i="12"/>
  <c r="BP84" i="26"/>
  <c r="BV85" i="26"/>
  <c r="CI84" i="26"/>
  <c r="BA84" i="12"/>
  <c r="CE84" i="26"/>
  <c r="AW84" i="12"/>
  <c r="CA84" i="26"/>
  <c r="AS84" i="12"/>
  <c r="BW84" i="26"/>
  <c r="AO84" i="12"/>
  <c r="CH84" i="26"/>
  <c r="AZ84" i="12"/>
  <c r="CD84" i="26"/>
  <c r="AV84" i="12"/>
  <c r="BZ84" i="26"/>
  <c r="AR84" i="12"/>
  <c r="BN84" i="26"/>
  <c r="U84" i="12"/>
  <c r="AC84" i="26"/>
  <c r="CG84" i="26"/>
  <c r="AY84" i="12"/>
  <c r="CC84" i="26"/>
  <c r="AU84" i="12"/>
  <c r="BY84" i="26"/>
  <c r="AQ84" i="12"/>
  <c r="BQ84" i="26"/>
  <c r="X84" i="12"/>
  <c r="BM84" i="26"/>
  <c r="A86" i="12"/>
  <c r="AK106" i="1"/>
  <c r="AA106" i="1"/>
  <c r="AD106" i="1"/>
  <c r="D706" i="38"/>
  <c r="E706" i="38"/>
  <c r="C713" i="38"/>
  <c r="I107" i="44"/>
  <c r="G107" i="44"/>
  <c r="BO84" i="26"/>
  <c r="V84" i="12"/>
  <c r="BH103" i="26"/>
  <c r="AM103" i="12"/>
  <c r="BC103" i="26"/>
  <c r="A579" i="10"/>
  <c r="K577" i="10"/>
  <c r="K574" i="10"/>
  <c r="P572" i="10"/>
  <c r="P574" i="10"/>
  <c r="P573" i="10"/>
  <c r="AE572" i="10"/>
  <c r="P575" i="10"/>
  <c r="AA107" i="1"/>
  <c r="AA108" i="1"/>
  <c r="BH97" i="10"/>
  <c r="T98" i="10"/>
  <c r="AF565" i="10"/>
  <c r="AE566" i="10"/>
  <c r="AF559" i="10"/>
  <c r="AE560" i="10"/>
  <c r="AF560" i="10"/>
  <c r="A571" i="38"/>
  <c r="C567" i="38"/>
  <c r="D567" i="38"/>
  <c r="E567" i="38"/>
  <c r="A87" i="12"/>
  <c r="BV86" i="26"/>
  <c r="CI85" i="26"/>
  <c r="BA85" i="12"/>
  <c r="CE85" i="26"/>
  <c r="AW85" i="12"/>
  <c r="CA85" i="26"/>
  <c r="AS85" i="12"/>
  <c r="BW85" i="26"/>
  <c r="AO85" i="12"/>
  <c r="CH85" i="26"/>
  <c r="AZ85" i="12"/>
  <c r="CD85" i="26"/>
  <c r="AV85" i="12"/>
  <c r="BZ85" i="26"/>
  <c r="AR85" i="12"/>
  <c r="AC85" i="26"/>
  <c r="CG85" i="26"/>
  <c r="AY85" i="12"/>
  <c r="CC85" i="26"/>
  <c r="AU85" i="12"/>
  <c r="BY85" i="26"/>
  <c r="AQ85" i="12"/>
  <c r="CJ85" i="26"/>
  <c r="BB85" i="12"/>
  <c r="CF85" i="26"/>
  <c r="AX85" i="12"/>
  <c r="CB85" i="26"/>
  <c r="AT85" i="12"/>
  <c r="BX85" i="26"/>
  <c r="AP85" i="12"/>
  <c r="AJ104" i="1"/>
  <c r="BD83" i="26"/>
  <c r="BF83" i="26"/>
  <c r="AK83" i="12"/>
  <c r="AJ546" i="10"/>
  <c r="AJ490" i="10"/>
  <c r="BD75" i="26"/>
  <c r="BF75" i="26"/>
  <c r="AK75" i="12"/>
  <c r="AI568" i="10"/>
  <c r="T108" i="1"/>
  <c r="AK108" i="1"/>
  <c r="AJ504" i="10"/>
  <c r="BD77" i="26"/>
  <c r="BF77" i="26"/>
  <c r="AK77" i="12"/>
  <c r="AJ497" i="10"/>
  <c r="BD76" i="26"/>
  <c r="BF76" i="26"/>
  <c r="AK76" i="12"/>
  <c r="T106" i="1"/>
  <c r="T107" i="1"/>
  <c r="BR84" i="26"/>
  <c r="Y84" i="12"/>
  <c r="AI565" i="10"/>
  <c r="AJ565" i="10"/>
  <c r="Q565" i="10"/>
  <c r="AI567" i="10"/>
  <c r="AI566" i="10"/>
  <c r="AJ566" i="10"/>
  <c r="AI562" i="10"/>
  <c r="R108" i="1"/>
  <c r="D713" i="38"/>
  <c r="E713" i="38"/>
  <c r="C720" i="38"/>
  <c r="D720" i="38"/>
  <c r="E720" i="38"/>
  <c r="I108" i="44"/>
  <c r="G108" i="44"/>
  <c r="BC104" i="26"/>
  <c r="BH104" i="26"/>
  <c r="AM104" i="12"/>
  <c r="T99" i="10"/>
  <c r="BH98" i="10"/>
  <c r="AE573" i="10"/>
  <c r="AF572" i="10"/>
  <c r="Q572" i="10"/>
  <c r="AI574" i="10"/>
  <c r="AI573" i="10"/>
  <c r="AJ573" i="10"/>
  <c r="AI572" i="10"/>
  <c r="AJ572" i="10"/>
  <c r="AI569" i="10"/>
  <c r="AJ105" i="1"/>
  <c r="A578" i="38"/>
  <c r="C574" i="38"/>
  <c r="D574" i="38"/>
  <c r="E574" i="38"/>
  <c r="AF566" i="10"/>
  <c r="AE567" i="10"/>
  <c r="AF567" i="10"/>
  <c r="AI575" i="10"/>
  <c r="P579" i="10"/>
  <c r="P581" i="10"/>
  <c r="P580" i="10"/>
  <c r="AE579" i="10"/>
  <c r="A586" i="10"/>
  <c r="K584" i="10"/>
  <c r="K581" i="10"/>
  <c r="P582" i="10"/>
  <c r="J106" i="1"/>
  <c r="Y109" i="1"/>
  <c r="A88" i="12"/>
  <c r="R109" i="1"/>
  <c r="CH86" i="26"/>
  <c r="AZ86" i="12"/>
  <c r="CD86" i="26"/>
  <c r="AV86" i="12"/>
  <c r="BZ86" i="26"/>
  <c r="AR86" i="12"/>
  <c r="AC86" i="26"/>
  <c r="CG86" i="26"/>
  <c r="AY86" i="12"/>
  <c r="CC86" i="26"/>
  <c r="AU86" i="12"/>
  <c r="BY86" i="26"/>
  <c r="AQ86" i="12"/>
  <c r="CJ86" i="26"/>
  <c r="BB86" i="12"/>
  <c r="CF86" i="26"/>
  <c r="AX86" i="12"/>
  <c r="CB86" i="26"/>
  <c r="AT86" i="12"/>
  <c r="BX86" i="26"/>
  <c r="AP86" i="12"/>
  <c r="BV87" i="26"/>
  <c r="CI86" i="26"/>
  <c r="BA86" i="12"/>
  <c r="CE86" i="26"/>
  <c r="AW86" i="12"/>
  <c r="CA86" i="26"/>
  <c r="AS86" i="12"/>
  <c r="BW86" i="26"/>
  <c r="AO86" i="12"/>
  <c r="AD107" i="1"/>
  <c r="AD108" i="1"/>
  <c r="AI576" i="10"/>
  <c r="R110" i="1"/>
  <c r="R111" i="1"/>
  <c r="R112" i="1"/>
  <c r="R113" i="1"/>
  <c r="R114" i="1"/>
  <c r="R115" i="1"/>
  <c r="R116" i="1"/>
  <c r="R117" i="1"/>
  <c r="BC105" i="26"/>
  <c r="BH105" i="26"/>
  <c r="AM105" i="12"/>
  <c r="AI581" i="10"/>
  <c r="AI580" i="10"/>
  <c r="AJ580" i="10"/>
  <c r="AI579" i="10"/>
  <c r="AJ579" i="10"/>
  <c r="Q579" i="10"/>
  <c r="AJ106" i="1"/>
  <c r="S20" i="26"/>
  <c r="AE580" i="10"/>
  <c r="AF579" i="10"/>
  <c r="A585" i="38"/>
  <c r="C581" i="38"/>
  <c r="D581" i="38"/>
  <c r="E581" i="38"/>
  <c r="T100" i="10"/>
  <c r="BH99" i="10"/>
  <c r="P588" i="10"/>
  <c r="P587" i="10"/>
  <c r="AE586" i="10"/>
  <c r="P586" i="10"/>
  <c r="K591" i="10"/>
  <c r="K588" i="10"/>
  <c r="A593" i="10"/>
  <c r="P589" i="10"/>
  <c r="A89" i="12"/>
  <c r="AI582" i="10"/>
  <c r="CG87" i="26"/>
  <c r="AY87" i="12"/>
  <c r="CC87" i="26"/>
  <c r="AU87" i="12"/>
  <c r="BY87" i="26"/>
  <c r="AQ87" i="12"/>
  <c r="CJ87" i="26"/>
  <c r="BB87" i="12"/>
  <c r="CF87" i="26"/>
  <c r="AX87" i="12"/>
  <c r="CB87" i="26"/>
  <c r="AT87" i="12"/>
  <c r="BX87" i="26"/>
  <c r="AP87" i="12"/>
  <c r="BV88" i="26"/>
  <c r="CI87" i="26"/>
  <c r="BA87" i="12"/>
  <c r="CE87" i="26"/>
  <c r="AW87" i="12"/>
  <c r="CA87" i="26"/>
  <c r="AS87" i="12"/>
  <c r="BW87" i="26"/>
  <c r="AO87" i="12"/>
  <c r="CH87" i="26"/>
  <c r="AZ87" i="12"/>
  <c r="CD87" i="26"/>
  <c r="AV87" i="12"/>
  <c r="BZ87" i="26"/>
  <c r="AR87" i="12"/>
  <c r="AC87" i="26"/>
  <c r="P111" i="1"/>
  <c r="T111" i="1"/>
  <c r="AF573" i="10"/>
  <c r="AE574" i="10"/>
  <c r="AF574" i="10"/>
  <c r="AK110" i="1"/>
  <c r="T109" i="1"/>
  <c r="AK109" i="1"/>
  <c r="AA109" i="1"/>
  <c r="AD109" i="1"/>
  <c r="L20" i="26"/>
  <c r="I20" i="3"/>
  <c r="AI583" i="10"/>
  <c r="BC106" i="26"/>
  <c r="BH106" i="26"/>
  <c r="AM106" i="12"/>
  <c r="A90" i="12"/>
  <c r="AI586" i="10"/>
  <c r="AJ586" i="10"/>
  <c r="AI588" i="10"/>
  <c r="AI587" i="10"/>
  <c r="AJ587" i="10"/>
  <c r="Q586" i="10"/>
  <c r="AJ107" i="1"/>
  <c r="P112" i="1"/>
  <c r="T112" i="1"/>
  <c r="P593" i="10"/>
  <c r="P595" i="10"/>
  <c r="P594" i="10"/>
  <c r="AE593" i="10"/>
  <c r="K598" i="10"/>
  <c r="K595" i="10"/>
  <c r="A600" i="10"/>
  <c r="P596" i="10"/>
  <c r="AE587" i="10"/>
  <c r="AF586" i="10"/>
  <c r="T101" i="10"/>
  <c r="BH100" i="10"/>
  <c r="CJ88" i="26"/>
  <c r="BB88" i="12"/>
  <c r="CF88" i="26"/>
  <c r="AX88" i="12"/>
  <c r="CB88" i="26"/>
  <c r="AT88" i="12"/>
  <c r="BX88" i="26"/>
  <c r="AP88" i="12"/>
  <c r="BV89" i="26"/>
  <c r="CI88" i="26"/>
  <c r="BA88" i="12"/>
  <c r="CE88" i="26"/>
  <c r="AW88" i="12"/>
  <c r="CA88" i="26"/>
  <c r="AS88" i="12"/>
  <c r="BW88" i="26"/>
  <c r="AO88" i="12"/>
  <c r="CH88" i="26"/>
  <c r="AZ88" i="12"/>
  <c r="CD88" i="26"/>
  <c r="AV88" i="12"/>
  <c r="BZ88" i="26"/>
  <c r="AR88" i="12"/>
  <c r="AC88" i="26"/>
  <c r="CG88" i="26"/>
  <c r="AY88" i="12"/>
  <c r="CC88" i="26"/>
  <c r="AU88" i="12"/>
  <c r="BY88" i="26"/>
  <c r="AQ88" i="12"/>
  <c r="K21" i="45"/>
  <c r="L21" i="45"/>
  <c r="AE581" i="10"/>
  <c r="AF581" i="10"/>
  <c r="AF580" i="10"/>
  <c r="AA110" i="1"/>
  <c r="AI589" i="10"/>
  <c r="A592" i="38"/>
  <c r="C588" i="38"/>
  <c r="D588" i="38"/>
  <c r="E588" i="38"/>
  <c r="AI590" i="10"/>
  <c r="BH107" i="26"/>
  <c r="AM107" i="12"/>
  <c r="BC107" i="26"/>
  <c r="AI110" i="1"/>
  <c r="Z104" i="1"/>
  <c r="X106" i="1"/>
  <c r="Y110" i="1"/>
  <c r="AE594" i="10"/>
  <c r="AF593" i="10"/>
  <c r="P113" i="1"/>
  <c r="AA111" i="1"/>
  <c r="AE588" i="10"/>
  <c r="AF588" i="10"/>
  <c r="AF587" i="10"/>
  <c r="P602" i="10"/>
  <c r="P601" i="10"/>
  <c r="AE600" i="10"/>
  <c r="A607" i="10"/>
  <c r="K605" i="10"/>
  <c r="K602" i="10"/>
  <c r="P600" i="10"/>
  <c r="P603" i="10"/>
  <c r="AI596" i="10"/>
  <c r="A599" i="38"/>
  <c r="C595" i="38"/>
  <c r="D595" i="38"/>
  <c r="E595" i="38"/>
  <c r="AJ108" i="1"/>
  <c r="A91" i="12"/>
  <c r="BV90" i="26"/>
  <c r="CI89" i="26"/>
  <c r="BA89" i="12"/>
  <c r="CE89" i="26"/>
  <c r="AW89" i="12"/>
  <c r="CA89" i="26"/>
  <c r="AS89" i="12"/>
  <c r="BW89" i="26"/>
  <c r="AO89" i="12"/>
  <c r="CH89" i="26"/>
  <c r="AZ89" i="12"/>
  <c r="CD89" i="26"/>
  <c r="AV89" i="12"/>
  <c r="BZ89" i="26"/>
  <c r="AR89" i="12"/>
  <c r="AC89" i="26"/>
  <c r="CG89" i="26"/>
  <c r="AY89" i="12"/>
  <c r="CC89" i="26"/>
  <c r="AU89" i="12"/>
  <c r="BY89" i="26"/>
  <c r="AQ89" i="12"/>
  <c r="CJ89" i="26"/>
  <c r="BB89" i="12"/>
  <c r="CF89" i="26"/>
  <c r="AX89" i="12"/>
  <c r="CB89" i="26"/>
  <c r="AT89" i="12"/>
  <c r="BX89" i="26"/>
  <c r="AP89" i="12"/>
  <c r="T102" i="10"/>
  <c r="BH101" i="10"/>
  <c r="AI595" i="10"/>
  <c r="AI594" i="10"/>
  <c r="AJ594" i="10"/>
  <c r="AI593" i="10"/>
  <c r="AJ593" i="10"/>
  <c r="Q593" i="10"/>
  <c r="AD110" i="1"/>
  <c r="AD111" i="1"/>
  <c r="AI597" i="10"/>
  <c r="BC108" i="26"/>
  <c r="BH108" i="26"/>
  <c r="AM108" i="12"/>
  <c r="AE595" i="10"/>
  <c r="AF595" i="10"/>
  <c r="AF594" i="10"/>
  <c r="AA20" i="26"/>
  <c r="Q20" i="26"/>
  <c r="T20" i="26"/>
  <c r="P20" i="3"/>
  <c r="T103" i="10"/>
  <c r="BH102" i="10"/>
  <c r="CH90" i="26"/>
  <c r="AZ90" i="12"/>
  <c r="CD90" i="26"/>
  <c r="AV90" i="12"/>
  <c r="BZ90" i="26"/>
  <c r="AR90" i="12"/>
  <c r="AC90" i="26"/>
  <c r="CG90" i="26"/>
  <c r="AY90" i="12"/>
  <c r="CC90" i="26"/>
  <c r="AU90" i="12"/>
  <c r="BY90" i="26"/>
  <c r="AQ90" i="12"/>
  <c r="CJ90" i="26"/>
  <c r="BB90" i="12"/>
  <c r="CF90" i="26"/>
  <c r="AX90" i="12"/>
  <c r="CB90" i="26"/>
  <c r="AT90" i="12"/>
  <c r="BX90" i="26"/>
  <c r="AP90" i="12"/>
  <c r="BV91" i="26"/>
  <c r="CI90" i="26"/>
  <c r="BA90" i="12"/>
  <c r="CE90" i="26"/>
  <c r="AW90" i="12"/>
  <c r="CA90" i="26"/>
  <c r="AS90" i="12"/>
  <c r="BW90" i="26"/>
  <c r="AO90" i="12"/>
  <c r="A92" i="12"/>
  <c r="P607" i="10"/>
  <c r="P609" i="10"/>
  <c r="P608" i="10"/>
  <c r="AE607" i="10"/>
  <c r="A614" i="10"/>
  <c r="K612" i="10"/>
  <c r="K609" i="10"/>
  <c r="P610" i="10"/>
  <c r="AJ109" i="1"/>
  <c r="A606" i="38"/>
  <c r="C602" i="38"/>
  <c r="D602" i="38"/>
  <c r="E602" i="38"/>
  <c r="AI600" i="10"/>
  <c r="AJ600" i="10"/>
  <c r="AI602" i="10"/>
  <c r="AI601" i="10"/>
  <c r="AJ601" i="10"/>
  <c r="Q600" i="10"/>
  <c r="T113" i="1"/>
  <c r="AE601" i="10"/>
  <c r="AF600" i="10"/>
  <c r="AA112" i="1"/>
  <c r="AD112" i="1"/>
  <c r="P114" i="1"/>
  <c r="T114" i="1"/>
  <c r="U20" i="26"/>
  <c r="Z106" i="1"/>
  <c r="AH101" i="10"/>
  <c r="AI603" i="10"/>
  <c r="AH102" i="10"/>
  <c r="AI102" i="10"/>
  <c r="AJ102" i="10"/>
  <c r="C95" i="38"/>
  <c r="AF601" i="10"/>
  <c r="AE602" i="10"/>
  <c r="AF602" i="10"/>
  <c r="A613" i="38"/>
  <c r="C609" i="38"/>
  <c r="D609" i="38"/>
  <c r="E609" i="38"/>
  <c r="AJ110" i="1"/>
  <c r="AE608" i="10"/>
  <c r="AF607" i="10"/>
  <c r="CG91" i="26"/>
  <c r="AY91" i="12"/>
  <c r="CC91" i="26"/>
  <c r="AU91" i="12"/>
  <c r="BY91" i="26"/>
  <c r="AQ91" i="12"/>
  <c r="CJ91" i="26"/>
  <c r="BB91" i="12"/>
  <c r="CF91" i="26"/>
  <c r="AX91" i="12"/>
  <c r="CB91" i="26"/>
  <c r="AT91" i="12"/>
  <c r="BX91" i="26"/>
  <c r="AP91" i="12"/>
  <c r="BV92" i="26"/>
  <c r="CI91" i="26"/>
  <c r="BA91" i="12"/>
  <c r="CE91" i="26"/>
  <c r="AW91" i="12"/>
  <c r="CA91" i="26"/>
  <c r="AS91" i="12"/>
  <c r="BW91" i="26"/>
  <c r="AO91" i="12"/>
  <c r="CH91" i="26"/>
  <c r="AZ91" i="12"/>
  <c r="CD91" i="26"/>
  <c r="AV91" i="12"/>
  <c r="BZ91" i="26"/>
  <c r="AR91" i="12"/>
  <c r="AC91" i="26"/>
  <c r="AI609" i="10"/>
  <c r="AI608" i="10"/>
  <c r="AJ608" i="10"/>
  <c r="AI607" i="10"/>
  <c r="AJ607" i="10"/>
  <c r="Q607" i="10"/>
  <c r="AI604" i="10"/>
  <c r="X20" i="26"/>
  <c r="P115" i="1"/>
  <c r="T115" i="1"/>
  <c r="AA113" i="1"/>
  <c r="AA114" i="1"/>
  <c r="AA115" i="1"/>
  <c r="AA116" i="1"/>
  <c r="AA117" i="1"/>
  <c r="AI610" i="10"/>
  <c r="T104" i="10"/>
  <c r="BH103" i="10"/>
  <c r="A93" i="12"/>
  <c r="P616" i="10"/>
  <c r="P615" i="10"/>
  <c r="AE614" i="10"/>
  <c r="A621" i="10"/>
  <c r="K619" i="10"/>
  <c r="K616" i="10"/>
  <c r="P614" i="10"/>
  <c r="P617" i="10"/>
  <c r="AI611" i="10"/>
  <c r="AI614" i="10"/>
  <c r="AJ614" i="10"/>
  <c r="Q614" i="10"/>
  <c r="AI616" i="10"/>
  <c r="AI615" i="10"/>
  <c r="AJ615" i="10"/>
  <c r="A620" i="38"/>
  <c r="C616" i="38"/>
  <c r="D616" i="38"/>
  <c r="E616" i="38"/>
  <c r="P621" i="10"/>
  <c r="P623" i="10"/>
  <c r="P622" i="10"/>
  <c r="AE621" i="10"/>
  <c r="A628" i="10"/>
  <c r="K626" i="10"/>
  <c r="K623" i="10"/>
  <c r="P624" i="10"/>
  <c r="A94" i="12"/>
  <c r="T105" i="10"/>
  <c r="BH104" i="10"/>
  <c r="AE615" i="10"/>
  <c r="AF614" i="10"/>
  <c r="P116" i="1"/>
  <c r="T116" i="1"/>
  <c r="AJ111" i="1"/>
  <c r="AI617" i="10"/>
  <c r="CJ92" i="26"/>
  <c r="BB92" i="12"/>
  <c r="CF92" i="26"/>
  <c r="AX92" i="12"/>
  <c r="CB92" i="26"/>
  <c r="AT92" i="12"/>
  <c r="BX92" i="26"/>
  <c r="AP92" i="12"/>
  <c r="BV93" i="26"/>
  <c r="CI92" i="26"/>
  <c r="BA92" i="12"/>
  <c r="CE92" i="26"/>
  <c r="AW92" i="12"/>
  <c r="CA92" i="26"/>
  <c r="AS92" i="12"/>
  <c r="BW92" i="26"/>
  <c r="AO92" i="12"/>
  <c r="CH92" i="26"/>
  <c r="AZ92" i="12"/>
  <c r="CD92" i="26"/>
  <c r="AV92" i="12"/>
  <c r="BZ92" i="26"/>
  <c r="AR92" i="12"/>
  <c r="AC92" i="26"/>
  <c r="CG92" i="26"/>
  <c r="AY92" i="12"/>
  <c r="CC92" i="26"/>
  <c r="AU92" i="12"/>
  <c r="BY92" i="26"/>
  <c r="AQ92" i="12"/>
  <c r="AE609" i="10"/>
  <c r="AF609" i="10"/>
  <c r="AF608" i="10"/>
  <c r="AD113" i="1"/>
  <c r="AD114" i="1"/>
  <c r="AD115" i="1"/>
  <c r="AD116" i="1"/>
  <c r="AD117" i="1"/>
  <c r="AI618" i="10"/>
  <c r="P630" i="10"/>
  <c r="P629" i="10"/>
  <c r="AE628" i="10"/>
  <c r="A635" i="10"/>
  <c r="K633" i="10"/>
  <c r="K630" i="10"/>
  <c r="P628" i="10"/>
  <c r="P631" i="10"/>
  <c r="BV94" i="26"/>
  <c r="CI93" i="26"/>
  <c r="BA93" i="12"/>
  <c r="CE93" i="26"/>
  <c r="AW93" i="12"/>
  <c r="CA93" i="26"/>
  <c r="AS93" i="12"/>
  <c r="BW93" i="26"/>
  <c r="AO93" i="12"/>
  <c r="CH93" i="26"/>
  <c r="AZ93" i="12"/>
  <c r="CD93" i="26"/>
  <c r="AV93" i="12"/>
  <c r="BZ93" i="26"/>
  <c r="AR93" i="12"/>
  <c r="AC93" i="26"/>
  <c r="CG93" i="26"/>
  <c r="AY93" i="12"/>
  <c r="CC93" i="26"/>
  <c r="AU93" i="12"/>
  <c r="BY93" i="26"/>
  <c r="AQ93" i="12"/>
  <c r="CJ93" i="26"/>
  <c r="BB93" i="12"/>
  <c r="CF93" i="26"/>
  <c r="AX93" i="12"/>
  <c r="CB93" i="26"/>
  <c r="AT93" i="12"/>
  <c r="BX93" i="26"/>
  <c r="AP93" i="12"/>
  <c r="AJ112" i="1"/>
  <c r="AF615" i="10"/>
  <c r="AE616" i="10"/>
  <c r="AF616" i="10"/>
  <c r="A95" i="12"/>
  <c r="AE622" i="10"/>
  <c r="AF621" i="10"/>
  <c r="AI623" i="10"/>
  <c r="AI622" i="10"/>
  <c r="AJ622" i="10"/>
  <c r="AI621" i="10"/>
  <c r="AJ621" i="10"/>
  <c r="Q621" i="10"/>
  <c r="P117" i="1"/>
  <c r="Y116" i="1"/>
  <c r="J113" i="1"/>
  <c r="AI624" i="10"/>
  <c r="AI625" i="10"/>
  <c r="A627" i="38"/>
  <c r="C623" i="38"/>
  <c r="D623" i="38"/>
  <c r="E623" i="38"/>
  <c r="T106" i="10"/>
  <c r="BH105" i="10"/>
  <c r="AI117" i="1"/>
  <c r="Z111" i="1"/>
  <c r="X113" i="1"/>
  <c r="AI631" i="10"/>
  <c r="A634" i="38"/>
  <c r="C630" i="38"/>
  <c r="D630" i="38"/>
  <c r="E630" i="38"/>
  <c r="Y117" i="1"/>
  <c r="AE623" i="10"/>
  <c r="AF623" i="10"/>
  <c r="AF622" i="10"/>
  <c r="AI628" i="10"/>
  <c r="AJ628" i="10"/>
  <c r="Q628" i="10"/>
  <c r="AI630" i="10"/>
  <c r="AI629" i="10"/>
  <c r="AJ629" i="10"/>
  <c r="A96" i="12"/>
  <c r="CH94" i="26"/>
  <c r="AZ94" i="12"/>
  <c r="CD94" i="26"/>
  <c r="AV94" i="12"/>
  <c r="BZ94" i="26"/>
  <c r="AR94" i="12"/>
  <c r="AC94" i="26"/>
  <c r="CG94" i="26"/>
  <c r="AY94" i="12"/>
  <c r="CC94" i="26"/>
  <c r="AU94" i="12"/>
  <c r="BY94" i="26"/>
  <c r="AQ94" i="12"/>
  <c r="CJ94" i="26"/>
  <c r="BB94" i="12"/>
  <c r="CF94" i="26"/>
  <c r="AX94" i="12"/>
  <c r="CB94" i="26"/>
  <c r="AT94" i="12"/>
  <c r="BX94" i="26"/>
  <c r="AP94" i="12"/>
  <c r="BV95" i="26"/>
  <c r="CI94" i="26"/>
  <c r="BA94" i="12"/>
  <c r="CE94" i="26"/>
  <c r="AW94" i="12"/>
  <c r="CA94" i="26"/>
  <c r="AS94" i="12"/>
  <c r="BW94" i="26"/>
  <c r="AO94" i="12"/>
  <c r="P635" i="10"/>
  <c r="P637" i="10"/>
  <c r="P636" i="10"/>
  <c r="AE635" i="10"/>
  <c r="K640" i="10"/>
  <c r="K637" i="10"/>
  <c r="A642" i="10"/>
  <c r="P638" i="10"/>
  <c r="BH106" i="10"/>
  <c r="T107" i="10"/>
  <c r="S21" i="26"/>
  <c r="AJ113" i="1"/>
  <c r="AE629" i="10"/>
  <c r="AF628" i="10"/>
  <c r="P644" i="10"/>
  <c r="P643" i="10"/>
  <c r="AE642" i="10"/>
  <c r="A649" i="10"/>
  <c r="K647" i="10"/>
  <c r="K644" i="10"/>
  <c r="P642" i="10"/>
  <c r="P645" i="10"/>
  <c r="AD85" i="26"/>
  <c r="AH85" i="26"/>
  <c r="J85" i="12"/>
  <c r="AT94" i="26"/>
  <c r="AV94" i="26"/>
  <c r="Q94" i="12"/>
  <c r="AD92" i="26"/>
  <c r="AH92" i="26"/>
  <c r="J92" i="12"/>
  <c r="AD87" i="26"/>
  <c r="AH87" i="26"/>
  <c r="J87" i="12"/>
  <c r="AD94" i="26"/>
  <c r="AH94" i="26"/>
  <c r="J94" i="12"/>
  <c r="BT92" i="26"/>
  <c r="BG92" i="12"/>
  <c r="AT85" i="26"/>
  <c r="AV85" i="26"/>
  <c r="Q85" i="12"/>
  <c r="AT88" i="26"/>
  <c r="AV88" i="26"/>
  <c r="Q88" i="12"/>
  <c r="AT90" i="26"/>
  <c r="AV90" i="26"/>
  <c r="Q90" i="12"/>
  <c r="AD95" i="26"/>
  <c r="AH95" i="26"/>
  <c r="J95" i="12"/>
  <c r="AT97" i="26"/>
  <c r="AV97" i="26"/>
  <c r="Q97" i="12"/>
  <c r="BT89" i="26"/>
  <c r="BG89" i="12"/>
  <c r="AD93" i="26"/>
  <c r="AH93" i="26"/>
  <c r="J93" i="12"/>
  <c r="AD96" i="26"/>
  <c r="AH96" i="26"/>
  <c r="J96" i="12"/>
  <c r="AD97" i="26"/>
  <c r="AH97" i="26"/>
  <c r="J97" i="12"/>
  <c r="AT96" i="26"/>
  <c r="AV96" i="26"/>
  <c r="Q96" i="12"/>
  <c r="AT91" i="26"/>
  <c r="AV91" i="26"/>
  <c r="Q91" i="12"/>
  <c r="AT87" i="26"/>
  <c r="AV87" i="26"/>
  <c r="Q87" i="12"/>
  <c r="AD89" i="26"/>
  <c r="AH89" i="26"/>
  <c r="J89" i="12"/>
  <c r="AT86" i="26"/>
  <c r="AV86" i="26"/>
  <c r="Q86" i="12"/>
  <c r="AT89" i="26"/>
  <c r="AV89" i="26"/>
  <c r="Q89" i="12"/>
  <c r="AD86" i="26"/>
  <c r="AH86" i="26"/>
  <c r="J86" i="12"/>
  <c r="BT90" i="26"/>
  <c r="BG90" i="12"/>
  <c r="AD90" i="26"/>
  <c r="AH90" i="26"/>
  <c r="J90" i="12"/>
  <c r="BT87" i="26"/>
  <c r="BG87" i="12"/>
  <c r="AT92" i="26"/>
  <c r="AV92" i="26"/>
  <c r="Q92" i="12"/>
  <c r="AT93" i="26"/>
  <c r="AV93" i="26"/>
  <c r="Q93" i="12"/>
  <c r="BT85" i="26"/>
  <c r="BG85" i="12"/>
  <c r="AT95" i="26"/>
  <c r="AV95" i="26"/>
  <c r="Q95" i="12"/>
  <c r="BT88" i="26"/>
  <c r="BG88" i="12"/>
  <c r="BT91" i="26"/>
  <c r="BG91" i="12"/>
  <c r="BT86" i="26"/>
  <c r="BG86" i="12"/>
  <c r="BT93" i="26"/>
  <c r="BG93" i="12"/>
  <c r="AD88" i="26"/>
  <c r="AH88" i="26"/>
  <c r="J88" i="12"/>
  <c r="BT94" i="26"/>
  <c r="BG94" i="12"/>
  <c r="AD91" i="26"/>
  <c r="AH91" i="26"/>
  <c r="J91" i="12"/>
  <c r="Z85" i="12"/>
  <c r="AY85" i="26"/>
  <c r="Z86" i="12"/>
  <c r="AY86" i="26"/>
  <c r="BN85" i="26"/>
  <c r="U85" i="12"/>
  <c r="BM85" i="26"/>
  <c r="BQ85" i="26"/>
  <c r="X85" i="12"/>
  <c r="BP85" i="26"/>
  <c r="BQ86" i="26"/>
  <c r="X86" i="12"/>
  <c r="BP86" i="26"/>
  <c r="BN86" i="26"/>
  <c r="U86" i="12"/>
  <c r="BM86" i="26"/>
  <c r="Z87" i="12"/>
  <c r="AY87" i="26"/>
  <c r="BQ87" i="26"/>
  <c r="X87" i="12"/>
  <c r="BP87" i="26"/>
  <c r="Z88" i="12"/>
  <c r="AY88" i="26"/>
  <c r="BM87" i="26"/>
  <c r="BN87" i="26"/>
  <c r="U87" i="12"/>
  <c r="BQ88" i="26"/>
  <c r="X88" i="12"/>
  <c r="BP88" i="26"/>
  <c r="BN88" i="26"/>
  <c r="U88" i="12"/>
  <c r="BM88" i="26"/>
  <c r="Z89" i="12"/>
  <c r="AY89" i="26"/>
  <c r="Z90" i="12"/>
  <c r="AY90" i="26"/>
  <c r="BN89" i="26"/>
  <c r="U89" i="12"/>
  <c r="BM89" i="26"/>
  <c r="BP89" i="26"/>
  <c r="BQ89" i="26"/>
  <c r="X89" i="12"/>
  <c r="BN90" i="26"/>
  <c r="U90" i="12"/>
  <c r="BM90" i="26"/>
  <c r="BP90" i="26"/>
  <c r="Z91" i="12"/>
  <c r="AY91" i="26"/>
  <c r="BQ90" i="26"/>
  <c r="X90" i="12"/>
  <c r="BQ91" i="26"/>
  <c r="X91" i="12"/>
  <c r="Z92" i="12"/>
  <c r="AY92" i="26"/>
  <c r="BM91" i="26"/>
  <c r="BN91" i="26"/>
  <c r="U91" i="12"/>
  <c r="BP91" i="26"/>
  <c r="Z93" i="12"/>
  <c r="AY93" i="26"/>
  <c r="BN92" i="26"/>
  <c r="U92" i="12"/>
  <c r="BM92" i="26"/>
  <c r="BP92" i="26"/>
  <c r="BQ92" i="26"/>
  <c r="X92" i="12"/>
  <c r="BP93" i="26"/>
  <c r="BM93" i="26"/>
  <c r="BQ93" i="26"/>
  <c r="X93" i="12"/>
  <c r="BN93" i="26"/>
  <c r="U93" i="12"/>
  <c r="Z94" i="12"/>
  <c r="AY94" i="26"/>
  <c r="BP94" i="26"/>
  <c r="Z95" i="12"/>
  <c r="AY95" i="26"/>
  <c r="Z113" i="1"/>
  <c r="U21" i="26"/>
  <c r="AF629" i="10"/>
  <c r="AE630" i="10"/>
  <c r="AF630" i="10"/>
  <c r="BM94" i="26"/>
  <c r="BN94" i="26"/>
  <c r="U94" i="12"/>
  <c r="A641" i="38"/>
  <c r="C637" i="38"/>
  <c r="D637" i="38"/>
  <c r="E637" i="38"/>
  <c r="AA21" i="26"/>
  <c r="Q21" i="26"/>
  <c r="AJ114" i="1"/>
  <c r="BQ94" i="26"/>
  <c r="X94" i="12"/>
  <c r="Z96" i="12"/>
  <c r="AY96" i="26"/>
  <c r="A97" i="12"/>
  <c r="O555" i="10"/>
  <c r="O553" i="10"/>
  <c r="O556" i="10"/>
  <c r="Q556" i="10"/>
  <c r="O560" i="10"/>
  <c r="O563" i="10"/>
  <c r="Q563" i="10"/>
  <c r="O562" i="10"/>
  <c r="O569" i="10"/>
  <c r="O570" i="10"/>
  <c r="Q570" i="10"/>
  <c r="O567" i="10"/>
  <c r="O574" i="10"/>
  <c r="O577" i="10"/>
  <c r="Q577" i="10"/>
  <c r="O576" i="10"/>
  <c r="O583" i="10"/>
  <c r="O584" i="10"/>
  <c r="Q584" i="10"/>
  <c r="O591" i="10"/>
  <c r="Q591" i="10"/>
  <c r="O590" i="10"/>
  <c r="O597" i="10"/>
  <c r="O598" i="10"/>
  <c r="Q598" i="10"/>
  <c r="O595" i="10"/>
  <c r="O604" i="10"/>
  <c r="O602" i="10"/>
  <c r="O605" i="10"/>
  <c r="Q605" i="10"/>
  <c r="O611" i="10"/>
  <c r="O612" i="10"/>
  <c r="Q612" i="10"/>
  <c r="O618" i="10"/>
  <c r="O616" i="10"/>
  <c r="O619" i="10"/>
  <c r="Q619" i="10"/>
  <c r="O626" i="10"/>
  <c r="Q626" i="10"/>
  <c r="O625" i="10"/>
  <c r="O630" i="10"/>
  <c r="O633" i="10"/>
  <c r="Q633" i="10"/>
  <c r="O632" i="10"/>
  <c r="T21" i="26"/>
  <c r="P21" i="3"/>
  <c r="AI638" i="10"/>
  <c r="BH107" i="10"/>
  <c r="T108" i="10"/>
  <c r="AE636" i="10"/>
  <c r="AF635" i="10"/>
  <c r="AI637" i="10"/>
  <c r="AI636" i="10"/>
  <c r="AJ636" i="10"/>
  <c r="AI635" i="10"/>
  <c r="AJ635" i="10"/>
  <c r="Q635" i="10"/>
  <c r="CG95" i="26"/>
  <c r="AY95" i="12"/>
  <c r="CC95" i="26"/>
  <c r="AU95" i="12"/>
  <c r="BY95" i="26"/>
  <c r="AQ95" i="12"/>
  <c r="BQ95" i="26"/>
  <c r="X95" i="12"/>
  <c r="BM95" i="26"/>
  <c r="CJ95" i="26"/>
  <c r="BB95" i="12"/>
  <c r="CF95" i="26"/>
  <c r="AX95" i="12"/>
  <c r="CB95" i="26"/>
  <c r="AT95" i="12"/>
  <c r="BX95" i="26"/>
  <c r="AP95" i="12"/>
  <c r="BP95" i="26"/>
  <c r="BV96" i="26"/>
  <c r="CI95" i="26"/>
  <c r="BA95" i="12"/>
  <c r="CE95" i="26"/>
  <c r="AW95" i="12"/>
  <c r="CA95" i="26"/>
  <c r="AS95" i="12"/>
  <c r="BW95" i="26"/>
  <c r="AO95" i="12"/>
  <c r="CH95" i="26"/>
  <c r="AZ95" i="12"/>
  <c r="CD95" i="26"/>
  <c r="AV95" i="12"/>
  <c r="BZ95" i="26"/>
  <c r="AR95" i="12"/>
  <c r="BN95" i="26"/>
  <c r="U95" i="12"/>
  <c r="AC95" i="26"/>
  <c r="AI632" i="10"/>
  <c r="BO94" i="26"/>
  <c r="V94" i="12"/>
  <c r="BR95" i="26"/>
  <c r="Y95" i="12"/>
  <c r="BR87" i="26"/>
  <c r="Y87" i="12"/>
  <c r="BO90" i="26"/>
  <c r="V90" i="12"/>
  <c r="BO93" i="26"/>
  <c r="V93" i="12"/>
  <c r="BR93" i="26"/>
  <c r="Y93" i="12"/>
  <c r="BR88" i="26"/>
  <c r="Y88" i="12"/>
  <c r="BO86" i="26"/>
  <c r="V86" i="12"/>
  <c r="Q604" i="10"/>
  <c r="O606" i="10"/>
  <c r="Q606" i="10"/>
  <c r="Q583" i="10"/>
  <c r="O585" i="10"/>
  <c r="Q585" i="10"/>
  <c r="Q562" i="10"/>
  <c r="O564" i="10"/>
  <c r="Q564" i="10"/>
  <c r="X21" i="26"/>
  <c r="AE643" i="10"/>
  <c r="AF642" i="10"/>
  <c r="BH108" i="10"/>
  <c r="T109" i="10"/>
  <c r="Q625" i="10"/>
  <c r="O627" i="10"/>
  <c r="Q627" i="10"/>
  <c r="AH616" i="10"/>
  <c r="Q616" i="10"/>
  <c r="BA93" i="26"/>
  <c r="AB93" i="12"/>
  <c r="Q611" i="10"/>
  <c r="O613" i="10"/>
  <c r="Q613" i="10"/>
  <c r="AH595" i="10"/>
  <c r="Q595" i="10"/>
  <c r="BA90" i="26"/>
  <c r="AB90" i="12"/>
  <c r="O588" i="10"/>
  <c r="O581" i="10"/>
  <c r="AH567" i="10"/>
  <c r="Q567" i="10"/>
  <c r="BA86" i="26"/>
  <c r="AB86" i="12"/>
  <c r="O557" i="10"/>
  <c r="Q557" i="10"/>
  <c r="Q555" i="10"/>
  <c r="BR94" i="26"/>
  <c r="Y94" i="12"/>
  <c r="BR92" i="26"/>
  <c r="Y92" i="12"/>
  <c r="BO91" i="26"/>
  <c r="V91" i="12"/>
  <c r="AI645" i="10"/>
  <c r="CJ96" i="26"/>
  <c r="BB96" i="12"/>
  <c r="CF96" i="26"/>
  <c r="AX96" i="12"/>
  <c r="CB96" i="26"/>
  <c r="AT96" i="12"/>
  <c r="BX96" i="26"/>
  <c r="AP96" i="12"/>
  <c r="BP96" i="26"/>
  <c r="BV97" i="26"/>
  <c r="CI96" i="26"/>
  <c r="BA96" i="12"/>
  <c r="CE96" i="26"/>
  <c r="AW96" i="12"/>
  <c r="CA96" i="26"/>
  <c r="AS96" i="12"/>
  <c r="BW96" i="26"/>
  <c r="AO96" i="12"/>
  <c r="CH96" i="26"/>
  <c r="AZ96" i="12"/>
  <c r="CD96" i="26"/>
  <c r="AV96" i="12"/>
  <c r="BZ96" i="26"/>
  <c r="AR96" i="12"/>
  <c r="BN96" i="26"/>
  <c r="U96" i="12"/>
  <c r="AC96" i="26"/>
  <c r="CG96" i="26"/>
  <c r="AY96" i="12"/>
  <c r="CC96" i="26"/>
  <c r="AU96" i="12"/>
  <c r="BY96" i="26"/>
  <c r="AQ96" i="12"/>
  <c r="BQ96" i="26"/>
  <c r="X96" i="12"/>
  <c r="BM96" i="26"/>
  <c r="O554" i="10"/>
  <c r="Q554" i="10"/>
  <c r="O561" i="10"/>
  <c r="Q561" i="10"/>
  <c r="O568" i="10"/>
  <c r="Q568" i="10"/>
  <c r="O575" i="10"/>
  <c r="Q575" i="10"/>
  <c r="O582" i="10"/>
  <c r="Q582" i="10"/>
  <c r="O589" i="10"/>
  <c r="Q589" i="10"/>
  <c r="O596" i="10"/>
  <c r="Q596" i="10"/>
  <c r="O603" i="10"/>
  <c r="Q603" i="10"/>
  <c r="O610" i="10"/>
  <c r="Q610" i="10"/>
  <c r="O617" i="10"/>
  <c r="Q617" i="10"/>
  <c r="O624" i="10"/>
  <c r="Q624" i="10"/>
  <c r="O631" i="10"/>
  <c r="Q631" i="10"/>
  <c r="O638" i="10"/>
  <c r="Q638" i="10"/>
  <c r="Q576" i="10"/>
  <c r="O578" i="10"/>
  <c r="Q578" i="10"/>
  <c r="Z97" i="12"/>
  <c r="AY97" i="26"/>
  <c r="A98" i="12"/>
  <c r="O637" i="10"/>
  <c r="O639" i="10"/>
  <c r="O640" i="10"/>
  <c r="Q640" i="10"/>
  <c r="BT95" i="26"/>
  <c r="BG95" i="12"/>
  <c r="AI642" i="10"/>
  <c r="AJ642" i="10"/>
  <c r="Q642" i="10"/>
  <c r="AI644" i="10"/>
  <c r="AI643" i="10"/>
  <c r="AJ643" i="10"/>
  <c r="BO95" i="26"/>
  <c r="V95" i="12"/>
  <c r="AK118" i="1"/>
  <c r="R118" i="1"/>
  <c r="R119" i="1"/>
  <c r="AA118" i="1"/>
  <c r="AD118" i="1"/>
  <c r="AH630" i="10"/>
  <c r="Q630" i="10"/>
  <c r="BA95" i="26"/>
  <c r="AB95" i="12"/>
  <c r="Q590" i="10"/>
  <c r="O592" i="10"/>
  <c r="Q592" i="10"/>
  <c r="AH574" i="10"/>
  <c r="Q574" i="10"/>
  <c r="BA87" i="26"/>
  <c r="AB87" i="12"/>
  <c r="AH553" i="10"/>
  <c r="Q553" i="10"/>
  <c r="BA84" i="26"/>
  <c r="AB84" i="12"/>
  <c r="Q632" i="10"/>
  <c r="O634" i="10"/>
  <c r="Q634" i="10"/>
  <c r="Q618" i="10"/>
  <c r="O620" i="10"/>
  <c r="Q620" i="10"/>
  <c r="AH560" i="10"/>
  <c r="Q560" i="10"/>
  <c r="BA85" i="26"/>
  <c r="AB85" i="12"/>
  <c r="AK119" i="1"/>
  <c r="AJ115" i="1"/>
  <c r="BR90" i="26"/>
  <c r="Y90" i="12"/>
  <c r="BR86" i="26"/>
  <c r="Y86" i="12"/>
  <c r="AE637" i="10"/>
  <c r="AF637" i="10"/>
  <c r="AF636" i="10"/>
  <c r="AI639" i="10"/>
  <c r="O623" i="10"/>
  <c r="O609" i="10"/>
  <c r="AH602" i="10"/>
  <c r="Q602" i="10"/>
  <c r="BA91" i="26"/>
  <c r="AB91" i="12"/>
  <c r="Q597" i="10"/>
  <c r="O599" i="10"/>
  <c r="Q599" i="10"/>
  <c r="O571" i="10"/>
  <c r="Q571" i="10"/>
  <c r="Q569" i="10"/>
  <c r="A648" i="38"/>
  <c r="C644" i="38"/>
  <c r="D644" i="38"/>
  <c r="E644" i="38"/>
  <c r="BO92" i="26"/>
  <c r="V92" i="12"/>
  <c r="BR91" i="26"/>
  <c r="Y91" i="12"/>
  <c r="BR89" i="26"/>
  <c r="Y89" i="12"/>
  <c r="BO89" i="26"/>
  <c r="V89" i="12"/>
  <c r="BO88" i="26"/>
  <c r="V88" i="12"/>
  <c r="BO87" i="26"/>
  <c r="V87" i="12"/>
  <c r="BR85" i="26"/>
  <c r="Y85" i="12"/>
  <c r="BO85" i="26"/>
  <c r="V85" i="12"/>
  <c r="P649" i="10"/>
  <c r="P651" i="10"/>
  <c r="P650" i="10"/>
  <c r="AE649" i="10"/>
  <c r="K654" i="10"/>
  <c r="K651" i="10"/>
  <c r="A656" i="10"/>
  <c r="P652" i="10"/>
  <c r="BO96" i="26"/>
  <c r="V96" i="12"/>
  <c r="AI646" i="10"/>
  <c r="BT97" i="26"/>
  <c r="BG97" i="12"/>
  <c r="AH637" i="10"/>
  <c r="Q637" i="10"/>
  <c r="BA96" i="26"/>
  <c r="AB96" i="12"/>
  <c r="AH588" i="10"/>
  <c r="Q588" i="10"/>
  <c r="BA89" i="26"/>
  <c r="AB89" i="12"/>
  <c r="AJ602" i="10"/>
  <c r="BD91" i="26"/>
  <c r="BF91" i="26"/>
  <c r="AK91" i="12"/>
  <c r="AJ560" i="10"/>
  <c r="BD85" i="26"/>
  <c r="BF85" i="26"/>
  <c r="AK85" i="12"/>
  <c r="AJ574" i="10"/>
  <c r="BD87" i="26"/>
  <c r="BF87" i="26"/>
  <c r="AK87" i="12"/>
  <c r="BD95" i="26"/>
  <c r="BF95" i="26"/>
  <c r="AK95" i="12"/>
  <c r="AJ630" i="10"/>
  <c r="A99" i="12"/>
  <c r="AE650" i="10"/>
  <c r="AF649" i="10"/>
  <c r="T120" i="1"/>
  <c r="AK120" i="1"/>
  <c r="AH609" i="10"/>
  <c r="Q609" i="10"/>
  <c r="BA92" i="26"/>
  <c r="AB92" i="12"/>
  <c r="BV98" i="26"/>
  <c r="CI97" i="26"/>
  <c r="BA97" i="12"/>
  <c r="CE97" i="26"/>
  <c r="AW97" i="12"/>
  <c r="CA97" i="26"/>
  <c r="AS97" i="12"/>
  <c r="BW97" i="26"/>
  <c r="AO97" i="12"/>
  <c r="CH97" i="26"/>
  <c r="AZ97" i="12"/>
  <c r="CD97" i="26"/>
  <c r="AV97" i="12"/>
  <c r="BZ97" i="26"/>
  <c r="AR97" i="12"/>
  <c r="BN97" i="26"/>
  <c r="U97" i="12"/>
  <c r="AC97" i="26"/>
  <c r="CG97" i="26"/>
  <c r="AY97" i="12"/>
  <c r="CC97" i="26"/>
  <c r="AU97" i="12"/>
  <c r="BY97" i="26"/>
  <c r="AQ97" i="12"/>
  <c r="BQ97" i="26"/>
  <c r="X97" i="12"/>
  <c r="BM97" i="26"/>
  <c r="CJ97" i="26"/>
  <c r="BB97" i="12"/>
  <c r="CF97" i="26"/>
  <c r="AX97" i="12"/>
  <c r="CB97" i="26"/>
  <c r="AT97" i="12"/>
  <c r="BX97" i="26"/>
  <c r="AP97" i="12"/>
  <c r="BP97" i="26"/>
  <c r="AJ567" i="10"/>
  <c r="BD86" i="26"/>
  <c r="BF86" i="26"/>
  <c r="AK86" i="12"/>
  <c r="AJ595" i="10"/>
  <c r="BD90" i="26"/>
  <c r="BF90" i="26"/>
  <c r="AK90" i="12"/>
  <c r="AJ616" i="10"/>
  <c r="BD93" i="26"/>
  <c r="BF93" i="26"/>
  <c r="AK93" i="12"/>
  <c r="T110" i="10"/>
  <c r="BH109" i="10"/>
  <c r="AH108" i="10"/>
  <c r="AF643" i="10"/>
  <c r="AE644" i="10"/>
  <c r="AF644" i="10"/>
  <c r="BT96" i="26"/>
  <c r="BG96" i="12"/>
  <c r="AI651" i="10"/>
  <c r="AI650" i="10"/>
  <c r="AJ650" i="10"/>
  <c r="AI649" i="10"/>
  <c r="AJ649" i="10"/>
  <c r="Q649" i="10"/>
  <c r="A655" i="38"/>
  <c r="C651" i="38"/>
  <c r="D651" i="38"/>
  <c r="E651" i="38"/>
  <c r="P658" i="10"/>
  <c r="P657" i="10"/>
  <c r="AE656" i="10"/>
  <c r="A663" i="10"/>
  <c r="K661" i="10"/>
  <c r="K658" i="10"/>
  <c r="P656" i="10"/>
  <c r="P659" i="10"/>
  <c r="AI652" i="10"/>
  <c r="AH623" i="10"/>
  <c r="Q623" i="10"/>
  <c r="BA94" i="26"/>
  <c r="AB94" i="12"/>
  <c r="AJ116" i="1"/>
  <c r="BD84" i="26"/>
  <c r="BF84" i="26"/>
  <c r="AK84" i="12"/>
  <c r="AJ553" i="10"/>
  <c r="AA119" i="1"/>
  <c r="AA120" i="1"/>
  <c r="AA121" i="1"/>
  <c r="R120" i="1"/>
  <c r="T119" i="1"/>
  <c r="T118" i="1"/>
  <c r="Q639" i="10"/>
  <c r="O641" i="10"/>
  <c r="Q641" i="10"/>
  <c r="BR96" i="26"/>
  <c r="Y96" i="12"/>
  <c r="AH581" i="10"/>
  <c r="Q581" i="10"/>
  <c r="BA88" i="26"/>
  <c r="AB88" i="12"/>
  <c r="AI653" i="10"/>
  <c r="BO97" i="26"/>
  <c r="V97" i="12"/>
  <c r="AJ623" i="10"/>
  <c r="BD94" i="26"/>
  <c r="BF94" i="26"/>
  <c r="AK94" i="12"/>
  <c r="AI656" i="10"/>
  <c r="AJ656" i="10"/>
  <c r="Q656" i="10"/>
  <c r="AI658" i="10"/>
  <c r="AI657" i="10"/>
  <c r="AJ657" i="10"/>
  <c r="T121" i="1"/>
  <c r="AK121" i="1"/>
  <c r="P663" i="10"/>
  <c r="P665" i="10"/>
  <c r="P664" i="10"/>
  <c r="AE663" i="10"/>
  <c r="A670" i="10"/>
  <c r="K668" i="10"/>
  <c r="K665" i="10"/>
  <c r="P666" i="10"/>
  <c r="CH98" i="26"/>
  <c r="AZ98" i="12"/>
  <c r="CD98" i="26"/>
  <c r="AV98" i="12"/>
  <c r="BZ98" i="26"/>
  <c r="AR98" i="12"/>
  <c r="AC98" i="26"/>
  <c r="CG98" i="26"/>
  <c r="AY98" i="12"/>
  <c r="CC98" i="26"/>
  <c r="AU98" i="12"/>
  <c r="BY98" i="26"/>
  <c r="AQ98" i="12"/>
  <c r="CJ98" i="26"/>
  <c r="BB98" i="12"/>
  <c r="CF98" i="26"/>
  <c r="AX98" i="12"/>
  <c r="CB98" i="26"/>
  <c r="AT98" i="12"/>
  <c r="BX98" i="26"/>
  <c r="AP98" i="12"/>
  <c r="BV99" i="26"/>
  <c r="CI98" i="26"/>
  <c r="BA98" i="12"/>
  <c r="CE98" i="26"/>
  <c r="AW98" i="12"/>
  <c r="CA98" i="26"/>
  <c r="AS98" i="12"/>
  <c r="BW98" i="26"/>
  <c r="AO98" i="12"/>
  <c r="AH109" i="10"/>
  <c r="AI109" i="10"/>
  <c r="AJ109" i="10"/>
  <c r="C102" i="38"/>
  <c r="AJ117" i="1"/>
  <c r="AE657" i="10"/>
  <c r="AF656" i="10"/>
  <c r="A662" i="38"/>
  <c r="C658" i="38"/>
  <c r="D658" i="38"/>
  <c r="E658" i="38"/>
  <c r="BH110" i="10"/>
  <c r="T111" i="10"/>
  <c r="BR97" i="26"/>
  <c r="Y97" i="12"/>
  <c r="AJ609" i="10"/>
  <c r="BD92" i="26"/>
  <c r="BF92" i="26"/>
  <c r="AK92" i="12"/>
  <c r="AE651" i="10"/>
  <c r="AF651" i="10"/>
  <c r="AF650" i="10"/>
  <c r="AJ588" i="10"/>
  <c r="BD89" i="26"/>
  <c r="BF89" i="26"/>
  <c r="AK89" i="12"/>
  <c r="BD96" i="26"/>
  <c r="BF96" i="26"/>
  <c r="AK96" i="12"/>
  <c r="AJ637" i="10"/>
  <c r="AD119" i="1"/>
  <c r="AD120" i="1"/>
  <c r="AD121" i="1"/>
  <c r="AJ581" i="10"/>
  <c r="BD88" i="26"/>
  <c r="BF88" i="26"/>
  <c r="AK88" i="12"/>
  <c r="R121" i="1"/>
  <c r="AI659" i="10"/>
  <c r="A100" i="12"/>
  <c r="AI660" i="10"/>
  <c r="R122" i="1"/>
  <c r="A101" i="12"/>
  <c r="AF657" i="10"/>
  <c r="AE658" i="10"/>
  <c r="AF658" i="10"/>
  <c r="AJ118" i="1"/>
  <c r="AI666" i="10"/>
  <c r="BH111" i="10"/>
  <c r="T112" i="10"/>
  <c r="A669" i="38"/>
  <c r="C665" i="38"/>
  <c r="D665" i="38"/>
  <c r="E665" i="38"/>
  <c r="P672" i="10"/>
  <c r="P671" i="10"/>
  <c r="AE670" i="10"/>
  <c r="A677" i="10"/>
  <c r="K675" i="10"/>
  <c r="K672" i="10"/>
  <c r="P670" i="10"/>
  <c r="P673" i="10"/>
  <c r="CG99" i="26"/>
  <c r="AY99" i="12"/>
  <c r="CC99" i="26"/>
  <c r="AU99" i="12"/>
  <c r="BY99" i="26"/>
  <c r="AQ99" i="12"/>
  <c r="CJ99" i="26"/>
  <c r="BB99" i="12"/>
  <c r="CF99" i="26"/>
  <c r="AX99" i="12"/>
  <c r="CB99" i="26"/>
  <c r="AT99" i="12"/>
  <c r="BX99" i="26"/>
  <c r="AP99" i="12"/>
  <c r="BV100" i="26"/>
  <c r="CI99" i="26"/>
  <c r="BA99" i="12"/>
  <c r="CE99" i="26"/>
  <c r="AW99" i="12"/>
  <c r="CA99" i="26"/>
  <c r="AS99" i="12"/>
  <c r="BW99" i="26"/>
  <c r="AO99" i="12"/>
  <c r="CH99" i="26"/>
  <c r="AZ99" i="12"/>
  <c r="CD99" i="26"/>
  <c r="AV99" i="12"/>
  <c r="BZ99" i="26"/>
  <c r="AR99" i="12"/>
  <c r="AC99" i="26"/>
  <c r="AE664" i="10"/>
  <c r="AF663" i="10"/>
  <c r="AI665" i="10"/>
  <c r="AI664" i="10"/>
  <c r="AJ664" i="10"/>
  <c r="AI663" i="10"/>
  <c r="AJ663" i="10"/>
  <c r="Q663" i="10"/>
  <c r="AI667" i="10"/>
  <c r="R123" i="1"/>
  <c r="CJ100" i="26"/>
  <c r="BB100" i="12"/>
  <c r="CF100" i="26"/>
  <c r="AX100" i="12"/>
  <c r="CB100" i="26"/>
  <c r="AT100" i="12"/>
  <c r="BX100" i="26"/>
  <c r="AP100" i="12"/>
  <c r="BV101" i="26"/>
  <c r="CI100" i="26"/>
  <c r="BA100" i="12"/>
  <c r="CE100" i="26"/>
  <c r="AW100" i="12"/>
  <c r="CA100" i="26"/>
  <c r="AS100" i="12"/>
  <c r="BW100" i="26"/>
  <c r="AO100" i="12"/>
  <c r="CH100" i="26"/>
  <c r="AZ100" i="12"/>
  <c r="CD100" i="26"/>
  <c r="AV100" i="12"/>
  <c r="BZ100" i="26"/>
  <c r="AR100" i="12"/>
  <c r="AC100" i="26"/>
  <c r="CG100" i="26"/>
  <c r="AY100" i="12"/>
  <c r="CC100" i="26"/>
  <c r="AU100" i="12"/>
  <c r="BY100" i="26"/>
  <c r="AQ100" i="12"/>
  <c r="BQ100" i="26"/>
  <c r="X100" i="12"/>
  <c r="A684" i="10"/>
  <c r="P677" i="10"/>
  <c r="P679" i="10"/>
  <c r="P678" i="10"/>
  <c r="AE677" i="10"/>
  <c r="K682" i="10"/>
  <c r="K679" i="10"/>
  <c r="P680" i="10"/>
  <c r="T113" i="10"/>
  <c r="BH112" i="10"/>
  <c r="J120" i="1"/>
  <c r="Y123" i="1"/>
  <c r="AI673" i="10"/>
  <c r="A102" i="12"/>
  <c r="AK122" i="1"/>
  <c r="AA122" i="1"/>
  <c r="AD122" i="1"/>
  <c r="AE665" i="10"/>
  <c r="AF665" i="10"/>
  <c r="AF664" i="10"/>
  <c r="AE671" i="10"/>
  <c r="AF670" i="10"/>
  <c r="AJ119" i="1"/>
  <c r="AK123" i="1"/>
  <c r="AI670" i="10"/>
  <c r="AJ670" i="10"/>
  <c r="Q670" i="10"/>
  <c r="AI672" i="10"/>
  <c r="AI671" i="10"/>
  <c r="AJ671" i="10"/>
  <c r="A676" i="38"/>
  <c r="C672" i="38"/>
  <c r="D672" i="38"/>
  <c r="E672" i="38"/>
  <c r="AA123" i="1"/>
  <c r="H21" i="45"/>
  <c r="AK124" i="1"/>
  <c r="AA124" i="1"/>
  <c r="O133" i="1"/>
  <c r="AI680" i="10"/>
  <c r="L22" i="26"/>
  <c r="I22" i="3"/>
  <c r="Z102" i="12"/>
  <c r="AY102" i="26"/>
  <c r="A103" i="12"/>
  <c r="O647" i="10"/>
  <c r="Q647" i="10"/>
  <c r="O646" i="10"/>
  <c r="O644" i="10"/>
  <c r="O654" i="10"/>
  <c r="Q654" i="10"/>
  <c r="O653" i="10"/>
  <c r="O660" i="10"/>
  <c r="O661" i="10"/>
  <c r="Q661" i="10"/>
  <c r="O667" i="10"/>
  <c r="O668" i="10"/>
  <c r="Q668" i="10"/>
  <c r="O674" i="10"/>
  <c r="Z101" i="12"/>
  <c r="O672" i="10"/>
  <c r="O675" i="10"/>
  <c r="Q675" i="10"/>
  <c r="P684" i="10"/>
  <c r="A691" i="10"/>
  <c r="P686" i="10"/>
  <c r="AE684" i="10"/>
  <c r="P685" i="10"/>
  <c r="K689" i="10"/>
  <c r="K686" i="10"/>
  <c r="P687" i="10"/>
  <c r="BT98" i="26"/>
  <c r="BG98" i="12"/>
  <c r="AT101" i="26"/>
  <c r="AV101" i="26"/>
  <c r="Q101" i="12"/>
  <c r="AT99" i="26"/>
  <c r="AV99" i="26"/>
  <c r="Q99" i="12"/>
  <c r="AD102" i="26"/>
  <c r="AH102" i="26"/>
  <c r="J102" i="12"/>
  <c r="BT100" i="26"/>
  <c r="BG100" i="12"/>
  <c r="AD98" i="26"/>
  <c r="AH98" i="26"/>
  <c r="J98" i="12"/>
  <c r="AT100" i="26"/>
  <c r="AV100" i="26"/>
  <c r="Q100" i="12"/>
  <c r="AD100" i="26"/>
  <c r="AH100" i="26"/>
  <c r="J100" i="12"/>
  <c r="AT98" i="26"/>
  <c r="AV98" i="26"/>
  <c r="Q98" i="12"/>
  <c r="BT99" i="26"/>
  <c r="BG99" i="12"/>
  <c r="AD99" i="26"/>
  <c r="AH99" i="26"/>
  <c r="J99" i="12"/>
  <c r="AD101" i="26"/>
  <c r="AH101" i="26"/>
  <c r="J101" i="12"/>
  <c r="AT103" i="26"/>
  <c r="AV103" i="26"/>
  <c r="Q103" i="12"/>
  <c r="AD103" i="26"/>
  <c r="AH103" i="26"/>
  <c r="J103" i="12"/>
  <c r="AT102" i="26"/>
  <c r="AV102" i="26"/>
  <c r="Q102" i="12"/>
  <c r="Z98" i="12"/>
  <c r="AY98" i="26"/>
  <c r="BP98" i="26"/>
  <c r="Z99" i="12"/>
  <c r="AY99" i="26"/>
  <c r="BQ98" i="26"/>
  <c r="X98" i="12"/>
  <c r="BN98" i="26"/>
  <c r="U98" i="12"/>
  <c r="BM98" i="26"/>
  <c r="BQ99" i="26"/>
  <c r="X99" i="12"/>
  <c r="BM99" i="26"/>
  <c r="BN99" i="26"/>
  <c r="U99" i="12"/>
  <c r="BP99" i="26"/>
  <c r="Z100" i="12"/>
  <c r="AY100" i="26"/>
  <c r="BV102" i="26"/>
  <c r="CI101" i="26"/>
  <c r="BA101" i="12"/>
  <c r="CE101" i="26"/>
  <c r="AW101" i="12"/>
  <c r="CA101" i="26"/>
  <c r="AS101" i="12"/>
  <c r="BW101" i="26"/>
  <c r="AO101" i="12"/>
  <c r="CH101" i="26"/>
  <c r="AZ101" i="12"/>
  <c r="CD101" i="26"/>
  <c r="AV101" i="12"/>
  <c r="BZ101" i="26"/>
  <c r="AR101" i="12"/>
  <c r="BN101" i="26"/>
  <c r="U101" i="12"/>
  <c r="AC101" i="26"/>
  <c r="CG101" i="26"/>
  <c r="AY101" i="12"/>
  <c r="CC101" i="26"/>
  <c r="AU101" i="12"/>
  <c r="BY101" i="26"/>
  <c r="AQ101" i="12"/>
  <c r="BQ101" i="26"/>
  <c r="X101" i="12"/>
  <c r="BM101" i="26"/>
  <c r="CJ101" i="26"/>
  <c r="BB101" i="12"/>
  <c r="CF101" i="26"/>
  <c r="AX101" i="12"/>
  <c r="CB101" i="26"/>
  <c r="AT101" i="12"/>
  <c r="BX101" i="26"/>
  <c r="AP101" i="12"/>
  <c r="BP101" i="26"/>
  <c r="BR101" i="26"/>
  <c r="Y101" i="12"/>
  <c r="AF671" i="10"/>
  <c r="AE672" i="10"/>
  <c r="AF672" i="10"/>
  <c r="I21" i="45"/>
  <c r="S22" i="26"/>
  <c r="P125" i="1"/>
  <c r="T125" i="1"/>
  <c r="T114" i="10"/>
  <c r="BH113" i="10"/>
  <c r="O681" i="10"/>
  <c r="BP100" i="26"/>
  <c r="BR100" i="26"/>
  <c r="Y100" i="12"/>
  <c r="T122" i="1"/>
  <c r="T123" i="1"/>
  <c r="AD123" i="1"/>
  <c r="A683" i="38"/>
  <c r="C679" i="38"/>
  <c r="D679" i="38"/>
  <c r="E679" i="38"/>
  <c r="AJ120" i="1"/>
  <c r="AY101" i="26"/>
  <c r="AI674" i="10"/>
  <c r="R124" i="1"/>
  <c r="R125" i="1"/>
  <c r="AE678" i="10"/>
  <c r="AF677" i="10"/>
  <c r="AI679" i="10"/>
  <c r="AI678" i="10"/>
  <c r="AJ678" i="10"/>
  <c r="AI677" i="10"/>
  <c r="AJ677" i="10"/>
  <c r="Q677" i="10"/>
  <c r="BM100" i="26"/>
  <c r="BN100" i="26"/>
  <c r="U100" i="12"/>
  <c r="AI681" i="10"/>
  <c r="BT102" i="26"/>
  <c r="BG102" i="12"/>
  <c r="BR99" i="26"/>
  <c r="Y99" i="12"/>
  <c r="BR98" i="26"/>
  <c r="Y98" i="12"/>
  <c r="M133" i="1"/>
  <c r="BO99" i="26"/>
  <c r="V99" i="12"/>
  <c r="BO101" i="26"/>
  <c r="V101" i="12"/>
  <c r="BO98" i="26"/>
  <c r="V98" i="12"/>
  <c r="AD124" i="1"/>
  <c r="AA125" i="1"/>
  <c r="AA126" i="1"/>
  <c r="AI124" i="1"/>
  <c r="T22" i="26"/>
  <c r="P22" i="3"/>
  <c r="Z118" i="1"/>
  <c r="X120" i="1"/>
  <c r="Y124" i="1"/>
  <c r="AE679" i="10"/>
  <c r="AF679" i="10"/>
  <c r="AF678" i="10"/>
  <c r="A690" i="38"/>
  <c r="C686" i="38"/>
  <c r="D686" i="38"/>
  <c r="E686" i="38"/>
  <c r="P126" i="1"/>
  <c r="T126" i="1"/>
  <c r="AI686" i="10"/>
  <c r="AI685" i="10"/>
  <c r="AJ685" i="10"/>
  <c r="AI684" i="10"/>
  <c r="AJ684" i="10"/>
  <c r="Q684" i="10"/>
  <c r="Q667" i="10"/>
  <c r="O669" i="10"/>
  <c r="Q669" i="10"/>
  <c r="Q653" i="10"/>
  <c r="O655" i="10"/>
  <c r="Q655" i="10"/>
  <c r="Q646" i="10"/>
  <c r="O648" i="10"/>
  <c r="Q648" i="10"/>
  <c r="BO100" i="26"/>
  <c r="V100" i="12"/>
  <c r="T115" i="10"/>
  <c r="BH114" i="10"/>
  <c r="AI687" i="10"/>
  <c r="Q674" i="10"/>
  <c r="O676" i="10"/>
  <c r="Q676" i="10"/>
  <c r="O651" i="10"/>
  <c r="C21" i="45"/>
  <c r="J23" i="45"/>
  <c r="AH672" i="10"/>
  <c r="Q672" i="10"/>
  <c r="BA101" i="26"/>
  <c r="AB101" i="12"/>
  <c r="Z5" i="10"/>
  <c r="X5" i="10"/>
  <c r="X6" i="10"/>
  <c r="X7" i="10"/>
  <c r="X8" i="10"/>
  <c r="X9" i="10"/>
  <c r="X10" i="10"/>
  <c r="X11" i="10"/>
  <c r="X12" i="10"/>
  <c r="X13" i="10"/>
  <c r="X14" i="10"/>
  <c r="X15" i="10"/>
  <c r="X16" i="10"/>
  <c r="X17" i="10"/>
  <c r="X18" i="10"/>
  <c r="X19" i="10"/>
  <c r="X20" i="10"/>
  <c r="X21" i="10"/>
  <c r="X22"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X96" i="10"/>
  <c r="X97" i="10"/>
  <c r="X98" i="10"/>
  <c r="X99" i="10"/>
  <c r="X100"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X134" i="10"/>
  <c r="X135" i="10"/>
  <c r="X136" i="10"/>
  <c r="X137" i="10"/>
  <c r="X138" i="10"/>
  <c r="X139" i="10"/>
  <c r="X140" i="10"/>
  <c r="X141" i="10"/>
  <c r="X142" i="10"/>
  <c r="X143" i="10"/>
  <c r="X144" i="10"/>
  <c r="X145" i="10"/>
  <c r="X146" i="10"/>
  <c r="X147" i="10"/>
  <c r="X148" i="10"/>
  <c r="X149" i="10"/>
  <c r="X150" i="10"/>
  <c r="X151" i="10"/>
  <c r="X152" i="10"/>
  <c r="X153" i="10"/>
  <c r="X154" i="10"/>
  <c r="X155" i="10"/>
  <c r="X156" i="10"/>
  <c r="X157" i="10"/>
  <c r="X158" i="10"/>
  <c r="X159" i="10"/>
  <c r="X160" i="10"/>
  <c r="X161" i="10"/>
  <c r="X162" i="10"/>
  <c r="X163" i="10"/>
  <c r="X164" i="10"/>
  <c r="X165" i="10"/>
  <c r="X166" i="10"/>
  <c r="X167" i="10"/>
  <c r="X168" i="10"/>
  <c r="X169" i="10"/>
  <c r="X170" i="10"/>
  <c r="X171" i="10"/>
  <c r="X172" i="10"/>
  <c r="X173" i="10"/>
  <c r="X174" i="10"/>
  <c r="X175" i="10"/>
  <c r="X176" i="10"/>
  <c r="X177" i="10"/>
  <c r="X178" i="10"/>
  <c r="X179" i="10"/>
  <c r="X180" i="10"/>
  <c r="X181" i="10"/>
  <c r="X182" i="10"/>
  <c r="X183" i="10"/>
  <c r="X184" i="10"/>
  <c r="X185" i="10"/>
  <c r="X186" i="10"/>
  <c r="X187" i="10"/>
  <c r="X188" i="10"/>
  <c r="X189" i="10"/>
  <c r="X190" i="10"/>
  <c r="X191" i="10"/>
  <c r="X192" i="10"/>
  <c r="X193" i="10"/>
  <c r="X194" i="10"/>
  <c r="X195" i="10"/>
  <c r="X196" i="10"/>
  <c r="X197" i="10"/>
  <c r="X198" i="10"/>
  <c r="X199" i="10"/>
  <c r="X200" i="10"/>
  <c r="X201" i="10"/>
  <c r="X202" i="10"/>
  <c r="X203" i="10"/>
  <c r="X204" i="10"/>
  <c r="X205" i="10"/>
  <c r="X206" i="10"/>
  <c r="X207" i="10"/>
  <c r="X208" i="10"/>
  <c r="X209" i="10"/>
  <c r="X210" i="10"/>
  <c r="X211" i="10"/>
  <c r="X212" i="10"/>
  <c r="X213" i="10"/>
  <c r="X214" i="10"/>
  <c r="X215" i="10"/>
  <c r="X216" i="10"/>
  <c r="X217" i="10"/>
  <c r="X218" i="10"/>
  <c r="X219" i="10"/>
  <c r="X220" i="10"/>
  <c r="X221" i="10"/>
  <c r="X222" i="10"/>
  <c r="X223" i="10"/>
  <c r="X224" i="10"/>
  <c r="X225" i="10"/>
  <c r="X226" i="10"/>
  <c r="X227" i="10"/>
  <c r="X228" i="10"/>
  <c r="X229" i="10"/>
  <c r="X230" i="10"/>
  <c r="X231" i="10"/>
  <c r="X232" i="10"/>
  <c r="X233" i="10"/>
  <c r="X234" i="10"/>
  <c r="X235" i="10"/>
  <c r="X236" i="10"/>
  <c r="X237" i="10"/>
  <c r="X238" i="10"/>
  <c r="X239" i="10"/>
  <c r="X240" i="10"/>
  <c r="X241" i="10"/>
  <c r="X242" i="10"/>
  <c r="X243" i="10"/>
  <c r="X244" i="10"/>
  <c r="X245" i="10"/>
  <c r="X246" i="10"/>
  <c r="X247" i="10"/>
  <c r="X248" i="10"/>
  <c r="X249" i="10"/>
  <c r="X250" i="10"/>
  <c r="X251" i="10"/>
  <c r="X252" i="10"/>
  <c r="X253" i="10"/>
  <c r="X254" i="10"/>
  <c r="X255" i="10"/>
  <c r="X256" i="10"/>
  <c r="X257" i="10"/>
  <c r="X258" i="10"/>
  <c r="X259" i="10"/>
  <c r="X260" i="10"/>
  <c r="X261" i="10"/>
  <c r="X262" i="10"/>
  <c r="X263" i="10"/>
  <c r="X264" i="10"/>
  <c r="X265" i="10"/>
  <c r="X266" i="10"/>
  <c r="X267" i="10"/>
  <c r="X268" i="10"/>
  <c r="X269" i="10"/>
  <c r="X270" i="10"/>
  <c r="X271" i="10"/>
  <c r="X272" i="10"/>
  <c r="X273" i="10"/>
  <c r="X274" i="10"/>
  <c r="X275" i="10"/>
  <c r="X276" i="10"/>
  <c r="X277" i="10"/>
  <c r="X278" i="10"/>
  <c r="X279" i="10"/>
  <c r="X280" i="10"/>
  <c r="X281" i="10"/>
  <c r="X282" i="10"/>
  <c r="X283" i="10"/>
  <c r="X284" i="10"/>
  <c r="X285" i="10"/>
  <c r="X286" i="10"/>
  <c r="X287" i="10"/>
  <c r="X288" i="10"/>
  <c r="X289" i="10"/>
  <c r="X290" i="10"/>
  <c r="X291" i="10"/>
  <c r="X292" i="10"/>
  <c r="X293" i="10"/>
  <c r="X294" i="10"/>
  <c r="X295" i="10"/>
  <c r="X296" i="10"/>
  <c r="X297" i="10"/>
  <c r="X298" i="10"/>
  <c r="X299" i="10"/>
  <c r="X300" i="10"/>
  <c r="X301" i="10"/>
  <c r="X302" i="10"/>
  <c r="X303" i="10"/>
  <c r="X304" i="10"/>
  <c r="X305" i="10"/>
  <c r="X306" i="10"/>
  <c r="X307" i="10"/>
  <c r="X308" i="10"/>
  <c r="X309" i="10"/>
  <c r="X310" i="10"/>
  <c r="X311" i="10"/>
  <c r="X312" i="10"/>
  <c r="X313" i="10"/>
  <c r="X314" i="10"/>
  <c r="X315" i="10"/>
  <c r="X316" i="10"/>
  <c r="X317" i="10"/>
  <c r="X318" i="10"/>
  <c r="X319" i="10"/>
  <c r="X320" i="10"/>
  <c r="X321" i="10"/>
  <c r="X322" i="10"/>
  <c r="X323" i="10"/>
  <c r="X324" i="10"/>
  <c r="X325" i="10"/>
  <c r="X326" i="10"/>
  <c r="X327" i="10"/>
  <c r="X328" i="10"/>
  <c r="X329" i="10"/>
  <c r="X330" i="10"/>
  <c r="X331" i="10"/>
  <c r="X332" i="10"/>
  <c r="X333" i="10"/>
  <c r="X334" i="10"/>
  <c r="X335" i="10"/>
  <c r="X336" i="10"/>
  <c r="X337" i="10"/>
  <c r="X338" i="10"/>
  <c r="X339" i="10"/>
  <c r="X340" i="10"/>
  <c r="X341" i="10"/>
  <c r="X342" i="10"/>
  <c r="X343" i="10"/>
  <c r="X344" i="10"/>
  <c r="X345" i="10"/>
  <c r="X346" i="10"/>
  <c r="X347" i="10"/>
  <c r="X348" i="10"/>
  <c r="X349" i="10"/>
  <c r="X350" i="10"/>
  <c r="X351" i="10"/>
  <c r="X352" i="10"/>
  <c r="X353" i="10"/>
  <c r="X354" i="10"/>
  <c r="X355" i="10"/>
  <c r="X356" i="10"/>
  <c r="X357" i="10"/>
  <c r="X358" i="10"/>
  <c r="X359" i="10"/>
  <c r="X360" i="10"/>
  <c r="X361" i="10"/>
  <c r="X362" i="10"/>
  <c r="X363" i="10"/>
  <c r="X364" i="10"/>
  <c r="X365" i="10"/>
  <c r="X366" i="10"/>
  <c r="X367" i="10"/>
  <c r="X368" i="10"/>
  <c r="X369" i="10"/>
  <c r="X370" i="10"/>
  <c r="X371" i="10"/>
  <c r="X372" i="10"/>
  <c r="X373" i="10"/>
  <c r="X374" i="10"/>
  <c r="X375" i="10"/>
  <c r="X376" i="10"/>
  <c r="X377" i="10"/>
  <c r="X378" i="10"/>
  <c r="X379" i="10"/>
  <c r="X380" i="10"/>
  <c r="X381" i="10"/>
  <c r="X382" i="10"/>
  <c r="X383" i="10"/>
  <c r="X384" i="10"/>
  <c r="X385" i="10"/>
  <c r="X386" i="10"/>
  <c r="X387" i="10"/>
  <c r="X388" i="10"/>
  <c r="X389" i="10"/>
  <c r="X390" i="10"/>
  <c r="X391" i="10"/>
  <c r="X392" i="10"/>
  <c r="X393" i="10"/>
  <c r="X394" i="10"/>
  <c r="X395" i="10"/>
  <c r="X396" i="10"/>
  <c r="X397" i="10"/>
  <c r="X398" i="10"/>
  <c r="X399" i="10"/>
  <c r="X400" i="10"/>
  <c r="X401" i="10"/>
  <c r="X402" i="10"/>
  <c r="X403" i="10"/>
  <c r="X404" i="10"/>
  <c r="X405" i="10"/>
  <c r="X406" i="10"/>
  <c r="X407" i="10"/>
  <c r="X408" i="10"/>
  <c r="X409" i="10"/>
  <c r="X410" i="10"/>
  <c r="X411" i="10"/>
  <c r="X412" i="10"/>
  <c r="X413" i="10"/>
  <c r="X414" i="10"/>
  <c r="X415" i="10"/>
  <c r="X416" i="10"/>
  <c r="X417" i="10"/>
  <c r="X418" i="10"/>
  <c r="X419" i="10"/>
  <c r="X420" i="10"/>
  <c r="X421" i="10"/>
  <c r="X422" i="10"/>
  <c r="X423" i="10"/>
  <c r="X424" i="10"/>
  <c r="X425" i="10"/>
  <c r="X426" i="10"/>
  <c r="X427" i="10"/>
  <c r="X428" i="10"/>
  <c r="X429" i="10"/>
  <c r="X430" i="10"/>
  <c r="X431" i="10"/>
  <c r="X432" i="10"/>
  <c r="X433" i="10"/>
  <c r="X434" i="10"/>
  <c r="X435" i="10"/>
  <c r="X436" i="10"/>
  <c r="X437" i="10"/>
  <c r="X438" i="10"/>
  <c r="X439" i="10"/>
  <c r="X440" i="10"/>
  <c r="X441" i="10"/>
  <c r="X442" i="10"/>
  <c r="X443" i="10"/>
  <c r="X444" i="10"/>
  <c r="X445" i="10"/>
  <c r="X446" i="10"/>
  <c r="X447" i="10"/>
  <c r="X448" i="10"/>
  <c r="X449" i="10"/>
  <c r="X450" i="10"/>
  <c r="X451" i="10"/>
  <c r="X452" i="10"/>
  <c r="X453" i="10"/>
  <c r="X454" i="10"/>
  <c r="X455" i="10"/>
  <c r="X456" i="10"/>
  <c r="X457" i="10"/>
  <c r="X458" i="10"/>
  <c r="X459" i="10"/>
  <c r="X460" i="10"/>
  <c r="X461" i="10"/>
  <c r="X462" i="10"/>
  <c r="X463" i="10"/>
  <c r="X464" i="10"/>
  <c r="X465" i="10"/>
  <c r="X466" i="10"/>
  <c r="X467" i="10"/>
  <c r="X468" i="10"/>
  <c r="X469" i="10"/>
  <c r="X470" i="10"/>
  <c r="X471" i="10"/>
  <c r="X472" i="10"/>
  <c r="X473" i="10"/>
  <c r="X474" i="10"/>
  <c r="X475" i="10"/>
  <c r="X476" i="10"/>
  <c r="X477" i="10"/>
  <c r="X478" i="10"/>
  <c r="X479" i="10"/>
  <c r="X480" i="10"/>
  <c r="X481" i="10"/>
  <c r="X482" i="10"/>
  <c r="X483" i="10"/>
  <c r="X484" i="10"/>
  <c r="X485" i="10"/>
  <c r="X486" i="10"/>
  <c r="X487" i="10"/>
  <c r="X488" i="10"/>
  <c r="X489" i="10"/>
  <c r="X490" i="10"/>
  <c r="X491" i="10"/>
  <c r="X492" i="10"/>
  <c r="X493" i="10"/>
  <c r="X494" i="10"/>
  <c r="X495" i="10"/>
  <c r="X496" i="10"/>
  <c r="X497" i="10"/>
  <c r="X498" i="10"/>
  <c r="X499" i="10"/>
  <c r="X500" i="10"/>
  <c r="X501" i="10"/>
  <c r="X502" i="10"/>
  <c r="X503" i="10"/>
  <c r="X504" i="10"/>
  <c r="X505" i="10"/>
  <c r="X506" i="10"/>
  <c r="X507" i="10"/>
  <c r="X508" i="10"/>
  <c r="X509" i="10"/>
  <c r="X510" i="10"/>
  <c r="X511" i="10"/>
  <c r="X512" i="10"/>
  <c r="X513" i="10"/>
  <c r="X514" i="10"/>
  <c r="X515" i="10"/>
  <c r="X516" i="10"/>
  <c r="X517" i="10"/>
  <c r="X518" i="10"/>
  <c r="X519" i="10"/>
  <c r="X520" i="10"/>
  <c r="X521" i="10"/>
  <c r="X522" i="10"/>
  <c r="X523" i="10"/>
  <c r="X524" i="10"/>
  <c r="X525" i="10"/>
  <c r="X526" i="10"/>
  <c r="X527" i="10"/>
  <c r="X528" i="10"/>
  <c r="X529" i="10"/>
  <c r="X530" i="10"/>
  <c r="X531" i="10"/>
  <c r="X532" i="10"/>
  <c r="X533" i="10"/>
  <c r="X534" i="10"/>
  <c r="X535" i="10"/>
  <c r="X536" i="10"/>
  <c r="X537" i="10"/>
  <c r="X538" i="10"/>
  <c r="X539" i="10"/>
  <c r="X540" i="10"/>
  <c r="X541" i="10"/>
  <c r="X542" i="10"/>
  <c r="X543" i="10"/>
  <c r="X544" i="10"/>
  <c r="X545" i="10"/>
  <c r="X546" i="10"/>
  <c r="X547" i="10"/>
  <c r="X548" i="10"/>
  <c r="X549" i="10"/>
  <c r="X550" i="10"/>
  <c r="X551" i="10"/>
  <c r="X552" i="10"/>
  <c r="X553" i="10"/>
  <c r="X554" i="10"/>
  <c r="X555" i="10"/>
  <c r="X556" i="10"/>
  <c r="X557" i="10"/>
  <c r="X558" i="10"/>
  <c r="X559" i="10"/>
  <c r="X560" i="10"/>
  <c r="X561" i="10"/>
  <c r="X562" i="10"/>
  <c r="X563" i="10"/>
  <c r="X564" i="10"/>
  <c r="X565" i="10"/>
  <c r="X566" i="10"/>
  <c r="X567" i="10"/>
  <c r="X568" i="10"/>
  <c r="X569" i="10"/>
  <c r="X570" i="10"/>
  <c r="X571" i="10"/>
  <c r="X572" i="10"/>
  <c r="X573" i="10"/>
  <c r="X574" i="10"/>
  <c r="X575" i="10"/>
  <c r="X576" i="10"/>
  <c r="X577" i="10"/>
  <c r="X578" i="10"/>
  <c r="X579" i="10"/>
  <c r="X580" i="10"/>
  <c r="X581" i="10"/>
  <c r="X582" i="10"/>
  <c r="X583" i="10"/>
  <c r="X584" i="10"/>
  <c r="X585" i="10"/>
  <c r="X586" i="10"/>
  <c r="X587" i="10"/>
  <c r="X588" i="10"/>
  <c r="X589" i="10"/>
  <c r="X590" i="10"/>
  <c r="X591" i="10"/>
  <c r="X592" i="10"/>
  <c r="X593" i="10"/>
  <c r="X594" i="10"/>
  <c r="X595" i="10"/>
  <c r="X596" i="10"/>
  <c r="X597" i="10"/>
  <c r="X598" i="10"/>
  <c r="X599" i="10"/>
  <c r="X600" i="10"/>
  <c r="X601" i="10"/>
  <c r="X602" i="10"/>
  <c r="X603" i="10"/>
  <c r="X604" i="10"/>
  <c r="X605" i="10"/>
  <c r="X606" i="10"/>
  <c r="X607" i="10"/>
  <c r="X608" i="10"/>
  <c r="X609" i="10"/>
  <c r="X610" i="10"/>
  <c r="X611" i="10"/>
  <c r="X612" i="10"/>
  <c r="X613" i="10"/>
  <c r="X614" i="10"/>
  <c r="X615" i="10"/>
  <c r="X616" i="10"/>
  <c r="X617" i="10"/>
  <c r="X618" i="10"/>
  <c r="X619" i="10"/>
  <c r="X620" i="10"/>
  <c r="X621" i="10"/>
  <c r="X622" i="10"/>
  <c r="X623" i="10"/>
  <c r="X624" i="10"/>
  <c r="X625" i="10"/>
  <c r="X626" i="10"/>
  <c r="X627" i="10"/>
  <c r="X628" i="10"/>
  <c r="X629" i="10"/>
  <c r="X630" i="10"/>
  <c r="X631" i="10"/>
  <c r="X632" i="10"/>
  <c r="X633" i="10"/>
  <c r="X634" i="10"/>
  <c r="X635" i="10"/>
  <c r="X636" i="10"/>
  <c r="X637" i="10"/>
  <c r="X638" i="10"/>
  <c r="X639" i="10"/>
  <c r="X640" i="10"/>
  <c r="X641" i="10"/>
  <c r="X642" i="10"/>
  <c r="X643" i="10"/>
  <c r="X644" i="10"/>
  <c r="X645" i="10"/>
  <c r="X646" i="10"/>
  <c r="X647" i="10"/>
  <c r="X648" i="10"/>
  <c r="X649" i="10"/>
  <c r="X650" i="10"/>
  <c r="X651" i="10"/>
  <c r="X652" i="10"/>
  <c r="X653" i="10"/>
  <c r="X654" i="10"/>
  <c r="X655" i="10"/>
  <c r="X656" i="10"/>
  <c r="X657" i="10"/>
  <c r="X658" i="10"/>
  <c r="X659" i="10"/>
  <c r="X660" i="10"/>
  <c r="X661" i="10"/>
  <c r="X662" i="10"/>
  <c r="X663" i="10"/>
  <c r="X664" i="10"/>
  <c r="X665" i="10"/>
  <c r="X666" i="10"/>
  <c r="X667" i="10"/>
  <c r="X668" i="10"/>
  <c r="X669" i="10"/>
  <c r="X670" i="10"/>
  <c r="X671" i="10"/>
  <c r="X672" i="10"/>
  <c r="X673" i="10"/>
  <c r="X674" i="10"/>
  <c r="X675" i="10"/>
  <c r="X676" i="10"/>
  <c r="X677" i="10"/>
  <c r="X678" i="10"/>
  <c r="X679" i="10"/>
  <c r="X680" i="10"/>
  <c r="X681" i="10"/>
  <c r="X682" i="10"/>
  <c r="X683" i="10"/>
  <c r="X684" i="10"/>
  <c r="X685" i="10"/>
  <c r="X686" i="10"/>
  <c r="X687" i="10"/>
  <c r="X688" i="10"/>
  <c r="X689" i="10"/>
  <c r="X690" i="10"/>
  <c r="X691" i="10"/>
  <c r="X692" i="10"/>
  <c r="X693" i="10"/>
  <c r="X694" i="10"/>
  <c r="X695" i="10"/>
  <c r="X696" i="10"/>
  <c r="X697" i="10"/>
  <c r="X698" i="10"/>
  <c r="X699" i="10"/>
  <c r="X700" i="10"/>
  <c r="X701" i="10"/>
  <c r="X702" i="10"/>
  <c r="X703" i="10"/>
  <c r="X704" i="10"/>
  <c r="X705" i="10"/>
  <c r="X706" i="10"/>
  <c r="X707" i="10"/>
  <c r="X708" i="10"/>
  <c r="X709" i="10"/>
  <c r="X710" i="10"/>
  <c r="X711" i="10"/>
  <c r="X712" i="10"/>
  <c r="X713" i="10"/>
  <c r="X714" i="10"/>
  <c r="X715" i="10"/>
  <c r="X716" i="10"/>
  <c r="X717" i="10"/>
  <c r="X718" i="10"/>
  <c r="X719" i="10"/>
  <c r="X720" i="10"/>
  <c r="X721" i="10"/>
  <c r="X722" i="10"/>
  <c r="X723" i="10"/>
  <c r="X724" i="10"/>
  <c r="X725" i="10"/>
  <c r="R126" i="1"/>
  <c r="R127" i="1"/>
  <c r="R128" i="1"/>
  <c r="R129" i="1"/>
  <c r="R130" i="1"/>
  <c r="R131" i="1"/>
  <c r="O683" i="10"/>
  <c r="Q683" i="10"/>
  <c r="Q681" i="10"/>
  <c r="P693" i="10"/>
  <c r="P692" i="10"/>
  <c r="AE691" i="10"/>
  <c r="K696" i="10"/>
  <c r="K693" i="10"/>
  <c r="P691" i="10"/>
  <c r="A698" i="10"/>
  <c r="P694" i="10"/>
  <c r="O665" i="10"/>
  <c r="O658" i="10"/>
  <c r="Z103" i="12"/>
  <c r="AY103" i="26"/>
  <c r="A104" i="12"/>
  <c r="O682" i="10"/>
  <c r="Q682" i="10"/>
  <c r="BT101" i="26"/>
  <c r="BG101" i="12"/>
  <c r="AJ121" i="1"/>
  <c r="O679" i="10"/>
  <c r="CH102" i="26"/>
  <c r="AZ102" i="12"/>
  <c r="CD102" i="26"/>
  <c r="AV102" i="12"/>
  <c r="BZ102" i="26"/>
  <c r="AR102" i="12"/>
  <c r="BN102" i="26"/>
  <c r="U102" i="12"/>
  <c r="AC102" i="26"/>
  <c r="CG102" i="26"/>
  <c r="AY102" i="12"/>
  <c r="CC102" i="26"/>
  <c r="AU102" i="12"/>
  <c r="BY102" i="26"/>
  <c r="AQ102" i="12"/>
  <c r="BQ102" i="26"/>
  <c r="X102" i="12"/>
  <c r="BM102" i="26"/>
  <c r="CJ102" i="26"/>
  <c r="BB102" i="12"/>
  <c r="CF102" i="26"/>
  <c r="AX102" i="12"/>
  <c r="CB102" i="26"/>
  <c r="AT102" i="12"/>
  <c r="BX102" i="26"/>
  <c r="AP102" i="12"/>
  <c r="BP102" i="26"/>
  <c r="BV103" i="26"/>
  <c r="CI102" i="26"/>
  <c r="BA102" i="12"/>
  <c r="CE102" i="26"/>
  <c r="AW102" i="12"/>
  <c r="CA102" i="26"/>
  <c r="AS102" i="12"/>
  <c r="BW102" i="26"/>
  <c r="AO102" i="12"/>
  <c r="O652" i="10"/>
  <c r="Q652" i="10"/>
  <c r="O645" i="10"/>
  <c r="Q645" i="10"/>
  <c r="O659" i="10"/>
  <c r="Q659" i="10"/>
  <c r="O666" i="10"/>
  <c r="Q666" i="10"/>
  <c r="O673" i="10"/>
  <c r="Q673" i="10"/>
  <c r="O680" i="10"/>
  <c r="Q680" i="10"/>
  <c r="AE685" i="10"/>
  <c r="AF684" i="10"/>
  <c r="Q660" i="10"/>
  <c r="O662" i="10"/>
  <c r="Q662" i="10"/>
  <c r="AH644" i="10"/>
  <c r="Q644" i="10"/>
  <c r="BA97" i="26"/>
  <c r="AB97" i="12"/>
  <c r="BO102" i="26"/>
  <c r="V102" i="12"/>
  <c r="AA127" i="1"/>
  <c r="AA128" i="1"/>
  <c r="AA129" i="1"/>
  <c r="AA130" i="1"/>
  <c r="AD125" i="1"/>
  <c r="AE686" i="10"/>
  <c r="AF686" i="10"/>
  <c r="AF685" i="10"/>
  <c r="AA22" i="26"/>
  <c r="Q22" i="26"/>
  <c r="BV104" i="26"/>
  <c r="CG103" i="26"/>
  <c r="AY103" i="12"/>
  <c r="CC103" i="26"/>
  <c r="AU103" i="12"/>
  <c r="BY103" i="26"/>
  <c r="AQ103" i="12"/>
  <c r="BQ103" i="26"/>
  <c r="X103" i="12"/>
  <c r="BM103" i="26"/>
  <c r="CJ103" i="26"/>
  <c r="BB103" i="12"/>
  <c r="CF103" i="26"/>
  <c r="AX103" i="12"/>
  <c r="CB103" i="26"/>
  <c r="AT103" i="12"/>
  <c r="BX103" i="26"/>
  <c r="AP103" i="12"/>
  <c r="BP103" i="26"/>
  <c r="CI103" i="26"/>
  <c r="BA103" i="12"/>
  <c r="CE103" i="26"/>
  <c r="AW103" i="12"/>
  <c r="CA103" i="26"/>
  <c r="AS103" i="12"/>
  <c r="BW103" i="26"/>
  <c r="AO103" i="12"/>
  <c r="CH103" i="26"/>
  <c r="AZ103" i="12"/>
  <c r="CD103" i="26"/>
  <c r="AV103" i="12"/>
  <c r="BZ103" i="26"/>
  <c r="AR103" i="12"/>
  <c r="BN103" i="26"/>
  <c r="U103" i="12"/>
  <c r="AC103" i="26"/>
  <c r="AH658" i="10"/>
  <c r="Q658" i="10"/>
  <c r="BA99" i="26"/>
  <c r="AB99" i="12"/>
  <c r="AI691" i="10"/>
  <c r="AJ691" i="10"/>
  <c r="Q691" i="10"/>
  <c r="AI693" i="10"/>
  <c r="AI692" i="10"/>
  <c r="AJ692" i="10"/>
  <c r="AH651" i="10"/>
  <c r="Q651" i="10"/>
  <c r="BA98" i="26"/>
  <c r="AB98" i="12"/>
  <c r="T116" i="10"/>
  <c r="BH115" i="10"/>
  <c r="BD97" i="26"/>
  <c r="BF97" i="26"/>
  <c r="AK97" i="12"/>
  <c r="AJ644" i="10"/>
  <c r="BR102" i="26"/>
  <c r="Y102" i="12"/>
  <c r="AH679" i="10"/>
  <c r="Q679" i="10"/>
  <c r="BA102" i="26"/>
  <c r="AB102" i="12"/>
  <c r="A105" i="12"/>
  <c r="AH665" i="10"/>
  <c r="Q665" i="10"/>
  <c r="BA100" i="26"/>
  <c r="AB100" i="12"/>
  <c r="BD101" i="26"/>
  <c r="BF101" i="26"/>
  <c r="AK101" i="12"/>
  <c r="AJ672" i="10"/>
  <c r="A697" i="38"/>
  <c r="C693" i="38"/>
  <c r="D693" i="38"/>
  <c r="E693" i="38"/>
  <c r="U22" i="26"/>
  <c r="Z120" i="1"/>
  <c r="AE692" i="10"/>
  <c r="AF691" i="10"/>
  <c r="AJ122" i="1"/>
  <c r="P698" i="10"/>
  <c r="A705" i="10"/>
  <c r="Z104" i="12"/>
  <c r="AY104" i="26"/>
  <c r="P700" i="10"/>
  <c r="AE698" i="10"/>
  <c r="K703" i="10"/>
  <c r="K700" i="10"/>
  <c r="P699" i="10"/>
  <c r="P701" i="10"/>
  <c r="AI694" i="10"/>
  <c r="F23" i="45"/>
  <c r="N23" i="45"/>
  <c r="G23" i="45"/>
  <c r="W23" i="45"/>
  <c r="L23" i="45"/>
  <c r="S23" i="45"/>
  <c r="Q23" i="45"/>
  <c r="P23" i="45"/>
  <c r="M23" i="45"/>
  <c r="H23" i="45"/>
  <c r="R23" i="45"/>
  <c r="T23" i="45"/>
  <c r="V23" i="45"/>
  <c r="U23" i="45"/>
  <c r="K23" i="45"/>
  <c r="I23" i="45"/>
  <c r="AI688" i="10"/>
  <c r="P127" i="1"/>
  <c r="T127" i="1"/>
  <c r="AI695" i="10"/>
  <c r="BO103" i="26"/>
  <c r="V103" i="12"/>
  <c r="BR103" i="26"/>
  <c r="Y103" i="12"/>
  <c r="AD126" i="1"/>
  <c r="F4" i="9"/>
  <c r="AE18" i="45"/>
  <c r="AE4" i="45"/>
  <c r="AE3" i="45"/>
  <c r="AE10" i="45"/>
  <c r="AE699" i="10"/>
  <c r="AF698" i="10"/>
  <c r="X22" i="26"/>
  <c r="AE6" i="45"/>
  <c r="AE19" i="45"/>
  <c r="T117" i="10"/>
  <c r="BH116" i="10"/>
  <c r="AE11" i="45"/>
  <c r="AE15" i="45"/>
  <c r="AE9" i="45"/>
  <c r="AE5" i="45"/>
  <c r="AE13" i="45"/>
  <c r="AJ123" i="1"/>
  <c r="AF692" i="10"/>
  <c r="AE693" i="10"/>
  <c r="AF693" i="10"/>
  <c r="AH115" i="10"/>
  <c r="AJ658" i="10"/>
  <c r="BD99" i="26"/>
  <c r="BF99" i="26"/>
  <c r="AK99" i="12"/>
  <c r="CG104" i="26"/>
  <c r="AY104" i="12"/>
  <c r="CC104" i="26"/>
  <c r="AU104" i="12"/>
  <c r="BY104" i="26"/>
  <c r="AQ104" i="12"/>
  <c r="BQ104" i="26"/>
  <c r="X104" i="12"/>
  <c r="BM104" i="26"/>
  <c r="CH104" i="26"/>
  <c r="AZ104" i="12"/>
  <c r="CD104" i="26"/>
  <c r="AV104" i="12"/>
  <c r="BZ104" i="26"/>
  <c r="AR104" i="12"/>
  <c r="CI104" i="26"/>
  <c r="BA104" i="12"/>
  <c r="CA104" i="26"/>
  <c r="AS104" i="12"/>
  <c r="CF104" i="26"/>
  <c r="AX104" i="12"/>
  <c r="BX104" i="26"/>
  <c r="AP104" i="12"/>
  <c r="BP104" i="26"/>
  <c r="CE104" i="26"/>
  <c r="AW104" i="12"/>
  <c r="BW104" i="26"/>
  <c r="AO104" i="12"/>
  <c r="BV105" i="26"/>
  <c r="CJ104" i="26"/>
  <c r="BB104" i="12"/>
  <c r="CB104" i="26"/>
  <c r="AT104" i="12"/>
  <c r="BN104" i="26"/>
  <c r="U104" i="12"/>
  <c r="AC104" i="26"/>
  <c r="AE8" i="45"/>
  <c r="AI700" i="10"/>
  <c r="AI699" i="10"/>
  <c r="AJ699" i="10"/>
  <c r="AI698" i="10"/>
  <c r="AJ698" i="10"/>
  <c r="Q698" i="10"/>
  <c r="A704" i="38"/>
  <c r="C700" i="38"/>
  <c r="D700" i="38"/>
  <c r="E700" i="38"/>
  <c r="Z105" i="12"/>
  <c r="AY105" i="26"/>
  <c r="A106" i="12"/>
  <c r="O686" i="10"/>
  <c r="O689" i="10"/>
  <c r="Q689" i="10"/>
  <c r="O688" i="10"/>
  <c r="O696" i="10"/>
  <c r="Q696" i="10"/>
  <c r="O695" i="10"/>
  <c r="O693" i="10"/>
  <c r="BD102" i="26"/>
  <c r="BF102" i="26"/>
  <c r="AK102" i="12"/>
  <c r="AJ679" i="10"/>
  <c r="BT103" i="26"/>
  <c r="BG103" i="12"/>
  <c r="AE17" i="45"/>
  <c r="AI701" i="10"/>
  <c r="P128" i="1"/>
  <c r="T128" i="1"/>
  <c r="AE12" i="45"/>
  <c r="AE14" i="45"/>
  <c r="AE7" i="45"/>
  <c r="AE16" i="45"/>
  <c r="O700" i="10"/>
  <c r="AH700" i="10"/>
  <c r="P707" i="10"/>
  <c r="P706" i="10"/>
  <c r="AE705" i="10"/>
  <c r="P705" i="10"/>
  <c r="A712" i="10"/>
  <c r="K710" i="10"/>
  <c r="K707" i="10"/>
  <c r="P708" i="10"/>
  <c r="AD106" i="26"/>
  <c r="AH106" i="26"/>
  <c r="J106" i="12"/>
  <c r="AD104" i="26"/>
  <c r="AH104" i="26"/>
  <c r="J104" i="12"/>
  <c r="AT104" i="26"/>
  <c r="AV104" i="26"/>
  <c r="Q104" i="12"/>
  <c r="BT104" i="26"/>
  <c r="BG104" i="12"/>
  <c r="AT106" i="26"/>
  <c r="AV106" i="26"/>
  <c r="Q106" i="12"/>
  <c r="AT105" i="26"/>
  <c r="AV105" i="26"/>
  <c r="Q105" i="12"/>
  <c r="AD105" i="26"/>
  <c r="AH105" i="26"/>
  <c r="J105" i="12"/>
  <c r="AJ665" i="10"/>
  <c r="BD100" i="26"/>
  <c r="BF100" i="26"/>
  <c r="AK100" i="12"/>
  <c r="AJ651" i="10"/>
  <c r="BD98" i="26"/>
  <c r="BF98" i="26"/>
  <c r="AK98" i="12"/>
  <c r="AA131" i="1"/>
  <c r="AA133" i="1"/>
  <c r="BR104" i="26"/>
  <c r="Y104" i="12"/>
  <c r="BO104" i="26"/>
  <c r="V104" i="12"/>
  <c r="F5" i="9"/>
  <c r="AD127" i="1"/>
  <c r="AI705" i="10"/>
  <c r="AJ705" i="10"/>
  <c r="AI707" i="10"/>
  <c r="AI706" i="10"/>
  <c r="AJ706" i="10"/>
  <c r="Q705" i="10"/>
  <c r="AJ124" i="1"/>
  <c r="T118" i="10"/>
  <c r="BH117" i="10"/>
  <c r="AE706" i="10"/>
  <c r="AF705" i="10"/>
  <c r="Q688" i="10"/>
  <c r="O690" i="10"/>
  <c r="Q690" i="10"/>
  <c r="A711" i="38"/>
  <c r="C707" i="38"/>
  <c r="D707" i="38"/>
  <c r="E707" i="38"/>
  <c r="T129" i="1"/>
  <c r="P129" i="1"/>
  <c r="Z106" i="12"/>
  <c r="AY106" i="26"/>
  <c r="A107" i="12"/>
  <c r="AI708" i="10"/>
  <c r="AI702" i="10"/>
  <c r="AH693" i="10"/>
  <c r="AJ693" i="10"/>
  <c r="Q693" i="10"/>
  <c r="AJ700" i="10"/>
  <c r="CJ105" i="26"/>
  <c r="BB105" i="12"/>
  <c r="CF105" i="26"/>
  <c r="AX105" i="12"/>
  <c r="CB105" i="26"/>
  <c r="AT105" i="12"/>
  <c r="BX105" i="26"/>
  <c r="AP105" i="12"/>
  <c r="BP105" i="26"/>
  <c r="CG105" i="26"/>
  <c r="AY105" i="12"/>
  <c r="CC105" i="26"/>
  <c r="AU105" i="12"/>
  <c r="BY105" i="26"/>
  <c r="AQ105" i="12"/>
  <c r="BQ105" i="26"/>
  <c r="X105" i="12"/>
  <c r="BM105" i="26"/>
  <c r="CI105" i="26"/>
  <c r="BA105" i="12"/>
  <c r="CA105" i="26"/>
  <c r="AS105" i="12"/>
  <c r="CH105" i="26"/>
  <c r="AZ105" i="12"/>
  <c r="BZ105" i="26"/>
  <c r="AR105" i="12"/>
  <c r="BV106" i="26"/>
  <c r="CE105" i="26"/>
  <c r="AW105" i="12"/>
  <c r="BW105" i="26"/>
  <c r="AO105" i="12"/>
  <c r="AC105" i="26"/>
  <c r="CD105" i="26"/>
  <c r="AV105" i="12"/>
  <c r="BN105" i="26"/>
  <c r="U105" i="12"/>
  <c r="O694" i="10"/>
  <c r="Q694" i="10"/>
  <c r="O687" i="10"/>
  <c r="Q687" i="10"/>
  <c r="O701" i="10"/>
  <c r="Q701" i="10"/>
  <c r="AH116" i="10"/>
  <c r="AI116" i="10"/>
  <c r="AJ116" i="10"/>
  <c r="C109" i="38"/>
  <c r="P712" i="10"/>
  <c r="K717" i="10"/>
  <c r="K714" i="10"/>
  <c r="P713" i="10"/>
  <c r="A719" i="10"/>
  <c r="AE712" i="10"/>
  <c r="P714" i="10"/>
  <c r="P715" i="10"/>
  <c r="Q695" i="10"/>
  <c r="O697" i="10"/>
  <c r="Q697" i="10"/>
  <c r="AH686" i="10"/>
  <c r="Q686" i="10"/>
  <c r="BA103" i="26"/>
  <c r="AB103" i="12"/>
  <c r="Q700" i="10"/>
  <c r="AE700" i="10"/>
  <c r="AF700" i="10"/>
  <c r="AF699" i="10"/>
  <c r="O703" i="10"/>
  <c r="Q703" i="10"/>
  <c r="O702" i="10"/>
  <c r="AI709" i="10"/>
  <c r="F6" i="9"/>
  <c r="AD128" i="1"/>
  <c r="Z107" i="12"/>
  <c r="AY107" i="26"/>
  <c r="A108" i="12"/>
  <c r="O710" i="10"/>
  <c r="Q710" i="10"/>
  <c r="O709" i="10"/>
  <c r="O707" i="10"/>
  <c r="BV107" i="26"/>
  <c r="CI106" i="26"/>
  <c r="BA106" i="12"/>
  <c r="CE106" i="26"/>
  <c r="AW106" i="12"/>
  <c r="CA106" i="26"/>
  <c r="AS106" i="12"/>
  <c r="BW106" i="26"/>
  <c r="AO106" i="12"/>
  <c r="CJ106" i="26"/>
  <c r="BB106" i="12"/>
  <c r="CF106" i="26"/>
  <c r="AX106" i="12"/>
  <c r="CB106" i="26"/>
  <c r="AT106" i="12"/>
  <c r="BX106" i="26"/>
  <c r="AP106" i="12"/>
  <c r="BP106" i="26"/>
  <c r="CH106" i="26"/>
  <c r="AZ106" i="12"/>
  <c r="BZ106" i="26"/>
  <c r="AR106" i="12"/>
  <c r="CG106" i="26"/>
  <c r="AY106" i="12"/>
  <c r="BY106" i="26"/>
  <c r="AQ106" i="12"/>
  <c r="BQ106" i="26"/>
  <c r="X106" i="12"/>
  <c r="CD106" i="26"/>
  <c r="AV106" i="12"/>
  <c r="BN106" i="26"/>
  <c r="U106" i="12"/>
  <c r="AC106" i="26"/>
  <c r="CC106" i="26"/>
  <c r="AU106" i="12"/>
  <c r="BM106" i="26"/>
  <c r="B5" i="10"/>
  <c r="AJ125" i="1"/>
  <c r="P721" i="10"/>
  <c r="P720" i="10"/>
  <c r="AE719" i="10"/>
  <c r="O723" i="10"/>
  <c r="K724" i="10"/>
  <c r="P719" i="10"/>
  <c r="P722" i="10"/>
  <c r="AD107" i="26"/>
  <c r="AH107" i="26"/>
  <c r="J107" i="12"/>
  <c r="AD108" i="26"/>
  <c r="AH108" i="26"/>
  <c r="J108" i="12"/>
  <c r="AT108" i="26"/>
  <c r="AV108" i="26"/>
  <c r="Q108" i="12"/>
  <c r="AT107" i="26"/>
  <c r="AV107" i="26"/>
  <c r="Q107" i="12"/>
  <c r="O714" i="10"/>
  <c r="AH714" i="10"/>
  <c r="BD107" i="26"/>
  <c r="BF107" i="26"/>
  <c r="AK107" i="12"/>
  <c r="BO105" i="26"/>
  <c r="V105" i="12"/>
  <c r="C714" i="38"/>
  <c r="D714" i="38"/>
  <c r="E714" i="38"/>
  <c r="A718" i="38"/>
  <c r="AE713" i="10"/>
  <c r="AF712" i="10"/>
  <c r="AI715" i="10"/>
  <c r="BD103" i="26"/>
  <c r="BF103" i="26"/>
  <c r="AK103" i="12"/>
  <c r="AJ686" i="10"/>
  <c r="T130" i="1"/>
  <c r="P130" i="1"/>
  <c r="Q702" i="10"/>
  <c r="O704" i="10"/>
  <c r="Q704" i="10"/>
  <c r="AI714" i="10"/>
  <c r="AI713" i="10"/>
  <c r="AJ713" i="10"/>
  <c r="AI712" i="10"/>
  <c r="AJ712" i="10"/>
  <c r="Q712" i="10"/>
  <c r="BR105" i="26"/>
  <c r="Y105" i="12"/>
  <c r="AE707" i="10"/>
  <c r="AF707" i="10"/>
  <c r="AF706" i="10"/>
  <c r="T119" i="10"/>
  <c r="BH118" i="10"/>
  <c r="BR106" i="26"/>
  <c r="Y106" i="12"/>
  <c r="BO106" i="26"/>
  <c r="V106" i="12"/>
  <c r="F7" i="9"/>
  <c r="AD129" i="1"/>
  <c r="O716" i="10"/>
  <c r="K721" i="10"/>
  <c r="B4" i="9"/>
  <c r="B6" i="10"/>
  <c r="C5" i="10"/>
  <c r="BF5" i="10"/>
  <c r="AH707" i="10"/>
  <c r="AJ707" i="10"/>
  <c r="Q707" i="10"/>
  <c r="AJ714" i="10"/>
  <c r="AI716" i="10"/>
  <c r="Q709" i="10"/>
  <c r="O711" i="10"/>
  <c r="Q711" i="10"/>
  <c r="P131" i="1"/>
  <c r="J127" i="1"/>
  <c r="K2" i="10"/>
  <c r="Y130" i="1"/>
  <c r="AI719" i="10"/>
  <c r="AJ719" i="10"/>
  <c r="Q719" i="10"/>
  <c r="AI721" i="10"/>
  <c r="AI720" i="10"/>
  <c r="AJ720" i="10"/>
  <c r="O725" i="10"/>
  <c r="Q723" i="10"/>
  <c r="AJ126" i="1"/>
  <c r="Z108" i="12"/>
  <c r="AY108" i="26"/>
  <c r="C32" i="42"/>
  <c r="O717" i="10"/>
  <c r="Q717" i="10"/>
  <c r="AE714" i="10"/>
  <c r="AF714" i="10"/>
  <c r="AF713" i="10"/>
  <c r="O724" i="10"/>
  <c r="Q724" i="10"/>
  <c r="T120" i="10"/>
  <c r="BH119" i="10"/>
  <c r="C721" i="38"/>
  <c r="D721" i="38"/>
  <c r="E721" i="38"/>
  <c r="AE720" i="10"/>
  <c r="AF719" i="10"/>
  <c r="Q714" i="10"/>
  <c r="BA107" i="26"/>
  <c r="AB107" i="12"/>
  <c r="AI722" i="10"/>
  <c r="CH107" i="26"/>
  <c r="AZ107" i="12"/>
  <c r="CD107" i="26"/>
  <c r="AV107" i="12"/>
  <c r="BZ107" i="26"/>
  <c r="AR107" i="12"/>
  <c r="BN107" i="26"/>
  <c r="U107" i="12"/>
  <c r="AC107" i="26"/>
  <c r="BV108" i="26"/>
  <c r="O715" i="10"/>
  <c r="Q715" i="10"/>
  <c r="CI107" i="26"/>
  <c r="BA107" i="12"/>
  <c r="CE107" i="26"/>
  <c r="AW107" i="12"/>
  <c r="CA107" i="26"/>
  <c r="AS107" i="12"/>
  <c r="BW107" i="26"/>
  <c r="AO107" i="12"/>
  <c r="CJ107" i="26"/>
  <c r="BB107" i="12"/>
  <c r="CB107" i="26"/>
  <c r="AT107" i="12"/>
  <c r="CG107" i="26"/>
  <c r="AY107" i="12"/>
  <c r="BY107" i="26"/>
  <c r="AQ107" i="12"/>
  <c r="BQ107" i="26"/>
  <c r="X107" i="12"/>
  <c r="CF107" i="26"/>
  <c r="AX107" i="12"/>
  <c r="BX107" i="26"/>
  <c r="AP107" i="12"/>
  <c r="BP107" i="26"/>
  <c r="CC107" i="26"/>
  <c r="AU107" i="12"/>
  <c r="BM107" i="26"/>
  <c r="O708" i="10"/>
  <c r="Q708" i="10"/>
  <c r="AI723" i="10"/>
  <c r="F8" i="9"/>
  <c r="AD130" i="1"/>
  <c r="AI131" i="1"/>
  <c r="Z125" i="1"/>
  <c r="X127" i="1"/>
  <c r="Y131" i="1"/>
  <c r="Q716" i="10"/>
  <c r="O718" i="10"/>
  <c r="Q718" i="10"/>
  <c r="CG108" i="26"/>
  <c r="AY108" i="12"/>
  <c r="CC108" i="26"/>
  <c r="AU108" i="12"/>
  <c r="BY108" i="26"/>
  <c r="AQ108" i="12"/>
  <c r="BQ108" i="26"/>
  <c r="X108" i="12"/>
  <c r="BM108" i="26"/>
  <c r="CH108" i="26"/>
  <c r="AZ108" i="12"/>
  <c r="CD108" i="26"/>
  <c r="AV108" i="12"/>
  <c r="BZ108" i="26"/>
  <c r="AR108" i="12"/>
  <c r="BN108" i="26"/>
  <c r="U108" i="12"/>
  <c r="AC108" i="26"/>
  <c r="CE108" i="26"/>
  <c r="AW108" i="12"/>
  <c r="BW108" i="26"/>
  <c r="AO108" i="12"/>
  <c r="CJ108" i="26"/>
  <c r="BB108" i="12"/>
  <c r="CB108" i="26"/>
  <c r="AT108" i="12"/>
  <c r="CI108" i="26"/>
  <c r="BA108" i="12"/>
  <c r="CA108" i="26"/>
  <c r="AS108" i="12"/>
  <c r="CF108" i="26"/>
  <c r="AX108" i="12"/>
  <c r="BX108" i="26"/>
  <c r="AP108" i="12"/>
  <c r="BP108" i="26"/>
  <c r="BR108" i="26"/>
  <c r="Y108" i="12"/>
  <c r="O722" i="10"/>
  <c r="Q722" i="10"/>
  <c r="BH120" i="10"/>
  <c r="T121" i="10"/>
  <c r="AJ127" i="1"/>
  <c r="Q725" i="10"/>
  <c r="S23" i="26"/>
  <c r="P133" i="1"/>
  <c r="M7" i="26"/>
  <c r="M8" i="26"/>
  <c r="M9" i="26"/>
  <c r="M10" i="26"/>
  <c r="M11" i="26"/>
  <c r="M12" i="26"/>
  <c r="M13" i="26"/>
  <c r="M14" i="26"/>
  <c r="M15" i="26"/>
  <c r="M16" i="26"/>
  <c r="M17" i="26"/>
  <c r="M18" i="26"/>
  <c r="M19" i="26"/>
  <c r="M20" i="26"/>
  <c r="M21" i="26"/>
  <c r="M22" i="26"/>
  <c r="M23" i="26"/>
  <c r="BO107" i="26"/>
  <c r="V107" i="12"/>
  <c r="BT108" i="26"/>
  <c r="BG108" i="12"/>
  <c r="BF6" i="10"/>
  <c r="B7" i="10"/>
  <c r="C6" i="10"/>
  <c r="BR107" i="26"/>
  <c r="Y107" i="12"/>
  <c r="AF720" i="10"/>
  <c r="AE721" i="10"/>
  <c r="AF721" i="10"/>
  <c r="O2" i="12"/>
  <c r="K722" i="10"/>
  <c r="AP108" i="26"/>
  <c r="AQ108" i="26"/>
  <c r="K720" i="10"/>
  <c r="K716" i="10"/>
  <c r="K712" i="10"/>
  <c r="AO107" i="26"/>
  <c r="K708" i="10"/>
  <c r="AP106" i="26"/>
  <c r="AQ106" i="26"/>
  <c r="K706" i="10"/>
  <c r="K702" i="10"/>
  <c r="K698" i="10"/>
  <c r="AO105" i="26"/>
  <c r="K694" i="10"/>
  <c r="AP104" i="26"/>
  <c r="AQ104" i="26"/>
  <c r="K692" i="10"/>
  <c r="K688" i="10"/>
  <c r="K684" i="10"/>
  <c r="AO103" i="26"/>
  <c r="O720" i="10"/>
  <c r="K709" i="10"/>
  <c r="K705" i="10"/>
  <c r="AO106" i="26"/>
  <c r="O685" i="10"/>
  <c r="K681" i="10"/>
  <c r="K677" i="10"/>
  <c r="AO102" i="26"/>
  <c r="K673" i="10"/>
  <c r="AP101" i="26"/>
  <c r="AQ101" i="26"/>
  <c r="K671" i="10"/>
  <c r="K667" i="10"/>
  <c r="K663" i="10"/>
  <c r="AO100" i="26"/>
  <c r="K659" i="10"/>
  <c r="AP99" i="26"/>
  <c r="AQ99" i="26"/>
  <c r="K657" i="10"/>
  <c r="K653" i="10"/>
  <c r="K649" i="10"/>
  <c r="AO98" i="26"/>
  <c r="K645" i="10"/>
  <c r="AP97" i="26"/>
  <c r="AQ97" i="26"/>
  <c r="K643" i="10"/>
  <c r="K639" i="10"/>
  <c r="K635" i="10"/>
  <c r="AO96" i="26"/>
  <c r="K631" i="10"/>
  <c r="AP95" i="26"/>
  <c r="AQ95" i="26"/>
  <c r="K629" i="10"/>
  <c r="K625" i="10"/>
  <c r="K621" i="10"/>
  <c r="AO94" i="26"/>
  <c r="K617" i="10"/>
  <c r="AP93" i="26"/>
  <c r="AQ93" i="26"/>
  <c r="K615" i="10"/>
  <c r="K611" i="10"/>
  <c r="K607" i="10"/>
  <c r="AO92" i="26"/>
  <c r="K603" i="10"/>
  <c r="AP91" i="26"/>
  <c r="AQ91" i="26"/>
  <c r="K601" i="10"/>
  <c r="K597" i="10"/>
  <c r="K593" i="10"/>
  <c r="AO90" i="26"/>
  <c r="K589" i="10"/>
  <c r="AP89" i="26"/>
  <c r="AQ89" i="26"/>
  <c r="K587" i="10"/>
  <c r="K583" i="10"/>
  <c r="K579" i="10"/>
  <c r="AO88" i="26"/>
  <c r="K715" i="10"/>
  <c r="AP107" i="26"/>
  <c r="AQ107" i="26"/>
  <c r="K713" i="10"/>
  <c r="O706" i="10"/>
  <c r="K695" i="10"/>
  <c r="K691" i="10"/>
  <c r="AO104" i="26"/>
  <c r="O671" i="10"/>
  <c r="O657" i="10"/>
  <c r="O643" i="10"/>
  <c r="O629" i="10"/>
  <c r="O615" i="10"/>
  <c r="O601" i="10"/>
  <c r="O713" i="10"/>
  <c r="K701" i="10"/>
  <c r="AP105" i="26"/>
  <c r="AQ105" i="26"/>
  <c r="K699" i="10"/>
  <c r="O692" i="10"/>
  <c r="K680" i="10"/>
  <c r="AP102" i="26"/>
  <c r="AQ102" i="26"/>
  <c r="K678" i="10"/>
  <c r="K674" i="10"/>
  <c r="K670" i="10"/>
  <c r="AO101" i="26"/>
  <c r="K666" i="10"/>
  <c r="AP100" i="26"/>
  <c r="AQ100" i="26"/>
  <c r="K664" i="10"/>
  <c r="K660" i="10"/>
  <c r="K656" i="10"/>
  <c r="AO99" i="26"/>
  <c r="K652" i="10"/>
  <c r="AP98" i="26"/>
  <c r="AQ98" i="26"/>
  <c r="K650" i="10"/>
  <c r="K646" i="10"/>
  <c r="K642" i="10"/>
  <c r="AO97" i="26"/>
  <c r="K638" i="10"/>
  <c r="AP96" i="26"/>
  <c r="AQ96" i="26"/>
  <c r="K636" i="10"/>
  <c r="K632" i="10"/>
  <c r="K628" i="10"/>
  <c r="AO95" i="26"/>
  <c r="K624" i="10"/>
  <c r="AP94" i="26"/>
  <c r="AQ94" i="26"/>
  <c r="K622" i="10"/>
  <c r="K618" i="10"/>
  <c r="K614" i="10"/>
  <c r="AO93" i="26"/>
  <c r="K610" i="10"/>
  <c r="AP92" i="26"/>
  <c r="AQ92" i="26"/>
  <c r="K608" i="10"/>
  <c r="K604" i="10"/>
  <c r="K600" i="10"/>
  <c r="AO91" i="26"/>
  <c r="K596" i="10"/>
  <c r="AP90" i="26"/>
  <c r="AQ90" i="26"/>
  <c r="K594" i="10"/>
  <c r="K590" i="10"/>
  <c r="K586" i="10"/>
  <c r="AO89" i="26"/>
  <c r="K582" i="10"/>
  <c r="AP88" i="26"/>
  <c r="AQ88" i="26"/>
  <c r="K580" i="10"/>
  <c r="K723" i="10"/>
  <c r="K719" i="10"/>
  <c r="AO108" i="26"/>
  <c r="O699" i="10"/>
  <c r="O636" i="10"/>
  <c r="O594" i="10"/>
  <c r="O573" i="10"/>
  <c r="O559" i="10"/>
  <c r="K687" i="10"/>
  <c r="AP103" i="26"/>
  <c r="AQ103" i="26"/>
  <c r="O678" i="10"/>
  <c r="O622" i="10"/>
  <c r="K576" i="10"/>
  <c r="K572" i="10"/>
  <c r="AO87" i="26"/>
  <c r="K568" i="10"/>
  <c r="AP86" i="26"/>
  <c r="AQ86" i="26"/>
  <c r="K566" i="10"/>
  <c r="K562" i="10"/>
  <c r="K558" i="10"/>
  <c r="AO85" i="26"/>
  <c r="K554" i="10"/>
  <c r="AP84" i="26"/>
  <c r="AQ84" i="26"/>
  <c r="K552" i="10"/>
  <c r="K548" i="10"/>
  <c r="K544" i="10"/>
  <c r="AO83" i="26"/>
  <c r="K540" i="10"/>
  <c r="AP82" i="26"/>
  <c r="AQ82" i="26"/>
  <c r="K538" i="10"/>
  <c r="K534" i="10"/>
  <c r="K530" i="10"/>
  <c r="AO81" i="26"/>
  <c r="K526" i="10"/>
  <c r="AP80" i="26"/>
  <c r="AQ80" i="26"/>
  <c r="K524" i="10"/>
  <c r="K520" i="10"/>
  <c r="K516" i="10"/>
  <c r="AO79" i="26"/>
  <c r="K512" i="10"/>
  <c r="AP78" i="26"/>
  <c r="AQ78" i="26"/>
  <c r="K510" i="10"/>
  <c r="K506" i="10"/>
  <c r="K502" i="10"/>
  <c r="AO77" i="26"/>
  <c r="K498" i="10"/>
  <c r="AP76" i="26"/>
  <c r="AQ76" i="26"/>
  <c r="K496" i="10"/>
  <c r="K492" i="10"/>
  <c r="O664" i="10"/>
  <c r="O608" i="10"/>
  <c r="O580" i="10"/>
  <c r="O566" i="10"/>
  <c r="O552" i="10"/>
  <c r="O538" i="10"/>
  <c r="O524" i="10"/>
  <c r="O510" i="10"/>
  <c r="O496" i="10"/>
  <c r="K685" i="10"/>
  <c r="O650" i="10"/>
  <c r="O587" i="10"/>
  <c r="K575" i="10"/>
  <c r="AP87" i="26"/>
  <c r="AQ87" i="26"/>
  <c r="K573" i="10"/>
  <c r="K569" i="10"/>
  <c r="K565" i="10"/>
  <c r="AO86" i="26"/>
  <c r="K561" i="10"/>
  <c r="AP85" i="26"/>
  <c r="AQ85" i="26"/>
  <c r="K559" i="10"/>
  <c r="K555" i="10"/>
  <c r="K551" i="10"/>
  <c r="AO84" i="26"/>
  <c r="K547" i="10"/>
  <c r="AP83" i="26"/>
  <c r="AQ83" i="26"/>
  <c r="K545" i="10"/>
  <c r="K541" i="10"/>
  <c r="K537" i="10"/>
  <c r="AO82" i="26"/>
  <c r="K533" i="10"/>
  <c r="AP81" i="26"/>
  <c r="AQ81" i="26"/>
  <c r="K531" i="10"/>
  <c r="K527" i="10"/>
  <c r="K523" i="10"/>
  <c r="AO80" i="26"/>
  <c r="K519" i="10"/>
  <c r="AP79" i="26"/>
  <c r="AQ79" i="26"/>
  <c r="K517" i="10"/>
  <c r="K513" i="10"/>
  <c r="O517" i="10"/>
  <c r="K509" i="10"/>
  <c r="AO78" i="26"/>
  <c r="K495" i="10"/>
  <c r="AO76" i="26"/>
  <c r="K491" i="10"/>
  <c r="AP75" i="26"/>
  <c r="AQ75" i="26"/>
  <c r="K488" i="10"/>
  <c r="AO75" i="26"/>
  <c r="K484" i="10"/>
  <c r="AP74" i="26"/>
  <c r="AQ74" i="26"/>
  <c r="K482" i="10"/>
  <c r="K478" i="10"/>
  <c r="K474" i="10"/>
  <c r="AO73" i="26"/>
  <c r="K470" i="10"/>
  <c r="AP72" i="26"/>
  <c r="AQ72" i="26"/>
  <c r="K468" i="10"/>
  <c r="K464" i="10"/>
  <c r="K460" i="10"/>
  <c r="AO71" i="26"/>
  <c r="K456" i="10"/>
  <c r="K454" i="10"/>
  <c r="K450" i="10"/>
  <c r="K446" i="10"/>
  <c r="AO69" i="26"/>
  <c r="K442" i="10"/>
  <c r="K440" i="10"/>
  <c r="K436" i="10"/>
  <c r="K432" i="10"/>
  <c r="AO67" i="26"/>
  <c r="K428" i="10"/>
  <c r="K426" i="10"/>
  <c r="K422" i="10"/>
  <c r="K418" i="10"/>
  <c r="AO65" i="26"/>
  <c r="K414" i="10"/>
  <c r="K412" i="10"/>
  <c r="K408" i="10"/>
  <c r="K404" i="10"/>
  <c r="AO63" i="26"/>
  <c r="K400" i="10"/>
  <c r="K398" i="10"/>
  <c r="K394" i="10"/>
  <c r="K390" i="10"/>
  <c r="AO61" i="26"/>
  <c r="K386" i="10"/>
  <c r="K384" i="10"/>
  <c r="K380" i="10"/>
  <c r="K376" i="10"/>
  <c r="AO59" i="26"/>
  <c r="K505" i="10"/>
  <c r="AP77" i="26"/>
  <c r="AQ77" i="26"/>
  <c r="O503" i="10"/>
  <c r="O482" i="10"/>
  <c r="O468" i="10"/>
  <c r="O545" i="10"/>
  <c r="K499" i="10"/>
  <c r="K489" i="10"/>
  <c r="K485" i="10"/>
  <c r="K481" i="10"/>
  <c r="AO74" i="26"/>
  <c r="K477" i="10"/>
  <c r="AP73" i="26"/>
  <c r="AQ73" i="26"/>
  <c r="K475" i="10"/>
  <c r="K471" i="10"/>
  <c r="K467" i="10"/>
  <c r="AO72" i="26"/>
  <c r="K463" i="10"/>
  <c r="K461" i="10"/>
  <c r="K457" i="10"/>
  <c r="K453" i="10"/>
  <c r="AO70" i="26"/>
  <c r="K449" i="10"/>
  <c r="K447" i="10"/>
  <c r="K443" i="10"/>
  <c r="K439" i="10"/>
  <c r="AO68" i="26"/>
  <c r="K435" i="10"/>
  <c r="K433" i="10"/>
  <c r="K429" i="10"/>
  <c r="K425" i="10"/>
  <c r="AO66" i="26"/>
  <c r="K421" i="10"/>
  <c r="K419" i="10"/>
  <c r="K415" i="10"/>
  <c r="K411" i="10"/>
  <c r="AO64" i="26"/>
  <c r="K407" i="10"/>
  <c r="K405" i="10"/>
  <c r="K401" i="10"/>
  <c r="K397" i="10"/>
  <c r="AO62" i="26"/>
  <c r="K393" i="10"/>
  <c r="K391" i="10"/>
  <c r="K387" i="10"/>
  <c r="K383" i="10"/>
  <c r="AO60" i="26"/>
  <c r="K379" i="10"/>
  <c r="K377" i="10"/>
  <c r="O531" i="10"/>
  <c r="K503" i="10"/>
  <c r="O489" i="10"/>
  <c r="O475" i="10"/>
  <c r="K372" i="10"/>
  <c r="K370" i="10"/>
  <c r="K366" i="10"/>
  <c r="K362" i="10"/>
  <c r="AO57" i="26"/>
  <c r="K358" i="10"/>
  <c r="K356" i="10"/>
  <c r="K352" i="10"/>
  <c r="K348" i="10"/>
  <c r="AO55" i="26"/>
  <c r="K344" i="10"/>
  <c r="K342" i="10"/>
  <c r="K338" i="10"/>
  <c r="K334" i="10"/>
  <c r="AO53" i="26"/>
  <c r="K330" i="10"/>
  <c r="K328" i="10"/>
  <c r="K324" i="10"/>
  <c r="K320" i="10"/>
  <c r="AO51" i="26"/>
  <c r="K316" i="10"/>
  <c r="K314" i="10"/>
  <c r="K310" i="10"/>
  <c r="K306" i="10"/>
  <c r="AO49" i="26"/>
  <c r="K302" i="10"/>
  <c r="K300" i="10"/>
  <c r="K296" i="10"/>
  <c r="K292" i="10"/>
  <c r="AO47" i="26"/>
  <c r="K288" i="10"/>
  <c r="K286" i="10"/>
  <c r="K282" i="10"/>
  <c r="K278" i="10"/>
  <c r="AO45" i="26"/>
  <c r="K274" i="10"/>
  <c r="K272" i="10"/>
  <c r="K268" i="10"/>
  <c r="K264" i="10"/>
  <c r="AO43" i="26"/>
  <c r="K260" i="10"/>
  <c r="K258" i="10"/>
  <c r="K254" i="10"/>
  <c r="K250" i="10"/>
  <c r="AO41" i="26"/>
  <c r="K246" i="10"/>
  <c r="K244" i="10"/>
  <c r="K240" i="10"/>
  <c r="K236" i="10"/>
  <c r="AO39" i="26"/>
  <c r="K373" i="10"/>
  <c r="K369" i="10"/>
  <c r="AO58" i="26"/>
  <c r="K365" i="10"/>
  <c r="K363" i="10"/>
  <c r="K359" i="10"/>
  <c r="K355" i="10"/>
  <c r="AO56" i="26"/>
  <c r="K351" i="10"/>
  <c r="K349" i="10"/>
  <c r="K345" i="10"/>
  <c r="K341" i="10"/>
  <c r="AO54" i="26"/>
  <c r="K337" i="10"/>
  <c r="K335" i="10"/>
  <c r="K331" i="10"/>
  <c r="K327" i="10"/>
  <c r="AO52" i="26"/>
  <c r="K323" i="10"/>
  <c r="K321" i="10"/>
  <c r="K317" i="10"/>
  <c r="K313" i="10"/>
  <c r="AO50" i="26"/>
  <c r="K309" i="10"/>
  <c r="K307" i="10"/>
  <c r="K303" i="10"/>
  <c r="K299" i="10"/>
  <c r="AO48" i="26"/>
  <c r="K295" i="10"/>
  <c r="K293" i="10"/>
  <c r="K289" i="10"/>
  <c r="K285" i="10"/>
  <c r="AO46" i="26"/>
  <c r="K281" i="10"/>
  <c r="K279" i="10"/>
  <c r="K275" i="10"/>
  <c r="K271" i="10"/>
  <c r="AO44" i="26"/>
  <c r="K267" i="10"/>
  <c r="K265" i="10"/>
  <c r="K261" i="10"/>
  <c r="K257" i="10"/>
  <c r="AO42" i="26"/>
  <c r="K253" i="10"/>
  <c r="K251" i="10"/>
  <c r="K247" i="10"/>
  <c r="K243" i="10"/>
  <c r="AO40" i="26"/>
  <c r="K239" i="10"/>
  <c r="K237" i="10"/>
  <c r="K233" i="10"/>
  <c r="K229" i="10"/>
  <c r="AO38" i="26"/>
  <c r="K225" i="10"/>
  <c r="K223" i="10"/>
  <c r="K219" i="10"/>
  <c r="K215" i="10"/>
  <c r="AO36" i="26"/>
  <c r="K211" i="10"/>
  <c r="K209" i="10"/>
  <c r="K205" i="10"/>
  <c r="K201" i="10"/>
  <c r="AO34" i="26"/>
  <c r="K197" i="10"/>
  <c r="K195" i="10"/>
  <c r="K191" i="10"/>
  <c r="K187" i="10"/>
  <c r="AO32" i="26"/>
  <c r="K183" i="10"/>
  <c r="K181" i="10"/>
  <c r="K177" i="10"/>
  <c r="K173" i="10"/>
  <c r="AO30" i="26"/>
  <c r="K169" i="10"/>
  <c r="K167" i="10"/>
  <c r="K163" i="10"/>
  <c r="K159" i="10"/>
  <c r="AO28" i="26"/>
  <c r="K155" i="10"/>
  <c r="K153" i="10"/>
  <c r="K149" i="10"/>
  <c r="K145" i="10"/>
  <c r="AO26" i="26"/>
  <c r="K141" i="10"/>
  <c r="K139" i="10"/>
  <c r="K135" i="10"/>
  <c r="K131" i="10"/>
  <c r="AO24" i="26"/>
  <c r="K127" i="10"/>
  <c r="K125" i="10"/>
  <c r="K121" i="10"/>
  <c r="K117" i="10"/>
  <c r="AO22" i="26"/>
  <c r="K113" i="10"/>
  <c r="K111" i="10"/>
  <c r="K107" i="10"/>
  <c r="K103" i="10"/>
  <c r="AO20" i="26"/>
  <c r="K99" i="10"/>
  <c r="K97" i="10"/>
  <c r="K93" i="10"/>
  <c r="K89" i="10"/>
  <c r="AO18" i="26"/>
  <c r="K85" i="10"/>
  <c r="K83" i="10"/>
  <c r="K79" i="10"/>
  <c r="K75" i="10"/>
  <c r="AO16" i="26"/>
  <c r="K71" i="10"/>
  <c r="K69" i="10"/>
  <c r="K65" i="10"/>
  <c r="K61" i="10"/>
  <c r="AO14" i="26"/>
  <c r="K57" i="10"/>
  <c r="K55" i="10"/>
  <c r="K51" i="10"/>
  <c r="K47" i="10"/>
  <c r="AO12" i="26"/>
  <c r="K43" i="10"/>
  <c r="K41" i="10"/>
  <c r="K37" i="10"/>
  <c r="K33" i="10"/>
  <c r="AO10" i="26"/>
  <c r="K29" i="10"/>
  <c r="K27" i="10"/>
  <c r="K23" i="10"/>
  <c r="K19" i="10"/>
  <c r="AO8" i="26"/>
  <c r="K15" i="10"/>
  <c r="K13" i="10"/>
  <c r="K9" i="10"/>
  <c r="K5" i="10"/>
  <c r="AO6" i="26"/>
  <c r="K232" i="10"/>
  <c r="K230" i="10"/>
  <c r="K226" i="10"/>
  <c r="K222" i="10"/>
  <c r="AO37" i="26"/>
  <c r="K218" i="10"/>
  <c r="K216" i="10"/>
  <c r="K212" i="10"/>
  <c r="K208" i="10"/>
  <c r="AO35" i="26"/>
  <c r="K204" i="10"/>
  <c r="K202" i="10"/>
  <c r="K198" i="10"/>
  <c r="K194" i="10"/>
  <c r="AO33" i="26"/>
  <c r="K190" i="10"/>
  <c r="K188" i="10"/>
  <c r="K184" i="10"/>
  <c r="K180" i="10"/>
  <c r="AO31" i="26"/>
  <c r="K176" i="10"/>
  <c r="K174" i="10"/>
  <c r="K170" i="10"/>
  <c r="K166" i="10"/>
  <c r="AO29" i="26"/>
  <c r="K162" i="10"/>
  <c r="K160" i="10"/>
  <c r="K156" i="10"/>
  <c r="K152" i="10"/>
  <c r="AO27" i="26"/>
  <c r="K148" i="10"/>
  <c r="K146" i="10"/>
  <c r="K142" i="10"/>
  <c r="K138" i="10"/>
  <c r="AO25" i="26"/>
  <c r="K134" i="10"/>
  <c r="K132" i="10"/>
  <c r="K128" i="10"/>
  <c r="K124" i="10"/>
  <c r="AO23" i="26"/>
  <c r="K120" i="10"/>
  <c r="K118" i="10"/>
  <c r="K114" i="10"/>
  <c r="K110" i="10"/>
  <c r="AO21" i="26"/>
  <c r="K106" i="10"/>
  <c r="K104" i="10"/>
  <c r="K100" i="10"/>
  <c r="K96" i="10"/>
  <c r="AO19" i="26"/>
  <c r="K92" i="10"/>
  <c r="K90" i="10"/>
  <c r="K86" i="10"/>
  <c r="K82" i="10"/>
  <c r="AO17" i="26"/>
  <c r="K78" i="10"/>
  <c r="K76" i="10"/>
  <c r="K72" i="10"/>
  <c r="K68" i="10"/>
  <c r="AO15" i="26"/>
  <c r="K64" i="10"/>
  <c r="K62" i="10"/>
  <c r="K58" i="10"/>
  <c r="K54" i="10"/>
  <c r="AO13" i="26"/>
  <c r="K50" i="10"/>
  <c r="K48" i="10"/>
  <c r="K44" i="10"/>
  <c r="K40" i="10"/>
  <c r="AO11" i="26"/>
  <c r="K36" i="10"/>
  <c r="K34" i="10"/>
  <c r="K30" i="10"/>
  <c r="K26" i="10"/>
  <c r="AO9" i="26"/>
  <c r="K22" i="10"/>
  <c r="K20" i="10"/>
  <c r="K16" i="10"/>
  <c r="K12" i="10"/>
  <c r="AO7" i="26"/>
  <c r="AH8" i="10"/>
  <c r="I5" i="10"/>
  <c r="K8" i="10"/>
  <c r="K6" i="10"/>
  <c r="C27" i="24"/>
  <c r="M5" i="25"/>
  <c r="BT107" i="26"/>
  <c r="BG107" i="12"/>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O721" i="10"/>
  <c r="AD131" i="1"/>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F520" i="9"/>
  <c r="F521" i="9"/>
  <c r="F522" i="9"/>
  <c r="F523" i="9"/>
  <c r="F524" i="9"/>
  <c r="F525" i="9"/>
  <c r="F526" i="9"/>
  <c r="F527" i="9"/>
  <c r="F528" i="9"/>
  <c r="F529" i="9"/>
  <c r="F530" i="9"/>
  <c r="F531" i="9"/>
  <c r="F532" i="9"/>
  <c r="F533" i="9"/>
  <c r="F534" i="9"/>
  <c r="F535" i="9"/>
  <c r="F536" i="9"/>
  <c r="F537" i="9"/>
  <c r="F538" i="9"/>
  <c r="F539" i="9"/>
  <c r="F540" i="9"/>
  <c r="F541" i="9"/>
  <c r="F542" i="9"/>
  <c r="F543" i="9"/>
  <c r="F544" i="9"/>
  <c r="F545" i="9"/>
  <c r="F546" i="9"/>
  <c r="F547" i="9"/>
  <c r="F548" i="9"/>
  <c r="F549" i="9"/>
  <c r="F550" i="9"/>
  <c r="F551" i="9"/>
  <c r="F552" i="9"/>
  <c r="F553" i="9"/>
  <c r="F554" i="9"/>
  <c r="F555" i="9"/>
  <c r="F556" i="9"/>
  <c r="F557" i="9"/>
  <c r="F558" i="9"/>
  <c r="F559" i="9"/>
  <c r="F560" i="9"/>
  <c r="F561" i="9"/>
  <c r="F562" i="9"/>
  <c r="F563" i="9"/>
  <c r="F564" i="9"/>
  <c r="F565" i="9"/>
  <c r="F566" i="9"/>
  <c r="F567" i="9"/>
  <c r="F568" i="9"/>
  <c r="F569" i="9"/>
  <c r="F570" i="9"/>
  <c r="F571" i="9"/>
  <c r="F572" i="9"/>
  <c r="F573" i="9"/>
  <c r="F574" i="9"/>
  <c r="F575" i="9"/>
  <c r="F576" i="9"/>
  <c r="F577" i="9"/>
  <c r="F578" i="9"/>
  <c r="F579" i="9"/>
  <c r="F580" i="9"/>
  <c r="F581" i="9"/>
  <c r="F582" i="9"/>
  <c r="F583" i="9"/>
  <c r="F584" i="9"/>
  <c r="F585" i="9"/>
  <c r="F586" i="9"/>
  <c r="F587" i="9"/>
  <c r="F588" i="9"/>
  <c r="F589" i="9"/>
  <c r="F590" i="9"/>
  <c r="F591" i="9"/>
  <c r="F592" i="9"/>
  <c r="F593" i="9"/>
  <c r="F594" i="9"/>
  <c r="F595" i="9"/>
  <c r="F596" i="9"/>
  <c r="F597" i="9"/>
  <c r="F598" i="9"/>
  <c r="F599" i="9"/>
  <c r="F600" i="9"/>
  <c r="F601" i="9"/>
  <c r="F602" i="9"/>
  <c r="F603" i="9"/>
  <c r="F604" i="9"/>
  <c r="F605" i="9"/>
  <c r="F606" i="9"/>
  <c r="F607" i="9"/>
  <c r="F608" i="9"/>
  <c r="F609" i="9"/>
  <c r="F610" i="9"/>
  <c r="F611" i="9"/>
  <c r="F612" i="9"/>
  <c r="F613" i="9"/>
  <c r="F614" i="9"/>
  <c r="F615" i="9"/>
  <c r="F616" i="9"/>
  <c r="F617" i="9"/>
  <c r="F618" i="9"/>
  <c r="F619" i="9"/>
  <c r="F620" i="9"/>
  <c r="F621" i="9"/>
  <c r="F622" i="9"/>
  <c r="F623" i="9"/>
  <c r="F624" i="9"/>
  <c r="F625" i="9"/>
  <c r="F626" i="9"/>
  <c r="F627" i="9"/>
  <c r="F628" i="9"/>
  <c r="F629" i="9"/>
  <c r="F630" i="9"/>
  <c r="F631" i="9"/>
  <c r="F632" i="9"/>
  <c r="F633" i="9"/>
  <c r="F634" i="9"/>
  <c r="F635" i="9"/>
  <c r="F636" i="9"/>
  <c r="F637" i="9"/>
  <c r="F638" i="9"/>
  <c r="F639" i="9"/>
  <c r="F640" i="9"/>
  <c r="F641" i="9"/>
  <c r="F642" i="9"/>
  <c r="F643" i="9"/>
  <c r="F644" i="9"/>
  <c r="F645" i="9"/>
  <c r="F646" i="9"/>
  <c r="F647" i="9"/>
  <c r="F648" i="9"/>
  <c r="F649" i="9"/>
  <c r="F650" i="9"/>
  <c r="F651" i="9"/>
  <c r="F652" i="9"/>
  <c r="F653" i="9"/>
  <c r="F654" i="9"/>
  <c r="F655" i="9"/>
  <c r="F656" i="9"/>
  <c r="F657" i="9"/>
  <c r="F658" i="9"/>
  <c r="F659" i="9"/>
  <c r="F660" i="9"/>
  <c r="F661" i="9"/>
  <c r="F662" i="9"/>
  <c r="F663" i="9"/>
  <c r="F664" i="9"/>
  <c r="F665" i="9"/>
  <c r="F666" i="9"/>
  <c r="F667" i="9"/>
  <c r="F668" i="9"/>
  <c r="F669" i="9"/>
  <c r="F670" i="9"/>
  <c r="F671" i="9"/>
  <c r="F672" i="9"/>
  <c r="F673" i="9"/>
  <c r="F674" i="9"/>
  <c r="F675" i="9"/>
  <c r="F676" i="9"/>
  <c r="F677" i="9"/>
  <c r="F678" i="9"/>
  <c r="F679" i="9"/>
  <c r="F680" i="9"/>
  <c r="F681" i="9"/>
  <c r="F682" i="9"/>
  <c r="F683" i="9"/>
  <c r="F684" i="9"/>
  <c r="F685" i="9"/>
  <c r="F686" i="9"/>
  <c r="F687" i="9"/>
  <c r="F688" i="9"/>
  <c r="F689" i="9"/>
  <c r="F690" i="9"/>
  <c r="F691" i="9"/>
  <c r="F692" i="9"/>
  <c r="F693" i="9"/>
  <c r="F694" i="9"/>
  <c r="F695" i="9"/>
  <c r="F696" i="9"/>
  <c r="F697" i="9"/>
  <c r="F698" i="9"/>
  <c r="F699" i="9"/>
  <c r="F700" i="9"/>
  <c r="F701" i="9"/>
  <c r="F702" i="9"/>
  <c r="F703" i="9"/>
  <c r="F704" i="9"/>
  <c r="F705" i="9"/>
  <c r="F706" i="9"/>
  <c r="F707" i="9"/>
  <c r="F708" i="9"/>
  <c r="F709" i="9"/>
  <c r="F710" i="9"/>
  <c r="F711" i="9"/>
  <c r="F712" i="9"/>
  <c r="F713" i="9"/>
  <c r="F714" i="9"/>
  <c r="F715" i="9"/>
  <c r="F716" i="9"/>
  <c r="F717" i="9"/>
  <c r="F718" i="9"/>
  <c r="F719" i="9"/>
  <c r="F720" i="9"/>
  <c r="F721" i="9"/>
  <c r="F722" i="9"/>
  <c r="F723" i="9"/>
  <c r="F724" i="9"/>
  <c r="F9" i="9"/>
  <c r="AA5" i="10"/>
  <c r="I6" i="10"/>
  <c r="M5" i="10"/>
  <c r="AB5" i="10"/>
  <c r="C6" i="12"/>
  <c r="AH478" i="10"/>
  <c r="Q475" i="10"/>
  <c r="AI73" i="26"/>
  <c r="AH520" i="10"/>
  <c r="Q517" i="10"/>
  <c r="AI79" i="26"/>
  <c r="AH653" i="10"/>
  <c r="Q650" i="10"/>
  <c r="AI98" i="26"/>
  <c r="AH681" i="10"/>
  <c r="Q678" i="10"/>
  <c r="AI102" i="26"/>
  <c r="AH716" i="10"/>
  <c r="Q713" i="10"/>
  <c r="AI107" i="26"/>
  <c r="BA105" i="26"/>
  <c r="AB105" i="12"/>
  <c r="BA106" i="26"/>
  <c r="AB106" i="12"/>
  <c r="BA104" i="26"/>
  <c r="AB104" i="12"/>
  <c r="U23" i="26"/>
  <c r="Z127" i="1"/>
  <c r="AJ8" i="10"/>
  <c r="BG6" i="26"/>
  <c r="K25" i="10"/>
  <c r="AP8" i="26"/>
  <c r="K39" i="10"/>
  <c r="AP10" i="26"/>
  <c r="K53" i="10"/>
  <c r="AP12" i="26"/>
  <c r="K67" i="10"/>
  <c r="AP14" i="26"/>
  <c r="K81" i="10"/>
  <c r="AP16" i="26"/>
  <c r="K95" i="10"/>
  <c r="AP18" i="26"/>
  <c r="K109" i="10"/>
  <c r="AP20" i="26"/>
  <c r="K123" i="10"/>
  <c r="AP22" i="26"/>
  <c r="K137" i="10"/>
  <c r="AP24" i="26"/>
  <c r="K151" i="10"/>
  <c r="AP26" i="26"/>
  <c r="K165" i="10"/>
  <c r="AP28" i="26"/>
  <c r="K179" i="10"/>
  <c r="AP30" i="26"/>
  <c r="K193" i="10"/>
  <c r="AP32" i="26"/>
  <c r="K207" i="10"/>
  <c r="AP34" i="26"/>
  <c r="K221" i="10"/>
  <c r="AP36" i="26"/>
  <c r="K235" i="10"/>
  <c r="AP38" i="26"/>
  <c r="K382" i="10"/>
  <c r="AP59" i="26"/>
  <c r="K396" i="10"/>
  <c r="AP61" i="26"/>
  <c r="K410" i="10"/>
  <c r="AP63" i="26"/>
  <c r="K424" i="10"/>
  <c r="AP65" i="26"/>
  <c r="K438" i="10"/>
  <c r="AP67" i="26"/>
  <c r="K452" i="10"/>
  <c r="AP69" i="26"/>
  <c r="K466" i="10"/>
  <c r="AP71" i="26"/>
  <c r="AH471" i="10"/>
  <c r="Q468" i="10"/>
  <c r="AI72" i="26"/>
  <c r="AH506" i="10"/>
  <c r="Q503" i="10"/>
  <c r="AI77" i="26"/>
  <c r="AH590" i="10"/>
  <c r="Q587" i="10"/>
  <c r="AI89" i="26"/>
  <c r="AH513" i="10"/>
  <c r="Q510" i="10"/>
  <c r="AI78" i="26"/>
  <c r="AH541" i="10"/>
  <c r="Q538" i="10"/>
  <c r="AI82" i="26"/>
  <c r="AH569" i="10"/>
  <c r="Q566" i="10"/>
  <c r="AI86" i="26"/>
  <c r="AH611" i="10"/>
  <c r="Q608" i="10"/>
  <c r="AI92" i="26"/>
  <c r="AH576" i="10"/>
  <c r="Q573" i="10"/>
  <c r="AI87" i="26"/>
  <c r="AH639" i="10"/>
  <c r="AI96" i="26"/>
  <c r="Q636" i="10"/>
  <c r="AH695" i="10"/>
  <c r="AJ695" i="10"/>
  <c r="Q692" i="10"/>
  <c r="AH604" i="10"/>
  <c r="Q601" i="10"/>
  <c r="AI91" i="26"/>
  <c r="AH632" i="10"/>
  <c r="Q629" i="10"/>
  <c r="AI95" i="26"/>
  <c r="AH660" i="10"/>
  <c r="Q657" i="10"/>
  <c r="AI99" i="26"/>
  <c r="AH709" i="10"/>
  <c r="AJ709" i="10"/>
  <c r="Q706" i="10"/>
  <c r="AI106" i="26"/>
  <c r="BH121" i="10"/>
  <c r="T122" i="10"/>
  <c r="BO108" i="26"/>
  <c r="V108" i="12"/>
  <c r="B726" i="9"/>
  <c r="B727" i="9"/>
  <c r="AH492" i="10"/>
  <c r="Q489" i="10"/>
  <c r="AI75" i="26"/>
  <c r="AH534" i="10"/>
  <c r="Q531" i="10"/>
  <c r="AI81" i="26"/>
  <c r="AH548" i="10"/>
  <c r="AI83" i="26"/>
  <c r="Q545" i="10"/>
  <c r="AH625" i="10"/>
  <c r="Q622" i="10"/>
  <c r="AI94" i="26"/>
  <c r="AH688" i="10"/>
  <c r="AI103" i="26"/>
  <c r="Q685" i="10"/>
  <c r="BF7" i="10"/>
  <c r="B8" i="10"/>
  <c r="C7" i="10"/>
  <c r="T23" i="26"/>
  <c r="P23" i="3"/>
  <c r="AI104" i="26"/>
  <c r="Q23" i="26"/>
  <c r="AA23" i="26"/>
  <c r="AH721" i="10"/>
  <c r="Q721" i="10"/>
  <c r="BA108" i="26"/>
  <c r="AB108" i="12"/>
  <c r="K11" i="10"/>
  <c r="AP6" i="26"/>
  <c r="K18" i="10"/>
  <c r="AP7" i="26"/>
  <c r="K32" i="10"/>
  <c r="AP9" i="26"/>
  <c r="K46" i="10"/>
  <c r="AP11" i="26"/>
  <c r="K60" i="10"/>
  <c r="AP13" i="26"/>
  <c r="K74" i="10"/>
  <c r="AP15" i="26"/>
  <c r="K88" i="10"/>
  <c r="AP17" i="26"/>
  <c r="K102" i="10"/>
  <c r="AP19" i="26"/>
  <c r="K116" i="10"/>
  <c r="AP21" i="26"/>
  <c r="K130" i="10"/>
  <c r="AP23" i="26"/>
  <c r="K144" i="10"/>
  <c r="AP25" i="26"/>
  <c r="K158" i="10"/>
  <c r="AP27" i="26"/>
  <c r="K172" i="10"/>
  <c r="AP29" i="26"/>
  <c r="K186" i="10"/>
  <c r="AP31" i="26"/>
  <c r="K200" i="10"/>
  <c r="AP33" i="26"/>
  <c r="K214" i="10"/>
  <c r="AP35" i="26"/>
  <c r="K228" i="10"/>
  <c r="AP37" i="26"/>
  <c r="K242" i="10"/>
  <c r="AP39" i="26"/>
  <c r="K256" i="10"/>
  <c r="AP41" i="26"/>
  <c r="K270" i="10"/>
  <c r="AP43" i="26"/>
  <c r="K284" i="10"/>
  <c r="AP45" i="26"/>
  <c r="K298" i="10"/>
  <c r="AP47" i="26"/>
  <c r="K312" i="10"/>
  <c r="AP49" i="26"/>
  <c r="K326" i="10"/>
  <c r="AP51" i="26"/>
  <c r="K340" i="10"/>
  <c r="AP53" i="26"/>
  <c r="K354" i="10"/>
  <c r="AP55" i="26"/>
  <c r="K368" i="10"/>
  <c r="AP57" i="26"/>
  <c r="K249" i="10"/>
  <c r="AP40" i="26"/>
  <c r="K263" i="10"/>
  <c r="AP42" i="26"/>
  <c r="K277" i="10"/>
  <c r="AP44" i="26"/>
  <c r="K291" i="10"/>
  <c r="AP46" i="26"/>
  <c r="K305" i="10"/>
  <c r="AP48" i="26"/>
  <c r="K319" i="10"/>
  <c r="AP50" i="26"/>
  <c r="K333" i="10"/>
  <c r="AP52" i="26"/>
  <c r="K347" i="10"/>
  <c r="AP54" i="26"/>
  <c r="K361" i="10"/>
  <c r="AP56" i="26"/>
  <c r="K375" i="10"/>
  <c r="AP58" i="26"/>
  <c r="AH485" i="10"/>
  <c r="Q482" i="10"/>
  <c r="AI74" i="26"/>
  <c r="K389" i="10"/>
  <c r="AP60" i="26"/>
  <c r="K403" i="10"/>
  <c r="AP62" i="26"/>
  <c r="K417" i="10"/>
  <c r="AP64" i="26"/>
  <c r="K431" i="10"/>
  <c r="AP66" i="26"/>
  <c r="K445" i="10"/>
  <c r="AP68" i="26"/>
  <c r="K459" i="10"/>
  <c r="AP70" i="26"/>
  <c r="AH499" i="10"/>
  <c r="Q496" i="10"/>
  <c r="AI76" i="26"/>
  <c r="AH527" i="10"/>
  <c r="Q524" i="10"/>
  <c r="AI80" i="26"/>
  <c r="AH555" i="10"/>
  <c r="AI84" i="26"/>
  <c r="Q552" i="10"/>
  <c r="AH583" i="10"/>
  <c r="Q580" i="10"/>
  <c r="AI88" i="26"/>
  <c r="AH667" i="10"/>
  <c r="Q664" i="10"/>
  <c r="AI100" i="26"/>
  <c r="AH562" i="10"/>
  <c r="Q559" i="10"/>
  <c r="AI85" i="26"/>
  <c r="AH597" i="10"/>
  <c r="Q594" i="10"/>
  <c r="AI90" i="26"/>
  <c r="AH702" i="10"/>
  <c r="AJ702" i="10"/>
  <c r="Q699" i="10"/>
  <c r="AH618" i="10"/>
  <c r="Q615" i="10"/>
  <c r="AI93" i="26"/>
  <c r="AH646" i="10"/>
  <c r="AI97" i="26"/>
  <c r="Q643" i="10"/>
  <c r="AH674" i="10"/>
  <c r="Q671" i="10"/>
  <c r="AI101" i="26"/>
  <c r="AH723" i="10"/>
  <c r="AI108" i="26"/>
  <c r="Q720" i="10"/>
  <c r="AI105" i="26"/>
  <c r="AJ128" i="1"/>
  <c r="AJ597" i="10"/>
  <c r="BS90" i="26"/>
  <c r="BU90" i="26"/>
  <c r="BH90" i="12"/>
  <c r="AM76" i="26"/>
  <c r="M76" i="12"/>
  <c r="BB76" i="26"/>
  <c r="AH498" i="10"/>
  <c r="AQ66" i="26"/>
  <c r="AM74" i="26"/>
  <c r="M74" i="12"/>
  <c r="BB74" i="26"/>
  <c r="AH484" i="10"/>
  <c r="AM91" i="26"/>
  <c r="M91" i="12"/>
  <c r="BB91" i="26"/>
  <c r="AH603" i="10"/>
  <c r="AJ569" i="10"/>
  <c r="BS86" i="26"/>
  <c r="BU86" i="26"/>
  <c r="BH86" i="12"/>
  <c r="AJ506" i="10"/>
  <c r="BS77" i="26"/>
  <c r="BU77" i="26"/>
  <c r="BH77" i="12"/>
  <c r="AQ63" i="26"/>
  <c r="AQ32" i="26"/>
  <c r="AQ28" i="26"/>
  <c r="AQ16" i="26"/>
  <c r="BS101" i="26"/>
  <c r="BU101" i="26"/>
  <c r="BH101" i="12"/>
  <c r="AJ674" i="10"/>
  <c r="BB93" i="26"/>
  <c r="AH617" i="10"/>
  <c r="AM93" i="26"/>
  <c r="M93" i="12"/>
  <c r="AM80" i="26"/>
  <c r="M80" i="12"/>
  <c r="BB80" i="26"/>
  <c r="AH526" i="10"/>
  <c r="AQ56" i="26"/>
  <c r="AQ44" i="26"/>
  <c r="AQ51" i="26"/>
  <c r="AQ35" i="26"/>
  <c r="AQ23" i="26"/>
  <c r="AQ19" i="26"/>
  <c r="AQ11" i="26"/>
  <c r="AM94" i="26"/>
  <c r="M94" i="12"/>
  <c r="BB94" i="26"/>
  <c r="AH624" i="10"/>
  <c r="AM75" i="26"/>
  <c r="M75" i="12"/>
  <c r="BB75" i="26"/>
  <c r="AH491" i="10"/>
  <c r="BH122" i="10"/>
  <c r="T123" i="10"/>
  <c r="AM95" i="26"/>
  <c r="M95" i="12"/>
  <c r="BB95" i="26"/>
  <c r="AH631" i="10"/>
  <c r="AJ611" i="10"/>
  <c r="BS92" i="26"/>
  <c r="BU92" i="26"/>
  <c r="BH92" i="12"/>
  <c r="AM82" i="26"/>
  <c r="M82" i="12"/>
  <c r="BB82" i="26"/>
  <c r="AH540" i="10"/>
  <c r="AJ590" i="10"/>
  <c r="BS89" i="26"/>
  <c r="BU89" i="26"/>
  <c r="BH89" i="12"/>
  <c r="AM72" i="26"/>
  <c r="M72" i="12"/>
  <c r="BB72" i="26"/>
  <c r="AH470" i="10"/>
  <c r="X23" i="26"/>
  <c r="BS107" i="26"/>
  <c r="BU107" i="26"/>
  <c r="BH107" i="12"/>
  <c r="AJ716" i="10"/>
  <c r="AJ653" i="10"/>
  <c r="BS98" i="26"/>
  <c r="BU98" i="26"/>
  <c r="BH98" i="12"/>
  <c r="BB73" i="26"/>
  <c r="AH477" i="10"/>
  <c r="AM73" i="26"/>
  <c r="M73" i="12"/>
  <c r="M6" i="10"/>
  <c r="I7" i="10"/>
  <c r="AB6" i="10"/>
  <c r="AA6" i="10"/>
  <c r="Y6" i="10"/>
  <c r="Z6" i="10"/>
  <c r="N726" i="9"/>
  <c r="AM726" i="9"/>
  <c r="AI726" i="9"/>
  <c r="AE726" i="9"/>
  <c r="AA726" i="9"/>
  <c r="W726" i="9"/>
  <c r="S726" i="9"/>
  <c r="F726" i="9"/>
  <c r="K726" i="9"/>
  <c r="BD727" i="10"/>
  <c r="AM78" i="26"/>
  <c r="M78" i="12"/>
  <c r="BB78" i="26"/>
  <c r="AH512" i="10"/>
  <c r="AQ71" i="26"/>
  <c r="AQ59" i="26"/>
  <c r="AQ20" i="26"/>
  <c r="BB108" i="26"/>
  <c r="AH722" i="10"/>
  <c r="AM108" i="26"/>
  <c r="M108" i="12"/>
  <c r="AQ48" i="26"/>
  <c r="AQ55" i="26"/>
  <c r="AQ43" i="26"/>
  <c r="AQ27" i="26"/>
  <c r="BS108" i="26"/>
  <c r="BU108" i="26"/>
  <c r="BH108" i="12"/>
  <c r="AJ723" i="10"/>
  <c r="AM90" i="26"/>
  <c r="M90" i="12"/>
  <c r="BB90" i="26"/>
  <c r="AH596" i="10"/>
  <c r="AJ667" i="10"/>
  <c r="BS100" i="26"/>
  <c r="BU100" i="26"/>
  <c r="BH100" i="12"/>
  <c r="AJ499" i="10"/>
  <c r="BS76" i="26"/>
  <c r="BU76" i="26"/>
  <c r="BH76" i="12"/>
  <c r="AQ68" i="26"/>
  <c r="AQ64" i="26"/>
  <c r="AQ60" i="26"/>
  <c r="AJ485" i="10"/>
  <c r="BS74" i="26"/>
  <c r="BU74" i="26"/>
  <c r="BH74" i="12"/>
  <c r="BD108" i="26"/>
  <c r="BF108" i="26"/>
  <c r="AK108" i="12"/>
  <c r="AJ721" i="10"/>
  <c r="Y4" i="26"/>
  <c r="Y24" i="26"/>
  <c r="S4" i="26"/>
  <c r="O4" i="26"/>
  <c r="K4" i="26"/>
  <c r="K24" i="26"/>
  <c r="G4" i="26"/>
  <c r="G25" i="26"/>
  <c r="C4" i="26"/>
  <c r="W4" i="26"/>
  <c r="R4" i="26"/>
  <c r="N4" i="26"/>
  <c r="N24" i="26"/>
  <c r="F4" i="26"/>
  <c r="B4" i="26"/>
  <c r="B24" i="26"/>
  <c r="AA4" i="26"/>
  <c r="V4" i="26"/>
  <c r="Q4" i="26"/>
  <c r="N26" i="26"/>
  <c r="N25" i="26"/>
  <c r="M4" i="26"/>
  <c r="I4" i="26"/>
  <c r="E4" i="26"/>
  <c r="E25" i="26"/>
  <c r="D24" i="26"/>
  <c r="Z4" i="26"/>
  <c r="Y25" i="26"/>
  <c r="T4" i="26"/>
  <c r="P4" i="26"/>
  <c r="L4" i="26"/>
  <c r="H4" i="26"/>
  <c r="D4" i="26"/>
  <c r="U4" i="26"/>
  <c r="U24" i="26"/>
  <c r="BB104" i="26"/>
  <c r="AH694" i="10"/>
  <c r="AJ694" i="10"/>
  <c r="AM104" i="26"/>
  <c r="M104" i="12"/>
  <c r="AM103" i="26"/>
  <c r="M103" i="12"/>
  <c r="BB103" i="26"/>
  <c r="AH687" i="10"/>
  <c r="AM83" i="26"/>
  <c r="M83" i="12"/>
  <c r="BB83" i="26"/>
  <c r="AH547" i="10"/>
  <c r="BB81" i="26"/>
  <c r="AH533" i="10"/>
  <c r="AM81" i="26"/>
  <c r="M81" i="12"/>
  <c r="AM99" i="26"/>
  <c r="M99" i="12"/>
  <c r="BB99" i="26"/>
  <c r="AH659" i="10"/>
  <c r="AJ604" i="10"/>
  <c r="BS91" i="26"/>
  <c r="BU91" i="26"/>
  <c r="BH91" i="12"/>
  <c r="AM96" i="26"/>
  <c r="M96" i="12"/>
  <c r="BB96" i="26"/>
  <c r="AH638" i="10"/>
  <c r="AJ576" i="10"/>
  <c r="BS87" i="26"/>
  <c r="BU87" i="26"/>
  <c r="BH87" i="12"/>
  <c r="AM86" i="26"/>
  <c r="M86" i="12"/>
  <c r="BB86" i="26"/>
  <c r="AH568" i="10"/>
  <c r="AJ513" i="10"/>
  <c r="BS78" i="26"/>
  <c r="BU78" i="26"/>
  <c r="BH78" i="12"/>
  <c r="BB77" i="26"/>
  <c r="AH505" i="10"/>
  <c r="AM77" i="26"/>
  <c r="M77" i="12"/>
  <c r="AQ69" i="26"/>
  <c r="AQ65" i="26"/>
  <c r="AQ61" i="26"/>
  <c r="AQ38" i="26"/>
  <c r="AQ34" i="26"/>
  <c r="AQ30" i="26"/>
  <c r="AQ26" i="26"/>
  <c r="AQ22" i="26"/>
  <c r="AQ18" i="26"/>
  <c r="AQ14" i="26"/>
  <c r="AQ10" i="26"/>
  <c r="AL6" i="12"/>
  <c r="BI6" i="26"/>
  <c r="AN6" i="12"/>
  <c r="AM102" i="26"/>
  <c r="M102" i="12"/>
  <c r="BB102" i="26"/>
  <c r="AH680" i="10"/>
  <c r="AM79" i="26"/>
  <c r="M79" i="12"/>
  <c r="BB79" i="26"/>
  <c r="AH519" i="10"/>
  <c r="Y5" i="10"/>
  <c r="BS97" i="26"/>
  <c r="BU97" i="26"/>
  <c r="BH97" i="12"/>
  <c r="AJ646" i="10"/>
  <c r="AM100" i="26"/>
  <c r="M100" i="12"/>
  <c r="BB100" i="26"/>
  <c r="AH666" i="10"/>
  <c r="BS84" i="26"/>
  <c r="BU84" i="26"/>
  <c r="BH84" i="12"/>
  <c r="AJ555" i="10"/>
  <c r="AQ70" i="26"/>
  <c r="AQ62" i="26"/>
  <c r="AJ534" i="10"/>
  <c r="BS81" i="26"/>
  <c r="BU81" i="26"/>
  <c r="BH81" i="12"/>
  <c r="AJ660" i="10"/>
  <c r="BS99" i="26"/>
  <c r="BU99" i="26"/>
  <c r="BH99" i="12"/>
  <c r="AM87" i="26"/>
  <c r="M87" i="12"/>
  <c r="BB87" i="26"/>
  <c r="AH575" i="10"/>
  <c r="AQ67" i="26"/>
  <c r="AQ36" i="26"/>
  <c r="AQ24" i="26"/>
  <c r="AQ12" i="26"/>
  <c r="AQ8" i="26"/>
  <c r="BS102" i="26"/>
  <c r="BU102" i="26"/>
  <c r="BH102" i="12"/>
  <c r="AJ681" i="10"/>
  <c r="AJ520" i="10"/>
  <c r="BS79" i="26"/>
  <c r="BU79" i="26"/>
  <c r="BH79" i="12"/>
  <c r="AM105" i="26"/>
  <c r="M105" i="12"/>
  <c r="BB105" i="26"/>
  <c r="AH701" i="10"/>
  <c r="AJ701" i="10"/>
  <c r="BB85" i="26"/>
  <c r="AH561" i="10"/>
  <c r="AM85" i="26"/>
  <c r="M85" i="12"/>
  <c r="AJ583" i="10"/>
  <c r="BS88" i="26"/>
  <c r="BU88" i="26"/>
  <c r="BH88" i="12"/>
  <c r="AQ52" i="26"/>
  <c r="AQ40" i="26"/>
  <c r="AQ47" i="26"/>
  <c r="AQ39" i="26"/>
  <c r="AQ31" i="26"/>
  <c r="AQ15" i="26"/>
  <c r="AQ7" i="26"/>
  <c r="AJ129" i="1"/>
  <c r="BB101" i="26"/>
  <c r="AH673" i="10"/>
  <c r="AM101" i="26"/>
  <c r="M101" i="12"/>
  <c r="BB97" i="26"/>
  <c r="AH645" i="10"/>
  <c r="AM97" i="26"/>
  <c r="M97" i="12"/>
  <c r="AJ618" i="10"/>
  <c r="BS93" i="26"/>
  <c r="BU93" i="26"/>
  <c r="BH93" i="12"/>
  <c r="AJ562" i="10"/>
  <c r="BS85" i="26"/>
  <c r="BU85" i="26"/>
  <c r="BH85" i="12"/>
  <c r="AM88" i="26"/>
  <c r="M88" i="12"/>
  <c r="BB88" i="26"/>
  <c r="AH582" i="10"/>
  <c r="AM84" i="26"/>
  <c r="M84" i="12"/>
  <c r="BB84" i="26"/>
  <c r="AH554" i="10"/>
  <c r="AJ527" i="10"/>
  <c r="BS80" i="26"/>
  <c r="BU80" i="26"/>
  <c r="BH80" i="12"/>
  <c r="AQ58" i="26"/>
  <c r="AQ54" i="26"/>
  <c r="AQ50" i="26"/>
  <c r="AQ46" i="26"/>
  <c r="AQ42" i="26"/>
  <c r="AQ57" i="26"/>
  <c r="AQ53" i="26"/>
  <c r="AQ49" i="26"/>
  <c r="AQ45" i="26"/>
  <c r="AQ41" i="26"/>
  <c r="AQ37" i="26"/>
  <c r="AQ33" i="26"/>
  <c r="AQ29" i="26"/>
  <c r="AQ25" i="26"/>
  <c r="AQ21" i="26"/>
  <c r="AQ17" i="26"/>
  <c r="AQ13" i="26"/>
  <c r="AQ9" i="26"/>
  <c r="D6" i="12"/>
  <c r="AQ6" i="26"/>
  <c r="F6" i="12"/>
  <c r="BF8" i="10"/>
  <c r="C8" i="10"/>
  <c r="B9" i="10"/>
  <c r="BS103" i="26"/>
  <c r="BU103" i="26"/>
  <c r="BH103" i="12"/>
  <c r="AJ688" i="10"/>
  <c r="AJ625" i="10"/>
  <c r="BS94" i="26"/>
  <c r="BU94" i="26"/>
  <c r="BH94" i="12"/>
  <c r="BS83" i="26"/>
  <c r="BU83" i="26"/>
  <c r="BH83" i="12"/>
  <c r="AJ548" i="10"/>
  <c r="AJ492" i="10"/>
  <c r="BS75" i="26"/>
  <c r="BU75" i="26"/>
  <c r="BH75" i="12"/>
  <c r="BB106" i="26"/>
  <c r="AH708" i="10"/>
  <c r="AJ708" i="10"/>
  <c r="AM106" i="26"/>
  <c r="M106" i="12"/>
  <c r="BS95" i="26"/>
  <c r="BU95" i="26"/>
  <c r="BH95" i="12"/>
  <c r="AJ632" i="10"/>
  <c r="BS96" i="26"/>
  <c r="BU96" i="26"/>
  <c r="BH96" i="12"/>
  <c r="AJ639" i="10"/>
  <c r="AM92" i="26"/>
  <c r="M92" i="12"/>
  <c r="BB92" i="26"/>
  <c r="AH610" i="10"/>
  <c r="BS82" i="26"/>
  <c r="BU82" i="26"/>
  <c r="BH82" i="12"/>
  <c r="AJ541" i="10"/>
  <c r="BB89" i="26"/>
  <c r="AH589" i="10"/>
  <c r="AM89" i="26"/>
  <c r="M89" i="12"/>
  <c r="AJ471" i="10"/>
  <c r="BS72" i="26"/>
  <c r="BU72" i="26"/>
  <c r="BH72" i="12"/>
  <c r="BB107" i="26"/>
  <c r="AH715" i="10"/>
  <c r="AM107" i="26"/>
  <c r="M107" i="12"/>
  <c r="AM98" i="26"/>
  <c r="M98" i="12"/>
  <c r="BB98" i="26"/>
  <c r="AH652" i="10"/>
  <c r="AJ478" i="10"/>
  <c r="BS73" i="26"/>
  <c r="BU73" i="26"/>
  <c r="BH73" i="12"/>
  <c r="BG84" i="26"/>
  <c r="BI84" i="26"/>
  <c r="AN84" i="12"/>
  <c r="AJ554" i="10"/>
  <c r="AJ505" i="10"/>
  <c r="BG77" i="26"/>
  <c r="BI77" i="26"/>
  <c r="AN77" i="12"/>
  <c r="F25" i="26"/>
  <c r="F24" i="26"/>
  <c r="AJ610" i="10"/>
  <c r="BG92" i="26"/>
  <c r="BI92" i="26"/>
  <c r="AN92" i="12"/>
  <c r="B10" i="10"/>
  <c r="C9" i="10"/>
  <c r="BF9" i="10"/>
  <c r="BG97" i="26"/>
  <c r="BI97" i="26"/>
  <c r="AN97" i="12"/>
  <c r="AJ645" i="10"/>
  <c r="AJ130" i="1"/>
  <c r="AJ561" i="10"/>
  <c r="BG85" i="26"/>
  <c r="BI85" i="26"/>
  <c r="AN85" i="12"/>
  <c r="AJ666" i="10"/>
  <c r="BG100" i="26"/>
  <c r="BI100" i="26"/>
  <c r="AN100" i="12"/>
  <c r="BG102" i="26"/>
  <c r="BI102" i="26"/>
  <c r="AN102" i="12"/>
  <c r="AJ680" i="10"/>
  <c r="BG103" i="26"/>
  <c r="BI103" i="26"/>
  <c r="AN103" i="12"/>
  <c r="AJ687" i="10"/>
  <c r="X4" i="26"/>
  <c r="U26" i="26"/>
  <c r="U25" i="26"/>
  <c r="AJ596" i="10"/>
  <c r="BG90" i="26"/>
  <c r="BI90" i="26"/>
  <c r="AN90" i="12"/>
  <c r="AJ512" i="10"/>
  <c r="BG78" i="26"/>
  <c r="BI78" i="26"/>
  <c r="AN78" i="12"/>
  <c r="AJ470" i="10"/>
  <c r="BG72" i="26"/>
  <c r="BI72" i="26"/>
  <c r="AN72" i="12"/>
  <c r="AJ540" i="10"/>
  <c r="BG82" i="26"/>
  <c r="BI82" i="26"/>
  <c r="AN82" i="12"/>
  <c r="BG95" i="26"/>
  <c r="BI95" i="26"/>
  <c r="AN95" i="12"/>
  <c r="AJ631" i="10"/>
  <c r="AJ491" i="10"/>
  <c r="BG75" i="26"/>
  <c r="BI75" i="26"/>
  <c r="AN75" i="12"/>
  <c r="AJ603" i="10"/>
  <c r="BG91" i="26"/>
  <c r="BI91" i="26"/>
  <c r="AN91" i="12"/>
  <c r="AJ589" i="10"/>
  <c r="BG89" i="26"/>
  <c r="BI89" i="26"/>
  <c r="AN89" i="12"/>
  <c r="AJ582" i="10"/>
  <c r="BG88" i="26"/>
  <c r="BI88" i="26"/>
  <c r="AN88" i="12"/>
  <c r="AJ575" i="10"/>
  <c r="BG87" i="26"/>
  <c r="BI87" i="26"/>
  <c r="AN87" i="12"/>
  <c r="AJ533" i="10"/>
  <c r="BG81" i="26"/>
  <c r="BI81" i="26"/>
  <c r="AN81" i="12"/>
  <c r="J25" i="26"/>
  <c r="I25" i="26"/>
  <c r="H24" i="26"/>
  <c r="BG108" i="26"/>
  <c r="BI108" i="26"/>
  <c r="AN108" i="12"/>
  <c r="AJ722" i="10"/>
  <c r="AJ477" i="10"/>
  <c r="BG73" i="26"/>
  <c r="BI73" i="26"/>
  <c r="AN73" i="12"/>
  <c r="AJ617" i="10"/>
  <c r="BG93" i="26"/>
  <c r="BI93" i="26"/>
  <c r="AN93" i="12"/>
  <c r="BG107" i="26"/>
  <c r="BI107" i="26"/>
  <c r="AN107" i="12"/>
  <c r="AJ715" i="10"/>
  <c r="AJ652" i="10"/>
  <c r="BG98" i="26"/>
  <c r="BI98" i="26"/>
  <c r="AN98" i="12"/>
  <c r="AJ673" i="10"/>
  <c r="BG101" i="26"/>
  <c r="BI101" i="26"/>
  <c r="AN101" i="12"/>
  <c r="AJ519" i="10"/>
  <c r="BG79" i="26"/>
  <c r="BI79" i="26"/>
  <c r="AN79" i="12"/>
  <c r="AJ568" i="10"/>
  <c r="BG86" i="26"/>
  <c r="BI86" i="26"/>
  <c r="AN86" i="12"/>
  <c r="BG96" i="26"/>
  <c r="BI96" i="26"/>
  <c r="AN96" i="12"/>
  <c r="AJ638" i="10"/>
  <c r="AJ659" i="10"/>
  <c r="BG99" i="26"/>
  <c r="BI99" i="26"/>
  <c r="AN99" i="12"/>
  <c r="BG83" i="26"/>
  <c r="BI83" i="26"/>
  <c r="AN83" i="12"/>
  <c r="AJ547" i="10"/>
  <c r="I8" i="10"/>
  <c r="AB7" i="10"/>
  <c r="AA7" i="10"/>
  <c r="M7" i="10"/>
  <c r="T124" i="10"/>
  <c r="BH123" i="10"/>
  <c r="AH122" i="10"/>
  <c r="AJ624" i="10"/>
  <c r="BG94" i="26"/>
  <c r="BI94" i="26"/>
  <c r="AN94" i="12"/>
  <c r="AJ526" i="10"/>
  <c r="BG80" i="26"/>
  <c r="BI80" i="26"/>
  <c r="AN80" i="12"/>
  <c r="AJ484" i="10"/>
  <c r="BG74" i="26"/>
  <c r="BI74" i="26"/>
  <c r="AN74" i="12"/>
  <c r="AJ498" i="10"/>
  <c r="BG76" i="26"/>
  <c r="BI76" i="26"/>
  <c r="AN76" i="12"/>
  <c r="BH124" i="10"/>
  <c r="T125" i="10"/>
  <c r="W2" i="10"/>
  <c r="O3" i="12"/>
  <c r="AJ131" i="1"/>
  <c r="B133" i="1"/>
  <c r="B134" i="1"/>
  <c r="I9" i="10"/>
  <c r="AB8" i="10"/>
  <c r="M8" i="10"/>
  <c r="AA8" i="10"/>
  <c r="Y8" i="10"/>
  <c r="C10" i="10"/>
  <c r="B11" i="10"/>
  <c r="BF10" i="10"/>
  <c r="AH123" i="10"/>
  <c r="AI123" i="10"/>
  <c r="C116" i="38"/>
  <c r="Y7" i="10"/>
  <c r="Z7" i="10"/>
  <c r="Z8" i="10"/>
  <c r="H133" i="1"/>
  <c r="AD133" i="1"/>
  <c r="R133" i="1"/>
  <c r="BH125" i="10"/>
  <c r="T126" i="10"/>
  <c r="I10" i="10"/>
  <c r="AB9" i="10"/>
  <c r="AA9" i="10"/>
  <c r="M9" i="10"/>
  <c r="C11" i="10"/>
  <c r="BF11" i="10"/>
  <c r="B12" i="10"/>
  <c r="F22" i="3"/>
  <c r="H23" i="3"/>
  <c r="F23" i="3"/>
  <c r="H22" i="3"/>
  <c r="AJ123" i="10"/>
  <c r="C6" i="3"/>
  <c r="J6" i="26"/>
  <c r="Z6" i="3"/>
  <c r="T127" i="10"/>
  <c r="BH126" i="10"/>
  <c r="B13" i="10"/>
  <c r="C12" i="10"/>
  <c r="BF12" i="10"/>
  <c r="Y9" i="10"/>
  <c r="Z9" i="10"/>
  <c r="J4" i="26"/>
  <c r="I11" i="10"/>
  <c r="AB10" i="10"/>
  <c r="AA10" i="10"/>
  <c r="Y10" i="10"/>
  <c r="M10" i="10"/>
  <c r="I12" i="10"/>
  <c r="AA11" i="10"/>
  <c r="Y11" i="10"/>
  <c r="M11" i="10"/>
  <c r="O5" i="10"/>
  <c r="AB11" i="10"/>
  <c r="AE10" i="10"/>
  <c r="AN6" i="26"/>
  <c r="B6" i="12"/>
  <c r="AE8" i="10"/>
  <c r="AD5" i="10"/>
  <c r="Z10" i="10"/>
  <c r="B14" i="10"/>
  <c r="BF13" i="10"/>
  <c r="C13" i="10"/>
  <c r="T128" i="10"/>
  <c r="BH127" i="10"/>
  <c r="A22" i="45"/>
  <c r="D7" i="38"/>
  <c r="E7" i="38"/>
  <c r="Z11" i="10"/>
  <c r="T129" i="10"/>
  <c r="BH128" i="10"/>
  <c r="AF8" i="10"/>
  <c r="B15" i="10"/>
  <c r="BF14" i="10"/>
  <c r="C14" i="10"/>
  <c r="U22" i="45"/>
  <c r="AC18" i="45"/>
  <c r="AE11" i="10"/>
  <c r="AX6" i="26"/>
  <c r="S6" i="12"/>
  <c r="AW6" i="26"/>
  <c r="R6" i="12"/>
  <c r="AA12" i="10"/>
  <c r="M12" i="10"/>
  <c r="I13" i="10"/>
  <c r="AB12" i="10"/>
  <c r="AD6" i="10"/>
  <c r="AF5" i="10"/>
  <c r="AT6" i="26"/>
  <c r="AH7" i="10"/>
  <c r="AH5" i="10"/>
  <c r="Q5" i="10"/>
  <c r="AD6" i="26"/>
  <c r="O6" i="10"/>
  <c r="L22" i="45"/>
  <c r="AC5" i="45"/>
  <c r="J22" i="45"/>
  <c r="AC15" i="45"/>
  <c r="F22" i="45"/>
  <c r="AC13" i="45"/>
  <c r="Q22" i="45"/>
  <c r="AC8" i="45"/>
  <c r="M22" i="45"/>
  <c r="AC9" i="45"/>
  <c r="G22" i="45"/>
  <c r="AC4" i="45"/>
  <c r="R22" i="45"/>
  <c r="AC10" i="45"/>
  <c r="K22" i="45"/>
  <c r="AC12" i="45"/>
  <c r="P22" i="45"/>
  <c r="AC7" i="45"/>
  <c r="W22" i="45"/>
  <c r="AC16" i="45"/>
  <c r="N22" i="45"/>
  <c r="AC19" i="45"/>
  <c r="V22" i="45"/>
  <c r="AC6" i="45"/>
  <c r="I22" i="45"/>
  <c r="AC11" i="45"/>
  <c r="S22" i="45"/>
  <c r="AC17" i="45"/>
  <c r="H22" i="45"/>
  <c r="AC3" i="45"/>
  <c r="T22" i="45"/>
  <c r="AC14" i="45"/>
  <c r="B22" i="45"/>
  <c r="AJ5" i="10"/>
  <c r="BM6" i="26"/>
  <c r="AD7" i="10"/>
  <c r="AF7" i="10"/>
  <c r="AF6" i="10"/>
  <c r="Y12" i="10"/>
  <c r="Z12" i="10"/>
  <c r="AH9" i="10"/>
  <c r="Q6" i="10"/>
  <c r="AI6" i="26"/>
  <c r="H6" i="12"/>
  <c r="AH6" i="26"/>
  <c r="J6" i="12"/>
  <c r="AJ7" i="10"/>
  <c r="BD6" i="26"/>
  <c r="O6" i="12"/>
  <c r="AV6" i="26"/>
  <c r="Q6" i="12"/>
  <c r="CK6" i="26"/>
  <c r="AB13" i="10"/>
  <c r="I14" i="10"/>
  <c r="AA13" i="10"/>
  <c r="Y13" i="10"/>
  <c r="M13" i="10"/>
  <c r="BF15" i="10"/>
  <c r="B16" i="10"/>
  <c r="C15" i="10"/>
  <c r="T130" i="10"/>
  <c r="BH129" i="10"/>
  <c r="AB14" i="10"/>
  <c r="I15" i="10"/>
  <c r="AA14" i="10"/>
  <c r="Y14" i="10"/>
  <c r="M14" i="10"/>
  <c r="AI6" i="12"/>
  <c r="BF6" i="26"/>
  <c r="AK6" i="12"/>
  <c r="T131" i="10"/>
  <c r="BH130" i="10"/>
  <c r="AH129" i="10"/>
  <c r="AJ9" i="10"/>
  <c r="BS6" i="26"/>
  <c r="B17" i="10"/>
  <c r="C16" i="10"/>
  <c r="BF16" i="10"/>
  <c r="K6" i="12"/>
  <c r="E5" i="38"/>
  <c r="AM6" i="26"/>
  <c r="M6" i="12"/>
  <c r="Z13" i="10"/>
  <c r="W6" i="12"/>
  <c r="T6" i="12"/>
  <c r="BO6" i="26"/>
  <c r="V6" i="12"/>
  <c r="Z14" i="10"/>
  <c r="D5" i="38"/>
  <c r="BF6" i="12"/>
  <c r="BU6" i="26"/>
  <c r="BH6" i="12"/>
  <c r="T132" i="10"/>
  <c r="BH131" i="10"/>
  <c r="I16" i="10"/>
  <c r="AA15" i="10"/>
  <c r="AB15" i="10"/>
  <c r="M15" i="10"/>
  <c r="AH130" i="10"/>
  <c r="AI130" i="10"/>
  <c r="C123" i="38"/>
  <c r="BF17" i="10"/>
  <c r="C17" i="10"/>
  <c r="B18" i="10"/>
  <c r="B19" i="10"/>
  <c r="C18" i="10"/>
  <c r="BF18" i="10"/>
  <c r="AJ130" i="10"/>
  <c r="Y15" i="10"/>
  <c r="Z15" i="10"/>
  <c r="T133" i="10"/>
  <c r="BH132" i="10"/>
  <c r="AB16" i="10"/>
  <c r="AA16" i="10"/>
  <c r="Y16" i="10"/>
  <c r="M16" i="10"/>
  <c r="I17" i="10"/>
  <c r="T134" i="10"/>
  <c r="BH133" i="10"/>
  <c r="Z16" i="10"/>
  <c r="I18" i="10"/>
  <c r="AA17" i="10"/>
  <c r="Y17" i="10"/>
  <c r="M17" i="10"/>
  <c r="AB17" i="10"/>
  <c r="BF19" i="10"/>
  <c r="B20" i="10"/>
  <c r="C19" i="10"/>
  <c r="Z17" i="10"/>
  <c r="BF20" i="10"/>
  <c r="C20" i="10"/>
  <c r="B21" i="10"/>
  <c r="AA18" i="10"/>
  <c r="M18" i="10"/>
  <c r="I19" i="10"/>
  <c r="AB18" i="10"/>
  <c r="AE17" i="10"/>
  <c r="O12" i="10"/>
  <c r="AN7" i="26"/>
  <c r="B7" i="12"/>
  <c r="AE15" i="10"/>
  <c r="BH134" i="10"/>
  <c r="T135" i="10"/>
  <c r="AW7" i="26"/>
  <c r="BF21" i="10"/>
  <c r="C21" i="10"/>
  <c r="B22" i="10"/>
  <c r="I20" i="10"/>
  <c r="AB19" i="10"/>
  <c r="AA19" i="10"/>
  <c r="M19" i="10"/>
  <c r="AF15" i="10"/>
  <c r="BH135" i="10"/>
  <c r="T136" i="10"/>
  <c r="AH14" i="10"/>
  <c r="Q12" i="10"/>
  <c r="AD7" i="26"/>
  <c r="O13" i="10"/>
  <c r="Y18" i="10"/>
  <c r="Z18" i="10"/>
  <c r="AD12" i="10"/>
  <c r="AD13" i="10"/>
  <c r="AF12" i="10"/>
  <c r="AT7" i="26"/>
  <c r="BH136" i="10"/>
  <c r="T137" i="10"/>
  <c r="AJ14" i="10"/>
  <c r="BD7" i="26"/>
  <c r="Y19" i="10"/>
  <c r="Z19" i="10"/>
  <c r="AH12" i="10"/>
  <c r="Q13" i="10"/>
  <c r="AI7" i="26"/>
  <c r="I21" i="10"/>
  <c r="AA20" i="10"/>
  <c r="Y20" i="10"/>
  <c r="M20" i="10"/>
  <c r="AB20" i="10"/>
  <c r="AH7" i="26"/>
  <c r="J7" i="12"/>
  <c r="B23" i="10"/>
  <c r="C22" i="10"/>
  <c r="BF22" i="10"/>
  <c r="AE18" i="10"/>
  <c r="AX7" i="26"/>
  <c r="I22" i="10"/>
  <c r="AA21" i="10"/>
  <c r="M21" i="10"/>
  <c r="AB21" i="10"/>
  <c r="BF7" i="26"/>
  <c r="AK7" i="12"/>
  <c r="E12" i="38"/>
  <c r="AM7" i="26"/>
  <c r="M7" i="12"/>
  <c r="BB7" i="26"/>
  <c r="AH15" i="10"/>
  <c r="AJ12" i="10"/>
  <c r="BM7" i="26"/>
  <c r="AV7" i="26"/>
  <c r="Q7" i="12"/>
  <c r="CK7" i="26"/>
  <c r="Z20" i="10"/>
  <c r="BF23" i="10"/>
  <c r="B24" i="10"/>
  <c r="C23" i="10"/>
  <c r="T138" i="10"/>
  <c r="BH137" i="10"/>
  <c r="AH136" i="10"/>
  <c r="AD14" i="10"/>
  <c r="AF14" i="10"/>
  <c r="AF13" i="10"/>
  <c r="D12" i="38"/>
  <c r="C12" i="38"/>
  <c r="BH138" i="10"/>
  <c r="T139" i="10"/>
  <c r="BO7" i="26"/>
  <c r="V7" i="12"/>
  <c r="Y21" i="10"/>
  <c r="Z21" i="10"/>
  <c r="AH137" i="10"/>
  <c r="AI137" i="10"/>
  <c r="C130" i="38"/>
  <c r="B25" i="10"/>
  <c r="BF24" i="10"/>
  <c r="C24" i="10"/>
  <c r="AJ15" i="10"/>
  <c r="BG7" i="26"/>
  <c r="AH16" i="10"/>
  <c r="AB22" i="10"/>
  <c r="M22" i="10"/>
  <c r="I23" i="10"/>
  <c r="AA22" i="10"/>
  <c r="Y22" i="10"/>
  <c r="I24" i="10"/>
  <c r="AB23" i="10"/>
  <c r="AA23" i="10"/>
  <c r="Y23" i="10"/>
  <c r="M23" i="10"/>
  <c r="BI7" i="26"/>
  <c r="AN7" i="12"/>
  <c r="BF25" i="10"/>
  <c r="B26" i="10"/>
  <c r="C25" i="10"/>
  <c r="Z22" i="10"/>
  <c r="AJ137" i="10"/>
  <c r="BH139" i="10"/>
  <c r="T140" i="10"/>
  <c r="C14" i="38"/>
  <c r="D14" i="38"/>
  <c r="E14" i="38"/>
  <c r="AJ16" i="10"/>
  <c r="BS7" i="26"/>
  <c r="BU7" i="26"/>
  <c r="BH7" i="12"/>
  <c r="Z23" i="10"/>
  <c r="T141" i="10"/>
  <c r="BH140" i="10"/>
  <c r="B27" i="10"/>
  <c r="C26" i="10"/>
  <c r="BF26" i="10"/>
  <c r="AB24" i="10"/>
  <c r="I25" i="10"/>
  <c r="AA24" i="10"/>
  <c r="Y24" i="10"/>
  <c r="M24" i="10"/>
  <c r="Z24" i="10"/>
  <c r="I26" i="10"/>
  <c r="AB25" i="10"/>
  <c r="AE24" i="10"/>
  <c r="AA25" i="10"/>
  <c r="M25" i="10"/>
  <c r="O19" i="10"/>
  <c r="AN8" i="26"/>
  <c r="B8" i="12"/>
  <c r="AE22" i="10"/>
  <c r="B28" i="10"/>
  <c r="BF27" i="10"/>
  <c r="C27" i="10"/>
  <c r="T142" i="10"/>
  <c r="BH141" i="10"/>
  <c r="T143" i="10"/>
  <c r="BH142" i="10"/>
  <c r="AF22" i="10"/>
  <c r="AW8" i="26"/>
  <c r="AA26" i="10"/>
  <c r="M26" i="10"/>
  <c r="I27" i="10"/>
  <c r="AB26" i="10"/>
  <c r="AH21" i="10"/>
  <c r="Q19" i="10"/>
  <c r="AD8" i="26"/>
  <c r="O20" i="10"/>
  <c r="B29" i="10"/>
  <c r="BF28" i="10"/>
  <c r="C28" i="10"/>
  <c r="Y25" i="10"/>
  <c r="Z25" i="10"/>
  <c r="AD19" i="10"/>
  <c r="AH19" i="10"/>
  <c r="AJ19" i="10"/>
  <c r="BM8" i="26"/>
  <c r="AH8" i="26"/>
  <c r="J8" i="12"/>
  <c r="Q20" i="10"/>
  <c r="AI8" i="26"/>
  <c r="AJ21" i="10"/>
  <c r="BD8" i="26"/>
  <c r="Y26" i="10"/>
  <c r="Z26" i="10"/>
  <c r="AD20" i="10"/>
  <c r="AF19" i="10"/>
  <c r="AT8" i="26"/>
  <c r="BF29" i="10"/>
  <c r="B30" i="10"/>
  <c r="C29" i="10"/>
  <c r="AB27" i="10"/>
  <c r="I28" i="10"/>
  <c r="AA27" i="10"/>
  <c r="Y27" i="10"/>
  <c r="M27" i="10"/>
  <c r="AE25" i="10"/>
  <c r="AX8" i="26"/>
  <c r="T144" i="10"/>
  <c r="BH143" i="10"/>
  <c r="Z27" i="10"/>
  <c r="B31" i="10"/>
  <c r="C30" i="10"/>
  <c r="BF30" i="10"/>
  <c r="AD21" i="10"/>
  <c r="AF21" i="10"/>
  <c r="AF20" i="10"/>
  <c r="AB28" i="10"/>
  <c r="I29" i="10"/>
  <c r="AA28" i="10"/>
  <c r="Y28" i="10"/>
  <c r="M28" i="10"/>
  <c r="AV8" i="26"/>
  <c r="Q8" i="12"/>
  <c r="CK8" i="26"/>
  <c r="E19" i="38"/>
  <c r="AM8" i="26"/>
  <c r="M8" i="12"/>
  <c r="BB8" i="26"/>
  <c r="AH22" i="10"/>
  <c r="BO8" i="26"/>
  <c r="V8" i="12"/>
  <c r="BF8" i="26"/>
  <c r="AK8" i="12"/>
  <c r="T145" i="10"/>
  <c r="BH144" i="10"/>
  <c r="AH143" i="10"/>
  <c r="Z28" i="10"/>
  <c r="T146" i="10"/>
  <c r="BH145" i="10"/>
  <c r="I30" i="10"/>
  <c r="AA29" i="10"/>
  <c r="AB29" i="10"/>
  <c r="M29" i="10"/>
  <c r="D19" i="38"/>
  <c r="C19" i="38"/>
  <c r="BF31" i="10"/>
  <c r="C31" i="10"/>
  <c r="B32" i="10"/>
  <c r="AH144" i="10"/>
  <c r="AI144" i="10"/>
  <c r="C137" i="38"/>
  <c r="AJ22" i="10"/>
  <c r="BG8" i="26"/>
  <c r="AH23" i="10"/>
  <c r="C21" i="38"/>
  <c r="D21" i="38"/>
  <c r="E21" i="38"/>
  <c r="AB30" i="10"/>
  <c r="AA30" i="10"/>
  <c r="Y30" i="10"/>
  <c r="M30" i="10"/>
  <c r="I31" i="10"/>
  <c r="BI8" i="26"/>
  <c r="AN8" i="12"/>
  <c r="T147" i="10"/>
  <c r="BH146" i="10"/>
  <c r="Y29" i="10"/>
  <c r="Z29" i="10"/>
  <c r="B33" i="10"/>
  <c r="C32" i="10"/>
  <c r="BF32" i="10"/>
  <c r="AJ23" i="10"/>
  <c r="BS8" i="26"/>
  <c r="BU8" i="26"/>
  <c r="BH8" i="12"/>
  <c r="AJ144" i="10"/>
  <c r="Z30" i="10"/>
  <c r="BF33" i="10"/>
  <c r="B34" i="10"/>
  <c r="C33" i="10"/>
  <c r="I32" i="10"/>
  <c r="AA31" i="10"/>
  <c r="Y31" i="10"/>
  <c r="M31" i="10"/>
  <c r="AB31" i="10"/>
  <c r="T148" i="10"/>
  <c r="BH147" i="10"/>
  <c r="Z31" i="10"/>
  <c r="BF34" i="10"/>
  <c r="C34" i="10"/>
  <c r="B35" i="10"/>
  <c r="BH148" i="10"/>
  <c r="T149" i="10"/>
  <c r="AA32" i="10"/>
  <c r="M32" i="10"/>
  <c r="O26" i="10"/>
  <c r="I33" i="10"/>
  <c r="AB32" i="10"/>
  <c r="AE31" i="10"/>
  <c r="AN9" i="26"/>
  <c r="B9" i="12"/>
  <c r="AE29" i="10"/>
  <c r="Y32" i="10"/>
  <c r="Z32" i="10"/>
  <c r="AD26" i="10"/>
  <c r="BF35" i="10"/>
  <c r="C35" i="10"/>
  <c r="B36" i="10"/>
  <c r="AF29" i="10"/>
  <c r="AW9" i="26"/>
  <c r="I34" i="10"/>
  <c r="AB33" i="10"/>
  <c r="AA33" i="10"/>
  <c r="M33" i="10"/>
  <c r="BH149" i="10"/>
  <c r="T150" i="10"/>
  <c r="AH28" i="10"/>
  <c r="Q26" i="10"/>
  <c r="AD9" i="26"/>
  <c r="O27" i="10"/>
  <c r="AD27" i="10"/>
  <c r="AF26" i="10"/>
  <c r="AT9" i="26"/>
  <c r="AH9" i="26"/>
  <c r="J9" i="12"/>
  <c r="BH150" i="10"/>
  <c r="T151" i="10"/>
  <c r="I35" i="10"/>
  <c r="AA34" i="10"/>
  <c r="Y34" i="10"/>
  <c r="M34" i="10"/>
  <c r="AB34" i="10"/>
  <c r="AJ28" i="10"/>
  <c r="BD9" i="26"/>
  <c r="B37" i="10"/>
  <c r="C36" i="10"/>
  <c r="BF36" i="10"/>
  <c r="Q27" i="10"/>
  <c r="AI9" i="26"/>
  <c r="AH26" i="10"/>
  <c r="Y33" i="10"/>
  <c r="Z33" i="10"/>
  <c r="AE32" i="10"/>
  <c r="AX9" i="26"/>
  <c r="Z34" i="10"/>
  <c r="BF9" i="26"/>
  <c r="AK9" i="12"/>
  <c r="AV9" i="26"/>
  <c r="Q9" i="12"/>
  <c r="CK9" i="26"/>
  <c r="I36" i="10"/>
  <c r="AA35" i="10"/>
  <c r="M35" i="10"/>
  <c r="AB35" i="10"/>
  <c r="T152" i="10"/>
  <c r="BH151" i="10"/>
  <c r="AH150" i="10"/>
  <c r="AD28" i="10"/>
  <c r="AF28" i="10"/>
  <c r="AF27" i="10"/>
  <c r="AJ26" i="10"/>
  <c r="BM9" i="26"/>
  <c r="E26" i="38"/>
  <c r="AM9" i="26"/>
  <c r="M9" i="12"/>
  <c r="BB9" i="26"/>
  <c r="AH29" i="10"/>
  <c r="BF37" i="10"/>
  <c r="B38" i="10"/>
  <c r="C37" i="10"/>
  <c r="D26" i="38"/>
  <c r="C26" i="38"/>
  <c r="BO9" i="26"/>
  <c r="V9" i="12"/>
  <c r="AH151" i="10"/>
  <c r="AI151" i="10"/>
  <c r="AJ151" i="10"/>
  <c r="C144" i="38"/>
  <c r="B39" i="10"/>
  <c r="BF38" i="10"/>
  <c r="C38" i="10"/>
  <c r="AJ29" i="10"/>
  <c r="BG9" i="26"/>
  <c r="AH30" i="10"/>
  <c r="Y35" i="10"/>
  <c r="Z35" i="10"/>
  <c r="BH152" i="10"/>
  <c r="T153" i="10"/>
  <c r="AB36" i="10"/>
  <c r="M36" i="10"/>
  <c r="I37" i="10"/>
  <c r="AA36" i="10"/>
  <c r="Y36" i="10"/>
  <c r="I38" i="10"/>
  <c r="AB37" i="10"/>
  <c r="AA37" i="10"/>
  <c r="M37" i="10"/>
  <c r="BH153" i="10"/>
  <c r="T154" i="10"/>
  <c r="AJ30" i="10"/>
  <c r="BS9" i="26"/>
  <c r="BU9" i="26"/>
  <c r="BH9" i="12"/>
  <c r="Z36" i="10"/>
  <c r="BI9" i="26"/>
  <c r="AN9" i="12"/>
  <c r="BF39" i="10"/>
  <c r="B40" i="10"/>
  <c r="C39" i="10"/>
  <c r="C28" i="38"/>
  <c r="D28" i="38"/>
  <c r="E28" i="38"/>
  <c r="Y37" i="10"/>
  <c r="Z37" i="10"/>
  <c r="T155" i="10"/>
  <c r="BH154" i="10"/>
  <c r="B41" i="10"/>
  <c r="C40" i="10"/>
  <c r="BF40" i="10"/>
  <c r="AB38" i="10"/>
  <c r="I39" i="10"/>
  <c r="AA38" i="10"/>
  <c r="Y38" i="10"/>
  <c r="M38" i="10"/>
  <c r="Z38" i="10"/>
  <c r="I40" i="10"/>
  <c r="AB39" i="10"/>
  <c r="AE38" i="10"/>
  <c r="AA39" i="10"/>
  <c r="M39" i="10"/>
  <c r="O33" i="10"/>
  <c r="AN10" i="26"/>
  <c r="B10" i="12"/>
  <c r="AE36" i="10"/>
  <c r="T156" i="10"/>
  <c r="BH155" i="10"/>
  <c r="B42" i="10"/>
  <c r="BF41" i="10"/>
  <c r="C41" i="10"/>
  <c r="T157" i="10"/>
  <c r="BH156" i="10"/>
  <c r="Y39" i="10"/>
  <c r="Z39" i="10"/>
  <c r="AD33" i="10"/>
  <c r="B43" i="10"/>
  <c r="BF42" i="10"/>
  <c r="C42" i="10"/>
  <c r="AF36" i="10"/>
  <c r="AW10" i="26"/>
  <c r="AA40" i="10"/>
  <c r="M40" i="10"/>
  <c r="I41" i="10"/>
  <c r="AB40" i="10"/>
  <c r="AH35" i="10"/>
  <c r="Q33" i="10"/>
  <c r="AD10" i="26"/>
  <c r="O34" i="10"/>
  <c r="Q34" i="10"/>
  <c r="AI10" i="26"/>
  <c r="AD34" i="10"/>
  <c r="AF33" i="10"/>
  <c r="AT10" i="26"/>
  <c r="Y40" i="10"/>
  <c r="Z40" i="10"/>
  <c r="AH10" i="26"/>
  <c r="J10" i="12"/>
  <c r="AB41" i="10"/>
  <c r="I42" i="10"/>
  <c r="AA41" i="10"/>
  <c r="Y41" i="10"/>
  <c r="M41" i="10"/>
  <c r="AE39" i="10"/>
  <c r="AX10" i="26"/>
  <c r="AJ35" i="10"/>
  <c r="BD10" i="26"/>
  <c r="AH33" i="10"/>
  <c r="BF43" i="10"/>
  <c r="B44" i="10"/>
  <c r="C43" i="10"/>
  <c r="T158" i="10"/>
  <c r="BH157" i="10"/>
  <c r="AV10" i="26"/>
  <c r="Q10" i="12"/>
  <c r="CK10" i="26"/>
  <c r="B45" i="10"/>
  <c r="C44" i="10"/>
  <c r="BF44" i="10"/>
  <c r="BF10" i="26"/>
  <c r="AK10" i="12"/>
  <c r="Z41" i="10"/>
  <c r="AD35" i="10"/>
  <c r="AF35" i="10"/>
  <c r="AF34" i="10"/>
  <c r="E33" i="38"/>
  <c r="BB10" i="26"/>
  <c r="AH36" i="10"/>
  <c r="AM10" i="26"/>
  <c r="M10" i="12"/>
  <c r="AB42" i="10"/>
  <c r="I43" i="10"/>
  <c r="AA42" i="10"/>
  <c r="M42" i="10"/>
  <c r="T159" i="10"/>
  <c r="BH158" i="10"/>
  <c r="AH157" i="10"/>
  <c r="AJ33" i="10"/>
  <c r="BM10" i="26"/>
  <c r="I44" i="10"/>
  <c r="AA43" i="10"/>
  <c r="Y43" i="10"/>
  <c r="AB43" i="10"/>
  <c r="M43" i="10"/>
  <c r="BO10" i="26"/>
  <c r="V10" i="12"/>
  <c r="T160" i="10"/>
  <c r="BH159" i="10"/>
  <c r="AH158" i="10"/>
  <c r="AI158" i="10"/>
  <c r="AJ158" i="10"/>
  <c r="C151" i="38"/>
  <c r="Y42" i="10"/>
  <c r="Z42" i="10"/>
  <c r="AJ36" i="10"/>
  <c r="BG10" i="26"/>
  <c r="AH37" i="10"/>
  <c r="D33" i="38"/>
  <c r="C33" i="38"/>
  <c r="BF45" i="10"/>
  <c r="C45" i="10"/>
  <c r="B46" i="10"/>
  <c r="Z43" i="10"/>
  <c r="BI10" i="26"/>
  <c r="AN10" i="12"/>
  <c r="B47" i="10"/>
  <c r="C46" i="10"/>
  <c r="BF46" i="10"/>
  <c r="AB44" i="10"/>
  <c r="AA44" i="10"/>
  <c r="M44" i="10"/>
  <c r="I45" i="10"/>
  <c r="AJ37" i="10"/>
  <c r="BS10" i="26"/>
  <c r="BU10" i="26"/>
  <c r="BH10" i="12"/>
  <c r="C35" i="38"/>
  <c r="D35" i="38"/>
  <c r="E35" i="38"/>
  <c r="T161" i="10"/>
  <c r="BH160" i="10"/>
  <c r="T162" i="10"/>
  <c r="BH161" i="10"/>
  <c r="I46" i="10"/>
  <c r="AA45" i="10"/>
  <c r="Y45" i="10"/>
  <c r="M45" i="10"/>
  <c r="AB45" i="10"/>
  <c r="Y44" i="10"/>
  <c r="Z44" i="10"/>
  <c r="BF47" i="10"/>
  <c r="B48" i="10"/>
  <c r="C47" i="10"/>
  <c r="AA46" i="10"/>
  <c r="M46" i="10"/>
  <c r="O40" i="10"/>
  <c r="I47" i="10"/>
  <c r="AB46" i="10"/>
  <c r="AE45" i="10"/>
  <c r="AN11" i="26"/>
  <c r="B11" i="12"/>
  <c r="AE43" i="10"/>
  <c r="Z45" i="10"/>
  <c r="BF48" i="10"/>
  <c r="C48" i="10"/>
  <c r="B49" i="10"/>
  <c r="BH162" i="10"/>
  <c r="T163" i="10"/>
  <c r="AH42" i="10"/>
  <c r="Q40" i="10"/>
  <c r="AD11" i="26"/>
  <c r="O41" i="10"/>
  <c r="AF43" i="10"/>
  <c r="Y46" i="10"/>
  <c r="Z46" i="10"/>
  <c r="AD40" i="10"/>
  <c r="AE46" i="10"/>
  <c r="AX11" i="26"/>
  <c r="I48" i="10"/>
  <c r="AB47" i="10"/>
  <c r="AA47" i="10"/>
  <c r="M47" i="10"/>
  <c r="BF49" i="10"/>
  <c r="C49" i="10"/>
  <c r="B50" i="10"/>
  <c r="BH163" i="10"/>
  <c r="T164" i="10"/>
  <c r="AW11" i="26"/>
  <c r="AH40" i="10"/>
  <c r="B51" i="10"/>
  <c r="C50" i="10"/>
  <c r="BF50" i="10"/>
  <c r="AJ40" i="10"/>
  <c r="BM11" i="26"/>
  <c r="AH11" i="26"/>
  <c r="J11" i="12"/>
  <c r="Y47" i="10"/>
  <c r="Z47" i="10"/>
  <c r="Q41" i="10"/>
  <c r="AI11" i="26"/>
  <c r="BH164" i="10"/>
  <c r="T165" i="10"/>
  <c r="I49" i="10"/>
  <c r="AA48" i="10"/>
  <c r="Y48" i="10"/>
  <c r="M48" i="10"/>
  <c r="AB48" i="10"/>
  <c r="AD41" i="10"/>
  <c r="AF40" i="10"/>
  <c r="AT11" i="26"/>
  <c r="AJ42" i="10"/>
  <c r="BD11" i="26"/>
  <c r="Z48" i="10"/>
  <c r="AD42" i="10"/>
  <c r="AF42" i="10"/>
  <c r="AF41" i="10"/>
  <c r="BF11" i="26"/>
  <c r="AK11" i="12"/>
  <c r="AV11" i="26"/>
  <c r="Q11" i="12"/>
  <c r="CK11" i="26"/>
  <c r="T166" i="10"/>
  <c r="BH165" i="10"/>
  <c r="AH164" i="10"/>
  <c r="BO11" i="26"/>
  <c r="V11" i="12"/>
  <c r="BF51" i="10"/>
  <c r="B52" i="10"/>
  <c r="C51" i="10"/>
  <c r="I50" i="10"/>
  <c r="AA49" i="10"/>
  <c r="M49" i="10"/>
  <c r="AB49" i="10"/>
  <c r="E40" i="38"/>
  <c r="AM11" i="26"/>
  <c r="M11" i="12"/>
  <c r="BB11" i="26"/>
  <c r="AH43" i="10"/>
  <c r="AJ43" i="10"/>
  <c r="BG11" i="26"/>
  <c r="AH44" i="10"/>
  <c r="B53" i="10"/>
  <c r="BF52" i="10"/>
  <c r="C52" i="10"/>
  <c r="Y49" i="10"/>
  <c r="Z49" i="10"/>
  <c r="AH165" i="10"/>
  <c r="AI165" i="10"/>
  <c r="C158" i="38"/>
  <c r="D40" i="38"/>
  <c r="C40" i="38"/>
  <c r="AB50" i="10"/>
  <c r="M50" i="10"/>
  <c r="I51" i="10"/>
  <c r="AA50" i="10"/>
  <c r="Y50" i="10"/>
  <c r="BH166" i="10"/>
  <c r="T167" i="10"/>
  <c r="Z50" i="10"/>
  <c r="BH167" i="10"/>
  <c r="T168" i="10"/>
  <c r="AJ165" i="10"/>
  <c r="AJ44" i="10"/>
  <c r="BS11" i="26"/>
  <c r="BU11" i="26"/>
  <c r="BH11" i="12"/>
  <c r="BI11" i="26"/>
  <c r="AN11" i="12"/>
  <c r="I52" i="10"/>
  <c r="AB51" i="10"/>
  <c r="AA51" i="10"/>
  <c r="Y51" i="10"/>
  <c r="M51" i="10"/>
  <c r="C42" i="38"/>
  <c r="D42" i="38"/>
  <c r="E42" i="38"/>
  <c r="BF53" i="10"/>
  <c r="B54" i="10"/>
  <c r="C53" i="10"/>
  <c r="Z51" i="10"/>
  <c r="AB52" i="10"/>
  <c r="I53" i="10"/>
  <c r="AA52" i="10"/>
  <c r="M52" i="10"/>
  <c r="B55" i="10"/>
  <c r="C54" i="10"/>
  <c r="BF54" i="10"/>
  <c r="T169" i="10"/>
  <c r="BH168" i="10"/>
  <c r="T170" i="10"/>
  <c r="BH169" i="10"/>
  <c r="B56" i="10"/>
  <c r="BF55" i="10"/>
  <c r="C55" i="10"/>
  <c r="Y52" i="10"/>
  <c r="Z52" i="10"/>
  <c r="AA53" i="10"/>
  <c r="AD47" i="10"/>
  <c r="I54" i="10"/>
  <c r="AB53" i="10"/>
  <c r="AE52" i="10"/>
  <c r="Y53" i="10"/>
  <c r="M53" i="10"/>
  <c r="O47" i="10"/>
  <c r="AN12" i="26"/>
  <c r="B12" i="12"/>
  <c r="AE50" i="10"/>
  <c r="AA54" i="10"/>
  <c r="M54" i="10"/>
  <c r="I55" i="10"/>
  <c r="AB54" i="10"/>
  <c r="AH49" i="10"/>
  <c r="AH47" i="10"/>
  <c r="Q47" i="10"/>
  <c r="AD12" i="26"/>
  <c r="O48" i="10"/>
  <c r="Z53" i="10"/>
  <c r="AD48" i="10"/>
  <c r="AF47" i="10"/>
  <c r="AT12" i="26"/>
  <c r="B57" i="10"/>
  <c r="BF56" i="10"/>
  <c r="C56" i="10"/>
  <c r="AF50" i="10"/>
  <c r="AE53" i="10"/>
  <c r="AX12" i="26"/>
  <c r="AW12" i="26"/>
  <c r="T171" i="10"/>
  <c r="BH170" i="10"/>
  <c r="AD49" i="10"/>
  <c r="AF49" i="10"/>
  <c r="AF48" i="10"/>
  <c r="AB55" i="10"/>
  <c r="I56" i="10"/>
  <c r="AA55" i="10"/>
  <c r="Y55" i="10"/>
  <c r="M55" i="10"/>
  <c r="BF57" i="10"/>
  <c r="B58" i="10"/>
  <c r="C57" i="10"/>
  <c r="AJ47" i="10"/>
  <c r="BM12" i="26"/>
  <c r="AH12" i="26"/>
  <c r="J12" i="12"/>
  <c r="T172" i="10"/>
  <c r="BH171" i="10"/>
  <c r="AV12" i="26"/>
  <c r="Q12" i="12"/>
  <c r="CK12" i="26"/>
  <c r="Q48" i="10"/>
  <c r="AI12" i="26"/>
  <c r="AJ49" i="10"/>
  <c r="BD12" i="26"/>
  <c r="Y54" i="10"/>
  <c r="Z54" i="10"/>
  <c r="Z55" i="10"/>
  <c r="T173" i="10"/>
  <c r="BH172" i="10"/>
  <c r="BO12" i="26"/>
  <c r="V12" i="12"/>
  <c r="B59" i="10"/>
  <c r="C58" i="10"/>
  <c r="BF58" i="10"/>
  <c r="BF12" i="26"/>
  <c r="AK12" i="12"/>
  <c r="E47" i="38"/>
  <c r="AM12" i="26"/>
  <c r="M12" i="12"/>
  <c r="BB12" i="26"/>
  <c r="AH50" i="10"/>
  <c r="AB56" i="10"/>
  <c r="I57" i="10"/>
  <c r="AA56" i="10"/>
  <c r="M56" i="10"/>
  <c r="AH171" i="10"/>
  <c r="AH172" i="10"/>
  <c r="AI172" i="10"/>
  <c r="C165" i="38"/>
  <c r="I58" i="10"/>
  <c r="AA57" i="10"/>
  <c r="Y57" i="10"/>
  <c r="AB57" i="10"/>
  <c r="M57" i="10"/>
  <c r="AJ50" i="10"/>
  <c r="BG12" i="26"/>
  <c r="AH51" i="10"/>
  <c r="BF59" i="10"/>
  <c r="C59" i="10"/>
  <c r="B60" i="10"/>
  <c r="D47" i="38"/>
  <c r="C47" i="38"/>
  <c r="Y56" i="10"/>
  <c r="Z56" i="10"/>
  <c r="T174" i="10"/>
  <c r="BH173" i="10"/>
  <c r="Z57" i="10"/>
  <c r="T175" i="10"/>
  <c r="BH174" i="10"/>
  <c r="AB58" i="10"/>
  <c r="AA58" i="10"/>
  <c r="M58" i="10"/>
  <c r="I59" i="10"/>
  <c r="C49" i="38"/>
  <c r="D49" i="38"/>
  <c r="E49" i="38"/>
  <c r="AJ51" i="10"/>
  <c r="BS12" i="26"/>
  <c r="BU12" i="26"/>
  <c r="BH12" i="12"/>
  <c r="B61" i="10"/>
  <c r="C60" i="10"/>
  <c r="BF60" i="10"/>
  <c r="BI12" i="26"/>
  <c r="AN12" i="12"/>
  <c r="AJ172" i="10"/>
  <c r="I60" i="10"/>
  <c r="AA59" i="10"/>
  <c r="Y59" i="10"/>
  <c r="M59" i="10"/>
  <c r="AB59" i="10"/>
  <c r="BF61" i="10"/>
  <c r="B62" i="10"/>
  <c r="C61" i="10"/>
  <c r="T176" i="10"/>
  <c r="BH175" i="10"/>
  <c r="Y58" i="10"/>
  <c r="Z58" i="10"/>
  <c r="Z59" i="10"/>
  <c r="BF62" i="10"/>
  <c r="C62" i="10"/>
  <c r="B63" i="10"/>
  <c r="AA60" i="10"/>
  <c r="M60" i="10"/>
  <c r="O54" i="10"/>
  <c r="I61" i="10"/>
  <c r="AB60" i="10"/>
  <c r="AE59" i="10"/>
  <c r="AN13" i="26"/>
  <c r="B13" i="12"/>
  <c r="AE57" i="10"/>
  <c r="BH176" i="10"/>
  <c r="T177" i="10"/>
  <c r="BH177" i="10"/>
  <c r="T178" i="10"/>
  <c r="AW13" i="26"/>
  <c r="BF63" i="10"/>
  <c r="C63" i="10"/>
  <c r="B64" i="10"/>
  <c r="I62" i="10"/>
  <c r="AB61" i="10"/>
  <c r="AA61" i="10"/>
  <c r="M61" i="10"/>
  <c r="AF57" i="10"/>
  <c r="AH56" i="10"/>
  <c r="Q54" i="10"/>
  <c r="AD13" i="26"/>
  <c r="O55" i="10"/>
  <c r="Y60" i="10"/>
  <c r="Z60" i="10"/>
  <c r="AD54" i="10"/>
  <c r="AD55" i="10"/>
  <c r="AF54" i="10"/>
  <c r="AT13" i="26"/>
  <c r="I63" i="10"/>
  <c r="AA62" i="10"/>
  <c r="Y62" i="10"/>
  <c r="M62" i="10"/>
  <c r="AB62" i="10"/>
  <c r="AJ56" i="10"/>
  <c r="BD13" i="26"/>
  <c r="B65" i="10"/>
  <c r="C64" i="10"/>
  <c r="BF64" i="10"/>
  <c r="AE60" i="10"/>
  <c r="AX13" i="26"/>
  <c r="Q55" i="10"/>
  <c r="AI13" i="26"/>
  <c r="AH54" i="10"/>
  <c r="Y61" i="10"/>
  <c r="Z61" i="10"/>
  <c r="Z62" i="10"/>
  <c r="BH178" i="10"/>
  <c r="T179" i="10"/>
  <c r="AH13" i="26"/>
  <c r="J13" i="12"/>
  <c r="I64" i="10"/>
  <c r="AA63" i="10"/>
  <c r="M63" i="10"/>
  <c r="AB63" i="10"/>
  <c r="T180" i="10"/>
  <c r="BH179" i="10"/>
  <c r="AH178" i="10"/>
  <c r="AJ54" i="10"/>
  <c r="BM13" i="26"/>
  <c r="AV13" i="26"/>
  <c r="Q13" i="12"/>
  <c r="CK13" i="26"/>
  <c r="E54" i="38"/>
  <c r="AM13" i="26"/>
  <c r="M13" i="12"/>
  <c r="BB13" i="26"/>
  <c r="AH57" i="10"/>
  <c r="BF13" i="26"/>
  <c r="AK13" i="12"/>
  <c r="BF65" i="10"/>
  <c r="B66" i="10"/>
  <c r="C65" i="10"/>
  <c r="AD56" i="10"/>
  <c r="AF56" i="10"/>
  <c r="AF55" i="10"/>
  <c r="D54" i="38"/>
  <c r="C54" i="38"/>
  <c r="BO13" i="26"/>
  <c r="V13" i="12"/>
  <c r="BH180" i="10"/>
  <c r="T181" i="10"/>
  <c r="AB64" i="10"/>
  <c r="M64" i="10"/>
  <c r="I65" i="10"/>
  <c r="AA64" i="10"/>
  <c r="Y64" i="10"/>
  <c r="Y63" i="10"/>
  <c r="Z63" i="10"/>
  <c r="B67" i="10"/>
  <c r="BF66" i="10"/>
  <c r="C66" i="10"/>
  <c r="AJ57" i="10"/>
  <c r="BG13" i="26"/>
  <c r="AH58" i="10"/>
  <c r="AH179" i="10"/>
  <c r="AI179" i="10"/>
  <c r="C172" i="38"/>
  <c r="AJ179" i="10"/>
  <c r="BI13" i="26"/>
  <c r="AN13" i="12"/>
  <c r="BF67" i="10"/>
  <c r="B68" i="10"/>
  <c r="C67" i="10"/>
  <c r="I66" i="10"/>
  <c r="AB65" i="10"/>
  <c r="AA65" i="10"/>
  <c r="Y65" i="10"/>
  <c r="M65" i="10"/>
  <c r="BH181" i="10"/>
  <c r="T182" i="10"/>
  <c r="Z64" i="10"/>
  <c r="C56" i="38"/>
  <c r="D56" i="38"/>
  <c r="E56" i="38"/>
  <c r="AJ58" i="10"/>
  <c r="BS13" i="26"/>
  <c r="BU13" i="26"/>
  <c r="BH13" i="12"/>
  <c r="Z65" i="10"/>
  <c r="B69" i="10"/>
  <c r="C68" i="10"/>
  <c r="BF68" i="10"/>
  <c r="T183" i="10"/>
  <c r="BH182" i="10"/>
  <c r="AB66" i="10"/>
  <c r="I67" i="10"/>
  <c r="AA66" i="10"/>
  <c r="Y66" i="10"/>
  <c r="Z66" i="10"/>
  <c r="M66" i="10"/>
  <c r="I68" i="10"/>
  <c r="AB67" i="10"/>
  <c r="AE66" i="10"/>
  <c r="AA67" i="10"/>
  <c r="M67" i="10"/>
  <c r="O61" i="10"/>
  <c r="AN14" i="26"/>
  <c r="B14" i="12"/>
  <c r="AE64" i="10"/>
  <c r="T184" i="10"/>
  <c r="BH183" i="10"/>
  <c r="B70" i="10"/>
  <c r="BF69" i="10"/>
  <c r="C69" i="10"/>
  <c r="AW14" i="26"/>
  <c r="Y67" i="10"/>
  <c r="Z67" i="10"/>
  <c r="AD61" i="10"/>
  <c r="B71" i="10"/>
  <c r="BF70" i="10"/>
  <c r="C70" i="10"/>
  <c r="AA68" i="10"/>
  <c r="M68" i="10"/>
  <c r="I69" i="10"/>
  <c r="AB68" i="10"/>
  <c r="T185" i="10"/>
  <c r="BH184" i="10"/>
  <c r="AF64" i="10"/>
  <c r="AH63" i="10"/>
  <c r="Q61" i="10"/>
  <c r="AD14" i="26"/>
  <c r="O62" i="10"/>
  <c r="Q62" i="10"/>
  <c r="AI14" i="26"/>
  <c r="AJ63" i="10"/>
  <c r="BD14" i="26"/>
  <c r="T186" i="10"/>
  <c r="BH185" i="10"/>
  <c r="Y68" i="10"/>
  <c r="Z68" i="10"/>
  <c r="AH14" i="26"/>
  <c r="J14" i="12"/>
  <c r="AB69" i="10"/>
  <c r="I70" i="10"/>
  <c r="AA69" i="10"/>
  <c r="Y69" i="10"/>
  <c r="M69" i="10"/>
  <c r="AD62" i="10"/>
  <c r="AF61" i="10"/>
  <c r="AT14" i="26"/>
  <c r="AH61" i="10"/>
  <c r="BF71" i="10"/>
  <c r="B72" i="10"/>
  <c r="C71" i="10"/>
  <c r="AE67" i="10"/>
  <c r="AX14" i="26"/>
  <c r="Z69" i="10"/>
  <c r="B73" i="10"/>
  <c r="C72" i="10"/>
  <c r="BF72" i="10"/>
  <c r="AD63" i="10"/>
  <c r="AF63" i="10"/>
  <c r="AF62" i="10"/>
  <c r="E61" i="38"/>
  <c r="BB14" i="26"/>
  <c r="AH64" i="10"/>
  <c r="AM14" i="26"/>
  <c r="M14" i="12"/>
  <c r="AV14" i="26"/>
  <c r="Q14" i="12"/>
  <c r="CK14" i="26"/>
  <c r="T187" i="10"/>
  <c r="BH186" i="10"/>
  <c r="AH185" i="10"/>
  <c r="AJ61" i="10"/>
  <c r="BM14" i="26"/>
  <c r="AB70" i="10"/>
  <c r="I71" i="10"/>
  <c r="AA70" i="10"/>
  <c r="M70" i="10"/>
  <c r="BF14" i="26"/>
  <c r="AK14" i="12"/>
  <c r="I72" i="10"/>
  <c r="AA71" i="10"/>
  <c r="Y71" i="10"/>
  <c r="AB71" i="10"/>
  <c r="M71" i="10"/>
  <c r="AH186" i="10"/>
  <c r="AI186" i="10"/>
  <c r="C179" i="38"/>
  <c r="BO14" i="26"/>
  <c r="V14" i="12"/>
  <c r="T188" i="10"/>
  <c r="BH187" i="10"/>
  <c r="BF73" i="10"/>
  <c r="C73" i="10"/>
  <c r="B74" i="10"/>
  <c r="D61" i="38"/>
  <c r="C61" i="38"/>
  <c r="Y70" i="10"/>
  <c r="Z70" i="10"/>
  <c r="AJ64" i="10"/>
  <c r="BG14" i="26"/>
  <c r="AH65" i="10"/>
  <c r="AJ186" i="10"/>
  <c r="BI14" i="26"/>
  <c r="AN14" i="12"/>
  <c r="AB72" i="10"/>
  <c r="AA72" i="10"/>
  <c r="M72" i="10"/>
  <c r="I73" i="10"/>
  <c r="C63" i="38"/>
  <c r="D63" i="38"/>
  <c r="E63" i="38"/>
  <c r="B75" i="10"/>
  <c r="C74" i="10"/>
  <c r="BF74" i="10"/>
  <c r="AJ65" i="10"/>
  <c r="BS14" i="26"/>
  <c r="BU14" i="26"/>
  <c r="BH14" i="12"/>
  <c r="Z71" i="10"/>
  <c r="T189" i="10"/>
  <c r="BH188" i="10"/>
  <c r="T190" i="10"/>
  <c r="BH189" i="10"/>
  <c r="I74" i="10"/>
  <c r="AA73" i="10"/>
  <c r="Y73" i="10"/>
  <c r="M73" i="10"/>
  <c r="AB73" i="10"/>
  <c r="BF75" i="10"/>
  <c r="B76" i="10"/>
  <c r="C75" i="10"/>
  <c r="Y72" i="10"/>
  <c r="Z72" i="10"/>
  <c r="Z73" i="10"/>
  <c r="BF76" i="10"/>
  <c r="C76" i="10"/>
  <c r="B77" i="10"/>
  <c r="AA74" i="10"/>
  <c r="M74" i="10"/>
  <c r="O68" i="10"/>
  <c r="I75" i="10"/>
  <c r="AB74" i="10"/>
  <c r="AE73" i="10"/>
  <c r="AN15" i="26"/>
  <c r="B15" i="12"/>
  <c r="AE71" i="10"/>
  <c r="BH190" i="10"/>
  <c r="T191" i="10"/>
  <c r="AW15" i="26"/>
  <c r="BF77" i="10"/>
  <c r="C77" i="10"/>
  <c r="B78" i="10"/>
  <c r="I76" i="10"/>
  <c r="AB75" i="10"/>
  <c r="AA75" i="10"/>
  <c r="M75" i="10"/>
  <c r="AH70" i="10"/>
  <c r="Q68" i="10"/>
  <c r="AD15" i="26"/>
  <c r="O69" i="10"/>
  <c r="BH191" i="10"/>
  <c r="T192" i="10"/>
  <c r="AF71" i="10"/>
  <c r="Y74" i="10"/>
  <c r="Z74" i="10"/>
  <c r="AD68" i="10"/>
  <c r="AH68" i="10"/>
  <c r="AJ68" i="10"/>
  <c r="BM15" i="26"/>
  <c r="Q69" i="10"/>
  <c r="AI15" i="26"/>
  <c r="BH192" i="10"/>
  <c r="T193" i="10"/>
  <c r="Y75" i="10"/>
  <c r="Z75" i="10"/>
  <c r="AJ70" i="10"/>
  <c r="BD15" i="26"/>
  <c r="I77" i="10"/>
  <c r="AA76" i="10"/>
  <c r="Y76" i="10"/>
  <c r="M76" i="10"/>
  <c r="AB76" i="10"/>
  <c r="AD69" i="10"/>
  <c r="AF68" i="10"/>
  <c r="AT15" i="26"/>
  <c r="AH15" i="26"/>
  <c r="J15" i="12"/>
  <c r="B79" i="10"/>
  <c r="C78" i="10"/>
  <c r="BF78" i="10"/>
  <c r="AE74" i="10"/>
  <c r="AX15" i="26"/>
  <c r="Z76" i="10"/>
  <c r="AV15" i="26"/>
  <c r="Q15" i="12"/>
  <c r="CK15" i="26"/>
  <c r="BF15" i="26"/>
  <c r="AK15" i="12"/>
  <c r="T194" i="10"/>
  <c r="BH193" i="10"/>
  <c r="AD70" i="10"/>
  <c r="AF70" i="10"/>
  <c r="AF69" i="10"/>
  <c r="I78" i="10"/>
  <c r="AA77" i="10"/>
  <c r="M77" i="10"/>
  <c r="AB77" i="10"/>
  <c r="BO15" i="26"/>
  <c r="V15" i="12"/>
  <c r="BF79" i="10"/>
  <c r="B80" i="10"/>
  <c r="C79" i="10"/>
  <c r="AH192" i="10"/>
  <c r="E68" i="38"/>
  <c r="AM15" i="26"/>
  <c r="M15" i="12"/>
  <c r="BB15" i="26"/>
  <c r="AH71" i="10"/>
  <c r="B81" i="10"/>
  <c r="BF80" i="10"/>
  <c r="C80" i="10"/>
  <c r="Y77" i="10"/>
  <c r="Z77" i="10"/>
  <c r="D68" i="38"/>
  <c r="C68" i="38"/>
  <c r="AB78" i="10"/>
  <c r="M78" i="10"/>
  <c r="I79" i="10"/>
  <c r="AA78" i="10"/>
  <c r="Y78" i="10"/>
  <c r="BH194" i="10"/>
  <c r="T195" i="10"/>
  <c r="AH193" i="10"/>
  <c r="AI193" i="10"/>
  <c r="C186" i="38"/>
  <c r="AJ71" i="10"/>
  <c r="BG15" i="26"/>
  <c r="AH72" i="10"/>
  <c r="BI15" i="26"/>
  <c r="AN15" i="12"/>
  <c r="I80" i="10"/>
  <c r="AB79" i="10"/>
  <c r="AA79" i="10"/>
  <c r="Y79" i="10"/>
  <c r="M79" i="10"/>
  <c r="C70" i="38"/>
  <c r="D70" i="38"/>
  <c r="E70" i="38"/>
  <c r="BF81" i="10"/>
  <c r="B82" i="10"/>
  <c r="C81" i="10"/>
  <c r="BH195" i="10"/>
  <c r="T196" i="10"/>
  <c r="AJ72" i="10"/>
  <c r="BS15" i="26"/>
  <c r="BU15" i="26"/>
  <c r="BH15" i="12"/>
  <c r="AJ193" i="10"/>
  <c r="Z78" i="10"/>
  <c r="Z79" i="10"/>
  <c r="T197" i="10"/>
  <c r="BH196" i="10"/>
  <c r="B83" i="10"/>
  <c r="C82" i="10"/>
  <c r="BF82" i="10"/>
  <c r="AB80" i="10"/>
  <c r="I81" i="10"/>
  <c r="AA80" i="10"/>
  <c r="M80" i="10"/>
  <c r="T198" i="10"/>
  <c r="BH197" i="10"/>
  <c r="Y80" i="10"/>
  <c r="Z80" i="10"/>
  <c r="AA81" i="10"/>
  <c r="AD75" i="10"/>
  <c r="I82" i="10"/>
  <c r="AB81" i="10"/>
  <c r="AE80" i="10"/>
  <c r="Y81" i="10"/>
  <c r="M81" i="10"/>
  <c r="O75" i="10"/>
  <c r="AN16" i="26"/>
  <c r="B16" i="12"/>
  <c r="AE78" i="10"/>
  <c r="B84" i="10"/>
  <c r="BF83" i="10"/>
  <c r="C83" i="10"/>
  <c r="Z81" i="10"/>
  <c r="AD76" i="10"/>
  <c r="AF75" i="10"/>
  <c r="AT16" i="26"/>
  <c r="B85" i="10"/>
  <c r="BF84" i="10"/>
  <c r="C84" i="10"/>
  <c r="AH77" i="10"/>
  <c r="AH75" i="10"/>
  <c r="Q75" i="10"/>
  <c r="AD16" i="26"/>
  <c r="O76" i="10"/>
  <c r="AF78" i="10"/>
  <c r="AE81" i="10"/>
  <c r="AX16" i="26"/>
  <c r="AW16" i="26"/>
  <c r="AA82" i="10"/>
  <c r="M82" i="10"/>
  <c r="I83" i="10"/>
  <c r="AB82" i="10"/>
  <c r="T199" i="10"/>
  <c r="BH198" i="10"/>
  <c r="Q76" i="10"/>
  <c r="AI16" i="26"/>
  <c r="AJ77" i="10"/>
  <c r="BD16" i="26"/>
  <c r="AV16" i="26"/>
  <c r="Q16" i="12"/>
  <c r="CK16" i="26"/>
  <c r="AH16" i="26"/>
  <c r="J16" i="12"/>
  <c r="AJ75" i="10"/>
  <c r="BM16" i="26"/>
  <c r="BF85" i="10"/>
  <c r="B86" i="10"/>
  <c r="C85" i="10"/>
  <c r="AB83" i="10"/>
  <c r="I84" i="10"/>
  <c r="AA83" i="10"/>
  <c r="Y83" i="10"/>
  <c r="M83" i="10"/>
  <c r="T200" i="10"/>
  <c r="BH199" i="10"/>
  <c r="Y82" i="10"/>
  <c r="Z82" i="10"/>
  <c r="Z83" i="10"/>
  <c r="AD77" i="10"/>
  <c r="AF77" i="10"/>
  <c r="AF76" i="10"/>
  <c r="E75" i="38"/>
  <c r="AM16" i="26"/>
  <c r="M16" i="12"/>
  <c r="BB16" i="26"/>
  <c r="AH78" i="10"/>
  <c r="B87" i="10"/>
  <c r="C86" i="10"/>
  <c r="BF86" i="10"/>
  <c r="AB84" i="10"/>
  <c r="I85" i="10"/>
  <c r="AA84" i="10"/>
  <c r="M84" i="10"/>
  <c r="BF16" i="26"/>
  <c r="AK16" i="12"/>
  <c r="T201" i="10"/>
  <c r="BH200" i="10"/>
  <c r="AH199" i="10"/>
  <c r="BO16" i="26"/>
  <c r="V16" i="12"/>
  <c r="Y84" i="10"/>
  <c r="Z84" i="10"/>
  <c r="D75" i="38"/>
  <c r="C75" i="38"/>
  <c r="T202" i="10"/>
  <c r="BH201" i="10"/>
  <c r="I86" i="10"/>
  <c r="AA85" i="10"/>
  <c r="Y85" i="10"/>
  <c r="AB85" i="10"/>
  <c r="M85" i="10"/>
  <c r="BF87" i="10"/>
  <c r="C87" i="10"/>
  <c r="B88" i="10"/>
  <c r="AH200" i="10"/>
  <c r="AI200" i="10"/>
  <c r="AJ200" i="10"/>
  <c r="C193" i="38"/>
  <c r="AJ78" i="10"/>
  <c r="BG16" i="26"/>
  <c r="AH79" i="10"/>
  <c r="T203" i="10"/>
  <c r="BH202" i="10"/>
  <c r="Z85" i="10"/>
  <c r="AB86" i="10"/>
  <c r="AA86" i="10"/>
  <c r="M86" i="10"/>
  <c r="I87" i="10"/>
  <c r="B89" i="10"/>
  <c r="C88" i="10"/>
  <c r="BF88" i="10"/>
  <c r="AJ79" i="10"/>
  <c r="BS16" i="26"/>
  <c r="BU16" i="26"/>
  <c r="BH16" i="12"/>
  <c r="BI16" i="26"/>
  <c r="AN16" i="12"/>
  <c r="C77" i="38"/>
  <c r="D77" i="38"/>
  <c r="E77" i="38"/>
  <c r="I88" i="10"/>
  <c r="AA87" i="10"/>
  <c r="Y87" i="10"/>
  <c r="M87" i="10"/>
  <c r="AB87" i="10"/>
  <c r="Y86" i="10"/>
  <c r="Z86" i="10"/>
  <c r="T204" i="10"/>
  <c r="BH203" i="10"/>
  <c r="BF89" i="10"/>
  <c r="B90" i="10"/>
  <c r="C89" i="10"/>
  <c r="Z87" i="10"/>
  <c r="BF90" i="10"/>
  <c r="C90" i="10"/>
  <c r="B91" i="10"/>
  <c r="BH204" i="10"/>
  <c r="T205" i="10"/>
  <c r="AA88" i="10"/>
  <c r="M88" i="10"/>
  <c r="O82" i="10"/>
  <c r="I89" i="10"/>
  <c r="AB88" i="10"/>
  <c r="AE87" i="10"/>
  <c r="AN17" i="26"/>
  <c r="B17" i="12"/>
  <c r="AE85" i="10"/>
  <c r="AW17" i="26"/>
  <c r="Y88" i="10"/>
  <c r="Z88" i="10"/>
  <c r="AD82" i="10"/>
  <c r="BF91" i="10"/>
  <c r="C91" i="10"/>
  <c r="B92" i="10"/>
  <c r="I90" i="10"/>
  <c r="AB89" i="10"/>
  <c r="AA89" i="10"/>
  <c r="M89" i="10"/>
  <c r="AF85" i="10"/>
  <c r="AH84" i="10"/>
  <c r="Q82" i="10"/>
  <c r="AD17" i="26"/>
  <c r="O83" i="10"/>
  <c r="BH205" i="10"/>
  <c r="T206" i="10"/>
  <c r="BH206" i="10"/>
  <c r="T207" i="10"/>
  <c r="AH206" i="10"/>
  <c r="I91" i="10"/>
  <c r="AA90" i="10"/>
  <c r="Y90" i="10"/>
  <c r="M90" i="10"/>
  <c r="AB90" i="10"/>
  <c r="AD83" i="10"/>
  <c r="AF82" i="10"/>
  <c r="AT17" i="26"/>
  <c r="AJ84" i="10"/>
  <c r="BD17" i="26"/>
  <c r="B93" i="10"/>
  <c r="C92" i="10"/>
  <c r="BF92" i="10"/>
  <c r="Q83" i="10"/>
  <c r="AI17" i="26"/>
  <c r="AH82" i="10"/>
  <c r="Y89" i="10"/>
  <c r="Z89" i="10"/>
  <c r="AH17" i="26"/>
  <c r="J17" i="12"/>
  <c r="AE88" i="10"/>
  <c r="AX17" i="26"/>
  <c r="Z90" i="10"/>
  <c r="E82" i="38"/>
  <c r="AM17" i="26"/>
  <c r="M17" i="12"/>
  <c r="BB17" i="26"/>
  <c r="AH85" i="10"/>
  <c r="AH207" i="10"/>
  <c r="AI207" i="10"/>
  <c r="AJ207" i="10"/>
  <c r="C200" i="38"/>
  <c r="BF17" i="26"/>
  <c r="AK17" i="12"/>
  <c r="AD84" i="10"/>
  <c r="AF84" i="10"/>
  <c r="AF83" i="10"/>
  <c r="I92" i="10"/>
  <c r="AA91" i="10"/>
  <c r="M91" i="10"/>
  <c r="AB91" i="10"/>
  <c r="BF93" i="10"/>
  <c r="B94" i="10"/>
  <c r="C93" i="10"/>
  <c r="AV17" i="26"/>
  <c r="Q17" i="12"/>
  <c r="CK17" i="26"/>
  <c r="T208" i="10"/>
  <c r="BH207" i="10"/>
  <c r="AJ82" i="10"/>
  <c r="BM17" i="26"/>
  <c r="AJ85" i="10"/>
  <c r="BG17" i="26"/>
  <c r="AH86" i="10"/>
  <c r="AB92" i="10"/>
  <c r="M92" i="10"/>
  <c r="I93" i="10"/>
  <c r="AA92" i="10"/>
  <c r="Y92" i="10"/>
  <c r="D82" i="38"/>
  <c r="C82" i="38"/>
  <c r="BH208" i="10"/>
  <c r="T209" i="10"/>
  <c r="BO17" i="26"/>
  <c r="V17" i="12"/>
  <c r="B95" i="10"/>
  <c r="BF94" i="10"/>
  <c r="C94" i="10"/>
  <c r="Y91" i="10"/>
  <c r="Z91" i="10"/>
  <c r="Z92" i="10"/>
  <c r="BF95" i="10"/>
  <c r="B96" i="10"/>
  <c r="C95" i="10"/>
  <c r="AJ86" i="10"/>
  <c r="BS17" i="26"/>
  <c r="BU17" i="26"/>
  <c r="BH17" i="12"/>
  <c r="C84" i="38"/>
  <c r="D84" i="38"/>
  <c r="E84" i="38"/>
  <c r="BI17" i="26"/>
  <c r="AN17" i="12"/>
  <c r="I94" i="10"/>
  <c r="AB93" i="10"/>
  <c r="AA93" i="10"/>
  <c r="M93" i="10"/>
  <c r="BH209" i="10"/>
  <c r="T210" i="10"/>
  <c r="Y93" i="10"/>
  <c r="Z93" i="10"/>
  <c r="T211" i="10"/>
  <c r="BH210" i="10"/>
  <c r="AB94" i="10"/>
  <c r="I95" i="10"/>
  <c r="AA94" i="10"/>
  <c r="Y94" i="10"/>
  <c r="M94" i="10"/>
  <c r="B97" i="10"/>
  <c r="C96" i="10"/>
  <c r="BF96" i="10"/>
  <c r="B98" i="10"/>
  <c r="BF97" i="10"/>
  <c r="C97" i="10"/>
  <c r="T212" i="10"/>
  <c r="BH211" i="10"/>
  <c r="AA95" i="10"/>
  <c r="AD89" i="10"/>
  <c r="I96" i="10"/>
  <c r="AB95" i="10"/>
  <c r="AE94" i="10"/>
  <c r="Y95" i="10"/>
  <c r="M95" i="10"/>
  <c r="O89" i="10"/>
  <c r="AN18" i="26"/>
  <c r="B18" i="12"/>
  <c r="AE92" i="10"/>
  <c r="Z94" i="10"/>
  <c r="Z95" i="10"/>
  <c r="AH91" i="10"/>
  <c r="AH89" i="10"/>
  <c r="Q89" i="10"/>
  <c r="AD18" i="26"/>
  <c r="O90" i="10"/>
  <c r="AD90" i="10"/>
  <c r="AF89" i="10"/>
  <c r="AT18" i="26"/>
  <c r="AA96" i="10"/>
  <c r="M96" i="10"/>
  <c r="I97" i="10"/>
  <c r="AB96" i="10"/>
  <c r="T213" i="10"/>
  <c r="BH212" i="10"/>
  <c r="AF92" i="10"/>
  <c r="AE95" i="10"/>
  <c r="AX18" i="26"/>
  <c r="AW18" i="26"/>
  <c r="B99" i="10"/>
  <c r="BF98" i="10"/>
  <c r="C98" i="10"/>
  <c r="AD91" i="10"/>
  <c r="AF91" i="10"/>
  <c r="AF90" i="10"/>
  <c r="AJ89" i="10"/>
  <c r="BM18" i="26"/>
  <c r="AB97" i="10"/>
  <c r="I98" i="10"/>
  <c r="AA97" i="10"/>
  <c r="Y97" i="10"/>
  <c r="M97" i="10"/>
  <c r="T214" i="10"/>
  <c r="BH213" i="10"/>
  <c r="Y96" i="10"/>
  <c r="Z96" i="10"/>
  <c r="Q90" i="10"/>
  <c r="AI18" i="26"/>
  <c r="AJ91" i="10"/>
  <c r="BD18" i="26"/>
  <c r="BF99" i="10"/>
  <c r="B100" i="10"/>
  <c r="C99" i="10"/>
  <c r="AV18" i="26"/>
  <c r="Q18" i="12"/>
  <c r="CK18" i="26"/>
  <c r="AH18" i="26"/>
  <c r="J18" i="12"/>
  <c r="AB98" i="10"/>
  <c r="I99" i="10"/>
  <c r="AA98" i="10"/>
  <c r="M98" i="10"/>
  <c r="E89" i="38"/>
  <c r="BB18" i="26"/>
  <c r="AH92" i="10"/>
  <c r="AM18" i="26"/>
  <c r="M18" i="12"/>
  <c r="BF18" i="26"/>
  <c r="AK18" i="12"/>
  <c r="T215" i="10"/>
  <c r="BH214" i="10"/>
  <c r="AH213" i="10"/>
  <c r="B101" i="10"/>
  <c r="C100" i="10"/>
  <c r="BF100" i="10"/>
  <c r="Z97" i="10"/>
  <c r="BO18" i="26"/>
  <c r="V18" i="12"/>
  <c r="Y98" i="10"/>
  <c r="Z98" i="10"/>
  <c r="T216" i="10"/>
  <c r="BH215" i="10"/>
  <c r="AJ92" i="10"/>
  <c r="BG18" i="26"/>
  <c r="AH93" i="10"/>
  <c r="I100" i="10"/>
  <c r="AA99" i="10"/>
  <c r="Y99" i="10"/>
  <c r="AB99" i="10"/>
  <c r="M99" i="10"/>
  <c r="AH214" i="10"/>
  <c r="AI214" i="10"/>
  <c r="AJ214" i="10"/>
  <c r="C207" i="38"/>
  <c r="BF101" i="10"/>
  <c r="C101" i="10"/>
  <c r="B102" i="10"/>
  <c r="D89" i="38"/>
  <c r="C89" i="38"/>
  <c r="Z99" i="10"/>
  <c r="C91" i="38"/>
  <c r="D91" i="38"/>
  <c r="E91" i="38"/>
  <c r="BI18" i="26"/>
  <c r="AN18" i="12"/>
  <c r="T217" i="10"/>
  <c r="BH216" i="10"/>
  <c r="B103" i="10"/>
  <c r="C102" i="10"/>
  <c r="BF102" i="10"/>
  <c r="AB100" i="10"/>
  <c r="AA100" i="10"/>
  <c r="Y100" i="10"/>
  <c r="M100" i="10"/>
  <c r="I101" i="10"/>
  <c r="AJ93" i="10"/>
  <c r="BS18" i="26"/>
  <c r="BU18" i="26"/>
  <c r="BH18" i="12"/>
  <c r="Z100" i="10"/>
  <c r="I102" i="10"/>
  <c r="AA101" i="10"/>
  <c r="M101" i="10"/>
  <c r="AB101" i="10"/>
  <c r="T218" i="10"/>
  <c r="BH217" i="10"/>
  <c r="BF103" i="10"/>
  <c r="B104" i="10"/>
  <c r="C103" i="10"/>
  <c r="BH218" i="10"/>
  <c r="T219" i="10"/>
  <c r="BF104" i="10"/>
  <c r="C104" i="10"/>
  <c r="B105" i="10"/>
  <c r="Y101" i="10"/>
  <c r="Z101" i="10"/>
  <c r="AA102" i="10"/>
  <c r="AD96" i="10"/>
  <c r="Y102" i="10"/>
  <c r="M102" i="10"/>
  <c r="O96" i="10"/>
  <c r="I103" i="10"/>
  <c r="AB102" i="10"/>
  <c r="AE101" i="10"/>
  <c r="AN19" i="26"/>
  <c r="B19" i="12"/>
  <c r="AE99" i="10"/>
  <c r="Z102" i="10"/>
  <c r="AD97" i="10"/>
  <c r="AF96" i="10"/>
  <c r="AT19" i="26"/>
  <c r="AF99" i="10"/>
  <c r="BF105" i="10"/>
  <c r="C105" i="10"/>
  <c r="B106" i="10"/>
  <c r="BH219" i="10"/>
  <c r="T220" i="10"/>
  <c r="AE102" i="10"/>
  <c r="AX19" i="26"/>
  <c r="AW19" i="26"/>
  <c r="I104" i="10"/>
  <c r="AB103" i="10"/>
  <c r="AA103" i="10"/>
  <c r="M103" i="10"/>
  <c r="AH96" i="10"/>
  <c r="AH98" i="10"/>
  <c r="Q96" i="10"/>
  <c r="AD19" i="26"/>
  <c r="O97" i="10"/>
  <c r="B107" i="10"/>
  <c r="C106" i="10"/>
  <c r="BF106" i="10"/>
  <c r="Y103" i="10"/>
  <c r="Z103" i="10"/>
  <c r="BH220" i="10"/>
  <c r="T221" i="10"/>
  <c r="AH220" i="10"/>
  <c r="AV19" i="26"/>
  <c r="Q19" i="12"/>
  <c r="CK19" i="26"/>
  <c r="AH19" i="26"/>
  <c r="J19" i="12"/>
  <c r="AJ98" i="10"/>
  <c r="BD19" i="26"/>
  <c r="Q97" i="10"/>
  <c r="AI19" i="26"/>
  <c r="AJ96" i="10"/>
  <c r="BM19" i="26"/>
  <c r="I105" i="10"/>
  <c r="AA104" i="10"/>
  <c r="Y104" i="10"/>
  <c r="M104" i="10"/>
  <c r="AB104" i="10"/>
  <c r="AD98" i="10"/>
  <c r="AF98" i="10"/>
  <c r="AF97" i="10"/>
  <c r="I106" i="10"/>
  <c r="AA105" i="10"/>
  <c r="Y105" i="10"/>
  <c r="M105" i="10"/>
  <c r="AB105" i="10"/>
  <c r="AH221" i="10"/>
  <c r="AI221" i="10"/>
  <c r="C214" i="38"/>
  <c r="BF107" i="10"/>
  <c r="B108" i="10"/>
  <c r="C107" i="10"/>
  <c r="E96" i="38"/>
  <c r="AM19" i="26"/>
  <c r="M19" i="12"/>
  <c r="BB19" i="26"/>
  <c r="AH99" i="10"/>
  <c r="BO19" i="26"/>
  <c r="V19" i="12"/>
  <c r="BF19" i="26"/>
  <c r="AK19" i="12"/>
  <c r="T222" i="10"/>
  <c r="BH221" i="10"/>
  <c r="Z104" i="10"/>
  <c r="AJ221" i="10"/>
  <c r="Z105" i="10"/>
  <c r="AJ99" i="10"/>
  <c r="BG19" i="26"/>
  <c r="AH100" i="10"/>
  <c r="B109" i="10"/>
  <c r="BF108" i="10"/>
  <c r="C108" i="10"/>
  <c r="AB106" i="10"/>
  <c r="M106" i="10"/>
  <c r="I107" i="10"/>
  <c r="AA106" i="10"/>
  <c r="Y106" i="10"/>
  <c r="D96" i="38"/>
  <c r="C96" i="38"/>
  <c r="BH222" i="10"/>
  <c r="T223" i="10"/>
  <c r="Z106" i="10"/>
  <c r="BI19" i="26"/>
  <c r="AN19" i="12"/>
  <c r="I108" i="10"/>
  <c r="AB107" i="10"/>
  <c r="AA107" i="10"/>
  <c r="Y107" i="10"/>
  <c r="M107" i="10"/>
  <c r="BF109" i="10"/>
  <c r="B110" i="10"/>
  <c r="C109" i="10"/>
  <c r="BH223" i="10"/>
  <c r="T224" i="10"/>
  <c r="C98" i="38"/>
  <c r="D98" i="38"/>
  <c r="E98" i="38"/>
  <c r="AJ100" i="10"/>
  <c r="BS19" i="26"/>
  <c r="BU19" i="26"/>
  <c r="BH19" i="12"/>
  <c r="Z107" i="10"/>
  <c r="B111" i="10"/>
  <c r="C110" i="10"/>
  <c r="BF110" i="10"/>
  <c r="T225" i="10"/>
  <c r="BH224" i="10"/>
  <c r="AB108" i="10"/>
  <c r="I109" i="10"/>
  <c r="AA108" i="10"/>
  <c r="M108" i="10"/>
  <c r="Y108" i="10"/>
  <c r="Z108" i="10"/>
  <c r="I110" i="10"/>
  <c r="AB109" i="10"/>
  <c r="AE108" i="10"/>
  <c r="AA109" i="10"/>
  <c r="Y109" i="10"/>
  <c r="M109" i="10"/>
  <c r="O103" i="10"/>
  <c r="AN20" i="26"/>
  <c r="B20" i="12"/>
  <c r="AE106" i="10"/>
  <c r="T226" i="10"/>
  <c r="BH225" i="10"/>
  <c r="B112" i="10"/>
  <c r="BF111" i="10"/>
  <c r="C111" i="10"/>
  <c r="AD103" i="10"/>
  <c r="AE109" i="10"/>
  <c r="AX20" i="26"/>
  <c r="AF106" i="10"/>
  <c r="B113" i="10"/>
  <c r="BF112" i="10"/>
  <c r="C112" i="10"/>
  <c r="AA110" i="10"/>
  <c r="M110" i="10"/>
  <c r="I111" i="10"/>
  <c r="AB110" i="10"/>
  <c r="AW20" i="26"/>
  <c r="AF103" i="10"/>
  <c r="AT20" i="26"/>
  <c r="AH105" i="10"/>
  <c r="Q103" i="10"/>
  <c r="AD20" i="26"/>
  <c r="O104" i="10"/>
  <c r="T227" i="10"/>
  <c r="BH226" i="10"/>
  <c r="Z109" i="10"/>
  <c r="AH103" i="10"/>
  <c r="AJ103" i="10"/>
  <c r="AD104" i="10"/>
  <c r="BF113" i="10"/>
  <c r="B114" i="10"/>
  <c r="C113" i="10"/>
  <c r="T228" i="10"/>
  <c r="BH227" i="10"/>
  <c r="AD105" i="10"/>
  <c r="AF105" i="10"/>
  <c r="AF104" i="10"/>
  <c r="AB111" i="10"/>
  <c r="I112" i="10"/>
  <c r="AA111" i="10"/>
  <c r="Y111" i="10"/>
  <c r="M111" i="10"/>
  <c r="Q104" i="10"/>
  <c r="AI20" i="26"/>
  <c r="AJ105" i="10"/>
  <c r="BD20" i="26"/>
  <c r="AH227" i="10"/>
  <c r="AH20" i="26"/>
  <c r="J20" i="12"/>
  <c r="Y110" i="10"/>
  <c r="Z110" i="10"/>
  <c r="BM20" i="26"/>
  <c r="AV20" i="26"/>
  <c r="Q20" i="12"/>
  <c r="CK20" i="26"/>
  <c r="Z111" i="10"/>
  <c r="AH228" i="10"/>
  <c r="AI228" i="10"/>
  <c r="AJ228" i="10"/>
  <c r="C221" i="38"/>
  <c r="B115" i="10"/>
  <c r="C114" i="10"/>
  <c r="BF114" i="10"/>
  <c r="E103" i="38"/>
  <c r="AM20" i="26"/>
  <c r="M20" i="12"/>
  <c r="BB20" i="26"/>
  <c r="AH106" i="10"/>
  <c r="BF20" i="26"/>
  <c r="AK20" i="12"/>
  <c r="AB112" i="10"/>
  <c r="I113" i="10"/>
  <c r="AA112" i="10"/>
  <c r="M112" i="10"/>
  <c r="BO20" i="26"/>
  <c r="V20" i="12"/>
  <c r="T229" i="10"/>
  <c r="BH228" i="10"/>
  <c r="Y112" i="10"/>
  <c r="Z112" i="10"/>
  <c r="I114" i="10"/>
  <c r="AA113" i="10"/>
  <c r="Y113" i="10"/>
  <c r="AB113" i="10"/>
  <c r="M113" i="10"/>
  <c r="AJ106" i="10"/>
  <c r="BG20" i="26"/>
  <c r="AH107" i="10"/>
  <c r="T230" i="10"/>
  <c r="BH229" i="10"/>
  <c r="BF115" i="10"/>
  <c r="C115" i="10"/>
  <c r="B116" i="10"/>
  <c r="D103" i="38"/>
  <c r="C103" i="38"/>
  <c r="T231" i="10"/>
  <c r="BH230" i="10"/>
  <c r="AB114" i="10"/>
  <c r="AA114" i="10"/>
  <c r="Y114" i="10"/>
  <c r="M114" i="10"/>
  <c r="I115" i="10"/>
  <c r="C105" i="38"/>
  <c r="D105" i="38"/>
  <c r="E105" i="38"/>
  <c r="AJ107" i="10"/>
  <c r="BS20" i="26"/>
  <c r="BU20" i="26"/>
  <c r="BH20" i="12"/>
  <c r="Z113" i="10"/>
  <c r="B117" i="10"/>
  <c r="C116" i="10"/>
  <c r="BF116" i="10"/>
  <c r="BI20" i="26"/>
  <c r="AN20" i="12"/>
  <c r="Z114" i="10"/>
  <c r="I116" i="10"/>
  <c r="AA115" i="10"/>
  <c r="M115" i="10"/>
  <c r="AB115" i="10"/>
  <c r="BF117" i="10"/>
  <c r="B118" i="10"/>
  <c r="C117" i="10"/>
  <c r="T232" i="10"/>
  <c r="BH231" i="10"/>
  <c r="Y115" i="10"/>
  <c r="Z115" i="10"/>
  <c r="AA116" i="10"/>
  <c r="AD110" i="10"/>
  <c r="BH232" i="10"/>
  <c r="T233" i="10"/>
  <c r="Y116" i="10"/>
  <c r="M116" i="10"/>
  <c r="O110" i="10"/>
  <c r="I117" i="10"/>
  <c r="AB116" i="10"/>
  <c r="AE115" i="10"/>
  <c r="AN21" i="26"/>
  <c r="B21" i="12"/>
  <c r="AE113" i="10"/>
  <c r="BF118" i="10"/>
  <c r="C118" i="10"/>
  <c r="B119" i="10"/>
  <c r="AF113" i="10"/>
  <c r="AE116" i="10"/>
  <c r="AX21" i="26"/>
  <c r="AW21" i="26"/>
  <c r="BH233" i="10"/>
  <c r="T234" i="10"/>
  <c r="I118" i="10"/>
  <c r="AB117" i="10"/>
  <c r="AA117" i="10"/>
  <c r="M117" i="10"/>
  <c r="AH110" i="10"/>
  <c r="AH112" i="10"/>
  <c r="Q110" i="10"/>
  <c r="AD21" i="26"/>
  <c r="O111" i="10"/>
  <c r="AD111" i="10"/>
  <c r="AF110" i="10"/>
  <c r="AT21" i="26"/>
  <c r="BF119" i="10"/>
  <c r="C119" i="10"/>
  <c r="B120" i="10"/>
  <c r="Z116" i="10"/>
  <c r="AJ110" i="10"/>
  <c r="BM21" i="26"/>
  <c r="I119" i="10"/>
  <c r="AA118" i="10"/>
  <c r="Y118" i="10"/>
  <c r="M118" i="10"/>
  <c r="AB118" i="10"/>
  <c r="Q111" i="10"/>
  <c r="AI21" i="26"/>
  <c r="AV21" i="26"/>
  <c r="Q21" i="12"/>
  <c r="CK21" i="26"/>
  <c r="AH21" i="26"/>
  <c r="J21" i="12"/>
  <c r="B121" i="10"/>
  <c r="C120" i="10"/>
  <c r="BF120" i="10"/>
  <c r="Y117" i="10"/>
  <c r="Z117" i="10"/>
  <c r="T235" i="10"/>
  <c r="BH234" i="10"/>
  <c r="AD112" i="10"/>
  <c r="AF112" i="10"/>
  <c r="AF111" i="10"/>
  <c r="AJ112" i="10"/>
  <c r="BD21" i="26"/>
  <c r="Z118" i="10"/>
  <c r="BF21" i="26"/>
  <c r="AK21" i="12"/>
  <c r="E110" i="38"/>
  <c r="AM21" i="26"/>
  <c r="M21" i="12"/>
  <c r="BB21" i="26"/>
  <c r="AH113" i="10"/>
  <c r="I120" i="10"/>
  <c r="AA119" i="10"/>
  <c r="Y119" i="10"/>
  <c r="M119" i="10"/>
  <c r="AB119" i="10"/>
  <c r="T236" i="10"/>
  <c r="BH235" i="10"/>
  <c r="AH234" i="10"/>
  <c r="BO21" i="26"/>
  <c r="V21" i="12"/>
  <c r="BF121" i="10"/>
  <c r="B122" i="10"/>
  <c r="C121" i="10"/>
  <c r="Z119" i="10"/>
  <c r="D110" i="38"/>
  <c r="C110" i="38"/>
  <c r="B123" i="10"/>
  <c r="BF122" i="10"/>
  <c r="C122" i="10"/>
  <c r="T237" i="10"/>
  <c r="BH236" i="10"/>
  <c r="AB120" i="10"/>
  <c r="M120" i="10"/>
  <c r="I121" i="10"/>
  <c r="AA120" i="10"/>
  <c r="Y120" i="10"/>
  <c r="AJ113" i="10"/>
  <c r="BG21" i="26"/>
  <c r="AH114" i="10"/>
  <c r="AH235" i="10"/>
  <c r="AI235" i="10"/>
  <c r="AJ235" i="10"/>
  <c r="C228" i="38"/>
  <c r="Z120" i="10"/>
  <c r="AJ114" i="10"/>
  <c r="BS21" i="26"/>
  <c r="BU21" i="26"/>
  <c r="BH21" i="12"/>
  <c r="BF123" i="10"/>
  <c r="B124" i="10"/>
  <c r="C123" i="10"/>
  <c r="BI21" i="26"/>
  <c r="AN21" i="12"/>
  <c r="T238" i="10"/>
  <c r="BH237" i="10"/>
  <c r="C112" i="38"/>
  <c r="D112" i="38"/>
  <c r="E112" i="38"/>
  <c r="I122" i="10"/>
  <c r="AB121" i="10"/>
  <c r="AA121" i="10"/>
  <c r="M121" i="10"/>
  <c r="Y121" i="10"/>
  <c r="Z121" i="10"/>
  <c r="AB122" i="10"/>
  <c r="I123" i="10"/>
  <c r="AA122" i="10"/>
  <c r="Y122" i="10"/>
  <c r="M122" i="10"/>
  <c r="T239" i="10"/>
  <c r="BH238" i="10"/>
  <c r="B125" i="10"/>
  <c r="C124" i="10"/>
  <c r="BF124" i="10"/>
  <c r="B126" i="10"/>
  <c r="BF125" i="10"/>
  <c r="C125" i="10"/>
  <c r="I124" i="10"/>
  <c r="AB123" i="10"/>
  <c r="AE122" i="10"/>
  <c r="AA123" i="10"/>
  <c r="M123" i="10"/>
  <c r="O117" i="10"/>
  <c r="AN22" i="26"/>
  <c r="B22" i="12"/>
  <c r="AE120" i="10"/>
  <c r="BH239" i="10"/>
  <c r="T240" i="10"/>
  <c r="Z122" i="10"/>
  <c r="AH119" i="10"/>
  <c r="Q117" i="10"/>
  <c r="AD22" i="26"/>
  <c r="O118" i="10"/>
  <c r="AA124" i="10"/>
  <c r="M124" i="10"/>
  <c r="I125" i="10"/>
  <c r="AB124" i="10"/>
  <c r="Y123" i="10"/>
  <c r="Z123" i="10"/>
  <c r="AD117" i="10"/>
  <c r="AH117" i="10"/>
  <c r="BH240" i="10"/>
  <c r="T241" i="10"/>
  <c r="AF120" i="10"/>
  <c r="AW22" i="26"/>
  <c r="B127" i="10"/>
  <c r="BF126" i="10"/>
  <c r="C126" i="10"/>
  <c r="AJ117" i="10"/>
  <c r="BM22" i="26"/>
  <c r="Y124" i="10"/>
  <c r="Z124" i="10"/>
  <c r="BF127" i="10"/>
  <c r="B128" i="10"/>
  <c r="C127" i="10"/>
  <c r="AD118" i="10"/>
  <c r="AF117" i="10"/>
  <c r="AT22" i="26"/>
  <c r="AH22" i="26"/>
  <c r="J22" i="12"/>
  <c r="AE123" i="10"/>
  <c r="AX22" i="26"/>
  <c r="BH241" i="10"/>
  <c r="T242" i="10"/>
  <c r="AB125" i="10"/>
  <c r="I126" i="10"/>
  <c r="AA125" i="10"/>
  <c r="Y125" i="10"/>
  <c r="M125" i="10"/>
  <c r="Q118" i="10"/>
  <c r="AI22" i="26"/>
  <c r="AJ119" i="10"/>
  <c r="BD22" i="26"/>
  <c r="BF22" i="26"/>
  <c r="AK22" i="12"/>
  <c r="AD119" i="10"/>
  <c r="AF119" i="10"/>
  <c r="AF118" i="10"/>
  <c r="B129" i="10"/>
  <c r="C128" i="10"/>
  <c r="BF128" i="10"/>
  <c r="T243" i="10"/>
  <c r="BH242" i="10"/>
  <c r="Z125" i="10"/>
  <c r="AH241" i="10"/>
  <c r="AB126" i="10"/>
  <c r="I127" i="10"/>
  <c r="AA126" i="10"/>
  <c r="M126" i="10"/>
  <c r="E117" i="38"/>
  <c r="BB22" i="26"/>
  <c r="AH120" i="10"/>
  <c r="AM22" i="26"/>
  <c r="M22" i="12"/>
  <c r="AV22" i="26"/>
  <c r="Q22" i="12"/>
  <c r="CK22" i="26"/>
  <c r="BO22" i="26"/>
  <c r="V22" i="12"/>
  <c r="AH242" i="10"/>
  <c r="AI242" i="10"/>
  <c r="AJ242" i="10"/>
  <c r="C235" i="38"/>
  <c r="Y126" i="10"/>
  <c r="Z126" i="10"/>
  <c r="AJ120" i="10"/>
  <c r="BG22" i="26"/>
  <c r="AH121" i="10"/>
  <c r="I128" i="10"/>
  <c r="AA127" i="10"/>
  <c r="Y127" i="10"/>
  <c r="AB127" i="10"/>
  <c r="M127" i="10"/>
  <c r="BF129" i="10"/>
  <c r="C129" i="10"/>
  <c r="B130" i="10"/>
  <c r="D117" i="38"/>
  <c r="C117" i="38"/>
  <c r="BH243" i="10"/>
  <c r="T244" i="10"/>
  <c r="Z127" i="10"/>
  <c r="C119" i="38"/>
  <c r="D119" i="38"/>
  <c r="E119" i="38"/>
  <c r="AJ121" i="10"/>
  <c r="BS22" i="26"/>
  <c r="BU22" i="26"/>
  <c r="BH22" i="12"/>
  <c r="AB128" i="10"/>
  <c r="AA128" i="10"/>
  <c r="M128" i="10"/>
  <c r="I129" i="10"/>
  <c r="BH244" i="10"/>
  <c r="T245" i="10"/>
  <c r="B131" i="10"/>
  <c r="C130" i="10"/>
  <c r="BF130" i="10"/>
  <c r="BI22" i="26"/>
  <c r="AN22" i="12"/>
  <c r="BF131" i="10"/>
  <c r="B132" i="10"/>
  <c r="C131" i="10"/>
  <c r="T246" i="10"/>
  <c r="BH245" i="10"/>
  <c r="Y128" i="10"/>
  <c r="Z128" i="10"/>
  <c r="I130" i="10"/>
  <c r="AA129" i="10"/>
  <c r="Y129" i="10"/>
  <c r="M129" i="10"/>
  <c r="AB129" i="10"/>
  <c r="Z129" i="10"/>
  <c r="BF132" i="10"/>
  <c r="C132" i="10"/>
  <c r="B133" i="10"/>
  <c r="T247" i="10"/>
  <c r="BH246" i="10"/>
  <c r="AA130" i="10"/>
  <c r="M130" i="10"/>
  <c r="O124" i="10"/>
  <c r="I131" i="10"/>
  <c r="AB130" i="10"/>
  <c r="AE129" i="10"/>
  <c r="AN23" i="26"/>
  <c r="B23" i="12"/>
  <c r="AE127" i="10"/>
  <c r="Y130" i="10"/>
  <c r="Z130" i="10"/>
  <c r="AD124" i="10"/>
  <c r="AH124" i="10"/>
  <c r="BF133" i="10"/>
  <c r="C133" i="10"/>
  <c r="B134" i="10"/>
  <c r="AW23" i="26"/>
  <c r="I132" i="10"/>
  <c r="AB131" i="10"/>
  <c r="AA131" i="10"/>
  <c r="M131" i="10"/>
  <c r="AF127" i="10"/>
  <c r="AH126" i="10"/>
  <c r="Q124" i="10"/>
  <c r="AD23" i="26"/>
  <c r="O125" i="10"/>
  <c r="T248" i="10"/>
  <c r="BH247" i="10"/>
  <c r="AE130" i="10"/>
  <c r="AX23" i="26"/>
  <c r="I133" i="10"/>
  <c r="AA132" i="10"/>
  <c r="Y132" i="10"/>
  <c r="M132" i="10"/>
  <c r="AB132" i="10"/>
  <c r="T249" i="10"/>
  <c r="BH248" i="10"/>
  <c r="Q125" i="10"/>
  <c r="AI23" i="26"/>
  <c r="AJ124" i="10"/>
  <c r="BM23" i="26"/>
  <c r="Y131" i="10"/>
  <c r="Z131" i="10"/>
  <c r="AD125" i="10"/>
  <c r="AF124" i="10"/>
  <c r="AT23" i="26"/>
  <c r="AJ126" i="10"/>
  <c r="BD23" i="26"/>
  <c r="AH23" i="26"/>
  <c r="J23" i="12"/>
  <c r="B135" i="10"/>
  <c r="C134" i="10"/>
  <c r="BF134" i="10"/>
  <c r="Z132" i="10"/>
  <c r="AV23" i="26"/>
  <c r="Q23" i="12"/>
  <c r="CK23" i="26"/>
  <c r="BF135" i="10"/>
  <c r="B136" i="10"/>
  <c r="C135" i="10"/>
  <c r="BO23" i="26"/>
  <c r="V23" i="12"/>
  <c r="BF23" i="26"/>
  <c r="AK23" i="12"/>
  <c r="AD126" i="10"/>
  <c r="AF126" i="10"/>
  <c r="AF125" i="10"/>
  <c r="E124" i="38"/>
  <c r="AM23" i="26"/>
  <c r="M23" i="12"/>
  <c r="BB23" i="26"/>
  <c r="AH127" i="10"/>
  <c r="T250" i="10"/>
  <c r="BH249" i="10"/>
  <c r="AH248" i="10"/>
  <c r="I134" i="10"/>
  <c r="AA133" i="10"/>
  <c r="M133" i="10"/>
  <c r="AB133" i="10"/>
  <c r="D124" i="38"/>
  <c r="C124" i="38"/>
  <c r="Y133" i="10"/>
  <c r="Z133" i="10"/>
  <c r="BH250" i="10"/>
  <c r="T251" i="10"/>
  <c r="B137" i="10"/>
  <c r="BF136" i="10"/>
  <c r="C136" i="10"/>
  <c r="AJ127" i="10"/>
  <c r="BG23" i="26"/>
  <c r="AH128" i="10"/>
  <c r="AB134" i="10"/>
  <c r="M134" i="10"/>
  <c r="I135" i="10"/>
  <c r="AA134" i="10"/>
  <c r="Y134" i="10"/>
  <c r="AH249" i="10"/>
  <c r="AI249" i="10"/>
  <c r="C242" i="38"/>
  <c r="Z134" i="10"/>
  <c r="BH251" i="10"/>
  <c r="T252" i="10"/>
  <c r="I136" i="10"/>
  <c r="AB135" i="10"/>
  <c r="AA135" i="10"/>
  <c r="Y135" i="10"/>
  <c r="M135" i="10"/>
  <c r="AJ128" i="10"/>
  <c r="BS23" i="26"/>
  <c r="BU23" i="26"/>
  <c r="BH23" i="12"/>
  <c r="C126" i="38"/>
  <c r="D126" i="38"/>
  <c r="E126" i="38"/>
  <c r="AJ249" i="10"/>
  <c r="BI23" i="26"/>
  <c r="AN23" i="12"/>
  <c r="BF137" i="10"/>
  <c r="B138" i="10"/>
  <c r="C137" i="10"/>
  <c r="Z135" i="10"/>
  <c r="BH252" i="10"/>
  <c r="T253" i="10"/>
  <c r="B139" i="10"/>
  <c r="C138" i="10"/>
  <c r="BF138" i="10"/>
  <c r="AB136" i="10"/>
  <c r="I137" i="10"/>
  <c r="AA136" i="10"/>
  <c r="M136" i="10"/>
  <c r="T254" i="10"/>
  <c r="BH253" i="10"/>
  <c r="Y136" i="10"/>
  <c r="Z136" i="10"/>
  <c r="AA137" i="10"/>
  <c r="AD131" i="10"/>
  <c r="I138" i="10"/>
  <c r="AB137" i="10"/>
  <c r="AE136" i="10"/>
  <c r="Y137" i="10"/>
  <c r="M137" i="10"/>
  <c r="O131" i="10"/>
  <c r="AN24" i="26"/>
  <c r="B24" i="12"/>
  <c r="AE134" i="10"/>
  <c r="B140" i="10"/>
  <c r="BF139" i="10"/>
  <c r="C139" i="10"/>
  <c r="AD132" i="10"/>
  <c r="AF131" i="10"/>
  <c r="AT24" i="26"/>
  <c r="B141" i="10"/>
  <c r="BF140" i="10"/>
  <c r="C140" i="10"/>
  <c r="Z137" i="10"/>
  <c r="AH133" i="10"/>
  <c r="AH131" i="10"/>
  <c r="Q131" i="10"/>
  <c r="AD24" i="26"/>
  <c r="O132" i="10"/>
  <c r="AE137" i="10"/>
  <c r="AX24" i="26"/>
  <c r="AW24" i="26"/>
  <c r="AF134" i="10"/>
  <c r="AA138" i="10"/>
  <c r="M138" i="10"/>
  <c r="I139" i="10"/>
  <c r="AB138" i="10"/>
  <c r="BH254" i="10"/>
  <c r="T255" i="10"/>
  <c r="AJ133" i="10"/>
  <c r="BD24" i="26"/>
  <c r="BF141" i="10"/>
  <c r="B142" i="10"/>
  <c r="C141" i="10"/>
  <c r="AB139" i="10"/>
  <c r="I140" i="10"/>
  <c r="AA139" i="10"/>
  <c r="Y139" i="10"/>
  <c r="M139" i="10"/>
  <c r="AH24" i="26"/>
  <c r="J24" i="12"/>
  <c r="AV24" i="26"/>
  <c r="Q24" i="12"/>
  <c r="CK24" i="26"/>
  <c r="Y138" i="10"/>
  <c r="Z138" i="10"/>
  <c r="Q132" i="10"/>
  <c r="AI24" i="26"/>
  <c r="BH255" i="10"/>
  <c r="T256" i="10"/>
  <c r="AJ131" i="10"/>
  <c r="BM24" i="26"/>
  <c r="AD133" i="10"/>
  <c r="AF133" i="10"/>
  <c r="AF132" i="10"/>
  <c r="Z139" i="10"/>
  <c r="BF24" i="26"/>
  <c r="AK24" i="12"/>
  <c r="BO24" i="26"/>
  <c r="V24" i="12"/>
  <c r="E131" i="38"/>
  <c r="AM24" i="26"/>
  <c r="M24" i="12"/>
  <c r="BB24" i="26"/>
  <c r="AH134" i="10"/>
  <c r="B143" i="10"/>
  <c r="C142" i="10"/>
  <c r="BF142" i="10"/>
  <c r="T257" i="10"/>
  <c r="BH256" i="10"/>
  <c r="AB140" i="10"/>
  <c r="I141" i="10"/>
  <c r="AA140" i="10"/>
  <c r="M140" i="10"/>
  <c r="AH255" i="10"/>
  <c r="D131" i="38"/>
  <c r="C131" i="38"/>
  <c r="BF143" i="10"/>
  <c r="C143" i="10"/>
  <c r="B144" i="10"/>
  <c r="AJ134" i="10"/>
  <c r="BG24" i="26"/>
  <c r="AH135" i="10"/>
  <c r="AH256" i="10"/>
  <c r="AI256" i="10"/>
  <c r="AJ256" i="10"/>
  <c r="C249" i="38"/>
  <c r="Y140" i="10"/>
  <c r="Z140" i="10"/>
  <c r="BH257" i="10"/>
  <c r="T258" i="10"/>
  <c r="I142" i="10"/>
  <c r="AA141" i="10"/>
  <c r="Y141" i="10"/>
  <c r="AB141" i="10"/>
  <c r="M141" i="10"/>
  <c r="AB142" i="10"/>
  <c r="AA142" i="10"/>
  <c r="Y142" i="10"/>
  <c r="M142" i="10"/>
  <c r="I143" i="10"/>
  <c r="B145" i="10"/>
  <c r="C144" i="10"/>
  <c r="BF144" i="10"/>
  <c r="AJ135" i="10"/>
  <c r="BS24" i="26"/>
  <c r="BU24" i="26"/>
  <c r="BH24" i="12"/>
  <c r="BH258" i="10"/>
  <c r="T259" i="10"/>
  <c r="Z141" i="10"/>
  <c r="C133" i="38"/>
  <c r="D133" i="38"/>
  <c r="E133" i="38"/>
  <c r="BI24" i="26"/>
  <c r="AN24" i="12"/>
  <c r="Z142" i="10"/>
  <c r="T260" i="10"/>
  <c r="BH259" i="10"/>
  <c r="I144" i="10"/>
  <c r="AA143" i="10"/>
  <c r="M143" i="10"/>
  <c r="AB143" i="10"/>
  <c r="BF145" i="10"/>
  <c r="B146" i="10"/>
  <c r="C145" i="10"/>
  <c r="BF146" i="10"/>
  <c r="C146" i="10"/>
  <c r="B147" i="10"/>
  <c r="Y143" i="10"/>
  <c r="Z143" i="10"/>
  <c r="BH260" i="10"/>
  <c r="T261" i="10"/>
  <c r="AA144" i="10"/>
  <c r="Y144" i="10"/>
  <c r="M144" i="10"/>
  <c r="O138" i="10"/>
  <c r="I145" i="10"/>
  <c r="AB144" i="10"/>
  <c r="AE143" i="10"/>
  <c r="AN25" i="26"/>
  <c r="B25" i="12"/>
  <c r="AE141" i="10"/>
  <c r="Z144" i="10"/>
  <c r="AW25" i="26"/>
  <c r="T262" i="10"/>
  <c r="BH261" i="10"/>
  <c r="BF147" i="10"/>
  <c r="C147" i="10"/>
  <c r="B148" i="10"/>
  <c r="AF141" i="10"/>
  <c r="I146" i="10"/>
  <c r="AB145" i="10"/>
  <c r="AA145" i="10"/>
  <c r="M145" i="10"/>
  <c r="AH140" i="10"/>
  <c r="Q138" i="10"/>
  <c r="AD25" i="26"/>
  <c r="O139" i="10"/>
  <c r="AD138" i="10"/>
  <c r="AD139" i="10"/>
  <c r="AF138" i="10"/>
  <c r="AT25" i="26"/>
  <c r="AJ140" i="10"/>
  <c r="BD25" i="26"/>
  <c r="Q139" i="10"/>
  <c r="AI25" i="26"/>
  <c r="AH138" i="10"/>
  <c r="I147" i="10"/>
  <c r="AA146" i="10"/>
  <c r="Y146" i="10"/>
  <c r="M146" i="10"/>
  <c r="AB146" i="10"/>
  <c r="B149" i="10"/>
  <c r="C148" i="10"/>
  <c r="BF148" i="10"/>
  <c r="BH262" i="10"/>
  <c r="T263" i="10"/>
  <c r="AH262" i="10"/>
  <c r="AH25" i="26"/>
  <c r="J25" i="12"/>
  <c r="Y145" i="10"/>
  <c r="Z145" i="10"/>
  <c r="AE144" i="10"/>
  <c r="AX25" i="26"/>
  <c r="Z146" i="10"/>
  <c r="AH263" i="10"/>
  <c r="AI263" i="10"/>
  <c r="AJ263" i="10"/>
  <c r="C256" i="38"/>
  <c r="AV25" i="26"/>
  <c r="Q25" i="12"/>
  <c r="CK25" i="26"/>
  <c r="T264" i="10"/>
  <c r="BH263" i="10"/>
  <c r="BF149" i="10"/>
  <c r="B150" i="10"/>
  <c r="C149" i="10"/>
  <c r="I148" i="10"/>
  <c r="AA147" i="10"/>
  <c r="M147" i="10"/>
  <c r="AB147" i="10"/>
  <c r="E138" i="38"/>
  <c r="AM25" i="26"/>
  <c r="M25" i="12"/>
  <c r="BB25" i="26"/>
  <c r="AH141" i="10"/>
  <c r="AJ138" i="10"/>
  <c r="BM25" i="26"/>
  <c r="BF25" i="26"/>
  <c r="AK25" i="12"/>
  <c r="AD140" i="10"/>
  <c r="AF140" i="10"/>
  <c r="AF139" i="10"/>
  <c r="B151" i="10"/>
  <c r="BF150" i="10"/>
  <c r="C150" i="10"/>
  <c r="Y147" i="10"/>
  <c r="Z147" i="10"/>
  <c r="D138" i="38"/>
  <c r="C138" i="38"/>
  <c r="AB148" i="10"/>
  <c r="M148" i="10"/>
  <c r="I149" i="10"/>
  <c r="AA148" i="10"/>
  <c r="Y148" i="10"/>
  <c r="AJ141" i="10"/>
  <c r="BG25" i="26"/>
  <c r="AH142" i="10"/>
  <c r="BO25" i="26"/>
  <c r="V25" i="12"/>
  <c r="BH264" i="10"/>
  <c r="T265" i="10"/>
  <c r="C140" i="38"/>
  <c r="D140" i="38"/>
  <c r="E140" i="38"/>
  <c r="BI25" i="26"/>
  <c r="AN25" i="12"/>
  <c r="BF151" i="10"/>
  <c r="B152" i="10"/>
  <c r="C151" i="10"/>
  <c r="AJ142" i="10"/>
  <c r="BS25" i="26"/>
  <c r="BU25" i="26"/>
  <c r="BH25" i="12"/>
  <c r="I150" i="10"/>
  <c r="AB149" i="10"/>
  <c r="AA149" i="10"/>
  <c r="Y149" i="10"/>
  <c r="M149" i="10"/>
  <c r="BH265" i="10"/>
  <c r="T266" i="10"/>
  <c r="Z148" i="10"/>
  <c r="Z149" i="10"/>
  <c r="AB150" i="10"/>
  <c r="I151" i="10"/>
  <c r="AA150" i="10"/>
  <c r="Y150" i="10"/>
  <c r="M150" i="10"/>
  <c r="B153" i="10"/>
  <c r="C152" i="10"/>
  <c r="BF152" i="10"/>
  <c r="BH266" i="10"/>
  <c r="T267" i="10"/>
  <c r="Z150" i="10"/>
  <c r="I152" i="10"/>
  <c r="AB151" i="10"/>
  <c r="AE150" i="10"/>
  <c r="AA151" i="10"/>
  <c r="M151" i="10"/>
  <c r="O145" i="10"/>
  <c r="AN26" i="26"/>
  <c r="B26" i="12"/>
  <c r="AE148" i="10"/>
  <c r="T268" i="10"/>
  <c r="BH267" i="10"/>
  <c r="B154" i="10"/>
  <c r="BF153" i="10"/>
  <c r="C153" i="10"/>
  <c r="AF148" i="10"/>
  <c r="Y151" i="10"/>
  <c r="Z151" i="10"/>
  <c r="AD145" i="10"/>
  <c r="AW26" i="26"/>
  <c r="B155" i="10"/>
  <c r="BF154" i="10"/>
  <c r="C154" i="10"/>
  <c r="AA152" i="10"/>
  <c r="M152" i="10"/>
  <c r="I153" i="10"/>
  <c r="AB152" i="10"/>
  <c r="BH268" i="10"/>
  <c r="T269" i="10"/>
  <c r="AH147" i="10"/>
  <c r="Q145" i="10"/>
  <c r="AD26" i="26"/>
  <c r="O146" i="10"/>
  <c r="AD146" i="10"/>
  <c r="AF145" i="10"/>
  <c r="AT26" i="26"/>
  <c r="BH269" i="10"/>
  <c r="T270" i="10"/>
  <c r="BF155" i="10"/>
  <c r="B156" i="10"/>
  <c r="C155" i="10"/>
  <c r="AH26" i="26"/>
  <c r="J26" i="12"/>
  <c r="AB153" i="10"/>
  <c r="I154" i="10"/>
  <c r="AA153" i="10"/>
  <c r="Y153" i="10"/>
  <c r="M153" i="10"/>
  <c r="Y152" i="10"/>
  <c r="Z152" i="10"/>
  <c r="AH145" i="10"/>
  <c r="Q146" i="10"/>
  <c r="AI26" i="26"/>
  <c r="AJ147" i="10"/>
  <c r="BD26" i="26"/>
  <c r="AE151" i="10"/>
  <c r="AX26" i="26"/>
  <c r="Z153" i="10"/>
  <c r="B157" i="10"/>
  <c r="C156" i="10"/>
  <c r="BF156" i="10"/>
  <c r="AV26" i="26"/>
  <c r="Q26" i="12"/>
  <c r="CK26" i="26"/>
  <c r="AJ145" i="10"/>
  <c r="BM26" i="26"/>
  <c r="E145" i="38"/>
  <c r="AM26" i="26"/>
  <c r="M26" i="12"/>
  <c r="BB26" i="26"/>
  <c r="AH148" i="10"/>
  <c r="AB154" i="10"/>
  <c r="I155" i="10"/>
  <c r="AA154" i="10"/>
  <c r="Y154" i="10"/>
  <c r="Z154" i="10"/>
  <c r="M154" i="10"/>
  <c r="BF26" i="26"/>
  <c r="AK26" i="12"/>
  <c r="T271" i="10"/>
  <c r="BH270" i="10"/>
  <c r="AH269" i="10"/>
  <c r="AD147" i="10"/>
  <c r="AF147" i="10"/>
  <c r="AF146" i="10"/>
  <c r="AH270" i="10"/>
  <c r="AI270" i="10"/>
  <c r="AJ270" i="10"/>
  <c r="C263" i="38"/>
  <c r="I156" i="10"/>
  <c r="AA155" i="10"/>
  <c r="AB155" i="10"/>
  <c r="M155" i="10"/>
  <c r="D145" i="38"/>
  <c r="C145" i="38"/>
  <c r="BF157" i="10"/>
  <c r="C157" i="10"/>
  <c r="B158" i="10"/>
  <c r="BO26" i="26"/>
  <c r="V26" i="12"/>
  <c r="BH271" i="10"/>
  <c r="T272" i="10"/>
  <c r="AJ148" i="10"/>
  <c r="BG26" i="26"/>
  <c r="AH149" i="10"/>
  <c r="BH272" i="10"/>
  <c r="T273" i="10"/>
  <c r="BI26" i="26"/>
  <c r="AN26" i="12"/>
  <c r="Y155" i="10"/>
  <c r="Z155" i="10"/>
  <c r="AJ149" i="10"/>
  <c r="BS26" i="26"/>
  <c r="BU26" i="26"/>
  <c r="BH26" i="12"/>
  <c r="B159" i="10"/>
  <c r="C158" i="10"/>
  <c r="BF158" i="10"/>
  <c r="C147" i="38"/>
  <c r="D147" i="38"/>
  <c r="E147" i="38"/>
  <c r="AB156" i="10"/>
  <c r="AA156" i="10"/>
  <c r="Y156" i="10"/>
  <c r="M156" i="10"/>
  <c r="I157" i="10"/>
  <c r="Z156" i="10"/>
  <c r="T274" i="10"/>
  <c r="BH273" i="10"/>
  <c r="I158" i="10"/>
  <c r="AA157" i="10"/>
  <c r="M157" i="10"/>
  <c r="AB157" i="10"/>
  <c r="BF159" i="10"/>
  <c r="B160" i="10"/>
  <c r="C159" i="10"/>
  <c r="BF160" i="10"/>
  <c r="C160" i="10"/>
  <c r="B161" i="10"/>
  <c r="Y157" i="10"/>
  <c r="Z157" i="10"/>
  <c r="BH274" i="10"/>
  <c r="T275" i="10"/>
  <c r="AA158" i="10"/>
  <c r="Y158" i="10"/>
  <c r="M158" i="10"/>
  <c r="O152" i="10"/>
  <c r="I159" i="10"/>
  <c r="AB158" i="10"/>
  <c r="AE157" i="10"/>
  <c r="AN27" i="26"/>
  <c r="B27" i="12"/>
  <c r="AE155" i="10"/>
  <c r="Z158" i="10"/>
  <c r="I160" i="10"/>
  <c r="AB159" i="10"/>
  <c r="AA159" i="10"/>
  <c r="M159" i="10"/>
  <c r="T276" i="10"/>
  <c r="BH275" i="10"/>
  <c r="BF161" i="10"/>
  <c r="C161" i="10"/>
  <c r="B162" i="10"/>
  <c r="AF155" i="10"/>
  <c r="AH154" i="10"/>
  <c r="Q152" i="10"/>
  <c r="AD27" i="26"/>
  <c r="O153" i="10"/>
  <c r="AW27" i="26"/>
  <c r="AD152" i="10"/>
  <c r="AD153" i="10"/>
  <c r="AF152" i="10"/>
  <c r="AT27" i="26"/>
  <c r="AE158" i="10"/>
  <c r="AX27" i="26"/>
  <c r="AJ154" i="10"/>
  <c r="BD27" i="26"/>
  <c r="B163" i="10"/>
  <c r="C162" i="10"/>
  <c r="BF162" i="10"/>
  <c r="BH276" i="10"/>
  <c r="T277" i="10"/>
  <c r="I161" i="10"/>
  <c r="AA160" i="10"/>
  <c r="Y160" i="10"/>
  <c r="M160" i="10"/>
  <c r="AB160" i="10"/>
  <c r="AH27" i="26"/>
  <c r="J27" i="12"/>
  <c r="Y159" i="10"/>
  <c r="Z159" i="10"/>
  <c r="Q153" i="10"/>
  <c r="AI27" i="26"/>
  <c r="AH152" i="10"/>
  <c r="Z160" i="10"/>
  <c r="E152" i="38"/>
  <c r="AM27" i="26"/>
  <c r="M27" i="12"/>
  <c r="BB27" i="26"/>
  <c r="AH155" i="10"/>
  <c r="T278" i="10"/>
  <c r="BH277" i="10"/>
  <c r="BF27" i="26"/>
  <c r="AK27" i="12"/>
  <c r="AV27" i="26"/>
  <c r="Q27" i="12"/>
  <c r="CK27" i="26"/>
  <c r="I162" i="10"/>
  <c r="AA161" i="10"/>
  <c r="Y161" i="10"/>
  <c r="M161" i="10"/>
  <c r="AB161" i="10"/>
  <c r="BF163" i="10"/>
  <c r="B164" i="10"/>
  <c r="C163" i="10"/>
  <c r="AJ152" i="10"/>
  <c r="BM27" i="26"/>
  <c r="AH276" i="10"/>
  <c r="AD154" i="10"/>
  <c r="AF154" i="10"/>
  <c r="AF153" i="10"/>
  <c r="Z161" i="10"/>
  <c r="AB162" i="10"/>
  <c r="M162" i="10"/>
  <c r="I163" i="10"/>
  <c r="AA162" i="10"/>
  <c r="AJ155" i="10"/>
  <c r="BG27" i="26"/>
  <c r="AH156" i="10"/>
  <c r="D152" i="38"/>
  <c r="C152" i="38"/>
  <c r="AH277" i="10"/>
  <c r="AI277" i="10"/>
  <c r="C270" i="38"/>
  <c r="B165" i="10"/>
  <c r="BF164" i="10"/>
  <c r="C164" i="10"/>
  <c r="BO27" i="26"/>
  <c r="V27" i="12"/>
  <c r="BH278" i="10"/>
  <c r="T279" i="10"/>
  <c r="BF165" i="10"/>
  <c r="B166" i="10"/>
  <c r="C165" i="10"/>
  <c r="Y162" i="10"/>
  <c r="Z162" i="10"/>
  <c r="BI27" i="26"/>
  <c r="AN27" i="12"/>
  <c r="BH279" i="10"/>
  <c r="T280" i="10"/>
  <c r="C154" i="38"/>
  <c r="D154" i="38"/>
  <c r="E154" i="38"/>
  <c r="AJ277" i="10"/>
  <c r="AJ156" i="10"/>
  <c r="BS27" i="26"/>
  <c r="BU27" i="26"/>
  <c r="BH27" i="12"/>
  <c r="I164" i="10"/>
  <c r="AB163" i="10"/>
  <c r="AA163" i="10"/>
  <c r="Y163" i="10"/>
  <c r="M163" i="10"/>
  <c r="AB164" i="10"/>
  <c r="I165" i="10"/>
  <c r="AA164" i="10"/>
  <c r="Y164" i="10"/>
  <c r="M164" i="10"/>
  <c r="BH280" i="10"/>
  <c r="T281" i="10"/>
  <c r="B167" i="10"/>
  <c r="C166" i="10"/>
  <c r="BF166" i="10"/>
  <c r="Z163" i="10"/>
  <c r="Z164" i="10"/>
  <c r="T282" i="10"/>
  <c r="BH281" i="10"/>
  <c r="I166" i="10"/>
  <c r="AB165" i="10"/>
  <c r="AE164" i="10"/>
  <c r="AA165" i="10"/>
  <c r="M165" i="10"/>
  <c r="O159" i="10"/>
  <c r="AN28" i="26"/>
  <c r="B28" i="12"/>
  <c r="AE162" i="10"/>
  <c r="B168" i="10"/>
  <c r="BF167" i="10"/>
  <c r="C167" i="10"/>
  <c r="AH161" i="10"/>
  <c r="Q159" i="10"/>
  <c r="AD28" i="26"/>
  <c r="O160" i="10"/>
  <c r="B169" i="10"/>
  <c r="BF168" i="10"/>
  <c r="C168" i="10"/>
  <c r="Y165" i="10"/>
  <c r="Z165" i="10"/>
  <c r="AD159" i="10"/>
  <c r="AE165" i="10"/>
  <c r="AX28" i="26"/>
  <c r="BH282" i="10"/>
  <c r="T283" i="10"/>
  <c r="AA166" i="10"/>
  <c r="M166" i="10"/>
  <c r="I167" i="10"/>
  <c r="AB166" i="10"/>
  <c r="AF162" i="10"/>
  <c r="AW28" i="26"/>
  <c r="AH28" i="26"/>
  <c r="J28" i="12"/>
  <c r="Y166" i="10"/>
  <c r="Z166" i="10"/>
  <c r="AD160" i="10"/>
  <c r="AF159" i="10"/>
  <c r="AT28" i="26"/>
  <c r="BF169" i="10"/>
  <c r="B170" i="10"/>
  <c r="C169" i="10"/>
  <c r="AH159" i="10"/>
  <c r="AB167" i="10"/>
  <c r="I168" i="10"/>
  <c r="AA167" i="10"/>
  <c r="Y167" i="10"/>
  <c r="M167" i="10"/>
  <c r="BH283" i="10"/>
  <c r="T284" i="10"/>
  <c r="Q160" i="10"/>
  <c r="AI28" i="26"/>
  <c r="AJ161" i="10"/>
  <c r="BD28" i="26"/>
  <c r="E159" i="38"/>
  <c r="AM28" i="26"/>
  <c r="M28" i="12"/>
  <c r="BB28" i="26"/>
  <c r="AH162" i="10"/>
  <c r="Z167" i="10"/>
  <c r="T285" i="10"/>
  <c r="BH284" i="10"/>
  <c r="AB168" i="10"/>
  <c r="I169" i="10"/>
  <c r="AA168" i="10"/>
  <c r="Y168" i="10"/>
  <c r="M168" i="10"/>
  <c r="B171" i="10"/>
  <c r="C170" i="10"/>
  <c r="BF170" i="10"/>
  <c r="AD161" i="10"/>
  <c r="AF161" i="10"/>
  <c r="AF160" i="10"/>
  <c r="BF28" i="26"/>
  <c r="AK28" i="12"/>
  <c r="AH283" i="10"/>
  <c r="AJ159" i="10"/>
  <c r="BM28" i="26"/>
  <c r="AV28" i="26"/>
  <c r="Q28" i="12"/>
  <c r="CK28" i="26"/>
  <c r="BF171" i="10"/>
  <c r="C171" i="10"/>
  <c r="B172" i="10"/>
  <c r="AH284" i="10"/>
  <c r="AI284" i="10"/>
  <c r="C277" i="38"/>
  <c r="BH285" i="10"/>
  <c r="T286" i="10"/>
  <c r="D159" i="38"/>
  <c r="C159" i="38"/>
  <c r="AJ162" i="10"/>
  <c r="BG28" i="26"/>
  <c r="AH163" i="10"/>
  <c r="BO28" i="26"/>
  <c r="V28" i="12"/>
  <c r="I170" i="10"/>
  <c r="AA169" i="10"/>
  <c r="AB169" i="10"/>
  <c r="M169" i="10"/>
  <c r="Z168" i="10"/>
  <c r="AJ284" i="10"/>
  <c r="AB170" i="10"/>
  <c r="AA170" i="10"/>
  <c r="Y170" i="10"/>
  <c r="M170" i="10"/>
  <c r="I171" i="10"/>
  <c r="AJ163" i="10"/>
  <c r="BS28" i="26"/>
  <c r="BU28" i="26"/>
  <c r="BH28" i="12"/>
  <c r="C161" i="38"/>
  <c r="D161" i="38"/>
  <c r="E161" i="38"/>
  <c r="B173" i="10"/>
  <c r="C172" i="10"/>
  <c r="BF172" i="10"/>
  <c r="BI28" i="26"/>
  <c r="AN28" i="12"/>
  <c r="BH286" i="10"/>
  <c r="T287" i="10"/>
  <c r="Y169" i="10"/>
  <c r="Z169" i="10"/>
  <c r="Z170" i="10"/>
  <c r="T288" i="10"/>
  <c r="BH287" i="10"/>
  <c r="BF173" i="10"/>
  <c r="B174" i="10"/>
  <c r="C173" i="10"/>
  <c r="I172" i="10"/>
  <c r="AA171" i="10"/>
  <c r="M171" i="10"/>
  <c r="AB171" i="10"/>
  <c r="BH288" i="10"/>
  <c r="T289" i="10"/>
  <c r="Y171" i="10"/>
  <c r="Z171" i="10"/>
  <c r="AA172" i="10"/>
  <c r="AD166" i="10"/>
  <c r="Y172" i="10"/>
  <c r="M172" i="10"/>
  <c r="O166" i="10"/>
  <c r="I173" i="10"/>
  <c r="AB172" i="10"/>
  <c r="AE171" i="10"/>
  <c r="AN29" i="26"/>
  <c r="B29" i="12"/>
  <c r="AE169" i="10"/>
  <c r="BF174" i="10"/>
  <c r="C174" i="10"/>
  <c r="B175" i="10"/>
  <c r="Z172" i="10"/>
  <c r="AD167" i="10"/>
  <c r="AF166" i="10"/>
  <c r="AT29" i="26"/>
  <c r="I174" i="10"/>
  <c r="AB173" i="10"/>
  <c r="AA173" i="10"/>
  <c r="M173" i="10"/>
  <c r="AE172" i="10"/>
  <c r="AX29" i="26"/>
  <c r="AW29" i="26"/>
  <c r="AF169" i="10"/>
  <c r="AH166" i="10"/>
  <c r="AH168" i="10"/>
  <c r="Q166" i="10"/>
  <c r="AD29" i="26"/>
  <c r="O167" i="10"/>
  <c r="T290" i="10"/>
  <c r="BH289" i="10"/>
  <c r="BF175" i="10"/>
  <c r="C175" i="10"/>
  <c r="B176" i="10"/>
  <c r="AH29" i="26"/>
  <c r="J29" i="12"/>
  <c r="I175" i="10"/>
  <c r="AA174" i="10"/>
  <c r="Y174" i="10"/>
  <c r="M174" i="10"/>
  <c r="AB174" i="10"/>
  <c r="B177" i="10"/>
  <c r="C176" i="10"/>
  <c r="BF176" i="10"/>
  <c r="AV29" i="26"/>
  <c r="Q29" i="12"/>
  <c r="CK29" i="26"/>
  <c r="BH290" i="10"/>
  <c r="T291" i="10"/>
  <c r="AJ168" i="10"/>
  <c r="BD29" i="26"/>
  <c r="Y173" i="10"/>
  <c r="Z173" i="10"/>
  <c r="Q167" i="10"/>
  <c r="AI29" i="26"/>
  <c r="AJ166" i="10"/>
  <c r="BM29" i="26"/>
  <c r="AD168" i="10"/>
  <c r="AF168" i="10"/>
  <c r="AF167" i="10"/>
  <c r="BO29" i="26"/>
  <c r="V29" i="12"/>
  <c r="T292" i="10"/>
  <c r="BH291" i="10"/>
  <c r="AH290" i="10"/>
  <c r="BF177" i="10"/>
  <c r="B178" i="10"/>
  <c r="C177" i="10"/>
  <c r="I176" i="10"/>
  <c r="AA175" i="10"/>
  <c r="Y175" i="10"/>
  <c r="M175" i="10"/>
  <c r="AB175" i="10"/>
  <c r="E166" i="38"/>
  <c r="BB29" i="26"/>
  <c r="AH169" i="10"/>
  <c r="AM29" i="26"/>
  <c r="M29" i="12"/>
  <c r="Z174" i="10"/>
  <c r="BF29" i="26"/>
  <c r="AK29" i="12"/>
  <c r="Z175" i="10"/>
  <c r="D166" i="38"/>
  <c r="C166" i="38"/>
  <c r="AB176" i="10"/>
  <c r="M176" i="10"/>
  <c r="I177" i="10"/>
  <c r="AA176" i="10"/>
  <c r="Y176" i="10"/>
  <c r="AH291" i="10"/>
  <c r="AI291" i="10"/>
  <c r="C284" i="38"/>
  <c r="B179" i="10"/>
  <c r="BF178" i="10"/>
  <c r="C178" i="10"/>
  <c r="BH292" i="10"/>
  <c r="T293" i="10"/>
  <c r="AJ169" i="10"/>
  <c r="BG29" i="26"/>
  <c r="AH170" i="10"/>
  <c r="Z176" i="10"/>
  <c r="BI29" i="26"/>
  <c r="AN29" i="12"/>
  <c r="I178" i="10"/>
  <c r="AB177" i="10"/>
  <c r="AA177" i="10"/>
  <c r="Y177" i="10"/>
  <c r="M177" i="10"/>
  <c r="C168" i="38"/>
  <c r="D168" i="38"/>
  <c r="E168" i="38"/>
  <c r="AJ170" i="10"/>
  <c r="BS29" i="26"/>
  <c r="BU29" i="26"/>
  <c r="BH29" i="12"/>
  <c r="BH293" i="10"/>
  <c r="T294" i="10"/>
  <c r="BF179" i="10"/>
  <c r="B180" i="10"/>
  <c r="C179" i="10"/>
  <c r="AJ291" i="10"/>
  <c r="Z177" i="10"/>
  <c r="BH294" i="10"/>
  <c r="T295" i="10"/>
  <c r="B181" i="10"/>
  <c r="C180" i="10"/>
  <c r="BF180" i="10"/>
  <c r="AB178" i="10"/>
  <c r="I179" i="10"/>
  <c r="AA178" i="10"/>
  <c r="M178" i="10"/>
  <c r="I180" i="10"/>
  <c r="AB179" i="10"/>
  <c r="AE178" i="10"/>
  <c r="AA179" i="10"/>
  <c r="Y179" i="10"/>
  <c r="M179" i="10"/>
  <c r="O173" i="10"/>
  <c r="AN30" i="26"/>
  <c r="B30" i="12"/>
  <c r="AE176" i="10"/>
  <c r="T296" i="10"/>
  <c r="BH295" i="10"/>
  <c r="B182" i="10"/>
  <c r="BF181" i="10"/>
  <c r="C181" i="10"/>
  <c r="Y178" i="10"/>
  <c r="Z178" i="10"/>
  <c r="AH175" i="10"/>
  <c r="Q173" i="10"/>
  <c r="AD30" i="26"/>
  <c r="O174" i="10"/>
  <c r="BH296" i="10"/>
  <c r="T297" i="10"/>
  <c r="AF176" i="10"/>
  <c r="AW30" i="26"/>
  <c r="Z179" i="10"/>
  <c r="AD173" i="10"/>
  <c r="AE179" i="10"/>
  <c r="AX30" i="26"/>
  <c r="B183" i="10"/>
  <c r="BF182" i="10"/>
  <c r="C182" i="10"/>
  <c r="AA180" i="10"/>
  <c r="M180" i="10"/>
  <c r="I181" i="10"/>
  <c r="AB180" i="10"/>
  <c r="BF183" i="10"/>
  <c r="B184" i="10"/>
  <c r="C183" i="10"/>
  <c r="AB181" i="10"/>
  <c r="I182" i="10"/>
  <c r="AA181" i="10"/>
  <c r="Y181" i="10"/>
  <c r="M181" i="10"/>
  <c r="BH297" i="10"/>
  <c r="T298" i="10"/>
  <c r="Y180" i="10"/>
  <c r="Z180" i="10"/>
  <c r="AD174" i="10"/>
  <c r="AF173" i="10"/>
  <c r="AT30" i="26"/>
  <c r="AH173" i="10"/>
  <c r="AH30" i="26"/>
  <c r="J30" i="12"/>
  <c r="Q174" i="10"/>
  <c r="AI30" i="26"/>
  <c r="AJ175" i="10"/>
  <c r="BD30" i="26"/>
  <c r="Z181" i="10"/>
  <c r="AJ173" i="10"/>
  <c r="BM30" i="26"/>
  <c r="B185" i="10"/>
  <c r="C184" i="10"/>
  <c r="BF184" i="10"/>
  <c r="T299" i="10"/>
  <c r="BH298" i="10"/>
  <c r="AH297" i="10"/>
  <c r="AB182" i="10"/>
  <c r="I183" i="10"/>
  <c r="AA182" i="10"/>
  <c r="M182" i="10"/>
  <c r="E173" i="38"/>
  <c r="AM30" i="26"/>
  <c r="M30" i="12"/>
  <c r="BB30" i="26"/>
  <c r="AH176" i="10"/>
  <c r="AV30" i="26"/>
  <c r="Q30" i="12"/>
  <c r="CK30" i="26"/>
  <c r="BF30" i="26"/>
  <c r="AK30" i="12"/>
  <c r="AD175" i="10"/>
  <c r="AF175" i="10"/>
  <c r="AF174" i="10"/>
  <c r="D173" i="38"/>
  <c r="C173" i="38"/>
  <c r="I184" i="10"/>
  <c r="AA183" i="10"/>
  <c r="Y183" i="10"/>
  <c r="AB183" i="10"/>
  <c r="M183" i="10"/>
  <c r="BH299" i="10"/>
  <c r="T300" i="10"/>
  <c r="BO30" i="26"/>
  <c r="V30" i="12"/>
  <c r="Y182" i="10"/>
  <c r="Z182" i="10"/>
  <c r="BF185" i="10"/>
  <c r="C185" i="10"/>
  <c r="B186" i="10"/>
  <c r="AJ176" i="10"/>
  <c r="BG30" i="26"/>
  <c r="AH177" i="10"/>
  <c r="AH298" i="10"/>
  <c r="AI298" i="10"/>
  <c r="C291" i="38"/>
  <c r="AJ298" i="10"/>
  <c r="Z183" i="10"/>
  <c r="AB184" i="10"/>
  <c r="AA184" i="10"/>
  <c r="M184" i="10"/>
  <c r="I185" i="10"/>
  <c r="AJ177" i="10"/>
  <c r="BS30" i="26"/>
  <c r="BU30" i="26"/>
  <c r="BH30" i="12"/>
  <c r="B187" i="10"/>
  <c r="C186" i="10"/>
  <c r="BF186" i="10"/>
  <c r="BH300" i="10"/>
  <c r="T301" i="10"/>
  <c r="C175" i="38"/>
  <c r="D175" i="38"/>
  <c r="E175" i="38"/>
  <c r="BI30" i="26"/>
  <c r="AN30" i="12"/>
  <c r="T302" i="10"/>
  <c r="BH301" i="10"/>
  <c r="I186" i="10"/>
  <c r="AA185" i="10"/>
  <c r="Y185" i="10"/>
  <c r="M185" i="10"/>
  <c r="AB185" i="10"/>
  <c r="BF187" i="10"/>
  <c r="B188" i="10"/>
  <c r="C187" i="10"/>
  <c r="Y184" i="10"/>
  <c r="Z184" i="10"/>
  <c r="Z185" i="10"/>
  <c r="AA186" i="10"/>
  <c r="M186" i="10"/>
  <c r="O180" i="10"/>
  <c r="I187" i="10"/>
  <c r="AB186" i="10"/>
  <c r="AE185" i="10"/>
  <c r="AN31" i="26"/>
  <c r="B31" i="12"/>
  <c r="AE183" i="10"/>
  <c r="BF188" i="10"/>
  <c r="C188" i="10"/>
  <c r="B189" i="10"/>
  <c r="BH302" i="10"/>
  <c r="T303" i="10"/>
  <c r="AF183" i="10"/>
  <c r="T304" i="10"/>
  <c r="BH303" i="10"/>
  <c r="AW31" i="26"/>
  <c r="I188" i="10"/>
  <c r="AB187" i="10"/>
  <c r="AA187" i="10"/>
  <c r="M187" i="10"/>
  <c r="AH182" i="10"/>
  <c r="Q180" i="10"/>
  <c r="AD31" i="26"/>
  <c r="O181" i="10"/>
  <c r="BF189" i="10"/>
  <c r="C189" i="10"/>
  <c r="B190" i="10"/>
  <c r="Y186" i="10"/>
  <c r="Z186" i="10"/>
  <c r="AD180" i="10"/>
  <c r="AE186" i="10"/>
  <c r="AX31" i="26"/>
  <c r="AH180" i="10"/>
  <c r="AJ180" i="10"/>
  <c r="BM31" i="26"/>
  <c r="I189" i="10"/>
  <c r="AA188" i="10"/>
  <c r="Y188" i="10"/>
  <c r="M188" i="10"/>
  <c r="AB188" i="10"/>
  <c r="B191" i="10"/>
  <c r="C190" i="10"/>
  <c r="BF190" i="10"/>
  <c r="BH304" i="10"/>
  <c r="T305" i="10"/>
  <c r="AH304" i="10"/>
  <c r="Q181" i="10"/>
  <c r="AI31" i="26"/>
  <c r="AH31" i="26"/>
  <c r="J31" i="12"/>
  <c r="Y187" i="10"/>
  <c r="Z187" i="10"/>
  <c r="AD181" i="10"/>
  <c r="AF180" i="10"/>
  <c r="AT31" i="26"/>
  <c r="AJ182" i="10"/>
  <c r="BD31" i="26"/>
  <c r="Z188" i="10"/>
  <c r="AH305" i="10"/>
  <c r="AI305" i="10"/>
  <c r="C298" i="38"/>
  <c r="AV31" i="26"/>
  <c r="Q31" i="12"/>
  <c r="CK31" i="26"/>
  <c r="E180" i="38"/>
  <c r="AM31" i="26"/>
  <c r="M31" i="12"/>
  <c r="BB31" i="26"/>
  <c r="AH183" i="10"/>
  <c r="BF191" i="10"/>
  <c r="B192" i="10"/>
  <c r="C191" i="10"/>
  <c r="I190" i="10"/>
  <c r="AA189" i="10"/>
  <c r="Y189" i="10"/>
  <c r="Z189" i="10"/>
  <c r="M189" i="10"/>
  <c r="AB189" i="10"/>
  <c r="BO31" i="26"/>
  <c r="V31" i="12"/>
  <c r="T306" i="10"/>
  <c r="BH305" i="10"/>
  <c r="BF31" i="26"/>
  <c r="AK31" i="12"/>
  <c r="AD182" i="10"/>
  <c r="AF182" i="10"/>
  <c r="AF181" i="10"/>
  <c r="AJ305" i="10"/>
  <c r="AB190" i="10"/>
  <c r="M190" i="10"/>
  <c r="I191" i="10"/>
  <c r="AA190" i="10"/>
  <c r="AJ183" i="10"/>
  <c r="BG31" i="26"/>
  <c r="AH184" i="10"/>
  <c r="BH306" i="10"/>
  <c r="T307" i="10"/>
  <c r="B193" i="10"/>
  <c r="BF192" i="10"/>
  <c r="C192" i="10"/>
  <c r="D180" i="38"/>
  <c r="C180" i="38"/>
  <c r="BI31" i="26"/>
  <c r="AN31" i="12"/>
  <c r="BF193" i="10"/>
  <c r="B194" i="10"/>
  <c r="C193" i="10"/>
  <c r="BH307" i="10"/>
  <c r="T308" i="10"/>
  <c r="Y190" i="10"/>
  <c r="Z190" i="10"/>
  <c r="C182" i="38"/>
  <c r="D182" i="38"/>
  <c r="E182" i="38"/>
  <c r="AJ184" i="10"/>
  <c r="BS31" i="26"/>
  <c r="BU31" i="26"/>
  <c r="BH31" i="12"/>
  <c r="I192" i="10"/>
  <c r="AB191" i="10"/>
  <c r="AA191" i="10"/>
  <c r="Y191" i="10"/>
  <c r="M191" i="10"/>
  <c r="Z191" i="10"/>
  <c r="B195" i="10"/>
  <c r="C194" i="10"/>
  <c r="BF194" i="10"/>
  <c r="BH308" i="10"/>
  <c r="T309" i="10"/>
  <c r="AB192" i="10"/>
  <c r="I193" i="10"/>
  <c r="AA192" i="10"/>
  <c r="Y192" i="10"/>
  <c r="M192" i="10"/>
  <c r="T310" i="10"/>
  <c r="BH309" i="10"/>
  <c r="AA193" i="10"/>
  <c r="AD187" i="10"/>
  <c r="I194" i="10"/>
  <c r="AB193" i="10"/>
  <c r="AE192" i="10"/>
  <c r="Y193" i="10"/>
  <c r="M193" i="10"/>
  <c r="O187" i="10"/>
  <c r="AN32" i="26"/>
  <c r="B32" i="12"/>
  <c r="AE190" i="10"/>
  <c r="B196" i="10"/>
  <c r="BF195" i="10"/>
  <c r="C195" i="10"/>
  <c r="Z192" i="10"/>
  <c r="AD188" i="10"/>
  <c r="AF187" i="10"/>
  <c r="AT32" i="26"/>
  <c r="AA194" i="10"/>
  <c r="M194" i="10"/>
  <c r="I195" i="10"/>
  <c r="AB194" i="10"/>
  <c r="AH189" i="10"/>
  <c r="AH187" i="10"/>
  <c r="Q187" i="10"/>
  <c r="AD32" i="26"/>
  <c r="O188" i="10"/>
  <c r="B197" i="10"/>
  <c r="BF196" i="10"/>
  <c r="C196" i="10"/>
  <c r="Z193" i="10"/>
  <c r="AF190" i="10"/>
  <c r="AE193" i="10"/>
  <c r="AX32" i="26"/>
  <c r="AW32" i="26"/>
  <c r="BH310" i="10"/>
  <c r="T311" i="10"/>
  <c r="AV32" i="26"/>
  <c r="Q32" i="12"/>
  <c r="CK32" i="26"/>
  <c r="BH311" i="10"/>
  <c r="T312" i="10"/>
  <c r="AB195" i="10"/>
  <c r="I196" i="10"/>
  <c r="AA195" i="10"/>
  <c r="Y195" i="10"/>
  <c r="M195" i="10"/>
  <c r="Q188" i="10"/>
  <c r="AI32" i="26"/>
  <c r="AJ189" i="10"/>
  <c r="BD32" i="26"/>
  <c r="Y194" i="10"/>
  <c r="Z194" i="10"/>
  <c r="AH32" i="26"/>
  <c r="J32" i="12"/>
  <c r="BF197" i="10"/>
  <c r="B198" i="10"/>
  <c r="C197" i="10"/>
  <c r="AJ187" i="10"/>
  <c r="BM32" i="26"/>
  <c r="AD189" i="10"/>
  <c r="AF189" i="10"/>
  <c r="AF188" i="10"/>
  <c r="Z195" i="10"/>
  <c r="E187" i="38"/>
  <c r="AM32" i="26"/>
  <c r="M32" i="12"/>
  <c r="BB32" i="26"/>
  <c r="AH190" i="10"/>
  <c r="AB196" i="10"/>
  <c r="I197" i="10"/>
  <c r="AA196" i="10"/>
  <c r="M196" i="10"/>
  <c r="BF32" i="26"/>
  <c r="AK32" i="12"/>
  <c r="BO32" i="26"/>
  <c r="V32" i="12"/>
  <c r="B199" i="10"/>
  <c r="C198" i="10"/>
  <c r="BF198" i="10"/>
  <c r="T313" i="10"/>
  <c r="BH312" i="10"/>
  <c r="AH311" i="10"/>
  <c r="AH312" i="10"/>
  <c r="AI312" i="10"/>
  <c r="AJ312" i="10"/>
  <c r="C305" i="38"/>
  <c r="Y196" i="10"/>
  <c r="Z196" i="10"/>
  <c r="D187" i="38"/>
  <c r="C187" i="38"/>
  <c r="AJ190" i="10"/>
  <c r="BG32" i="26"/>
  <c r="AH191" i="10"/>
  <c r="BF199" i="10"/>
  <c r="C199" i="10"/>
  <c r="B200" i="10"/>
  <c r="I198" i="10"/>
  <c r="AA197" i="10"/>
  <c r="Y197" i="10"/>
  <c r="AB197" i="10"/>
  <c r="M197" i="10"/>
  <c r="BH313" i="10"/>
  <c r="T314" i="10"/>
  <c r="Z197" i="10"/>
  <c r="AB198" i="10"/>
  <c r="AA198" i="10"/>
  <c r="Y198" i="10"/>
  <c r="M198" i="10"/>
  <c r="I199" i="10"/>
  <c r="AJ191" i="10"/>
  <c r="BS32" i="26"/>
  <c r="BU32" i="26"/>
  <c r="BH32" i="12"/>
  <c r="C189" i="38"/>
  <c r="D189" i="38"/>
  <c r="E189" i="38"/>
  <c r="BI32" i="26"/>
  <c r="AN32" i="12"/>
  <c r="B201" i="10"/>
  <c r="C200" i="10"/>
  <c r="BF200" i="10"/>
  <c r="BH314" i="10"/>
  <c r="T315" i="10"/>
  <c r="T316" i="10"/>
  <c r="BH315" i="10"/>
  <c r="I200" i="10"/>
  <c r="AA199" i="10"/>
  <c r="M199" i="10"/>
  <c r="AB199" i="10"/>
  <c r="Z198" i="10"/>
  <c r="BF201" i="10"/>
  <c r="B202" i="10"/>
  <c r="C201" i="10"/>
  <c r="BF202" i="10"/>
  <c r="C202" i="10"/>
  <c r="B203" i="10"/>
  <c r="Y199" i="10"/>
  <c r="Z199" i="10"/>
  <c r="AA200" i="10"/>
  <c r="Y200" i="10"/>
  <c r="M200" i="10"/>
  <c r="O194" i="10"/>
  <c r="I201" i="10"/>
  <c r="AB200" i="10"/>
  <c r="AE199" i="10"/>
  <c r="AN33" i="26"/>
  <c r="B33" i="12"/>
  <c r="AE197" i="10"/>
  <c r="BH316" i="10"/>
  <c r="T317" i="10"/>
  <c r="AD194" i="10"/>
  <c r="AH194" i="10"/>
  <c r="Z200" i="10"/>
  <c r="BF203" i="10"/>
  <c r="C203" i="10"/>
  <c r="B204" i="10"/>
  <c r="AH196" i="10"/>
  <c r="Q194" i="10"/>
  <c r="AD33" i="26"/>
  <c r="O195" i="10"/>
  <c r="T318" i="10"/>
  <c r="BH317" i="10"/>
  <c r="AW33" i="26"/>
  <c r="AF197" i="10"/>
  <c r="I202" i="10"/>
  <c r="AB201" i="10"/>
  <c r="AA201" i="10"/>
  <c r="M201" i="10"/>
  <c r="AT33" i="26"/>
  <c r="AF194" i="10"/>
  <c r="AD195" i="10"/>
  <c r="AE200" i="10"/>
  <c r="AX33" i="26"/>
  <c r="AH33" i="26"/>
  <c r="J33" i="12"/>
  <c r="B205" i="10"/>
  <c r="C204" i="10"/>
  <c r="BF204" i="10"/>
  <c r="AV33" i="26"/>
  <c r="Q33" i="12"/>
  <c r="CK33" i="26"/>
  <c r="Y201" i="10"/>
  <c r="Z201" i="10"/>
  <c r="BH318" i="10"/>
  <c r="T319" i="10"/>
  <c r="AJ196" i="10"/>
  <c r="BD33" i="26"/>
  <c r="AD196" i="10"/>
  <c r="AF196" i="10"/>
  <c r="AF195" i="10"/>
  <c r="I203" i="10"/>
  <c r="AA202" i="10"/>
  <c r="Y202" i="10"/>
  <c r="M202" i="10"/>
  <c r="AB202" i="10"/>
  <c r="Q195" i="10"/>
  <c r="AI33" i="26"/>
  <c r="AJ194" i="10"/>
  <c r="BM33" i="26"/>
  <c r="BF205" i="10"/>
  <c r="B206" i="10"/>
  <c r="C205" i="10"/>
  <c r="I204" i="10"/>
  <c r="AA203" i="10"/>
  <c r="Y203" i="10"/>
  <c r="M203" i="10"/>
  <c r="AB203" i="10"/>
  <c r="BF33" i="26"/>
  <c r="AK33" i="12"/>
  <c r="Z202" i="10"/>
  <c r="BO33" i="26"/>
  <c r="V33" i="12"/>
  <c r="E194" i="38"/>
  <c r="BB33" i="26"/>
  <c r="AH197" i="10"/>
  <c r="AM33" i="26"/>
  <c r="M33" i="12"/>
  <c r="T320" i="10"/>
  <c r="BH319" i="10"/>
  <c r="AH318" i="10"/>
  <c r="Z203" i="10"/>
  <c r="B207" i="10"/>
  <c r="BF206" i="10"/>
  <c r="C206" i="10"/>
  <c r="D194" i="38"/>
  <c r="C194" i="38"/>
  <c r="BH320" i="10"/>
  <c r="T321" i="10"/>
  <c r="AH319" i="10"/>
  <c r="AI319" i="10"/>
  <c r="C312" i="38"/>
  <c r="AJ197" i="10"/>
  <c r="BG33" i="26"/>
  <c r="AH198" i="10"/>
  <c r="AB204" i="10"/>
  <c r="M204" i="10"/>
  <c r="I205" i="10"/>
  <c r="AA204" i="10"/>
  <c r="BF207" i="10"/>
  <c r="B208" i="10"/>
  <c r="C207" i="10"/>
  <c r="BI33" i="26"/>
  <c r="AN33" i="12"/>
  <c r="BH321" i="10"/>
  <c r="T322" i="10"/>
  <c r="C196" i="38"/>
  <c r="D196" i="38"/>
  <c r="E196" i="38"/>
  <c r="I206" i="10"/>
  <c r="AB205" i="10"/>
  <c r="AA205" i="10"/>
  <c r="Y205" i="10"/>
  <c r="M205" i="10"/>
  <c r="Y204" i="10"/>
  <c r="Z204" i="10"/>
  <c r="AJ198" i="10"/>
  <c r="BS33" i="26"/>
  <c r="BU33" i="26"/>
  <c r="BH33" i="12"/>
  <c r="AJ319" i="10"/>
  <c r="Z205" i="10"/>
  <c r="AB206" i="10"/>
  <c r="I207" i="10"/>
  <c r="AA206" i="10"/>
  <c r="M206" i="10"/>
  <c r="B209" i="10"/>
  <c r="C208" i="10"/>
  <c r="BF208" i="10"/>
  <c r="BH322" i="10"/>
  <c r="T323" i="10"/>
  <c r="Y206" i="10"/>
  <c r="Z206" i="10"/>
  <c r="T324" i="10"/>
  <c r="BH323" i="10"/>
  <c r="I208" i="10"/>
  <c r="AB207" i="10"/>
  <c r="AE206" i="10"/>
  <c r="AA207" i="10"/>
  <c r="Y207" i="10"/>
  <c r="M207" i="10"/>
  <c r="O201" i="10"/>
  <c r="AN34" i="26"/>
  <c r="B34" i="12"/>
  <c r="AE204" i="10"/>
  <c r="B210" i="10"/>
  <c r="BF209" i="10"/>
  <c r="C209" i="10"/>
  <c r="AW34" i="26"/>
  <c r="AD201" i="10"/>
  <c r="AH203" i="10"/>
  <c r="Q201" i="10"/>
  <c r="AD34" i="26"/>
  <c r="O202" i="10"/>
  <c r="B211" i="10"/>
  <c r="BF210" i="10"/>
  <c r="C210" i="10"/>
  <c r="BH324" i="10"/>
  <c r="T325" i="10"/>
  <c r="AF204" i="10"/>
  <c r="AA208" i="10"/>
  <c r="M208" i="10"/>
  <c r="I209" i="10"/>
  <c r="AB208" i="10"/>
  <c r="Z207" i="10"/>
  <c r="AH34" i="26"/>
  <c r="J34" i="12"/>
  <c r="Q202" i="10"/>
  <c r="AI34" i="26"/>
  <c r="AJ203" i="10"/>
  <c r="BD34" i="26"/>
  <c r="AB209" i="10"/>
  <c r="I210" i="10"/>
  <c r="AA209" i="10"/>
  <c r="Y209" i="10"/>
  <c r="M209" i="10"/>
  <c r="AD202" i="10"/>
  <c r="AF201" i="10"/>
  <c r="AT34" i="26"/>
  <c r="Y208" i="10"/>
  <c r="Z208" i="10"/>
  <c r="BH325" i="10"/>
  <c r="T326" i="10"/>
  <c r="BF211" i="10"/>
  <c r="B212" i="10"/>
  <c r="C211" i="10"/>
  <c r="AH201" i="10"/>
  <c r="AE207" i="10"/>
  <c r="AX34" i="26"/>
  <c r="Z209" i="10"/>
  <c r="AV34" i="26"/>
  <c r="Q34" i="12"/>
  <c r="CK34" i="26"/>
  <c r="B213" i="10"/>
  <c r="C212" i="10"/>
  <c r="BF212" i="10"/>
  <c r="AB210" i="10"/>
  <c r="I211" i="10"/>
  <c r="AA210" i="10"/>
  <c r="Y210" i="10"/>
  <c r="M210" i="10"/>
  <c r="AD203" i="10"/>
  <c r="AF203" i="10"/>
  <c r="AF202" i="10"/>
  <c r="E201" i="38"/>
  <c r="AM34" i="26"/>
  <c r="M34" i="12"/>
  <c r="BB34" i="26"/>
  <c r="AH204" i="10"/>
  <c r="AJ201" i="10"/>
  <c r="BM34" i="26"/>
  <c r="T327" i="10"/>
  <c r="BH326" i="10"/>
  <c r="AH325" i="10"/>
  <c r="BF34" i="26"/>
  <c r="AK34" i="12"/>
  <c r="Z210" i="10"/>
  <c r="AH326" i="10"/>
  <c r="AI326" i="10"/>
  <c r="C319" i="38"/>
  <c r="AJ204" i="10"/>
  <c r="BG34" i="26"/>
  <c r="AH205" i="10"/>
  <c r="I212" i="10"/>
  <c r="AA211" i="10"/>
  <c r="Y211" i="10"/>
  <c r="AB211" i="10"/>
  <c r="M211" i="10"/>
  <c r="BF213" i="10"/>
  <c r="C213" i="10"/>
  <c r="B214" i="10"/>
  <c r="BH327" i="10"/>
  <c r="T328" i="10"/>
  <c r="BO34" i="26"/>
  <c r="V34" i="12"/>
  <c r="D201" i="38"/>
  <c r="C201" i="38"/>
  <c r="Z211" i="10"/>
  <c r="B215" i="10"/>
  <c r="C214" i="10"/>
  <c r="BF214" i="10"/>
  <c r="BI34" i="26"/>
  <c r="AN34" i="12"/>
  <c r="BH328" i="10"/>
  <c r="T329" i="10"/>
  <c r="AB212" i="10"/>
  <c r="AA212" i="10"/>
  <c r="M212" i="10"/>
  <c r="I213" i="10"/>
  <c r="C203" i="38"/>
  <c r="D203" i="38"/>
  <c r="E203" i="38"/>
  <c r="AJ205" i="10"/>
  <c r="BS34" i="26"/>
  <c r="BU34" i="26"/>
  <c r="BH34" i="12"/>
  <c r="AJ326" i="10"/>
  <c r="I214" i="10"/>
  <c r="AA213" i="10"/>
  <c r="Y213" i="10"/>
  <c r="M213" i="10"/>
  <c r="AB213" i="10"/>
  <c r="T330" i="10"/>
  <c r="BH329" i="10"/>
  <c r="Y212" i="10"/>
  <c r="Z212" i="10"/>
  <c r="BF215" i="10"/>
  <c r="B216" i="10"/>
  <c r="C215" i="10"/>
  <c r="Z213" i="10"/>
  <c r="BH330" i="10"/>
  <c r="T331" i="10"/>
  <c r="AA214" i="10"/>
  <c r="M214" i="10"/>
  <c r="O208" i="10"/>
  <c r="I215" i="10"/>
  <c r="AB214" i="10"/>
  <c r="AE213" i="10"/>
  <c r="AN35" i="26"/>
  <c r="B35" i="12"/>
  <c r="AE211" i="10"/>
  <c r="BF216" i="10"/>
  <c r="C216" i="10"/>
  <c r="B217" i="10"/>
  <c r="Y214" i="10"/>
  <c r="Z214" i="10"/>
  <c r="AD208" i="10"/>
  <c r="AH208" i="10"/>
  <c r="AF211" i="10"/>
  <c r="AW35" i="26"/>
  <c r="T332" i="10"/>
  <c r="BH331" i="10"/>
  <c r="AH210" i="10"/>
  <c r="Q208" i="10"/>
  <c r="AD35" i="26"/>
  <c r="O209" i="10"/>
  <c r="BF217" i="10"/>
  <c r="C217" i="10"/>
  <c r="B218" i="10"/>
  <c r="I216" i="10"/>
  <c r="AB215" i="10"/>
  <c r="AA215" i="10"/>
  <c r="M215" i="10"/>
  <c r="I217" i="10"/>
  <c r="AA216" i="10"/>
  <c r="Y216" i="10"/>
  <c r="M216" i="10"/>
  <c r="AB216" i="10"/>
  <c r="Y215" i="10"/>
  <c r="Z215" i="10"/>
  <c r="AJ210" i="10"/>
  <c r="BD35" i="26"/>
  <c r="BH332" i="10"/>
  <c r="T333" i="10"/>
  <c r="AH332" i="10"/>
  <c r="AD209" i="10"/>
  <c r="AF208" i="10"/>
  <c r="AT35" i="26"/>
  <c r="Q209" i="10"/>
  <c r="AI35" i="26"/>
  <c r="AJ208" i="10"/>
  <c r="BM35" i="26"/>
  <c r="B219" i="10"/>
  <c r="C218" i="10"/>
  <c r="BF218" i="10"/>
  <c r="AH35" i="26"/>
  <c r="J35" i="12"/>
  <c r="AE214" i="10"/>
  <c r="AX35" i="26"/>
  <c r="Z216" i="10"/>
  <c r="AD210" i="10"/>
  <c r="AF210" i="10"/>
  <c r="AF209" i="10"/>
  <c r="BO35" i="26"/>
  <c r="V35" i="12"/>
  <c r="T334" i="10"/>
  <c r="BH333" i="10"/>
  <c r="AV35" i="26"/>
  <c r="Q35" i="12"/>
  <c r="CK35" i="26"/>
  <c r="AH333" i="10"/>
  <c r="AI333" i="10"/>
  <c r="AJ333" i="10"/>
  <c r="C326" i="38"/>
  <c r="BF219" i="10"/>
  <c r="B220" i="10"/>
  <c r="C219" i="10"/>
  <c r="E208" i="38"/>
  <c r="AM35" i="26"/>
  <c r="M35" i="12"/>
  <c r="BB35" i="26"/>
  <c r="AH211" i="10"/>
  <c r="BF35" i="26"/>
  <c r="AK35" i="12"/>
  <c r="I218" i="10"/>
  <c r="AA217" i="10"/>
  <c r="M217" i="10"/>
  <c r="AB217" i="10"/>
  <c r="D208" i="38"/>
  <c r="C208" i="38"/>
  <c r="BH334" i="10"/>
  <c r="T335" i="10"/>
  <c r="AB218" i="10"/>
  <c r="M218" i="10"/>
  <c r="I219" i="10"/>
  <c r="AA218" i="10"/>
  <c r="Y218" i="10"/>
  <c r="Y217" i="10"/>
  <c r="Z217" i="10"/>
  <c r="AJ211" i="10"/>
  <c r="BG35" i="26"/>
  <c r="AH212" i="10"/>
  <c r="B221" i="10"/>
  <c r="BF220" i="10"/>
  <c r="C220" i="10"/>
  <c r="BI35" i="26"/>
  <c r="AN35" i="12"/>
  <c r="BF221" i="10"/>
  <c r="B222" i="10"/>
  <c r="C221" i="10"/>
  <c r="I220" i="10"/>
  <c r="AB219" i="10"/>
  <c r="AA219" i="10"/>
  <c r="M219" i="10"/>
  <c r="BH335" i="10"/>
  <c r="T336" i="10"/>
  <c r="C210" i="38"/>
  <c r="D210" i="38"/>
  <c r="E210" i="38"/>
  <c r="AJ212" i="10"/>
  <c r="BS35" i="26"/>
  <c r="BU35" i="26"/>
  <c r="BH35" i="12"/>
  <c r="Z218" i="10"/>
  <c r="AB220" i="10"/>
  <c r="I221" i="10"/>
  <c r="AA220" i="10"/>
  <c r="Y220" i="10"/>
  <c r="M220" i="10"/>
  <c r="BH336" i="10"/>
  <c r="T337" i="10"/>
  <c r="Y219" i="10"/>
  <c r="Z219" i="10"/>
  <c r="B223" i="10"/>
  <c r="C222" i="10"/>
  <c r="BF222" i="10"/>
  <c r="Z220" i="10"/>
  <c r="T338" i="10"/>
  <c r="BH337" i="10"/>
  <c r="I222" i="10"/>
  <c r="AB221" i="10"/>
  <c r="AE220" i="10"/>
  <c r="AA221" i="10"/>
  <c r="M221" i="10"/>
  <c r="O215" i="10"/>
  <c r="AN36" i="26"/>
  <c r="B36" i="12"/>
  <c r="AE218" i="10"/>
  <c r="B224" i="10"/>
  <c r="BF223" i="10"/>
  <c r="C223" i="10"/>
  <c r="AH217" i="10"/>
  <c r="Q215" i="10"/>
  <c r="AD36" i="26"/>
  <c r="O216" i="10"/>
  <c r="B225" i="10"/>
  <c r="BF224" i="10"/>
  <c r="C224" i="10"/>
  <c r="Y221" i="10"/>
  <c r="Z221" i="10"/>
  <c r="AD215" i="10"/>
  <c r="AE221" i="10"/>
  <c r="AX36" i="26"/>
  <c r="BH338" i="10"/>
  <c r="T339" i="10"/>
  <c r="AA222" i="10"/>
  <c r="M222" i="10"/>
  <c r="I223" i="10"/>
  <c r="AB222" i="10"/>
  <c r="AF218" i="10"/>
  <c r="AW36" i="26"/>
  <c r="AB223" i="10"/>
  <c r="I224" i="10"/>
  <c r="AA223" i="10"/>
  <c r="Y223" i="10"/>
  <c r="M223" i="10"/>
  <c r="BH339" i="10"/>
  <c r="T340" i="10"/>
  <c r="AH36" i="26"/>
  <c r="J36" i="12"/>
  <c r="Y222" i="10"/>
  <c r="Z222" i="10"/>
  <c r="AD216" i="10"/>
  <c r="AF215" i="10"/>
  <c r="AT36" i="26"/>
  <c r="BF225" i="10"/>
  <c r="B226" i="10"/>
  <c r="C225" i="10"/>
  <c r="AH215" i="10"/>
  <c r="Q216" i="10"/>
  <c r="AI36" i="26"/>
  <c r="AJ217" i="10"/>
  <c r="BD36" i="26"/>
  <c r="Z223" i="10"/>
  <c r="E215" i="38"/>
  <c r="AM36" i="26"/>
  <c r="M36" i="12"/>
  <c r="BB36" i="26"/>
  <c r="AH218" i="10"/>
  <c r="AJ215" i="10"/>
  <c r="BM36" i="26"/>
  <c r="T341" i="10"/>
  <c r="BH340" i="10"/>
  <c r="AH339" i="10"/>
  <c r="AB224" i="10"/>
  <c r="I225" i="10"/>
  <c r="AA224" i="10"/>
  <c r="M224" i="10"/>
  <c r="B227" i="10"/>
  <c r="C226" i="10"/>
  <c r="BF226" i="10"/>
  <c r="AD217" i="10"/>
  <c r="AF217" i="10"/>
  <c r="AF216" i="10"/>
  <c r="AV36" i="26"/>
  <c r="Q36" i="12"/>
  <c r="CK36" i="26"/>
  <c r="BF36" i="26"/>
  <c r="AK36" i="12"/>
  <c r="Y224" i="10"/>
  <c r="Z224" i="10"/>
  <c r="AJ218" i="10"/>
  <c r="BG36" i="26"/>
  <c r="AH219" i="10"/>
  <c r="BF227" i="10"/>
  <c r="C227" i="10"/>
  <c r="B228" i="10"/>
  <c r="I226" i="10"/>
  <c r="AA225" i="10"/>
  <c r="Y225" i="10"/>
  <c r="AB225" i="10"/>
  <c r="M225" i="10"/>
  <c r="BH341" i="10"/>
  <c r="T342" i="10"/>
  <c r="D215" i="38"/>
  <c r="C215" i="38"/>
  <c r="BO36" i="26"/>
  <c r="V36" i="12"/>
  <c r="AH340" i="10"/>
  <c r="AI340" i="10"/>
  <c r="AJ340" i="10"/>
  <c r="C333" i="38"/>
  <c r="BH342" i="10"/>
  <c r="T343" i="10"/>
  <c r="AB226" i="10"/>
  <c r="AA226" i="10"/>
  <c r="Y226" i="10"/>
  <c r="M226" i="10"/>
  <c r="I227" i="10"/>
  <c r="AJ219" i="10"/>
  <c r="BS36" i="26"/>
  <c r="BU36" i="26"/>
  <c r="BH36" i="12"/>
  <c r="Z225" i="10"/>
  <c r="C217" i="38"/>
  <c r="D217" i="38"/>
  <c r="E217" i="38"/>
  <c r="B229" i="10"/>
  <c r="C228" i="10"/>
  <c r="BF228" i="10"/>
  <c r="BI36" i="26"/>
  <c r="AN36" i="12"/>
  <c r="Z226" i="10"/>
  <c r="T344" i="10"/>
  <c r="BH343" i="10"/>
  <c r="BF229" i="10"/>
  <c r="B230" i="10"/>
  <c r="C229" i="10"/>
  <c r="I228" i="10"/>
  <c r="AA227" i="10"/>
  <c r="M227" i="10"/>
  <c r="AB227" i="10"/>
  <c r="AA228" i="10"/>
  <c r="Y228" i="10"/>
  <c r="M228" i="10"/>
  <c r="O222" i="10"/>
  <c r="I229" i="10"/>
  <c r="AB228" i="10"/>
  <c r="AE227" i="10"/>
  <c r="AN37" i="26"/>
  <c r="B37" i="12"/>
  <c r="AE225" i="10"/>
  <c r="BH344" i="10"/>
  <c r="T345" i="10"/>
  <c r="Y227" i="10"/>
  <c r="Z227" i="10"/>
  <c r="AD222" i="10"/>
  <c r="BF230" i="10"/>
  <c r="C230" i="10"/>
  <c r="B231" i="10"/>
  <c r="Z228" i="10"/>
  <c r="T346" i="10"/>
  <c r="BH345" i="10"/>
  <c r="AE228" i="10"/>
  <c r="AX37" i="26"/>
  <c r="AW37" i="26"/>
  <c r="AD223" i="10"/>
  <c r="AF222" i="10"/>
  <c r="AT37" i="26"/>
  <c r="I230" i="10"/>
  <c r="AB229" i="10"/>
  <c r="AA229" i="10"/>
  <c r="M229" i="10"/>
  <c r="BF231" i="10"/>
  <c r="C231" i="10"/>
  <c r="B232" i="10"/>
  <c r="AF225" i="10"/>
  <c r="AH222" i="10"/>
  <c r="AH224" i="10"/>
  <c r="Q222" i="10"/>
  <c r="AD37" i="26"/>
  <c r="O223" i="10"/>
  <c r="AH37" i="26"/>
  <c r="J37" i="12"/>
  <c r="I231" i="10"/>
  <c r="AA230" i="10"/>
  <c r="Y230" i="10"/>
  <c r="M230" i="10"/>
  <c r="AB230" i="10"/>
  <c r="AV37" i="26"/>
  <c r="Q37" i="12"/>
  <c r="CK37" i="26"/>
  <c r="AJ224" i="10"/>
  <c r="BD37" i="26"/>
  <c r="B233" i="10"/>
  <c r="C232" i="10"/>
  <c r="BF232" i="10"/>
  <c r="Y229" i="10"/>
  <c r="Z229" i="10"/>
  <c r="Q223" i="10"/>
  <c r="AI37" i="26"/>
  <c r="AJ222" i="10"/>
  <c r="BM37" i="26"/>
  <c r="AD224" i="10"/>
  <c r="AF224" i="10"/>
  <c r="AF223" i="10"/>
  <c r="BH346" i="10"/>
  <c r="T347" i="10"/>
  <c r="Z230" i="10"/>
  <c r="E222" i="38"/>
  <c r="BB37" i="26"/>
  <c r="AH225" i="10"/>
  <c r="AM37" i="26"/>
  <c r="M37" i="12"/>
  <c r="BF37" i="26"/>
  <c r="AK37" i="12"/>
  <c r="T348" i="10"/>
  <c r="BH347" i="10"/>
  <c r="AH346" i="10"/>
  <c r="I232" i="10"/>
  <c r="AA231" i="10"/>
  <c r="Y231" i="10"/>
  <c r="M231" i="10"/>
  <c r="AB231" i="10"/>
  <c r="BO37" i="26"/>
  <c r="V37" i="12"/>
  <c r="BF233" i="10"/>
  <c r="B234" i="10"/>
  <c r="C233" i="10"/>
  <c r="Z231" i="10"/>
  <c r="AH347" i="10"/>
  <c r="AI347" i="10"/>
  <c r="AJ347" i="10"/>
  <c r="C340" i="38"/>
  <c r="B235" i="10"/>
  <c r="BF234" i="10"/>
  <c r="C234" i="10"/>
  <c r="BH348" i="10"/>
  <c r="T349" i="10"/>
  <c r="AJ225" i="10"/>
  <c r="BG37" i="26"/>
  <c r="AH226" i="10"/>
  <c r="AB232" i="10"/>
  <c r="M232" i="10"/>
  <c r="I233" i="10"/>
  <c r="AA232" i="10"/>
  <c r="D222" i="38"/>
  <c r="C222" i="38"/>
  <c r="C224" i="38"/>
  <c r="D224" i="38"/>
  <c r="E224" i="38"/>
  <c r="I234" i="10"/>
  <c r="AB233" i="10"/>
  <c r="AA233" i="10"/>
  <c r="Y233" i="10"/>
  <c r="M233" i="10"/>
  <c r="AJ226" i="10"/>
  <c r="BS37" i="26"/>
  <c r="BU37" i="26"/>
  <c r="BH37" i="12"/>
  <c r="BH349" i="10"/>
  <c r="T350" i="10"/>
  <c r="Y232" i="10"/>
  <c r="Z232" i="10"/>
  <c r="BI37" i="26"/>
  <c r="AN37" i="12"/>
  <c r="B236" i="10"/>
  <c r="BF235" i="10"/>
  <c r="C235" i="10"/>
  <c r="Z233" i="10"/>
  <c r="BH350" i="10"/>
  <c r="T351" i="10"/>
  <c r="AB234" i="10"/>
  <c r="I235" i="10"/>
  <c r="AA234" i="10"/>
  <c r="M234" i="10"/>
  <c r="B237" i="10"/>
  <c r="C236" i="10"/>
  <c r="BF236" i="10"/>
  <c r="Y234" i="10"/>
  <c r="Z234" i="10"/>
  <c r="BF237" i="10"/>
  <c r="B238" i="10"/>
  <c r="C237" i="10"/>
  <c r="AA235" i="10"/>
  <c r="Y235" i="10"/>
  <c r="I236" i="10"/>
  <c r="M235" i="10"/>
  <c r="O229" i="10"/>
  <c r="AB235" i="10"/>
  <c r="AE234" i="10"/>
  <c r="AN38" i="26"/>
  <c r="B38" i="12"/>
  <c r="AE232" i="10"/>
  <c r="T352" i="10"/>
  <c r="BH351" i="10"/>
  <c r="AH231" i="10"/>
  <c r="Q229" i="10"/>
  <c r="AD38" i="26"/>
  <c r="O230" i="10"/>
  <c r="BF238" i="10"/>
  <c r="B239" i="10"/>
  <c r="C238" i="10"/>
  <c r="AF232" i="10"/>
  <c r="I237" i="10"/>
  <c r="AA236" i="10"/>
  <c r="AB236" i="10"/>
  <c r="M236" i="10"/>
  <c r="AD229" i="10"/>
  <c r="AE235" i="10"/>
  <c r="AX38" i="26"/>
  <c r="BH352" i="10"/>
  <c r="T353" i="10"/>
  <c r="AW38" i="26"/>
  <c r="Z235" i="10"/>
  <c r="BH353" i="10"/>
  <c r="T354" i="10"/>
  <c r="Y236" i="10"/>
  <c r="Z236" i="10"/>
  <c r="AH38" i="26"/>
  <c r="J38" i="12"/>
  <c r="AD230" i="10"/>
  <c r="AF229" i="10"/>
  <c r="AT38" i="26"/>
  <c r="I238" i="10"/>
  <c r="AA237" i="10"/>
  <c r="Y237" i="10"/>
  <c r="AB237" i="10"/>
  <c r="M237" i="10"/>
  <c r="B240" i="10"/>
  <c r="BF239" i="10"/>
  <c r="C239" i="10"/>
  <c r="AH353" i="10"/>
  <c r="AH229" i="10"/>
  <c r="Q230" i="10"/>
  <c r="AI38" i="26"/>
  <c r="AJ231" i="10"/>
  <c r="BD38" i="26"/>
  <c r="Z237" i="10"/>
  <c r="E229" i="38"/>
  <c r="AM38" i="26"/>
  <c r="M38" i="12"/>
  <c r="BB38" i="26"/>
  <c r="AH232" i="10"/>
  <c r="AJ229" i="10"/>
  <c r="BM38" i="26"/>
  <c r="AD231" i="10"/>
  <c r="AF231" i="10"/>
  <c r="AF230" i="10"/>
  <c r="BF240" i="10"/>
  <c r="C240" i="10"/>
  <c r="B241" i="10"/>
  <c r="I239" i="10"/>
  <c r="AA238" i="10"/>
  <c r="Y238" i="10"/>
  <c r="M238" i="10"/>
  <c r="AB238" i="10"/>
  <c r="T355" i="10"/>
  <c r="BH354" i="10"/>
  <c r="AH354" i="10"/>
  <c r="AI354" i="10"/>
  <c r="C347" i="38"/>
  <c r="AV38" i="26"/>
  <c r="Q38" i="12"/>
  <c r="CK38" i="26"/>
  <c r="BF38" i="26"/>
  <c r="AK38" i="12"/>
  <c r="AJ354" i="10"/>
  <c r="Z238" i="10"/>
  <c r="BO38" i="26"/>
  <c r="V38" i="12"/>
  <c r="D229" i="38"/>
  <c r="C229" i="38"/>
  <c r="B242" i="10"/>
  <c r="BF241" i="10"/>
  <c r="C241" i="10"/>
  <c r="BH355" i="10"/>
  <c r="T356" i="10"/>
  <c r="I240" i="10"/>
  <c r="AA239" i="10"/>
  <c r="AB239" i="10"/>
  <c r="M239" i="10"/>
  <c r="AJ232" i="10"/>
  <c r="BG38" i="26"/>
  <c r="AH233" i="10"/>
  <c r="I241" i="10"/>
  <c r="AB240" i="10"/>
  <c r="AA240" i="10"/>
  <c r="Y240" i="10"/>
  <c r="M240" i="10"/>
  <c r="C231" i="38"/>
  <c r="D231" i="38"/>
  <c r="E231" i="38"/>
  <c r="BH356" i="10"/>
  <c r="T357" i="10"/>
  <c r="AJ233" i="10"/>
  <c r="BS38" i="26"/>
  <c r="BU38" i="26"/>
  <c r="BH38" i="12"/>
  <c r="BI38" i="26"/>
  <c r="AN38" i="12"/>
  <c r="Y239" i="10"/>
  <c r="Z239" i="10"/>
  <c r="BF242" i="10"/>
  <c r="B243" i="10"/>
  <c r="C242" i="10"/>
  <c r="T358" i="10"/>
  <c r="BH357" i="10"/>
  <c r="B244" i="10"/>
  <c r="C243" i="10"/>
  <c r="BF243" i="10"/>
  <c r="Z240" i="10"/>
  <c r="AB241" i="10"/>
  <c r="I242" i="10"/>
  <c r="AA241" i="10"/>
  <c r="M241" i="10"/>
  <c r="B245" i="10"/>
  <c r="BF244" i="10"/>
  <c r="C244" i="10"/>
  <c r="Y241" i="10"/>
  <c r="Z241" i="10"/>
  <c r="I243" i="10"/>
  <c r="AB242" i="10"/>
  <c r="AE241" i="10"/>
  <c r="AA242" i="10"/>
  <c r="Y242" i="10"/>
  <c r="M242" i="10"/>
  <c r="O236" i="10"/>
  <c r="AN39" i="26"/>
  <c r="B39" i="12"/>
  <c r="AE239" i="10"/>
  <c r="BH358" i="10"/>
  <c r="T359" i="10"/>
  <c r="Z242" i="10"/>
  <c r="AF239" i="10"/>
  <c r="AW39" i="26"/>
  <c r="T360" i="10"/>
  <c r="BH359" i="10"/>
  <c r="AA243" i="10"/>
  <c r="M243" i="10"/>
  <c r="I244" i="10"/>
  <c r="AB243" i="10"/>
  <c r="AH238" i="10"/>
  <c r="Q236" i="10"/>
  <c r="AD39" i="26"/>
  <c r="O237" i="10"/>
  <c r="AD236" i="10"/>
  <c r="AE242" i="10"/>
  <c r="AX39" i="26"/>
  <c r="B246" i="10"/>
  <c r="BF245" i="10"/>
  <c r="C245" i="10"/>
  <c r="AH39" i="26"/>
  <c r="J39" i="12"/>
  <c r="BF246" i="10"/>
  <c r="B247" i="10"/>
  <c r="C246" i="10"/>
  <c r="AB244" i="10"/>
  <c r="I245" i="10"/>
  <c r="AA244" i="10"/>
  <c r="Y244" i="10"/>
  <c r="M244" i="10"/>
  <c r="AD237" i="10"/>
  <c r="AF236" i="10"/>
  <c r="AT39" i="26"/>
  <c r="AJ238" i="10"/>
  <c r="BD39" i="26"/>
  <c r="BH360" i="10"/>
  <c r="T361" i="10"/>
  <c r="Q237" i="10"/>
  <c r="AI39" i="26"/>
  <c r="AH236" i="10"/>
  <c r="Y243" i="10"/>
  <c r="Z243" i="10"/>
  <c r="Z244" i="10"/>
  <c r="BF39" i="26"/>
  <c r="AK39" i="12"/>
  <c r="AD238" i="10"/>
  <c r="AF238" i="10"/>
  <c r="AF237" i="10"/>
  <c r="AB245" i="10"/>
  <c r="I246" i="10"/>
  <c r="AA245" i="10"/>
  <c r="M245" i="10"/>
  <c r="AJ236" i="10"/>
  <c r="BM39" i="26"/>
  <c r="T362" i="10"/>
  <c r="BH361" i="10"/>
  <c r="AH360" i="10"/>
  <c r="E236" i="38"/>
  <c r="AM39" i="26"/>
  <c r="M39" i="12"/>
  <c r="BB39" i="26"/>
  <c r="AH239" i="10"/>
  <c r="AV39" i="26"/>
  <c r="Q39" i="12"/>
  <c r="CK39" i="26"/>
  <c r="B248" i="10"/>
  <c r="C247" i="10"/>
  <c r="BF247" i="10"/>
  <c r="D236" i="38"/>
  <c r="C236" i="38"/>
  <c r="AH361" i="10"/>
  <c r="C354" i="38"/>
  <c r="AI361" i="10"/>
  <c r="BO39" i="26"/>
  <c r="V39" i="12"/>
  <c r="I247" i="10"/>
  <c r="AA246" i="10"/>
  <c r="Y246" i="10"/>
  <c r="M246" i="10"/>
  <c r="AB246" i="10"/>
  <c r="AJ239" i="10"/>
  <c r="BG39" i="26"/>
  <c r="AH240" i="10"/>
  <c r="BF248" i="10"/>
  <c r="C248" i="10"/>
  <c r="B249" i="10"/>
  <c r="BH362" i="10"/>
  <c r="T363" i="10"/>
  <c r="Y245" i="10"/>
  <c r="Z245" i="10"/>
  <c r="Z246" i="10"/>
  <c r="AJ240" i="10"/>
  <c r="BS39" i="26"/>
  <c r="BU39" i="26"/>
  <c r="BH39" i="12"/>
  <c r="BI39" i="26"/>
  <c r="AN39" i="12"/>
  <c r="BF249" i="10"/>
  <c r="B250" i="10"/>
  <c r="C249" i="10"/>
  <c r="BH363" i="10"/>
  <c r="T364" i="10"/>
  <c r="AB247" i="10"/>
  <c r="AA247" i="10"/>
  <c r="M247" i="10"/>
  <c r="I248" i="10"/>
  <c r="AJ361" i="10"/>
  <c r="C238" i="38"/>
  <c r="D238" i="38"/>
  <c r="E238" i="38"/>
  <c r="I249" i="10"/>
  <c r="AA248" i="10"/>
  <c r="Y248" i="10"/>
  <c r="M248" i="10"/>
  <c r="AB248" i="10"/>
  <c r="BH364" i="10"/>
  <c r="T365" i="10"/>
  <c r="Y247" i="10"/>
  <c r="Z247" i="10"/>
  <c r="C250" i="10"/>
  <c r="BF250" i="10"/>
  <c r="B251" i="10"/>
  <c r="Z248" i="10"/>
  <c r="BF251" i="10"/>
  <c r="C251" i="10"/>
  <c r="B252" i="10"/>
  <c r="T366" i="10"/>
  <c r="BH365" i="10"/>
  <c r="AB249" i="10"/>
  <c r="AE248" i="10"/>
  <c r="AA249" i="10"/>
  <c r="M249" i="10"/>
  <c r="O243" i="10"/>
  <c r="I250" i="10"/>
  <c r="AN40" i="26"/>
  <c r="B40" i="12"/>
  <c r="AE246" i="10"/>
  <c r="AW40" i="26"/>
  <c r="Y249" i="10"/>
  <c r="Z249" i="10"/>
  <c r="AD243" i="10"/>
  <c r="AH243" i="10"/>
  <c r="BF252" i="10"/>
  <c r="C252" i="10"/>
  <c r="B253" i="10"/>
  <c r="M250" i="10"/>
  <c r="I251" i="10"/>
  <c r="AB250" i="10"/>
  <c r="AA250" i="10"/>
  <c r="AF246" i="10"/>
  <c r="AH245" i="10"/>
  <c r="Q243" i="10"/>
  <c r="AD40" i="26"/>
  <c r="O244" i="10"/>
  <c r="BH366" i="10"/>
  <c r="T367" i="10"/>
  <c r="AJ243" i="10"/>
  <c r="BM40" i="26"/>
  <c r="Y250" i="10"/>
  <c r="Z250" i="10"/>
  <c r="B254" i="10"/>
  <c r="C253" i="10"/>
  <c r="BF253" i="10"/>
  <c r="BH367" i="10"/>
  <c r="T368" i="10"/>
  <c r="AD244" i="10"/>
  <c r="AF243" i="10"/>
  <c r="AT40" i="26"/>
  <c r="AJ245" i="10"/>
  <c r="BD40" i="26"/>
  <c r="Q244" i="10"/>
  <c r="AI40" i="26"/>
  <c r="AH40" i="26"/>
  <c r="J40" i="12"/>
  <c r="AB251" i="10"/>
  <c r="I252" i="10"/>
  <c r="AA251" i="10"/>
  <c r="Y251" i="10"/>
  <c r="M251" i="10"/>
  <c r="AE249" i="10"/>
  <c r="AX40" i="26"/>
  <c r="Z251" i="10"/>
  <c r="E243" i="38"/>
  <c r="AM40" i="26"/>
  <c r="M40" i="12"/>
  <c r="BB40" i="26"/>
  <c r="AH246" i="10"/>
  <c r="T369" i="10"/>
  <c r="BH368" i="10"/>
  <c r="AH367" i="10"/>
  <c r="B255" i="10"/>
  <c r="C254" i="10"/>
  <c r="BF254" i="10"/>
  <c r="AB252" i="10"/>
  <c r="I253" i="10"/>
  <c r="AA252" i="10"/>
  <c r="Y252" i="10"/>
  <c r="M252" i="10"/>
  <c r="AD245" i="10"/>
  <c r="AF245" i="10"/>
  <c r="AF244" i="10"/>
  <c r="AV40" i="26"/>
  <c r="Q40" i="12"/>
  <c r="CK40" i="26"/>
  <c r="BO40" i="26"/>
  <c r="V40" i="12"/>
  <c r="BF40" i="26"/>
  <c r="AK40" i="12"/>
  <c r="Z252" i="10"/>
  <c r="D243" i="38"/>
  <c r="C243" i="38"/>
  <c r="AH368" i="10"/>
  <c r="AI368" i="10"/>
  <c r="C361" i="38"/>
  <c r="BH369" i="10"/>
  <c r="T370" i="10"/>
  <c r="AB253" i="10"/>
  <c r="M253" i="10"/>
  <c r="I254" i="10"/>
  <c r="AA253" i="10"/>
  <c r="B256" i="10"/>
  <c r="BF255" i="10"/>
  <c r="C255" i="10"/>
  <c r="AJ246" i="10"/>
  <c r="BG40" i="26"/>
  <c r="AH247" i="10"/>
  <c r="AJ368" i="10"/>
  <c r="C256" i="10"/>
  <c r="BF256" i="10"/>
  <c r="B257" i="10"/>
  <c r="C245" i="38"/>
  <c r="D245" i="38"/>
  <c r="E245" i="38"/>
  <c r="Y253" i="10"/>
  <c r="Z253" i="10"/>
  <c r="AA254" i="10"/>
  <c r="Y254" i="10"/>
  <c r="M254" i="10"/>
  <c r="I255" i="10"/>
  <c r="AB254" i="10"/>
  <c r="BI40" i="26"/>
  <c r="AN40" i="12"/>
  <c r="BH370" i="10"/>
  <c r="T371" i="10"/>
  <c r="AJ247" i="10"/>
  <c r="BS40" i="26"/>
  <c r="BU40" i="26"/>
  <c r="BH40" i="12"/>
  <c r="Z254" i="10"/>
  <c r="BF257" i="10"/>
  <c r="B258" i="10"/>
  <c r="C257" i="10"/>
  <c r="AB255" i="10"/>
  <c r="I256" i="10"/>
  <c r="AA255" i="10"/>
  <c r="M255" i="10"/>
  <c r="T372" i="10"/>
  <c r="BH371" i="10"/>
  <c r="M256" i="10"/>
  <c r="O250" i="10"/>
  <c r="I257" i="10"/>
  <c r="AB256" i="10"/>
  <c r="AE255" i="10"/>
  <c r="AA256" i="10"/>
  <c r="Y256" i="10"/>
  <c r="AN41" i="26"/>
  <c r="B41" i="12"/>
  <c r="AE253" i="10"/>
  <c r="C258" i="10"/>
  <c r="B259" i="10"/>
  <c r="BF258" i="10"/>
  <c r="BH372" i="10"/>
  <c r="T373" i="10"/>
  <c r="Y255" i="10"/>
  <c r="Z255" i="10"/>
  <c r="AD250" i="10"/>
  <c r="AD251" i="10"/>
  <c r="Z256" i="10"/>
  <c r="C259" i="10"/>
  <c r="B260" i="10"/>
  <c r="BF259" i="10"/>
  <c r="T374" i="10"/>
  <c r="BH373" i="10"/>
  <c r="AW41" i="26"/>
  <c r="AF253" i="10"/>
  <c r="AB257" i="10"/>
  <c r="AA257" i="10"/>
  <c r="M257" i="10"/>
  <c r="I258" i="10"/>
  <c r="AH252" i="10"/>
  <c r="Q250" i="10"/>
  <c r="AD41" i="26"/>
  <c r="O251" i="10"/>
  <c r="AT41" i="26"/>
  <c r="AE256" i="10"/>
  <c r="AX41" i="26"/>
  <c r="AF250" i="10"/>
  <c r="AH250" i="10"/>
  <c r="AJ250" i="10"/>
  <c r="BH374" i="10"/>
  <c r="T375" i="10"/>
  <c r="AH374" i="10"/>
  <c r="AJ252" i="10"/>
  <c r="BD41" i="26"/>
  <c r="Y257" i="10"/>
  <c r="Z257" i="10"/>
  <c r="AV41" i="26"/>
  <c r="Q41" i="12"/>
  <c r="CK41" i="26"/>
  <c r="Q251" i="10"/>
  <c r="AI41" i="26"/>
  <c r="C260" i="10"/>
  <c r="BF260" i="10"/>
  <c r="B261" i="10"/>
  <c r="AH41" i="26"/>
  <c r="J41" i="12"/>
  <c r="M258" i="10"/>
  <c r="AB258" i="10"/>
  <c r="I259" i="10"/>
  <c r="AA258" i="10"/>
  <c r="Y258" i="10"/>
  <c r="AD252" i="10"/>
  <c r="AF252" i="10"/>
  <c r="AF251" i="10"/>
  <c r="BM41" i="26"/>
  <c r="Z258" i="10"/>
  <c r="AH375" i="10"/>
  <c r="C368" i="38"/>
  <c r="AI375" i="10"/>
  <c r="AJ375" i="10"/>
  <c r="BF261" i="10"/>
  <c r="B262" i="10"/>
  <c r="C261" i="10"/>
  <c r="T376" i="10"/>
  <c r="BH375" i="10"/>
  <c r="BO41" i="26"/>
  <c r="V41" i="12"/>
  <c r="E250" i="38"/>
  <c r="BB41" i="26"/>
  <c r="AH253" i="10"/>
  <c r="AM41" i="26"/>
  <c r="M41" i="12"/>
  <c r="BF41" i="26"/>
  <c r="AK41" i="12"/>
  <c r="M259" i="10"/>
  <c r="AB259" i="10"/>
  <c r="I260" i="10"/>
  <c r="AA259" i="10"/>
  <c r="Y259" i="10"/>
  <c r="Z259" i="10"/>
  <c r="AJ253" i="10"/>
  <c r="BG41" i="26"/>
  <c r="AH254" i="10"/>
  <c r="D250" i="38"/>
  <c r="C250" i="38"/>
  <c r="BF262" i="10"/>
  <c r="C262" i="10"/>
  <c r="B263" i="10"/>
  <c r="T377" i="10"/>
  <c r="BH376" i="10"/>
  <c r="AB260" i="10"/>
  <c r="M260" i="10"/>
  <c r="I261" i="10"/>
  <c r="AA260" i="10"/>
  <c r="Y260" i="10"/>
  <c r="Z260" i="10"/>
  <c r="T378" i="10"/>
  <c r="BH377" i="10"/>
  <c r="BF263" i="10"/>
  <c r="B264" i="10"/>
  <c r="C263" i="10"/>
  <c r="C252" i="38"/>
  <c r="D252" i="38"/>
  <c r="E252" i="38"/>
  <c r="BI41" i="26"/>
  <c r="AN41" i="12"/>
  <c r="I262" i="10"/>
  <c r="AB261" i="10"/>
  <c r="AA261" i="10"/>
  <c r="M261" i="10"/>
  <c r="AJ254" i="10"/>
  <c r="BS41" i="26"/>
  <c r="BU41" i="26"/>
  <c r="BH41" i="12"/>
  <c r="AB262" i="10"/>
  <c r="I263" i="10"/>
  <c r="AA262" i="10"/>
  <c r="Y262" i="10"/>
  <c r="M262" i="10"/>
  <c r="Y261" i="10"/>
  <c r="Z261" i="10"/>
  <c r="C264" i="10"/>
  <c r="BF264" i="10"/>
  <c r="B265" i="10"/>
  <c r="T379" i="10"/>
  <c r="BH378" i="10"/>
  <c r="Z262" i="10"/>
  <c r="T380" i="10"/>
  <c r="BH379" i="10"/>
  <c r="BF265" i="10"/>
  <c r="C265" i="10"/>
  <c r="B266" i="10"/>
  <c r="AB263" i="10"/>
  <c r="AE262" i="10"/>
  <c r="AA263" i="10"/>
  <c r="M263" i="10"/>
  <c r="O257" i="10"/>
  <c r="I264" i="10"/>
  <c r="AN42" i="26"/>
  <c r="B42" i="12"/>
  <c r="AE260" i="10"/>
  <c r="AF260" i="10"/>
  <c r="Y263" i="10"/>
  <c r="Z263" i="10"/>
  <c r="AD257" i="10"/>
  <c r="AH257" i="10"/>
  <c r="AW42" i="26"/>
  <c r="M264" i="10"/>
  <c r="I265" i="10"/>
  <c r="AB264" i="10"/>
  <c r="AA264" i="10"/>
  <c r="AH259" i="10"/>
  <c r="Q257" i="10"/>
  <c r="AD42" i="26"/>
  <c r="O258" i="10"/>
  <c r="BF266" i="10"/>
  <c r="C266" i="10"/>
  <c r="B267" i="10"/>
  <c r="BH380" i="10"/>
  <c r="T381" i="10"/>
  <c r="T382" i="10"/>
  <c r="BH381" i="10"/>
  <c r="AH381" i="10"/>
  <c r="AD258" i="10"/>
  <c r="AF257" i="10"/>
  <c r="AT42" i="26"/>
  <c r="AJ259" i="10"/>
  <c r="BD42" i="26"/>
  <c r="B268" i="10"/>
  <c r="C267" i="10"/>
  <c r="BF267" i="10"/>
  <c r="Y264" i="10"/>
  <c r="Z264" i="10"/>
  <c r="AJ257" i="10"/>
  <c r="BM42" i="26"/>
  <c r="AB265" i="10"/>
  <c r="I266" i="10"/>
  <c r="AA265" i="10"/>
  <c r="Y265" i="10"/>
  <c r="M265" i="10"/>
  <c r="Q258" i="10"/>
  <c r="AI42" i="26"/>
  <c r="AH42" i="26"/>
  <c r="J42" i="12"/>
  <c r="AE263" i="10"/>
  <c r="AX42" i="26"/>
  <c r="Z265" i="10"/>
  <c r="AH382" i="10"/>
  <c r="AI382" i="10"/>
  <c r="C375" i="38"/>
  <c r="AB266" i="10"/>
  <c r="I267" i="10"/>
  <c r="AA266" i="10"/>
  <c r="Y266" i="10"/>
  <c r="M266" i="10"/>
  <c r="B269" i="10"/>
  <c r="C268" i="10"/>
  <c r="BF268" i="10"/>
  <c r="AV42" i="26"/>
  <c r="Q42" i="12"/>
  <c r="CK42" i="26"/>
  <c r="T383" i="10"/>
  <c r="BH382" i="10"/>
  <c r="E257" i="38"/>
  <c r="AM42" i="26"/>
  <c r="M42" i="12"/>
  <c r="BB42" i="26"/>
  <c r="AH260" i="10"/>
  <c r="BO42" i="26"/>
  <c r="V42" i="12"/>
  <c r="BF42" i="26"/>
  <c r="AK42" i="12"/>
  <c r="AD259" i="10"/>
  <c r="AF259" i="10"/>
  <c r="AF258" i="10"/>
  <c r="Z266" i="10"/>
  <c r="D257" i="38"/>
  <c r="C257" i="38"/>
  <c r="AB267" i="10"/>
  <c r="M267" i="10"/>
  <c r="I268" i="10"/>
  <c r="AA267" i="10"/>
  <c r="B270" i="10"/>
  <c r="BF269" i="10"/>
  <c r="C269" i="10"/>
  <c r="AJ260" i="10"/>
  <c r="BG42" i="26"/>
  <c r="AH261" i="10"/>
  <c r="T384" i="10"/>
  <c r="BH383" i="10"/>
  <c r="AJ382" i="10"/>
  <c r="AJ261" i="10"/>
  <c r="BS42" i="26"/>
  <c r="BU42" i="26"/>
  <c r="BH42" i="12"/>
  <c r="AA268" i="10"/>
  <c r="Y268" i="10"/>
  <c r="M268" i="10"/>
  <c r="I269" i="10"/>
  <c r="AB268" i="10"/>
  <c r="C259" i="38"/>
  <c r="D259" i="38"/>
  <c r="E259" i="38"/>
  <c r="BI42" i="26"/>
  <c r="AN42" i="12"/>
  <c r="C270" i="10"/>
  <c r="BF270" i="10"/>
  <c r="B271" i="10"/>
  <c r="T385" i="10"/>
  <c r="BH384" i="10"/>
  <c r="Y267" i="10"/>
  <c r="Z267" i="10"/>
  <c r="Z268" i="10"/>
  <c r="T386" i="10"/>
  <c r="BH385" i="10"/>
  <c r="BF271" i="10"/>
  <c r="B272" i="10"/>
  <c r="C271" i="10"/>
  <c r="AB269" i="10"/>
  <c r="I270" i="10"/>
  <c r="AA269" i="10"/>
  <c r="M269" i="10"/>
  <c r="Y269" i="10"/>
  <c r="Z269" i="10"/>
  <c r="AA270" i="10"/>
  <c r="AD264" i="10"/>
  <c r="C272" i="10"/>
  <c r="B273" i="10"/>
  <c r="BF272" i="10"/>
  <c r="M270" i="10"/>
  <c r="O264" i="10"/>
  <c r="I271" i="10"/>
  <c r="AB270" i="10"/>
  <c r="AE269" i="10"/>
  <c r="Y270" i="10"/>
  <c r="AN43" i="26"/>
  <c r="B43" i="12"/>
  <c r="AE267" i="10"/>
  <c r="BH386" i="10"/>
  <c r="T387" i="10"/>
  <c r="AE270" i="10"/>
  <c r="AX43" i="26"/>
  <c r="AW43" i="26"/>
  <c r="C273" i="10"/>
  <c r="B274" i="10"/>
  <c r="BF273" i="10"/>
  <c r="AF267" i="10"/>
  <c r="AB271" i="10"/>
  <c r="AA271" i="10"/>
  <c r="M271" i="10"/>
  <c r="I272" i="10"/>
  <c r="AD265" i="10"/>
  <c r="AF264" i="10"/>
  <c r="AT43" i="26"/>
  <c r="AH264" i="10"/>
  <c r="AH266" i="10"/>
  <c r="Q264" i="10"/>
  <c r="AD43" i="26"/>
  <c r="O265" i="10"/>
  <c r="T388" i="10"/>
  <c r="BH387" i="10"/>
  <c r="Z270" i="10"/>
  <c r="C274" i="10"/>
  <c r="BF274" i="10"/>
  <c r="B275" i="10"/>
  <c r="Q265" i="10"/>
  <c r="AI43" i="26"/>
  <c r="AJ264" i="10"/>
  <c r="BM43" i="26"/>
  <c r="M272" i="10"/>
  <c r="AB272" i="10"/>
  <c r="I273" i="10"/>
  <c r="AA272" i="10"/>
  <c r="Y272" i="10"/>
  <c r="T389" i="10"/>
  <c r="BH388" i="10"/>
  <c r="AJ266" i="10"/>
  <c r="BD43" i="26"/>
  <c r="AD266" i="10"/>
  <c r="AF266" i="10"/>
  <c r="AF265" i="10"/>
  <c r="AH43" i="26"/>
  <c r="J43" i="12"/>
  <c r="AV43" i="26"/>
  <c r="Q43" i="12"/>
  <c r="CK43" i="26"/>
  <c r="Y271" i="10"/>
  <c r="Z271" i="10"/>
  <c r="Z272" i="10"/>
  <c r="E264" i="38"/>
  <c r="AM43" i="26"/>
  <c r="M43" i="12"/>
  <c r="BB43" i="26"/>
  <c r="AH267" i="10"/>
  <c r="BF275" i="10"/>
  <c r="B276" i="10"/>
  <c r="C275" i="10"/>
  <c r="BF43" i="26"/>
  <c r="AK43" i="12"/>
  <c r="BO43" i="26"/>
  <c r="V43" i="12"/>
  <c r="T390" i="10"/>
  <c r="BH389" i="10"/>
  <c r="AH388" i="10"/>
  <c r="M273" i="10"/>
  <c r="AB273" i="10"/>
  <c r="I274" i="10"/>
  <c r="AA273" i="10"/>
  <c r="Y273" i="10"/>
  <c r="Z273" i="10"/>
  <c r="AH389" i="10"/>
  <c r="AI389" i="10"/>
  <c r="AJ389" i="10"/>
  <c r="C382" i="38"/>
  <c r="AB274" i="10"/>
  <c r="M274" i="10"/>
  <c r="I275" i="10"/>
  <c r="AA274" i="10"/>
  <c r="Y274" i="10"/>
  <c r="BF276" i="10"/>
  <c r="C276" i="10"/>
  <c r="B277" i="10"/>
  <c r="D264" i="38"/>
  <c r="C264" i="38"/>
  <c r="T391" i="10"/>
  <c r="BH390" i="10"/>
  <c r="AJ267" i="10"/>
  <c r="BG43" i="26"/>
  <c r="AH268" i="10"/>
  <c r="AJ268" i="10"/>
  <c r="BS43" i="26"/>
  <c r="BU43" i="26"/>
  <c r="BH43" i="12"/>
  <c r="I276" i="10"/>
  <c r="AB275" i="10"/>
  <c r="AA275" i="10"/>
  <c r="M275" i="10"/>
  <c r="C266" i="38"/>
  <c r="D266" i="38"/>
  <c r="E266" i="38"/>
  <c r="Z274" i="10"/>
  <c r="BF277" i="10"/>
  <c r="B278" i="10"/>
  <c r="C277" i="10"/>
  <c r="BI43" i="26"/>
  <c r="AN43" i="12"/>
  <c r="T392" i="10"/>
  <c r="BH391" i="10"/>
  <c r="Y275" i="10"/>
  <c r="Z275" i="10"/>
  <c r="T393" i="10"/>
  <c r="BH392" i="10"/>
  <c r="C278" i="10"/>
  <c r="BF278" i="10"/>
  <c r="B279" i="10"/>
  <c r="AB276" i="10"/>
  <c r="I277" i="10"/>
  <c r="AA276" i="10"/>
  <c r="Y276" i="10"/>
  <c r="M276" i="10"/>
  <c r="Z276" i="10"/>
  <c r="BF279" i="10"/>
  <c r="C279" i="10"/>
  <c r="B280" i="10"/>
  <c r="AB277" i="10"/>
  <c r="AE276" i="10"/>
  <c r="AA277" i="10"/>
  <c r="M277" i="10"/>
  <c r="O271" i="10"/>
  <c r="I278" i="10"/>
  <c r="AN44" i="26"/>
  <c r="B44" i="12"/>
  <c r="AE274" i="10"/>
  <c r="BH393" i="10"/>
  <c r="T394" i="10"/>
  <c r="AH273" i="10"/>
  <c r="Q271" i="10"/>
  <c r="AD44" i="26"/>
  <c r="O272" i="10"/>
  <c r="AF274" i="10"/>
  <c r="Y277" i="10"/>
  <c r="Z277" i="10"/>
  <c r="AD271" i="10"/>
  <c r="AH271" i="10"/>
  <c r="AW44" i="26"/>
  <c r="BH394" i="10"/>
  <c r="T395" i="10"/>
  <c r="M278" i="10"/>
  <c r="I279" i="10"/>
  <c r="AB278" i="10"/>
  <c r="AA278" i="10"/>
  <c r="BF280" i="10"/>
  <c r="C280" i="10"/>
  <c r="B281" i="10"/>
  <c r="AJ271" i="10"/>
  <c r="BM44" i="26"/>
  <c r="B282" i="10"/>
  <c r="C281" i="10"/>
  <c r="BF281" i="10"/>
  <c r="AH44" i="26"/>
  <c r="J44" i="12"/>
  <c r="AB279" i="10"/>
  <c r="I280" i="10"/>
  <c r="AA279" i="10"/>
  <c r="Y279" i="10"/>
  <c r="M279" i="10"/>
  <c r="AE277" i="10"/>
  <c r="AX44" i="26"/>
  <c r="Y278" i="10"/>
  <c r="Z278" i="10"/>
  <c r="BH395" i="10"/>
  <c r="T396" i="10"/>
  <c r="AD272" i="10"/>
  <c r="AF271" i="10"/>
  <c r="AT44" i="26"/>
  <c r="Q272" i="10"/>
  <c r="AI44" i="26"/>
  <c r="AJ273" i="10"/>
  <c r="BD44" i="26"/>
  <c r="Z279" i="10"/>
  <c r="AD273" i="10"/>
  <c r="AF273" i="10"/>
  <c r="AF272" i="10"/>
  <c r="T397" i="10"/>
  <c r="BH396" i="10"/>
  <c r="AH395" i="10"/>
  <c r="B283" i="10"/>
  <c r="C282" i="10"/>
  <c r="BF282" i="10"/>
  <c r="AV44" i="26"/>
  <c r="Q44" i="12"/>
  <c r="CK44" i="26"/>
  <c r="BO44" i="26"/>
  <c r="V44" i="12"/>
  <c r="BF44" i="26"/>
  <c r="AK44" i="12"/>
  <c r="AB280" i="10"/>
  <c r="I281" i="10"/>
  <c r="AA280" i="10"/>
  <c r="M280" i="10"/>
  <c r="E271" i="38"/>
  <c r="AM44" i="26"/>
  <c r="M44" i="12"/>
  <c r="BB44" i="26"/>
  <c r="AH274" i="10"/>
  <c r="Y280" i="10"/>
  <c r="Z280" i="10"/>
  <c r="AB281" i="10"/>
  <c r="M281" i="10"/>
  <c r="I282" i="10"/>
  <c r="AA281" i="10"/>
  <c r="Y281" i="10"/>
  <c r="BH397" i="10"/>
  <c r="T398" i="10"/>
  <c r="D271" i="38"/>
  <c r="C271" i="38"/>
  <c r="B284" i="10"/>
  <c r="BF283" i="10"/>
  <c r="C283" i="10"/>
  <c r="AJ274" i="10"/>
  <c r="BG44" i="26"/>
  <c r="AH275" i="10"/>
  <c r="AH396" i="10"/>
  <c r="AI396" i="10"/>
  <c r="AJ396" i="10"/>
  <c r="C389" i="38"/>
  <c r="AJ275" i="10"/>
  <c r="BS44" i="26"/>
  <c r="BU44" i="26"/>
  <c r="BH44" i="12"/>
  <c r="C273" i="38"/>
  <c r="D273" i="38"/>
  <c r="E273" i="38"/>
  <c r="BH398" i="10"/>
  <c r="T399" i="10"/>
  <c r="BI44" i="26"/>
  <c r="AN44" i="12"/>
  <c r="C284" i="10"/>
  <c r="BF284" i="10"/>
  <c r="B285" i="10"/>
  <c r="AA282" i="10"/>
  <c r="Y282" i="10"/>
  <c r="M282" i="10"/>
  <c r="I283" i="10"/>
  <c r="AB282" i="10"/>
  <c r="Z281" i="10"/>
  <c r="Z282" i="10"/>
  <c r="T400" i="10"/>
  <c r="BH399" i="10"/>
  <c r="AB283" i="10"/>
  <c r="I284" i="10"/>
  <c r="AA283" i="10"/>
  <c r="Y283" i="10"/>
  <c r="M283" i="10"/>
  <c r="BF285" i="10"/>
  <c r="B286" i="10"/>
  <c r="C285" i="10"/>
  <c r="Z283" i="10"/>
  <c r="C286" i="10"/>
  <c r="B287" i="10"/>
  <c r="BF286" i="10"/>
  <c r="M284" i="10"/>
  <c r="O278" i="10"/>
  <c r="I285" i="10"/>
  <c r="AB284" i="10"/>
  <c r="AE283" i="10"/>
  <c r="AA284" i="10"/>
  <c r="Y284" i="10"/>
  <c r="AN45" i="26"/>
  <c r="B45" i="12"/>
  <c r="AE281" i="10"/>
  <c r="T401" i="10"/>
  <c r="BH400" i="10"/>
  <c r="AD278" i="10"/>
  <c r="AD279" i="10"/>
  <c r="Z284" i="10"/>
  <c r="T402" i="10"/>
  <c r="BH401" i="10"/>
  <c r="AW45" i="26"/>
  <c r="C287" i="10"/>
  <c r="B288" i="10"/>
  <c r="BF287" i="10"/>
  <c r="AF281" i="10"/>
  <c r="AB285" i="10"/>
  <c r="AA285" i="10"/>
  <c r="M285" i="10"/>
  <c r="I286" i="10"/>
  <c r="AT45" i="26"/>
  <c r="AH278" i="10"/>
  <c r="AH280" i="10"/>
  <c r="Q278" i="10"/>
  <c r="AD45" i="26"/>
  <c r="O279" i="10"/>
  <c r="AE284" i="10"/>
  <c r="AX45" i="26"/>
  <c r="AF278" i="10"/>
  <c r="Q279" i="10"/>
  <c r="AI45" i="26"/>
  <c r="AJ278" i="10"/>
  <c r="BM45" i="26"/>
  <c r="M286" i="10"/>
  <c r="AB286" i="10"/>
  <c r="I287" i="10"/>
  <c r="AA286" i="10"/>
  <c r="Y286" i="10"/>
  <c r="C288" i="10"/>
  <c r="BF288" i="10"/>
  <c r="B289" i="10"/>
  <c r="AV45" i="26"/>
  <c r="Q45" i="12"/>
  <c r="CK45" i="26"/>
  <c r="T403" i="10"/>
  <c r="BH402" i="10"/>
  <c r="AJ280" i="10"/>
  <c r="BD45" i="26"/>
  <c r="AD280" i="10"/>
  <c r="AF280" i="10"/>
  <c r="AF279" i="10"/>
  <c r="AH45" i="26"/>
  <c r="J45" i="12"/>
  <c r="Y285" i="10"/>
  <c r="Z285" i="10"/>
  <c r="Z286" i="10"/>
  <c r="BF289" i="10"/>
  <c r="B290" i="10"/>
  <c r="C289" i="10"/>
  <c r="M287" i="10"/>
  <c r="AB287" i="10"/>
  <c r="I288" i="10"/>
  <c r="AA287" i="10"/>
  <c r="E278" i="38"/>
  <c r="BB45" i="26"/>
  <c r="AH281" i="10"/>
  <c r="AM45" i="26"/>
  <c r="M45" i="12"/>
  <c r="T404" i="10"/>
  <c r="BH403" i="10"/>
  <c r="AH402" i="10"/>
  <c r="BF45" i="26"/>
  <c r="AK45" i="12"/>
  <c r="BO45" i="26"/>
  <c r="V45" i="12"/>
  <c r="T405" i="10"/>
  <c r="BH404" i="10"/>
  <c r="Y287" i="10"/>
  <c r="Z287" i="10"/>
  <c r="AJ281" i="10"/>
  <c r="BG45" i="26"/>
  <c r="AH282" i="10"/>
  <c r="AB288" i="10"/>
  <c r="M288" i="10"/>
  <c r="I289" i="10"/>
  <c r="AA288" i="10"/>
  <c r="Y288" i="10"/>
  <c r="BF290" i="10"/>
  <c r="C290" i="10"/>
  <c r="B291" i="10"/>
  <c r="AH403" i="10"/>
  <c r="AI403" i="10"/>
  <c r="AJ403" i="10"/>
  <c r="C396" i="38"/>
  <c r="D278" i="38"/>
  <c r="C278" i="38"/>
  <c r="I290" i="10"/>
  <c r="AB289" i="10"/>
  <c r="AA289" i="10"/>
  <c r="M289" i="10"/>
  <c r="BI45" i="26"/>
  <c r="AN45" i="12"/>
  <c r="C280" i="38"/>
  <c r="D280" i="38"/>
  <c r="E280" i="38"/>
  <c r="BF291" i="10"/>
  <c r="B292" i="10"/>
  <c r="C291" i="10"/>
  <c r="AJ282" i="10"/>
  <c r="BS45" i="26"/>
  <c r="BU45" i="26"/>
  <c r="BH45" i="12"/>
  <c r="Z288" i="10"/>
  <c r="T406" i="10"/>
  <c r="BH405" i="10"/>
  <c r="C292" i="10"/>
  <c r="BF292" i="10"/>
  <c r="B293" i="10"/>
  <c r="Y289" i="10"/>
  <c r="Z289" i="10"/>
  <c r="T407" i="10"/>
  <c r="BH406" i="10"/>
  <c r="AB290" i="10"/>
  <c r="I291" i="10"/>
  <c r="AA290" i="10"/>
  <c r="Y290" i="10"/>
  <c r="M290" i="10"/>
  <c r="Z290" i="10"/>
  <c r="AB291" i="10"/>
  <c r="AE290" i="10"/>
  <c r="AA291" i="10"/>
  <c r="M291" i="10"/>
  <c r="O285" i="10"/>
  <c r="I292" i="10"/>
  <c r="AN46" i="26"/>
  <c r="B46" i="12"/>
  <c r="AE288" i="10"/>
  <c r="BH407" i="10"/>
  <c r="T408" i="10"/>
  <c r="BF293" i="10"/>
  <c r="C293" i="10"/>
  <c r="B294" i="10"/>
  <c r="AH287" i="10"/>
  <c r="Q285" i="10"/>
  <c r="AD46" i="26"/>
  <c r="O286" i="10"/>
  <c r="AF288" i="10"/>
  <c r="Y291" i="10"/>
  <c r="Z291" i="10"/>
  <c r="AD285" i="10"/>
  <c r="AH285" i="10"/>
  <c r="AW46" i="26"/>
  <c r="BF294" i="10"/>
  <c r="C294" i="10"/>
  <c r="B295" i="10"/>
  <c r="BH408" i="10"/>
  <c r="T409" i="10"/>
  <c r="M292" i="10"/>
  <c r="I293" i="10"/>
  <c r="AB292" i="10"/>
  <c r="AA292" i="10"/>
  <c r="AJ285" i="10"/>
  <c r="BM46" i="26"/>
  <c r="BH409" i="10"/>
  <c r="T410" i="10"/>
  <c r="AH409" i="10"/>
  <c r="AB293" i="10"/>
  <c r="I294" i="10"/>
  <c r="AA293" i="10"/>
  <c r="Y293" i="10"/>
  <c r="M293" i="10"/>
  <c r="AH46" i="26"/>
  <c r="J46" i="12"/>
  <c r="B296" i="10"/>
  <c r="C295" i="10"/>
  <c r="BF295" i="10"/>
  <c r="AE291" i="10"/>
  <c r="AX46" i="26"/>
  <c r="Y292" i="10"/>
  <c r="Z292" i="10"/>
  <c r="AD286" i="10"/>
  <c r="AF285" i="10"/>
  <c r="AT46" i="26"/>
  <c r="Q286" i="10"/>
  <c r="AI46" i="26"/>
  <c r="AJ287" i="10"/>
  <c r="BD46" i="26"/>
  <c r="Z293" i="10"/>
  <c r="AH410" i="10"/>
  <c r="AI410" i="10"/>
  <c r="AJ410" i="10"/>
  <c r="C403" i="38"/>
  <c r="AD287" i="10"/>
  <c r="AF287" i="10"/>
  <c r="AF286" i="10"/>
  <c r="BF46" i="26"/>
  <c r="AK46" i="12"/>
  <c r="AB294" i="10"/>
  <c r="I295" i="10"/>
  <c r="AA294" i="10"/>
  <c r="Y294" i="10"/>
  <c r="Z294" i="10"/>
  <c r="M294" i="10"/>
  <c r="AV46" i="26"/>
  <c r="Q46" i="12"/>
  <c r="CK46" i="26"/>
  <c r="E285" i="38"/>
  <c r="AM46" i="26"/>
  <c r="M46" i="12"/>
  <c r="BB46" i="26"/>
  <c r="AH288" i="10"/>
  <c r="B297" i="10"/>
  <c r="C296" i="10"/>
  <c r="BF296" i="10"/>
  <c r="BO46" i="26"/>
  <c r="V46" i="12"/>
  <c r="T411" i="10"/>
  <c r="BH410" i="10"/>
  <c r="B298" i="10"/>
  <c r="BF297" i="10"/>
  <c r="C297" i="10"/>
  <c r="BH411" i="10"/>
  <c r="T412" i="10"/>
  <c r="AJ288" i="10"/>
  <c r="BG46" i="26"/>
  <c r="AH289" i="10"/>
  <c r="AB295" i="10"/>
  <c r="M295" i="10"/>
  <c r="I296" i="10"/>
  <c r="AA295" i="10"/>
  <c r="D285" i="38"/>
  <c r="C285" i="38"/>
  <c r="AA296" i="10"/>
  <c r="Y296" i="10"/>
  <c r="M296" i="10"/>
  <c r="I297" i="10"/>
  <c r="AB296" i="10"/>
  <c r="C298" i="10"/>
  <c r="BF298" i="10"/>
  <c r="B299" i="10"/>
  <c r="C287" i="38"/>
  <c r="D287" i="38"/>
  <c r="E287" i="38"/>
  <c r="Y295" i="10"/>
  <c r="Z295" i="10"/>
  <c r="AJ289" i="10"/>
  <c r="BS46" i="26"/>
  <c r="BU46" i="26"/>
  <c r="BH46" i="12"/>
  <c r="BH412" i="10"/>
  <c r="T413" i="10"/>
  <c r="BI46" i="26"/>
  <c r="AN46" i="12"/>
  <c r="Z296" i="10"/>
  <c r="BF299" i="10"/>
  <c r="B300" i="10"/>
  <c r="C299" i="10"/>
  <c r="AB297" i="10"/>
  <c r="I298" i="10"/>
  <c r="AA297" i="10"/>
  <c r="M297" i="10"/>
  <c r="T414" i="10"/>
  <c r="BH413" i="10"/>
  <c r="Y297" i="10"/>
  <c r="Z297" i="10"/>
  <c r="AA298" i="10"/>
  <c r="AD292" i="10"/>
  <c r="C300" i="10"/>
  <c r="B301" i="10"/>
  <c r="BF300" i="10"/>
  <c r="M298" i="10"/>
  <c r="O292" i="10"/>
  <c r="I299" i="10"/>
  <c r="AB298" i="10"/>
  <c r="AE297" i="10"/>
  <c r="Y298" i="10"/>
  <c r="AN47" i="26"/>
  <c r="B47" i="12"/>
  <c r="AE295" i="10"/>
  <c r="T415" i="10"/>
  <c r="BH414" i="10"/>
  <c r="T416" i="10"/>
  <c r="BH415" i="10"/>
  <c r="AE298" i="10"/>
  <c r="AX47" i="26"/>
  <c r="AW47" i="26"/>
  <c r="C301" i="10"/>
  <c r="B302" i="10"/>
  <c r="BF301" i="10"/>
  <c r="AF295" i="10"/>
  <c r="AB299" i="10"/>
  <c r="AA299" i="10"/>
  <c r="M299" i="10"/>
  <c r="I300" i="10"/>
  <c r="AD293" i="10"/>
  <c r="AF292" i="10"/>
  <c r="AT47" i="26"/>
  <c r="AH292" i="10"/>
  <c r="AH294" i="10"/>
  <c r="Q292" i="10"/>
  <c r="AD47" i="26"/>
  <c r="O293" i="10"/>
  <c r="Z298" i="10"/>
  <c r="AJ294" i="10"/>
  <c r="BD47" i="26"/>
  <c r="AD294" i="10"/>
  <c r="AF294" i="10"/>
  <c r="AF293" i="10"/>
  <c r="C302" i="10"/>
  <c r="BF302" i="10"/>
  <c r="B303" i="10"/>
  <c r="Q293" i="10"/>
  <c r="AI47" i="26"/>
  <c r="AJ292" i="10"/>
  <c r="BM47" i="26"/>
  <c r="M300" i="10"/>
  <c r="AB300" i="10"/>
  <c r="I301" i="10"/>
  <c r="AA300" i="10"/>
  <c r="Y300" i="10"/>
  <c r="Y299" i="10"/>
  <c r="Z299" i="10"/>
  <c r="AH47" i="26"/>
  <c r="J47" i="12"/>
  <c r="AV47" i="26"/>
  <c r="Q47" i="12"/>
  <c r="CK47" i="26"/>
  <c r="T417" i="10"/>
  <c r="BH416" i="10"/>
  <c r="Z300" i="10"/>
  <c r="T418" i="10"/>
  <c r="BH417" i="10"/>
  <c r="AH416" i="10"/>
  <c r="BF47" i="26"/>
  <c r="AK47" i="12"/>
  <c r="E292" i="38"/>
  <c r="AM47" i="26"/>
  <c r="M47" i="12"/>
  <c r="BB47" i="26"/>
  <c r="AH295" i="10"/>
  <c r="BO47" i="26"/>
  <c r="V47" i="12"/>
  <c r="M301" i="10"/>
  <c r="AB301" i="10"/>
  <c r="I302" i="10"/>
  <c r="AA301" i="10"/>
  <c r="BF303" i="10"/>
  <c r="B304" i="10"/>
  <c r="C303" i="10"/>
  <c r="D292" i="38"/>
  <c r="C292" i="38"/>
  <c r="BF304" i="10"/>
  <c r="C304" i="10"/>
  <c r="B305" i="10"/>
  <c r="T419" i="10"/>
  <c r="BH418" i="10"/>
  <c r="AB302" i="10"/>
  <c r="M302" i="10"/>
  <c r="I303" i="10"/>
  <c r="AA302" i="10"/>
  <c r="Y302" i="10"/>
  <c r="AJ295" i="10"/>
  <c r="BG47" i="26"/>
  <c r="AH296" i="10"/>
  <c r="Y301" i="10"/>
  <c r="Z301" i="10"/>
  <c r="Z302" i="10"/>
  <c r="AH417" i="10"/>
  <c r="AI417" i="10"/>
  <c r="C410" i="38"/>
  <c r="BI47" i="26"/>
  <c r="AN47" i="12"/>
  <c r="T420" i="10"/>
  <c r="BH419" i="10"/>
  <c r="BF305" i="10"/>
  <c r="B306" i="10"/>
  <c r="C305" i="10"/>
  <c r="C294" i="38"/>
  <c r="D294" i="38"/>
  <c r="E294" i="38"/>
  <c r="AJ296" i="10"/>
  <c r="BS47" i="26"/>
  <c r="BU47" i="26"/>
  <c r="BH47" i="12"/>
  <c r="I304" i="10"/>
  <c r="AB303" i="10"/>
  <c r="AA303" i="10"/>
  <c r="M303" i="10"/>
  <c r="AJ417" i="10"/>
  <c r="Y303" i="10"/>
  <c r="Z303" i="10"/>
  <c r="C306" i="10"/>
  <c r="BF306" i="10"/>
  <c r="B307" i="10"/>
  <c r="T421" i="10"/>
  <c r="BH420" i="10"/>
  <c r="AB304" i="10"/>
  <c r="I305" i="10"/>
  <c r="AA304" i="10"/>
  <c r="Y304" i="10"/>
  <c r="M304" i="10"/>
  <c r="AB305" i="10"/>
  <c r="AE304" i="10"/>
  <c r="AA305" i="10"/>
  <c r="Y305" i="10"/>
  <c r="M305" i="10"/>
  <c r="O299" i="10"/>
  <c r="I306" i="10"/>
  <c r="AN48" i="26"/>
  <c r="B48" i="12"/>
  <c r="AE302" i="10"/>
  <c r="BH421" i="10"/>
  <c r="T422" i="10"/>
  <c r="BF307" i="10"/>
  <c r="C307" i="10"/>
  <c r="B308" i="10"/>
  <c r="Z304" i="10"/>
  <c r="AD299" i="10"/>
  <c r="AD300" i="10"/>
  <c r="Z305" i="10"/>
  <c r="BF308" i="10"/>
  <c r="C308" i="10"/>
  <c r="B309" i="10"/>
  <c r="BH422" i="10"/>
  <c r="T423" i="10"/>
  <c r="M306" i="10"/>
  <c r="I307" i="10"/>
  <c r="AB306" i="10"/>
  <c r="AA306" i="10"/>
  <c r="AH301" i="10"/>
  <c r="Q299" i="10"/>
  <c r="AD48" i="26"/>
  <c r="O300" i="10"/>
  <c r="AF302" i="10"/>
  <c r="AT48" i="26"/>
  <c r="AW48" i="26"/>
  <c r="AE305" i="10"/>
  <c r="AX48" i="26"/>
  <c r="AH299" i="10"/>
  <c r="AF299" i="10"/>
  <c r="AD301" i="10"/>
  <c r="AF301" i="10"/>
  <c r="AF300" i="10"/>
  <c r="AJ299" i="10"/>
  <c r="BM48" i="26"/>
  <c r="AB307" i="10"/>
  <c r="I308" i="10"/>
  <c r="AA307" i="10"/>
  <c r="Y307" i="10"/>
  <c r="M307" i="10"/>
  <c r="B310" i="10"/>
  <c r="C309" i="10"/>
  <c r="BF309" i="10"/>
  <c r="Q300" i="10"/>
  <c r="AI48" i="26"/>
  <c r="AJ301" i="10"/>
  <c r="BD48" i="26"/>
  <c r="AV48" i="26"/>
  <c r="Q48" i="12"/>
  <c r="CK48" i="26"/>
  <c r="AH48" i="26"/>
  <c r="J48" i="12"/>
  <c r="Y306" i="10"/>
  <c r="Z306" i="10"/>
  <c r="BH423" i="10"/>
  <c r="T424" i="10"/>
  <c r="Z307" i="10"/>
  <c r="T425" i="10"/>
  <c r="BH424" i="10"/>
  <c r="AH423" i="10"/>
  <c r="E299" i="38"/>
  <c r="AM48" i="26"/>
  <c r="M48" i="12"/>
  <c r="BB48" i="26"/>
  <c r="AH302" i="10"/>
  <c r="AB308" i="10"/>
  <c r="I309" i="10"/>
  <c r="AA308" i="10"/>
  <c r="M308" i="10"/>
  <c r="B311" i="10"/>
  <c r="C310" i="10"/>
  <c r="BF310" i="10"/>
  <c r="BF48" i="26"/>
  <c r="AK48" i="12"/>
  <c r="BO48" i="26"/>
  <c r="V48" i="12"/>
  <c r="B312" i="10"/>
  <c r="BF311" i="10"/>
  <c r="C311" i="10"/>
  <c r="AH424" i="10"/>
  <c r="AI424" i="10"/>
  <c r="C417" i="38"/>
  <c r="AJ302" i="10"/>
  <c r="BG48" i="26"/>
  <c r="AH303" i="10"/>
  <c r="Y308" i="10"/>
  <c r="Z308" i="10"/>
  <c r="BH425" i="10"/>
  <c r="T426" i="10"/>
  <c r="AB309" i="10"/>
  <c r="M309" i="10"/>
  <c r="I310" i="10"/>
  <c r="AA309" i="10"/>
  <c r="Y309" i="10"/>
  <c r="D299" i="38"/>
  <c r="C299" i="38"/>
  <c r="AA310" i="10"/>
  <c r="M310" i="10"/>
  <c r="I311" i="10"/>
  <c r="AB310" i="10"/>
  <c r="BH426" i="10"/>
  <c r="T427" i="10"/>
  <c r="AJ303" i="10"/>
  <c r="BS48" i="26"/>
  <c r="BU48" i="26"/>
  <c r="BH48" i="12"/>
  <c r="AJ424" i="10"/>
  <c r="C312" i="10"/>
  <c r="BF312" i="10"/>
  <c r="B313" i="10"/>
  <c r="C301" i="38"/>
  <c r="D301" i="38"/>
  <c r="E301" i="38"/>
  <c r="Z309" i="10"/>
  <c r="BI48" i="26"/>
  <c r="AN48" i="12"/>
  <c r="AB311" i="10"/>
  <c r="I312" i="10"/>
  <c r="AA311" i="10"/>
  <c r="Y311" i="10"/>
  <c r="M311" i="10"/>
  <c r="Y310" i="10"/>
  <c r="Z310" i="10"/>
  <c r="T428" i="10"/>
  <c r="BH427" i="10"/>
  <c r="BF313" i="10"/>
  <c r="B314" i="10"/>
  <c r="C313" i="10"/>
  <c r="Z311" i="10"/>
  <c r="C314" i="10"/>
  <c r="B315" i="10"/>
  <c r="BF314" i="10"/>
  <c r="T429" i="10"/>
  <c r="BH428" i="10"/>
  <c r="M312" i="10"/>
  <c r="O306" i="10"/>
  <c r="I313" i="10"/>
  <c r="AB312" i="10"/>
  <c r="AE311" i="10"/>
  <c r="AA312" i="10"/>
  <c r="Y312" i="10"/>
  <c r="AN49" i="26"/>
  <c r="B49" i="12"/>
  <c r="AE309" i="10"/>
  <c r="Z312" i="10"/>
  <c r="AD306" i="10"/>
  <c r="AE312" i="10"/>
  <c r="AX49" i="26"/>
  <c r="C315" i="10"/>
  <c r="B316" i="10"/>
  <c r="BF315" i="10"/>
  <c r="AH308" i="10"/>
  <c r="Q306" i="10"/>
  <c r="AD49" i="26"/>
  <c r="O307" i="10"/>
  <c r="AW49" i="26"/>
  <c r="AF309" i="10"/>
  <c r="AB313" i="10"/>
  <c r="AA313" i="10"/>
  <c r="M313" i="10"/>
  <c r="I314" i="10"/>
  <c r="T430" i="10"/>
  <c r="BH429" i="10"/>
  <c r="AH306" i="10"/>
  <c r="AJ306" i="10"/>
  <c r="C316" i="10"/>
  <c r="BF316" i="10"/>
  <c r="B317" i="10"/>
  <c r="T431" i="10"/>
  <c r="BH430" i="10"/>
  <c r="AJ308" i="10"/>
  <c r="BD49" i="26"/>
  <c r="Y313" i="10"/>
  <c r="Z313" i="10"/>
  <c r="M314" i="10"/>
  <c r="AB314" i="10"/>
  <c r="I315" i="10"/>
  <c r="AA314" i="10"/>
  <c r="Y314" i="10"/>
  <c r="BM49" i="26"/>
  <c r="AD307" i="10"/>
  <c r="AF306" i="10"/>
  <c r="AT49" i="26"/>
  <c r="Q307" i="10"/>
  <c r="AI49" i="26"/>
  <c r="AH49" i="26"/>
  <c r="J49" i="12"/>
  <c r="AV49" i="26"/>
  <c r="Q49" i="12"/>
  <c r="CK49" i="26"/>
  <c r="T432" i="10"/>
  <c r="BH431" i="10"/>
  <c r="E306" i="38"/>
  <c r="BB49" i="26"/>
  <c r="AH309" i="10"/>
  <c r="AM49" i="26"/>
  <c r="M49" i="12"/>
  <c r="Z314" i="10"/>
  <c r="BF317" i="10"/>
  <c r="B318" i="10"/>
  <c r="C317" i="10"/>
  <c r="AD308" i="10"/>
  <c r="AF308" i="10"/>
  <c r="AF307" i="10"/>
  <c r="M315" i="10"/>
  <c r="AB315" i="10"/>
  <c r="I316" i="10"/>
  <c r="AA315" i="10"/>
  <c r="AH430" i="10"/>
  <c r="BO49" i="26"/>
  <c r="V49" i="12"/>
  <c r="BF49" i="26"/>
  <c r="AK49" i="12"/>
  <c r="Y315" i="10"/>
  <c r="Z315" i="10"/>
  <c r="D306" i="38"/>
  <c r="C306" i="38"/>
  <c r="AJ309" i="10"/>
  <c r="BG49" i="26"/>
  <c r="AH310" i="10"/>
  <c r="AB316" i="10"/>
  <c r="M316" i="10"/>
  <c r="I317" i="10"/>
  <c r="AA316" i="10"/>
  <c r="Y316" i="10"/>
  <c r="AH431" i="10"/>
  <c r="AI431" i="10"/>
  <c r="C424" i="38"/>
  <c r="BF318" i="10"/>
  <c r="C318" i="10"/>
  <c r="B319" i="10"/>
  <c r="T433" i="10"/>
  <c r="BH432" i="10"/>
  <c r="AJ431" i="10"/>
  <c r="Z316" i="10"/>
  <c r="BF319" i="10"/>
  <c r="B320" i="10"/>
  <c r="C319" i="10"/>
  <c r="BI49" i="26"/>
  <c r="AN49" i="12"/>
  <c r="I318" i="10"/>
  <c r="AB317" i="10"/>
  <c r="AA317" i="10"/>
  <c r="M317" i="10"/>
  <c r="T434" i="10"/>
  <c r="BH433" i="10"/>
  <c r="AJ310" i="10"/>
  <c r="BS49" i="26"/>
  <c r="BU49" i="26"/>
  <c r="BH49" i="12"/>
  <c r="C308" i="38"/>
  <c r="D308" i="38"/>
  <c r="E308" i="38"/>
  <c r="Y317" i="10"/>
  <c r="Z317" i="10"/>
  <c r="C320" i="10"/>
  <c r="BF320" i="10"/>
  <c r="B321" i="10"/>
  <c r="T435" i="10"/>
  <c r="BH434" i="10"/>
  <c r="AB318" i="10"/>
  <c r="I319" i="10"/>
  <c r="AA318" i="10"/>
  <c r="Y318" i="10"/>
  <c r="M318" i="10"/>
  <c r="AB319" i="10"/>
  <c r="AE318" i="10"/>
  <c r="AA319" i="10"/>
  <c r="M319" i="10"/>
  <c r="O313" i="10"/>
  <c r="I320" i="10"/>
  <c r="AN50" i="26"/>
  <c r="B50" i="12"/>
  <c r="AE316" i="10"/>
  <c r="BF321" i="10"/>
  <c r="C321" i="10"/>
  <c r="B322" i="10"/>
  <c r="Z318" i="10"/>
  <c r="BH435" i="10"/>
  <c r="T436" i="10"/>
  <c r="AH315" i="10"/>
  <c r="Q313" i="10"/>
  <c r="AD50" i="26"/>
  <c r="O314" i="10"/>
  <c r="BF322" i="10"/>
  <c r="C322" i="10"/>
  <c r="B323" i="10"/>
  <c r="BH436" i="10"/>
  <c r="T437" i="10"/>
  <c r="M320" i="10"/>
  <c r="I321" i="10"/>
  <c r="AB320" i="10"/>
  <c r="AA320" i="10"/>
  <c r="AF316" i="10"/>
  <c r="Y319" i="10"/>
  <c r="Z319" i="10"/>
  <c r="AD313" i="10"/>
  <c r="AE319" i="10"/>
  <c r="AX50" i="26"/>
  <c r="AW50" i="26"/>
  <c r="AB321" i="10"/>
  <c r="I322" i="10"/>
  <c r="AA321" i="10"/>
  <c r="Y321" i="10"/>
  <c r="M321" i="10"/>
  <c r="B324" i="10"/>
  <c r="C323" i="10"/>
  <c r="BF323" i="10"/>
  <c r="AD314" i="10"/>
  <c r="AF313" i="10"/>
  <c r="AT50" i="26"/>
  <c r="AH50" i="26"/>
  <c r="J50" i="12"/>
  <c r="Y320" i="10"/>
  <c r="Z320" i="10"/>
  <c r="BH437" i="10"/>
  <c r="T438" i="10"/>
  <c r="AH313" i="10"/>
  <c r="Q314" i="10"/>
  <c r="AI50" i="26"/>
  <c r="AJ315" i="10"/>
  <c r="BD50" i="26"/>
  <c r="Z321" i="10"/>
  <c r="AV50" i="26"/>
  <c r="Q50" i="12"/>
  <c r="CK50" i="26"/>
  <c r="AB322" i="10"/>
  <c r="I323" i="10"/>
  <c r="AA322" i="10"/>
  <c r="Y322" i="10"/>
  <c r="Z322" i="10"/>
  <c r="M322" i="10"/>
  <c r="E313" i="38"/>
  <c r="AM50" i="26"/>
  <c r="M50" i="12"/>
  <c r="BB50" i="26"/>
  <c r="AH316" i="10"/>
  <c r="T439" i="10"/>
  <c r="BH438" i="10"/>
  <c r="AH437" i="10"/>
  <c r="B325" i="10"/>
  <c r="C324" i="10"/>
  <c r="BF324" i="10"/>
  <c r="AJ313" i="10"/>
  <c r="BM50" i="26"/>
  <c r="BF50" i="26"/>
  <c r="AK50" i="12"/>
  <c r="AD315" i="10"/>
  <c r="AF315" i="10"/>
  <c r="AF314" i="10"/>
  <c r="AJ316" i="10"/>
  <c r="BG50" i="26"/>
  <c r="AH317" i="10"/>
  <c r="AH438" i="10"/>
  <c r="AI438" i="10"/>
  <c r="C431" i="38"/>
  <c r="AB323" i="10"/>
  <c r="M323" i="10"/>
  <c r="I324" i="10"/>
  <c r="AA323" i="10"/>
  <c r="Y323" i="10"/>
  <c r="Z323" i="10"/>
  <c r="BO50" i="26"/>
  <c r="V50" i="12"/>
  <c r="B326" i="10"/>
  <c r="BF325" i="10"/>
  <c r="C325" i="10"/>
  <c r="D313" i="38"/>
  <c r="C313" i="38"/>
  <c r="BH439" i="10"/>
  <c r="T440" i="10"/>
  <c r="AJ438" i="10"/>
  <c r="BI50" i="26"/>
  <c r="AN50" i="12"/>
  <c r="AA324" i="10"/>
  <c r="Y324" i="10"/>
  <c r="Z324" i="10"/>
  <c r="M324" i="10"/>
  <c r="I325" i="10"/>
  <c r="AB324" i="10"/>
  <c r="C315" i="38"/>
  <c r="D315" i="38"/>
  <c r="E315" i="38"/>
  <c r="AJ317" i="10"/>
  <c r="BS50" i="26"/>
  <c r="BU50" i="26"/>
  <c r="BH50" i="12"/>
  <c r="BH440" i="10"/>
  <c r="T441" i="10"/>
  <c r="C326" i="10"/>
  <c r="BF326" i="10"/>
  <c r="B327" i="10"/>
  <c r="AB325" i="10"/>
  <c r="I326" i="10"/>
  <c r="AA325" i="10"/>
  <c r="M325" i="10"/>
  <c r="T442" i="10"/>
  <c r="BH441" i="10"/>
  <c r="BF327" i="10"/>
  <c r="B328" i="10"/>
  <c r="C327" i="10"/>
  <c r="T443" i="10"/>
  <c r="BH442" i="10"/>
  <c r="M326" i="10"/>
  <c r="O320" i="10"/>
  <c r="I327" i="10"/>
  <c r="AB326" i="10"/>
  <c r="AE325" i="10"/>
  <c r="AA326" i="10"/>
  <c r="Y326" i="10"/>
  <c r="AN51" i="26"/>
  <c r="B51" i="12"/>
  <c r="AE323" i="10"/>
  <c r="C328" i="10"/>
  <c r="B329" i="10"/>
  <c r="BF328" i="10"/>
  <c r="Y325" i="10"/>
  <c r="Z325" i="10"/>
  <c r="AD320" i="10"/>
  <c r="AE326" i="10"/>
  <c r="AX51" i="26"/>
  <c r="Z326" i="10"/>
  <c r="AW51" i="26"/>
  <c r="AF323" i="10"/>
  <c r="AB327" i="10"/>
  <c r="AA327" i="10"/>
  <c r="M327" i="10"/>
  <c r="I328" i="10"/>
  <c r="C329" i="10"/>
  <c r="B330" i="10"/>
  <c r="BF329" i="10"/>
  <c r="AH322" i="10"/>
  <c r="Q320" i="10"/>
  <c r="AD51" i="26"/>
  <c r="O321" i="10"/>
  <c r="T444" i="10"/>
  <c r="BH443" i="10"/>
  <c r="AT51" i="26"/>
  <c r="AH320" i="10"/>
  <c r="AF320" i="10"/>
  <c r="AD321" i="10"/>
  <c r="AD322" i="10"/>
  <c r="AF322" i="10"/>
  <c r="AH51" i="26"/>
  <c r="J51" i="12"/>
  <c r="C330" i="10"/>
  <c r="BF330" i="10"/>
  <c r="B331" i="10"/>
  <c r="Y327" i="10"/>
  <c r="Z327" i="10"/>
  <c r="AF321" i="10"/>
  <c r="AV51" i="26"/>
  <c r="Q51" i="12"/>
  <c r="CK51" i="26"/>
  <c r="T445" i="10"/>
  <c r="BH444" i="10"/>
  <c r="AJ322" i="10"/>
  <c r="BD51" i="26"/>
  <c r="Q321" i="10"/>
  <c r="AI51" i="26"/>
  <c r="AJ320" i="10"/>
  <c r="BM51" i="26"/>
  <c r="M328" i="10"/>
  <c r="AB328" i="10"/>
  <c r="I329" i="10"/>
  <c r="AA328" i="10"/>
  <c r="Y328" i="10"/>
  <c r="BO51" i="26"/>
  <c r="V51" i="12"/>
  <c r="BF51" i="26"/>
  <c r="AK51" i="12"/>
  <c r="T446" i="10"/>
  <c r="BH445" i="10"/>
  <c r="E320" i="38"/>
  <c r="AM51" i="26"/>
  <c r="M51" i="12"/>
  <c r="BB51" i="26"/>
  <c r="AH323" i="10"/>
  <c r="BF331" i="10"/>
  <c r="B332" i="10"/>
  <c r="C331" i="10"/>
  <c r="Z328" i="10"/>
  <c r="M329" i="10"/>
  <c r="AB329" i="10"/>
  <c r="I330" i="10"/>
  <c r="AA329" i="10"/>
  <c r="Y329" i="10"/>
  <c r="AH444" i="10"/>
  <c r="D320" i="38"/>
  <c r="C320" i="38"/>
  <c r="Z329" i="10"/>
  <c r="AJ323" i="10"/>
  <c r="BG51" i="26"/>
  <c r="AH324" i="10"/>
  <c r="T447" i="10"/>
  <c r="BH446" i="10"/>
  <c r="AB330" i="10"/>
  <c r="M330" i="10"/>
  <c r="I331" i="10"/>
  <c r="AA330" i="10"/>
  <c r="AH445" i="10"/>
  <c r="AI445" i="10"/>
  <c r="C438" i="38"/>
  <c r="BF332" i="10"/>
  <c r="C332" i="10"/>
  <c r="B333" i="10"/>
  <c r="Y330" i="10"/>
  <c r="BI51" i="26"/>
  <c r="AN51" i="12"/>
  <c r="AJ324" i="10"/>
  <c r="BS51" i="26"/>
  <c r="BU51" i="26"/>
  <c r="BH51" i="12"/>
  <c r="I332" i="10"/>
  <c r="AB331" i="10"/>
  <c r="AA331" i="10"/>
  <c r="Y331" i="10"/>
  <c r="M331" i="10"/>
  <c r="C322" i="38"/>
  <c r="D322" i="38"/>
  <c r="E322" i="38"/>
  <c r="BF333" i="10"/>
  <c r="B334" i="10"/>
  <c r="C333" i="10"/>
  <c r="AJ445" i="10"/>
  <c r="T448" i="10"/>
  <c r="BH447" i="10"/>
  <c r="Z330" i="10"/>
  <c r="Z331" i="10"/>
  <c r="AB332" i="10"/>
  <c r="I333" i="10"/>
  <c r="AA332" i="10"/>
  <c r="Y332" i="10"/>
  <c r="M332" i="10"/>
  <c r="T449" i="10"/>
  <c r="BH448" i="10"/>
  <c r="C334" i="10"/>
  <c r="BF334" i="10"/>
  <c r="B335" i="10"/>
  <c r="Z332" i="10"/>
  <c r="BH449" i="10"/>
  <c r="T450" i="10"/>
  <c r="AB333" i="10"/>
  <c r="AE332" i="10"/>
  <c r="AA333" i="10"/>
  <c r="M333" i="10"/>
  <c r="O327" i="10"/>
  <c r="I334" i="10"/>
  <c r="AN52" i="26"/>
  <c r="B52" i="12"/>
  <c r="AE330" i="10"/>
  <c r="BF335" i="10"/>
  <c r="C335" i="10"/>
  <c r="B336" i="10"/>
  <c r="BF336" i="10"/>
  <c r="C336" i="10"/>
  <c r="B337" i="10"/>
  <c r="AW52" i="26"/>
  <c r="AH329" i="10"/>
  <c r="Q327" i="10"/>
  <c r="AD52" i="26"/>
  <c r="O328" i="10"/>
  <c r="M334" i="10"/>
  <c r="I335" i="10"/>
  <c r="AB334" i="10"/>
  <c r="AA334" i="10"/>
  <c r="BH450" i="10"/>
  <c r="T451" i="10"/>
  <c r="AF330" i="10"/>
  <c r="Y333" i="10"/>
  <c r="Z333" i="10"/>
  <c r="AD327" i="10"/>
  <c r="AH327" i="10"/>
  <c r="AJ327" i="10"/>
  <c r="BM52" i="26"/>
  <c r="BH451" i="10"/>
  <c r="T452" i="10"/>
  <c r="AB335" i="10"/>
  <c r="I336" i="10"/>
  <c r="AA335" i="10"/>
  <c r="Y335" i="10"/>
  <c r="M335" i="10"/>
  <c r="AE333" i="10"/>
  <c r="AX52" i="26"/>
  <c r="B338" i="10"/>
  <c r="C337" i="10"/>
  <c r="BF337" i="10"/>
  <c r="Y334" i="10"/>
  <c r="Z334" i="10"/>
  <c r="Z335" i="10"/>
  <c r="Q328" i="10"/>
  <c r="AI52" i="26"/>
  <c r="AJ329" i="10"/>
  <c r="BD52" i="26"/>
  <c r="AD328" i="10"/>
  <c r="AF327" i="10"/>
  <c r="AT52" i="26"/>
  <c r="AH52" i="26"/>
  <c r="J52" i="12"/>
  <c r="AV52" i="26"/>
  <c r="Q52" i="12"/>
  <c r="CK52" i="26"/>
  <c r="B339" i="10"/>
  <c r="C338" i="10"/>
  <c r="BF338" i="10"/>
  <c r="T453" i="10"/>
  <c r="BH452" i="10"/>
  <c r="E327" i="38"/>
  <c r="AM52" i="26"/>
  <c r="M52" i="12"/>
  <c r="BB52" i="26"/>
  <c r="AH330" i="10"/>
  <c r="AB336" i="10"/>
  <c r="I337" i="10"/>
  <c r="AA336" i="10"/>
  <c r="Y336" i="10"/>
  <c r="Z336" i="10"/>
  <c r="M336" i="10"/>
  <c r="BO52" i="26"/>
  <c r="V52" i="12"/>
  <c r="AD329" i="10"/>
  <c r="AF329" i="10"/>
  <c r="AF328" i="10"/>
  <c r="AH451" i="10"/>
  <c r="BF52" i="26"/>
  <c r="AK52" i="12"/>
  <c r="AH452" i="10"/>
  <c r="AI452" i="10"/>
  <c r="AJ452" i="10"/>
  <c r="C445" i="38"/>
  <c r="AB337" i="10"/>
  <c r="M337" i="10"/>
  <c r="I338" i="10"/>
  <c r="AA337" i="10"/>
  <c r="Y337" i="10"/>
  <c r="Z337" i="10"/>
  <c r="D327" i="38"/>
  <c r="C327" i="38"/>
  <c r="AJ330" i="10"/>
  <c r="BG52" i="26"/>
  <c r="AH331" i="10"/>
  <c r="BH453" i="10"/>
  <c r="T454" i="10"/>
  <c r="B340" i="10"/>
  <c r="BF339" i="10"/>
  <c r="C339" i="10"/>
  <c r="C340" i="10"/>
  <c r="BF340" i="10"/>
  <c r="B341" i="10"/>
  <c r="BH454" i="10"/>
  <c r="T455" i="10"/>
  <c r="AA338" i="10"/>
  <c r="Y338" i="10"/>
  <c r="Z338" i="10"/>
  <c r="M338" i="10"/>
  <c r="I339" i="10"/>
  <c r="AB338" i="10"/>
  <c r="AJ331" i="10"/>
  <c r="BS52" i="26"/>
  <c r="BU52" i="26"/>
  <c r="BH52" i="12"/>
  <c r="C329" i="38"/>
  <c r="D329" i="38"/>
  <c r="E329" i="38"/>
  <c r="BI52" i="26"/>
  <c r="AN52" i="12"/>
  <c r="BF341" i="10"/>
  <c r="B342" i="10"/>
  <c r="C341" i="10"/>
  <c r="AB339" i="10"/>
  <c r="I340" i="10"/>
  <c r="AA339" i="10"/>
  <c r="Y339" i="10"/>
  <c r="Z339" i="10"/>
  <c r="M339" i="10"/>
  <c r="T456" i="10"/>
  <c r="BH455" i="10"/>
  <c r="T457" i="10"/>
  <c r="BH456" i="10"/>
  <c r="M340" i="10"/>
  <c r="O334" i="10"/>
  <c r="I341" i="10"/>
  <c r="AB340" i="10"/>
  <c r="AE339" i="10"/>
  <c r="AA340" i="10"/>
  <c r="AN53" i="26"/>
  <c r="B53" i="12"/>
  <c r="AE337" i="10"/>
  <c r="C342" i="10"/>
  <c r="B343" i="10"/>
  <c r="BF342" i="10"/>
  <c r="C343" i="10"/>
  <c r="B344" i="10"/>
  <c r="BF343" i="10"/>
  <c r="Y340" i="10"/>
  <c r="Z340" i="10"/>
  <c r="AD334" i="10"/>
  <c r="AE340" i="10"/>
  <c r="AX53" i="26"/>
  <c r="AW53" i="26"/>
  <c r="AF337" i="10"/>
  <c r="AB341" i="10"/>
  <c r="AA341" i="10"/>
  <c r="M341" i="10"/>
  <c r="I342" i="10"/>
  <c r="T458" i="10"/>
  <c r="BH457" i="10"/>
  <c r="AH334" i="10"/>
  <c r="AH336" i="10"/>
  <c r="Q334" i="10"/>
  <c r="AD53" i="26"/>
  <c r="O335" i="10"/>
  <c r="Q335" i="10"/>
  <c r="AI53" i="26"/>
  <c r="AH53" i="26"/>
  <c r="J53" i="12"/>
  <c r="Y341" i="10"/>
  <c r="Z341" i="10"/>
  <c r="T459" i="10"/>
  <c r="AH458" i="10"/>
  <c r="BH458" i="10"/>
  <c r="C344" i="10"/>
  <c r="BF344" i="10"/>
  <c r="B345" i="10"/>
  <c r="AJ334" i="10"/>
  <c r="BM53" i="26"/>
  <c r="AJ336" i="10"/>
  <c r="BD53" i="26"/>
  <c r="M342" i="10"/>
  <c r="AB342" i="10"/>
  <c r="I343" i="10"/>
  <c r="AA342" i="10"/>
  <c r="Y342" i="10"/>
  <c r="AD335" i="10"/>
  <c r="AF334" i="10"/>
  <c r="AT53" i="26"/>
  <c r="AH459" i="10"/>
  <c r="AI459" i="10"/>
  <c r="C452" i="38"/>
  <c r="AV53" i="26"/>
  <c r="Q53" i="12"/>
  <c r="CK53" i="26"/>
  <c r="M343" i="10"/>
  <c r="AB343" i="10"/>
  <c r="I344" i="10"/>
  <c r="AA343" i="10"/>
  <c r="Y343" i="10"/>
  <c r="BF345" i="10"/>
  <c r="B346" i="10"/>
  <c r="C345" i="10"/>
  <c r="E334" i="38"/>
  <c r="BB53" i="26"/>
  <c r="AH337" i="10"/>
  <c r="AM53" i="26"/>
  <c r="M53" i="12"/>
  <c r="BF53" i="26"/>
  <c r="AK53" i="12"/>
  <c r="Z342" i="10"/>
  <c r="AD336" i="10"/>
  <c r="AF336" i="10"/>
  <c r="AF335" i="10"/>
  <c r="BO53" i="26"/>
  <c r="V53" i="12"/>
  <c r="T460" i="10"/>
  <c r="BH459" i="10"/>
  <c r="AJ459" i="10"/>
  <c r="Z343" i="10"/>
  <c r="BF346" i="10"/>
  <c r="C346" i="10"/>
  <c r="B347" i="10"/>
  <c r="AJ337" i="10"/>
  <c r="BG53" i="26"/>
  <c r="AH338" i="10"/>
  <c r="D334" i="38"/>
  <c r="C334" i="38"/>
  <c r="T461" i="10"/>
  <c r="BH460" i="10"/>
  <c r="AB344" i="10"/>
  <c r="M344" i="10"/>
  <c r="I345" i="10"/>
  <c r="AA344" i="10"/>
  <c r="BF347" i="10"/>
  <c r="B348" i="10"/>
  <c r="C347" i="10"/>
  <c r="Y344" i="10"/>
  <c r="Z344" i="10"/>
  <c r="AJ338" i="10"/>
  <c r="BS53" i="26"/>
  <c r="BU53" i="26"/>
  <c r="BH53" i="12"/>
  <c r="I346" i="10"/>
  <c r="AB345" i="10"/>
  <c r="AA345" i="10"/>
  <c r="Y345" i="10"/>
  <c r="M345" i="10"/>
  <c r="C336" i="38"/>
  <c r="D336" i="38"/>
  <c r="E336" i="38"/>
  <c r="BI53" i="26"/>
  <c r="AN53" i="12"/>
  <c r="T462" i="10"/>
  <c r="BH461" i="10"/>
  <c r="Z345" i="10"/>
  <c r="C348" i="10"/>
  <c r="BF348" i="10"/>
  <c r="B349" i="10"/>
  <c r="T463" i="10"/>
  <c r="BH462" i="10"/>
  <c r="AB346" i="10"/>
  <c r="I347" i="10"/>
  <c r="AA346" i="10"/>
  <c r="M346" i="10"/>
  <c r="BF349" i="10"/>
  <c r="C349" i="10"/>
  <c r="B350" i="10"/>
  <c r="AB347" i="10"/>
  <c r="AE346" i="10"/>
  <c r="AA347" i="10"/>
  <c r="Y347" i="10"/>
  <c r="M347" i="10"/>
  <c r="O341" i="10"/>
  <c r="I348" i="10"/>
  <c r="AN54" i="26"/>
  <c r="B54" i="12"/>
  <c r="AE344" i="10"/>
  <c r="Y346" i="10"/>
  <c r="Z346" i="10"/>
  <c r="AD341" i="10"/>
  <c r="BH463" i="10"/>
  <c r="T464" i="10"/>
  <c r="Z347" i="10"/>
  <c r="AD342" i="10"/>
  <c r="AF341" i="10"/>
  <c r="AT54" i="26"/>
  <c r="M348" i="10"/>
  <c r="I349" i="10"/>
  <c r="AB348" i="10"/>
  <c r="AA348" i="10"/>
  <c r="BF350" i="10"/>
  <c r="C350" i="10"/>
  <c r="B351" i="10"/>
  <c r="AH343" i="10"/>
  <c r="AH341" i="10"/>
  <c r="Q341" i="10"/>
  <c r="AD54" i="26"/>
  <c r="O342" i="10"/>
  <c r="AE347" i="10"/>
  <c r="AX54" i="26"/>
  <c r="AW54" i="26"/>
  <c r="BH464" i="10"/>
  <c r="T465" i="10"/>
  <c r="AF344" i="10"/>
  <c r="BH465" i="10"/>
  <c r="T466" i="10"/>
  <c r="Q342" i="10"/>
  <c r="AI54" i="26"/>
  <c r="AJ343" i="10"/>
  <c r="BD54" i="26"/>
  <c r="Y348" i="10"/>
  <c r="Z348" i="10"/>
  <c r="AV54" i="26"/>
  <c r="Q54" i="12"/>
  <c r="CK54" i="26"/>
  <c r="AJ341" i="10"/>
  <c r="BM54" i="26"/>
  <c r="AH54" i="26"/>
  <c r="J54" i="12"/>
  <c r="B352" i="10"/>
  <c r="C351" i="10"/>
  <c r="BF351" i="10"/>
  <c r="AH465" i="10"/>
  <c r="AB349" i="10"/>
  <c r="I350" i="10"/>
  <c r="AA349" i="10"/>
  <c r="Y349" i="10"/>
  <c r="M349" i="10"/>
  <c r="AD343" i="10"/>
  <c r="AF343" i="10"/>
  <c r="AF342" i="10"/>
  <c r="BF54" i="26"/>
  <c r="AK54" i="12"/>
  <c r="BO54" i="26"/>
  <c r="V54" i="12"/>
  <c r="AH466" i="10"/>
  <c r="AI466" i="10"/>
  <c r="C459" i="38"/>
  <c r="B353" i="10"/>
  <c r="C352" i="10"/>
  <c r="BF352" i="10"/>
  <c r="Z349" i="10"/>
  <c r="E341" i="38"/>
  <c r="AM54" i="26"/>
  <c r="M54" i="12"/>
  <c r="BB54" i="26"/>
  <c r="AH344" i="10"/>
  <c r="T467" i="10"/>
  <c r="BH466" i="10"/>
  <c r="AB350" i="10"/>
  <c r="I351" i="10"/>
  <c r="AA350" i="10"/>
  <c r="Y350" i="10"/>
  <c r="M350" i="10"/>
  <c r="D341" i="38"/>
  <c r="C341" i="38"/>
  <c r="B354" i="10"/>
  <c r="BF353" i="10"/>
  <c r="C353" i="10"/>
  <c r="BH467" i="10"/>
  <c r="T468" i="10"/>
  <c r="Z350" i="10"/>
  <c r="AB351" i="10"/>
  <c r="M351" i="10"/>
  <c r="I352" i="10"/>
  <c r="AA351" i="10"/>
  <c r="AJ344" i="10"/>
  <c r="BG54" i="26"/>
  <c r="AH345" i="10"/>
  <c r="AJ466" i="10"/>
  <c r="AJ345" i="10"/>
  <c r="BS54" i="26"/>
  <c r="BU54" i="26"/>
  <c r="BH54" i="12"/>
  <c r="AA352" i="10"/>
  <c r="Y352" i="10"/>
  <c r="M352" i="10"/>
  <c r="I353" i="10"/>
  <c r="AB352" i="10"/>
  <c r="C343" i="38"/>
  <c r="D343" i="38"/>
  <c r="E343" i="38"/>
  <c r="Y351" i="10"/>
  <c r="Z351" i="10"/>
  <c r="BI54" i="26"/>
  <c r="AN54" i="12"/>
  <c r="BH468" i="10"/>
  <c r="T469" i="10"/>
  <c r="C354" i="10"/>
  <c r="BF354" i="10"/>
  <c r="B355" i="10"/>
  <c r="Z352" i="10"/>
  <c r="T470" i="10"/>
  <c r="BH469" i="10"/>
  <c r="BF355" i="10"/>
  <c r="B356" i="10"/>
  <c r="C355" i="10"/>
  <c r="AB353" i="10"/>
  <c r="I354" i="10"/>
  <c r="AA353" i="10"/>
  <c r="M353" i="10"/>
  <c r="Y353" i="10"/>
  <c r="Z353" i="10"/>
  <c r="M354" i="10"/>
  <c r="O348" i="10"/>
  <c r="I355" i="10"/>
  <c r="AB354" i="10"/>
  <c r="AE353" i="10"/>
  <c r="AA354" i="10"/>
  <c r="Y354" i="10"/>
  <c r="AN55" i="26"/>
  <c r="B55" i="12"/>
  <c r="AE351" i="10"/>
  <c r="C356" i="10"/>
  <c r="B357" i="10"/>
  <c r="BF356" i="10"/>
  <c r="T471" i="10"/>
  <c r="BH470" i="10"/>
  <c r="T472" i="10"/>
  <c r="BH471" i="10"/>
  <c r="AF351" i="10"/>
  <c r="AB355" i="10"/>
  <c r="AA355" i="10"/>
  <c r="M355" i="10"/>
  <c r="I356" i="10"/>
  <c r="AH350" i="10"/>
  <c r="Q348" i="10"/>
  <c r="AD55" i="26"/>
  <c r="O349" i="10"/>
  <c r="C357" i="10"/>
  <c r="B358" i="10"/>
  <c r="BF357" i="10"/>
  <c r="AD348" i="10"/>
  <c r="AE354" i="10"/>
  <c r="AX55" i="26"/>
  <c r="AW55" i="26"/>
  <c r="Z354" i="10"/>
  <c r="C358" i="10"/>
  <c r="BF358" i="10"/>
  <c r="B359" i="10"/>
  <c r="AJ350" i="10"/>
  <c r="BD55" i="26"/>
  <c r="Y355" i="10"/>
  <c r="Z355" i="10"/>
  <c r="AD349" i="10"/>
  <c r="AF348" i="10"/>
  <c r="AT55" i="26"/>
  <c r="AH348" i="10"/>
  <c r="Q349" i="10"/>
  <c r="AI55" i="26"/>
  <c r="AH55" i="26"/>
  <c r="J55" i="12"/>
  <c r="M356" i="10"/>
  <c r="AB356" i="10"/>
  <c r="I357" i="10"/>
  <c r="AA356" i="10"/>
  <c r="Y356" i="10"/>
  <c r="T473" i="10"/>
  <c r="BH472" i="10"/>
  <c r="Z356" i="10"/>
  <c r="T474" i="10"/>
  <c r="BH473" i="10"/>
  <c r="AH472" i="10"/>
  <c r="AV55" i="26"/>
  <c r="Q55" i="12"/>
  <c r="CK55" i="26"/>
  <c r="BF359" i="10"/>
  <c r="B360" i="10"/>
  <c r="C359" i="10"/>
  <c r="E348" i="38"/>
  <c r="AM55" i="26"/>
  <c r="M55" i="12"/>
  <c r="BB55" i="26"/>
  <c r="AH351" i="10"/>
  <c r="M357" i="10"/>
  <c r="AB357" i="10"/>
  <c r="I358" i="10"/>
  <c r="AA357" i="10"/>
  <c r="Y357" i="10"/>
  <c r="BF55" i="26"/>
  <c r="AK55" i="12"/>
  <c r="AJ348" i="10"/>
  <c r="BM55" i="26"/>
  <c r="AD350" i="10"/>
  <c r="AF350" i="10"/>
  <c r="AF349" i="10"/>
  <c r="Z357" i="10"/>
  <c r="AJ351" i="10"/>
  <c r="BG55" i="26"/>
  <c r="AH352" i="10"/>
  <c r="BF360" i="10"/>
  <c r="C360" i="10"/>
  <c r="B361" i="10"/>
  <c r="T475" i="10"/>
  <c r="BH474" i="10"/>
  <c r="AB358" i="10"/>
  <c r="M358" i="10"/>
  <c r="I359" i="10"/>
  <c r="AA358" i="10"/>
  <c r="Y358" i="10"/>
  <c r="Z358" i="10"/>
  <c r="BO55" i="26"/>
  <c r="V55" i="12"/>
  <c r="D348" i="38"/>
  <c r="C348" i="38"/>
  <c r="AI473" i="10"/>
  <c r="AJ473" i="10"/>
  <c r="C466" i="38"/>
  <c r="BI55" i="26"/>
  <c r="AN55" i="12"/>
  <c r="C350" i="38"/>
  <c r="D350" i="38"/>
  <c r="E350" i="38"/>
  <c r="I360" i="10"/>
  <c r="AB359" i="10"/>
  <c r="AA359" i="10"/>
  <c r="M359" i="10"/>
  <c r="BF361" i="10"/>
  <c r="B362" i="10"/>
  <c r="C361" i="10"/>
  <c r="T476" i="10"/>
  <c r="BH475" i="10"/>
  <c r="AJ352" i="10"/>
  <c r="BS55" i="26"/>
  <c r="BU55" i="26"/>
  <c r="BH55" i="12"/>
  <c r="C362" i="10"/>
  <c r="BF362" i="10"/>
  <c r="B363" i="10"/>
  <c r="T477" i="10"/>
  <c r="BH476" i="10"/>
  <c r="AB360" i="10"/>
  <c r="I361" i="10"/>
  <c r="AA360" i="10"/>
  <c r="Y360" i="10"/>
  <c r="M360" i="10"/>
  <c r="Y359" i="10"/>
  <c r="Z359" i="10"/>
  <c r="Z360" i="10"/>
  <c r="AB361" i="10"/>
  <c r="AE360" i="10"/>
  <c r="AA361" i="10"/>
  <c r="M361" i="10"/>
  <c r="O355" i="10"/>
  <c r="I362" i="10"/>
  <c r="AN56" i="26"/>
  <c r="B56" i="12"/>
  <c r="AE358" i="10"/>
  <c r="BH477" i="10"/>
  <c r="T478" i="10"/>
  <c r="BF363" i="10"/>
  <c r="C363" i="10"/>
  <c r="B364" i="10"/>
  <c r="BF364" i="10"/>
  <c r="C364" i="10"/>
  <c r="B365" i="10"/>
  <c r="BH478" i="10"/>
  <c r="T479" i="10"/>
  <c r="M362" i="10"/>
  <c r="I363" i="10"/>
  <c r="AB362" i="10"/>
  <c r="AA362" i="10"/>
  <c r="AH357" i="10"/>
  <c r="Q355" i="10"/>
  <c r="AD56" i="26"/>
  <c r="O356" i="10"/>
  <c r="AF358" i="10"/>
  <c r="Y361" i="10"/>
  <c r="Z361" i="10"/>
  <c r="AD355" i="10"/>
  <c r="AE361" i="10"/>
  <c r="AX56" i="26"/>
  <c r="AW56" i="26"/>
  <c r="AH355" i="10"/>
  <c r="AD356" i="10"/>
  <c r="AF355" i="10"/>
  <c r="AT56" i="26"/>
  <c r="Q356" i="10"/>
  <c r="AI56" i="26"/>
  <c r="BD56" i="26"/>
  <c r="AJ357" i="10"/>
  <c r="B366" i="10"/>
  <c r="C365" i="10"/>
  <c r="BF365" i="10"/>
  <c r="AH56" i="26"/>
  <c r="J56" i="12"/>
  <c r="Y362" i="10"/>
  <c r="Z362" i="10"/>
  <c r="BM56" i="26"/>
  <c r="AJ355" i="10"/>
  <c r="AB363" i="10"/>
  <c r="I364" i="10"/>
  <c r="AA363" i="10"/>
  <c r="Y363" i="10"/>
  <c r="M363" i="10"/>
  <c r="BH479" i="10"/>
  <c r="T480" i="10"/>
  <c r="Z363" i="10"/>
  <c r="BF56" i="26"/>
  <c r="AK56" i="12"/>
  <c r="AV56" i="26"/>
  <c r="Q56" i="12"/>
  <c r="CK56" i="26"/>
  <c r="BO56" i="26"/>
  <c r="V56" i="12"/>
  <c r="E355" i="38"/>
  <c r="AM56" i="26"/>
  <c r="M56" i="12"/>
  <c r="BB56" i="26"/>
  <c r="AH358" i="10"/>
  <c r="T481" i="10"/>
  <c r="BH480" i="10"/>
  <c r="AH479" i="10"/>
  <c r="B367" i="10"/>
  <c r="C366" i="10"/>
  <c r="BF366" i="10"/>
  <c r="AB364" i="10"/>
  <c r="I365" i="10"/>
  <c r="AA364" i="10"/>
  <c r="M364" i="10"/>
  <c r="AD357" i="10"/>
  <c r="AF357" i="10"/>
  <c r="AF356" i="10"/>
  <c r="D355" i="38"/>
  <c r="C355" i="38"/>
  <c r="Y364" i="10"/>
  <c r="Z364" i="10"/>
  <c r="BH481" i="10"/>
  <c r="T482" i="10"/>
  <c r="AJ358" i="10"/>
  <c r="BG56" i="26"/>
  <c r="AH359" i="10"/>
  <c r="AB365" i="10"/>
  <c r="M365" i="10"/>
  <c r="I366" i="10"/>
  <c r="AA365" i="10"/>
  <c r="Y365" i="10"/>
  <c r="B368" i="10"/>
  <c r="BF367" i="10"/>
  <c r="C367" i="10"/>
  <c r="AI480" i="10"/>
  <c r="AJ480" i="10"/>
  <c r="C473" i="38"/>
  <c r="BS56" i="26"/>
  <c r="BU56" i="26"/>
  <c r="BH56" i="12"/>
  <c r="AJ359" i="10"/>
  <c r="BH482" i="10"/>
  <c r="T483" i="10"/>
  <c r="AA366" i="10"/>
  <c r="M366" i="10"/>
  <c r="I367" i="10"/>
  <c r="AB366" i="10"/>
  <c r="BI56" i="26"/>
  <c r="AN56" i="12"/>
  <c r="C357" i="38"/>
  <c r="D357" i="38"/>
  <c r="E357" i="38"/>
  <c r="C368" i="10"/>
  <c r="BF368" i="10"/>
  <c r="B369" i="10"/>
  <c r="Z365" i="10"/>
  <c r="T484" i="10"/>
  <c r="BH483" i="10"/>
  <c r="AB367" i="10"/>
  <c r="I368" i="10"/>
  <c r="AA367" i="10"/>
  <c r="Y367" i="10"/>
  <c r="M367" i="10"/>
  <c r="BF369" i="10"/>
  <c r="B370" i="10"/>
  <c r="C369" i="10"/>
  <c r="Y366" i="10"/>
  <c r="Z366" i="10"/>
  <c r="Z367" i="10"/>
  <c r="T485" i="10"/>
  <c r="BH484" i="10"/>
  <c r="C370" i="10"/>
  <c r="B371" i="10"/>
  <c r="BF370" i="10"/>
  <c r="M368" i="10"/>
  <c r="O362" i="10"/>
  <c r="I369" i="10"/>
  <c r="AB368" i="10"/>
  <c r="AE367" i="10"/>
  <c r="AA368" i="10"/>
  <c r="AN57" i="26"/>
  <c r="B57" i="12"/>
  <c r="AE365" i="10"/>
  <c r="AH364" i="10"/>
  <c r="Q362" i="10"/>
  <c r="AD57" i="26"/>
  <c r="O363" i="10"/>
  <c r="Y368" i="10"/>
  <c r="Z368" i="10"/>
  <c r="AD362" i="10"/>
  <c r="AE368" i="10"/>
  <c r="AX57" i="26"/>
  <c r="AW57" i="26"/>
  <c r="C371" i="10"/>
  <c r="B372" i="10"/>
  <c r="BF371" i="10"/>
  <c r="T486" i="10"/>
  <c r="BH485" i="10"/>
  <c r="AF365" i="10"/>
  <c r="AB369" i="10"/>
  <c r="AA369" i="10"/>
  <c r="M369" i="10"/>
  <c r="I370" i="10"/>
  <c r="M370" i="10"/>
  <c r="AB370" i="10"/>
  <c r="I371" i="10"/>
  <c r="AA370" i="10"/>
  <c r="Y370" i="10"/>
  <c r="AH57" i="26"/>
  <c r="J57" i="12"/>
  <c r="C372" i="10"/>
  <c r="BF372" i="10"/>
  <c r="B373" i="10"/>
  <c r="AD363" i="10"/>
  <c r="AF362" i="10"/>
  <c r="AT57" i="26"/>
  <c r="Y369" i="10"/>
  <c r="Z369" i="10"/>
  <c r="BD57" i="26"/>
  <c r="AJ364" i="10"/>
  <c r="T487" i="10"/>
  <c r="AH486" i="10"/>
  <c r="BH486" i="10"/>
  <c r="Q363" i="10"/>
  <c r="AI57" i="26"/>
  <c r="AH362" i="10"/>
  <c r="Z370" i="10"/>
  <c r="AI487" i="10"/>
  <c r="AJ487" i="10"/>
  <c r="C480" i="38"/>
  <c r="M371" i="10"/>
  <c r="AB371" i="10"/>
  <c r="I372" i="10"/>
  <c r="AA371" i="10"/>
  <c r="Y371" i="10"/>
  <c r="BF373" i="10"/>
  <c r="B374" i="10"/>
  <c r="C373" i="10"/>
  <c r="T488" i="10"/>
  <c r="BH487" i="10"/>
  <c r="AD364" i="10"/>
  <c r="AF364" i="10"/>
  <c r="AF363" i="10"/>
  <c r="BM57" i="26"/>
  <c r="AJ362" i="10"/>
  <c r="E362" i="38"/>
  <c r="BB57" i="26"/>
  <c r="AH365" i="10"/>
  <c r="AM57" i="26"/>
  <c r="M57" i="12"/>
  <c r="BF57" i="26"/>
  <c r="AK57" i="12"/>
  <c r="AV57" i="26"/>
  <c r="Q57" i="12"/>
  <c r="CK57" i="26"/>
  <c r="Z371" i="10"/>
  <c r="BO57" i="26"/>
  <c r="V57" i="12"/>
  <c r="BG57" i="26"/>
  <c r="AJ365" i="10"/>
  <c r="AH366" i="10"/>
  <c r="T489" i="10"/>
  <c r="BH488" i="10"/>
  <c r="D362" i="38"/>
  <c r="C362" i="38"/>
  <c r="BF374" i="10"/>
  <c r="C374" i="10"/>
  <c r="B375" i="10"/>
  <c r="AB372" i="10"/>
  <c r="M372" i="10"/>
  <c r="I373" i="10"/>
  <c r="AA372" i="10"/>
  <c r="BI57" i="26"/>
  <c r="AN57" i="12"/>
  <c r="C364" i="38"/>
  <c r="D364" i="38"/>
  <c r="E364" i="38"/>
  <c r="T490" i="10"/>
  <c r="BH489" i="10"/>
  <c r="Y372" i="10"/>
  <c r="Z372" i="10"/>
  <c r="B376" i="10"/>
  <c r="BF375" i="10"/>
  <c r="C375" i="10"/>
  <c r="BS57" i="26"/>
  <c r="BU57" i="26"/>
  <c r="BH57" i="12"/>
  <c r="AJ366" i="10"/>
  <c r="I374" i="10"/>
  <c r="AB373" i="10"/>
  <c r="AA373" i="10"/>
  <c r="Y373" i="10"/>
  <c r="M373" i="10"/>
  <c r="B377" i="10"/>
  <c r="BF376" i="10"/>
  <c r="C376" i="10"/>
  <c r="T491" i="10"/>
  <c r="BH490" i="10"/>
  <c r="Z373" i="10"/>
  <c r="AB374" i="10"/>
  <c r="I375" i="10"/>
  <c r="AA374" i="10"/>
  <c r="M374" i="10"/>
  <c r="BH491" i="10"/>
  <c r="T492" i="10"/>
  <c r="Y374" i="10"/>
  <c r="Z374" i="10"/>
  <c r="AA375" i="10"/>
  <c r="AD369" i="10"/>
  <c r="I376" i="10"/>
  <c r="AB375" i="10"/>
  <c r="AE374" i="10"/>
  <c r="Y375" i="10"/>
  <c r="M375" i="10"/>
  <c r="O369" i="10"/>
  <c r="AN58" i="26"/>
  <c r="B58" i="12"/>
  <c r="AE372" i="10"/>
  <c r="BF377" i="10"/>
  <c r="B378" i="10"/>
  <c r="C377" i="10"/>
  <c r="Z375" i="10"/>
  <c r="AF372" i="10"/>
  <c r="BF378" i="10"/>
  <c r="B379" i="10"/>
  <c r="C378" i="10"/>
  <c r="AD370" i="10"/>
  <c r="AT58" i="26"/>
  <c r="AF369" i="10"/>
  <c r="BH492" i="10"/>
  <c r="T493" i="10"/>
  <c r="AE375" i="10"/>
  <c r="AX58" i="26"/>
  <c r="AW58" i="26"/>
  <c r="I377" i="10"/>
  <c r="AA376" i="10"/>
  <c r="M376" i="10"/>
  <c r="AB376" i="10"/>
  <c r="AH371" i="10"/>
  <c r="AH369" i="10"/>
  <c r="AD58" i="26"/>
  <c r="Q369" i="10"/>
  <c r="O370" i="10"/>
  <c r="AH58" i="26"/>
  <c r="J58" i="12"/>
  <c r="AV58" i="26"/>
  <c r="Q58" i="12"/>
  <c r="CK58" i="26"/>
  <c r="AJ369" i="10"/>
  <c r="BM58" i="26"/>
  <c r="Y376" i="10"/>
  <c r="Z376" i="10"/>
  <c r="BH493" i="10"/>
  <c r="T494" i="10"/>
  <c r="AD371" i="10"/>
  <c r="AF371" i="10"/>
  <c r="AF370" i="10"/>
  <c r="AI58" i="26"/>
  <c r="Q370" i="10"/>
  <c r="BD58" i="26"/>
  <c r="AJ371" i="10"/>
  <c r="I378" i="10"/>
  <c r="AA377" i="10"/>
  <c r="Y377" i="10"/>
  <c r="M377" i="10"/>
  <c r="AB377" i="10"/>
  <c r="B380" i="10"/>
  <c r="BF379" i="10"/>
  <c r="C379" i="10"/>
  <c r="Z377" i="10"/>
  <c r="I379" i="10"/>
  <c r="AA378" i="10"/>
  <c r="Y378" i="10"/>
  <c r="AB378" i="10"/>
  <c r="M378" i="10"/>
  <c r="E369" i="38"/>
  <c r="AM58" i="26"/>
  <c r="M58" i="12"/>
  <c r="BB58" i="26"/>
  <c r="AH372" i="10"/>
  <c r="T495" i="10"/>
  <c r="BH494" i="10"/>
  <c r="AH493" i="10"/>
  <c r="BO58" i="26"/>
  <c r="V58" i="12"/>
  <c r="Z378" i="10"/>
  <c r="BF58" i="26"/>
  <c r="AK58" i="12"/>
  <c r="C380" i="10"/>
  <c r="B381" i="10"/>
  <c r="BF380" i="10"/>
  <c r="BG58" i="26"/>
  <c r="AJ372" i="10"/>
  <c r="AH373" i="10"/>
  <c r="B382" i="10"/>
  <c r="BF381" i="10"/>
  <c r="C381" i="10"/>
  <c r="AI494" i="10"/>
  <c r="AJ494" i="10"/>
  <c r="C487" i="38"/>
  <c r="D369" i="38"/>
  <c r="C369" i="38"/>
  <c r="I380" i="10"/>
  <c r="AA379" i="10"/>
  <c r="M379" i="10"/>
  <c r="AB379" i="10"/>
  <c r="BH495" i="10"/>
  <c r="T496" i="10"/>
  <c r="C371" i="38"/>
  <c r="D371" i="38"/>
  <c r="E371" i="38"/>
  <c r="Y379" i="10"/>
  <c r="Z379" i="10"/>
  <c r="B383" i="10"/>
  <c r="C382" i="10"/>
  <c r="BF382" i="10"/>
  <c r="BI58" i="26"/>
  <c r="AN58" i="12"/>
  <c r="BS58" i="26"/>
  <c r="BU58" i="26"/>
  <c r="BH58" i="12"/>
  <c r="AJ373" i="10"/>
  <c r="BH496" i="10"/>
  <c r="T497" i="10"/>
  <c r="AB380" i="10"/>
  <c r="I381" i="10"/>
  <c r="AA380" i="10"/>
  <c r="Y380" i="10"/>
  <c r="M380" i="10"/>
  <c r="Z380" i="10"/>
  <c r="T498" i="10"/>
  <c r="BH497" i="10"/>
  <c r="B384" i="10"/>
  <c r="C383" i="10"/>
  <c r="BF383" i="10"/>
  <c r="I382" i="10"/>
  <c r="AA381" i="10"/>
  <c r="Y381" i="10"/>
  <c r="M381" i="10"/>
  <c r="AB381" i="10"/>
  <c r="Z381" i="10"/>
  <c r="B385" i="10"/>
  <c r="BF384" i="10"/>
  <c r="C384" i="10"/>
  <c r="T499" i="10"/>
  <c r="BH498" i="10"/>
  <c r="I383" i="10"/>
  <c r="AA382" i="10"/>
  <c r="M382" i="10"/>
  <c r="O376" i="10"/>
  <c r="AB382" i="10"/>
  <c r="AE381" i="10"/>
  <c r="AN59" i="26"/>
  <c r="B59" i="12"/>
  <c r="AE379" i="10"/>
  <c r="AF379" i="10"/>
  <c r="Y382" i="10"/>
  <c r="Z382" i="10"/>
  <c r="AD376" i="10"/>
  <c r="AA383" i="10"/>
  <c r="I384" i="10"/>
  <c r="AB383" i="10"/>
  <c r="M383" i="10"/>
  <c r="AW59" i="26"/>
  <c r="B386" i="10"/>
  <c r="BF385" i="10"/>
  <c r="C385" i="10"/>
  <c r="AH378" i="10"/>
  <c r="Q376" i="10"/>
  <c r="AD59" i="26"/>
  <c r="O377" i="10"/>
  <c r="T500" i="10"/>
  <c r="BH499" i="10"/>
  <c r="AD377" i="10"/>
  <c r="AF376" i="10"/>
  <c r="AT59" i="26"/>
  <c r="T501" i="10"/>
  <c r="AH500" i="10"/>
  <c r="BH500" i="10"/>
  <c r="AJ378" i="10"/>
  <c r="BD59" i="26"/>
  <c r="BF386" i="10"/>
  <c r="B387" i="10"/>
  <c r="C386" i="10"/>
  <c r="Q377" i="10"/>
  <c r="AI59" i="26"/>
  <c r="I385" i="10"/>
  <c r="AA384" i="10"/>
  <c r="Y384" i="10"/>
  <c r="AB384" i="10"/>
  <c r="M384" i="10"/>
  <c r="AH376" i="10"/>
  <c r="AH59" i="26"/>
  <c r="J59" i="12"/>
  <c r="AE382" i="10"/>
  <c r="AX59" i="26"/>
  <c r="Y383" i="10"/>
  <c r="Z383" i="10"/>
  <c r="Z384" i="10"/>
  <c r="AI501" i="10"/>
  <c r="AJ501" i="10"/>
  <c r="C494" i="38"/>
  <c r="AV59" i="26"/>
  <c r="Q59" i="12"/>
  <c r="CK59" i="26"/>
  <c r="I386" i="10"/>
  <c r="AA385" i="10"/>
  <c r="AB385" i="10"/>
  <c r="M385" i="10"/>
  <c r="T502" i="10"/>
  <c r="BH501" i="10"/>
  <c r="BF59" i="26"/>
  <c r="AK59" i="12"/>
  <c r="AJ376" i="10"/>
  <c r="BM59" i="26"/>
  <c r="E376" i="38"/>
  <c r="AM59" i="26"/>
  <c r="M59" i="12"/>
  <c r="BB59" i="26"/>
  <c r="AH379" i="10"/>
  <c r="BF387" i="10"/>
  <c r="C387" i="10"/>
  <c r="B388" i="10"/>
  <c r="AD378" i="10"/>
  <c r="AF378" i="10"/>
  <c r="AF377" i="10"/>
  <c r="BF388" i="10"/>
  <c r="C388" i="10"/>
  <c r="B389" i="10"/>
  <c r="I387" i="10"/>
  <c r="AA386" i="10"/>
  <c r="Y386" i="10"/>
  <c r="AB386" i="10"/>
  <c r="M386" i="10"/>
  <c r="BO59" i="26"/>
  <c r="V59" i="12"/>
  <c r="D376" i="38"/>
  <c r="C376" i="38"/>
  <c r="AJ379" i="10"/>
  <c r="BG59" i="26"/>
  <c r="AH380" i="10"/>
  <c r="T503" i="10"/>
  <c r="BH502" i="10"/>
  <c r="Y385" i="10"/>
  <c r="Z385" i="10"/>
  <c r="BI59" i="26"/>
  <c r="AN59" i="12"/>
  <c r="B390" i="10"/>
  <c r="C389" i="10"/>
  <c r="BF389" i="10"/>
  <c r="T504" i="10"/>
  <c r="BH503" i="10"/>
  <c r="Z386" i="10"/>
  <c r="AJ380" i="10"/>
  <c r="BS59" i="26"/>
  <c r="BU59" i="26"/>
  <c r="BH59" i="12"/>
  <c r="C378" i="38"/>
  <c r="D378" i="38"/>
  <c r="E378" i="38"/>
  <c r="AB387" i="10"/>
  <c r="I388" i="10"/>
  <c r="M387" i="10"/>
  <c r="AA387" i="10"/>
  <c r="BF390" i="10"/>
  <c r="B391" i="10"/>
  <c r="C390" i="10"/>
  <c r="I389" i="10"/>
  <c r="AA388" i="10"/>
  <c r="Y388" i="10"/>
  <c r="M388" i="10"/>
  <c r="AB388" i="10"/>
  <c r="BH504" i="10"/>
  <c r="T505" i="10"/>
  <c r="Y387" i="10"/>
  <c r="Z387" i="10"/>
  <c r="Z388" i="10"/>
  <c r="AA389" i="10"/>
  <c r="M389" i="10"/>
  <c r="O383" i="10"/>
  <c r="I390" i="10"/>
  <c r="AB389" i="10"/>
  <c r="AE388" i="10"/>
  <c r="AN60" i="26"/>
  <c r="B60" i="12"/>
  <c r="AE386" i="10"/>
  <c r="BF391" i="10"/>
  <c r="C391" i="10"/>
  <c r="B392" i="10"/>
  <c r="BH505" i="10"/>
  <c r="T506" i="10"/>
  <c r="BH506" i="10"/>
  <c r="T507" i="10"/>
  <c r="I391" i="10"/>
  <c r="AB390" i="10"/>
  <c r="AA390" i="10"/>
  <c r="M390" i="10"/>
  <c r="AF386" i="10"/>
  <c r="AH385" i="10"/>
  <c r="Q383" i="10"/>
  <c r="AD60" i="26"/>
  <c r="O384" i="10"/>
  <c r="BF392" i="10"/>
  <c r="C392" i="10"/>
  <c r="B393" i="10"/>
  <c r="Y389" i="10"/>
  <c r="Z389" i="10"/>
  <c r="AD383" i="10"/>
  <c r="AH383" i="10"/>
  <c r="AW60" i="26"/>
  <c r="AJ383" i="10"/>
  <c r="BM60" i="26"/>
  <c r="AE389" i="10"/>
  <c r="AX60" i="26"/>
  <c r="I392" i="10"/>
  <c r="AA391" i="10"/>
  <c r="Y391" i="10"/>
  <c r="M391" i="10"/>
  <c r="AB391" i="10"/>
  <c r="Q384" i="10"/>
  <c r="AI60" i="26"/>
  <c r="AJ385" i="10"/>
  <c r="BD60" i="26"/>
  <c r="Y390" i="10"/>
  <c r="Z390" i="10"/>
  <c r="BH507" i="10"/>
  <c r="T508" i="10"/>
  <c r="AD384" i="10"/>
  <c r="AF383" i="10"/>
  <c r="AT60" i="26"/>
  <c r="B394" i="10"/>
  <c r="C393" i="10"/>
  <c r="BF393" i="10"/>
  <c r="AH60" i="26"/>
  <c r="J60" i="12"/>
  <c r="Z391" i="10"/>
  <c r="BO60" i="26"/>
  <c r="V60" i="12"/>
  <c r="E383" i="38"/>
  <c r="AM60" i="26"/>
  <c r="M60" i="12"/>
  <c r="BB60" i="26"/>
  <c r="AH386" i="10"/>
  <c r="I393" i="10"/>
  <c r="AA392" i="10"/>
  <c r="M392" i="10"/>
  <c r="AB392" i="10"/>
  <c r="AD385" i="10"/>
  <c r="AF385" i="10"/>
  <c r="AF384" i="10"/>
  <c r="BF394" i="10"/>
  <c r="B395" i="10"/>
  <c r="C394" i="10"/>
  <c r="T509" i="10"/>
  <c r="BH508" i="10"/>
  <c r="AH507" i="10"/>
  <c r="BF60" i="26"/>
  <c r="AK60" i="12"/>
  <c r="AV60" i="26"/>
  <c r="Q60" i="12"/>
  <c r="CK60" i="26"/>
  <c r="AJ386" i="10"/>
  <c r="BG60" i="26"/>
  <c r="AH387" i="10"/>
  <c r="AB393" i="10"/>
  <c r="M393" i="10"/>
  <c r="I394" i="10"/>
  <c r="AA393" i="10"/>
  <c r="Y393" i="10"/>
  <c r="AI508" i="10"/>
  <c r="AJ508" i="10"/>
  <c r="C501" i="38"/>
  <c r="B396" i="10"/>
  <c r="BF395" i="10"/>
  <c r="C395" i="10"/>
  <c r="BH509" i="10"/>
  <c r="T510" i="10"/>
  <c r="Y392" i="10"/>
  <c r="Z392" i="10"/>
  <c r="D383" i="38"/>
  <c r="C383" i="38"/>
  <c r="C385" i="38"/>
  <c r="D385" i="38"/>
  <c r="E385" i="38"/>
  <c r="AJ387" i="10"/>
  <c r="BS60" i="26"/>
  <c r="BU60" i="26"/>
  <c r="BH60" i="12"/>
  <c r="BI60" i="26"/>
  <c r="AN60" i="12"/>
  <c r="BH510" i="10"/>
  <c r="T511" i="10"/>
  <c r="BF396" i="10"/>
  <c r="B397" i="10"/>
  <c r="C396" i="10"/>
  <c r="I395" i="10"/>
  <c r="AB394" i="10"/>
  <c r="AA394" i="10"/>
  <c r="M394" i="10"/>
  <c r="Z393" i="10"/>
  <c r="Y394" i="10"/>
  <c r="Z394" i="10"/>
  <c r="B398" i="10"/>
  <c r="C397" i="10"/>
  <c r="BF397" i="10"/>
  <c r="AB395" i="10"/>
  <c r="I396" i="10"/>
  <c r="AA395" i="10"/>
  <c r="Y395" i="10"/>
  <c r="M395" i="10"/>
  <c r="T512" i="10"/>
  <c r="BH511" i="10"/>
  <c r="Z395" i="10"/>
  <c r="I397" i="10"/>
  <c r="AB396" i="10"/>
  <c r="AE395" i="10"/>
  <c r="AA396" i="10"/>
  <c r="Y396" i="10"/>
  <c r="M396" i="10"/>
  <c r="O390" i="10"/>
  <c r="AN61" i="26"/>
  <c r="B61" i="12"/>
  <c r="AE393" i="10"/>
  <c r="B399" i="10"/>
  <c r="BF398" i="10"/>
  <c r="C398" i="10"/>
  <c r="T513" i="10"/>
  <c r="BH512" i="10"/>
  <c r="Z396" i="10"/>
  <c r="T514" i="10"/>
  <c r="BH513" i="10"/>
  <c r="AF393" i="10"/>
  <c r="AA397" i="10"/>
  <c r="M397" i="10"/>
  <c r="I398" i="10"/>
  <c r="AB397" i="10"/>
  <c r="AW61" i="26"/>
  <c r="B400" i="10"/>
  <c r="BF399" i="10"/>
  <c r="C399" i="10"/>
  <c r="AH392" i="10"/>
  <c r="Q390" i="10"/>
  <c r="AD61" i="26"/>
  <c r="O391" i="10"/>
  <c r="AD390" i="10"/>
  <c r="AE396" i="10"/>
  <c r="AX61" i="26"/>
  <c r="AH61" i="26"/>
  <c r="J61" i="12"/>
  <c r="Y397" i="10"/>
  <c r="Z397" i="10"/>
  <c r="T515" i="10"/>
  <c r="BH514" i="10"/>
  <c r="Q391" i="10"/>
  <c r="AI61" i="26"/>
  <c r="AJ392" i="10"/>
  <c r="BD61" i="26"/>
  <c r="AD391" i="10"/>
  <c r="AF390" i="10"/>
  <c r="AT61" i="26"/>
  <c r="AH390" i="10"/>
  <c r="BF400" i="10"/>
  <c r="B401" i="10"/>
  <c r="C400" i="10"/>
  <c r="AB398" i="10"/>
  <c r="I399" i="10"/>
  <c r="AA398" i="10"/>
  <c r="Y398" i="10"/>
  <c r="M398" i="10"/>
  <c r="Z398" i="10"/>
  <c r="AV61" i="26"/>
  <c r="Q61" i="12"/>
  <c r="CK61" i="26"/>
  <c r="AB399" i="10"/>
  <c r="I400" i="10"/>
  <c r="AA399" i="10"/>
  <c r="Y399" i="10"/>
  <c r="Z399" i="10"/>
  <c r="M399" i="10"/>
  <c r="AD392" i="10"/>
  <c r="AF392" i="10"/>
  <c r="AF391" i="10"/>
  <c r="E390" i="38"/>
  <c r="BB61" i="26"/>
  <c r="AH393" i="10"/>
  <c r="AM61" i="26"/>
  <c r="M61" i="12"/>
  <c r="T516" i="10"/>
  <c r="BH515" i="10"/>
  <c r="AH514" i="10"/>
  <c r="BF61" i="26"/>
  <c r="AK61" i="12"/>
  <c r="B402" i="10"/>
  <c r="C401" i="10"/>
  <c r="BF401" i="10"/>
  <c r="AJ390" i="10"/>
  <c r="BM61" i="26"/>
  <c r="T517" i="10"/>
  <c r="BH516" i="10"/>
  <c r="I401" i="10"/>
  <c r="AA400" i="10"/>
  <c r="AB400" i="10"/>
  <c r="M400" i="10"/>
  <c r="BO61" i="26"/>
  <c r="V61" i="12"/>
  <c r="BF402" i="10"/>
  <c r="C402" i="10"/>
  <c r="B403" i="10"/>
  <c r="AI515" i="10"/>
  <c r="AJ515" i="10"/>
  <c r="C508" i="38"/>
  <c r="AJ393" i="10"/>
  <c r="BG61" i="26"/>
  <c r="AH394" i="10"/>
  <c r="D390" i="38"/>
  <c r="C390" i="38"/>
  <c r="BI61" i="26"/>
  <c r="AN61" i="12"/>
  <c r="B404" i="10"/>
  <c r="C403" i="10"/>
  <c r="BF403" i="10"/>
  <c r="C392" i="38"/>
  <c r="D392" i="38"/>
  <c r="E392" i="38"/>
  <c r="AB401" i="10"/>
  <c r="AA401" i="10"/>
  <c r="Y401" i="10"/>
  <c r="M401" i="10"/>
  <c r="I402" i="10"/>
  <c r="AJ394" i="10"/>
  <c r="BS61" i="26"/>
  <c r="BU61" i="26"/>
  <c r="BH61" i="12"/>
  <c r="Y400" i="10"/>
  <c r="Z400" i="10"/>
  <c r="T518" i="10"/>
  <c r="BH517" i="10"/>
  <c r="Z401" i="10"/>
  <c r="T519" i="10"/>
  <c r="BH518" i="10"/>
  <c r="BF404" i="10"/>
  <c r="B405" i="10"/>
  <c r="C404" i="10"/>
  <c r="I403" i="10"/>
  <c r="AA402" i="10"/>
  <c r="M402" i="10"/>
  <c r="AB402" i="10"/>
  <c r="Y402" i="10"/>
  <c r="Z402" i="10"/>
  <c r="BF405" i="10"/>
  <c r="C405" i="10"/>
  <c r="B406" i="10"/>
  <c r="AA403" i="10"/>
  <c r="Y403" i="10"/>
  <c r="M403" i="10"/>
  <c r="O397" i="10"/>
  <c r="I404" i="10"/>
  <c r="AB403" i="10"/>
  <c r="AE402" i="10"/>
  <c r="AN62" i="26"/>
  <c r="B62" i="12"/>
  <c r="AE400" i="10"/>
  <c r="BH519" i="10"/>
  <c r="T520" i="10"/>
  <c r="I405" i="10"/>
  <c r="AB404" i="10"/>
  <c r="AA404" i="10"/>
  <c r="M404" i="10"/>
  <c r="AH399" i="10"/>
  <c r="Q397" i="10"/>
  <c r="AD62" i="26"/>
  <c r="O398" i="10"/>
  <c r="AD397" i="10"/>
  <c r="AE403" i="10"/>
  <c r="AX62" i="26"/>
  <c r="AF400" i="10"/>
  <c r="BH520" i="10"/>
  <c r="T521" i="10"/>
  <c r="AW62" i="26"/>
  <c r="BF406" i="10"/>
  <c r="C406" i="10"/>
  <c r="B407" i="10"/>
  <c r="Z403" i="10"/>
  <c r="AH62" i="26"/>
  <c r="J62" i="12"/>
  <c r="Y404" i="10"/>
  <c r="Z404" i="10"/>
  <c r="B408" i="10"/>
  <c r="C407" i="10"/>
  <c r="BF407" i="10"/>
  <c r="BH521" i="10"/>
  <c r="T522" i="10"/>
  <c r="AD398" i="10"/>
  <c r="AF397" i="10"/>
  <c r="AT62" i="26"/>
  <c r="AJ399" i="10"/>
  <c r="BD62" i="26"/>
  <c r="Q398" i="10"/>
  <c r="AI62" i="26"/>
  <c r="AH397" i="10"/>
  <c r="I406" i="10"/>
  <c r="AA405" i="10"/>
  <c r="Y405" i="10"/>
  <c r="M405" i="10"/>
  <c r="AB405" i="10"/>
  <c r="BF62" i="26"/>
  <c r="AK62" i="12"/>
  <c r="AD399" i="10"/>
  <c r="AF399" i="10"/>
  <c r="AF398" i="10"/>
  <c r="I407" i="10"/>
  <c r="AA406" i="10"/>
  <c r="Y406" i="10"/>
  <c r="M406" i="10"/>
  <c r="AB406" i="10"/>
  <c r="T523" i="10"/>
  <c r="BH522" i="10"/>
  <c r="BF408" i="10"/>
  <c r="B409" i="10"/>
  <c r="C408" i="10"/>
  <c r="AJ397" i="10"/>
  <c r="BM62" i="26"/>
  <c r="Z405" i="10"/>
  <c r="AV62" i="26"/>
  <c r="Q62" i="12"/>
  <c r="CK62" i="26"/>
  <c r="E397" i="38"/>
  <c r="AM62" i="26"/>
  <c r="M62" i="12"/>
  <c r="BB62" i="26"/>
  <c r="AH400" i="10"/>
  <c r="AH521" i="10"/>
  <c r="BO62" i="26"/>
  <c r="V62" i="12"/>
  <c r="D397" i="38"/>
  <c r="C397" i="38"/>
  <c r="Z406" i="10"/>
  <c r="BH523" i="10"/>
  <c r="T524" i="10"/>
  <c r="AB407" i="10"/>
  <c r="M407" i="10"/>
  <c r="I408" i="10"/>
  <c r="AA407" i="10"/>
  <c r="Y407" i="10"/>
  <c r="AI522" i="10"/>
  <c r="AJ522" i="10"/>
  <c r="C515" i="38"/>
  <c r="B410" i="10"/>
  <c r="BF409" i="10"/>
  <c r="C409" i="10"/>
  <c r="AJ400" i="10"/>
  <c r="BG62" i="26"/>
  <c r="AH401" i="10"/>
  <c r="Z407" i="10"/>
  <c r="AJ401" i="10"/>
  <c r="BS62" i="26"/>
  <c r="BU62" i="26"/>
  <c r="BH62" i="12"/>
  <c r="BI62" i="26"/>
  <c r="AN62" i="12"/>
  <c r="BF410" i="10"/>
  <c r="B411" i="10"/>
  <c r="C410" i="10"/>
  <c r="I409" i="10"/>
  <c r="AB408" i="10"/>
  <c r="AA408" i="10"/>
  <c r="M408" i="10"/>
  <c r="BH524" i="10"/>
  <c r="T525" i="10"/>
  <c r="C399" i="38"/>
  <c r="D399" i="38"/>
  <c r="E399" i="38"/>
  <c r="T526" i="10"/>
  <c r="BH525" i="10"/>
  <c r="B412" i="10"/>
  <c r="C411" i="10"/>
  <c r="BF411" i="10"/>
  <c r="AB409" i="10"/>
  <c r="I410" i="10"/>
  <c r="AA409" i="10"/>
  <c r="Y409" i="10"/>
  <c r="M409" i="10"/>
  <c r="Y408" i="10"/>
  <c r="Z408" i="10"/>
  <c r="Z409" i="10"/>
  <c r="I411" i="10"/>
  <c r="AB410" i="10"/>
  <c r="AE409" i="10"/>
  <c r="AA410" i="10"/>
  <c r="M410" i="10"/>
  <c r="O404" i="10"/>
  <c r="AN63" i="26"/>
  <c r="B63" i="12"/>
  <c r="AE407" i="10"/>
  <c r="B413" i="10"/>
  <c r="BF412" i="10"/>
  <c r="C412" i="10"/>
  <c r="T527" i="10"/>
  <c r="BH526" i="10"/>
  <c r="B414" i="10"/>
  <c r="BF413" i="10"/>
  <c r="C413" i="10"/>
  <c r="Y410" i="10"/>
  <c r="Z410" i="10"/>
  <c r="AD404" i="10"/>
  <c r="AE410" i="10"/>
  <c r="AX63" i="26"/>
  <c r="T528" i="10"/>
  <c r="BH527" i="10"/>
  <c r="AF407" i="10"/>
  <c r="AW63" i="26"/>
  <c r="AA411" i="10"/>
  <c r="M411" i="10"/>
  <c r="I412" i="10"/>
  <c r="AB411" i="10"/>
  <c r="AH406" i="10"/>
  <c r="Q404" i="10"/>
  <c r="AD63" i="26"/>
  <c r="O405" i="10"/>
  <c r="AH404" i="10"/>
  <c r="AJ404" i="10"/>
  <c r="AB412" i="10"/>
  <c r="I413" i="10"/>
  <c r="AA412" i="10"/>
  <c r="Y412" i="10"/>
  <c r="M412" i="10"/>
  <c r="BM63" i="26"/>
  <c r="T529" i="10"/>
  <c r="BH528" i="10"/>
  <c r="AH63" i="26"/>
  <c r="J63" i="12"/>
  <c r="Q405" i="10"/>
  <c r="AI63" i="26"/>
  <c r="AJ406" i="10"/>
  <c r="BD63" i="26"/>
  <c r="Y411" i="10"/>
  <c r="Z411" i="10"/>
  <c r="Z412" i="10"/>
  <c r="AD405" i="10"/>
  <c r="AF404" i="10"/>
  <c r="AT63" i="26"/>
  <c r="BF414" i="10"/>
  <c r="B415" i="10"/>
  <c r="C414" i="10"/>
  <c r="BO63" i="26"/>
  <c r="V63" i="12"/>
  <c r="AB413" i="10"/>
  <c r="I414" i="10"/>
  <c r="AA413" i="10"/>
  <c r="M413" i="10"/>
  <c r="BF63" i="26"/>
  <c r="AK63" i="12"/>
  <c r="T530" i="10"/>
  <c r="BH529" i="10"/>
  <c r="AH528" i="10"/>
  <c r="E404" i="38"/>
  <c r="AM63" i="26"/>
  <c r="M63" i="12"/>
  <c r="BB63" i="26"/>
  <c r="AH407" i="10"/>
  <c r="AV63" i="26"/>
  <c r="Q63" i="12"/>
  <c r="CK63" i="26"/>
  <c r="B416" i="10"/>
  <c r="C415" i="10"/>
  <c r="BF415" i="10"/>
  <c r="AD406" i="10"/>
  <c r="AF406" i="10"/>
  <c r="AF405" i="10"/>
  <c r="AI529" i="10"/>
  <c r="AJ529" i="10"/>
  <c r="C522" i="38"/>
  <c r="D404" i="38"/>
  <c r="C404" i="38"/>
  <c r="I415" i="10"/>
  <c r="AA414" i="10"/>
  <c r="Y414" i="10"/>
  <c r="AB414" i="10"/>
  <c r="M414" i="10"/>
  <c r="BF416" i="10"/>
  <c r="C416" i="10"/>
  <c r="B417" i="10"/>
  <c r="AJ407" i="10"/>
  <c r="BG63" i="26"/>
  <c r="AH408" i="10"/>
  <c r="T531" i="10"/>
  <c r="BH530" i="10"/>
  <c r="Y413" i="10"/>
  <c r="Z413" i="10"/>
  <c r="Z414" i="10"/>
  <c r="BI63" i="26"/>
  <c r="AN63" i="12"/>
  <c r="AB415" i="10"/>
  <c r="AA415" i="10"/>
  <c r="Y415" i="10"/>
  <c r="Z415" i="10"/>
  <c r="M415" i="10"/>
  <c r="I416" i="10"/>
  <c r="AJ408" i="10"/>
  <c r="BS63" i="26"/>
  <c r="BU63" i="26"/>
  <c r="BH63" i="12"/>
  <c r="T532" i="10"/>
  <c r="BH531" i="10"/>
  <c r="B418" i="10"/>
  <c r="C417" i="10"/>
  <c r="BF417" i="10"/>
  <c r="C406" i="38"/>
  <c r="D406" i="38"/>
  <c r="E406" i="38"/>
  <c r="BF418" i="10"/>
  <c r="B419" i="10"/>
  <c r="C418" i="10"/>
  <c r="T533" i="10"/>
  <c r="BH532" i="10"/>
  <c r="I417" i="10"/>
  <c r="AA416" i="10"/>
  <c r="M416" i="10"/>
  <c r="AB416" i="10"/>
  <c r="AA417" i="10"/>
  <c r="Y417" i="10"/>
  <c r="M417" i="10"/>
  <c r="O411" i="10"/>
  <c r="I418" i="10"/>
  <c r="AB417" i="10"/>
  <c r="AE416" i="10"/>
  <c r="AN64" i="26"/>
  <c r="B64" i="12"/>
  <c r="AE414" i="10"/>
  <c r="BF419" i="10"/>
  <c r="C419" i="10"/>
  <c r="B420" i="10"/>
  <c r="Y416" i="10"/>
  <c r="Z416" i="10"/>
  <c r="AD411" i="10"/>
  <c r="BH533" i="10"/>
  <c r="T534" i="10"/>
  <c r="Z417" i="10"/>
  <c r="AF414" i="10"/>
  <c r="BH534" i="10"/>
  <c r="T535" i="10"/>
  <c r="AE417" i="10"/>
  <c r="AX64" i="26"/>
  <c r="AW64" i="26"/>
  <c r="AD412" i="10"/>
  <c r="AF411" i="10"/>
  <c r="AT64" i="26"/>
  <c r="I419" i="10"/>
  <c r="AB418" i="10"/>
  <c r="AA418" i="10"/>
  <c r="M418" i="10"/>
  <c r="AH411" i="10"/>
  <c r="AH413" i="10"/>
  <c r="Q411" i="10"/>
  <c r="AD64" i="26"/>
  <c r="O412" i="10"/>
  <c r="BF420" i="10"/>
  <c r="C420" i="10"/>
  <c r="B421" i="10"/>
  <c r="Q412" i="10"/>
  <c r="AI64" i="26"/>
  <c r="AJ413" i="10"/>
  <c r="BD64" i="26"/>
  <c r="AD413" i="10"/>
  <c r="AF413" i="10"/>
  <c r="AF412" i="10"/>
  <c r="BH535" i="10"/>
  <c r="T536" i="10"/>
  <c r="B422" i="10"/>
  <c r="C421" i="10"/>
  <c r="BF421" i="10"/>
  <c r="AJ411" i="10"/>
  <c r="BM64" i="26"/>
  <c r="I420" i="10"/>
  <c r="AA419" i="10"/>
  <c r="Y419" i="10"/>
  <c r="M419" i="10"/>
  <c r="AB419" i="10"/>
  <c r="AH64" i="26"/>
  <c r="J64" i="12"/>
  <c r="AV64" i="26"/>
  <c r="Q64" i="12"/>
  <c r="CK64" i="26"/>
  <c r="Y418" i="10"/>
  <c r="Z418" i="10"/>
  <c r="AH535" i="10"/>
  <c r="Z419" i="10"/>
  <c r="BO64" i="26"/>
  <c r="V64" i="12"/>
  <c r="BF422" i="10"/>
  <c r="B423" i="10"/>
  <c r="C422" i="10"/>
  <c r="AI536" i="10"/>
  <c r="AJ536" i="10"/>
  <c r="C529" i="38"/>
  <c r="T537" i="10"/>
  <c r="BH536" i="10"/>
  <c r="E411" i="38"/>
  <c r="AM64" i="26"/>
  <c r="M64" i="12"/>
  <c r="BB64" i="26"/>
  <c r="AH414" i="10"/>
  <c r="BF64" i="26"/>
  <c r="AK64" i="12"/>
  <c r="I421" i="10"/>
  <c r="AA420" i="10"/>
  <c r="M420" i="10"/>
  <c r="AB420" i="10"/>
  <c r="D411" i="38"/>
  <c r="C411" i="38"/>
  <c r="Y420" i="10"/>
  <c r="Z420" i="10"/>
  <c r="AJ414" i="10"/>
  <c r="BG64" i="26"/>
  <c r="AH415" i="10"/>
  <c r="BH537" i="10"/>
  <c r="T538" i="10"/>
  <c r="B424" i="10"/>
  <c r="BF423" i="10"/>
  <c r="C423" i="10"/>
  <c r="AB421" i="10"/>
  <c r="M421" i="10"/>
  <c r="I422" i="10"/>
  <c r="AA421" i="10"/>
  <c r="Y421" i="10"/>
  <c r="BI64" i="26"/>
  <c r="AN64" i="12"/>
  <c r="BH538" i="10"/>
  <c r="T539" i="10"/>
  <c r="C413" i="38"/>
  <c r="D413" i="38"/>
  <c r="E413" i="38"/>
  <c r="I423" i="10"/>
  <c r="AB422" i="10"/>
  <c r="AA422" i="10"/>
  <c r="M422" i="10"/>
  <c r="BF424" i="10"/>
  <c r="B425" i="10"/>
  <c r="C424" i="10"/>
  <c r="AJ415" i="10"/>
  <c r="BS64" i="26"/>
  <c r="BU64" i="26"/>
  <c r="BH64" i="12"/>
  <c r="Z421" i="10"/>
  <c r="Y422" i="10"/>
  <c r="Z422" i="10"/>
  <c r="B426" i="10"/>
  <c r="C425" i="10"/>
  <c r="BF425" i="10"/>
  <c r="T540" i="10"/>
  <c r="BH539" i="10"/>
  <c r="AB423" i="10"/>
  <c r="I424" i="10"/>
  <c r="AA423" i="10"/>
  <c r="Y423" i="10"/>
  <c r="M423" i="10"/>
  <c r="B427" i="10"/>
  <c r="BF426" i="10"/>
  <c r="C426" i="10"/>
  <c r="I425" i="10"/>
  <c r="AB424" i="10"/>
  <c r="AE423" i="10"/>
  <c r="AA424" i="10"/>
  <c r="M424" i="10"/>
  <c r="O418" i="10"/>
  <c r="AN65" i="26"/>
  <c r="B65" i="12"/>
  <c r="AE421" i="10"/>
  <c r="T541" i="10"/>
  <c r="BH540" i="10"/>
  <c r="Z423" i="10"/>
  <c r="AA425" i="10"/>
  <c r="M425" i="10"/>
  <c r="I426" i="10"/>
  <c r="AB425" i="10"/>
  <c r="AH420" i="10"/>
  <c r="Q418" i="10"/>
  <c r="AD65" i="26"/>
  <c r="O419" i="10"/>
  <c r="T542" i="10"/>
  <c r="BH541" i="10"/>
  <c r="Y424" i="10"/>
  <c r="Z424" i="10"/>
  <c r="AD418" i="10"/>
  <c r="AF421" i="10"/>
  <c r="AW65" i="26"/>
  <c r="B428" i="10"/>
  <c r="BF427" i="10"/>
  <c r="C427" i="10"/>
  <c r="AH65" i="26"/>
  <c r="J65" i="12"/>
  <c r="BF428" i="10"/>
  <c r="B429" i="10"/>
  <c r="C428" i="10"/>
  <c r="AB426" i="10"/>
  <c r="I427" i="10"/>
  <c r="AA426" i="10"/>
  <c r="Y426" i="10"/>
  <c r="M426" i="10"/>
  <c r="AD419" i="10"/>
  <c r="AF418" i="10"/>
  <c r="AT65" i="26"/>
  <c r="T543" i="10"/>
  <c r="BH542" i="10"/>
  <c r="AH418" i="10"/>
  <c r="AE424" i="10"/>
  <c r="AX65" i="26"/>
  <c r="Q419" i="10"/>
  <c r="AI65" i="26"/>
  <c r="AJ420" i="10"/>
  <c r="BD65" i="26"/>
  <c r="Y425" i="10"/>
  <c r="Z425" i="10"/>
  <c r="Z426" i="10"/>
  <c r="E418" i="38"/>
  <c r="BB65" i="26"/>
  <c r="AH421" i="10"/>
  <c r="AM65" i="26"/>
  <c r="M65" i="12"/>
  <c r="BF65" i="26"/>
  <c r="AK65" i="12"/>
  <c r="AD420" i="10"/>
  <c r="AF420" i="10"/>
  <c r="AF419" i="10"/>
  <c r="T544" i="10"/>
  <c r="BH543" i="10"/>
  <c r="AH542" i="10"/>
  <c r="AV65" i="26"/>
  <c r="Q65" i="12"/>
  <c r="CK65" i="26"/>
  <c r="B430" i="10"/>
  <c r="C429" i="10"/>
  <c r="BF429" i="10"/>
  <c r="AJ418" i="10"/>
  <c r="BM65" i="26"/>
  <c r="AB427" i="10"/>
  <c r="I428" i="10"/>
  <c r="AA427" i="10"/>
  <c r="M427" i="10"/>
  <c r="AI543" i="10"/>
  <c r="AJ543" i="10"/>
  <c r="C536" i="38"/>
  <c r="AJ421" i="10"/>
  <c r="BG65" i="26"/>
  <c r="AH422" i="10"/>
  <c r="D418" i="38"/>
  <c r="C418" i="38"/>
  <c r="BO65" i="26"/>
  <c r="V65" i="12"/>
  <c r="Y427" i="10"/>
  <c r="Z427" i="10"/>
  <c r="I429" i="10"/>
  <c r="AA428" i="10"/>
  <c r="Y428" i="10"/>
  <c r="AB428" i="10"/>
  <c r="M428" i="10"/>
  <c r="T545" i="10"/>
  <c r="BH544" i="10"/>
  <c r="BF430" i="10"/>
  <c r="C430" i="10"/>
  <c r="B431" i="10"/>
  <c r="Z428" i="10"/>
  <c r="B432" i="10"/>
  <c r="C431" i="10"/>
  <c r="BF431" i="10"/>
  <c r="C420" i="38"/>
  <c r="D420" i="38"/>
  <c r="E420" i="38"/>
  <c r="T546" i="10"/>
  <c r="BH545" i="10"/>
  <c r="AB429" i="10"/>
  <c r="AA429" i="10"/>
  <c r="M429" i="10"/>
  <c r="I430" i="10"/>
  <c r="AJ422" i="10"/>
  <c r="BS65" i="26"/>
  <c r="BU65" i="26"/>
  <c r="BH65" i="12"/>
  <c r="BI65" i="26"/>
  <c r="AN65" i="12"/>
  <c r="T547" i="10"/>
  <c r="BH546" i="10"/>
  <c r="Y429" i="10"/>
  <c r="Z429" i="10"/>
  <c r="BF432" i="10"/>
  <c r="B433" i="10"/>
  <c r="C432" i="10"/>
  <c r="I431" i="10"/>
  <c r="AA430" i="10"/>
  <c r="Y430" i="10"/>
  <c r="M430" i="10"/>
  <c r="AB430" i="10"/>
  <c r="Z430" i="10"/>
  <c r="BF433" i="10"/>
  <c r="C433" i="10"/>
  <c r="B434" i="10"/>
  <c r="AA431" i="10"/>
  <c r="M431" i="10"/>
  <c r="O425" i="10"/>
  <c r="I432" i="10"/>
  <c r="AB431" i="10"/>
  <c r="AE430" i="10"/>
  <c r="AN66" i="26"/>
  <c r="B66" i="12"/>
  <c r="AE428" i="10"/>
  <c r="BH547" i="10"/>
  <c r="T548" i="10"/>
  <c r="AW66" i="26"/>
  <c r="BF434" i="10"/>
  <c r="C434" i="10"/>
  <c r="B435" i="10"/>
  <c r="AF428" i="10"/>
  <c r="BH548" i="10"/>
  <c r="T549" i="10"/>
  <c r="I433" i="10"/>
  <c r="AB432" i="10"/>
  <c r="AA432" i="10"/>
  <c r="M432" i="10"/>
  <c r="AH427" i="10"/>
  <c r="Q425" i="10"/>
  <c r="AD66" i="26"/>
  <c r="O426" i="10"/>
  <c r="Y431" i="10"/>
  <c r="Z431" i="10"/>
  <c r="AD425" i="10"/>
  <c r="AH425" i="10"/>
  <c r="AJ425" i="10"/>
  <c r="BM66" i="26"/>
  <c r="AJ427" i="10"/>
  <c r="BD66" i="26"/>
  <c r="Q426" i="10"/>
  <c r="AI66" i="26"/>
  <c r="I434" i="10"/>
  <c r="AA433" i="10"/>
  <c r="Y433" i="10"/>
  <c r="M433" i="10"/>
  <c r="AB433" i="10"/>
  <c r="AH66" i="26"/>
  <c r="J66" i="12"/>
  <c r="AD426" i="10"/>
  <c r="AF425" i="10"/>
  <c r="AT66" i="26"/>
  <c r="Y432" i="10"/>
  <c r="Z432" i="10"/>
  <c r="Z433" i="10"/>
  <c r="BH549" i="10"/>
  <c r="T550" i="10"/>
  <c r="B436" i="10"/>
  <c r="C435" i="10"/>
  <c r="BF435" i="10"/>
  <c r="AE431" i="10"/>
  <c r="AX66" i="26"/>
  <c r="BF436" i="10"/>
  <c r="B437" i="10"/>
  <c r="C436" i="10"/>
  <c r="T551" i="10"/>
  <c r="BH550" i="10"/>
  <c r="AH549" i="10"/>
  <c r="AV66" i="26"/>
  <c r="Q66" i="12"/>
  <c r="CK66" i="26"/>
  <c r="I435" i="10"/>
  <c r="AA434" i="10"/>
  <c r="M434" i="10"/>
  <c r="AB434" i="10"/>
  <c r="E425" i="38"/>
  <c r="AM66" i="26"/>
  <c r="M66" i="12"/>
  <c r="BB66" i="26"/>
  <c r="AH428" i="10"/>
  <c r="BF66" i="26"/>
  <c r="AK66" i="12"/>
  <c r="BO66" i="26"/>
  <c r="V66" i="12"/>
  <c r="AD427" i="10"/>
  <c r="AF427" i="10"/>
  <c r="AF426" i="10"/>
  <c r="AJ428" i="10"/>
  <c r="BG66" i="26"/>
  <c r="AH429" i="10"/>
  <c r="BH551" i="10"/>
  <c r="T552" i="10"/>
  <c r="Y434" i="10"/>
  <c r="Z434" i="10"/>
  <c r="D425" i="38"/>
  <c r="C425" i="38"/>
  <c r="AB435" i="10"/>
  <c r="M435" i="10"/>
  <c r="I436" i="10"/>
  <c r="AA435" i="10"/>
  <c r="Y435" i="10"/>
  <c r="AI550" i="10"/>
  <c r="AJ550" i="10"/>
  <c r="C543" i="38"/>
  <c r="B438" i="10"/>
  <c r="BF437" i="10"/>
  <c r="C437" i="10"/>
  <c r="BI66" i="26"/>
  <c r="AN66" i="12"/>
  <c r="BF438" i="10"/>
  <c r="B439" i="10"/>
  <c r="C438" i="10"/>
  <c r="I437" i="10"/>
  <c r="AB436" i="10"/>
  <c r="AA436" i="10"/>
  <c r="M436" i="10"/>
  <c r="C427" i="38"/>
  <c r="D427" i="38"/>
  <c r="E427" i="38"/>
  <c r="BH552" i="10"/>
  <c r="T553" i="10"/>
  <c r="Z435" i="10"/>
  <c r="AJ429" i="10"/>
  <c r="BS66" i="26"/>
  <c r="BU66" i="26"/>
  <c r="BH66" i="12"/>
  <c r="Y436" i="10"/>
  <c r="Z436" i="10"/>
  <c r="B440" i="10"/>
  <c r="C439" i="10"/>
  <c r="BF439" i="10"/>
  <c r="AB437" i="10"/>
  <c r="I438" i="10"/>
  <c r="AA437" i="10"/>
  <c r="Y437" i="10"/>
  <c r="M437" i="10"/>
  <c r="T554" i="10"/>
  <c r="BH553" i="10"/>
  <c r="T555" i="10"/>
  <c r="BH554" i="10"/>
  <c r="Z437" i="10"/>
  <c r="B441" i="10"/>
  <c r="BF440" i="10"/>
  <c r="C440" i="10"/>
  <c r="I439" i="10"/>
  <c r="AB438" i="10"/>
  <c r="AE437" i="10"/>
  <c r="AA438" i="10"/>
  <c r="M438" i="10"/>
  <c r="O432" i="10"/>
  <c r="AN67" i="26"/>
  <c r="B67" i="12"/>
  <c r="AE435" i="10"/>
  <c r="AW67" i="26"/>
  <c r="B442" i="10"/>
  <c r="BF441" i="10"/>
  <c r="C441" i="10"/>
  <c r="AA439" i="10"/>
  <c r="M439" i="10"/>
  <c r="I440" i="10"/>
  <c r="AB439" i="10"/>
  <c r="AH434" i="10"/>
  <c r="Q432" i="10"/>
  <c r="AD67" i="26"/>
  <c r="O433" i="10"/>
  <c r="AF435" i="10"/>
  <c r="Y438" i="10"/>
  <c r="Z438" i="10"/>
  <c r="AD432" i="10"/>
  <c r="AH432" i="10"/>
  <c r="T556" i="10"/>
  <c r="BH555" i="10"/>
  <c r="AJ432" i="10"/>
  <c r="BM67" i="26"/>
  <c r="BH556" i="10"/>
  <c r="T557" i="10"/>
  <c r="AB440" i="10"/>
  <c r="I441" i="10"/>
  <c r="AA440" i="10"/>
  <c r="Y440" i="10"/>
  <c r="M440" i="10"/>
  <c r="Q433" i="10"/>
  <c r="AI67" i="26"/>
  <c r="AJ434" i="10"/>
  <c r="BD67" i="26"/>
  <c r="BF442" i="10"/>
  <c r="B443" i="10"/>
  <c r="C442" i="10"/>
  <c r="AH67" i="26"/>
  <c r="J67" i="12"/>
  <c r="AD433" i="10"/>
  <c r="AF432" i="10"/>
  <c r="AT67" i="26"/>
  <c r="AH556" i="10"/>
  <c r="Y439" i="10"/>
  <c r="Z439" i="10"/>
  <c r="AE438" i="10"/>
  <c r="AX67" i="26"/>
  <c r="Z440" i="10"/>
  <c r="E432" i="38"/>
  <c r="AM67" i="26"/>
  <c r="M67" i="12"/>
  <c r="BB67" i="26"/>
  <c r="AH435" i="10"/>
  <c r="AV67" i="26"/>
  <c r="Q67" i="12"/>
  <c r="CK67" i="26"/>
  <c r="AB441" i="10"/>
  <c r="I442" i="10"/>
  <c r="AA441" i="10"/>
  <c r="Y441" i="10"/>
  <c r="Z441" i="10"/>
  <c r="M441" i="10"/>
  <c r="BF67" i="26"/>
  <c r="AK67" i="12"/>
  <c r="BO67" i="26"/>
  <c r="V67" i="12"/>
  <c r="C550" i="38"/>
  <c r="AI557" i="10"/>
  <c r="AJ557" i="10"/>
  <c r="AD434" i="10"/>
  <c r="AF434" i="10"/>
  <c r="AF433" i="10"/>
  <c r="B444" i="10"/>
  <c r="C443" i="10"/>
  <c r="BF443" i="10"/>
  <c r="T558" i="10"/>
  <c r="BH557" i="10"/>
  <c r="AJ435" i="10"/>
  <c r="BG67" i="26"/>
  <c r="AH436" i="10"/>
  <c r="BF444" i="10"/>
  <c r="C444" i="10"/>
  <c r="B445" i="10"/>
  <c r="D432" i="38"/>
  <c r="C432" i="38"/>
  <c r="BH558" i="10"/>
  <c r="T559" i="10"/>
  <c r="I443" i="10"/>
  <c r="AA442" i="10"/>
  <c r="AB442" i="10"/>
  <c r="M442" i="10"/>
  <c r="AB443" i="10"/>
  <c r="AA443" i="10"/>
  <c r="Y443" i="10"/>
  <c r="M443" i="10"/>
  <c r="I444" i="10"/>
  <c r="BI67" i="26"/>
  <c r="AN67" i="12"/>
  <c r="C434" i="38"/>
  <c r="D434" i="38"/>
  <c r="E434" i="38"/>
  <c r="Y442" i="10"/>
  <c r="Z442" i="10"/>
  <c r="BH559" i="10"/>
  <c r="T560" i="10"/>
  <c r="B446" i="10"/>
  <c r="C445" i="10"/>
  <c r="BF445" i="10"/>
  <c r="AJ436" i="10"/>
  <c r="BS67" i="26"/>
  <c r="BU67" i="26"/>
  <c r="BH67" i="12"/>
  <c r="Z443" i="10"/>
  <c r="BF446" i="10"/>
  <c r="B447" i="10"/>
  <c r="C446" i="10"/>
  <c r="I445" i="10"/>
  <c r="AA444" i="10"/>
  <c r="M444" i="10"/>
  <c r="AB444" i="10"/>
  <c r="BH560" i="10"/>
  <c r="T561" i="10"/>
  <c r="Y444" i="10"/>
  <c r="Z444" i="10"/>
  <c r="T562" i="10"/>
  <c r="BH561" i="10"/>
  <c r="AA445" i="10"/>
  <c r="Y445" i="10"/>
  <c r="M445" i="10"/>
  <c r="O439" i="10"/>
  <c r="I446" i="10"/>
  <c r="AB445" i="10"/>
  <c r="AE444" i="10"/>
  <c r="AN68" i="26"/>
  <c r="B68" i="12"/>
  <c r="AE442" i="10"/>
  <c r="BF447" i="10"/>
  <c r="C447" i="10"/>
  <c r="B448" i="10"/>
  <c r="BF448" i="10"/>
  <c r="C448" i="10"/>
  <c r="B449" i="10"/>
  <c r="AW68" i="26"/>
  <c r="I447" i="10"/>
  <c r="AB446" i="10"/>
  <c r="AA446" i="10"/>
  <c r="M446" i="10"/>
  <c r="BH562" i="10"/>
  <c r="T563" i="10"/>
  <c r="AF442" i="10"/>
  <c r="AH441" i="10"/>
  <c r="Q439" i="10"/>
  <c r="AD68" i="26"/>
  <c r="O440" i="10"/>
  <c r="AD439" i="10"/>
  <c r="Z445" i="10"/>
  <c r="AD440" i="10"/>
  <c r="AF439" i="10"/>
  <c r="AT68" i="26"/>
  <c r="AJ441" i="10"/>
  <c r="BD68" i="26"/>
  <c r="Y446" i="10"/>
  <c r="Z446" i="10"/>
  <c r="AE445" i="10"/>
  <c r="AX68" i="26"/>
  <c r="Q440" i="10"/>
  <c r="AI68" i="26"/>
  <c r="AH439" i="10"/>
  <c r="BH563" i="10"/>
  <c r="T564" i="10"/>
  <c r="B450" i="10"/>
  <c r="C449" i="10"/>
  <c r="BF449" i="10"/>
  <c r="AH68" i="26"/>
  <c r="J68" i="12"/>
  <c r="I448" i="10"/>
  <c r="AA447" i="10"/>
  <c r="Y447" i="10"/>
  <c r="M447" i="10"/>
  <c r="AB447" i="10"/>
  <c r="BF450" i="10"/>
  <c r="B451" i="10"/>
  <c r="C450" i="10"/>
  <c r="Z447" i="10"/>
  <c r="AV68" i="26"/>
  <c r="Q68" i="12"/>
  <c r="CK68" i="26"/>
  <c r="E439" i="38"/>
  <c r="AM68" i="26"/>
  <c r="M68" i="12"/>
  <c r="BB68" i="26"/>
  <c r="AH442" i="10"/>
  <c r="I449" i="10"/>
  <c r="AA448" i="10"/>
  <c r="Y448" i="10"/>
  <c r="M448" i="10"/>
  <c r="AB448" i="10"/>
  <c r="T565" i="10"/>
  <c r="BH564" i="10"/>
  <c r="BF68" i="26"/>
  <c r="AK68" i="12"/>
  <c r="AD441" i="10"/>
  <c r="AF441" i="10"/>
  <c r="AF440" i="10"/>
  <c r="AJ439" i="10"/>
  <c r="BM68" i="26"/>
  <c r="AH563" i="10"/>
  <c r="BO68" i="26"/>
  <c r="V68" i="12"/>
  <c r="AJ442" i="10"/>
  <c r="BG68" i="26"/>
  <c r="AH443" i="10"/>
  <c r="B452" i="10"/>
  <c r="BF451" i="10"/>
  <c r="C451" i="10"/>
  <c r="D439" i="38"/>
  <c r="C439" i="38"/>
  <c r="AI564" i="10"/>
  <c r="AJ564" i="10"/>
  <c r="C557" i="38"/>
  <c r="BH565" i="10"/>
  <c r="T566" i="10"/>
  <c r="AB449" i="10"/>
  <c r="M449" i="10"/>
  <c r="I450" i="10"/>
  <c r="AA449" i="10"/>
  <c r="Y449" i="10"/>
  <c r="Z448" i="10"/>
  <c r="Z449" i="10"/>
  <c r="C441" i="38"/>
  <c r="D441" i="38"/>
  <c r="E441" i="38"/>
  <c r="I451" i="10"/>
  <c r="AB450" i="10"/>
  <c r="AA450" i="10"/>
  <c r="M450" i="10"/>
  <c r="BH566" i="10"/>
  <c r="T567" i="10"/>
  <c r="AJ443" i="10"/>
  <c r="BS68" i="26"/>
  <c r="BU68" i="26"/>
  <c r="BH68" i="12"/>
  <c r="BI68" i="26"/>
  <c r="AN68" i="12"/>
  <c r="BF452" i="10"/>
  <c r="B453" i="10"/>
  <c r="C452" i="10"/>
  <c r="B454" i="10"/>
  <c r="C453" i="10"/>
  <c r="BF453" i="10"/>
  <c r="T568" i="10"/>
  <c r="BH567" i="10"/>
  <c r="Y450" i="10"/>
  <c r="Z450" i="10"/>
  <c r="AB451" i="10"/>
  <c r="I452" i="10"/>
  <c r="AA451" i="10"/>
  <c r="Y451" i="10"/>
  <c r="M451" i="10"/>
  <c r="Z451" i="10"/>
  <c r="I453" i="10"/>
  <c r="AB452" i="10"/>
  <c r="AE451" i="10"/>
  <c r="AA452" i="10"/>
  <c r="M452" i="10"/>
  <c r="O446" i="10"/>
  <c r="AN69" i="26"/>
  <c r="B69" i="12"/>
  <c r="AE449" i="10"/>
  <c r="BH568" i="10"/>
  <c r="T569" i="10"/>
  <c r="B455" i="10"/>
  <c r="BF454" i="10"/>
  <c r="C454" i="10"/>
  <c r="B456" i="10"/>
  <c r="BF455" i="10"/>
  <c r="C455" i="10"/>
  <c r="T570" i="10"/>
  <c r="BH569" i="10"/>
  <c r="Y452" i="10"/>
  <c r="Z452" i="10"/>
  <c r="AD446" i="10"/>
  <c r="AH446" i="10"/>
  <c r="AF449" i="10"/>
  <c r="AW69" i="26"/>
  <c r="AA453" i="10"/>
  <c r="M453" i="10"/>
  <c r="I454" i="10"/>
  <c r="AB453" i="10"/>
  <c r="AH448" i="10"/>
  <c r="Q446" i="10"/>
  <c r="AD69" i="26"/>
  <c r="O447" i="10"/>
  <c r="AD447" i="10"/>
  <c r="AF446" i="10"/>
  <c r="AT69" i="26"/>
  <c r="BH570" i="10"/>
  <c r="T571" i="10"/>
  <c r="AB454" i="10"/>
  <c r="I455" i="10"/>
  <c r="AA454" i="10"/>
  <c r="Y454" i="10"/>
  <c r="M454" i="10"/>
  <c r="AE452" i="10"/>
  <c r="AX69" i="26"/>
  <c r="AJ446" i="10"/>
  <c r="BM69" i="26"/>
  <c r="AH69" i="26"/>
  <c r="J69" i="12"/>
  <c r="Q447" i="10"/>
  <c r="AI69" i="26"/>
  <c r="AJ448" i="10"/>
  <c r="BD69" i="26"/>
  <c r="Y453" i="10"/>
  <c r="Z453" i="10"/>
  <c r="BF456" i="10"/>
  <c r="B457" i="10"/>
  <c r="C456" i="10"/>
  <c r="Z454" i="10"/>
  <c r="E446" i="38"/>
  <c r="BB69" i="26"/>
  <c r="AH449" i="10"/>
  <c r="AM69" i="26"/>
  <c r="M69" i="12"/>
  <c r="AB455" i="10"/>
  <c r="I456" i="10"/>
  <c r="AA455" i="10"/>
  <c r="M455" i="10"/>
  <c r="AV69" i="26"/>
  <c r="Q69" i="12"/>
  <c r="CK69" i="26"/>
  <c r="BF69" i="26"/>
  <c r="AK69" i="12"/>
  <c r="BO69" i="26"/>
  <c r="V69" i="12"/>
  <c r="T572" i="10"/>
  <c r="BH571" i="10"/>
  <c r="AH570" i="10"/>
  <c r="AD448" i="10"/>
  <c r="AF448" i="10"/>
  <c r="AF447" i="10"/>
  <c r="B458" i="10"/>
  <c r="C457" i="10"/>
  <c r="BF457" i="10"/>
  <c r="Y455" i="10"/>
  <c r="Z455" i="10"/>
  <c r="AJ449" i="10"/>
  <c r="BG69" i="26"/>
  <c r="AH450" i="10"/>
  <c r="AI571" i="10"/>
  <c r="AJ571" i="10"/>
  <c r="C564" i="38"/>
  <c r="D446" i="38"/>
  <c r="BF458" i="10"/>
  <c r="C458" i="10"/>
  <c r="B459" i="10"/>
  <c r="I457" i="10"/>
  <c r="AA456" i="10"/>
  <c r="Y456" i="10"/>
  <c r="AB456" i="10"/>
  <c r="M456" i="10"/>
  <c r="BH572" i="10"/>
  <c r="T573" i="10"/>
  <c r="BH573" i="10"/>
  <c r="T574" i="10"/>
  <c r="AB457" i="10"/>
  <c r="AA457" i="10"/>
  <c r="Y457" i="10"/>
  <c r="M457" i="10"/>
  <c r="I458" i="10"/>
  <c r="AJ450" i="10"/>
  <c r="BS69" i="26"/>
  <c r="BU69" i="26"/>
  <c r="BH69" i="12"/>
  <c r="Z456" i="10"/>
  <c r="B460" i="10"/>
  <c r="C459" i="10"/>
  <c r="BF459" i="10"/>
  <c r="C446" i="38"/>
  <c r="BI69" i="26"/>
  <c r="AN69" i="12"/>
  <c r="Z457" i="10"/>
  <c r="BF460" i="10"/>
  <c r="B461" i="10"/>
  <c r="C460" i="10"/>
  <c r="BH574" i="10"/>
  <c r="T575" i="10"/>
  <c r="I459" i="10"/>
  <c r="AA458" i="10"/>
  <c r="M458" i="10"/>
  <c r="AB458" i="10"/>
  <c r="Y458" i="10"/>
  <c r="Z458" i="10"/>
  <c r="AA459" i="10"/>
  <c r="Y459" i="10"/>
  <c r="M459" i="10"/>
  <c r="O453" i="10"/>
  <c r="I460" i="10"/>
  <c r="AB459" i="10"/>
  <c r="AE458" i="10"/>
  <c r="AN70" i="26"/>
  <c r="B70" i="12"/>
  <c r="AE456" i="10"/>
  <c r="BF461" i="10"/>
  <c r="C461" i="10"/>
  <c r="B462" i="10"/>
  <c r="T576" i="10"/>
  <c r="BH575" i="10"/>
  <c r="AD453" i="10"/>
  <c r="AE459" i="10"/>
  <c r="AX70" i="26"/>
  <c r="I461" i="10"/>
  <c r="AB460" i="10"/>
  <c r="AA460" i="10"/>
  <c r="M460" i="10"/>
  <c r="Z459" i="10"/>
  <c r="BF462" i="10"/>
  <c r="C462" i="10"/>
  <c r="B463" i="10"/>
  <c r="AW70" i="26"/>
  <c r="BH576" i="10"/>
  <c r="T577" i="10"/>
  <c r="AF456" i="10"/>
  <c r="AH455" i="10"/>
  <c r="Q453" i="10"/>
  <c r="AD70" i="26"/>
  <c r="O454" i="10"/>
  <c r="AH453" i="10"/>
  <c r="AJ453" i="10"/>
  <c r="BM70" i="26"/>
  <c r="Y460" i="10"/>
  <c r="Z460" i="10"/>
  <c r="AH70" i="26"/>
  <c r="J70" i="12"/>
  <c r="Q454" i="10"/>
  <c r="AI70" i="26"/>
  <c r="I462" i="10"/>
  <c r="AA461" i="10"/>
  <c r="Y461" i="10"/>
  <c r="M461" i="10"/>
  <c r="AB461" i="10"/>
  <c r="AJ455" i="10"/>
  <c r="BD70" i="26"/>
  <c r="BH577" i="10"/>
  <c r="T578" i="10"/>
  <c r="B464" i="10"/>
  <c r="C463" i="10"/>
  <c r="BF463" i="10"/>
  <c r="AD454" i="10"/>
  <c r="AF453" i="10"/>
  <c r="AT70" i="26"/>
  <c r="Z461" i="10"/>
  <c r="BF464" i="10"/>
  <c r="B465" i="10"/>
  <c r="C464" i="10"/>
  <c r="I463" i="10"/>
  <c r="AA462" i="10"/>
  <c r="Y462" i="10"/>
  <c r="M462" i="10"/>
  <c r="AB462" i="10"/>
  <c r="AV70" i="26"/>
  <c r="Q70" i="12"/>
  <c r="CK70" i="26"/>
  <c r="AD455" i="10"/>
  <c r="AF455" i="10"/>
  <c r="AF454" i="10"/>
  <c r="T579" i="10"/>
  <c r="BH578" i="10"/>
  <c r="AH577" i="10"/>
  <c r="E453" i="38"/>
  <c r="AM70" i="26"/>
  <c r="M70" i="12"/>
  <c r="BB70" i="26"/>
  <c r="AH456" i="10"/>
  <c r="BO70" i="26"/>
  <c r="V70" i="12"/>
  <c r="BF70" i="26"/>
  <c r="AK70" i="12"/>
  <c r="Z462" i="10"/>
  <c r="D453" i="38"/>
  <c r="T580" i="10"/>
  <c r="BH579" i="10"/>
  <c r="B466" i="10"/>
  <c r="BF465" i="10"/>
  <c r="C465" i="10"/>
  <c r="AJ456" i="10"/>
  <c r="BG70" i="26"/>
  <c r="AH457" i="10"/>
  <c r="AI578" i="10"/>
  <c r="AJ578" i="10"/>
  <c r="C571" i="38"/>
  <c r="AB463" i="10"/>
  <c r="M463" i="10"/>
  <c r="I464" i="10"/>
  <c r="AA463" i="10"/>
  <c r="BF466" i="10"/>
  <c r="B467" i="10"/>
  <c r="C466" i="10"/>
  <c r="I465" i="10"/>
  <c r="AB464" i="10"/>
  <c r="AA464" i="10"/>
  <c r="Y464" i="10"/>
  <c r="M464" i="10"/>
  <c r="C453" i="38"/>
  <c r="Y463" i="10"/>
  <c r="Z463" i="10"/>
  <c r="AJ457" i="10"/>
  <c r="BS70" i="26"/>
  <c r="BU70" i="26"/>
  <c r="BH70" i="12"/>
  <c r="BI70" i="26"/>
  <c r="AN70" i="12"/>
  <c r="T581" i="10"/>
  <c r="BH580" i="10"/>
  <c r="Z464" i="10"/>
  <c r="B468" i="10"/>
  <c r="C467" i="10"/>
  <c r="BF467" i="10"/>
  <c r="T582" i="10"/>
  <c r="BH581" i="10"/>
  <c r="AB465" i="10"/>
  <c r="I466" i="10"/>
  <c r="AA465" i="10"/>
  <c r="M465" i="10"/>
  <c r="Y465" i="10"/>
  <c r="Z465" i="10"/>
  <c r="AA466" i="10"/>
  <c r="AD460" i="10"/>
  <c r="I467" i="10"/>
  <c r="AB466" i="10"/>
  <c r="AE465" i="10"/>
  <c r="Y466" i="10"/>
  <c r="M466" i="10"/>
  <c r="O460" i="10"/>
  <c r="AN71" i="26"/>
  <c r="B71" i="12"/>
  <c r="AE463" i="10"/>
  <c r="T583" i="10"/>
  <c r="BH582" i="10"/>
  <c r="B469" i="10"/>
  <c r="BF468" i="10"/>
  <c r="C468" i="10"/>
  <c r="AF463" i="10"/>
  <c r="AE466" i="10"/>
  <c r="AX71" i="26"/>
  <c r="AW71" i="26"/>
  <c r="B470" i="10"/>
  <c r="BF469" i="10"/>
  <c r="C469" i="10"/>
  <c r="AA467" i="10"/>
  <c r="Y467" i="10"/>
  <c r="M467" i="10"/>
  <c r="I468" i="10"/>
  <c r="AB467" i="10"/>
  <c r="AD461" i="10"/>
  <c r="AF460" i="10"/>
  <c r="AT71" i="26"/>
  <c r="AH462" i="10"/>
  <c r="AH460" i="10"/>
  <c r="Q460" i="10"/>
  <c r="AD71" i="26"/>
  <c r="O461" i="10"/>
  <c r="BH583" i="10"/>
  <c r="T584" i="10"/>
  <c r="Z466" i="10"/>
  <c r="Z467" i="10"/>
  <c r="AJ462" i="10"/>
  <c r="BD71" i="26"/>
  <c r="AD462" i="10"/>
  <c r="AF462" i="10"/>
  <c r="AF461" i="10"/>
  <c r="AH71" i="26"/>
  <c r="J71" i="12"/>
  <c r="AD109" i="26"/>
  <c r="AD110" i="26"/>
  <c r="AB468" i="10"/>
  <c r="I469" i="10"/>
  <c r="AA468" i="10"/>
  <c r="Y468" i="10"/>
  <c r="M468" i="10"/>
  <c r="AJ460" i="10"/>
  <c r="BM71" i="26"/>
  <c r="Q461" i="10"/>
  <c r="AI71" i="26"/>
  <c r="AV71" i="26"/>
  <c r="Q71" i="12"/>
  <c r="CK71" i="26"/>
  <c r="CK72" i="26"/>
  <c r="CK73" i="26"/>
  <c r="CK74" i="26"/>
  <c r="CK75" i="26"/>
  <c r="CK76" i="26"/>
  <c r="CK77" i="26"/>
  <c r="CK78" i="26"/>
  <c r="CK79" i="26"/>
  <c r="CK80" i="26"/>
  <c r="CK81" i="26"/>
  <c r="CK82" i="26"/>
  <c r="CK83" i="26"/>
  <c r="CK84" i="26"/>
  <c r="CK85" i="26"/>
  <c r="CK86" i="26"/>
  <c r="CK87" i="26"/>
  <c r="CK88" i="26"/>
  <c r="CK89" i="26"/>
  <c r="CK90" i="26"/>
  <c r="CK91" i="26"/>
  <c r="CK92" i="26"/>
  <c r="CK93" i="26"/>
  <c r="CK94" i="26"/>
  <c r="CK95" i="26"/>
  <c r="CK96" i="26"/>
  <c r="CK97" i="26"/>
  <c r="CK98" i="26"/>
  <c r="CK99" i="26"/>
  <c r="CK100" i="26"/>
  <c r="CK101" i="26"/>
  <c r="CK102" i="26"/>
  <c r="CK103" i="26"/>
  <c r="CK104" i="26"/>
  <c r="CK105" i="26"/>
  <c r="CK106" i="26"/>
  <c r="CK107" i="26"/>
  <c r="CK108" i="26"/>
  <c r="T585" i="10"/>
  <c r="BH584" i="10"/>
  <c r="BF470" i="10"/>
  <c r="B471" i="10"/>
  <c r="C470" i="10"/>
  <c r="B472" i="10"/>
  <c r="C471" i="10"/>
  <c r="BF471" i="10"/>
  <c r="BO71" i="26"/>
  <c r="V71" i="12"/>
  <c r="AB469" i="10"/>
  <c r="I470" i="10"/>
  <c r="AA469" i="10"/>
  <c r="Y469" i="10"/>
  <c r="M469" i="10"/>
  <c r="BF71" i="26"/>
  <c r="AK71" i="12"/>
  <c r="B3" i="42"/>
  <c r="B5" i="42"/>
  <c r="BQ4" i="26"/>
  <c r="BP110" i="26"/>
  <c r="BM4" i="26"/>
  <c r="BC4" i="26"/>
  <c r="AY4" i="26"/>
  <c r="AY110" i="26"/>
  <c r="AU4" i="26"/>
  <c r="AQ4" i="26"/>
  <c r="AQ109" i="26"/>
  <c r="AI4" i="26"/>
  <c r="AI110" i="26"/>
  <c r="AE4" i="26"/>
  <c r="BT4" i="26"/>
  <c r="BS110" i="26"/>
  <c r="BP4" i="26"/>
  <c r="BJ4" i="26"/>
  <c r="BJ109" i="26"/>
  <c r="AX4" i="26"/>
  <c r="AT4" i="26"/>
  <c r="AT109" i="26"/>
  <c r="AP4" i="26"/>
  <c r="AP109" i="26"/>
  <c r="AH4" i="26"/>
  <c r="AH110" i="26"/>
  <c r="AE109" i="26"/>
  <c r="AD4" i="26"/>
  <c r="AE110" i="26"/>
  <c r="BO4" i="26"/>
  <c r="BO110" i="26"/>
  <c r="BN109" i="26"/>
  <c r="BE4" i="26"/>
  <c r="BA4" i="26"/>
  <c r="BA110" i="26"/>
  <c r="AZ109" i="26"/>
  <c r="AW4" i="26"/>
  <c r="AW109" i="26"/>
  <c r="AO4" i="26"/>
  <c r="AO109" i="26"/>
  <c r="AK4" i="26"/>
  <c r="CK4" i="26"/>
  <c r="BR4" i="26"/>
  <c r="BR110" i="26"/>
  <c r="BQ109" i="26"/>
  <c r="BN4" i="26"/>
  <c r="BM110" i="26"/>
  <c r="BH4" i="26"/>
  <c r="BD4" i="26"/>
  <c r="BD110" i="26"/>
  <c r="AZ4" i="26"/>
  <c r="AV4" i="26"/>
  <c r="AV109" i="26"/>
  <c r="AT110" i="26"/>
  <c r="AR4" i="26"/>
  <c r="AN4" i="26"/>
  <c r="AJ4" i="26"/>
  <c r="AK110" i="26"/>
  <c r="AF4" i="26"/>
  <c r="BK4" i="26"/>
  <c r="BW3" i="26"/>
  <c r="BL4" i="26"/>
  <c r="BL109" i="26"/>
  <c r="BJ110" i="26"/>
  <c r="T586" i="10"/>
  <c r="BH585" i="10"/>
  <c r="AH584" i="10"/>
  <c r="E460" i="38"/>
  <c r="AM71" i="26"/>
  <c r="M71" i="12"/>
  <c r="BB71" i="26"/>
  <c r="AH463" i="10"/>
  <c r="Z468" i="10"/>
  <c r="Z469" i="10"/>
  <c r="AM4" i="26"/>
  <c r="AM110" i="26"/>
  <c r="BF4" i="26"/>
  <c r="BF110" i="26"/>
  <c r="BD109" i="26"/>
  <c r="BP109" i="26"/>
  <c r="BP112" i="26"/>
  <c r="T587" i="10"/>
  <c r="BH586" i="10"/>
  <c r="BB4" i="26"/>
  <c r="D460" i="38"/>
  <c r="BM112" i="26"/>
  <c r="BM109" i="26"/>
  <c r="I6" i="42"/>
  <c r="E6" i="42"/>
  <c r="H5" i="42"/>
  <c r="D5" i="42"/>
  <c r="F6" i="42"/>
  <c r="G5" i="42"/>
  <c r="J6" i="42"/>
  <c r="D6" i="42"/>
  <c r="F5" i="42"/>
  <c r="H6" i="42"/>
  <c r="C6" i="42"/>
  <c r="E5" i="42"/>
  <c r="G6" i="42"/>
  <c r="I5" i="42"/>
  <c r="C5" i="42"/>
  <c r="J5" i="42"/>
  <c r="C33" i="42"/>
  <c r="BF472" i="10"/>
  <c r="C472" i="10"/>
  <c r="B473" i="10"/>
  <c r="AJ463" i="10"/>
  <c r="BG71" i="26"/>
  <c r="AH464" i="10"/>
  <c r="AI585" i="10"/>
  <c r="AJ585" i="10"/>
  <c r="C578" i="38"/>
  <c r="I471" i="10"/>
  <c r="AA470" i="10"/>
  <c r="Y470" i="10"/>
  <c r="Z470" i="10"/>
  <c r="AB470" i="10"/>
  <c r="M470" i="10"/>
  <c r="AI109" i="26"/>
  <c r="AB471" i="10"/>
  <c r="AA471" i="10"/>
  <c r="Y471" i="10"/>
  <c r="Z471" i="10"/>
  <c r="M471" i="10"/>
  <c r="I472" i="10"/>
  <c r="T588" i="10"/>
  <c r="BH587" i="10"/>
  <c r="BI71" i="26"/>
  <c r="BG4" i="26"/>
  <c r="BG109" i="26"/>
  <c r="C460" i="38"/>
  <c r="C467" i="38"/>
  <c r="C474" i="38"/>
  <c r="C481" i="38"/>
  <c r="C488" i="38"/>
  <c r="C495" i="38"/>
  <c r="C502" i="38"/>
  <c r="C509" i="38"/>
  <c r="C516" i="38"/>
  <c r="C523" i="38"/>
  <c r="C530" i="38"/>
  <c r="C537" i="38"/>
  <c r="C544" i="38"/>
  <c r="C551" i="38"/>
  <c r="C558" i="38"/>
  <c r="C565" i="38"/>
  <c r="C572" i="38"/>
  <c r="C579" i="38"/>
  <c r="C586" i="38"/>
  <c r="C593" i="38"/>
  <c r="C600" i="38"/>
  <c r="C607" i="38"/>
  <c r="C614" i="38"/>
  <c r="C621" i="38"/>
  <c r="C628" i="38"/>
  <c r="C635" i="38"/>
  <c r="C642" i="38"/>
  <c r="C649" i="38"/>
  <c r="C656" i="38"/>
  <c r="C663" i="38"/>
  <c r="C670" i="38"/>
  <c r="C677" i="38"/>
  <c r="C684" i="38"/>
  <c r="C691" i="38"/>
  <c r="C698" i="38"/>
  <c r="C705" i="38"/>
  <c r="C712" i="38"/>
  <c r="C719" i="38"/>
  <c r="AJ464" i="10"/>
  <c r="BS71" i="26"/>
  <c r="B474" i="10"/>
  <c r="C473" i="10"/>
  <c r="BF473" i="10"/>
  <c r="BF474" i="10"/>
  <c r="B475" i="10"/>
  <c r="C474" i="10"/>
  <c r="BU71" i="26"/>
  <c r="BS4" i="26"/>
  <c r="BS109" i="26"/>
  <c r="AN71" i="12"/>
  <c r="BI4" i="26"/>
  <c r="BI109" i="26"/>
  <c r="BG110" i="26"/>
  <c r="T589" i="10"/>
  <c r="BH588" i="10"/>
  <c r="I473" i="10"/>
  <c r="AA472" i="10"/>
  <c r="Y472" i="10"/>
  <c r="Z472" i="10"/>
  <c r="M472" i="10"/>
  <c r="AB472" i="10"/>
  <c r="AA473" i="10"/>
  <c r="Y473" i="10"/>
  <c r="Z473" i="10"/>
  <c r="M473" i="10"/>
  <c r="I474" i="10"/>
  <c r="AB473" i="10"/>
  <c r="AE472" i="10"/>
  <c r="AN72" i="26"/>
  <c r="B72" i="12"/>
  <c r="AE470" i="10"/>
  <c r="BF475" i="10"/>
  <c r="C475" i="10"/>
  <c r="B476" i="10"/>
  <c r="T590" i="10"/>
  <c r="BH589" i="10"/>
  <c r="BH71" i="12"/>
  <c r="BU4" i="26"/>
  <c r="BU110" i="26"/>
  <c r="BT109" i="26"/>
  <c r="T591" i="10"/>
  <c r="BH590" i="10"/>
  <c r="AF470" i="10"/>
  <c r="I475" i="10"/>
  <c r="AB474" i="10"/>
  <c r="AA474" i="10"/>
  <c r="Y474" i="10"/>
  <c r="Z474" i="10"/>
  <c r="M474" i="10"/>
  <c r="BF476" i="10"/>
  <c r="C476" i="10"/>
  <c r="B477" i="10"/>
  <c r="AE473" i="10"/>
  <c r="AX72" i="26"/>
  <c r="AW72" i="26"/>
  <c r="I476" i="10"/>
  <c r="AA475" i="10"/>
  <c r="Y475" i="10"/>
  <c r="Z475" i="10"/>
  <c r="M475" i="10"/>
  <c r="AB475" i="10"/>
  <c r="T592" i="10"/>
  <c r="BH591" i="10"/>
  <c r="B478" i="10"/>
  <c r="C477" i="10"/>
  <c r="BF477" i="10"/>
  <c r="T593" i="10"/>
  <c r="BH592" i="10"/>
  <c r="BF478" i="10"/>
  <c r="B479" i="10"/>
  <c r="C478" i="10"/>
  <c r="I477" i="10"/>
  <c r="AA476" i="10"/>
  <c r="Y476" i="10"/>
  <c r="Z476" i="10"/>
  <c r="M476" i="10"/>
  <c r="AB476" i="10"/>
  <c r="AH591" i="10"/>
  <c r="AI592" i="10"/>
  <c r="AJ592" i="10"/>
  <c r="C585" i="38"/>
  <c r="AB477" i="10"/>
  <c r="M477" i="10"/>
  <c r="I478" i="10"/>
  <c r="AA477" i="10"/>
  <c r="Y477" i="10"/>
  <c r="Z477" i="10"/>
  <c r="T594" i="10"/>
  <c r="BH593" i="10"/>
  <c r="B480" i="10"/>
  <c r="BF479" i="10"/>
  <c r="C479" i="10"/>
  <c r="BF480" i="10"/>
  <c r="B481" i="10"/>
  <c r="C480" i="10"/>
  <c r="I479" i="10"/>
  <c r="AB478" i="10"/>
  <c r="AA478" i="10"/>
  <c r="Y478" i="10"/>
  <c r="Z478" i="10"/>
  <c r="M478" i="10"/>
  <c r="T595" i="10"/>
  <c r="BH594" i="10"/>
  <c r="B482" i="10"/>
  <c r="C481" i="10"/>
  <c r="BF481" i="10"/>
  <c r="T596" i="10"/>
  <c r="BH595" i="10"/>
  <c r="AB479" i="10"/>
  <c r="I480" i="10"/>
  <c r="AA479" i="10"/>
  <c r="Y479" i="10"/>
  <c r="Z479" i="10"/>
  <c r="M479" i="10"/>
  <c r="B483" i="10"/>
  <c r="BF482" i="10"/>
  <c r="C482" i="10"/>
  <c r="I481" i="10"/>
  <c r="AB480" i="10"/>
  <c r="AE479" i="10"/>
  <c r="AA480" i="10"/>
  <c r="Y480" i="10"/>
  <c r="Z480" i="10"/>
  <c r="M480" i="10"/>
  <c r="AN73" i="26"/>
  <c r="B73" i="12"/>
  <c r="AE477" i="10"/>
  <c r="BH596" i="10"/>
  <c r="T597" i="10"/>
  <c r="BH597" i="10"/>
  <c r="T598" i="10"/>
  <c r="AF477" i="10"/>
  <c r="AE480" i="10"/>
  <c r="AX73" i="26"/>
  <c r="AW73" i="26"/>
  <c r="B484" i="10"/>
  <c r="BF483" i="10"/>
  <c r="C483" i="10"/>
  <c r="AA481" i="10"/>
  <c r="Y481" i="10"/>
  <c r="Z481" i="10"/>
  <c r="M481" i="10"/>
  <c r="I482" i="10"/>
  <c r="AB481" i="10"/>
  <c r="T599" i="10"/>
  <c r="BH598" i="10"/>
  <c r="AB482" i="10"/>
  <c r="I483" i="10"/>
  <c r="AA482" i="10"/>
  <c r="Y482" i="10"/>
  <c r="Z482" i="10"/>
  <c r="M482" i="10"/>
  <c r="BF484" i="10"/>
  <c r="B485" i="10"/>
  <c r="C484" i="10"/>
  <c r="T600" i="10"/>
  <c r="BH599" i="10"/>
  <c r="AH598" i="10"/>
  <c r="B486" i="10"/>
  <c r="C485" i="10"/>
  <c r="BF485" i="10"/>
  <c r="AB483" i="10"/>
  <c r="I484" i="10"/>
  <c r="AA483" i="10"/>
  <c r="Y483" i="10"/>
  <c r="Z483" i="10"/>
  <c r="M483" i="10"/>
  <c r="AI599" i="10"/>
  <c r="AJ599" i="10"/>
  <c r="C592" i="38"/>
  <c r="BH600" i="10"/>
  <c r="T601" i="10"/>
  <c r="I485" i="10"/>
  <c r="AA484" i="10"/>
  <c r="Y484" i="10"/>
  <c r="Z484" i="10"/>
  <c r="AB484" i="10"/>
  <c r="M484" i="10"/>
  <c r="BF486" i="10"/>
  <c r="C486" i="10"/>
  <c r="B487" i="10"/>
  <c r="B488" i="10"/>
  <c r="C487" i="10"/>
  <c r="BF487" i="10"/>
  <c r="BH601" i="10"/>
  <c r="T602" i="10"/>
  <c r="AB485" i="10"/>
  <c r="AA485" i="10"/>
  <c r="Y485" i="10"/>
  <c r="Z485" i="10"/>
  <c r="M485" i="10"/>
  <c r="I486" i="10"/>
  <c r="I487" i="10"/>
  <c r="AA486" i="10"/>
  <c r="Y486" i="10"/>
  <c r="Z486" i="10"/>
  <c r="M486" i="10"/>
  <c r="AB486" i="10"/>
  <c r="T603" i="10"/>
  <c r="BH602" i="10"/>
  <c r="BF488" i="10"/>
  <c r="B489" i="10"/>
  <c r="C488" i="10"/>
  <c r="BF489" i="10"/>
  <c r="B490" i="10"/>
  <c r="C489" i="10"/>
  <c r="T604" i="10"/>
  <c r="BH603" i="10"/>
  <c r="AA487" i="10"/>
  <c r="Y487" i="10"/>
  <c r="Z487" i="10"/>
  <c r="M487" i="10"/>
  <c r="I488" i="10"/>
  <c r="AB487" i="10"/>
  <c r="AE486" i="10"/>
  <c r="AN74" i="26"/>
  <c r="B74" i="12"/>
  <c r="AE484" i="10"/>
  <c r="AF484" i="10"/>
  <c r="BF490" i="10"/>
  <c r="C490" i="10"/>
  <c r="B491" i="10"/>
  <c r="AE487" i="10"/>
  <c r="AX74" i="26"/>
  <c r="AW74" i="26"/>
  <c r="I489" i="10"/>
  <c r="AB488" i="10"/>
  <c r="AA488" i="10"/>
  <c r="Y488" i="10"/>
  <c r="Z488" i="10"/>
  <c r="M488" i="10"/>
  <c r="T605" i="10"/>
  <c r="BH604" i="10"/>
  <c r="B492" i="10"/>
  <c r="C491" i="10"/>
  <c r="BF491" i="10"/>
  <c r="T606" i="10"/>
  <c r="BH605" i="10"/>
  <c r="I490" i="10"/>
  <c r="AA489" i="10"/>
  <c r="Y489" i="10"/>
  <c r="Z489" i="10"/>
  <c r="M489" i="10"/>
  <c r="AB489" i="10"/>
  <c r="I491" i="10"/>
  <c r="AA490" i="10"/>
  <c r="Y490" i="10"/>
  <c r="Z490" i="10"/>
  <c r="AB490" i="10"/>
  <c r="M490" i="10"/>
  <c r="T607" i="10"/>
  <c r="BH606" i="10"/>
  <c r="AH605" i="10"/>
  <c r="BF492" i="10"/>
  <c r="C492" i="10"/>
  <c r="B493" i="10"/>
  <c r="T608" i="10"/>
  <c r="BH607" i="10"/>
  <c r="AB491" i="10"/>
  <c r="I492" i="10"/>
  <c r="AA491" i="10"/>
  <c r="Y491" i="10"/>
  <c r="Z491" i="10"/>
  <c r="M491" i="10"/>
  <c r="B494" i="10"/>
  <c r="BF493" i="10"/>
  <c r="C493" i="10"/>
  <c r="AI606" i="10"/>
  <c r="AJ606" i="10"/>
  <c r="C599" i="38"/>
  <c r="I493" i="10"/>
  <c r="AB492" i="10"/>
  <c r="AA492" i="10"/>
  <c r="Y492" i="10"/>
  <c r="Z492" i="10"/>
  <c r="M492" i="10"/>
  <c r="T609" i="10"/>
  <c r="BH608" i="10"/>
  <c r="BF494" i="10"/>
  <c r="B495" i="10"/>
  <c r="C494" i="10"/>
  <c r="AB493" i="10"/>
  <c r="I494" i="10"/>
  <c r="AA493" i="10"/>
  <c r="Y493" i="10"/>
  <c r="Z493" i="10"/>
  <c r="M493" i="10"/>
  <c r="B496" i="10"/>
  <c r="C495" i="10"/>
  <c r="BF495" i="10"/>
  <c r="T610" i="10"/>
  <c r="BH609" i="10"/>
  <c r="I495" i="10"/>
  <c r="AB494" i="10"/>
  <c r="AE493" i="10"/>
  <c r="AA494" i="10"/>
  <c r="Y494" i="10"/>
  <c r="Z494" i="10"/>
  <c r="M494" i="10"/>
  <c r="AN75" i="26"/>
  <c r="B75" i="12"/>
  <c r="AE491" i="10"/>
  <c r="B497" i="10"/>
  <c r="BF496" i="10"/>
  <c r="C496" i="10"/>
  <c r="BH610" i="10"/>
  <c r="T611" i="10"/>
  <c r="AF491" i="10"/>
  <c r="AA495" i="10"/>
  <c r="Y495" i="10"/>
  <c r="Z495" i="10"/>
  <c r="M495" i="10"/>
  <c r="I496" i="10"/>
  <c r="AB495" i="10"/>
  <c r="BH611" i="10"/>
  <c r="T612" i="10"/>
  <c r="B498" i="10"/>
  <c r="BF497" i="10"/>
  <c r="C497" i="10"/>
  <c r="AE494" i="10"/>
  <c r="AX75" i="26"/>
  <c r="AW75" i="26"/>
  <c r="BF498" i="10"/>
  <c r="B499" i="10"/>
  <c r="C498" i="10"/>
  <c r="AB496" i="10"/>
  <c r="I497" i="10"/>
  <c r="M496" i="10"/>
  <c r="AA496" i="10"/>
  <c r="Y496" i="10"/>
  <c r="Z496" i="10"/>
  <c r="BH612" i="10"/>
  <c r="T613" i="10"/>
  <c r="B500" i="10"/>
  <c r="C499" i="10"/>
  <c r="BF499" i="10"/>
  <c r="T614" i="10"/>
  <c r="BH613" i="10"/>
  <c r="AH612" i="10"/>
  <c r="AB497" i="10"/>
  <c r="AA497" i="10"/>
  <c r="Y497" i="10"/>
  <c r="Z497" i="10"/>
  <c r="I498" i="10"/>
  <c r="M497" i="10"/>
  <c r="AI613" i="10"/>
  <c r="AJ613" i="10"/>
  <c r="C606" i="38"/>
  <c r="I499" i="10"/>
  <c r="AA498" i="10"/>
  <c r="Y498" i="10"/>
  <c r="Z498" i="10"/>
  <c r="AB498" i="10"/>
  <c r="M498" i="10"/>
  <c r="BF500" i="10"/>
  <c r="C500" i="10"/>
  <c r="B501" i="10"/>
  <c r="BH614" i="10"/>
  <c r="T615" i="10"/>
  <c r="B502" i="10"/>
  <c r="C501" i="10"/>
  <c r="BF501" i="10"/>
  <c r="BH615" i="10"/>
  <c r="T616" i="10"/>
  <c r="AB499" i="10"/>
  <c r="AA499" i="10"/>
  <c r="Y499" i="10"/>
  <c r="Z499" i="10"/>
  <c r="M499" i="10"/>
  <c r="I500" i="10"/>
  <c r="I501" i="10"/>
  <c r="AA500" i="10"/>
  <c r="Y500" i="10"/>
  <c r="Z500" i="10"/>
  <c r="M500" i="10"/>
  <c r="AB500" i="10"/>
  <c r="T617" i="10"/>
  <c r="BH616" i="10"/>
  <c r="BF502" i="10"/>
  <c r="B503" i="10"/>
  <c r="C502" i="10"/>
  <c r="BF503" i="10"/>
  <c r="C503" i="10"/>
  <c r="B504" i="10"/>
  <c r="T618" i="10"/>
  <c r="BH617" i="10"/>
  <c r="AA501" i="10"/>
  <c r="Y501" i="10"/>
  <c r="Z501" i="10"/>
  <c r="M501" i="10"/>
  <c r="I502" i="10"/>
  <c r="AB501" i="10"/>
  <c r="AE500" i="10"/>
  <c r="AN76" i="26"/>
  <c r="B76" i="12"/>
  <c r="AE498" i="10"/>
  <c r="AF498" i="10"/>
  <c r="BF504" i="10"/>
  <c r="C504" i="10"/>
  <c r="B505" i="10"/>
  <c r="AE501" i="10"/>
  <c r="AX76" i="26"/>
  <c r="AW76" i="26"/>
  <c r="I503" i="10"/>
  <c r="AB502" i="10"/>
  <c r="AA502" i="10"/>
  <c r="Y502" i="10"/>
  <c r="Z502" i="10"/>
  <c r="M502" i="10"/>
  <c r="T619" i="10"/>
  <c r="BH618" i="10"/>
  <c r="B506" i="10"/>
  <c r="C505" i="10"/>
  <c r="BF505" i="10"/>
  <c r="T620" i="10"/>
  <c r="BH619" i="10"/>
  <c r="I504" i="10"/>
  <c r="AA503" i="10"/>
  <c r="Y503" i="10"/>
  <c r="Z503" i="10"/>
  <c r="M503" i="10"/>
  <c r="AB503" i="10"/>
  <c r="I505" i="10"/>
  <c r="AA504" i="10"/>
  <c r="Y504" i="10"/>
  <c r="Z504" i="10"/>
  <c r="M504" i="10"/>
  <c r="AB504" i="10"/>
  <c r="BF506" i="10"/>
  <c r="C506" i="10"/>
  <c r="B507" i="10"/>
  <c r="T621" i="10"/>
  <c r="BH620" i="10"/>
  <c r="AH619" i="10"/>
  <c r="AI620" i="10"/>
  <c r="AJ620" i="10"/>
  <c r="C613" i="38"/>
  <c r="AB505" i="10"/>
  <c r="M505" i="10"/>
  <c r="AA505" i="10"/>
  <c r="Y505" i="10"/>
  <c r="Z505" i="10"/>
  <c r="I506" i="10"/>
  <c r="T622" i="10"/>
  <c r="BH621" i="10"/>
  <c r="B508" i="10"/>
  <c r="BF507" i="10"/>
  <c r="C507" i="10"/>
  <c r="I507" i="10"/>
  <c r="AB506" i="10"/>
  <c r="AA506" i="10"/>
  <c r="Y506" i="10"/>
  <c r="Z506" i="10"/>
  <c r="M506" i="10"/>
  <c r="BF508" i="10"/>
  <c r="B509" i="10"/>
  <c r="C508" i="10"/>
  <c r="T623" i="10"/>
  <c r="BH622" i="10"/>
  <c r="B510" i="10"/>
  <c r="C509" i="10"/>
  <c r="BF509" i="10"/>
  <c r="AB507" i="10"/>
  <c r="I508" i="10"/>
  <c r="AA507" i="10"/>
  <c r="Y507" i="10"/>
  <c r="Z507" i="10"/>
  <c r="M507" i="10"/>
  <c r="T624" i="10"/>
  <c r="BH623" i="10"/>
  <c r="B511" i="10"/>
  <c r="BF510" i="10"/>
  <c r="C510" i="10"/>
  <c r="I509" i="10"/>
  <c r="AB508" i="10"/>
  <c r="AE507" i="10"/>
  <c r="AA508" i="10"/>
  <c r="Y508" i="10"/>
  <c r="Z508" i="10"/>
  <c r="M508" i="10"/>
  <c r="AN77" i="26"/>
  <c r="B77" i="12"/>
  <c r="AE505" i="10"/>
  <c r="BH624" i="10"/>
  <c r="T625" i="10"/>
  <c r="BH625" i="10"/>
  <c r="T626" i="10"/>
  <c r="AF505" i="10"/>
  <c r="AE508" i="10"/>
  <c r="AX77" i="26"/>
  <c r="AW77" i="26"/>
  <c r="B512" i="10"/>
  <c r="BF511" i="10"/>
  <c r="C511" i="10"/>
  <c r="AA509" i="10"/>
  <c r="Y509" i="10"/>
  <c r="Z509" i="10"/>
  <c r="M509" i="10"/>
  <c r="I510" i="10"/>
  <c r="AB509" i="10"/>
  <c r="BH626" i="10"/>
  <c r="T627" i="10"/>
  <c r="AB510" i="10"/>
  <c r="I511" i="10"/>
  <c r="M510" i="10"/>
  <c r="AA510" i="10"/>
  <c r="Y510" i="10"/>
  <c r="Z510" i="10"/>
  <c r="BF512" i="10"/>
  <c r="B513" i="10"/>
  <c r="C512" i="10"/>
  <c r="T628" i="10"/>
  <c r="BH627" i="10"/>
  <c r="AH626" i="10"/>
  <c r="B514" i="10"/>
  <c r="C513" i="10"/>
  <c r="BF513" i="10"/>
  <c r="AB511" i="10"/>
  <c r="I512" i="10"/>
  <c r="AA511" i="10"/>
  <c r="Y511" i="10"/>
  <c r="Z511" i="10"/>
  <c r="M511" i="10"/>
  <c r="AI627" i="10"/>
  <c r="AJ627" i="10"/>
  <c r="C620" i="38"/>
  <c r="BH628" i="10"/>
  <c r="T629" i="10"/>
  <c r="I513" i="10"/>
  <c r="AA512" i="10"/>
  <c r="Y512" i="10"/>
  <c r="Z512" i="10"/>
  <c r="AB512" i="10"/>
  <c r="M512" i="10"/>
  <c r="BF514" i="10"/>
  <c r="C514" i="10"/>
  <c r="B515" i="10"/>
  <c r="AB513" i="10"/>
  <c r="AA513" i="10"/>
  <c r="Y513" i="10"/>
  <c r="Z513" i="10"/>
  <c r="M513" i="10"/>
  <c r="I514" i="10"/>
  <c r="B516" i="10"/>
  <c r="C515" i="10"/>
  <c r="BF515" i="10"/>
  <c r="BH629" i="10"/>
  <c r="T630" i="10"/>
  <c r="T631" i="10"/>
  <c r="BH630" i="10"/>
  <c r="BF516" i="10"/>
  <c r="B517" i="10"/>
  <c r="C516" i="10"/>
  <c r="I515" i="10"/>
  <c r="AA514" i="10"/>
  <c r="Y514" i="10"/>
  <c r="Z514" i="10"/>
  <c r="M514" i="10"/>
  <c r="AB514" i="10"/>
  <c r="BF517" i="10"/>
  <c r="C517" i="10"/>
  <c r="B518" i="10"/>
  <c r="T632" i="10"/>
  <c r="BH631" i="10"/>
  <c r="AA515" i="10"/>
  <c r="Y515" i="10"/>
  <c r="Z515" i="10"/>
  <c r="M515" i="10"/>
  <c r="I516" i="10"/>
  <c r="AB515" i="10"/>
  <c r="AE514" i="10"/>
  <c r="AN78" i="26"/>
  <c r="B78" i="12"/>
  <c r="AE512" i="10"/>
  <c r="AF512" i="10"/>
  <c r="BF518" i="10"/>
  <c r="C518" i="10"/>
  <c r="B519" i="10"/>
  <c r="AE515" i="10"/>
  <c r="AX78" i="26"/>
  <c r="AW78" i="26"/>
  <c r="I517" i="10"/>
  <c r="AB516" i="10"/>
  <c r="AA516" i="10"/>
  <c r="Y516" i="10"/>
  <c r="Z516" i="10"/>
  <c r="M516" i="10"/>
  <c r="T633" i="10"/>
  <c r="BH632" i="10"/>
  <c r="B520" i="10"/>
  <c r="C519" i="10"/>
  <c r="BF519" i="10"/>
  <c r="T634" i="10"/>
  <c r="BH633" i="10"/>
  <c r="AH633" i="10"/>
  <c r="I518" i="10"/>
  <c r="AA517" i="10"/>
  <c r="Y517" i="10"/>
  <c r="Z517" i="10"/>
  <c r="M517" i="10"/>
  <c r="AB517" i="10"/>
  <c r="AI634" i="10"/>
  <c r="AJ634" i="10"/>
  <c r="C627" i="38"/>
  <c r="BF520" i="10"/>
  <c r="C520" i="10"/>
  <c r="B521" i="10"/>
  <c r="T635" i="10"/>
  <c r="BH634" i="10"/>
  <c r="I519" i="10"/>
  <c r="AA518" i="10"/>
  <c r="Y518" i="10"/>
  <c r="Z518" i="10"/>
  <c r="M518" i="10"/>
  <c r="AB518" i="10"/>
  <c r="B522" i="10"/>
  <c r="BF521" i="10"/>
  <c r="C521" i="10"/>
  <c r="T636" i="10"/>
  <c r="BH635" i="10"/>
  <c r="AB519" i="10"/>
  <c r="M519" i="10"/>
  <c r="I520" i="10"/>
  <c r="AA519" i="10"/>
  <c r="Y519" i="10"/>
  <c r="Z519" i="10"/>
  <c r="I521" i="10"/>
  <c r="AB520" i="10"/>
  <c r="M520" i="10"/>
  <c r="AA520" i="10"/>
  <c r="Y520" i="10"/>
  <c r="Z520" i="10"/>
  <c r="BF522" i="10"/>
  <c r="B523" i="10"/>
  <c r="C522" i="10"/>
  <c r="T637" i="10"/>
  <c r="BH636" i="10"/>
  <c r="B524" i="10"/>
  <c r="C523" i="10"/>
  <c r="BF523" i="10"/>
  <c r="AB521" i="10"/>
  <c r="I522" i="10"/>
  <c r="AA521" i="10"/>
  <c r="Y521" i="10"/>
  <c r="Z521" i="10"/>
  <c r="M521" i="10"/>
  <c r="T638" i="10"/>
  <c r="BH637" i="10"/>
  <c r="B525" i="10"/>
  <c r="BF524" i="10"/>
  <c r="C524" i="10"/>
  <c r="I523" i="10"/>
  <c r="AB522" i="10"/>
  <c r="AE521" i="10"/>
  <c r="AA522" i="10"/>
  <c r="Y522" i="10"/>
  <c r="Z522" i="10"/>
  <c r="M522" i="10"/>
  <c r="AN79" i="26"/>
  <c r="B79" i="12"/>
  <c r="AE519" i="10"/>
  <c r="BH638" i="10"/>
  <c r="T639" i="10"/>
  <c r="AF519" i="10"/>
  <c r="AE522" i="10"/>
  <c r="AX79" i="26"/>
  <c r="AW79" i="26"/>
  <c r="B526" i="10"/>
  <c r="BF525" i="10"/>
  <c r="C525" i="10"/>
  <c r="BH639" i="10"/>
  <c r="T640" i="10"/>
  <c r="AA523" i="10"/>
  <c r="Y523" i="10"/>
  <c r="Z523" i="10"/>
  <c r="M523" i="10"/>
  <c r="I524" i="10"/>
  <c r="AB523" i="10"/>
  <c r="AB524" i="10"/>
  <c r="I525" i="10"/>
  <c r="AA524" i="10"/>
  <c r="Y524" i="10"/>
  <c r="Z524" i="10"/>
  <c r="M524" i="10"/>
  <c r="BH640" i="10"/>
  <c r="T641" i="10"/>
  <c r="BF526" i="10"/>
  <c r="B527" i="10"/>
  <c r="C526" i="10"/>
  <c r="B528" i="10"/>
  <c r="C527" i="10"/>
  <c r="BF527" i="10"/>
  <c r="T642" i="10"/>
  <c r="BH641" i="10"/>
  <c r="AH640" i="10"/>
  <c r="AB525" i="10"/>
  <c r="I526" i="10"/>
  <c r="AA525" i="10"/>
  <c r="Y525" i="10"/>
  <c r="Z525" i="10"/>
  <c r="M525" i="10"/>
  <c r="AI641" i="10"/>
  <c r="AJ641" i="10"/>
  <c r="C634" i="38"/>
  <c r="BF528" i="10"/>
  <c r="C528" i="10"/>
  <c r="B529" i="10"/>
  <c r="BH642" i="10"/>
  <c r="T643" i="10"/>
  <c r="I527" i="10"/>
  <c r="AA526" i="10"/>
  <c r="Y526" i="10"/>
  <c r="Z526" i="10"/>
  <c r="M526" i="10"/>
  <c r="AB526" i="10"/>
  <c r="AB527" i="10"/>
  <c r="AA527" i="10"/>
  <c r="Y527" i="10"/>
  <c r="Z527" i="10"/>
  <c r="M527" i="10"/>
  <c r="I528" i="10"/>
  <c r="B530" i="10"/>
  <c r="C529" i="10"/>
  <c r="BF529" i="10"/>
  <c r="BH643" i="10"/>
  <c r="T644" i="10"/>
  <c r="T645" i="10"/>
  <c r="BH644" i="10"/>
  <c r="BF530" i="10"/>
  <c r="B531" i="10"/>
  <c r="C530" i="10"/>
  <c r="I529" i="10"/>
  <c r="AA528" i="10"/>
  <c r="Y528" i="10"/>
  <c r="Z528" i="10"/>
  <c r="M528" i="10"/>
  <c r="AB528" i="10"/>
  <c r="AA529" i="10"/>
  <c r="Y529" i="10"/>
  <c r="Z529" i="10"/>
  <c r="M529" i="10"/>
  <c r="I530" i="10"/>
  <c r="AB529" i="10"/>
  <c r="AE528" i="10"/>
  <c r="AN80" i="26"/>
  <c r="B80" i="12"/>
  <c r="AE526" i="10"/>
  <c r="BF531" i="10"/>
  <c r="C531" i="10"/>
  <c r="B532" i="10"/>
  <c r="T646" i="10"/>
  <c r="BH645" i="10"/>
  <c r="I531" i="10"/>
  <c r="AB530" i="10"/>
  <c r="AA530" i="10"/>
  <c r="Y530" i="10"/>
  <c r="Z530" i="10"/>
  <c r="M530" i="10"/>
  <c r="T647" i="10"/>
  <c r="BH646" i="10"/>
  <c r="AF526" i="10"/>
  <c r="BF532" i="10"/>
  <c r="C532" i="10"/>
  <c r="B533" i="10"/>
  <c r="AE529" i="10"/>
  <c r="AX80" i="26"/>
  <c r="AW80" i="26"/>
  <c r="I532" i="10"/>
  <c r="AA531" i="10"/>
  <c r="Y531" i="10"/>
  <c r="Z531" i="10"/>
  <c r="M531" i="10"/>
  <c r="AB531" i="10"/>
  <c r="T648" i="10"/>
  <c r="BH647" i="10"/>
  <c r="B534" i="10"/>
  <c r="C533" i="10"/>
  <c r="BF533" i="10"/>
  <c r="T649" i="10"/>
  <c r="BH648" i="10"/>
  <c r="AH647" i="10"/>
  <c r="I533" i="10"/>
  <c r="AA532" i="10"/>
  <c r="Y532" i="10"/>
  <c r="Z532" i="10"/>
  <c r="M532" i="10"/>
  <c r="AB532" i="10"/>
  <c r="BF534" i="10"/>
  <c r="C534" i="10"/>
  <c r="B535" i="10"/>
  <c r="T650" i="10"/>
  <c r="BH649" i="10"/>
  <c r="B536" i="10"/>
  <c r="BF535" i="10"/>
  <c r="C535" i="10"/>
  <c r="AB533" i="10"/>
  <c r="M533" i="10"/>
  <c r="I534" i="10"/>
  <c r="AA533" i="10"/>
  <c r="Y533" i="10"/>
  <c r="Z533" i="10"/>
  <c r="AI648" i="10"/>
  <c r="AJ648" i="10"/>
  <c r="C641" i="38"/>
  <c r="I535" i="10"/>
  <c r="AB534" i="10"/>
  <c r="AA534" i="10"/>
  <c r="Y534" i="10"/>
  <c r="Z534" i="10"/>
  <c r="M534" i="10"/>
  <c r="T651" i="10"/>
  <c r="BH650" i="10"/>
  <c r="BF536" i="10"/>
  <c r="B537" i="10"/>
  <c r="C536" i="10"/>
  <c r="T652" i="10"/>
  <c r="BH651" i="10"/>
  <c r="AB535" i="10"/>
  <c r="I536" i="10"/>
  <c r="AA535" i="10"/>
  <c r="Y535" i="10"/>
  <c r="Z535" i="10"/>
  <c r="M535" i="10"/>
  <c r="B538" i="10"/>
  <c r="C537" i="10"/>
  <c r="BF537" i="10"/>
  <c r="I537" i="10"/>
  <c r="AB536" i="10"/>
  <c r="AE535" i="10"/>
  <c r="AA536" i="10"/>
  <c r="Y536" i="10"/>
  <c r="Z536" i="10"/>
  <c r="M536" i="10"/>
  <c r="AN81" i="26"/>
  <c r="B81" i="12"/>
  <c r="AE533" i="10"/>
  <c r="BH652" i="10"/>
  <c r="T653" i="10"/>
  <c r="B539" i="10"/>
  <c r="BF538" i="10"/>
  <c r="C538" i="10"/>
  <c r="AE536" i="10"/>
  <c r="AX81" i="26"/>
  <c r="AW81" i="26"/>
  <c r="AA537" i="10"/>
  <c r="Y537" i="10"/>
  <c r="Z537" i="10"/>
  <c r="M537" i="10"/>
  <c r="I538" i="10"/>
  <c r="AB537" i="10"/>
  <c r="AF533" i="10"/>
  <c r="B540" i="10"/>
  <c r="BF539" i="10"/>
  <c r="C539" i="10"/>
  <c r="BH653" i="10"/>
  <c r="T654" i="10"/>
  <c r="BH654" i="10"/>
  <c r="T655" i="10"/>
  <c r="BF540" i="10"/>
  <c r="B541" i="10"/>
  <c r="C540" i="10"/>
  <c r="AB538" i="10"/>
  <c r="I539" i="10"/>
  <c r="AA538" i="10"/>
  <c r="Y538" i="10"/>
  <c r="Z538" i="10"/>
  <c r="M538" i="10"/>
  <c r="T656" i="10"/>
  <c r="BH655" i="10"/>
  <c r="AH654" i="10"/>
  <c r="B542" i="10"/>
  <c r="C541" i="10"/>
  <c r="BF541" i="10"/>
  <c r="AB539" i="10"/>
  <c r="I540" i="10"/>
  <c r="AA539" i="10"/>
  <c r="Y539" i="10"/>
  <c r="Z539" i="10"/>
  <c r="M539" i="10"/>
  <c r="BH656" i="10"/>
  <c r="T657" i="10"/>
  <c r="I541" i="10"/>
  <c r="AA540" i="10"/>
  <c r="Y540" i="10"/>
  <c r="Z540" i="10"/>
  <c r="M540" i="10"/>
  <c r="AB540" i="10"/>
  <c r="BF542" i="10"/>
  <c r="C542" i="10"/>
  <c r="B543" i="10"/>
  <c r="AI655" i="10"/>
  <c r="AJ655" i="10"/>
  <c r="C648" i="38"/>
  <c r="B544" i="10"/>
  <c r="C543" i="10"/>
  <c r="BF543" i="10"/>
  <c r="BH657" i="10"/>
  <c r="T658" i="10"/>
  <c r="AB541" i="10"/>
  <c r="AA541" i="10"/>
  <c r="Y541" i="10"/>
  <c r="Z541" i="10"/>
  <c r="M541" i="10"/>
  <c r="I542" i="10"/>
  <c r="BF544" i="10"/>
  <c r="B545" i="10"/>
  <c r="C544" i="10"/>
  <c r="I543" i="10"/>
  <c r="AA542" i="10"/>
  <c r="Y542" i="10"/>
  <c r="Z542" i="10"/>
  <c r="M542" i="10"/>
  <c r="AB542" i="10"/>
  <c r="T659" i="10"/>
  <c r="BH658" i="10"/>
  <c r="BF545" i="10"/>
  <c r="C545" i="10"/>
  <c r="B546" i="10"/>
  <c r="T660" i="10"/>
  <c r="BH659" i="10"/>
  <c r="AA543" i="10"/>
  <c r="Y543" i="10"/>
  <c r="Z543" i="10"/>
  <c r="M543" i="10"/>
  <c r="I544" i="10"/>
  <c r="AB543" i="10"/>
  <c r="AE542" i="10"/>
  <c r="AN82" i="26"/>
  <c r="B82" i="12"/>
  <c r="AE540" i="10"/>
  <c r="BF546" i="10"/>
  <c r="C546" i="10"/>
  <c r="B547" i="10"/>
  <c r="AE543" i="10"/>
  <c r="AX82" i="26"/>
  <c r="AW82" i="26"/>
  <c r="I545" i="10"/>
  <c r="AB544" i="10"/>
  <c r="AA544" i="10"/>
  <c r="Y544" i="10"/>
  <c r="Z544" i="10"/>
  <c r="M544" i="10"/>
  <c r="AF540" i="10"/>
  <c r="T661" i="10"/>
  <c r="BH660" i="10"/>
  <c r="B548" i="10"/>
  <c r="C547" i="10"/>
  <c r="BF547" i="10"/>
  <c r="I546" i="10"/>
  <c r="AA545" i="10"/>
  <c r="Y545" i="10"/>
  <c r="Z545" i="10"/>
  <c r="M545" i="10"/>
  <c r="AB545" i="10"/>
  <c r="T662" i="10"/>
  <c r="BH661" i="10"/>
  <c r="AH661" i="10"/>
  <c r="BF548" i="10"/>
  <c r="C548" i="10"/>
  <c r="B549" i="10"/>
  <c r="AI662" i="10"/>
  <c r="AJ662" i="10"/>
  <c r="C655" i="38"/>
  <c r="T663" i="10"/>
  <c r="BH662" i="10"/>
  <c r="I547" i="10"/>
  <c r="AA546" i="10"/>
  <c r="Y546" i="10"/>
  <c r="Z546" i="10"/>
  <c r="M546" i="10"/>
  <c r="AB546" i="10"/>
  <c r="AB547" i="10"/>
  <c r="M547" i="10"/>
  <c r="I548" i="10"/>
  <c r="AA547" i="10"/>
  <c r="Y547" i="10"/>
  <c r="Z547" i="10"/>
  <c r="T664" i="10"/>
  <c r="BH663" i="10"/>
  <c r="B550" i="10"/>
  <c r="BF549" i="10"/>
  <c r="C549" i="10"/>
  <c r="T665" i="10"/>
  <c r="BH664" i="10"/>
  <c r="BF550" i="10"/>
  <c r="B551" i="10"/>
  <c r="C550" i="10"/>
  <c r="I549" i="10"/>
  <c r="AB548" i="10"/>
  <c r="M548" i="10"/>
  <c r="AA548" i="10"/>
  <c r="Y548" i="10"/>
  <c r="Z548" i="10"/>
  <c r="AB549" i="10"/>
  <c r="I550" i="10"/>
  <c r="AA549" i="10"/>
  <c r="Y549" i="10"/>
  <c r="Z549" i="10"/>
  <c r="M549" i="10"/>
  <c r="T666" i="10"/>
  <c r="BH665" i="10"/>
  <c r="B552" i="10"/>
  <c r="C551" i="10"/>
  <c r="BF551" i="10"/>
  <c r="I551" i="10"/>
  <c r="AB550" i="10"/>
  <c r="AE549" i="10"/>
  <c r="AA550" i="10"/>
  <c r="Y550" i="10"/>
  <c r="Z550" i="10"/>
  <c r="M550" i="10"/>
  <c r="AN83" i="26"/>
  <c r="B83" i="12"/>
  <c r="AE547" i="10"/>
  <c r="BH666" i="10"/>
  <c r="T667" i="10"/>
  <c r="B553" i="10"/>
  <c r="BF552" i="10"/>
  <c r="C552" i="10"/>
  <c r="B554" i="10"/>
  <c r="BF553" i="10"/>
  <c r="C553" i="10"/>
  <c r="AF547" i="10"/>
  <c r="AE550" i="10"/>
  <c r="AX83" i="26"/>
  <c r="AW83" i="26"/>
  <c r="AA551" i="10"/>
  <c r="Y551" i="10"/>
  <c r="Z551" i="10"/>
  <c r="M551" i="10"/>
  <c r="I552" i="10"/>
  <c r="AB551" i="10"/>
  <c r="BH667" i="10"/>
  <c r="T668" i="10"/>
  <c r="BF554" i="10"/>
  <c r="B555" i="10"/>
  <c r="C554" i="10"/>
  <c r="AB552" i="10"/>
  <c r="I553" i="10"/>
  <c r="AA552" i="10"/>
  <c r="Y552" i="10"/>
  <c r="Z552" i="10"/>
  <c r="M552" i="10"/>
  <c r="BH668" i="10"/>
  <c r="T669" i="10"/>
  <c r="AH668" i="10"/>
  <c r="B556" i="10"/>
  <c r="C555" i="10"/>
  <c r="BF555" i="10"/>
  <c r="AI669" i="10"/>
  <c r="AJ669" i="10"/>
  <c r="C662" i="38"/>
  <c r="T670" i="10"/>
  <c r="BH669" i="10"/>
  <c r="AB553" i="10"/>
  <c r="I554" i="10"/>
  <c r="AA553" i="10"/>
  <c r="Y553" i="10"/>
  <c r="Z553" i="10"/>
  <c r="M553" i="10"/>
  <c r="BF556" i="10"/>
  <c r="C556" i="10"/>
  <c r="B557" i="10"/>
  <c r="BH670" i="10"/>
  <c r="T671" i="10"/>
  <c r="I555" i="10"/>
  <c r="AA554" i="10"/>
  <c r="Y554" i="10"/>
  <c r="Z554" i="10"/>
  <c r="M554" i="10"/>
  <c r="AB554" i="10"/>
  <c r="BH671" i="10"/>
  <c r="T672" i="10"/>
  <c r="AB555" i="10"/>
  <c r="AA555" i="10"/>
  <c r="Y555" i="10"/>
  <c r="Z555" i="10"/>
  <c r="M555" i="10"/>
  <c r="I556" i="10"/>
  <c r="BF557" i="10"/>
  <c r="B558" i="10"/>
  <c r="C557" i="10"/>
  <c r="T673" i="10"/>
  <c r="BH672" i="10"/>
  <c r="I557" i="10"/>
  <c r="AA556" i="10"/>
  <c r="Y556" i="10"/>
  <c r="Z556" i="10"/>
  <c r="M556" i="10"/>
  <c r="AB556" i="10"/>
  <c r="C558" i="10"/>
  <c r="BF558" i="10"/>
  <c r="B559" i="10"/>
  <c r="AB557" i="10"/>
  <c r="AE556" i="10"/>
  <c r="AA557" i="10"/>
  <c r="Y557" i="10"/>
  <c r="Z557" i="10"/>
  <c r="M557" i="10"/>
  <c r="I558" i="10"/>
  <c r="AN84" i="26"/>
  <c r="B84" i="12"/>
  <c r="AE554" i="10"/>
  <c r="BF559" i="10"/>
  <c r="C559" i="10"/>
  <c r="B560" i="10"/>
  <c r="T674" i="10"/>
  <c r="BH673" i="10"/>
  <c r="T675" i="10"/>
  <c r="BH674" i="10"/>
  <c r="AF554" i="10"/>
  <c r="AE557" i="10"/>
  <c r="AX84" i="26"/>
  <c r="AW84" i="26"/>
  <c r="BF560" i="10"/>
  <c r="C560" i="10"/>
  <c r="B561" i="10"/>
  <c r="M558" i="10"/>
  <c r="I559" i="10"/>
  <c r="AB558" i="10"/>
  <c r="AA558" i="10"/>
  <c r="Y558" i="10"/>
  <c r="Z558" i="10"/>
  <c r="T676" i="10"/>
  <c r="BH675" i="10"/>
  <c r="B562" i="10"/>
  <c r="C561" i="10"/>
  <c r="BF561" i="10"/>
  <c r="AB559" i="10"/>
  <c r="I560" i="10"/>
  <c r="AA559" i="10"/>
  <c r="Y559" i="10"/>
  <c r="Z559" i="10"/>
  <c r="M559" i="10"/>
  <c r="T677" i="10"/>
  <c r="BH676" i="10"/>
  <c r="AH675" i="10"/>
  <c r="AB560" i="10"/>
  <c r="I561" i="10"/>
  <c r="AA560" i="10"/>
  <c r="Y560" i="10"/>
  <c r="Z560" i="10"/>
  <c r="M560" i="10"/>
  <c r="B563" i="10"/>
  <c r="C562" i="10"/>
  <c r="BF562" i="10"/>
  <c r="AB561" i="10"/>
  <c r="M561" i="10"/>
  <c r="I562" i="10"/>
  <c r="AA561" i="10"/>
  <c r="Y561" i="10"/>
  <c r="Z561" i="10"/>
  <c r="T678" i="10"/>
  <c r="BH677" i="10"/>
  <c r="B564" i="10"/>
  <c r="BF563" i="10"/>
  <c r="C563" i="10"/>
  <c r="AI676" i="10"/>
  <c r="AJ676" i="10"/>
  <c r="C669" i="38"/>
  <c r="C564" i="10"/>
  <c r="BF564" i="10"/>
  <c r="B565" i="10"/>
  <c r="T679" i="10"/>
  <c r="BH678" i="10"/>
  <c r="AA562" i="10"/>
  <c r="Y562" i="10"/>
  <c r="Z562" i="10"/>
  <c r="M562" i="10"/>
  <c r="I563" i="10"/>
  <c r="AB562" i="10"/>
  <c r="AB563" i="10"/>
  <c r="I564" i="10"/>
  <c r="AA563" i="10"/>
  <c r="Y563" i="10"/>
  <c r="Z563" i="10"/>
  <c r="M563" i="10"/>
  <c r="T680" i="10"/>
  <c r="BH679" i="10"/>
  <c r="BF565" i="10"/>
  <c r="B566" i="10"/>
  <c r="C565" i="10"/>
  <c r="M564" i="10"/>
  <c r="I565" i="10"/>
  <c r="AB564" i="10"/>
  <c r="AE563" i="10"/>
  <c r="AA564" i="10"/>
  <c r="Y564" i="10"/>
  <c r="Z564" i="10"/>
  <c r="AN85" i="26"/>
  <c r="B85" i="12"/>
  <c r="AE561" i="10"/>
  <c r="C566" i="10"/>
  <c r="B567" i="10"/>
  <c r="BF566" i="10"/>
  <c r="BH680" i="10"/>
  <c r="T681" i="10"/>
  <c r="BH681" i="10"/>
  <c r="T682" i="10"/>
  <c r="AE564" i="10"/>
  <c r="AX85" i="26"/>
  <c r="AW85" i="26"/>
  <c r="AF561" i="10"/>
  <c r="AB565" i="10"/>
  <c r="AA565" i="10"/>
  <c r="Y565" i="10"/>
  <c r="Z565" i="10"/>
  <c r="M565" i="10"/>
  <c r="I566" i="10"/>
  <c r="C567" i="10"/>
  <c r="B568" i="10"/>
  <c r="BF567" i="10"/>
  <c r="T683" i="10"/>
  <c r="BH682" i="10"/>
  <c r="C568" i="10"/>
  <c r="BF568" i="10"/>
  <c r="B569" i="10"/>
  <c r="M566" i="10"/>
  <c r="AB566" i="10"/>
  <c r="I567" i="10"/>
  <c r="AA566" i="10"/>
  <c r="Y566" i="10"/>
  <c r="Z566" i="10"/>
  <c r="BF569" i="10"/>
  <c r="B570" i="10"/>
  <c r="C569" i="10"/>
  <c r="T684" i="10"/>
  <c r="BH683" i="10"/>
  <c r="AH682" i="10"/>
  <c r="M567" i="10"/>
  <c r="AB567" i="10"/>
  <c r="I568" i="10"/>
  <c r="AA567" i="10"/>
  <c r="Y567" i="10"/>
  <c r="Z567" i="10"/>
  <c r="C676" i="38"/>
  <c r="AI683" i="10"/>
  <c r="AJ683" i="10"/>
  <c r="BF570" i="10"/>
  <c r="C570" i="10"/>
  <c r="B571" i="10"/>
  <c r="T685" i="10"/>
  <c r="BH684" i="10"/>
  <c r="AB568" i="10"/>
  <c r="M568" i="10"/>
  <c r="I569" i="10"/>
  <c r="AA568" i="10"/>
  <c r="Y568" i="10"/>
  <c r="Z568" i="10"/>
  <c r="BF571" i="10"/>
  <c r="B572" i="10"/>
  <c r="C571" i="10"/>
  <c r="T686" i="10"/>
  <c r="BH685" i="10"/>
  <c r="I570" i="10"/>
  <c r="AB569" i="10"/>
  <c r="AA569" i="10"/>
  <c r="Y569" i="10"/>
  <c r="Z569" i="10"/>
  <c r="M569" i="10"/>
  <c r="AB570" i="10"/>
  <c r="I571" i="10"/>
  <c r="AA570" i="10"/>
  <c r="Y570" i="10"/>
  <c r="Z570" i="10"/>
  <c r="M570" i="10"/>
  <c r="C572" i="10"/>
  <c r="BF572" i="10"/>
  <c r="B573" i="10"/>
  <c r="T687" i="10"/>
  <c r="BH686" i="10"/>
  <c r="AB571" i="10"/>
  <c r="AE570" i="10"/>
  <c r="AA571" i="10"/>
  <c r="Y571" i="10"/>
  <c r="Z571" i="10"/>
  <c r="M571" i="10"/>
  <c r="I572" i="10"/>
  <c r="AN86" i="26"/>
  <c r="B86" i="12"/>
  <c r="AE568" i="10"/>
  <c r="BF573" i="10"/>
  <c r="C573" i="10"/>
  <c r="B574" i="10"/>
  <c r="T688" i="10"/>
  <c r="BH687" i="10"/>
  <c r="BH688" i="10"/>
  <c r="T689" i="10"/>
  <c r="AF568" i="10"/>
  <c r="BF574" i="10"/>
  <c r="C574" i="10"/>
  <c r="B575" i="10"/>
  <c r="AE571" i="10"/>
  <c r="AX86" i="26"/>
  <c r="AW86" i="26"/>
  <c r="M572" i="10"/>
  <c r="I573" i="10"/>
  <c r="AB572" i="10"/>
  <c r="AA572" i="10"/>
  <c r="Y572" i="10"/>
  <c r="Z572" i="10"/>
  <c r="T690" i="10"/>
  <c r="BH689" i="10"/>
  <c r="B576" i="10"/>
  <c r="C575" i="10"/>
  <c r="BF575" i="10"/>
  <c r="AB573" i="10"/>
  <c r="I574" i="10"/>
  <c r="AA573" i="10"/>
  <c r="Y573" i="10"/>
  <c r="Z573" i="10"/>
  <c r="M573" i="10"/>
  <c r="B577" i="10"/>
  <c r="C576" i="10"/>
  <c r="BF576" i="10"/>
  <c r="T691" i="10"/>
  <c r="BH690" i="10"/>
  <c r="AH689" i="10"/>
  <c r="AB574" i="10"/>
  <c r="I575" i="10"/>
  <c r="AA574" i="10"/>
  <c r="Y574" i="10"/>
  <c r="Z574" i="10"/>
  <c r="M574" i="10"/>
  <c r="B578" i="10"/>
  <c r="BF577" i="10"/>
  <c r="C577" i="10"/>
  <c r="C683" i="38"/>
  <c r="AI690" i="10"/>
  <c r="AJ690" i="10"/>
  <c r="AB575" i="10"/>
  <c r="M575" i="10"/>
  <c r="I576" i="10"/>
  <c r="AA575" i="10"/>
  <c r="Y575" i="10"/>
  <c r="Z575" i="10"/>
  <c r="T692" i="10"/>
  <c r="BH691" i="10"/>
  <c r="T693" i="10"/>
  <c r="BH692" i="10"/>
  <c r="C578" i="10"/>
  <c r="BF578" i="10"/>
  <c r="B579" i="10"/>
  <c r="AA576" i="10"/>
  <c r="Y576" i="10"/>
  <c r="Z576" i="10"/>
  <c r="M576" i="10"/>
  <c r="I577" i="10"/>
  <c r="AB576" i="10"/>
  <c r="AB577" i="10"/>
  <c r="I578" i="10"/>
  <c r="AA577" i="10"/>
  <c r="Y577" i="10"/>
  <c r="Z577" i="10"/>
  <c r="M577" i="10"/>
  <c r="B580" i="10"/>
  <c r="BF579" i="10"/>
  <c r="C579" i="10"/>
  <c r="T694" i="10"/>
  <c r="BH693" i="10"/>
  <c r="I579" i="10"/>
  <c r="M578" i="10"/>
  <c r="AB578" i="10"/>
  <c r="AE577" i="10"/>
  <c r="AA578" i="10"/>
  <c r="Y578" i="10"/>
  <c r="Z578" i="10"/>
  <c r="AN87" i="26"/>
  <c r="B87" i="12"/>
  <c r="AE575" i="10"/>
  <c r="BF580" i="10"/>
  <c r="B581" i="10"/>
  <c r="C580" i="10"/>
  <c r="T695" i="10"/>
  <c r="BH694" i="10"/>
  <c r="AF575" i="10"/>
  <c r="I580" i="10"/>
  <c r="AA579" i="10"/>
  <c r="Y579" i="10"/>
  <c r="Z579" i="10"/>
  <c r="M579" i="10"/>
  <c r="AB579" i="10"/>
  <c r="AE578" i="10"/>
  <c r="AX87" i="26"/>
  <c r="AW87" i="26"/>
  <c r="T696" i="10"/>
  <c r="BH695" i="10"/>
  <c r="BF581" i="10"/>
  <c r="B582" i="10"/>
  <c r="C581" i="10"/>
  <c r="I581" i="10"/>
  <c r="AA580" i="10"/>
  <c r="Y580" i="10"/>
  <c r="Z580" i="10"/>
  <c r="M580" i="10"/>
  <c r="AB580" i="10"/>
  <c r="B583" i="10"/>
  <c r="BF582" i="10"/>
  <c r="C582" i="10"/>
  <c r="T697" i="10"/>
  <c r="BH696" i="10"/>
  <c r="C583" i="10"/>
  <c r="B584" i="10"/>
  <c r="BF583" i="10"/>
  <c r="I582" i="10"/>
  <c r="AA581" i="10"/>
  <c r="Y581" i="10"/>
  <c r="Z581" i="10"/>
  <c r="AB581" i="10"/>
  <c r="M581" i="10"/>
  <c r="BH697" i="10"/>
  <c r="T698" i="10"/>
  <c r="AH696" i="10"/>
  <c r="B585" i="10"/>
  <c r="BF584" i="10"/>
  <c r="C584" i="10"/>
  <c r="T699" i="10"/>
  <c r="BH698" i="10"/>
  <c r="I583" i="10"/>
  <c r="AA582" i="10"/>
  <c r="Y582" i="10"/>
  <c r="Z582" i="10"/>
  <c r="M582" i="10"/>
  <c r="AB582" i="10"/>
  <c r="AI697" i="10"/>
  <c r="AJ697" i="10"/>
  <c r="C690" i="38"/>
  <c r="B586" i="10"/>
  <c r="BF585" i="10"/>
  <c r="C585" i="10"/>
  <c r="T700" i="10"/>
  <c r="BH699" i="10"/>
  <c r="AB583" i="10"/>
  <c r="I584" i="10"/>
  <c r="AA583" i="10"/>
  <c r="Y583" i="10"/>
  <c r="Z583" i="10"/>
  <c r="M583" i="10"/>
  <c r="T701" i="10"/>
  <c r="BH700" i="10"/>
  <c r="B587" i="10"/>
  <c r="BF586" i="10"/>
  <c r="C586" i="10"/>
  <c r="I585" i="10"/>
  <c r="AA584" i="10"/>
  <c r="Y584" i="10"/>
  <c r="Z584" i="10"/>
  <c r="M584" i="10"/>
  <c r="AB584" i="10"/>
  <c r="BH701" i="10"/>
  <c r="T702" i="10"/>
  <c r="I586" i="10"/>
  <c r="AA585" i="10"/>
  <c r="Y585" i="10"/>
  <c r="Z585" i="10"/>
  <c r="AB585" i="10"/>
  <c r="AE584" i="10"/>
  <c r="M585" i="10"/>
  <c r="AN88" i="26"/>
  <c r="B88" i="12"/>
  <c r="AE582" i="10"/>
  <c r="B588" i="10"/>
  <c r="BF587" i="10"/>
  <c r="C587" i="10"/>
  <c r="BH702" i="10"/>
  <c r="T703" i="10"/>
  <c r="AE585" i="10"/>
  <c r="AX88" i="26"/>
  <c r="AW88" i="26"/>
  <c r="AA586" i="10"/>
  <c r="Y586" i="10"/>
  <c r="Z586" i="10"/>
  <c r="I587" i="10"/>
  <c r="M586" i="10"/>
  <c r="AB586" i="10"/>
  <c r="B589" i="10"/>
  <c r="BF588" i="10"/>
  <c r="C588" i="10"/>
  <c r="AF582" i="10"/>
  <c r="BF589" i="10"/>
  <c r="B590" i="10"/>
  <c r="C589" i="10"/>
  <c r="T704" i="10"/>
  <c r="BH703" i="10"/>
  <c r="I588" i="10"/>
  <c r="AA587" i="10"/>
  <c r="Y587" i="10"/>
  <c r="Z587" i="10"/>
  <c r="M587" i="10"/>
  <c r="AB587" i="10"/>
  <c r="I589" i="10"/>
  <c r="AA588" i="10"/>
  <c r="Y588" i="10"/>
  <c r="Z588" i="10"/>
  <c r="AB588" i="10"/>
  <c r="M588" i="10"/>
  <c r="BF590" i="10"/>
  <c r="C590" i="10"/>
  <c r="B591" i="10"/>
  <c r="T705" i="10"/>
  <c r="BH704" i="10"/>
  <c r="AH703" i="10"/>
  <c r="I590" i="10"/>
  <c r="AA589" i="10"/>
  <c r="Y589" i="10"/>
  <c r="Z589" i="10"/>
  <c r="AB589" i="10"/>
  <c r="M589" i="10"/>
  <c r="C697" i="38"/>
  <c r="AI704" i="10"/>
  <c r="AJ704" i="10"/>
  <c r="T706" i="10"/>
  <c r="BH705" i="10"/>
  <c r="BF591" i="10"/>
  <c r="C591" i="10"/>
  <c r="B592" i="10"/>
  <c r="AB590" i="10"/>
  <c r="M590" i="10"/>
  <c r="I591" i="10"/>
  <c r="AA590" i="10"/>
  <c r="Y590" i="10"/>
  <c r="Z590" i="10"/>
  <c r="B593" i="10"/>
  <c r="BF592" i="10"/>
  <c r="C592" i="10"/>
  <c r="T707" i="10"/>
  <c r="BH706" i="10"/>
  <c r="T708" i="10"/>
  <c r="BH707" i="10"/>
  <c r="B594" i="10"/>
  <c r="C593" i="10"/>
  <c r="BF593" i="10"/>
  <c r="I592" i="10"/>
  <c r="AA591" i="10"/>
  <c r="Y591" i="10"/>
  <c r="Z591" i="10"/>
  <c r="M591" i="10"/>
  <c r="AB591" i="10"/>
  <c r="AA592" i="10"/>
  <c r="Y592" i="10"/>
  <c r="Z592" i="10"/>
  <c r="I593" i="10"/>
  <c r="M592" i="10"/>
  <c r="AB592" i="10"/>
  <c r="AE591" i="10"/>
  <c r="AN89" i="26"/>
  <c r="B89" i="12"/>
  <c r="AE589" i="10"/>
  <c r="BH708" i="10"/>
  <c r="T709" i="10"/>
  <c r="BF594" i="10"/>
  <c r="B595" i="10"/>
  <c r="C594" i="10"/>
  <c r="BF595" i="10"/>
  <c r="B596" i="10"/>
  <c r="C595" i="10"/>
  <c r="AF589" i="10"/>
  <c r="I594" i="10"/>
  <c r="AA593" i="10"/>
  <c r="Y593" i="10"/>
  <c r="Z593" i="10"/>
  <c r="AB593" i="10"/>
  <c r="M593" i="10"/>
  <c r="T710" i="10"/>
  <c r="BH709" i="10"/>
  <c r="AE592" i="10"/>
  <c r="AX89" i="26"/>
  <c r="AW89" i="26"/>
  <c r="T711" i="10"/>
  <c r="BH710" i="10"/>
  <c r="I595" i="10"/>
  <c r="AA594" i="10"/>
  <c r="Y594" i="10"/>
  <c r="Z594" i="10"/>
  <c r="AB594" i="10"/>
  <c r="M594" i="10"/>
  <c r="B597" i="10"/>
  <c r="BF596" i="10"/>
  <c r="C596" i="10"/>
  <c r="I596" i="10"/>
  <c r="AA595" i="10"/>
  <c r="Y595" i="10"/>
  <c r="Z595" i="10"/>
  <c r="M595" i="10"/>
  <c r="AB595" i="10"/>
  <c r="T712" i="10"/>
  <c r="BH711" i="10"/>
  <c r="AH710" i="10"/>
  <c r="B598" i="10"/>
  <c r="BF597" i="10"/>
  <c r="C597" i="10"/>
  <c r="T713" i="10"/>
  <c r="BH712" i="10"/>
  <c r="I597" i="10"/>
  <c r="AA596" i="10"/>
  <c r="Y596" i="10"/>
  <c r="Z596" i="10"/>
  <c r="AB596" i="10"/>
  <c r="M596" i="10"/>
  <c r="B599" i="10"/>
  <c r="BF598" i="10"/>
  <c r="C598" i="10"/>
  <c r="AI711" i="10"/>
  <c r="AJ711" i="10"/>
  <c r="C704" i="38"/>
  <c r="T714" i="10"/>
  <c r="BH713" i="10"/>
  <c r="B600" i="10"/>
  <c r="C599" i="10"/>
  <c r="BF599" i="10"/>
  <c r="AB597" i="10"/>
  <c r="AA597" i="10"/>
  <c r="Y597" i="10"/>
  <c r="Z597" i="10"/>
  <c r="M597" i="10"/>
  <c r="I598" i="10"/>
  <c r="I599" i="10"/>
  <c r="AA598" i="10"/>
  <c r="Y598" i="10"/>
  <c r="Z598" i="10"/>
  <c r="M598" i="10"/>
  <c r="AB598" i="10"/>
  <c r="T715" i="10"/>
  <c r="BH714" i="10"/>
  <c r="B601" i="10"/>
  <c r="BF600" i="10"/>
  <c r="C600" i="10"/>
  <c r="BH715" i="10"/>
  <c r="T716" i="10"/>
  <c r="I600" i="10"/>
  <c r="AA599" i="10"/>
  <c r="Y599" i="10"/>
  <c r="Z599" i="10"/>
  <c r="M599" i="10"/>
  <c r="AB599" i="10"/>
  <c r="AE598" i="10"/>
  <c r="AN90" i="26"/>
  <c r="B90" i="12"/>
  <c r="AE596" i="10"/>
  <c r="B602" i="10"/>
  <c r="BF601" i="10"/>
  <c r="C601" i="10"/>
  <c r="AE599" i="10"/>
  <c r="AX90" i="26"/>
  <c r="AW90" i="26"/>
  <c r="BH716" i="10"/>
  <c r="T717" i="10"/>
  <c r="B603" i="10"/>
  <c r="BF602" i="10"/>
  <c r="C602" i="10"/>
  <c r="AA600" i="10"/>
  <c r="Y600" i="10"/>
  <c r="Z600" i="10"/>
  <c r="I601" i="10"/>
  <c r="AB600" i="10"/>
  <c r="M600" i="10"/>
  <c r="AF596" i="10"/>
  <c r="AB601" i="10"/>
  <c r="I602" i="10"/>
  <c r="AA601" i="10"/>
  <c r="Y601" i="10"/>
  <c r="Z601" i="10"/>
  <c r="M601" i="10"/>
  <c r="BF603" i="10"/>
  <c r="B604" i="10"/>
  <c r="C603" i="10"/>
  <c r="BH717" i="10"/>
  <c r="T718" i="10"/>
  <c r="T719" i="10"/>
  <c r="BH718" i="10"/>
  <c r="AH717" i="10"/>
  <c r="AB602" i="10"/>
  <c r="I603" i="10"/>
  <c r="AA602" i="10"/>
  <c r="Y602" i="10"/>
  <c r="Z602" i="10"/>
  <c r="M602" i="10"/>
  <c r="B605" i="10"/>
  <c r="C604" i="10"/>
  <c r="BF604" i="10"/>
  <c r="C711" i="38"/>
  <c r="AI718" i="10"/>
  <c r="AJ718" i="10"/>
  <c r="I604" i="10"/>
  <c r="AA603" i="10"/>
  <c r="Y603" i="10"/>
  <c r="Z603" i="10"/>
  <c r="M603" i="10"/>
  <c r="AB603" i="10"/>
  <c r="T720" i="10"/>
  <c r="BH719" i="10"/>
  <c r="BF605" i="10"/>
  <c r="C605" i="10"/>
  <c r="B606" i="10"/>
  <c r="T721" i="10"/>
  <c r="BH720" i="10"/>
  <c r="AB604" i="10"/>
  <c r="AA604" i="10"/>
  <c r="Y604" i="10"/>
  <c r="Z604" i="10"/>
  <c r="M604" i="10"/>
  <c r="I605" i="10"/>
  <c r="B607" i="10"/>
  <c r="C606" i="10"/>
  <c r="BF606" i="10"/>
  <c r="I606" i="10"/>
  <c r="AA605" i="10"/>
  <c r="Y605" i="10"/>
  <c r="Z605" i="10"/>
  <c r="M605" i="10"/>
  <c r="AB605" i="10"/>
  <c r="T722" i="10"/>
  <c r="BH721" i="10"/>
  <c r="BF607" i="10"/>
  <c r="B608" i="10"/>
  <c r="C607" i="10"/>
  <c r="BF608" i="10"/>
  <c r="C608" i="10"/>
  <c r="B609" i="10"/>
  <c r="T723" i="10"/>
  <c r="BH722" i="10"/>
  <c r="AA606" i="10"/>
  <c r="Y606" i="10"/>
  <c r="Z606" i="10"/>
  <c r="M606" i="10"/>
  <c r="I607" i="10"/>
  <c r="AB606" i="10"/>
  <c r="AE605" i="10"/>
  <c r="AN91" i="26"/>
  <c r="B91" i="12"/>
  <c r="AE603" i="10"/>
  <c r="AF603" i="10"/>
  <c r="BF609" i="10"/>
  <c r="C609" i="10"/>
  <c r="B610" i="10"/>
  <c r="AE606" i="10"/>
  <c r="AX91" i="26"/>
  <c r="AW91" i="26"/>
  <c r="I608" i="10"/>
  <c r="AB607" i="10"/>
  <c r="AA607" i="10"/>
  <c r="Y607" i="10"/>
  <c r="Z607" i="10"/>
  <c r="M607" i="10"/>
  <c r="T724" i="10"/>
  <c r="BH723" i="10"/>
  <c r="B611" i="10"/>
  <c r="C610" i="10"/>
  <c r="BF610" i="10"/>
  <c r="T725" i="10"/>
  <c r="BH724" i="10"/>
  <c r="I609" i="10"/>
  <c r="AA608" i="10"/>
  <c r="Y608" i="10"/>
  <c r="Z608" i="10"/>
  <c r="M608" i="10"/>
  <c r="AB608" i="10"/>
  <c r="I610" i="10"/>
  <c r="AA609" i="10"/>
  <c r="Y609" i="10"/>
  <c r="Z609" i="10"/>
  <c r="M609" i="10"/>
  <c r="AB609" i="10"/>
  <c r="BF611" i="10"/>
  <c r="C611" i="10"/>
  <c r="B612" i="10"/>
  <c r="BH725" i="10"/>
  <c r="T727" i="10"/>
  <c r="AH724" i="10"/>
  <c r="BD104" i="26"/>
  <c r="BF104" i="26"/>
  <c r="AK104" i="12"/>
  <c r="BD106" i="26"/>
  <c r="BF106" i="26"/>
  <c r="AK106" i="12"/>
  <c r="BS104" i="26"/>
  <c r="BU104" i="26"/>
  <c r="BH104" i="12"/>
  <c r="BG105" i="26"/>
  <c r="BI105" i="26"/>
  <c r="AN105" i="12"/>
  <c r="BS105" i="26"/>
  <c r="BG106" i="26"/>
  <c r="BI106" i="26"/>
  <c r="AN106" i="12"/>
  <c r="BS106" i="26"/>
  <c r="BD105" i="26"/>
  <c r="BF105" i="26"/>
  <c r="AK105" i="12"/>
  <c r="BG104" i="26"/>
  <c r="BI104" i="26"/>
  <c r="AN104" i="12"/>
  <c r="AI725" i="10"/>
  <c r="C718" i="38"/>
  <c r="AB610" i="10"/>
  <c r="M610" i="10"/>
  <c r="I611" i="10"/>
  <c r="AA610" i="10"/>
  <c r="Y610" i="10"/>
  <c r="Z610" i="10"/>
  <c r="B613" i="10"/>
  <c r="BF612" i="10"/>
  <c r="C612" i="10"/>
  <c r="I612" i="10"/>
  <c r="AB611" i="10"/>
  <c r="M611" i="10"/>
  <c r="AA611" i="10"/>
  <c r="Y611" i="10"/>
  <c r="Z611" i="10"/>
  <c r="AJ725" i="10"/>
  <c r="BT106" i="26"/>
  <c r="BG106" i="12"/>
  <c r="BT105" i="26"/>
  <c r="BG105" i="12"/>
  <c r="BF613" i="10"/>
  <c r="B614" i="10"/>
  <c r="C613" i="10"/>
  <c r="BU105" i="26"/>
  <c r="BH105" i="12"/>
  <c r="BU106" i="26"/>
  <c r="BH106" i="12"/>
  <c r="AB612" i="10"/>
  <c r="I613" i="10"/>
  <c r="AA612" i="10"/>
  <c r="Y612" i="10"/>
  <c r="Z612" i="10"/>
  <c r="M612" i="10"/>
  <c r="B615" i="10"/>
  <c r="C614" i="10"/>
  <c r="BF614" i="10"/>
  <c r="I614" i="10"/>
  <c r="AB613" i="10"/>
  <c r="AE612" i="10"/>
  <c r="AA613" i="10"/>
  <c r="Y613" i="10"/>
  <c r="Z613" i="10"/>
  <c r="M613" i="10"/>
  <c r="AN92" i="26"/>
  <c r="B92" i="12"/>
  <c r="AE610" i="10"/>
  <c r="B616" i="10"/>
  <c r="BF615" i="10"/>
  <c r="C615" i="10"/>
  <c r="B617" i="10"/>
  <c r="BF616" i="10"/>
  <c r="C616" i="10"/>
  <c r="AF610" i="10"/>
  <c r="AA614" i="10"/>
  <c r="Y614" i="10"/>
  <c r="Z614" i="10"/>
  <c r="M614" i="10"/>
  <c r="I615" i="10"/>
  <c r="AB614" i="10"/>
  <c r="AE613" i="10"/>
  <c r="AX92" i="26"/>
  <c r="AW92" i="26"/>
  <c r="BF617" i="10"/>
  <c r="B618" i="10"/>
  <c r="C617" i="10"/>
  <c r="AB615" i="10"/>
  <c r="I616" i="10"/>
  <c r="AA615" i="10"/>
  <c r="Y615" i="10"/>
  <c r="Z615" i="10"/>
  <c r="M615" i="10"/>
  <c r="B619" i="10"/>
  <c r="C618" i="10"/>
  <c r="BF618" i="10"/>
  <c r="AB616" i="10"/>
  <c r="I617" i="10"/>
  <c r="AA616" i="10"/>
  <c r="Y616" i="10"/>
  <c r="Z616" i="10"/>
  <c r="M616" i="10"/>
  <c r="I618" i="10"/>
  <c r="AA617" i="10"/>
  <c r="Y617" i="10"/>
  <c r="Z617" i="10"/>
  <c r="M617" i="10"/>
  <c r="AB617" i="10"/>
  <c r="BF619" i="10"/>
  <c r="C619" i="10"/>
  <c r="B620" i="10"/>
  <c r="AB618" i="10"/>
  <c r="AA618" i="10"/>
  <c r="Y618" i="10"/>
  <c r="Z618" i="10"/>
  <c r="M618" i="10"/>
  <c r="I619" i="10"/>
  <c r="B621" i="10"/>
  <c r="C620" i="10"/>
  <c r="BF620" i="10"/>
  <c r="BF621" i="10"/>
  <c r="B622" i="10"/>
  <c r="C621" i="10"/>
  <c r="I620" i="10"/>
  <c r="AA619" i="10"/>
  <c r="Y619" i="10"/>
  <c r="Z619" i="10"/>
  <c r="M619" i="10"/>
  <c r="AB619" i="10"/>
  <c r="BF622" i="10"/>
  <c r="C622" i="10"/>
  <c r="B623" i="10"/>
  <c r="AA620" i="10"/>
  <c r="Y620" i="10"/>
  <c r="Z620" i="10"/>
  <c r="M620" i="10"/>
  <c r="I621" i="10"/>
  <c r="AB620" i="10"/>
  <c r="AE619" i="10"/>
  <c r="AN93" i="26"/>
  <c r="B93" i="12"/>
  <c r="AE617" i="10"/>
  <c r="AE620" i="10"/>
  <c r="AX93" i="26"/>
  <c r="AW93" i="26"/>
  <c r="BF623" i="10"/>
  <c r="C623" i="10"/>
  <c r="B624" i="10"/>
  <c r="I622" i="10"/>
  <c r="AB621" i="10"/>
  <c r="AA621" i="10"/>
  <c r="Y621" i="10"/>
  <c r="Z621" i="10"/>
  <c r="M621" i="10"/>
  <c r="AF617" i="10"/>
  <c r="I623" i="10"/>
  <c r="AA622" i="10"/>
  <c r="Y622" i="10"/>
  <c r="Z622" i="10"/>
  <c r="M622" i="10"/>
  <c r="AB622" i="10"/>
  <c r="B625" i="10"/>
  <c r="C624" i="10"/>
  <c r="BF624" i="10"/>
  <c r="I624" i="10"/>
  <c r="AA623" i="10"/>
  <c r="Y623" i="10"/>
  <c r="Z623" i="10"/>
  <c r="M623" i="10"/>
  <c r="AB623" i="10"/>
  <c r="BF625" i="10"/>
  <c r="B626" i="10"/>
  <c r="C625" i="10"/>
  <c r="AB624" i="10"/>
  <c r="M624" i="10"/>
  <c r="I625" i="10"/>
  <c r="AA624" i="10"/>
  <c r="Y624" i="10"/>
  <c r="Z624" i="10"/>
  <c r="B627" i="10"/>
  <c r="BF626" i="10"/>
  <c r="C626" i="10"/>
  <c r="I626" i="10"/>
  <c r="AB625" i="10"/>
  <c r="M625" i="10"/>
  <c r="AA625" i="10"/>
  <c r="Y625" i="10"/>
  <c r="Z625" i="10"/>
  <c r="BF627" i="10"/>
  <c r="B628" i="10"/>
  <c r="C627" i="10"/>
  <c r="B629" i="10"/>
  <c r="C628" i="10"/>
  <c r="BF628" i="10"/>
  <c r="AB626" i="10"/>
  <c r="I627" i="10"/>
  <c r="AA626" i="10"/>
  <c r="Y626" i="10"/>
  <c r="Z626" i="10"/>
  <c r="M626" i="10"/>
  <c r="I628" i="10"/>
  <c r="AB627" i="10"/>
  <c r="AE626" i="10"/>
  <c r="AA627" i="10"/>
  <c r="Y627" i="10"/>
  <c r="Z627" i="10"/>
  <c r="M627" i="10"/>
  <c r="AN94" i="26"/>
  <c r="B94" i="12"/>
  <c r="AE624" i="10"/>
  <c r="B630" i="10"/>
  <c r="BF629" i="10"/>
  <c r="C629" i="10"/>
  <c r="B631" i="10"/>
  <c r="BF630" i="10"/>
  <c r="C630" i="10"/>
  <c r="AF624" i="10"/>
  <c r="AE627" i="10"/>
  <c r="AX94" i="26"/>
  <c r="AW94" i="26"/>
  <c r="AA628" i="10"/>
  <c r="Y628" i="10"/>
  <c r="Z628" i="10"/>
  <c r="M628" i="10"/>
  <c r="I629" i="10"/>
  <c r="AB628" i="10"/>
  <c r="BF631" i="10"/>
  <c r="B632" i="10"/>
  <c r="C631" i="10"/>
  <c r="AB629" i="10"/>
  <c r="I630" i="10"/>
  <c r="AA629" i="10"/>
  <c r="Y629" i="10"/>
  <c r="Z629" i="10"/>
  <c r="M629" i="10"/>
  <c r="B633" i="10"/>
  <c r="C632" i="10"/>
  <c r="BF632" i="10"/>
  <c r="AB630" i="10"/>
  <c r="I631" i="10"/>
  <c r="AA630" i="10"/>
  <c r="Y630" i="10"/>
  <c r="Z630" i="10"/>
  <c r="M630" i="10"/>
  <c r="I632" i="10"/>
  <c r="AA631" i="10"/>
  <c r="Y631" i="10"/>
  <c r="Z631" i="10"/>
  <c r="AB631" i="10"/>
  <c r="M631" i="10"/>
  <c r="BF633" i="10"/>
  <c r="C633" i="10"/>
  <c r="B634" i="10"/>
  <c r="AB632" i="10"/>
  <c r="AA632" i="10"/>
  <c r="Y632" i="10"/>
  <c r="Z632" i="10"/>
  <c r="M632" i="10"/>
  <c r="I633" i="10"/>
  <c r="B635" i="10"/>
  <c r="C634" i="10"/>
  <c r="BF634" i="10"/>
  <c r="BF635" i="10"/>
  <c r="B636" i="10"/>
  <c r="C635" i="10"/>
  <c r="I634" i="10"/>
  <c r="AA633" i="10"/>
  <c r="Y633" i="10"/>
  <c r="Z633" i="10"/>
  <c r="M633" i="10"/>
  <c r="AB633" i="10"/>
  <c r="BF636" i="10"/>
  <c r="C636" i="10"/>
  <c r="B637" i="10"/>
  <c r="AA634" i="10"/>
  <c r="Y634" i="10"/>
  <c r="Z634" i="10"/>
  <c r="M634" i="10"/>
  <c r="I635" i="10"/>
  <c r="AB634" i="10"/>
  <c r="AE633" i="10"/>
  <c r="AN95" i="26"/>
  <c r="B95" i="12"/>
  <c r="AE631" i="10"/>
  <c r="AE634" i="10"/>
  <c r="AX95" i="26"/>
  <c r="AW95" i="26"/>
  <c r="BF637" i="10"/>
  <c r="C637" i="10"/>
  <c r="B638" i="10"/>
  <c r="I636" i="10"/>
  <c r="AB635" i="10"/>
  <c r="AA635" i="10"/>
  <c r="Y635" i="10"/>
  <c r="Z635" i="10"/>
  <c r="M635" i="10"/>
  <c r="AF631" i="10"/>
  <c r="I637" i="10"/>
  <c r="AA636" i="10"/>
  <c r="Y636" i="10"/>
  <c r="Z636" i="10"/>
  <c r="M636" i="10"/>
  <c r="AB636" i="10"/>
  <c r="B639" i="10"/>
  <c r="C638" i="10"/>
  <c r="BF638" i="10"/>
  <c r="BF639" i="10"/>
  <c r="C639" i="10"/>
  <c r="B640" i="10"/>
  <c r="I638" i="10"/>
  <c r="AA637" i="10"/>
  <c r="Y637" i="10"/>
  <c r="Z637" i="10"/>
  <c r="M637" i="10"/>
  <c r="AB637" i="10"/>
  <c r="AB638" i="10"/>
  <c r="M638" i="10"/>
  <c r="I639" i="10"/>
  <c r="AA638" i="10"/>
  <c r="Y638" i="10"/>
  <c r="Z638" i="10"/>
  <c r="B641" i="10"/>
  <c r="BF640" i="10"/>
  <c r="C640" i="10"/>
  <c r="BF641" i="10"/>
  <c r="B642" i="10"/>
  <c r="C641" i="10"/>
  <c r="I640" i="10"/>
  <c r="AB639" i="10"/>
  <c r="M639" i="10"/>
  <c r="AA639" i="10"/>
  <c r="Y639" i="10"/>
  <c r="Z639" i="10"/>
  <c r="B643" i="10"/>
  <c r="C642" i="10"/>
  <c r="BF642" i="10"/>
  <c r="AB640" i="10"/>
  <c r="I641" i="10"/>
  <c r="AA640" i="10"/>
  <c r="Y640" i="10"/>
  <c r="Z640" i="10"/>
  <c r="M640" i="10"/>
  <c r="B644" i="10"/>
  <c r="BF643" i="10"/>
  <c r="C643" i="10"/>
  <c r="I642" i="10"/>
  <c r="AB641" i="10"/>
  <c r="AE640" i="10"/>
  <c r="AA641" i="10"/>
  <c r="Y641" i="10"/>
  <c r="Z641" i="10"/>
  <c r="M641" i="10"/>
  <c r="AN96" i="26"/>
  <c r="B96" i="12"/>
  <c r="AE638" i="10"/>
  <c r="AF638" i="10"/>
  <c r="AE641" i="10"/>
  <c r="AX96" i="26"/>
  <c r="AW96" i="26"/>
  <c r="B645" i="10"/>
  <c r="BF644" i="10"/>
  <c r="C644" i="10"/>
  <c r="AA642" i="10"/>
  <c r="Y642" i="10"/>
  <c r="Z642" i="10"/>
  <c r="M642" i="10"/>
  <c r="I643" i="10"/>
  <c r="AB642" i="10"/>
  <c r="AB643" i="10"/>
  <c r="I644" i="10"/>
  <c r="AA643" i="10"/>
  <c r="Y643" i="10"/>
  <c r="Z643" i="10"/>
  <c r="M643" i="10"/>
  <c r="BF645" i="10"/>
  <c r="B646" i="10"/>
  <c r="C645" i="10"/>
  <c r="B647" i="10"/>
  <c r="C646" i="10"/>
  <c r="BF646" i="10"/>
  <c r="AB644" i="10"/>
  <c r="I645" i="10"/>
  <c r="AA644" i="10"/>
  <c r="Y644" i="10"/>
  <c r="Z644" i="10"/>
  <c r="M644" i="10"/>
  <c r="BF647" i="10"/>
  <c r="C647" i="10"/>
  <c r="B648" i="10"/>
  <c r="I646" i="10"/>
  <c r="AA645" i="10"/>
  <c r="Y645" i="10"/>
  <c r="Z645" i="10"/>
  <c r="M645" i="10"/>
  <c r="AB645" i="10"/>
  <c r="AB646" i="10"/>
  <c r="AA646" i="10"/>
  <c r="Y646" i="10"/>
  <c r="Z646" i="10"/>
  <c r="M646" i="10"/>
  <c r="I647" i="10"/>
  <c r="B649" i="10"/>
  <c r="C648" i="10"/>
  <c r="BF648" i="10"/>
  <c r="BF649" i="10"/>
  <c r="B650" i="10"/>
  <c r="C649" i="10"/>
  <c r="I648" i="10"/>
  <c r="AA647" i="10"/>
  <c r="Y647" i="10"/>
  <c r="Z647" i="10"/>
  <c r="M647" i="10"/>
  <c r="AB647" i="10"/>
  <c r="BF650" i="10"/>
  <c r="C650" i="10"/>
  <c r="B651" i="10"/>
  <c r="AA648" i="10"/>
  <c r="Y648" i="10"/>
  <c r="Z648" i="10"/>
  <c r="M648" i="10"/>
  <c r="I649" i="10"/>
  <c r="AB648" i="10"/>
  <c r="AE647" i="10"/>
  <c r="AN97" i="26"/>
  <c r="B97" i="12"/>
  <c r="AE645" i="10"/>
  <c r="AE648" i="10"/>
  <c r="AX97" i="26"/>
  <c r="AW97" i="26"/>
  <c r="BF651" i="10"/>
  <c r="C651" i="10"/>
  <c r="B652" i="10"/>
  <c r="I650" i="10"/>
  <c r="AB649" i="10"/>
  <c r="AA649" i="10"/>
  <c r="Y649" i="10"/>
  <c r="Z649" i="10"/>
  <c r="M649" i="10"/>
  <c r="AF645" i="10"/>
  <c r="B653" i="10"/>
  <c r="C652" i="10"/>
  <c r="BF652" i="10"/>
  <c r="I651" i="10"/>
  <c r="AA650" i="10"/>
  <c r="Y650" i="10"/>
  <c r="Z650" i="10"/>
  <c r="M650" i="10"/>
  <c r="AB650" i="10"/>
  <c r="I652" i="10"/>
  <c r="AA651" i="10"/>
  <c r="Y651" i="10"/>
  <c r="Z651" i="10"/>
  <c r="M651" i="10"/>
  <c r="AB651" i="10"/>
  <c r="BF653" i="10"/>
  <c r="C653" i="10"/>
  <c r="B654" i="10"/>
  <c r="AB652" i="10"/>
  <c r="M652" i="10"/>
  <c r="I653" i="10"/>
  <c r="AA652" i="10"/>
  <c r="Y652" i="10"/>
  <c r="Z652" i="10"/>
  <c r="B655" i="10"/>
  <c r="BF654" i="10"/>
  <c r="C654" i="10"/>
  <c r="BF655" i="10"/>
  <c r="B656" i="10"/>
  <c r="C655" i="10"/>
  <c r="I654" i="10"/>
  <c r="AB653" i="10"/>
  <c r="AA653" i="10"/>
  <c r="Y653" i="10"/>
  <c r="Z653" i="10"/>
  <c r="M653" i="10"/>
  <c r="B657" i="10"/>
  <c r="C656" i="10"/>
  <c r="BF656" i="10"/>
  <c r="AB654" i="10"/>
  <c r="I655" i="10"/>
  <c r="AA654" i="10"/>
  <c r="Y654" i="10"/>
  <c r="Z654" i="10"/>
  <c r="M654" i="10"/>
  <c r="B658" i="10"/>
  <c r="BF657" i="10"/>
  <c r="C657" i="10"/>
  <c r="I656" i="10"/>
  <c r="AB655" i="10"/>
  <c r="AE654" i="10"/>
  <c r="AA655" i="10"/>
  <c r="Y655" i="10"/>
  <c r="Z655" i="10"/>
  <c r="M655" i="10"/>
  <c r="AN98" i="26"/>
  <c r="B98" i="12"/>
  <c r="AE652" i="10"/>
  <c r="AF652" i="10"/>
  <c r="AE655" i="10"/>
  <c r="AX98" i="26"/>
  <c r="AW98" i="26"/>
  <c r="B659" i="10"/>
  <c r="BF658" i="10"/>
  <c r="C658" i="10"/>
  <c r="AA656" i="10"/>
  <c r="Y656" i="10"/>
  <c r="Z656" i="10"/>
  <c r="M656" i="10"/>
  <c r="I657" i="10"/>
  <c r="AB656" i="10"/>
  <c r="AB657" i="10"/>
  <c r="I658" i="10"/>
  <c r="AA657" i="10"/>
  <c r="Y657" i="10"/>
  <c r="Z657" i="10"/>
  <c r="M657" i="10"/>
  <c r="BF659" i="10"/>
  <c r="B660" i="10"/>
  <c r="C659" i="10"/>
  <c r="B661" i="10"/>
  <c r="C660" i="10"/>
  <c r="BF660" i="10"/>
  <c r="AB658" i="10"/>
  <c r="I659" i="10"/>
  <c r="AA658" i="10"/>
  <c r="Y658" i="10"/>
  <c r="Z658" i="10"/>
  <c r="M658" i="10"/>
  <c r="I660" i="10"/>
  <c r="AA659" i="10"/>
  <c r="Y659" i="10"/>
  <c r="Z659" i="10"/>
  <c r="M659" i="10"/>
  <c r="AB659" i="10"/>
  <c r="BF661" i="10"/>
  <c r="C661" i="10"/>
  <c r="B662" i="10"/>
  <c r="AB660" i="10"/>
  <c r="AA660" i="10"/>
  <c r="Y660" i="10"/>
  <c r="Z660" i="10"/>
  <c r="M660" i="10"/>
  <c r="I661" i="10"/>
  <c r="B663" i="10"/>
  <c r="C662" i="10"/>
  <c r="BF662" i="10"/>
  <c r="BF663" i="10"/>
  <c r="B664" i="10"/>
  <c r="C663" i="10"/>
  <c r="I662" i="10"/>
  <c r="AA661" i="10"/>
  <c r="Y661" i="10"/>
  <c r="Z661" i="10"/>
  <c r="M661" i="10"/>
  <c r="AB661" i="10"/>
  <c r="BF664" i="10"/>
  <c r="C664" i="10"/>
  <c r="B665" i="10"/>
  <c r="AA662" i="10"/>
  <c r="Y662" i="10"/>
  <c r="Z662" i="10"/>
  <c r="M662" i="10"/>
  <c r="I663" i="10"/>
  <c r="AB662" i="10"/>
  <c r="AE661" i="10"/>
  <c r="AN99" i="26"/>
  <c r="B99" i="12"/>
  <c r="AE659" i="10"/>
  <c r="AE662" i="10"/>
  <c r="AX99" i="26"/>
  <c r="AW99" i="26"/>
  <c r="BF665" i="10"/>
  <c r="C665" i="10"/>
  <c r="B666" i="10"/>
  <c r="I664" i="10"/>
  <c r="AB663" i="10"/>
  <c r="AA663" i="10"/>
  <c r="Y663" i="10"/>
  <c r="Z663" i="10"/>
  <c r="M663" i="10"/>
  <c r="AF659" i="10"/>
  <c r="I665" i="10"/>
  <c r="AA664" i="10"/>
  <c r="Y664" i="10"/>
  <c r="Z664" i="10"/>
  <c r="M664" i="10"/>
  <c r="AB664" i="10"/>
  <c r="B667" i="10"/>
  <c r="C666" i="10"/>
  <c r="BF666" i="10"/>
  <c r="I666" i="10"/>
  <c r="AA665" i="10"/>
  <c r="Y665" i="10"/>
  <c r="Z665" i="10"/>
  <c r="M665" i="10"/>
  <c r="AB665" i="10"/>
  <c r="BF667" i="10"/>
  <c r="C667" i="10"/>
  <c r="B668" i="10"/>
  <c r="B669" i="10"/>
  <c r="BF668" i="10"/>
  <c r="C668" i="10"/>
  <c r="AB666" i="10"/>
  <c r="M666" i="10"/>
  <c r="I667" i="10"/>
  <c r="AA666" i="10"/>
  <c r="Y666" i="10"/>
  <c r="Z666" i="10"/>
  <c r="I668" i="10"/>
  <c r="AB667" i="10"/>
  <c r="M667" i="10"/>
  <c r="AA667" i="10"/>
  <c r="Y667" i="10"/>
  <c r="Z667" i="10"/>
  <c r="BF669" i="10"/>
  <c r="B670" i="10"/>
  <c r="C669" i="10"/>
  <c r="AB668" i="10"/>
  <c r="I669" i="10"/>
  <c r="AA668" i="10"/>
  <c r="Y668" i="10"/>
  <c r="Z668" i="10"/>
  <c r="M668" i="10"/>
  <c r="B671" i="10"/>
  <c r="C670" i="10"/>
  <c r="BF670" i="10"/>
  <c r="I670" i="10"/>
  <c r="AB669" i="10"/>
  <c r="AE668" i="10"/>
  <c r="AA669" i="10"/>
  <c r="Y669" i="10"/>
  <c r="Z669" i="10"/>
  <c r="M669" i="10"/>
  <c r="AN100" i="26"/>
  <c r="B100" i="12"/>
  <c r="AE666" i="10"/>
  <c r="B672" i="10"/>
  <c r="BF671" i="10"/>
  <c r="C671" i="10"/>
  <c r="AE669" i="10"/>
  <c r="AX100" i="26"/>
  <c r="AW100" i="26"/>
  <c r="AA670" i="10"/>
  <c r="Y670" i="10"/>
  <c r="Z670" i="10"/>
  <c r="M670" i="10"/>
  <c r="I671" i="10"/>
  <c r="AB670" i="10"/>
  <c r="B673" i="10"/>
  <c r="BF672" i="10"/>
  <c r="C672" i="10"/>
  <c r="AF666" i="10"/>
  <c r="BF673" i="10"/>
  <c r="B674" i="10"/>
  <c r="C673" i="10"/>
  <c r="AB671" i="10"/>
  <c r="I672" i="10"/>
  <c r="AA671" i="10"/>
  <c r="Y671" i="10"/>
  <c r="Z671" i="10"/>
  <c r="M671" i="10"/>
  <c r="AB672" i="10"/>
  <c r="I673" i="10"/>
  <c r="AA672" i="10"/>
  <c r="Y672" i="10"/>
  <c r="Z672" i="10"/>
  <c r="M672" i="10"/>
  <c r="B675" i="10"/>
  <c r="C674" i="10"/>
  <c r="BF674" i="10"/>
  <c r="BF675" i="10"/>
  <c r="C675" i="10"/>
  <c r="B676" i="10"/>
  <c r="I674" i="10"/>
  <c r="AA673" i="10"/>
  <c r="Y673" i="10"/>
  <c r="Z673" i="10"/>
  <c r="M673" i="10"/>
  <c r="AB673" i="10"/>
  <c r="AB674" i="10"/>
  <c r="AA674" i="10"/>
  <c r="Y674" i="10"/>
  <c r="Z674" i="10"/>
  <c r="M674" i="10"/>
  <c r="I675" i="10"/>
  <c r="B677" i="10"/>
  <c r="C676" i="10"/>
  <c r="BF676" i="10"/>
  <c r="BF677" i="10"/>
  <c r="B678" i="10"/>
  <c r="C677" i="10"/>
  <c r="I676" i="10"/>
  <c r="AA675" i="10"/>
  <c r="Y675" i="10"/>
  <c r="Z675" i="10"/>
  <c r="M675" i="10"/>
  <c r="AB675" i="10"/>
  <c r="BF678" i="10"/>
  <c r="C678" i="10"/>
  <c r="B679" i="10"/>
  <c r="AA676" i="10"/>
  <c r="Y676" i="10"/>
  <c r="Z676" i="10"/>
  <c r="M676" i="10"/>
  <c r="I677" i="10"/>
  <c r="AB676" i="10"/>
  <c r="AE675" i="10"/>
  <c r="AN101" i="26"/>
  <c r="B101" i="12"/>
  <c r="AE673" i="10"/>
  <c r="AE676" i="10"/>
  <c r="AX101" i="26"/>
  <c r="AW101" i="26"/>
  <c r="BF679" i="10"/>
  <c r="C679" i="10"/>
  <c r="B680" i="10"/>
  <c r="I678" i="10"/>
  <c r="AB677" i="10"/>
  <c r="AA677" i="10"/>
  <c r="Y677" i="10"/>
  <c r="Z677" i="10"/>
  <c r="M677" i="10"/>
  <c r="AF673" i="10"/>
  <c r="I679" i="10"/>
  <c r="AA678" i="10"/>
  <c r="Y678" i="10"/>
  <c r="Z678" i="10"/>
  <c r="M678" i="10"/>
  <c r="AB678" i="10"/>
  <c r="B681" i="10"/>
  <c r="C680" i="10"/>
  <c r="BF680" i="10"/>
  <c r="BF681" i="10"/>
  <c r="B682" i="10"/>
  <c r="C681" i="10"/>
  <c r="I680" i="10"/>
  <c r="AA679" i="10"/>
  <c r="Y679" i="10"/>
  <c r="Z679" i="10"/>
  <c r="M679" i="10"/>
  <c r="AB679" i="10"/>
  <c r="BF682" i="10"/>
  <c r="B683" i="10"/>
  <c r="C682" i="10"/>
  <c r="AB680" i="10"/>
  <c r="M680" i="10"/>
  <c r="I681" i="10"/>
  <c r="AA680" i="10"/>
  <c r="Y680" i="10"/>
  <c r="Z680" i="10"/>
  <c r="I682" i="10"/>
  <c r="AB681" i="10"/>
  <c r="M681" i="10"/>
  <c r="AA681" i="10"/>
  <c r="Y681" i="10"/>
  <c r="Z681" i="10"/>
  <c r="B684" i="10"/>
  <c r="C683" i="10"/>
  <c r="BF683" i="10"/>
  <c r="BF684" i="10"/>
  <c r="B685" i="10"/>
  <c r="C684" i="10"/>
  <c r="I683" i="10"/>
  <c r="AA682" i="10"/>
  <c r="Y682" i="10"/>
  <c r="Z682" i="10"/>
  <c r="AB682" i="10"/>
  <c r="M682" i="10"/>
  <c r="BF685" i="10"/>
  <c r="B686" i="10"/>
  <c r="C685" i="10"/>
  <c r="AA683" i="10"/>
  <c r="Y683" i="10"/>
  <c r="Z683" i="10"/>
  <c r="I684" i="10"/>
  <c r="AB683" i="10"/>
  <c r="AE682" i="10"/>
  <c r="M683" i="10"/>
  <c r="AN102" i="26"/>
  <c r="B102" i="12"/>
  <c r="AE680" i="10"/>
  <c r="AE683" i="10"/>
  <c r="AX102" i="26"/>
  <c r="AW102" i="26"/>
  <c r="BF686" i="10"/>
  <c r="B687" i="10"/>
  <c r="C686" i="10"/>
  <c r="AF680" i="10"/>
  <c r="I685" i="10"/>
  <c r="AB684" i="10"/>
  <c r="M684" i="10"/>
  <c r="AA684" i="10"/>
  <c r="Y684" i="10"/>
  <c r="Z684" i="10"/>
  <c r="I686" i="10"/>
  <c r="AA685" i="10"/>
  <c r="Y685" i="10"/>
  <c r="Z685" i="10"/>
  <c r="AB685" i="10"/>
  <c r="M685" i="10"/>
  <c r="B688" i="10"/>
  <c r="BF687" i="10"/>
  <c r="C687" i="10"/>
  <c r="BF688" i="10"/>
  <c r="C688" i="10"/>
  <c r="B689" i="10"/>
  <c r="I687" i="10"/>
  <c r="AA686" i="10"/>
  <c r="Y686" i="10"/>
  <c r="Z686" i="10"/>
  <c r="AB686" i="10"/>
  <c r="M686" i="10"/>
  <c r="AA687" i="10"/>
  <c r="Y687" i="10"/>
  <c r="Z687" i="10"/>
  <c r="I688" i="10"/>
  <c r="M687" i="10"/>
  <c r="AB687" i="10"/>
  <c r="B690" i="10"/>
  <c r="BF689" i="10"/>
  <c r="C689" i="10"/>
  <c r="AB688" i="10"/>
  <c r="I689" i="10"/>
  <c r="AA688" i="10"/>
  <c r="Y688" i="10"/>
  <c r="Z688" i="10"/>
  <c r="M688" i="10"/>
  <c r="B691" i="10"/>
  <c r="BF690" i="10"/>
  <c r="C690" i="10"/>
  <c r="AA689" i="10"/>
  <c r="Y689" i="10"/>
  <c r="Z689" i="10"/>
  <c r="I690" i="10"/>
  <c r="M689" i="10"/>
  <c r="AB689" i="10"/>
  <c r="B692" i="10"/>
  <c r="BF691" i="10"/>
  <c r="C691" i="10"/>
  <c r="I691" i="10"/>
  <c r="AB690" i="10"/>
  <c r="AE689" i="10"/>
  <c r="AA690" i="10"/>
  <c r="Y690" i="10"/>
  <c r="Z690" i="10"/>
  <c r="M690" i="10"/>
  <c r="AN103" i="26"/>
  <c r="B103" i="12"/>
  <c r="AE687" i="10"/>
  <c r="B693" i="10"/>
  <c r="BF692" i="10"/>
  <c r="C692" i="10"/>
  <c r="B694" i="10"/>
  <c r="BF693" i="10"/>
  <c r="C693" i="10"/>
  <c r="AF687" i="10"/>
  <c r="AE690" i="10"/>
  <c r="AX103" i="26"/>
  <c r="AW103" i="26"/>
  <c r="AA691" i="10"/>
  <c r="Y691" i="10"/>
  <c r="Z691" i="10"/>
  <c r="AB691" i="10"/>
  <c r="M691" i="10"/>
  <c r="I692" i="10"/>
  <c r="AB692" i="10"/>
  <c r="M692" i="10"/>
  <c r="AA692" i="10"/>
  <c r="Y692" i="10"/>
  <c r="Z692" i="10"/>
  <c r="I693" i="10"/>
  <c r="BF694" i="10"/>
  <c r="B695" i="10"/>
  <c r="C694" i="10"/>
  <c r="BF695" i="10"/>
  <c r="B696" i="10"/>
  <c r="C695" i="10"/>
  <c r="AB693" i="10"/>
  <c r="M693" i="10"/>
  <c r="AA693" i="10"/>
  <c r="Y693" i="10"/>
  <c r="Z693" i="10"/>
  <c r="I694" i="10"/>
  <c r="BF696" i="10"/>
  <c r="C696" i="10"/>
  <c r="B697" i="10"/>
  <c r="I695" i="10"/>
  <c r="AA694" i="10"/>
  <c r="Y694" i="10"/>
  <c r="Z694" i="10"/>
  <c r="M694" i="10"/>
  <c r="AB694" i="10"/>
  <c r="B698" i="10"/>
  <c r="C697" i="10"/>
  <c r="BF697" i="10"/>
  <c r="AB695" i="10"/>
  <c r="M695" i="10"/>
  <c r="AA695" i="10"/>
  <c r="Y695" i="10"/>
  <c r="Z695" i="10"/>
  <c r="I696" i="10"/>
  <c r="B699" i="10"/>
  <c r="C698" i="10"/>
  <c r="BF698" i="10"/>
  <c r="I697" i="10"/>
  <c r="AA696" i="10"/>
  <c r="Y696" i="10"/>
  <c r="Z696" i="10"/>
  <c r="M696" i="10"/>
  <c r="AB696" i="10"/>
  <c r="BF699" i="10"/>
  <c r="C699" i="10"/>
  <c r="B700" i="10"/>
  <c r="AA697" i="10"/>
  <c r="Y697" i="10"/>
  <c r="Z697" i="10"/>
  <c r="I698" i="10"/>
  <c r="AB697" i="10"/>
  <c r="AE696" i="10"/>
  <c r="M697" i="10"/>
  <c r="AE694" i="10"/>
  <c r="AE697" i="10"/>
  <c r="AX104" i="26"/>
  <c r="AW104" i="26"/>
  <c r="BF700" i="10"/>
  <c r="B701" i="10"/>
  <c r="C700" i="10"/>
  <c r="I699" i="10"/>
  <c r="AA698" i="10"/>
  <c r="Y698" i="10"/>
  <c r="Z698" i="10"/>
  <c r="AB698" i="10"/>
  <c r="M698" i="10"/>
  <c r="AF694" i="10"/>
  <c r="I700" i="10"/>
  <c r="AA699" i="10"/>
  <c r="Y699" i="10"/>
  <c r="Z699" i="10"/>
  <c r="AB699" i="10"/>
  <c r="M699" i="10"/>
  <c r="B702" i="10"/>
  <c r="C701" i="10"/>
  <c r="BF701" i="10"/>
  <c r="I701" i="10"/>
  <c r="AA700" i="10"/>
  <c r="Y700" i="10"/>
  <c r="Z700" i="10"/>
  <c r="M700" i="10"/>
  <c r="AB700" i="10"/>
  <c r="C702" i="10"/>
  <c r="B703" i="10"/>
  <c r="BF702" i="10"/>
  <c r="I702" i="10"/>
  <c r="M701" i="10"/>
  <c r="AB701" i="10"/>
  <c r="AA701" i="10"/>
  <c r="Y701" i="10"/>
  <c r="Z701" i="10"/>
  <c r="B704" i="10"/>
  <c r="C703" i="10"/>
  <c r="BF703" i="10"/>
  <c r="BF704" i="10"/>
  <c r="C704" i="10"/>
  <c r="B705" i="10"/>
  <c r="I703" i="10"/>
  <c r="AA702" i="10"/>
  <c r="Y702" i="10"/>
  <c r="Z702" i="10"/>
  <c r="M702" i="10"/>
  <c r="AB702" i="10"/>
  <c r="B706" i="10"/>
  <c r="BF705" i="10"/>
  <c r="C705" i="10"/>
  <c r="I704" i="10"/>
  <c r="M703" i="10"/>
  <c r="AB703" i="10"/>
  <c r="AA703" i="10"/>
  <c r="Y703" i="10"/>
  <c r="Z703" i="10"/>
  <c r="B707" i="10"/>
  <c r="BF706" i="10"/>
  <c r="C706" i="10"/>
  <c r="I705" i="10"/>
  <c r="AB704" i="10"/>
  <c r="AE703" i="10"/>
  <c r="AA704" i="10"/>
  <c r="Y704" i="10"/>
  <c r="Z704" i="10"/>
  <c r="M704" i="10"/>
  <c r="AE701" i="10"/>
  <c r="AE704" i="10"/>
  <c r="AX105" i="26"/>
  <c r="AW105" i="26"/>
  <c r="B708" i="10"/>
  <c r="BF707" i="10"/>
  <c r="C707" i="10"/>
  <c r="AF701" i="10"/>
  <c r="AA705" i="10"/>
  <c r="Y705" i="10"/>
  <c r="Z705" i="10"/>
  <c r="I706" i="10"/>
  <c r="AB705" i="10"/>
  <c r="M705" i="10"/>
  <c r="BF708" i="10"/>
  <c r="C708" i="10"/>
  <c r="B709" i="10"/>
  <c r="AA706" i="10"/>
  <c r="Y706" i="10"/>
  <c r="Z706" i="10"/>
  <c r="I707" i="10"/>
  <c r="M706" i="10"/>
  <c r="AB706" i="10"/>
  <c r="AA707" i="10"/>
  <c r="Y707" i="10"/>
  <c r="Z707" i="10"/>
  <c r="I708" i="10"/>
  <c r="AB707" i="10"/>
  <c r="M707" i="10"/>
  <c r="BF709" i="10"/>
  <c r="B710" i="10"/>
  <c r="C709" i="10"/>
  <c r="I709" i="10"/>
  <c r="AA708" i="10"/>
  <c r="Y708" i="10"/>
  <c r="Z708" i="10"/>
  <c r="AB708" i="10"/>
  <c r="M708" i="10"/>
  <c r="BF710" i="10"/>
  <c r="C710" i="10"/>
  <c r="B711" i="10"/>
  <c r="AB709" i="10"/>
  <c r="AA709" i="10"/>
  <c r="Y709" i="10"/>
  <c r="Z709" i="10"/>
  <c r="I710" i="10"/>
  <c r="M709" i="10"/>
  <c r="B712" i="10"/>
  <c r="BF711" i="10"/>
  <c r="C711" i="10"/>
  <c r="I711" i="10"/>
  <c r="AA710" i="10"/>
  <c r="Y710" i="10"/>
  <c r="Z710" i="10"/>
  <c r="M710" i="10"/>
  <c r="AB710" i="10"/>
  <c r="B713" i="10"/>
  <c r="C712" i="10"/>
  <c r="BF712" i="10"/>
  <c r="AA711" i="10"/>
  <c r="Y711" i="10"/>
  <c r="Z711" i="10"/>
  <c r="I712" i="10"/>
  <c r="AB711" i="10"/>
  <c r="AE710" i="10"/>
  <c r="M711" i="10"/>
  <c r="AE708" i="10"/>
  <c r="BF713" i="10"/>
  <c r="B714" i="10"/>
  <c r="C713" i="10"/>
  <c r="AE711" i="10"/>
  <c r="AX106" i="26"/>
  <c r="AW106" i="26"/>
  <c r="I713" i="10"/>
  <c r="AB712" i="10"/>
  <c r="M712" i="10"/>
  <c r="AA712" i="10"/>
  <c r="Y712" i="10"/>
  <c r="Z712" i="10"/>
  <c r="BF714" i="10"/>
  <c r="B715" i="10"/>
  <c r="C714" i="10"/>
  <c r="AF708" i="10"/>
  <c r="I714" i="10"/>
  <c r="AA713" i="10"/>
  <c r="Y713" i="10"/>
  <c r="Z713" i="10"/>
  <c r="AB713" i="10"/>
  <c r="M713" i="10"/>
  <c r="B716" i="10"/>
  <c r="BF715" i="10"/>
  <c r="C715" i="10"/>
  <c r="C716" i="10"/>
  <c r="B717" i="10"/>
  <c r="BF716" i="10"/>
  <c r="I715" i="10"/>
  <c r="AA714" i="10"/>
  <c r="Y714" i="10"/>
  <c r="Z714" i="10"/>
  <c r="AB714" i="10"/>
  <c r="M714" i="10"/>
  <c r="B718" i="10"/>
  <c r="C717" i="10"/>
  <c r="BF717" i="10"/>
  <c r="M715" i="10"/>
  <c r="AB715" i="10"/>
  <c r="AA715" i="10"/>
  <c r="Y715" i="10"/>
  <c r="Z715" i="10"/>
  <c r="I716" i="10"/>
  <c r="M716" i="10"/>
  <c r="AB716" i="10"/>
  <c r="AA716" i="10"/>
  <c r="Y716" i="10"/>
  <c r="Z716" i="10"/>
  <c r="I717" i="10"/>
  <c r="BF718" i="10"/>
  <c r="C718" i="10"/>
  <c r="B719" i="10"/>
  <c r="B720" i="10"/>
  <c r="BF719" i="10"/>
  <c r="C719" i="10"/>
  <c r="M717" i="10"/>
  <c r="AB717" i="10"/>
  <c r="AA717" i="10"/>
  <c r="Y717" i="10"/>
  <c r="Z717" i="10"/>
  <c r="I718" i="10"/>
  <c r="B721" i="10"/>
  <c r="C720" i="10"/>
  <c r="BF720" i="10"/>
  <c r="I719" i="10"/>
  <c r="AA718" i="10"/>
  <c r="Y718" i="10"/>
  <c r="Z718" i="10"/>
  <c r="M718" i="10"/>
  <c r="AB718" i="10"/>
  <c r="AE717" i="10"/>
  <c r="AN107" i="26"/>
  <c r="B107" i="12"/>
  <c r="AE715" i="10"/>
  <c r="AE718" i="10"/>
  <c r="AX107" i="26"/>
  <c r="AW107" i="26"/>
  <c r="AF715" i="10"/>
  <c r="B722" i="10"/>
  <c r="C721" i="10"/>
  <c r="BF721" i="10"/>
  <c r="AA719" i="10"/>
  <c r="Y719" i="10"/>
  <c r="Z719" i="10"/>
  <c r="I720" i="10"/>
  <c r="AB719" i="10"/>
  <c r="M719" i="10"/>
  <c r="I721" i="10"/>
  <c r="AB720" i="10"/>
  <c r="M720" i="10"/>
  <c r="AA720" i="10"/>
  <c r="Y720" i="10"/>
  <c r="Z720" i="10"/>
  <c r="BF722" i="10"/>
  <c r="C722" i="10"/>
  <c r="B723" i="10"/>
  <c r="I722" i="10"/>
  <c r="AB721" i="10"/>
  <c r="M721" i="10"/>
  <c r="AA721" i="10"/>
  <c r="Y721" i="10"/>
  <c r="Z721" i="10"/>
  <c r="B724" i="10"/>
  <c r="C723" i="10"/>
  <c r="BF723" i="10"/>
  <c r="BF724" i="10"/>
  <c r="C724" i="10"/>
  <c r="B725" i="10"/>
  <c r="I723" i="10"/>
  <c r="AA722" i="10"/>
  <c r="Y722" i="10"/>
  <c r="Z722" i="10"/>
  <c r="AB722" i="10"/>
  <c r="M722" i="10"/>
  <c r="AB723" i="10"/>
  <c r="I724" i="10"/>
  <c r="M723" i="10"/>
  <c r="AA723" i="10"/>
  <c r="Y723" i="10"/>
  <c r="Z723" i="10"/>
  <c r="C725" i="10"/>
  <c r="BF725" i="10"/>
  <c r="B727" i="10"/>
  <c r="B728" i="10"/>
  <c r="G108" i="12"/>
  <c r="G29" i="12"/>
  <c r="G47" i="12"/>
  <c r="G104" i="12"/>
  <c r="AS6" i="26"/>
  <c r="N6" i="12"/>
  <c r="D4" i="38"/>
  <c r="AS97" i="26"/>
  <c r="N97" i="12"/>
  <c r="D641" i="38"/>
  <c r="AS81" i="26"/>
  <c r="N81" i="12"/>
  <c r="D529" i="38"/>
  <c r="G30" i="12"/>
  <c r="G50" i="12"/>
  <c r="AS59" i="26"/>
  <c r="N59" i="12"/>
  <c r="D375" i="38"/>
  <c r="AS7" i="26"/>
  <c r="N7" i="12"/>
  <c r="D11" i="38"/>
  <c r="AS56" i="26"/>
  <c r="N56" i="12"/>
  <c r="D354" i="38"/>
  <c r="AS98" i="26"/>
  <c r="N98" i="12"/>
  <c r="D648" i="38"/>
  <c r="G86" i="12"/>
  <c r="G40" i="12"/>
  <c r="G56" i="12"/>
  <c r="G107" i="12"/>
  <c r="AS86" i="26"/>
  <c r="N86" i="12"/>
  <c r="D564" i="38"/>
  <c r="AS33" i="26"/>
  <c r="N33" i="12"/>
  <c r="D193" i="38"/>
  <c r="G59" i="12"/>
  <c r="AS64" i="26"/>
  <c r="N64" i="12"/>
  <c r="D410" i="38"/>
  <c r="AS11" i="26"/>
  <c r="N11" i="12"/>
  <c r="D39" i="38"/>
  <c r="AS101" i="26"/>
  <c r="N101" i="12"/>
  <c r="D669" i="38"/>
  <c r="AS93" i="26"/>
  <c r="N93" i="12"/>
  <c r="D613" i="38"/>
  <c r="AS38" i="26"/>
  <c r="N38" i="12"/>
  <c r="D228" i="38"/>
  <c r="G67" i="12"/>
  <c r="AS16" i="26"/>
  <c r="N16" i="12"/>
  <c r="D74" i="38"/>
  <c r="AS91" i="26"/>
  <c r="N91" i="12"/>
  <c r="D599" i="38"/>
  <c r="G65" i="12"/>
  <c r="AS12" i="26"/>
  <c r="N12" i="12"/>
  <c r="D46" i="38"/>
  <c r="G88" i="12"/>
  <c r="AS35" i="26"/>
  <c r="N35" i="12"/>
  <c r="D207" i="38"/>
  <c r="G14" i="12"/>
  <c r="G97" i="12"/>
  <c r="AS71" i="26"/>
  <c r="G95" i="12"/>
  <c r="G28" i="12"/>
  <c r="AS24" i="26"/>
  <c r="N24" i="12"/>
  <c r="D130" i="38"/>
  <c r="AS23" i="26"/>
  <c r="N23" i="12"/>
  <c r="D123" i="38"/>
  <c r="AS54" i="26"/>
  <c r="N54" i="12"/>
  <c r="D340" i="38"/>
  <c r="G42" i="12"/>
  <c r="AS60" i="26"/>
  <c r="N60" i="12"/>
  <c r="D382" i="38"/>
  <c r="G8" i="12"/>
  <c r="G52" i="12"/>
  <c r="AS22" i="26"/>
  <c r="N22" i="12"/>
  <c r="D116" i="38"/>
  <c r="G9" i="12"/>
  <c r="AS88" i="26"/>
  <c r="N88" i="12"/>
  <c r="D578" i="38"/>
  <c r="G36" i="12"/>
  <c r="AS10" i="26"/>
  <c r="N10" i="12"/>
  <c r="D32" i="38"/>
  <c r="AS63" i="26"/>
  <c r="N63" i="12"/>
  <c r="D403" i="38"/>
  <c r="G66" i="12"/>
  <c r="AS43" i="26"/>
  <c r="N43" i="12"/>
  <c r="D263" i="38"/>
  <c r="AS84" i="26"/>
  <c r="N84" i="12"/>
  <c r="D550" i="38"/>
  <c r="G74" i="12"/>
  <c r="AS102" i="26"/>
  <c r="N102" i="12"/>
  <c r="D676" i="38"/>
  <c r="AS80" i="26"/>
  <c r="N80" i="12"/>
  <c r="D522" i="38"/>
  <c r="AS48" i="26"/>
  <c r="N48" i="12"/>
  <c r="D298" i="38"/>
  <c r="G100" i="12"/>
  <c r="G33" i="12"/>
  <c r="G77" i="12"/>
  <c r="AS96" i="26"/>
  <c r="N96" i="12"/>
  <c r="D634" i="38"/>
  <c r="AS32" i="26"/>
  <c r="N32" i="12"/>
  <c r="D186" i="38"/>
  <c r="AS92" i="26"/>
  <c r="N92" i="12"/>
  <c r="D606" i="38"/>
  <c r="AS39" i="26"/>
  <c r="N39" i="12"/>
  <c r="D235" i="38"/>
  <c r="G79" i="12"/>
  <c r="G71" i="12"/>
  <c r="AS17" i="26"/>
  <c r="N17" i="12"/>
  <c r="D81" i="38"/>
  <c r="G13" i="12"/>
  <c r="G49" i="12"/>
  <c r="G83" i="12"/>
  <c r="G70" i="12"/>
  <c r="AS65" i="26"/>
  <c r="N65" i="12"/>
  <c r="D417" i="38"/>
  <c r="G68" i="12"/>
  <c r="G16" i="12"/>
  <c r="G45" i="12"/>
  <c r="G75" i="12"/>
  <c r="G62" i="12"/>
  <c r="G23" i="12"/>
  <c r="G35" i="12"/>
  <c r="G98" i="12"/>
  <c r="AS28" i="26"/>
  <c r="N28" i="12"/>
  <c r="D158" i="38"/>
  <c r="G82" i="12"/>
  <c r="G76" i="12"/>
  <c r="G24" i="12"/>
  <c r="AS108" i="26"/>
  <c r="N108" i="12"/>
  <c r="D718" i="38"/>
  <c r="G20" i="12"/>
  <c r="AS49" i="26"/>
  <c r="N49" i="12"/>
  <c r="D305" i="38"/>
  <c r="G39" i="12"/>
  <c r="G37" i="12"/>
  <c r="G84" i="12"/>
  <c r="G55" i="12"/>
  <c r="G90" i="12"/>
  <c r="G48" i="12"/>
  <c r="G7" i="12"/>
  <c r="AS100" i="26"/>
  <c r="N100" i="12"/>
  <c r="D662" i="38"/>
  <c r="G12" i="12"/>
  <c r="AS52" i="26"/>
  <c r="N52" i="12"/>
  <c r="D326" i="38"/>
  <c r="AS46" i="26"/>
  <c r="N46" i="12"/>
  <c r="D284" i="38"/>
  <c r="G92" i="12"/>
  <c r="AS31" i="26"/>
  <c r="N31" i="12"/>
  <c r="D179" i="38"/>
  <c r="AS83" i="26"/>
  <c r="N83" i="12"/>
  <c r="D543" i="38"/>
  <c r="AS99" i="26"/>
  <c r="N99" i="12"/>
  <c r="D655" i="38"/>
  <c r="AS8" i="26"/>
  <c r="N8" i="12"/>
  <c r="D18" i="38"/>
  <c r="G106" i="12"/>
  <c r="G53" i="12"/>
  <c r="G57" i="12"/>
  <c r="G60" i="12"/>
  <c r="G22" i="12"/>
  <c r="AS87" i="26"/>
  <c r="N87" i="12"/>
  <c r="D571" i="38"/>
  <c r="G72" i="12"/>
  <c r="AS42" i="26"/>
  <c r="N42" i="12"/>
  <c r="D256" i="38"/>
  <c r="AS55" i="26"/>
  <c r="N55" i="12"/>
  <c r="D347" i="38"/>
  <c r="G25" i="12"/>
  <c r="AS14" i="26"/>
  <c r="N14" i="12"/>
  <c r="D60" i="38"/>
  <c r="AS70" i="26"/>
  <c r="N70" i="12"/>
  <c r="D452" i="38"/>
  <c r="G11" i="12"/>
  <c r="G78" i="12"/>
  <c r="AS44" i="26"/>
  <c r="N44" i="12"/>
  <c r="D270" i="38"/>
  <c r="G102" i="12"/>
  <c r="AS106" i="26"/>
  <c r="N106" i="12"/>
  <c r="D704" i="38"/>
  <c r="G99" i="12"/>
  <c r="G6" i="12"/>
  <c r="AS25" i="26"/>
  <c r="N25" i="12"/>
  <c r="D137" i="38"/>
  <c r="AS78" i="26"/>
  <c r="N78" i="12"/>
  <c r="D508" i="38"/>
  <c r="AS79" i="26"/>
  <c r="N79" i="12"/>
  <c r="D515" i="38"/>
  <c r="G69" i="12"/>
  <c r="G32" i="12"/>
  <c r="G21" i="12"/>
  <c r="AS27" i="26"/>
  <c r="N27" i="12"/>
  <c r="D151" i="38"/>
  <c r="G17" i="12"/>
  <c r="G101" i="12"/>
  <c r="AS51" i="26"/>
  <c r="N51" i="12"/>
  <c r="D319" i="38"/>
  <c r="G105" i="12"/>
  <c r="AS21" i="26"/>
  <c r="N21" i="12"/>
  <c r="D109" i="38"/>
  <c r="AS73" i="26"/>
  <c r="N73" i="12"/>
  <c r="D473" i="38"/>
  <c r="AS77" i="26"/>
  <c r="N77" i="12"/>
  <c r="D501" i="38"/>
  <c r="G80" i="12"/>
  <c r="G54" i="12"/>
  <c r="AS90" i="26"/>
  <c r="N90" i="12"/>
  <c r="D592" i="38"/>
  <c r="AS61" i="26"/>
  <c r="N61" i="12"/>
  <c r="D389" i="38"/>
  <c r="AS50" i="26"/>
  <c r="N50" i="12"/>
  <c r="D312" i="38"/>
  <c r="AS26" i="26"/>
  <c r="N26" i="12"/>
  <c r="D144" i="38"/>
  <c r="G87" i="12"/>
  <c r="G51" i="12"/>
  <c r="G41" i="12"/>
  <c r="AS76" i="26"/>
  <c r="N76" i="12"/>
  <c r="D494" i="38"/>
  <c r="G15" i="12"/>
  <c r="AS15" i="26"/>
  <c r="N15" i="12"/>
  <c r="D67" i="38"/>
  <c r="AS36" i="26"/>
  <c r="N36" i="12"/>
  <c r="D214" i="38"/>
  <c r="G91" i="12"/>
  <c r="G38" i="12"/>
  <c r="G46" i="12"/>
  <c r="G64" i="12"/>
  <c r="AS20" i="26"/>
  <c r="N20" i="12"/>
  <c r="D102" i="38"/>
  <c r="AS19" i="26"/>
  <c r="N19" i="12"/>
  <c r="D95" i="38"/>
  <c r="AS72" i="26"/>
  <c r="N72" i="12"/>
  <c r="D466" i="38"/>
  <c r="G81" i="12"/>
  <c r="AS41" i="26"/>
  <c r="N41" i="12"/>
  <c r="D249" i="38"/>
  <c r="AS62" i="26"/>
  <c r="N62" i="12"/>
  <c r="D396" i="38"/>
  <c r="G96" i="12"/>
  <c r="G27" i="12"/>
  <c r="AS107" i="26"/>
  <c r="N107" i="12"/>
  <c r="D711" i="38"/>
  <c r="AS89" i="26"/>
  <c r="N89" i="12"/>
  <c r="D585" i="38"/>
  <c r="AS85" i="26"/>
  <c r="N85" i="12"/>
  <c r="D557" i="38"/>
  <c r="AS104" i="26"/>
  <c r="N104" i="12"/>
  <c r="D690" i="38"/>
  <c r="G44" i="12"/>
  <c r="G89" i="12"/>
  <c r="AS34" i="26"/>
  <c r="N34" i="12"/>
  <c r="D200" i="38"/>
  <c r="AS13" i="26"/>
  <c r="N13" i="12"/>
  <c r="D53" i="38"/>
  <c r="AS47" i="26"/>
  <c r="N47" i="12"/>
  <c r="D291" i="38"/>
  <c r="AS53" i="26"/>
  <c r="N53" i="12"/>
  <c r="D333" i="38"/>
  <c r="AS40" i="26"/>
  <c r="N40" i="12"/>
  <c r="D242" i="38"/>
  <c r="G10" i="12"/>
  <c r="G58" i="12"/>
  <c r="G43" i="12"/>
  <c r="AS66" i="26"/>
  <c r="N66" i="12"/>
  <c r="D424" i="38"/>
  <c r="AS29" i="26"/>
  <c r="N29" i="12"/>
  <c r="D165" i="38"/>
  <c r="AS37" i="26"/>
  <c r="N37" i="12"/>
  <c r="D221" i="38"/>
  <c r="G34" i="12"/>
  <c r="AS67" i="26"/>
  <c r="N67" i="12"/>
  <c r="D431" i="38"/>
  <c r="AS18" i="26"/>
  <c r="N18" i="12"/>
  <c r="D88" i="38"/>
  <c r="G93" i="12"/>
  <c r="G63" i="12"/>
  <c r="AS94" i="26"/>
  <c r="N94" i="12"/>
  <c r="D620" i="38"/>
  <c r="G85" i="12"/>
  <c r="AS57" i="26"/>
  <c r="N57" i="12"/>
  <c r="D361" i="38"/>
  <c r="AS30" i="26"/>
  <c r="N30" i="12"/>
  <c r="D172" i="38"/>
  <c r="AS68" i="26"/>
  <c r="N68" i="12"/>
  <c r="D438" i="38"/>
  <c r="AS95" i="26"/>
  <c r="N95" i="12"/>
  <c r="D627" i="38"/>
  <c r="G31" i="12"/>
  <c r="G103" i="12"/>
  <c r="AS9" i="26"/>
  <c r="N9" i="12"/>
  <c r="D25" i="38"/>
  <c r="AS74" i="26"/>
  <c r="N74" i="12"/>
  <c r="D480" i="38"/>
  <c r="AS45" i="26"/>
  <c r="N45" i="12"/>
  <c r="D277" i="38"/>
  <c r="AS69" i="26"/>
  <c r="N69" i="12"/>
  <c r="D445" i="38"/>
  <c r="G18" i="12"/>
  <c r="G26" i="12"/>
  <c r="AS82" i="26"/>
  <c r="N82" i="12"/>
  <c r="D536" i="38"/>
  <c r="AS58" i="26"/>
  <c r="N58" i="12"/>
  <c r="D368" i="38"/>
  <c r="AS105" i="26"/>
  <c r="N105" i="12"/>
  <c r="D697" i="38"/>
  <c r="AS103" i="26"/>
  <c r="N103" i="12"/>
  <c r="D683" i="38"/>
  <c r="G19" i="12"/>
  <c r="G73" i="12"/>
  <c r="AS75" i="26"/>
  <c r="N75" i="12"/>
  <c r="D487" i="38"/>
  <c r="G61" i="12"/>
  <c r="G94" i="12"/>
  <c r="I725" i="10"/>
  <c r="AA724" i="10"/>
  <c r="Y724" i="10"/>
  <c r="Z724" i="10"/>
  <c r="M724" i="10"/>
  <c r="AB724" i="10"/>
  <c r="X727" i="10"/>
  <c r="E536" i="38"/>
  <c r="N542" i="38"/>
  <c r="O542" i="38"/>
  <c r="E361" i="38"/>
  <c r="N367" i="38"/>
  <c r="O367" i="38"/>
  <c r="E711" i="38"/>
  <c r="N717" i="38"/>
  <c r="O717" i="38"/>
  <c r="E60" i="38"/>
  <c r="N66" i="38"/>
  <c r="O66" i="38"/>
  <c r="AA725" i="10"/>
  <c r="Y725" i="10"/>
  <c r="Z725" i="10"/>
  <c r="AB725" i="10"/>
  <c r="AE724" i="10"/>
  <c r="M725" i="10"/>
  <c r="AN108" i="26"/>
  <c r="B108" i="12"/>
  <c r="AE722" i="10"/>
  <c r="AF722" i="10"/>
  <c r="E368" i="38"/>
  <c r="N374" i="38"/>
  <c r="O374" i="38"/>
  <c r="E445" i="38"/>
  <c r="N451" i="38"/>
  <c r="O451" i="38"/>
  <c r="E172" i="38"/>
  <c r="N178" i="38"/>
  <c r="O178" i="38"/>
  <c r="E333" i="38"/>
  <c r="N339" i="38"/>
  <c r="O339" i="38"/>
  <c r="E585" i="38"/>
  <c r="N591" i="38"/>
  <c r="O591" i="38"/>
  <c r="E396" i="38"/>
  <c r="N402" i="38"/>
  <c r="O402" i="38"/>
  <c r="E95" i="38"/>
  <c r="N101" i="38"/>
  <c r="O101" i="38"/>
  <c r="E592" i="38"/>
  <c r="N598" i="38"/>
  <c r="O598" i="38"/>
  <c r="E473" i="38"/>
  <c r="N479" i="38"/>
  <c r="O479" i="38"/>
  <c r="E137" i="38"/>
  <c r="N143" i="38"/>
  <c r="O143" i="38"/>
  <c r="E452" i="38"/>
  <c r="N458" i="38"/>
  <c r="O458" i="38"/>
  <c r="E256" i="38"/>
  <c r="N262" i="38"/>
  <c r="O262" i="38"/>
  <c r="E18" i="38"/>
  <c r="N24" i="38"/>
  <c r="O24" i="38"/>
  <c r="E662" i="38"/>
  <c r="N668" i="38"/>
  <c r="O668" i="38"/>
  <c r="E305" i="38"/>
  <c r="N311" i="38"/>
  <c r="O311" i="38"/>
  <c r="E81" i="38"/>
  <c r="N87" i="38"/>
  <c r="O87" i="38"/>
  <c r="E606" i="38"/>
  <c r="N612" i="38"/>
  <c r="O612" i="38"/>
  <c r="E676" i="38"/>
  <c r="N682" i="38"/>
  <c r="O682" i="38"/>
  <c r="E578" i="38"/>
  <c r="N584" i="38"/>
  <c r="O584" i="38"/>
  <c r="E123" i="38"/>
  <c r="N129" i="38"/>
  <c r="O129" i="38"/>
  <c r="N71" i="12"/>
  <c r="D459" i="38"/>
  <c r="AS4" i="26"/>
  <c r="E74" i="38"/>
  <c r="N80" i="38"/>
  <c r="O80" i="38"/>
  <c r="E669" i="38"/>
  <c r="N675" i="38"/>
  <c r="O675" i="38"/>
  <c r="E193" i="38"/>
  <c r="N199" i="38"/>
  <c r="O199" i="38"/>
  <c r="E11" i="38"/>
  <c r="N17" i="38"/>
  <c r="O17" i="38"/>
  <c r="E529" i="38"/>
  <c r="N535" i="38"/>
  <c r="O535" i="38"/>
  <c r="E277" i="38"/>
  <c r="N283" i="38"/>
  <c r="O283" i="38"/>
  <c r="E291" i="38"/>
  <c r="N297" i="38"/>
  <c r="O297" i="38"/>
  <c r="E249" i="38"/>
  <c r="N255" i="38"/>
  <c r="O255" i="38"/>
  <c r="E494" i="38"/>
  <c r="N500" i="38"/>
  <c r="O500" i="38"/>
  <c r="E109" i="38"/>
  <c r="N115" i="38"/>
  <c r="O115" i="38"/>
  <c r="E284" i="38"/>
  <c r="N290" i="38"/>
  <c r="O290" i="38"/>
  <c r="E403" i="38"/>
  <c r="N409" i="38"/>
  <c r="O409" i="38"/>
  <c r="E382" i="38"/>
  <c r="N388" i="38"/>
  <c r="O388" i="38"/>
  <c r="E46" i="38"/>
  <c r="N52" i="38"/>
  <c r="O52" i="38"/>
  <c r="E564" i="38"/>
  <c r="N570" i="38"/>
  <c r="O570" i="38"/>
  <c r="E375" i="38"/>
  <c r="N381" i="38"/>
  <c r="O381" i="38"/>
  <c r="E641" i="38"/>
  <c r="N647" i="38"/>
  <c r="O647" i="38"/>
  <c r="E683" i="38"/>
  <c r="N689" i="38"/>
  <c r="O689" i="38"/>
  <c r="E480" i="38"/>
  <c r="N486" i="38"/>
  <c r="O486" i="38"/>
  <c r="E627" i="38"/>
  <c r="N633" i="38"/>
  <c r="O633" i="38"/>
  <c r="E88" i="38"/>
  <c r="N94" i="38"/>
  <c r="O94" i="38"/>
  <c r="E165" i="38"/>
  <c r="N171" i="38"/>
  <c r="O171" i="38"/>
  <c r="E53" i="38"/>
  <c r="N59" i="38"/>
  <c r="O59" i="38"/>
  <c r="E690" i="38"/>
  <c r="N696" i="38"/>
  <c r="O696" i="38"/>
  <c r="E214" i="38"/>
  <c r="N220" i="38"/>
  <c r="O220" i="38"/>
  <c r="E312" i="38"/>
  <c r="N318" i="38"/>
  <c r="O318" i="38"/>
  <c r="E151" i="38"/>
  <c r="N157" i="38"/>
  <c r="O157" i="38"/>
  <c r="E515" i="38"/>
  <c r="N521" i="38"/>
  <c r="O521" i="38"/>
  <c r="E571" i="38"/>
  <c r="N577" i="38"/>
  <c r="O577" i="38"/>
  <c r="E543" i="38"/>
  <c r="N549" i="38"/>
  <c r="O549" i="38"/>
  <c r="E326" i="38"/>
  <c r="N332" i="38"/>
  <c r="O332" i="38"/>
  <c r="E718" i="38"/>
  <c r="N724" i="38"/>
  <c r="O724" i="38"/>
  <c r="E158" i="38"/>
  <c r="N164" i="38"/>
  <c r="O164" i="38"/>
  <c r="E634" i="38"/>
  <c r="N640" i="38"/>
  <c r="O640" i="38"/>
  <c r="E298" i="38"/>
  <c r="N304" i="38"/>
  <c r="O304" i="38"/>
  <c r="E550" i="38"/>
  <c r="N556" i="38"/>
  <c r="O556" i="38"/>
  <c r="E32" i="38"/>
  <c r="N38" i="38"/>
  <c r="O38" i="38"/>
  <c r="E116" i="38"/>
  <c r="N122" i="38"/>
  <c r="O122" i="38"/>
  <c r="E228" i="38"/>
  <c r="N234" i="38"/>
  <c r="O234" i="38"/>
  <c r="E410" i="38"/>
  <c r="N416" i="38"/>
  <c r="O416" i="38"/>
  <c r="E648" i="38"/>
  <c r="N654" i="38"/>
  <c r="O654" i="38"/>
  <c r="E4" i="38"/>
  <c r="N10" i="38"/>
  <c r="O10" i="38"/>
  <c r="E221" i="38"/>
  <c r="N227" i="38"/>
  <c r="O227" i="38"/>
  <c r="E102" i="38"/>
  <c r="N108" i="38"/>
  <c r="O108" i="38"/>
  <c r="E144" i="38"/>
  <c r="N150" i="38"/>
  <c r="O150" i="38"/>
  <c r="E270" i="38"/>
  <c r="N276" i="38"/>
  <c r="O276" i="38"/>
  <c r="E655" i="38"/>
  <c r="N661" i="38"/>
  <c r="O661" i="38"/>
  <c r="E186" i="38"/>
  <c r="N192" i="38"/>
  <c r="O192" i="38"/>
  <c r="E130" i="38"/>
  <c r="N136" i="38"/>
  <c r="O136" i="38"/>
  <c r="E39" i="38"/>
  <c r="N45" i="38"/>
  <c r="O45" i="38"/>
  <c r="I727" i="10"/>
  <c r="E487" i="38"/>
  <c r="N493" i="38"/>
  <c r="O493" i="38"/>
  <c r="E697" i="38"/>
  <c r="N703" i="38"/>
  <c r="O703" i="38"/>
  <c r="E25" i="38"/>
  <c r="N31" i="38"/>
  <c r="O31" i="38"/>
  <c r="E438" i="38"/>
  <c r="N444" i="38"/>
  <c r="O444" i="38"/>
  <c r="E620" i="38"/>
  <c r="N626" i="38"/>
  <c r="O626" i="38"/>
  <c r="E431" i="38"/>
  <c r="N437" i="38"/>
  <c r="O437" i="38"/>
  <c r="E424" i="38"/>
  <c r="N430" i="38"/>
  <c r="O430" i="38"/>
  <c r="E242" i="38"/>
  <c r="N248" i="38"/>
  <c r="O248" i="38"/>
  <c r="E200" i="38"/>
  <c r="N206" i="38"/>
  <c r="O206" i="38"/>
  <c r="E557" i="38"/>
  <c r="N563" i="38"/>
  <c r="O563" i="38"/>
  <c r="E466" i="38"/>
  <c r="N472" i="38"/>
  <c r="O472" i="38"/>
  <c r="E67" i="38"/>
  <c r="N73" i="38"/>
  <c r="O73" i="38"/>
  <c r="E389" i="38"/>
  <c r="N395" i="38"/>
  <c r="O395" i="38"/>
  <c r="E501" i="38"/>
  <c r="N507" i="38"/>
  <c r="O507" i="38"/>
  <c r="E319" i="38"/>
  <c r="N325" i="38"/>
  <c r="O325" i="38"/>
  <c r="E508" i="38"/>
  <c r="N514" i="38"/>
  <c r="O514" i="38"/>
  <c r="E704" i="38"/>
  <c r="N710" i="38"/>
  <c r="O710" i="38"/>
  <c r="E347" i="38"/>
  <c r="N353" i="38"/>
  <c r="O353" i="38"/>
  <c r="E179" i="38"/>
  <c r="N185" i="38"/>
  <c r="O185" i="38"/>
  <c r="E417" i="38"/>
  <c r="N423" i="38"/>
  <c r="O423" i="38"/>
  <c r="E235" i="38"/>
  <c r="N241" i="38"/>
  <c r="O241" i="38"/>
  <c r="E522" i="38"/>
  <c r="N528" i="38"/>
  <c r="O528" i="38"/>
  <c r="E263" i="38"/>
  <c r="N269" i="38"/>
  <c r="O269" i="38"/>
  <c r="E340" i="38"/>
  <c r="N346" i="38"/>
  <c r="O346" i="38"/>
  <c r="E207" i="38"/>
  <c r="N213" i="38"/>
  <c r="O213" i="38"/>
  <c r="E599" i="38"/>
  <c r="N605" i="38"/>
  <c r="O605" i="38"/>
  <c r="E613" i="38"/>
  <c r="N619" i="38"/>
  <c r="O619" i="38"/>
  <c r="E354" i="38"/>
  <c r="N360" i="38"/>
  <c r="O360" i="38"/>
  <c r="P355" i="38"/>
  <c r="P359" i="38"/>
  <c r="F359" i="38"/>
  <c r="K360" i="38"/>
  <c r="P358" i="38"/>
  <c r="F360" i="38"/>
  <c r="F358" i="38"/>
  <c r="P354" i="38"/>
  <c r="P357" i="38"/>
  <c r="F354" i="38"/>
  <c r="F356" i="38"/>
  <c r="K355" i="38"/>
  <c r="K357" i="38"/>
  <c r="P356" i="38"/>
  <c r="K359" i="38"/>
  <c r="K356" i="38"/>
  <c r="K358" i="38"/>
  <c r="K354" i="38"/>
  <c r="F355" i="38"/>
  <c r="F357" i="38"/>
  <c r="F346" i="38"/>
  <c r="K343" i="38"/>
  <c r="K341" i="38"/>
  <c r="K344" i="38"/>
  <c r="K345" i="38"/>
  <c r="F340" i="38"/>
  <c r="P340" i="38"/>
  <c r="P343" i="38"/>
  <c r="P344" i="38"/>
  <c r="K342" i="38"/>
  <c r="F345" i="38"/>
  <c r="P345" i="38"/>
  <c r="K340" i="38"/>
  <c r="K346" i="38"/>
  <c r="F344" i="38"/>
  <c r="P341" i="38"/>
  <c r="F342" i="38"/>
  <c r="P342" i="38"/>
  <c r="F341" i="38"/>
  <c r="F343" i="38"/>
  <c r="K351" i="38"/>
  <c r="K347" i="38"/>
  <c r="P349" i="38"/>
  <c r="F352" i="38"/>
  <c r="K352" i="38"/>
  <c r="P347" i="38"/>
  <c r="P350" i="38"/>
  <c r="F347" i="38"/>
  <c r="P351" i="38"/>
  <c r="K350" i="38"/>
  <c r="P352" i="38"/>
  <c r="P348" i="38"/>
  <c r="F353" i="38"/>
  <c r="F351" i="38"/>
  <c r="K349" i="38"/>
  <c r="F349" i="38"/>
  <c r="K348" i="38"/>
  <c r="K353" i="38"/>
  <c r="F348" i="38"/>
  <c r="F350" i="38"/>
  <c r="P70" i="38"/>
  <c r="P69" i="38"/>
  <c r="F71" i="38"/>
  <c r="K73" i="38"/>
  <c r="K68" i="38"/>
  <c r="K69" i="38"/>
  <c r="P67" i="38"/>
  <c r="F72" i="38"/>
  <c r="P72" i="38"/>
  <c r="F69" i="38"/>
  <c r="P71" i="38"/>
  <c r="F67" i="38"/>
  <c r="K72" i="38"/>
  <c r="K71" i="38"/>
  <c r="F73" i="38"/>
  <c r="K70" i="38"/>
  <c r="K67" i="38"/>
  <c r="P68" i="38"/>
  <c r="F68" i="38"/>
  <c r="F70" i="38"/>
  <c r="F435" i="38"/>
  <c r="K434" i="38"/>
  <c r="F431" i="38"/>
  <c r="K436" i="38"/>
  <c r="K437" i="38"/>
  <c r="P431" i="38"/>
  <c r="P436" i="38"/>
  <c r="P432" i="38"/>
  <c r="K435" i="38"/>
  <c r="K431" i="38"/>
  <c r="K433" i="38"/>
  <c r="P435" i="38"/>
  <c r="F436" i="38"/>
  <c r="F437" i="38"/>
  <c r="P434" i="38"/>
  <c r="P433" i="38"/>
  <c r="K432" i="38"/>
  <c r="F433" i="38"/>
  <c r="F432" i="38"/>
  <c r="F434" i="38"/>
  <c r="F442" i="38"/>
  <c r="P440" i="38"/>
  <c r="F444" i="38"/>
  <c r="K439" i="38"/>
  <c r="P442" i="38"/>
  <c r="P441" i="38"/>
  <c r="P443" i="38"/>
  <c r="K442" i="38"/>
  <c r="K438" i="38"/>
  <c r="P439" i="38"/>
  <c r="F438" i="38"/>
  <c r="K440" i="38"/>
  <c r="K443" i="38"/>
  <c r="F440" i="38"/>
  <c r="P438" i="38"/>
  <c r="K441" i="38"/>
  <c r="K444" i="38"/>
  <c r="F443" i="38"/>
  <c r="F439" i="38"/>
  <c r="F441" i="38"/>
  <c r="K697" i="38"/>
  <c r="P702" i="38"/>
  <c r="F702" i="38"/>
  <c r="P700" i="38"/>
  <c r="P698" i="38"/>
  <c r="P701" i="38"/>
  <c r="P699" i="38"/>
  <c r="K699" i="38"/>
  <c r="F699" i="38"/>
  <c r="F701" i="38"/>
  <c r="F697" i="38"/>
  <c r="K703" i="38"/>
  <c r="K698" i="38"/>
  <c r="F698" i="38"/>
  <c r="K702" i="38"/>
  <c r="F703" i="38"/>
  <c r="K700" i="38"/>
  <c r="K701" i="38"/>
  <c r="P697" i="38"/>
  <c r="F700" i="38"/>
  <c r="CL44" i="26"/>
  <c r="P276" i="38"/>
  <c r="P416" i="38"/>
  <c r="CL64" i="26"/>
  <c r="P640" i="38"/>
  <c r="CL96" i="26"/>
  <c r="P521" i="38"/>
  <c r="CL79" i="26"/>
  <c r="CL29" i="26"/>
  <c r="P171" i="38"/>
  <c r="P52" i="38"/>
  <c r="CL12" i="26"/>
  <c r="CL21" i="26"/>
  <c r="P115" i="38"/>
  <c r="P17" i="38"/>
  <c r="CL7" i="26"/>
  <c r="CL88" i="26"/>
  <c r="P584" i="38"/>
  <c r="P612" i="38"/>
  <c r="CL92" i="26"/>
  <c r="P458" i="38"/>
  <c r="CL70" i="26"/>
  <c r="CL73" i="26"/>
  <c r="P479" i="38"/>
  <c r="CL19" i="26"/>
  <c r="P101" i="38"/>
  <c r="P591" i="38"/>
  <c r="CL89" i="26"/>
  <c r="P178" i="38"/>
  <c r="CL30" i="26"/>
  <c r="P374" i="38"/>
  <c r="CL58" i="26"/>
  <c r="K64" i="38"/>
  <c r="P65" i="38"/>
  <c r="F65" i="38"/>
  <c r="K60" i="38"/>
  <c r="K62" i="38"/>
  <c r="K63" i="38"/>
  <c r="F60" i="38"/>
  <c r="F64" i="38"/>
  <c r="F62" i="38"/>
  <c r="P64" i="38"/>
  <c r="K66" i="38"/>
  <c r="F66" i="38"/>
  <c r="K61" i="38"/>
  <c r="P60" i="38"/>
  <c r="P61" i="38"/>
  <c r="P63" i="38"/>
  <c r="P62" i="38"/>
  <c r="K65" i="38"/>
  <c r="F61" i="38"/>
  <c r="F63" i="38"/>
  <c r="K364" i="38"/>
  <c r="K365" i="38"/>
  <c r="P362" i="38"/>
  <c r="F361" i="38"/>
  <c r="F367" i="38"/>
  <c r="F365" i="38"/>
  <c r="K367" i="38"/>
  <c r="F366" i="38"/>
  <c r="F363" i="38"/>
  <c r="K363" i="38"/>
  <c r="P364" i="38"/>
  <c r="P363" i="38"/>
  <c r="P365" i="38"/>
  <c r="P366" i="38"/>
  <c r="P361" i="38"/>
  <c r="K362" i="38"/>
  <c r="K366" i="38"/>
  <c r="K361" i="38"/>
  <c r="F362" i="38"/>
  <c r="F364" i="38"/>
  <c r="P619" i="38"/>
  <c r="CL93" i="26"/>
  <c r="CL35" i="26"/>
  <c r="P213" i="38"/>
  <c r="P269" i="38"/>
  <c r="CL43" i="26"/>
  <c r="P241" i="38"/>
  <c r="CL39" i="26"/>
  <c r="CL31" i="26"/>
  <c r="P185" i="38"/>
  <c r="P710" i="38"/>
  <c r="CL106" i="26"/>
  <c r="P325" i="38"/>
  <c r="CL51" i="26"/>
  <c r="CL61" i="26"/>
  <c r="P395" i="38"/>
  <c r="P472" i="38"/>
  <c r="CL72" i="26"/>
  <c r="CL34" i="26"/>
  <c r="P206" i="38"/>
  <c r="P430" i="38"/>
  <c r="CL66" i="26"/>
  <c r="P626" i="38"/>
  <c r="CL94" i="26"/>
  <c r="P31" i="38"/>
  <c r="CL9" i="26"/>
  <c r="P493" i="38"/>
  <c r="CL75" i="26"/>
  <c r="F45" i="38"/>
  <c r="P41" i="38"/>
  <c r="F44" i="38"/>
  <c r="K41" i="38"/>
  <c r="K39" i="38"/>
  <c r="K42" i="38"/>
  <c r="P42" i="38"/>
  <c r="P44" i="38"/>
  <c r="P40" i="38"/>
  <c r="P39" i="38"/>
  <c r="P43" i="38"/>
  <c r="F43" i="38"/>
  <c r="F41" i="38"/>
  <c r="K45" i="38"/>
  <c r="F39" i="38"/>
  <c r="K40" i="38"/>
  <c r="K44" i="38"/>
  <c r="K43" i="38"/>
  <c r="F40" i="38"/>
  <c r="F42" i="38"/>
  <c r="P189" i="38"/>
  <c r="K189" i="38"/>
  <c r="K186" i="38"/>
  <c r="P190" i="38"/>
  <c r="K190" i="38"/>
  <c r="K192" i="38"/>
  <c r="F186" i="38"/>
  <c r="P187" i="38"/>
  <c r="P188" i="38"/>
  <c r="P186" i="38"/>
  <c r="K191" i="38"/>
  <c r="K188" i="38"/>
  <c r="F191" i="38"/>
  <c r="F192" i="38"/>
  <c r="F188" i="38"/>
  <c r="P191" i="38"/>
  <c r="F190" i="38"/>
  <c r="K187" i="38"/>
  <c r="F187" i="38"/>
  <c r="F189" i="38"/>
  <c r="F276" i="38"/>
  <c r="P270" i="38"/>
  <c r="K274" i="38"/>
  <c r="K272" i="38"/>
  <c r="F275" i="38"/>
  <c r="P271" i="38"/>
  <c r="P274" i="38"/>
  <c r="K270" i="38"/>
  <c r="K273" i="38"/>
  <c r="P273" i="38"/>
  <c r="P272" i="38"/>
  <c r="P275" i="38"/>
  <c r="K271" i="38"/>
  <c r="F274" i="38"/>
  <c r="F270" i="38"/>
  <c r="F272" i="38"/>
  <c r="K276" i="38"/>
  <c r="K275" i="38"/>
  <c r="F271" i="38"/>
  <c r="F273" i="38"/>
  <c r="P106" i="38"/>
  <c r="F108" i="38"/>
  <c r="K106" i="38"/>
  <c r="K102" i="38"/>
  <c r="P103" i="38"/>
  <c r="K108" i="38"/>
  <c r="P102" i="38"/>
  <c r="P105" i="38"/>
  <c r="F106" i="38"/>
  <c r="F102" i="38"/>
  <c r="K107" i="38"/>
  <c r="F104" i="38"/>
  <c r="K105" i="38"/>
  <c r="P104" i="38"/>
  <c r="K104" i="38"/>
  <c r="F107" i="38"/>
  <c r="K103" i="38"/>
  <c r="P107" i="38"/>
  <c r="F103" i="38"/>
  <c r="F105" i="38"/>
  <c r="K5" i="38"/>
  <c r="K10" i="38"/>
  <c r="P9" i="38"/>
  <c r="F10" i="38"/>
  <c r="F9" i="38"/>
  <c r="F8" i="38"/>
  <c r="K8" i="38"/>
  <c r="P8" i="38"/>
  <c r="K9" i="38"/>
  <c r="P6" i="38"/>
  <c r="F6" i="38"/>
  <c r="K7" i="38"/>
  <c r="P5" i="38"/>
  <c r="F4" i="38"/>
  <c r="P7" i="38"/>
  <c r="K4" i="38"/>
  <c r="K6" i="38"/>
  <c r="P4" i="38"/>
  <c r="F7" i="38"/>
  <c r="F5" i="38"/>
  <c r="K416" i="38"/>
  <c r="P414" i="38"/>
  <c r="P415" i="38"/>
  <c r="F414" i="38"/>
  <c r="K411" i="38"/>
  <c r="K414" i="38"/>
  <c r="P410" i="38"/>
  <c r="K412" i="38"/>
  <c r="P411" i="38"/>
  <c r="F416" i="38"/>
  <c r="F410" i="38"/>
  <c r="K415" i="38"/>
  <c r="F412" i="38"/>
  <c r="P413" i="38"/>
  <c r="K413" i="38"/>
  <c r="P412" i="38"/>
  <c r="K410" i="38"/>
  <c r="F415" i="38"/>
  <c r="F411" i="38"/>
  <c r="F413" i="38"/>
  <c r="K121" i="38"/>
  <c r="F120" i="38"/>
  <c r="K118" i="38"/>
  <c r="F122" i="38"/>
  <c r="K117" i="38"/>
  <c r="P117" i="38"/>
  <c r="P121" i="38"/>
  <c r="P119" i="38"/>
  <c r="K120" i="38"/>
  <c r="K116" i="38"/>
  <c r="P116" i="38"/>
  <c r="P118" i="38"/>
  <c r="K122" i="38"/>
  <c r="K119" i="38"/>
  <c r="F116" i="38"/>
  <c r="P120" i="38"/>
  <c r="F121" i="38"/>
  <c r="F118" i="38"/>
  <c r="F117" i="38"/>
  <c r="F119" i="38"/>
  <c r="P550" i="38"/>
  <c r="K555" i="38"/>
  <c r="F555" i="38"/>
  <c r="P551" i="38"/>
  <c r="F554" i="38"/>
  <c r="F551" i="38"/>
  <c r="K551" i="38"/>
  <c r="P552" i="38"/>
  <c r="P554" i="38"/>
  <c r="F550" i="38"/>
  <c r="P555" i="38"/>
  <c r="K550" i="38"/>
  <c r="P553" i="38"/>
  <c r="K554" i="38"/>
  <c r="K556" i="38"/>
  <c r="K552" i="38"/>
  <c r="F556" i="38"/>
  <c r="F552" i="38"/>
  <c r="K553" i="38"/>
  <c r="F553" i="38"/>
  <c r="F640" i="38"/>
  <c r="P636" i="38"/>
  <c r="F636" i="38"/>
  <c r="K639" i="38"/>
  <c r="K636" i="38"/>
  <c r="F639" i="38"/>
  <c r="F635" i="38"/>
  <c r="P635" i="38"/>
  <c r="K637" i="38"/>
  <c r="P638" i="38"/>
  <c r="K638" i="38"/>
  <c r="P634" i="38"/>
  <c r="K635" i="38"/>
  <c r="K640" i="38"/>
  <c r="F638" i="38"/>
  <c r="P637" i="38"/>
  <c r="K634" i="38"/>
  <c r="F634" i="38"/>
  <c r="P639" i="38"/>
  <c r="F637" i="38"/>
  <c r="K722" i="38"/>
  <c r="K724" i="38"/>
  <c r="F720" i="38"/>
  <c r="F722" i="38"/>
  <c r="F723" i="38"/>
  <c r="P720" i="38"/>
  <c r="F718" i="38"/>
  <c r="K723" i="38"/>
  <c r="P723" i="38"/>
  <c r="P722" i="38"/>
  <c r="K719" i="38"/>
  <c r="F724" i="38"/>
  <c r="K720" i="38"/>
  <c r="F719" i="38"/>
  <c r="K718" i="38"/>
  <c r="P721" i="38"/>
  <c r="P718" i="38"/>
  <c r="P719" i="38"/>
  <c r="K721" i="38"/>
  <c r="F721" i="38"/>
  <c r="P545" i="38"/>
  <c r="F549" i="38"/>
  <c r="K544" i="38"/>
  <c r="K543" i="38"/>
  <c r="P543" i="38"/>
  <c r="K548" i="38"/>
  <c r="F543" i="38"/>
  <c r="P546" i="38"/>
  <c r="K546" i="38"/>
  <c r="F545" i="38"/>
  <c r="F548" i="38"/>
  <c r="K547" i="38"/>
  <c r="F544" i="38"/>
  <c r="K549" i="38"/>
  <c r="F547" i="38"/>
  <c r="P544" i="38"/>
  <c r="P547" i="38"/>
  <c r="P548" i="38"/>
  <c r="K545" i="38"/>
  <c r="F546" i="38"/>
  <c r="F516" i="38"/>
  <c r="K515" i="38"/>
  <c r="F517" i="38"/>
  <c r="P519" i="38"/>
  <c r="F519" i="38"/>
  <c r="P517" i="38"/>
  <c r="F521" i="38"/>
  <c r="P516" i="38"/>
  <c r="K516" i="38"/>
  <c r="P520" i="38"/>
  <c r="K520" i="38"/>
  <c r="F515" i="38"/>
  <c r="P518" i="38"/>
  <c r="K521" i="38"/>
  <c r="K517" i="38"/>
  <c r="K519" i="38"/>
  <c r="F520" i="38"/>
  <c r="P515" i="38"/>
  <c r="K518" i="38"/>
  <c r="F518" i="38"/>
  <c r="K314" i="38"/>
  <c r="P313" i="38"/>
  <c r="K315" i="38"/>
  <c r="K312" i="38"/>
  <c r="P316" i="38"/>
  <c r="F318" i="38"/>
  <c r="K313" i="38"/>
  <c r="F316" i="38"/>
  <c r="P315" i="38"/>
  <c r="P317" i="38"/>
  <c r="F314" i="38"/>
  <c r="F317" i="38"/>
  <c r="F312" i="38"/>
  <c r="K316" i="38"/>
  <c r="P314" i="38"/>
  <c r="P312" i="38"/>
  <c r="K317" i="38"/>
  <c r="K318" i="38"/>
  <c r="F313" i="38"/>
  <c r="F315" i="38"/>
  <c r="F692" i="38"/>
  <c r="P693" i="38"/>
  <c r="K690" i="38"/>
  <c r="K693" i="38"/>
  <c r="K691" i="38"/>
  <c r="K695" i="38"/>
  <c r="P692" i="38"/>
  <c r="P694" i="38"/>
  <c r="F694" i="38"/>
  <c r="F690" i="38"/>
  <c r="K696" i="38"/>
  <c r="F691" i="38"/>
  <c r="F695" i="38"/>
  <c r="P695" i="38"/>
  <c r="P691" i="38"/>
  <c r="K694" i="38"/>
  <c r="P690" i="38"/>
  <c r="F696" i="38"/>
  <c r="K692" i="38"/>
  <c r="F693" i="38"/>
  <c r="K168" i="38"/>
  <c r="P169" i="38"/>
  <c r="P167" i="38"/>
  <c r="K167" i="38"/>
  <c r="K170" i="38"/>
  <c r="F171" i="38"/>
  <c r="F165" i="38"/>
  <c r="P165" i="38"/>
  <c r="P166" i="38"/>
  <c r="P170" i="38"/>
  <c r="K169" i="38"/>
  <c r="F169" i="38"/>
  <c r="K171" i="38"/>
  <c r="F170" i="38"/>
  <c r="P168" i="38"/>
  <c r="F167" i="38"/>
  <c r="K166" i="38"/>
  <c r="K165" i="38"/>
  <c r="F166" i="38"/>
  <c r="F168" i="38"/>
  <c r="P629" i="38"/>
  <c r="K631" i="38"/>
  <c r="F627" i="38"/>
  <c r="K632" i="38"/>
  <c r="K629" i="38"/>
  <c r="F633" i="38"/>
  <c r="K630" i="38"/>
  <c r="F632" i="38"/>
  <c r="K633" i="38"/>
  <c r="P627" i="38"/>
  <c r="K627" i="38"/>
  <c r="P628" i="38"/>
  <c r="F631" i="38"/>
  <c r="P630" i="38"/>
  <c r="P631" i="38"/>
  <c r="F628" i="38"/>
  <c r="K628" i="38"/>
  <c r="F629" i="38"/>
  <c r="P632" i="38"/>
  <c r="F630" i="38"/>
  <c r="K684" i="38"/>
  <c r="F684" i="38"/>
  <c r="K687" i="38"/>
  <c r="F685" i="38"/>
  <c r="K686" i="38"/>
  <c r="P685" i="38"/>
  <c r="F688" i="38"/>
  <c r="F683" i="38"/>
  <c r="K688" i="38"/>
  <c r="F687" i="38"/>
  <c r="K683" i="38"/>
  <c r="P687" i="38"/>
  <c r="K689" i="38"/>
  <c r="F689" i="38"/>
  <c r="P688" i="38"/>
  <c r="P683" i="38"/>
  <c r="P686" i="38"/>
  <c r="P684" i="38"/>
  <c r="K685" i="38"/>
  <c r="F686" i="38"/>
  <c r="K376" i="38"/>
  <c r="K380" i="38"/>
  <c r="P380" i="38"/>
  <c r="F377" i="38"/>
  <c r="K379" i="38"/>
  <c r="K378" i="38"/>
  <c r="P376" i="38"/>
  <c r="F380" i="38"/>
  <c r="K375" i="38"/>
  <c r="P375" i="38"/>
  <c r="F381" i="38"/>
  <c r="F379" i="38"/>
  <c r="F375" i="38"/>
  <c r="P379" i="38"/>
  <c r="P378" i="38"/>
  <c r="P377" i="38"/>
  <c r="K377" i="38"/>
  <c r="K381" i="38"/>
  <c r="F376" i="38"/>
  <c r="F378" i="38"/>
  <c r="K48" i="38"/>
  <c r="K50" i="38"/>
  <c r="K52" i="38"/>
  <c r="F50" i="38"/>
  <c r="K51" i="38"/>
  <c r="P50" i="38"/>
  <c r="K47" i="38"/>
  <c r="K49" i="38"/>
  <c r="K46" i="38"/>
  <c r="F46" i="38"/>
  <c r="P51" i="38"/>
  <c r="P47" i="38"/>
  <c r="F51" i="38"/>
  <c r="F52" i="38"/>
  <c r="P46" i="38"/>
  <c r="P49" i="38"/>
  <c r="P48" i="38"/>
  <c r="F48" i="38"/>
  <c r="F47" i="38"/>
  <c r="F49" i="38"/>
  <c r="K403" i="38"/>
  <c r="P404" i="38"/>
  <c r="P405" i="38"/>
  <c r="K409" i="38"/>
  <c r="K405" i="38"/>
  <c r="K408" i="38"/>
  <c r="P406" i="38"/>
  <c r="F405" i="38"/>
  <c r="F407" i="38"/>
  <c r="F408" i="38"/>
  <c r="K404" i="38"/>
  <c r="F403" i="38"/>
  <c r="P407" i="38"/>
  <c r="P408" i="38"/>
  <c r="F409" i="38"/>
  <c r="K406" i="38"/>
  <c r="P403" i="38"/>
  <c r="K407" i="38"/>
  <c r="F404" i="38"/>
  <c r="F406" i="38"/>
  <c r="K113" i="38"/>
  <c r="F115" i="38"/>
  <c r="K110" i="38"/>
  <c r="F111" i="38"/>
  <c r="K112" i="38"/>
  <c r="F113" i="38"/>
  <c r="P114" i="38"/>
  <c r="K115" i="38"/>
  <c r="F109" i="38"/>
  <c r="K111" i="38"/>
  <c r="P112" i="38"/>
  <c r="K109" i="38"/>
  <c r="K114" i="38"/>
  <c r="P110" i="38"/>
  <c r="P109" i="38"/>
  <c r="F114" i="38"/>
  <c r="P111" i="38"/>
  <c r="P113" i="38"/>
  <c r="F110" i="38"/>
  <c r="F112" i="38"/>
  <c r="F253" i="38"/>
  <c r="F254" i="38"/>
  <c r="P252" i="38"/>
  <c r="K254" i="38"/>
  <c r="P251" i="38"/>
  <c r="P249" i="38"/>
  <c r="F255" i="38"/>
  <c r="K252" i="38"/>
  <c r="P253" i="38"/>
  <c r="P254" i="38"/>
  <c r="K253" i="38"/>
  <c r="K249" i="38"/>
  <c r="K255" i="38"/>
  <c r="F251" i="38"/>
  <c r="K251" i="38"/>
  <c r="F249" i="38"/>
  <c r="P250" i="38"/>
  <c r="K250" i="38"/>
  <c r="F250" i="38"/>
  <c r="F252" i="38"/>
  <c r="K278" i="38"/>
  <c r="K277" i="38"/>
  <c r="P279" i="38"/>
  <c r="F283" i="38"/>
  <c r="K280" i="38"/>
  <c r="K283" i="38"/>
  <c r="F277" i="38"/>
  <c r="F281" i="38"/>
  <c r="P277" i="38"/>
  <c r="P281" i="38"/>
  <c r="K282" i="38"/>
  <c r="K279" i="38"/>
  <c r="K281" i="38"/>
  <c r="P280" i="38"/>
  <c r="F279" i="38"/>
  <c r="P282" i="38"/>
  <c r="F282" i="38"/>
  <c r="P278" i="38"/>
  <c r="F278" i="38"/>
  <c r="F280" i="38"/>
  <c r="K15" i="38"/>
  <c r="K16" i="38"/>
  <c r="K17" i="38"/>
  <c r="K14" i="38"/>
  <c r="P13" i="38"/>
  <c r="F17" i="38"/>
  <c r="F15" i="38"/>
  <c r="K12" i="38"/>
  <c r="P15" i="38"/>
  <c r="P11" i="38"/>
  <c r="F13" i="38"/>
  <c r="F11" i="38"/>
  <c r="K13" i="38"/>
  <c r="K11" i="38"/>
  <c r="P14" i="38"/>
  <c r="P12" i="38"/>
  <c r="F16" i="38"/>
  <c r="P16" i="38"/>
  <c r="F12" i="38"/>
  <c r="F14" i="38"/>
  <c r="K674" i="38"/>
  <c r="K669" i="38"/>
  <c r="K673" i="38"/>
  <c r="P669" i="38"/>
  <c r="F673" i="38"/>
  <c r="F669" i="38"/>
  <c r="F674" i="38"/>
  <c r="P672" i="38"/>
  <c r="K675" i="38"/>
  <c r="F671" i="38"/>
  <c r="K672" i="38"/>
  <c r="P673" i="38"/>
  <c r="P671" i="38"/>
  <c r="F675" i="38"/>
  <c r="K671" i="38"/>
  <c r="P670" i="38"/>
  <c r="P674" i="38"/>
  <c r="K670" i="38"/>
  <c r="F670" i="38"/>
  <c r="F672" i="38"/>
  <c r="E459" i="38"/>
  <c r="N465" i="38"/>
  <c r="O465" i="38"/>
  <c r="K583" i="38"/>
  <c r="P582" i="38"/>
  <c r="K582" i="38"/>
  <c r="F582" i="38"/>
  <c r="P580" i="38"/>
  <c r="P581" i="38"/>
  <c r="K584" i="38"/>
  <c r="P583" i="38"/>
  <c r="F578" i="38"/>
  <c r="F584" i="38"/>
  <c r="F580" i="38"/>
  <c r="K579" i="38"/>
  <c r="K580" i="38"/>
  <c r="F579" i="38"/>
  <c r="K578" i="38"/>
  <c r="F583" i="38"/>
  <c r="P579" i="38"/>
  <c r="P578" i="38"/>
  <c r="K581" i="38"/>
  <c r="F581" i="38"/>
  <c r="F606" i="38"/>
  <c r="K610" i="38"/>
  <c r="P606" i="38"/>
  <c r="F612" i="38"/>
  <c r="K608" i="38"/>
  <c r="K611" i="38"/>
  <c r="K612" i="38"/>
  <c r="P609" i="38"/>
  <c r="K606" i="38"/>
  <c r="K609" i="38"/>
  <c r="F608" i="38"/>
  <c r="K607" i="38"/>
  <c r="P608" i="38"/>
  <c r="P610" i="38"/>
  <c r="F610" i="38"/>
  <c r="P607" i="38"/>
  <c r="F607" i="38"/>
  <c r="F611" i="38"/>
  <c r="P611" i="38"/>
  <c r="F609" i="38"/>
  <c r="K308" i="38"/>
  <c r="F310" i="38"/>
  <c r="F309" i="38"/>
  <c r="P309" i="38"/>
  <c r="P307" i="38"/>
  <c r="K305" i="38"/>
  <c r="F307" i="38"/>
  <c r="K307" i="38"/>
  <c r="K309" i="38"/>
  <c r="P310" i="38"/>
  <c r="F311" i="38"/>
  <c r="P308" i="38"/>
  <c r="F305" i="38"/>
  <c r="K306" i="38"/>
  <c r="K311" i="38"/>
  <c r="P306" i="38"/>
  <c r="K310" i="38"/>
  <c r="P305" i="38"/>
  <c r="F306" i="38"/>
  <c r="F308" i="38"/>
  <c r="K23" i="38"/>
  <c r="K20" i="38"/>
  <c r="P20" i="38"/>
  <c r="K19" i="38"/>
  <c r="F22" i="38"/>
  <c r="P18" i="38"/>
  <c r="P19" i="38"/>
  <c r="K21" i="38"/>
  <c r="K22" i="38"/>
  <c r="F20" i="38"/>
  <c r="P22" i="38"/>
  <c r="P23" i="38"/>
  <c r="P21" i="38"/>
  <c r="F18" i="38"/>
  <c r="K18" i="38"/>
  <c r="K24" i="38"/>
  <c r="F24" i="38"/>
  <c r="F23" i="38"/>
  <c r="F19" i="38"/>
  <c r="F21" i="38"/>
  <c r="P457" i="38"/>
  <c r="K453" i="38"/>
  <c r="P454" i="38"/>
  <c r="F457" i="38"/>
  <c r="F458" i="38"/>
  <c r="K458" i="38"/>
  <c r="K454" i="38"/>
  <c r="K452" i="38"/>
  <c r="F456" i="38"/>
  <c r="K456" i="38"/>
  <c r="K455" i="38"/>
  <c r="P453" i="38"/>
  <c r="K457" i="38"/>
  <c r="P455" i="38"/>
  <c r="P456" i="38"/>
  <c r="F452" i="38"/>
  <c r="P452" i="38"/>
  <c r="F454" i="38"/>
  <c r="F455" i="38"/>
  <c r="F453" i="38"/>
  <c r="F473" i="38"/>
  <c r="F478" i="38"/>
  <c r="K477" i="38"/>
  <c r="P473" i="38"/>
  <c r="K475" i="38"/>
  <c r="K479" i="38"/>
  <c r="F479" i="38"/>
  <c r="P476" i="38"/>
  <c r="K473" i="38"/>
  <c r="K476" i="38"/>
  <c r="F475" i="38"/>
  <c r="K478" i="38"/>
  <c r="P475" i="38"/>
  <c r="F477" i="38"/>
  <c r="K474" i="38"/>
  <c r="P474" i="38"/>
  <c r="F474" i="38"/>
  <c r="P478" i="38"/>
  <c r="P477" i="38"/>
  <c r="F476" i="38"/>
  <c r="K95" i="38"/>
  <c r="K97" i="38"/>
  <c r="K101" i="38"/>
  <c r="F99" i="38"/>
  <c r="P100" i="38"/>
  <c r="P99" i="38"/>
  <c r="K99" i="38"/>
  <c r="F100" i="38"/>
  <c r="K98" i="38"/>
  <c r="F97" i="38"/>
  <c r="F95" i="38"/>
  <c r="P95" i="38"/>
  <c r="K96" i="38"/>
  <c r="P96" i="38"/>
  <c r="P97" i="38"/>
  <c r="K100" i="38"/>
  <c r="P98" i="38"/>
  <c r="F101" i="38"/>
  <c r="F96" i="38"/>
  <c r="F98" i="38"/>
  <c r="K585" i="38"/>
  <c r="K590" i="38"/>
  <c r="K586" i="38"/>
  <c r="F587" i="38"/>
  <c r="P588" i="38"/>
  <c r="F591" i="38"/>
  <c r="K588" i="38"/>
  <c r="P590" i="38"/>
  <c r="P587" i="38"/>
  <c r="F589" i="38"/>
  <c r="K587" i="38"/>
  <c r="F585" i="38"/>
  <c r="K591" i="38"/>
  <c r="F590" i="38"/>
  <c r="F586" i="38"/>
  <c r="P589" i="38"/>
  <c r="P586" i="38"/>
  <c r="K589" i="38"/>
  <c r="P585" i="38"/>
  <c r="F588" i="38"/>
  <c r="P175" i="38"/>
  <c r="P172" i="38"/>
  <c r="K172" i="38"/>
  <c r="P174" i="38"/>
  <c r="F172" i="38"/>
  <c r="K176" i="38"/>
  <c r="F177" i="38"/>
  <c r="K173" i="38"/>
  <c r="K175" i="38"/>
  <c r="K178" i="38"/>
  <c r="P176" i="38"/>
  <c r="F174" i="38"/>
  <c r="F178" i="38"/>
  <c r="K177" i="38"/>
  <c r="K174" i="38"/>
  <c r="P173" i="38"/>
  <c r="P177" i="38"/>
  <c r="F176" i="38"/>
  <c r="F173" i="38"/>
  <c r="F175" i="38"/>
  <c r="F372" i="38"/>
  <c r="P372" i="38"/>
  <c r="P370" i="38"/>
  <c r="P369" i="38"/>
  <c r="F374" i="38"/>
  <c r="K374" i="38"/>
  <c r="K370" i="38"/>
  <c r="K372" i="38"/>
  <c r="F368" i="38"/>
  <c r="P373" i="38"/>
  <c r="K369" i="38"/>
  <c r="F370" i="38"/>
  <c r="P371" i="38"/>
  <c r="P368" i="38"/>
  <c r="K368" i="38"/>
  <c r="K371" i="38"/>
  <c r="K373" i="38"/>
  <c r="F373" i="38"/>
  <c r="F369" i="38"/>
  <c r="F371" i="38"/>
  <c r="AE725" i="10"/>
  <c r="AX108" i="26"/>
  <c r="AW108" i="26"/>
  <c r="P717" i="38"/>
  <c r="CL107" i="26"/>
  <c r="P542" i="38"/>
  <c r="CL82" i="26"/>
  <c r="P524" i="38"/>
  <c r="K522" i="38"/>
  <c r="F522" i="38"/>
  <c r="K528" i="38"/>
  <c r="F524" i="38"/>
  <c r="F526" i="38"/>
  <c r="K523" i="38"/>
  <c r="F527" i="38"/>
  <c r="K527" i="38"/>
  <c r="P527" i="38"/>
  <c r="K526" i="38"/>
  <c r="P522" i="38"/>
  <c r="P526" i="38"/>
  <c r="F528" i="38"/>
  <c r="K524" i="38"/>
  <c r="F523" i="38"/>
  <c r="P525" i="38"/>
  <c r="P523" i="38"/>
  <c r="K525" i="38"/>
  <c r="F525" i="38"/>
  <c r="F512" i="38"/>
  <c r="F510" i="38"/>
  <c r="F513" i="38"/>
  <c r="P511" i="38"/>
  <c r="K510" i="38"/>
  <c r="P513" i="38"/>
  <c r="P509" i="38"/>
  <c r="P512" i="38"/>
  <c r="P510" i="38"/>
  <c r="K511" i="38"/>
  <c r="K514" i="38"/>
  <c r="K508" i="38"/>
  <c r="F514" i="38"/>
  <c r="K509" i="38"/>
  <c r="F509" i="38"/>
  <c r="K513" i="38"/>
  <c r="F508" i="38"/>
  <c r="K512" i="38"/>
  <c r="P508" i="38"/>
  <c r="F511" i="38"/>
  <c r="F559" i="38"/>
  <c r="F562" i="38"/>
  <c r="P560" i="38"/>
  <c r="F561" i="38"/>
  <c r="K560" i="38"/>
  <c r="K562" i="38"/>
  <c r="F563" i="38"/>
  <c r="K559" i="38"/>
  <c r="P559" i="38"/>
  <c r="K557" i="38"/>
  <c r="K558" i="38"/>
  <c r="F557" i="38"/>
  <c r="P562" i="38"/>
  <c r="F558" i="38"/>
  <c r="K563" i="38"/>
  <c r="P558" i="38"/>
  <c r="P561" i="38"/>
  <c r="K561" i="38"/>
  <c r="P557" i="38"/>
  <c r="F560" i="38"/>
  <c r="P45" i="38"/>
  <c r="CL11" i="26"/>
  <c r="P10" i="38"/>
  <c r="CL6" i="26"/>
  <c r="CL84" i="26"/>
  <c r="P556" i="38"/>
  <c r="P549" i="38"/>
  <c r="CL83" i="26"/>
  <c r="P696" i="38"/>
  <c r="CL104" i="26"/>
  <c r="P689" i="38"/>
  <c r="CL103" i="26"/>
  <c r="CL63" i="26"/>
  <c r="P409" i="38"/>
  <c r="P283" i="38"/>
  <c r="CL45" i="26"/>
  <c r="P675" i="38"/>
  <c r="CL101" i="26"/>
  <c r="CL8" i="26"/>
  <c r="P24" i="38"/>
  <c r="K265" i="38"/>
  <c r="F263" i="38"/>
  <c r="K268" i="38"/>
  <c r="P263" i="38"/>
  <c r="K264" i="38"/>
  <c r="K267" i="38"/>
  <c r="K263" i="38"/>
  <c r="P264" i="38"/>
  <c r="F265" i="38"/>
  <c r="K269" i="38"/>
  <c r="F267" i="38"/>
  <c r="K266" i="38"/>
  <c r="P265" i="38"/>
  <c r="P268" i="38"/>
  <c r="F268" i="38"/>
  <c r="F269" i="38"/>
  <c r="P267" i="38"/>
  <c r="P266" i="38"/>
  <c r="F264" i="38"/>
  <c r="F266" i="38"/>
  <c r="P180" i="38"/>
  <c r="P181" i="38"/>
  <c r="K183" i="38"/>
  <c r="P183" i="38"/>
  <c r="K179" i="38"/>
  <c r="K181" i="38"/>
  <c r="F183" i="38"/>
  <c r="P182" i="38"/>
  <c r="F185" i="38"/>
  <c r="K180" i="38"/>
  <c r="F181" i="38"/>
  <c r="K184" i="38"/>
  <c r="P179" i="38"/>
  <c r="K182" i="38"/>
  <c r="K185" i="38"/>
  <c r="P184" i="38"/>
  <c r="F184" i="38"/>
  <c r="F179" i="38"/>
  <c r="F180" i="38"/>
  <c r="F182" i="38"/>
  <c r="P393" i="38"/>
  <c r="P392" i="38"/>
  <c r="K395" i="38"/>
  <c r="K394" i="38"/>
  <c r="F389" i="38"/>
  <c r="P391" i="38"/>
  <c r="P389" i="38"/>
  <c r="K392" i="38"/>
  <c r="F391" i="38"/>
  <c r="K393" i="38"/>
  <c r="K389" i="38"/>
  <c r="F394" i="38"/>
  <c r="F393" i="38"/>
  <c r="K390" i="38"/>
  <c r="F395" i="38"/>
  <c r="P390" i="38"/>
  <c r="K391" i="38"/>
  <c r="P394" i="38"/>
  <c r="F390" i="38"/>
  <c r="F392" i="38"/>
  <c r="F204" i="38"/>
  <c r="K203" i="38"/>
  <c r="F202" i="38"/>
  <c r="K206" i="38"/>
  <c r="K202" i="38"/>
  <c r="K205" i="38"/>
  <c r="F205" i="38"/>
  <c r="F206" i="38"/>
  <c r="K201" i="38"/>
  <c r="K200" i="38"/>
  <c r="P203" i="38"/>
  <c r="F200" i="38"/>
  <c r="P200" i="38"/>
  <c r="K204" i="38"/>
  <c r="P205" i="38"/>
  <c r="P204" i="38"/>
  <c r="P202" i="38"/>
  <c r="P201" i="38"/>
  <c r="F201" i="38"/>
  <c r="F203" i="38"/>
  <c r="F621" i="38"/>
  <c r="K623" i="38"/>
  <c r="F622" i="38"/>
  <c r="F625" i="38"/>
  <c r="K624" i="38"/>
  <c r="K622" i="38"/>
  <c r="K620" i="38"/>
  <c r="F624" i="38"/>
  <c r="P621" i="38"/>
  <c r="P624" i="38"/>
  <c r="P625" i="38"/>
  <c r="K626" i="38"/>
  <c r="P622" i="38"/>
  <c r="F626" i="38"/>
  <c r="K621" i="38"/>
  <c r="P620" i="38"/>
  <c r="K625" i="38"/>
  <c r="F620" i="38"/>
  <c r="P623" i="38"/>
  <c r="F623" i="38"/>
  <c r="K492" i="38"/>
  <c r="F487" i="38"/>
  <c r="K491" i="38"/>
  <c r="K489" i="38"/>
  <c r="P489" i="38"/>
  <c r="F488" i="38"/>
  <c r="K493" i="38"/>
  <c r="F492" i="38"/>
  <c r="K490" i="38"/>
  <c r="P487" i="38"/>
  <c r="K487" i="38"/>
  <c r="F489" i="38"/>
  <c r="P491" i="38"/>
  <c r="F491" i="38"/>
  <c r="P490" i="38"/>
  <c r="F493" i="38"/>
  <c r="P488" i="38"/>
  <c r="K488" i="38"/>
  <c r="P492" i="38"/>
  <c r="F490" i="38"/>
  <c r="P661" i="38"/>
  <c r="CL99" i="26"/>
  <c r="P227" i="38"/>
  <c r="CL37" i="26"/>
  <c r="CL38" i="26"/>
  <c r="P234" i="38"/>
  <c r="P164" i="38"/>
  <c r="CL28" i="26"/>
  <c r="P577" i="38"/>
  <c r="CL87" i="26"/>
  <c r="CL27" i="26"/>
  <c r="P157" i="38"/>
  <c r="P220" i="38"/>
  <c r="CL36" i="26"/>
  <c r="P59" i="38"/>
  <c r="CL13" i="26"/>
  <c r="CL18" i="26"/>
  <c r="P94" i="38"/>
  <c r="P486" i="38"/>
  <c r="CL74" i="26"/>
  <c r="P647" i="38"/>
  <c r="CL97" i="26"/>
  <c r="P570" i="38"/>
  <c r="CL86" i="26"/>
  <c r="CL60" i="26"/>
  <c r="P388" i="38"/>
  <c r="CL46" i="26"/>
  <c r="P290" i="38"/>
  <c r="P500" i="38"/>
  <c r="CL76" i="26"/>
  <c r="CL47" i="26"/>
  <c r="P297" i="38"/>
  <c r="CL81" i="26"/>
  <c r="P535" i="38"/>
  <c r="CL33" i="26"/>
  <c r="P199" i="38"/>
  <c r="P80" i="38"/>
  <c r="CL16" i="26"/>
  <c r="CL23" i="26"/>
  <c r="P129" i="38"/>
  <c r="P682" i="38"/>
  <c r="CL102" i="26"/>
  <c r="P87" i="38"/>
  <c r="CL17" i="26"/>
  <c r="P668" i="38"/>
  <c r="CL100" i="26"/>
  <c r="CL42" i="26"/>
  <c r="P262" i="38"/>
  <c r="CL25" i="26"/>
  <c r="P143" i="38"/>
  <c r="P598" i="38"/>
  <c r="CL90" i="26"/>
  <c r="P402" i="38"/>
  <c r="CL62" i="26"/>
  <c r="P339" i="38"/>
  <c r="CL53" i="26"/>
  <c r="P451" i="38"/>
  <c r="CL69" i="26"/>
  <c r="P713" i="38"/>
  <c r="K715" i="38"/>
  <c r="P714" i="38"/>
  <c r="F716" i="38"/>
  <c r="K714" i="38"/>
  <c r="K712" i="38"/>
  <c r="F712" i="38"/>
  <c r="F717" i="38"/>
  <c r="P712" i="38"/>
  <c r="K716" i="38"/>
  <c r="K711" i="38"/>
  <c r="P711" i="38"/>
  <c r="K717" i="38"/>
  <c r="F713" i="38"/>
  <c r="P716" i="38"/>
  <c r="F715" i="38"/>
  <c r="F711" i="38"/>
  <c r="P715" i="38"/>
  <c r="K713" i="38"/>
  <c r="F714" i="38"/>
  <c r="K537" i="38"/>
  <c r="F537" i="38"/>
  <c r="K539" i="38"/>
  <c r="F540" i="38"/>
  <c r="F538" i="38"/>
  <c r="K540" i="38"/>
  <c r="P536" i="38"/>
  <c r="P537" i="38"/>
  <c r="F541" i="38"/>
  <c r="P539" i="38"/>
  <c r="K542" i="38"/>
  <c r="F542" i="38"/>
  <c r="K538" i="38"/>
  <c r="F536" i="38"/>
  <c r="P540" i="38"/>
  <c r="P538" i="38"/>
  <c r="P541" i="38"/>
  <c r="K541" i="38"/>
  <c r="K536" i="38"/>
  <c r="F539" i="38"/>
  <c r="K600" i="38"/>
  <c r="P603" i="38"/>
  <c r="P600" i="38"/>
  <c r="K601" i="38"/>
  <c r="K599" i="38"/>
  <c r="P599" i="38"/>
  <c r="P602" i="38"/>
  <c r="F601" i="38"/>
  <c r="K602" i="38"/>
  <c r="F600" i="38"/>
  <c r="F599" i="38"/>
  <c r="K604" i="38"/>
  <c r="F603" i="38"/>
  <c r="K603" i="38"/>
  <c r="P601" i="38"/>
  <c r="F604" i="38"/>
  <c r="K605" i="38"/>
  <c r="F605" i="38"/>
  <c r="P604" i="38"/>
  <c r="F602" i="38"/>
  <c r="K422" i="38"/>
  <c r="P417" i="38"/>
  <c r="K421" i="38"/>
  <c r="K417" i="38"/>
  <c r="P418" i="38"/>
  <c r="F422" i="38"/>
  <c r="K423" i="38"/>
  <c r="K418" i="38"/>
  <c r="F421" i="38"/>
  <c r="K419" i="38"/>
  <c r="P422" i="38"/>
  <c r="P419" i="38"/>
  <c r="F417" i="38"/>
  <c r="F423" i="38"/>
  <c r="F419" i="38"/>
  <c r="P420" i="38"/>
  <c r="P421" i="38"/>
  <c r="K420" i="38"/>
  <c r="F418" i="38"/>
  <c r="F420" i="38"/>
  <c r="F503" i="38"/>
  <c r="P503" i="38"/>
  <c r="K506" i="38"/>
  <c r="K504" i="38"/>
  <c r="K502" i="38"/>
  <c r="F502" i="38"/>
  <c r="F507" i="38"/>
  <c r="F506" i="38"/>
  <c r="F505" i="38"/>
  <c r="P505" i="38"/>
  <c r="K505" i="38"/>
  <c r="P501" i="38"/>
  <c r="P506" i="38"/>
  <c r="P502" i="38"/>
  <c r="P504" i="38"/>
  <c r="K501" i="38"/>
  <c r="F501" i="38"/>
  <c r="K503" i="38"/>
  <c r="K507" i="38"/>
  <c r="F504" i="38"/>
  <c r="P244" i="38"/>
  <c r="K242" i="38"/>
  <c r="F244" i="38"/>
  <c r="P247" i="38"/>
  <c r="K243" i="38"/>
  <c r="F248" i="38"/>
  <c r="K246" i="38"/>
  <c r="P243" i="38"/>
  <c r="P242" i="38"/>
  <c r="K245" i="38"/>
  <c r="F246" i="38"/>
  <c r="K248" i="38"/>
  <c r="F242" i="38"/>
  <c r="P246" i="38"/>
  <c r="F247" i="38"/>
  <c r="K244" i="38"/>
  <c r="P245" i="38"/>
  <c r="K247" i="38"/>
  <c r="F243" i="38"/>
  <c r="F245" i="38"/>
  <c r="P192" i="38"/>
  <c r="CL32" i="26"/>
  <c r="CL20" i="26"/>
  <c r="P108" i="38"/>
  <c r="P122" i="38"/>
  <c r="CL22" i="26"/>
  <c r="P724" i="38"/>
  <c r="CL108" i="26"/>
  <c r="P318" i="38"/>
  <c r="CL50" i="26"/>
  <c r="P633" i="38"/>
  <c r="CL95" i="26"/>
  <c r="CL59" i="26"/>
  <c r="P381" i="38"/>
  <c r="P255" i="38"/>
  <c r="CL41" i="26"/>
  <c r="P311" i="38"/>
  <c r="CL49" i="26"/>
  <c r="K615" i="38"/>
  <c r="F617" i="38"/>
  <c r="P618" i="38"/>
  <c r="P614" i="38"/>
  <c r="K617" i="38"/>
  <c r="P613" i="38"/>
  <c r="F619" i="38"/>
  <c r="K618" i="38"/>
  <c r="K619" i="38"/>
  <c r="F618" i="38"/>
  <c r="P616" i="38"/>
  <c r="F615" i="38"/>
  <c r="P617" i="38"/>
  <c r="P615" i="38"/>
  <c r="K613" i="38"/>
  <c r="K616" i="38"/>
  <c r="F613" i="38"/>
  <c r="K614" i="38"/>
  <c r="F614" i="38"/>
  <c r="F616" i="38"/>
  <c r="P208" i="38"/>
  <c r="P212" i="38"/>
  <c r="P211" i="38"/>
  <c r="F211" i="38"/>
  <c r="F213" i="38"/>
  <c r="K211" i="38"/>
  <c r="F209" i="38"/>
  <c r="K210" i="38"/>
  <c r="P209" i="38"/>
  <c r="K209" i="38"/>
  <c r="F212" i="38"/>
  <c r="F207" i="38"/>
  <c r="K208" i="38"/>
  <c r="K207" i="38"/>
  <c r="K213" i="38"/>
  <c r="K212" i="38"/>
  <c r="P207" i="38"/>
  <c r="P210" i="38"/>
  <c r="F208" i="38"/>
  <c r="F210" i="38"/>
  <c r="P238" i="38"/>
  <c r="K241" i="38"/>
  <c r="P235" i="38"/>
  <c r="P240" i="38"/>
  <c r="K237" i="38"/>
  <c r="F240" i="38"/>
  <c r="K236" i="38"/>
  <c r="K238" i="38"/>
  <c r="K239" i="38"/>
  <c r="P237" i="38"/>
  <c r="F241" i="38"/>
  <c r="P236" i="38"/>
  <c r="P239" i="38"/>
  <c r="K235" i="38"/>
  <c r="F239" i="38"/>
  <c r="K240" i="38"/>
  <c r="F235" i="38"/>
  <c r="F237" i="38"/>
  <c r="F236" i="38"/>
  <c r="F238" i="38"/>
  <c r="F706" i="38"/>
  <c r="F709" i="38"/>
  <c r="F708" i="38"/>
  <c r="K704" i="38"/>
  <c r="P709" i="38"/>
  <c r="P705" i="38"/>
  <c r="P708" i="38"/>
  <c r="K707" i="38"/>
  <c r="K706" i="38"/>
  <c r="K708" i="38"/>
  <c r="F710" i="38"/>
  <c r="K705" i="38"/>
  <c r="P704" i="38"/>
  <c r="F705" i="38"/>
  <c r="K709" i="38"/>
  <c r="F704" i="38"/>
  <c r="K710" i="38"/>
  <c r="P706" i="38"/>
  <c r="P707" i="38"/>
  <c r="F707" i="38"/>
  <c r="P323" i="38"/>
  <c r="P319" i="38"/>
  <c r="K324" i="38"/>
  <c r="F323" i="38"/>
  <c r="P320" i="38"/>
  <c r="K319" i="38"/>
  <c r="F324" i="38"/>
  <c r="K325" i="38"/>
  <c r="K320" i="38"/>
  <c r="P321" i="38"/>
  <c r="P324" i="38"/>
  <c r="K322" i="38"/>
  <c r="F321" i="38"/>
  <c r="F325" i="38"/>
  <c r="K323" i="38"/>
  <c r="F319" i="38"/>
  <c r="K321" i="38"/>
  <c r="P322" i="38"/>
  <c r="F320" i="38"/>
  <c r="F322" i="38"/>
  <c r="F470" i="38"/>
  <c r="K472" i="38"/>
  <c r="P467" i="38"/>
  <c r="K467" i="38"/>
  <c r="K468" i="38"/>
  <c r="F467" i="38"/>
  <c r="P471" i="38"/>
  <c r="F466" i="38"/>
  <c r="K470" i="38"/>
  <c r="K469" i="38"/>
  <c r="P468" i="38"/>
  <c r="P466" i="38"/>
  <c r="F472" i="38"/>
  <c r="P470" i="38"/>
  <c r="P469" i="38"/>
  <c r="K466" i="38"/>
  <c r="F468" i="38"/>
  <c r="K471" i="38"/>
  <c r="F471" i="38"/>
  <c r="F469" i="38"/>
  <c r="F424" i="38"/>
  <c r="P429" i="38"/>
  <c r="K430" i="38"/>
  <c r="P426" i="38"/>
  <c r="K426" i="38"/>
  <c r="P424" i="38"/>
  <c r="K427" i="38"/>
  <c r="F429" i="38"/>
  <c r="P428" i="38"/>
  <c r="K424" i="38"/>
  <c r="F430" i="38"/>
  <c r="K429" i="38"/>
  <c r="K425" i="38"/>
  <c r="K428" i="38"/>
  <c r="F428" i="38"/>
  <c r="P427" i="38"/>
  <c r="F426" i="38"/>
  <c r="P425" i="38"/>
  <c r="F425" i="38"/>
  <c r="F427" i="38"/>
  <c r="K25" i="38"/>
  <c r="K26" i="38"/>
  <c r="K27" i="38"/>
  <c r="F29" i="38"/>
  <c r="F30" i="38"/>
  <c r="K29" i="38"/>
  <c r="P28" i="38"/>
  <c r="P26" i="38"/>
  <c r="K31" i="38"/>
  <c r="P25" i="38"/>
  <c r="F27" i="38"/>
  <c r="K28" i="38"/>
  <c r="P29" i="38"/>
  <c r="F31" i="38"/>
  <c r="F25" i="38"/>
  <c r="P30" i="38"/>
  <c r="K30" i="38"/>
  <c r="P27" i="38"/>
  <c r="F26" i="38"/>
  <c r="F28" i="38"/>
  <c r="CL24" i="26"/>
  <c r="P136" i="38"/>
  <c r="P150" i="38"/>
  <c r="CL26" i="26"/>
  <c r="P654" i="38"/>
  <c r="CL98" i="26"/>
  <c r="CL10" i="26"/>
  <c r="P38" i="38"/>
  <c r="P304" i="38"/>
  <c r="CL48" i="26"/>
  <c r="P332" i="38"/>
  <c r="CL52" i="26"/>
  <c r="P360" i="38"/>
  <c r="CL56" i="26"/>
  <c r="P605" i="38"/>
  <c r="CL91" i="26"/>
  <c r="P346" i="38"/>
  <c r="CL54" i="26"/>
  <c r="P528" i="38"/>
  <c r="CL80" i="26"/>
  <c r="P423" i="38"/>
  <c r="CL65" i="26"/>
  <c r="P353" i="38"/>
  <c r="CL55" i="26"/>
  <c r="P514" i="38"/>
  <c r="CL78" i="26"/>
  <c r="P507" i="38"/>
  <c r="CL77" i="26"/>
  <c r="CL15" i="26"/>
  <c r="P73" i="38"/>
  <c r="P563" i="38"/>
  <c r="CL85" i="26"/>
  <c r="CL40" i="26"/>
  <c r="P248" i="38"/>
  <c r="P437" i="38"/>
  <c r="CL67" i="26"/>
  <c r="P444" i="38"/>
  <c r="CL68" i="26"/>
  <c r="P703" i="38"/>
  <c r="CL105" i="26"/>
  <c r="AN104" i="26"/>
  <c r="B104" i="12"/>
  <c r="AN106" i="26"/>
  <c r="B106" i="12"/>
  <c r="AN105" i="26"/>
  <c r="B105" i="12"/>
  <c r="P132" i="38"/>
  <c r="P134" i="38"/>
  <c r="K136" i="38"/>
  <c r="F136" i="38"/>
  <c r="K134" i="38"/>
  <c r="P135" i="38"/>
  <c r="K132" i="38"/>
  <c r="K131" i="38"/>
  <c r="F132" i="38"/>
  <c r="K130" i="38"/>
  <c r="F135" i="38"/>
  <c r="K133" i="38"/>
  <c r="K135" i="38"/>
  <c r="P130" i="38"/>
  <c r="F134" i="38"/>
  <c r="P131" i="38"/>
  <c r="P133" i="38"/>
  <c r="F130" i="38"/>
  <c r="F131" i="38"/>
  <c r="F133" i="38"/>
  <c r="P658" i="38"/>
  <c r="K657" i="38"/>
  <c r="F656" i="38"/>
  <c r="P659" i="38"/>
  <c r="P656" i="38"/>
  <c r="P655" i="38"/>
  <c r="K655" i="38"/>
  <c r="P657" i="38"/>
  <c r="F661" i="38"/>
  <c r="F659" i="38"/>
  <c r="K661" i="38"/>
  <c r="K659" i="38"/>
  <c r="K660" i="38"/>
  <c r="F655" i="38"/>
  <c r="K656" i="38"/>
  <c r="K658" i="38"/>
  <c r="F660" i="38"/>
  <c r="F657" i="38"/>
  <c r="P660" i="38"/>
  <c r="F658" i="38"/>
  <c r="K144" i="38"/>
  <c r="P146" i="38"/>
  <c r="K150" i="38"/>
  <c r="F144" i="38"/>
  <c r="P148" i="38"/>
  <c r="K147" i="38"/>
  <c r="F148" i="38"/>
  <c r="K146" i="38"/>
  <c r="F150" i="38"/>
  <c r="P145" i="38"/>
  <c r="P149" i="38"/>
  <c r="F149" i="38"/>
  <c r="K145" i="38"/>
  <c r="K149" i="38"/>
  <c r="F146" i="38"/>
  <c r="K148" i="38"/>
  <c r="P144" i="38"/>
  <c r="P147" i="38"/>
  <c r="F145" i="38"/>
  <c r="F147" i="38"/>
  <c r="F223" i="38"/>
  <c r="K225" i="38"/>
  <c r="K221" i="38"/>
  <c r="K223" i="38"/>
  <c r="F225" i="38"/>
  <c r="K226" i="38"/>
  <c r="F227" i="38"/>
  <c r="P222" i="38"/>
  <c r="K222" i="38"/>
  <c r="K224" i="38"/>
  <c r="P225" i="38"/>
  <c r="P221" i="38"/>
  <c r="K227" i="38"/>
  <c r="F226" i="38"/>
  <c r="P226" i="38"/>
  <c r="F221" i="38"/>
  <c r="P224" i="38"/>
  <c r="P223" i="38"/>
  <c r="F222" i="38"/>
  <c r="F224" i="38"/>
  <c r="P649" i="38"/>
  <c r="F654" i="38"/>
  <c r="K650" i="38"/>
  <c r="F650" i="38"/>
  <c r="P652" i="38"/>
  <c r="K654" i="38"/>
  <c r="F649" i="38"/>
  <c r="K653" i="38"/>
  <c r="F652" i="38"/>
  <c r="K651" i="38"/>
  <c r="K649" i="38"/>
  <c r="K648" i="38"/>
  <c r="K652" i="38"/>
  <c r="P650" i="38"/>
  <c r="P648" i="38"/>
  <c r="F648" i="38"/>
  <c r="P651" i="38"/>
  <c r="F653" i="38"/>
  <c r="P653" i="38"/>
  <c r="F651" i="38"/>
  <c r="F230" i="38"/>
  <c r="P232" i="38"/>
  <c r="P231" i="38"/>
  <c r="F233" i="38"/>
  <c r="P233" i="38"/>
  <c r="K233" i="38"/>
  <c r="K228" i="38"/>
  <c r="K229" i="38"/>
  <c r="F232" i="38"/>
  <c r="P229" i="38"/>
  <c r="P230" i="38"/>
  <c r="F228" i="38"/>
  <c r="K231" i="38"/>
  <c r="F234" i="38"/>
  <c r="K232" i="38"/>
  <c r="P228" i="38"/>
  <c r="K230" i="38"/>
  <c r="K234" i="38"/>
  <c r="F229" i="38"/>
  <c r="F231" i="38"/>
  <c r="F36" i="38"/>
  <c r="P36" i="38"/>
  <c r="K36" i="38"/>
  <c r="F38" i="38"/>
  <c r="K35" i="38"/>
  <c r="F32" i="38"/>
  <c r="K34" i="38"/>
  <c r="K32" i="38"/>
  <c r="K38" i="38"/>
  <c r="P32" i="38"/>
  <c r="F37" i="38"/>
  <c r="P34" i="38"/>
  <c r="P37" i="38"/>
  <c r="P33" i="38"/>
  <c r="K37" i="38"/>
  <c r="P35" i="38"/>
  <c r="F34" i="38"/>
  <c r="K33" i="38"/>
  <c r="F33" i="38"/>
  <c r="F35" i="38"/>
  <c r="F304" i="38"/>
  <c r="F303" i="38"/>
  <c r="F302" i="38"/>
  <c r="F298" i="38"/>
  <c r="K299" i="38"/>
  <c r="K303" i="38"/>
  <c r="K302" i="38"/>
  <c r="P298" i="38"/>
  <c r="P300" i="38"/>
  <c r="K300" i="38"/>
  <c r="F300" i="38"/>
  <c r="K298" i="38"/>
  <c r="K304" i="38"/>
  <c r="P301" i="38"/>
  <c r="P299" i="38"/>
  <c r="P303" i="38"/>
  <c r="K301" i="38"/>
  <c r="P302" i="38"/>
  <c r="F299" i="38"/>
  <c r="F301" i="38"/>
  <c r="K159" i="38"/>
  <c r="P163" i="38"/>
  <c r="K160" i="38"/>
  <c r="F164" i="38"/>
  <c r="F158" i="38"/>
  <c r="P162" i="38"/>
  <c r="P160" i="38"/>
  <c r="K158" i="38"/>
  <c r="F163" i="38"/>
  <c r="F160" i="38"/>
  <c r="K162" i="38"/>
  <c r="K161" i="38"/>
  <c r="F162" i="38"/>
  <c r="P161" i="38"/>
  <c r="P158" i="38"/>
  <c r="P159" i="38"/>
  <c r="K164" i="38"/>
  <c r="K163" i="38"/>
  <c r="F159" i="38"/>
  <c r="F161" i="38"/>
  <c r="K330" i="38"/>
  <c r="K329" i="38"/>
  <c r="K332" i="38"/>
  <c r="P328" i="38"/>
  <c r="P331" i="38"/>
  <c r="P326" i="38"/>
  <c r="F332" i="38"/>
  <c r="K326" i="38"/>
  <c r="P329" i="38"/>
  <c r="F330" i="38"/>
  <c r="F328" i="38"/>
  <c r="P330" i="38"/>
  <c r="F326" i="38"/>
  <c r="F331" i="38"/>
  <c r="K331" i="38"/>
  <c r="P327" i="38"/>
  <c r="K328" i="38"/>
  <c r="K327" i="38"/>
  <c r="F327" i="38"/>
  <c r="F329" i="38"/>
  <c r="F572" i="38"/>
  <c r="F573" i="38"/>
  <c r="K577" i="38"/>
  <c r="K575" i="38"/>
  <c r="P571" i="38"/>
  <c r="K574" i="38"/>
  <c r="P572" i="38"/>
  <c r="F576" i="38"/>
  <c r="P574" i="38"/>
  <c r="F577" i="38"/>
  <c r="P575" i="38"/>
  <c r="K573" i="38"/>
  <c r="F575" i="38"/>
  <c r="K571" i="38"/>
  <c r="K576" i="38"/>
  <c r="F571" i="38"/>
  <c r="P573" i="38"/>
  <c r="K572" i="38"/>
  <c r="P576" i="38"/>
  <c r="F574" i="38"/>
  <c r="F153" i="38"/>
  <c r="K157" i="38"/>
  <c r="P152" i="38"/>
  <c r="P151" i="38"/>
  <c r="K152" i="38"/>
  <c r="F151" i="38"/>
  <c r="K153" i="38"/>
  <c r="P156" i="38"/>
  <c r="F156" i="38"/>
  <c r="F157" i="38"/>
  <c r="K156" i="38"/>
  <c r="K151" i="38"/>
  <c r="K154" i="38"/>
  <c r="P154" i="38"/>
  <c r="K155" i="38"/>
  <c r="F155" i="38"/>
  <c r="P155" i="38"/>
  <c r="P153" i="38"/>
  <c r="F152" i="38"/>
  <c r="F154" i="38"/>
  <c r="F218" i="38"/>
  <c r="F219" i="38"/>
  <c r="F216" i="38"/>
  <c r="K215" i="38"/>
  <c r="K216" i="38"/>
  <c r="K219" i="38"/>
  <c r="P217" i="38"/>
  <c r="K218" i="38"/>
  <c r="F220" i="38"/>
  <c r="P219" i="38"/>
  <c r="K220" i="38"/>
  <c r="P218" i="38"/>
  <c r="K214" i="38"/>
  <c r="P216" i="38"/>
  <c r="P214" i="38"/>
  <c r="P215" i="38"/>
  <c r="F214" i="38"/>
  <c r="K217" i="38"/>
  <c r="F215" i="38"/>
  <c r="F217" i="38"/>
  <c r="K58" i="38"/>
  <c r="K54" i="38"/>
  <c r="K57" i="38"/>
  <c r="F57" i="38"/>
  <c r="P56" i="38"/>
  <c r="P58" i="38"/>
  <c r="P54" i="38"/>
  <c r="K55" i="38"/>
  <c r="F58" i="38"/>
  <c r="K53" i="38"/>
  <c r="P57" i="38"/>
  <c r="K56" i="38"/>
  <c r="F55" i="38"/>
  <c r="F59" i="38"/>
  <c r="K59" i="38"/>
  <c r="P53" i="38"/>
  <c r="F53" i="38"/>
  <c r="P55" i="38"/>
  <c r="F54" i="38"/>
  <c r="F56" i="38"/>
  <c r="P93" i="38"/>
  <c r="P90" i="38"/>
  <c r="P92" i="38"/>
  <c r="P89" i="38"/>
  <c r="P88" i="38"/>
  <c r="K89" i="38"/>
  <c r="F93" i="38"/>
  <c r="F92" i="38"/>
  <c r="K91" i="38"/>
  <c r="F88" i="38"/>
  <c r="F90" i="38"/>
  <c r="K93" i="38"/>
  <c r="K92" i="38"/>
  <c r="K94" i="38"/>
  <c r="P91" i="38"/>
  <c r="F94" i="38"/>
  <c r="K90" i="38"/>
  <c r="K88" i="38"/>
  <c r="F89" i="38"/>
  <c r="F91" i="38"/>
  <c r="K486" i="38"/>
  <c r="P485" i="38"/>
  <c r="F484" i="38"/>
  <c r="P481" i="38"/>
  <c r="P484" i="38"/>
  <c r="P482" i="38"/>
  <c r="K483" i="38"/>
  <c r="F486" i="38"/>
  <c r="K481" i="38"/>
  <c r="F481" i="38"/>
  <c r="K480" i="38"/>
  <c r="K485" i="38"/>
  <c r="F480" i="38"/>
  <c r="K484" i="38"/>
  <c r="P480" i="38"/>
  <c r="F482" i="38"/>
  <c r="F485" i="38"/>
  <c r="P483" i="38"/>
  <c r="K482" i="38"/>
  <c r="F483" i="38"/>
  <c r="K645" i="38"/>
  <c r="P641" i="38"/>
  <c r="P642" i="38"/>
  <c r="K642" i="38"/>
  <c r="P644" i="38"/>
  <c r="F647" i="38"/>
  <c r="F646" i="38"/>
  <c r="K641" i="38"/>
  <c r="K647" i="38"/>
  <c r="P646" i="38"/>
  <c r="P643" i="38"/>
  <c r="K646" i="38"/>
  <c r="P645" i="38"/>
  <c r="F645" i="38"/>
  <c r="F641" i="38"/>
  <c r="F642" i="38"/>
  <c r="F643" i="38"/>
  <c r="K644" i="38"/>
  <c r="K643" i="38"/>
  <c r="F644" i="38"/>
  <c r="P568" i="38"/>
  <c r="K568" i="38"/>
  <c r="F568" i="38"/>
  <c r="P564" i="38"/>
  <c r="K570" i="38"/>
  <c r="K564" i="38"/>
  <c r="K565" i="38"/>
  <c r="P567" i="38"/>
  <c r="K567" i="38"/>
  <c r="P569" i="38"/>
  <c r="F570" i="38"/>
  <c r="K566" i="38"/>
  <c r="F566" i="38"/>
  <c r="F565" i="38"/>
  <c r="F564" i="38"/>
  <c r="F569" i="38"/>
  <c r="K569" i="38"/>
  <c r="P565" i="38"/>
  <c r="P566" i="38"/>
  <c r="F567" i="38"/>
  <c r="F382" i="38"/>
  <c r="K385" i="38"/>
  <c r="K382" i="38"/>
  <c r="P382" i="38"/>
  <c r="F386" i="38"/>
  <c r="P385" i="38"/>
  <c r="K388" i="38"/>
  <c r="K384" i="38"/>
  <c r="K383" i="38"/>
  <c r="P386" i="38"/>
  <c r="P384" i="38"/>
  <c r="K386" i="38"/>
  <c r="F384" i="38"/>
  <c r="P383" i="38"/>
  <c r="F388" i="38"/>
  <c r="P387" i="38"/>
  <c r="K387" i="38"/>
  <c r="F387" i="38"/>
  <c r="F383" i="38"/>
  <c r="F385" i="38"/>
  <c r="P287" i="38"/>
  <c r="K290" i="38"/>
  <c r="F286" i="38"/>
  <c r="P288" i="38"/>
  <c r="P286" i="38"/>
  <c r="P289" i="38"/>
  <c r="F289" i="38"/>
  <c r="K285" i="38"/>
  <c r="P285" i="38"/>
  <c r="K286" i="38"/>
  <c r="K287" i="38"/>
  <c r="P284" i="38"/>
  <c r="K288" i="38"/>
  <c r="K284" i="38"/>
  <c r="K289" i="38"/>
  <c r="F290" i="38"/>
  <c r="F284" i="38"/>
  <c r="F288" i="38"/>
  <c r="F285" i="38"/>
  <c r="F287" i="38"/>
  <c r="P498" i="38"/>
  <c r="F496" i="38"/>
  <c r="F498" i="38"/>
  <c r="P494" i="38"/>
  <c r="K494" i="38"/>
  <c r="K495" i="38"/>
  <c r="F494" i="38"/>
  <c r="K499" i="38"/>
  <c r="P499" i="38"/>
  <c r="F495" i="38"/>
  <c r="F500" i="38"/>
  <c r="K496" i="38"/>
  <c r="K500" i="38"/>
  <c r="P496" i="38"/>
  <c r="K498" i="38"/>
  <c r="F499" i="38"/>
  <c r="P495" i="38"/>
  <c r="K497" i="38"/>
  <c r="P497" i="38"/>
  <c r="F497" i="38"/>
  <c r="P293" i="38"/>
  <c r="K292" i="38"/>
  <c r="P292" i="38"/>
  <c r="K296" i="38"/>
  <c r="K294" i="38"/>
  <c r="F295" i="38"/>
  <c r="F291" i="38"/>
  <c r="P295" i="38"/>
  <c r="P296" i="38"/>
  <c r="K297" i="38"/>
  <c r="F293" i="38"/>
  <c r="F296" i="38"/>
  <c r="K295" i="38"/>
  <c r="K291" i="38"/>
  <c r="F297" i="38"/>
  <c r="P294" i="38"/>
  <c r="P291" i="38"/>
  <c r="K293" i="38"/>
  <c r="F292" i="38"/>
  <c r="F294" i="38"/>
  <c r="F534" i="38"/>
  <c r="K530" i="38"/>
  <c r="K532" i="38"/>
  <c r="P531" i="38"/>
  <c r="P530" i="38"/>
  <c r="F535" i="38"/>
  <c r="F529" i="38"/>
  <c r="F533" i="38"/>
  <c r="P532" i="38"/>
  <c r="F531" i="38"/>
  <c r="P533" i="38"/>
  <c r="K534" i="38"/>
  <c r="P534" i="38"/>
  <c r="P529" i="38"/>
  <c r="K529" i="38"/>
  <c r="K533" i="38"/>
  <c r="K531" i="38"/>
  <c r="K535" i="38"/>
  <c r="F530" i="38"/>
  <c r="F532" i="38"/>
  <c r="K194" i="38"/>
  <c r="K196" i="38"/>
  <c r="F198" i="38"/>
  <c r="K193" i="38"/>
  <c r="P194" i="38"/>
  <c r="F199" i="38"/>
  <c r="K198" i="38"/>
  <c r="P195" i="38"/>
  <c r="F195" i="38"/>
  <c r="P193" i="38"/>
  <c r="P198" i="38"/>
  <c r="K199" i="38"/>
  <c r="P197" i="38"/>
  <c r="F193" i="38"/>
  <c r="P196" i="38"/>
  <c r="F197" i="38"/>
  <c r="K195" i="38"/>
  <c r="K197" i="38"/>
  <c r="F194" i="38"/>
  <c r="F196" i="38"/>
  <c r="P78" i="38"/>
  <c r="P76" i="38"/>
  <c r="P74" i="38"/>
  <c r="K80" i="38"/>
  <c r="F74" i="38"/>
  <c r="F78" i="38"/>
  <c r="P77" i="38"/>
  <c r="F79" i="38"/>
  <c r="F76" i="38"/>
  <c r="K79" i="38"/>
  <c r="P79" i="38"/>
  <c r="P75" i="38"/>
  <c r="K78" i="38"/>
  <c r="K76" i="38"/>
  <c r="K77" i="38"/>
  <c r="K75" i="38"/>
  <c r="K74" i="38"/>
  <c r="F80" i="38"/>
  <c r="F75" i="38"/>
  <c r="F77" i="38"/>
  <c r="K129" i="38"/>
  <c r="F123" i="38"/>
  <c r="P126" i="38"/>
  <c r="F128" i="38"/>
  <c r="F129" i="38"/>
  <c r="P128" i="38"/>
  <c r="P125" i="38"/>
  <c r="F127" i="38"/>
  <c r="K128" i="38"/>
  <c r="F125" i="38"/>
  <c r="K126" i="38"/>
  <c r="K125" i="38"/>
  <c r="K127" i="38"/>
  <c r="P123" i="38"/>
  <c r="K123" i="38"/>
  <c r="P124" i="38"/>
  <c r="K124" i="38"/>
  <c r="P127" i="38"/>
  <c r="F124" i="38"/>
  <c r="F126" i="38"/>
  <c r="K682" i="38"/>
  <c r="F680" i="38"/>
  <c r="P677" i="38"/>
  <c r="P680" i="38"/>
  <c r="P681" i="38"/>
  <c r="F677" i="38"/>
  <c r="P676" i="38"/>
  <c r="K679" i="38"/>
  <c r="F682" i="38"/>
  <c r="K677" i="38"/>
  <c r="K678" i="38"/>
  <c r="K676" i="38"/>
  <c r="K681" i="38"/>
  <c r="F676" i="38"/>
  <c r="P679" i="38"/>
  <c r="P678" i="38"/>
  <c r="F678" i="38"/>
  <c r="F681" i="38"/>
  <c r="K680" i="38"/>
  <c r="F679" i="38"/>
  <c r="K85" i="38"/>
  <c r="K81" i="38"/>
  <c r="P82" i="38"/>
  <c r="K87" i="38"/>
  <c r="F85" i="38"/>
  <c r="F81" i="38"/>
  <c r="P86" i="38"/>
  <c r="K82" i="38"/>
  <c r="F86" i="38"/>
  <c r="F87" i="38"/>
  <c r="K84" i="38"/>
  <c r="K83" i="38"/>
  <c r="P83" i="38"/>
  <c r="P84" i="38"/>
  <c r="K86" i="38"/>
  <c r="P85" i="38"/>
  <c r="P81" i="38"/>
  <c r="F83" i="38"/>
  <c r="F82" i="38"/>
  <c r="F84" i="38"/>
  <c r="K668" i="38"/>
  <c r="P663" i="38"/>
  <c r="K666" i="38"/>
  <c r="P662" i="38"/>
  <c r="F668" i="38"/>
  <c r="P667" i="38"/>
  <c r="F662" i="38"/>
  <c r="K667" i="38"/>
  <c r="K663" i="38"/>
  <c r="P665" i="38"/>
  <c r="K662" i="38"/>
  <c r="K664" i="38"/>
  <c r="P664" i="38"/>
  <c r="P666" i="38"/>
  <c r="K665" i="38"/>
  <c r="F664" i="38"/>
  <c r="F663" i="38"/>
  <c r="F667" i="38"/>
  <c r="F666" i="38"/>
  <c r="F665" i="38"/>
  <c r="K261" i="38"/>
  <c r="P257" i="38"/>
  <c r="F258" i="38"/>
  <c r="K260" i="38"/>
  <c r="F261" i="38"/>
  <c r="K257" i="38"/>
  <c r="F262" i="38"/>
  <c r="P260" i="38"/>
  <c r="K258" i="38"/>
  <c r="P256" i="38"/>
  <c r="F260" i="38"/>
  <c r="P258" i="38"/>
  <c r="K256" i="38"/>
  <c r="K262" i="38"/>
  <c r="P259" i="38"/>
  <c r="K259" i="38"/>
  <c r="P261" i="38"/>
  <c r="F256" i="38"/>
  <c r="F257" i="38"/>
  <c r="F259" i="38"/>
  <c r="F142" i="38"/>
  <c r="K138" i="38"/>
  <c r="F143" i="38"/>
  <c r="P139" i="38"/>
  <c r="K141" i="38"/>
  <c r="P142" i="38"/>
  <c r="P137" i="38"/>
  <c r="P140" i="38"/>
  <c r="P138" i="38"/>
  <c r="K143" i="38"/>
  <c r="F141" i="38"/>
  <c r="P141" i="38"/>
  <c r="K139" i="38"/>
  <c r="F139" i="38"/>
  <c r="K142" i="38"/>
  <c r="K140" i="38"/>
  <c r="K137" i="38"/>
  <c r="F137" i="38"/>
  <c r="F138" i="38"/>
  <c r="F140" i="38"/>
  <c r="K597" i="38"/>
  <c r="F592" i="38"/>
  <c r="K598" i="38"/>
  <c r="P594" i="38"/>
  <c r="P597" i="38"/>
  <c r="F594" i="38"/>
  <c r="F597" i="38"/>
  <c r="F596" i="38"/>
  <c r="K592" i="38"/>
  <c r="K596" i="38"/>
  <c r="P593" i="38"/>
  <c r="P596" i="38"/>
  <c r="K595" i="38"/>
  <c r="K594" i="38"/>
  <c r="P595" i="38"/>
  <c r="F598" i="38"/>
  <c r="K593" i="38"/>
  <c r="P592" i="38"/>
  <c r="F593" i="38"/>
  <c r="F595" i="38"/>
  <c r="K402" i="38"/>
  <c r="F401" i="38"/>
  <c r="K400" i="38"/>
  <c r="P401" i="38"/>
  <c r="F396" i="38"/>
  <c r="P400" i="38"/>
  <c r="P397" i="38"/>
  <c r="K399" i="38"/>
  <c r="K401" i="38"/>
  <c r="F400" i="38"/>
  <c r="F398" i="38"/>
  <c r="K396" i="38"/>
  <c r="P398" i="38"/>
  <c r="F402" i="38"/>
  <c r="P396" i="38"/>
  <c r="K397" i="38"/>
  <c r="P399" i="38"/>
  <c r="K398" i="38"/>
  <c r="F397" i="38"/>
  <c r="F399" i="38"/>
  <c r="P337" i="38"/>
  <c r="F333" i="38"/>
  <c r="K339" i="38"/>
  <c r="F338" i="38"/>
  <c r="K337" i="38"/>
  <c r="F335" i="38"/>
  <c r="P334" i="38"/>
  <c r="P335" i="38"/>
  <c r="K336" i="38"/>
  <c r="P333" i="38"/>
  <c r="P336" i="38"/>
  <c r="F337" i="38"/>
  <c r="F339" i="38"/>
  <c r="P338" i="38"/>
  <c r="K333" i="38"/>
  <c r="K334" i="38"/>
  <c r="K335" i="38"/>
  <c r="K338" i="38"/>
  <c r="F334" i="38"/>
  <c r="F336" i="38"/>
  <c r="K446" i="38"/>
  <c r="F447" i="38"/>
  <c r="K450" i="38"/>
  <c r="K447" i="38"/>
  <c r="K445" i="38"/>
  <c r="F451" i="38"/>
  <c r="P445" i="38"/>
  <c r="P447" i="38"/>
  <c r="F445" i="38"/>
  <c r="F449" i="38"/>
  <c r="F450" i="38"/>
  <c r="K449" i="38"/>
  <c r="K448" i="38"/>
  <c r="P449" i="38"/>
  <c r="P448" i="38"/>
  <c r="P446" i="38"/>
  <c r="K451" i="38"/>
  <c r="P450" i="38"/>
  <c r="F448" i="38"/>
  <c r="F446" i="38"/>
  <c r="CL14" i="26"/>
  <c r="P66" i="38"/>
  <c r="P367" i="38"/>
  <c r="CL57" i="26"/>
  <c r="BC67" i="12"/>
  <c r="BC55" i="12"/>
  <c r="BC52" i="12"/>
  <c r="BC50" i="12"/>
  <c r="BC17" i="12"/>
  <c r="BC13" i="12"/>
  <c r="BC83" i="12"/>
  <c r="BC106" i="12"/>
  <c r="BC92" i="12"/>
  <c r="BC64" i="12"/>
  <c r="BC10" i="12"/>
  <c r="BC59" i="12"/>
  <c r="BC42" i="12"/>
  <c r="BC23" i="12"/>
  <c r="BC33" i="12"/>
  <c r="BC47" i="12"/>
  <c r="BC46" i="12"/>
  <c r="BC27" i="12"/>
  <c r="BC8" i="12"/>
  <c r="BC34" i="12"/>
  <c r="BC61" i="12"/>
  <c r="BC35" i="12"/>
  <c r="BC73" i="12"/>
  <c r="BC14" i="12"/>
  <c r="BC85" i="12"/>
  <c r="BC80" i="12"/>
  <c r="BC26" i="12"/>
  <c r="BC32" i="12"/>
  <c r="BC90" i="12"/>
  <c r="BC74" i="12"/>
  <c r="BC28" i="12"/>
  <c r="BC6" i="12"/>
  <c r="BC94" i="12"/>
  <c r="BC39" i="12"/>
  <c r="BC89" i="12"/>
  <c r="BC7" i="12"/>
  <c r="BC79" i="12"/>
  <c r="BC57" i="12"/>
  <c r="BC68" i="12"/>
  <c r="BC78" i="12"/>
  <c r="BC65" i="12"/>
  <c r="BC54" i="12"/>
  <c r="BC56" i="12"/>
  <c r="BC48" i="12"/>
  <c r="BC98" i="12"/>
  <c r="BC41" i="12"/>
  <c r="BC95" i="12"/>
  <c r="BC108" i="12"/>
  <c r="BC69" i="12"/>
  <c r="BC62" i="12"/>
  <c r="BC100" i="12"/>
  <c r="BC102" i="12"/>
  <c r="BC16" i="12"/>
  <c r="BC76" i="12"/>
  <c r="BC97" i="12"/>
  <c r="BC36" i="12"/>
  <c r="BC87" i="12"/>
  <c r="BC99" i="12"/>
  <c r="BC101" i="12"/>
  <c r="BC104" i="12"/>
  <c r="BC11" i="12"/>
  <c r="BC107" i="12"/>
  <c r="P465" i="38"/>
  <c r="CL71" i="26"/>
  <c r="BC9" i="12"/>
  <c r="BC66" i="12"/>
  <c r="BC72" i="12"/>
  <c r="BC51" i="12"/>
  <c r="BC43" i="12"/>
  <c r="BC93" i="12"/>
  <c r="BC30" i="12"/>
  <c r="BC70" i="12"/>
  <c r="BC96" i="12"/>
  <c r="BC105" i="12"/>
  <c r="BC77" i="12"/>
  <c r="BC91" i="12"/>
  <c r="BC49" i="12"/>
  <c r="BC22" i="12"/>
  <c r="BC53" i="12"/>
  <c r="BC86" i="12"/>
  <c r="BC37" i="12"/>
  <c r="BC45" i="12"/>
  <c r="BC103" i="12"/>
  <c r="BC82" i="12"/>
  <c r="BC75" i="12"/>
  <c r="BC58" i="12"/>
  <c r="BC12" i="12"/>
  <c r="BC40" i="12"/>
  <c r="BC15" i="12"/>
  <c r="BC24" i="12"/>
  <c r="BC20" i="12"/>
  <c r="BC25" i="12"/>
  <c r="BC81" i="12"/>
  <c r="BC60" i="12"/>
  <c r="BC18" i="12"/>
  <c r="BC38" i="12"/>
  <c r="BC63" i="12"/>
  <c r="BC84" i="12"/>
  <c r="F464" i="38"/>
  <c r="P464" i="38"/>
  <c r="K462" i="38"/>
  <c r="F465" i="38"/>
  <c r="K461" i="38"/>
  <c r="P463" i="38"/>
  <c r="P461" i="38"/>
  <c r="F459" i="38"/>
  <c r="K463" i="38"/>
  <c r="P460" i="38"/>
  <c r="P462" i="38"/>
  <c r="K459" i="38"/>
  <c r="P459" i="38"/>
  <c r="K465" i="38"/>
  <c r="F461" i="38"/>
  <c r="K460" i="38"/>
  <c r="K464" i="38"/>
  <c r="F462" i="38"/>
  <c r="F463" i="38"/>
  <c r="F460" i="38"/>
  <c r="BC31" i="12"/>
  <c r="BC19" i="12"/>
  <c r="BC88" i="12"/>
  <c r="BC21" i="12"/>
  <c r="BC29" i="12"/>
  <c r="BC44" i="12"/>
  <c r="BC71" i="12"/>
  <c r="Z719" i="38"/>
  <c r="Z723" i="38"/>
  <c r="CM108" i="26"/>
  <c r="CN108" i="26"/>
  <c r="BE108" i="12"/>
  <c r="BD108" i="12"/>
  <c r="Z464" i="38"/>
  <c r="CM71" i="26"/>
  <c r="CN71" i="26"/>
  <c r="BE71" i="12"/>
  <c r="Z275" i="38"/>
  <c r="CM44" i="26"/>
  <c r="CN44" i="26"/>
  <c r="BE44" i="12"/>
  <c r="Z170" i="38"/>
  <c r="CM29" i="26"/>
  <c r="CN29" i="26"/>
  <c r="BE29" i="12"/>
  <c r="Z114" i="38"/>
  <c r="CM21" i="26"/>
  <c r="CN21" i="26"/>
  <c r="BE21" i="12"/>
  <c r="Z583" i="38"/>
  <c r="CM88" i="26"/>
  <c r="CN88" i="26"/>
  <c r="BE88" i="12"/>
  <c r="Z100" i="38"/>
  <c r="CM19" i="26"/>
  <c r="CN19" i="26"/>
  <c r="BE19" i="12"/>
  <c r="Z184" i="38"/>
  <c r="CM31" i="26"/>
  <c r="CN31" i="26"/>
  <c r="BE31" i="12"/>
  <c r="Z555" i="38"/>
  <c r="CM84" i="26"/>
  <c r="CN84" i="26"/>
  <c r="BE84" i="12"/>
  <c r="Z408" i="38"/>
  <c r="CM63" i="26"/>
  <c r="CN63" i="26"/>
  <c r="BE63" i="12"/>
  <c r="Z233" i="38"/>
  <c r="CM38" i="26"/>
  <c r="CN38" i="26"/>
  <c r="BE38" i="12"/>
  <c r="Z93" i="38"/>
  <c r="CM18" i="26"/>
  <c r="CN18" i="26"/>
  <c r="BE18" i="12"/>
  <c r="Z387" i="38"/>
  <c r="CM60" i="26"/>
  <c r="CN60" i="26"/>
  <c r="BE60" i="12"/>
  <c r="Z534" i="38"/>
  <c r="CM81" i="26"/>
  <c r="CN81" i="26"/>
  <c r="BE81" i="12"/>
  <c r="Z142" i="38"/>
  <c r="CM25" i="26"/>
  <c r="CN25" i="26"/>
  <c r="BE25" i="12"/>
  <c r="Z107" i="38"/>
  <c r="CM20" i="26"/>
  <c r="CN20" i="26"/>
  <c r="BE20" i="12"/>
  <c r="Z135" i="38"/>
  <c r="CM24" i="26"/>
  <c r="CN24" i="26"/>
  <c r="BE24" i="12"/>
  <c r="Z72" i="38"/>
  <c r="CM15" i="26"/>
  <c r="CN15" i="26"/>
  <c r="BE15" i="12"/>
  <c r="Z247" i="38"/>
  <c r="CM40" i="26"/>
  <c r="CN40" i="26"/>
  <c r="BE40" i="12"/>
  <c r="Z51" i="38"/>
  <c r="CM12" i="26"/>
  <c r="CN12" i="26"/>
  <c r="BE12" i="12"/>
  <c r="Z373" i="38"/>
  <c r="CM58" i="26"/>
  <c r="CN58" i="26"/>
  <c r="BE58" i="12"/>
  <c r="Z492" i="38"/>
  <c r="CM75" i="26"/>
  <c r="CN75" i="26"/>
  <c r="BE75" i="12"/>
  <c r="Z541" i="38"/>
  <c r="CM82" i="26"/>
  <c r="CN82" i="26"/>
  <c r="BE82" i="12"/>
  <c r="Z688" i="38"/>
  <c r="CM103" i="26"/>
  <c r="CN103" i="26"/>
  <c r="BE103" i="12"/>
  <c r="Z282" i="38"/>
  <c r="CM45" i="26"/>
  <c r="CN45" i="26"/>
  <c r="BE45" i="12"/>
  <c r="Z226" i="38"/>
  <c r="CM37" i="26"/>
  <c r="CN37" i="26"/>
  <c r="BE37" i="12"/>
  <c r="Z569" i="38"/>
  <c r="CM86" i="26"/>
  <c r="CN86" i="26"/>
  <c r="BE86" i="12"/>
  <c r="Z338" i="38"/>
  <c r="CM53" i="26"/>
  <c r="CN53" i="26"/>
  <c r="BE53" i="12"/>
  <c r="Z121" i="38"/>
  <c r="CM22" i="26"/>
  <c r="CN22" i="26"/>
  <c r="BE22" i="12"/>
  <c r="Z310" i="38"/>
  <c r="CM49" i="26"/>
  <c r="CN49" i="26"/>
  <c r="BE49" i="12"/>
  <c r="Z604" i="38"/>
  <c r="CM91" i="26"/>
  <c r="CN91" i="26"/>
  <c r="BE91" i="12"/>
  <c r="Z506" i="38"/>
  <c r="CM77" i="26"/>
  <c r="CN77" i="26"/>
  <c r="BE77" i="12"/>
  <c r="Z702" i="38"/>
  <c r="CM105" i="26"/>
  <c r="CN105" i="26"/>
  <c r="BE105" i="12"/>
  <c r="Z639" i="38"/>
  <c r="CM96" i="26"/>
  <c r="CN96" i="26"/>
  <c r="BE96" i="12"/>
  <c r="Z457" i="38"/>
  <c r="CM70" i="26"/>
  <c r="CN70" i="26"/>
  <c r="BE70" i="12"/>
  <c r="Z177" i="38"/>
  <c r="CM30" i="26"/>
  <c r="CN30" i="26"/>
  <c r="BE30" i="12"/>
  <c r="Z618" i="38"/>
  <c r="CM93" i="26"/>
  <c r="CN93" i="26"/>
  <c r="BE93" i="12"/>
  <c r="Z268" i="38"/>
  <c r="CM43" i="26"/>
  <c r="CN43" i="26"/>
  <c r="BE43" i="12"/>
  <c r="Z324" i="38"/>
  <c r="CM51" i="26"/>
  <c r="CN51" i="26"/>
  <c r="BE51" i="12"/>
  <c r="Z471" i="38"/>
  <c r="CM72" i="26"/>
  <c r="CN72" i="26"/>
  <c r="BE72" i="12"/>
  <c r="Z429" i="38"/>
  <c r="CM66" i="26"/>
  <c r="CN66" i="26"/>
  <c r="BE66" i="12"/>
  <c r="Z30" i="38"/>
  <c r="CM9" i="26"/>
  <c r="CN9" i="26"/>
  <c r="BE9" i="12"/>
  <c r="Z716" i="38"/>
  <c r="CM107" i="26"/>
  <c r="CN107" i="26"/>
  <c r="BE107" i="12"/>
  <c r="Z44" i="38"/>
  <c r="CM11" i="26"/>
  <c r="CN11" i="26"/>
  <c r="BE11" i="12"/>
  <c r="Z695" i="38"/>
  <c r="CM104" i="26"/>
  <c r="CN104" i="26"/>
  <c r="BE104" i="12"/>
  <c r="Z674" i="38"/>
  <c r="CM101" i="26"/>
  <c r="CN101" i="26"/>
  <c r="BE101" i="12"/>
  <c r="Z660" i="38"/>
  <c r="CM99" i="26"/>
  <c r="CN99" i="26"/>
  <c r="BE99" i="12"/>
  <c r="Z576" i="38"/>
  <c r="CM87" i="26"/>
  <c r="CN87" i="26"/>
  <c r="BE87" i="12"/>
  <c r="Z219" i="38"/>
  <c r="CM36" i="26"/>
  <c r="CN36" i="26"/>
  <c r="BE36" i="12"/>
  <c r="Z646" i="38"/>
  <c r="CM97" i="26"/>
  <c r="CN97" i="26"/>
  <c r="BE97" i="12"/>
  <c r="Z499" i="38"/>
  <c r="CM76" i="26"/>
  <c r="CN76" i="26"/>
  <c r="BE76" i="12"/>
  <c r="Z79" i="38"/>
  <c r="CM16" i="26"/>
  <c r="CN16" i="26"/>
  <c r="BE16" i="12"/>
  <c r="Z681" i="38"/>
  <c r="CM102" i="26"/>
  <c r="CN102" i="26"/>
  <c r="BE102" i="12"/>
  <c r="Z667" i="38"/>
  <c r="CM100" i="26"/>
  <c r="CN100" i="26"/>
  <c r="BE100" i="12"/>
  <c r="Z401" i="38"/>
  <c r="CM62" i="26"/>
  <c r="CN62" i="26"/>
  <c r="BE62" i="12"/>
  <c r="Z450" i="38"/>
  <c r="CM69" i="26"/>
  <c r="CN69" i="26"/>
  <c r="BE69" i="12"/>
  <c r="Z632" i="38"/>
  <c r="CM95" i="26"/>
  <c r="CN95" i="26"/>
  <c r="BE95" i="12"/>
  <c r="Z254" i="38"/>
  <c r="CM41" i="26"/>
  <c r="CN41" i="26"/>
  <c r="BE41" i="12"/>
  <c r="Z653" i="38"/>
  <c r="CM98" i="26"/>
  <c r="CN98" i="26"/>
  <c r="BE98" i="12"/>
  <c r="Z303" i="38"/>
  <c r="CM48" i="26"/>
  <c r="CN48" i="26"/>
  <c r="BE48" i="12"/>
  <c r="Z359" i="38"/>
  <c r="CM56" i="26"/>
  <c r="CN56" i="26"/>
  <c r="BE56" i="12"/>
  <c r="Z345" i="38"/>
  <c r="CM54" i="26"/>
  <c r="CN54" i="26"/>
  <c r="BE54" i="12"/>
  <c r="Z422" i="38"/>
  <c r="CM65" i="26"/>
  <c r="CN65" i="26"/>
  <c r="BE65" i="12"/>
  <c r="Z513" i="38"/>
  <c r="CM78" i="26"/>
  <c r="CN78" i="26"/>
  <c r="BE78" i="12"/>
  <c r="Z443" i="38"/>
  <c r="CM68" i="26"/>
  <c r="CN68" i="26"/>
  <c r="BE68" i="12"/>
  <c r="Z366" i="38"/>
  <c r="CM57" i="26"/>
  <c r="CN57" i="26"/>
  <c r="BE57" i="12"/>
  <c r="Z520" i="38"/>
  <c r="CM79" i="26"/>
  <c r="CN79" i="26"/>
  <c r="BE79" i="12"/>
  <c r="Z16" i="38"/>
  <c r="CM7" i="26"/>
  <c r="CN7" i="26"/>
  <c r="BE7" i="12"/>
  <c r="Z590" i="38"/>
  <c r="CM89" i="26"/>
  <c r="CN89" i="26"/>
  <c r="BE89" i="12"/>
  <c r="Z240" i="38"/>
  <c r="CM39" i="26"/>
  <c r="CN39" i="26"/>
  <c r="BE39" i="12"/>
  <c r="Z625" i="38"/>
  <c r="CM94" i="26"/>
  <c r="CN94" i="26"/>
  <c r="BE94" i="12"/>
  <c r="Z9" i="38"/>
  <c r="CM6" i="26"/>
  <c r="CN6" i="26"/>
  <c r="BE6" i="12"/>
  <c r="Z163" i="38"/>
  <c r="CM28" i="26"/>
  <c r="CN28" i="26"/>
  <c r="BE28" i="12"/>
  <c r="Z485" i="38"/>
  <c r="CM74" i="26"/>
  <c r="CN74" i="26"/>
  <c r="BE74" i="12"/>
  <c r="Z597" i="38"/>
  <c r="CM90" i="26"/>
  <c r="CN90" i="26"/>
  <c r="BE90" i="12"/>
  <c r="Z191" i="38"/>
  <c r="CM32" i="26"/>
  <c r="CN32" i="26"/>
  <c r="BE32" i="12"/>
  <c r="Z149" i="38"/>
  <c r="CM26" i="26"/>
  <c r="CN26" i="26"/>
  <c r="BE26" i="12"/>
  <c r="Z527" i="38"/>
  <c r="CM80" i="26"/>
  <c r="CN80" i="26"/>
  <c r="BE80" i="12"/>
  <c r="Z562" i="38"/>
  <c r="CM85" i="26"/>
  <c r="CN85" i="26"/>
  <c r="BE85" i="12"/>
  <c r="Z65" i="38"/>
  <c r="CM14" i="26"/>
  <c r="CN14" i="26"/>
  <c r="BE14" i="12"/>
  <c r="Z478" i="38"/>
  <c r="CM73" i="26"/>
  <c r="CN73" i="26"/>
  <c r="BE73" i="12"/>
  <c r="Z212" i="38"/>
  <c r="CM35" i="26"/>
  <c r="CN35" i="26"/>
  <c r="BE35" i="12"/>
  <c r="Z394" i="38"/>
  <c r="CM61" i="26"/>
  <c r="CN61" i="26"/>
  <c r="BE61" i="12"/>
  <c r="Z205" i="38"/>
  <c r="CM34" i="26"/>
  <c r="CN34" i="26"/>
  <c r="BE34" i="12"/>
  <c r="Z23" i="38"/>
  <c r="CM8" i="26"/>
  <c r="CN8" i="26"/>
  <c r="BE8" i="12"/>
  <c r="Z156" i="38"/>
  <c r="CM27" i="26"/>
  <c r="CN27" i="26"/>
  <c r="BE27" i="12"/>
  <c r="Z289" i="38"/>
  <c r="CM46" i="26"/>
  <c r="CN46" i="26"/>
  <c r="BE46" i="12"/>
  <c r="Z296" i="38"/>
  <c r="CM47" i="26"/>
  <c r="CN47" i="26"/>
  <c r="BE47" i="12"/>
  <c r="Z198" i="38"/>
  <c r="CM33" i="26"/>
  <c r="CN33" i="26"/>
  <c r="BE33" i="12"/>
  <c r="Z128" i="38"/>
  <c r="CM23" i="26"/>
  <c r="CN23" i="26"/>
  <c r="BE23" i="12"/>
  <c r="Z261" i="38"/>
  <c r="CM42" i="26"/>
  <c r="CN42" i="26"/>
  <c r="BE42" i="12"/>
  <c r="Z380" i="38"/>
  <c r="CM59" i="26"/>
  <c r="CN59" i="26"/>
  <c r="BE59" i="12"/>
  <c r="Z37" i="38"/>
  <c r="CM10" i="26"/>
  <c r="CN10" i="26"/>
  <c r="BE10" i="12"/>
  <c r="Z415" i="38"/>
  <c r="CM64" i="26"/>
  <c r="CN64" i="26"/>
  <c r="BE64" i="12"/>
  <c r="Z611" i="38"/>
  <c r="CM92" i="26"/>
  <c r="CN92" i="26"/>
  <c r="BE92" i="12"/>
  <c r="Z709" i="38"/>
  <c r="CM106" i="26"/>
  <c r="CN106" i="26"/>
  <c r="BE106" i="12"/>
  <c r="Z548" i="38"/>
  <c r="CM83" i="26"/>
  <c r="CN83" i="26"/>
  <c r="BE83" i="12"/>
  <c r="Z58" i="38"/>
  <c r="CM13" i="26"/>
  <c r="CN13" i="26"/>
  <c r="BE13" i="12"/>
  <c r="Z86" i="38"/>
  <c r="CM17" i="26"/>
  <c r="CN17" i="26"/>
  <c r="BE17" i="12"/>
  <c r="Z317" i="38"/>
  <c r="CM50" i="26"/>
  <c r="CN50" i="26"/>
  <c r="BE50" i="12"/>
  <c r="Z331" i="38"/>
  <c r="CM52" i="26"/>
  <c r="CN52" i="26"/>
  <c r="BE52" i="12"/>
  <c r="Z352" i="38"/>
  <c r="CM55" i="26"/>
  <c r="CN55" i="26"/>
  <c r="BE55" i="12"/>
  <c r="Z436" i="38"/>
  <c r="CM67" i="26"/>
  <c r="CN67" i="26"/>
  <c r="BE67" i="12"/>
  <c r="BD107" i="12"/>
  <c r="BD106" i="12"/>
  <c r="BD105" i="12"/>
  <c r="BD104" i="12"/>
  <c r="BD103" i="12"/>
  <c r="BD102" i="12"/>
  <c r="BD101" i="12"/>
  <c r="BD100" i="12"/>
  <c r="BD99" i="12"/>
  <c r="BD98" i="12"/>
  <c r="BD97" i="12"/>
  <c r="BD96" i="12"/>
  <c r="BD95" i="12"/>
  <c r="BD94" i="12"/>
  <c r="BD93" i="12"/>
  <c r="BD92" i="12"/>
  <c r="BD91" i="12"/>
  <c r="BD90" i="12"/>
  <c r="BD89" i="12"/>
  <c r="BD88" i="12"/>
  <c r="BD87" i="12"/>
  <c r="BD86" i="12"/>
  <c r="BD85" i="12"/>
  <c r="BD84" i="12"/>
  <c r="BD83" i="12"/>
  <c r="BD82" i="12"/>
  <c r="BD80" i="12"/>
  <c r="BD81" i="12"/>
  <c r="BD79" i="12"/>
  <c r="BD78" i="12"/>
  <c r="BD77" i="12"/>
  <c r="BD76" i="12"/>
  <c r="BD75" i="12"/>
  <c r="BD74" i="12"/>
  <c r="BD73" i="12"/>
  <c r="BD72" i="12"/>
  <c r="BD71" i="12"/>
  <c r="BD70" i="12"/>
  <c r="BD69" i="12"/>
  <c r="BD68" i="12"/>
  <c r="BD67" i="12"/>
  <c r="BD66" i="12"/>
  <c r="BD65" i="12"/>
  <c r="BD64" i="12"/>
  <c r="BD63" i="12"/>
  <c r="BD62" i="12"/>
  <c r="BD61" i="12"/>
  <c r="BD60" i="12"/>
  <c r="BD59" i="12"/>
  <c r="BD58" i="12"/>
  <c r="BD57" i="12"/>
  <c r="BD56" i="12"/>
  <c r="BD55" i="12"/>
  <c r="BD54" i="12"/>
  <c r="BD53" i="12"/>
  <c r="BD52" i="12"/>
  <c r="BD51" i="12"/>
  <c r="BD50" i="12"/>
  <c r="BD49" i="12"/>
  <c r="BD48" i="12"/>
  <c r="BD47" i="12"/>
  <c r="BD46" i="12"/>
  <c r="BD45" i="12"/>
  <c r="BD44" i="12"/>
  <c r="BD43" i="12"/>
  <c r="BD42" i="12"/>
  <c r="BD41" i="12"/>
  <c r="BD40" i="12"/>
  <c r="BD39" i="12"/>
  <c r="BD38" i="12"/>
  <c r="BD37" i="12"/>
  <c r="BD36" i="12"/>
  <c r="BD35" i="12"/>
  <c r="BD34" i="12"/>
  <c r="BD33" i="12"/>
  <c r="BD32" i="12"/>
  <c r="BD31" i="12"/>
  <c r="BD30" i="12"/>
  <c r="BD29" i="12"/>
  <c r="BD28" i="12"/>
  <c r="BD27" i="12"/>
  <c r="BD26" i="12"/>
  <c r="BD25" i="12"/>
  <c r="BD24" i="12"/>
  <c r="BD23" i="12"/>
  <c r="BD22" i="12"/>
  <c r="BD21" i="12"/>
  <c r="BD20" i="12"/>
  <c r="BD19" i="12"/>
  <c r="BD18" i="12"/>
  <c r="BD17" i="12"/>
  <c r="BD16" i="12"/>
  <c r="BD15" i="12"/>
  <c r="BD14" i="12"/>
  <c r="BD13" i="12"/>
  <c r="BD12" i="12"/>
  <c r="BD11" i="12"/>
  <c r="BD10" i="12"/>
  <c r="BD9" i="12"/>
  <c r="BD8" i="12"/>
  <c r="BD7" i="12"/>
  <c r="BD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Victor Hugo Massey Gomez</author>
  </authors>
  <commentList>
    <comment ref="G2" authorId="0" shapeId="0" xr:uid="{00000000-0006-0000-0400-000001000000}">
      <text>
        <r>
          <rPr>
            <b/>
            <sz val="12"/>
            <color indexed="81"/>
            <rFont val="Tahoma"/>
            <family val="2"/>
          </rPr>
          <t xml:space="preserve"> (T. Fonav + Vacunas en planta Incluidos)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Victor Hugo Massey Gomez</author>
  </authors>
  <commentList>
    <comment ref="K2" authorId="0" shapeId="0" xr:uid="{00000000-0006-0000-0A00-000001000000}">
      <text>
        <r>
          <rPr>
            <b/>
            <sz val="10"/>
            <color indexed="81"/>
            <rFont val="Tahoma"/>
            <family val="2"/>
          </rPr>
          <t>Atención !
Aves Encasetadas
Aves que inician sem 19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Victor Hugo Massey Gomez</author>
  </authors>
  <commentList>
    <comment ref="Y8" authorId="0" shapeId="0" xr:uid="{BD5F3A11-D9DA-4F21-A345-9A4795C988DA}">
      <text>
        <r>
          <rPr>
            <b/>
            <sz val="9"/>
            <color indexed="81"/>
            <rFont val="Tahoma"/>
            <family val="2"/>
          </rPr>
          <t>Esta Revoltura NO es la obtenida de Granja, sino la Venta por Oficina como Revoltura</t>
        </r>
      </text>
    </comment>
    <comment ref="Y15" authorId="0" shapeId="0" xr:uid="{94224136-5943-467B-8C74-150DC3A8A212}">
      <text>
        <r>
          <rPr>
            <b/>
            <sz val="9"/>
            <color indexed="81"/>
            <rFont val="Tahoma"/>
            <family val="2"/>
          </rPr>
          <t>Esta Revoltura NO es la obtenida de Granja, sino la Venta por Oficina como Revoltura</t>
        </r>
      </text>
    </comment>
    <comment ref="Y22" authorId="0" shapeId="0" xr:uid="{3ED3BD4B-AF69-4827-BC54-0D5CA61A52B7}">
      <text>
        <r>
          <rPr>
            <b/>
            <sz val="9"/>
            <color indexed="81"/>
            <rFont val="Tahoma"/>
            <family val="2"/>
          </rPr>
          <t>Esta Revoltura NO es la obtenida de Granja, sino la Venta por Oficina como Revoltura</t>
        </r>
      </text>
    </comment>
    <comment ref="Y29" authorId="0" shapeId="0" xr:uid="{5DC5A49F-B07B-442E-A460-5B572FB50FBC}">
      <text>
        <r>
          <rPr>
            <b/>
            <sz val="9"/>
            <color indexed="81"/>
            <rFont val="Tahoma"/>
            <family val="2"/>
          </rPr>
          <t>Esta Revoltura NO es la obtenida de Granja, sino la Venta por Oficina como Revoltura</t>
        </r>
      </text>
    </comment>
    <comment ref="Y36" authorId="0" shapeId="0" xr:uid="{A20EFD14-3DFD-4962-A0A6-31190307BDBB}">
      <text>
        <r>
          <rPr>
            <b/>
            <sz val="9"/>
            <color indexed="81"/>
            <rFont val="Tahoma"/>
            <family val="2"/>
          </rPr>
          <t>Esta Revoltura NO es la obtenida de Granja, sino la Venta por Oficina como Revoltura</t>
        </r>
      </text>
    </comment>
    <comment ref="Y43" authorId="0" shapeId="0" xr:uid="{F58C4AE8-7E77-42D0-8D2B-46810D30029C}">
      <text>
        <r>
          <rPr>
            <b/>
            <sz val="9"/>
            <color indexed="81"/>
            <rFont val="Tahoma"/>
            <family val="2"/>
          </rPr>
          <t>Esta Revoltura NO es la obtenida de Granja, sino la Venta por Oficina como Revoltura</t>
        </r>
      </text>
    </comment>
    <comment ref="Y50" authorId="0" shapeId="0" xr:uid="{A559C43B-9629-491F-B708-C153066895D4}">
      <text>
        <r>
          <rPr>
            <b/>
            <sz val="9"/>
            <color indexed="81"/>
            <rFont val="Tahoma"/>
            <family val="2"/>
          </rPr>
          <t>Esta Revoltura NO es la obtenida de Granja, sino la Venta por Oficina como Revoltura</t>
        </r>
      </text>
    </comment>
    <comment ref="Y57" authorId="0" shapeId="0" xr:uid="{4FBAF837-34D1-4B9F-8FE8-4680D068C082}">
      <text>
        <r>
          <rPr>
            <b/>
            <sz val="9"/>
            <color indexed="81"/>
            <rFont val="Tahoma"/>
            <family val="2"/>
          </rPr>
          <t>Esta Revoltura NO es la obtenida de Granja, sino la Venta por Oficina como Revoltura</t>
        </r>
      </text>
    </comment>
    <comment ref="Y64" authorId="0" shapeId="0" xr:uid="{D4E29EA7-8D89-4EB2-86CB-5C53F0D23EC1}">
      <text>
        <r>
          <rPr>
            <b/>
            <sz val="9"/>
            <color indexed="81"/>
            <rFont val="Tahoma"/>
            <family val="2"/>
          </rPr>
          <t>Esta Revoltura NO es la obtenida de Granja, sino la Venta por Oficina como Revoltura</t>
        </r>
      </text>
    </comment>
    <comment ref="Y71" authorId="0" shapeId="0" xr:uid="{6D0E0379-5CEB-4171-9181-544D89F63413}">
      <text>
        <r>
          <rPr>
            <b/>
            <sz val="9"/>
            <color indexed="81"/>
            <rFont val="Tahoma"/>
            <family val="2"/>
          </rPr>
          <t>Esta Revoltura NO es la obtenida de Granja, sino la Venta por Oficina como Revoltura</t>
        </r>
      </text>
    </comment>
    <comment ref="Y78" authorId="0" shapeId="0" xr:uid="{87B0A5D7-A6A3-44D9-AAA0-AC3CE3E27E2F}">
      <text>
        <r>
          <rPr>
            <b/>
            <sz val="9"/>
            <color indexed="81"/>
            <rFont val="Tahoma"/>
            <family val="2"/>
          </rPr>
          <t>Esta Revoltura NO es la obtenida de Granja, sino la Venta por Oficina como Revoltura</t>
        </r>
      </text>
    </comment>
    <comment ref="Y85" authorId="0" shapeId="0" xr:uid="{D6D51B18-BB9B-4A31-AFEC-DA4AF3014AC3}">
      <text>
        <r>
          <rPr>
            <b/>
            <sz val="9"/>
            <color indexed="81"/>
            <rFont val="Tahoma"/>
            <family val="2"/>
          </rPr>
          <t>Esta Revoltura NO es la obtenida de Granja, sino la Venta por Oficina como Revoltura</t>
        </r>
      </text>
    </comment>
    <comment ref="Y92" authorId="0" shapeId="0" xr:uid="{8C138604-957D-488B-80A1-C335A38B030C}">
      <text>
        <r>
          <rPr>
            <b/>
            <sz val="9"/>
            <color indexed="81"/>
            <rFont val="Tahoma"/>
            <family val="2"/>
          </rPr>
          <t>Esta Revoltura NO es la obtenida de Granja, sino la Venta por Oficina como Revoltura</t>
        </r>
      </text>
    </comment>
    <comment ref="Y99" authorId="0" shapeId="0" xr:uid="{EB109E80-F393-44F4-9DC2-316C84E06A92}">
      <text>
        <r>
          <rPr>
            <b/>
            <sz val="9"/>
            <color indexed="81"/>
            <rFont val="Tahoma"/>
            <family val="2"/>
          </rPr>
          <t>Esta Revoltura NO es la obtenida de Granja, sino la Venta por Oficina como Revoltura</t>
        </r>
      </text>
    </comment>
    <comment ref="Y106" authorId="0" shapeId="0" xr:uid="{AE33436E-2EBB-4FE2-9EC1-979538E6E07F}">
      <text>
        <r>
          <rPr>
            <b/>
            <sz val="9"/>
            <color indexed="81"/>
            <rFont val="Tahoma"/>
            <family val="2"/>
          </rPr>
          <t>Esta Revoltura NO es la obtenida de Granja, sino la Venta por Oficina como Revoltura</t>
        </r>
      </text>
    </comment>
    <comment ref="Y113" authorId="0" shapeId="0" xr:uid="{A38578D3-DEB5-4DB0-9F73-A4C48094A7D3}">
      <text>
        <r>
          <rPr>
            <b/>
            <sz val="9"/>
            <color indexed="81"/>
            <rFont val="Tahoma"/>
            <family val="2"/>
          </rPr>
          <t>Esta Revoltura NO es la obtenida de Granja, sino la Venta por Oficina como Revoltura</t>
        </r>
      </text>
    </comment>
    <comment ref="Y120" authorId="0" shapeId="0" xr:uid="{93F71FFC-CFBF-468B-B157-3D8AA7919FBA}">
      <text>
        <r>
          <rPr>
            <b/>
            <sz val="9"/>
            <color indexed="81"/>
            <rFont val="Tahoma"/>
            <family val="2"/>
          </rPr>
          <t>Esta Revoltura NO es la obtenida de Granja, sino la Venta por Oficina como Revoltura</t>
        </r>
      </text>
    </comment>
    <comment ref="Y127" authorId="0" shapeId="0" xr:uid="{A5EDB98D-AB15-4C94-BCFB-1777991A29F7}">
      <text>
        <r>
          <rPr>
            <b/>
            <sz val="9"/>
            <color indexed="81"/>
            <rFont val="Tahoma"/>
            <family val="2"/>
          </rPr>
          <t>Esta Revoltura NO es la obtenida de Granja, sino la Venta por Oficina como Revoltura</t>
        </r>
      </text>
    </comment>
    <comment ref="Y134" authorId="0" shapeId="0" xr:uid="{3D5C94F0-B8BE-4F92-814C-AE68DF28F9AF}">
      <text>
        <r>
          <rPr>
            <b/>
            <sz val="9"/>
            <color indexed="81"/>
            <rFont val="Tahoma"/>
            <family val="2"/>
          </rPr>
          <t>Esta Revoltura NO es la obtenida de Granja, sino la Venta por Oficina como Revoltura</t>
        </r>
      </text>
    </comment>
    <comment ref="Y141" authorId="0" shapeId="0" xr:uid="{0AF5E022-B0D9-4513-8621-00DE5C6F166E}">
      <text>
        <r>
          <rPr>
            <b/>
            <sz val="9"/>
            <color indexed="81"/>
            <rFont val="Tahoma"/>
            <family val="2"/>
          </rPr>
          <t>Esta Revoltura NO es la obtenida de Granja, sino la Venta por Oficina como Revoltura</t>
        </r>
      </text>
    </comment>
    <comment ref="Y148" authorId="0" shapeId="0" xr:uid="{AD1259F6-8583-4427-958B-9A314E195514}">
      <text>
        <r>
          <rPr>
            <b/>
            <sz val="9"/>
            <color indexed="81"/>
            <rFont val="Tahoma"/>
            <family val="2"/>
          </rPr>
          <t>Esta Revoltura NO es la obtenida de Granja, sino la Venta por Oficina como Revoltura</t>
        </r>
      </text>
    </comment>
    <comment ref="Y155" authorId="0" shapeId="0" xr:uid="{8477DEEE-0469-42DE-B98E-AAA5FA15DA36}">
      <text>
        <r>
          <rPr>
            <b/>
            <sz val="9"/>
            <color indexed="81"/>
            <rFont val="Tahoma"/>
            <family val="2"/>
          </rPr>
          <t>Esta Revoltura NO es la obtenida de Granja, sino la Venta por Oficina como Revoltura</t>
        </r>
      </text>
    </comment>
    <comment ref="Y162" authorId="0" shapeId="0" xr:uid="{655FBD95-417F-4F91-99A3-521975FC83B6}">
      <text>
        <r>
          <rPr>
            <b/>
            <sz val="9"/>
            <color indexed="81"/>
            <rFont val="Tahoma"/>
            <family val="2"/>
          </rPr>
          <t>Esta Revoltura NO es la obtenida de Granja, sino la Venta por Oficina como Revoltura</t>
        </r>
      </text>
    </comment>
    <comment ref="Y169" authorId="0" shapeId="0" xr:uid="{D32999BD-6D29-4412-8971-CDA2F23D0D64}">
      <text>
        <r>
          <rPr>
            <b/>
            <sz val="9"/>
            <color indexed="81"/>
            <rFont val="Tahoma"/>
            <family val="2"/>
          </rPr>
          <t>Esta Revoltura NO es la obtenida de Granja, sino la Venta por Oficina como Revoltura</t>
        </r>
      </text>
    </comment>
    <comment ref="Y176" authorId="0" shapeId="0" xr:uid="{3420316C-8612-445C-8FAB-E6FB75C6246B}">
      <text>
        <r>
          <rPr>
            <b/>
            <sz val="9"/>
            <color indexed="81"/>
            <rFont val="Tahoma"/>
            <family val="2"/>
          </rPr>
          <t>Esta Revoltura NO es la obtenida de Granja, sino la Venta por Oficina como Revoltura</t>
        </r>
      </text>
    </comment>
    <comment ref="Y183" authorId="0" shapeId="0" xr:uid="{D54F3F01-3AA1-4293-B3B9-338AF1F67C2D}">
      <text>
        <r>
          <rPr>
            <b/>
            <sz val="9"/>
            <color indexed="81"/>
            <rFont val="Tahoma"/>
            <family val="2"/>
          </rPr>
          <t>Esta Revoltura NO es la obtenida de Granja, sino la Venta por Oficina como Revoltura</t>
        </r>
      </text>
    </comment>
    <comment ref="Y190" authorId="0" shapeId="0" xr:uid="{00CE442A-2AC1-4E18-BFE5-EB8F8781B41F}">
      <text>
        <r>
          <rPr>
            <b/>
            <sz val="9"/>
            <color indexed="81"/>
            <rFont val="Tahoma"/>
            <family val="2"/>
          </rPr>
          <t>Esta Revoltura NO es la obtenida de Granja, sino la Venta por Oficina como Revoltura</t>
        </r>
      </text>
    </comment>
    <comment ref="Y197" authorId="0" shapeId="0" xr:uid="{96C70030-2514-4B68-8DBD-941BCBAC58CA}">
      <text>
        <r>
          <rPr>
            <b/>
            <sz val="9"/>
            <color indexed="81"/>
            <rFont val="Tahoma"/>
            <family val="2"/>
          </rPr>
          <t>Esta Revoltura NO es la obtenida de Granja, sino la Venta por Oficina como Revoltura</t>
        </r>
      </text>
    </comment>
    <comment ref="Y204" authorId="0" shapeId="0" xr:uid="{F209F48A-EDDF-468B-8A19-CB206D09D86B}">
      <text>
        <r>
          <rPr>
            <b/>
            <sz val="9"/>
            <color indexed="81"/>
            <rFont val="Tahoma"/>
            <family val="2"/>
          </rPr>
          <t>Esta Revoltura NO es la obtenida de Granja, sino la Venta por Oficina como Revoltura</t>
        </r>
      </text>
    </comment>
    <comment ref="Y211" authorId="0" shapeId="0" xr:uid="{2F8CCF00-A736-4147-A0CC-EB758329E5CC}">
      <text>
        <r>
          <rPr>
            <b/>
            <sz val="9"/>
            <color indexed="81"/>
            <rFont val="Tahoma"/>
            <family val="2"/>
          </rPr>
          <t>Esta Revoltura NO es la obtenida de Granja, sino la Venta por Oficina como Revoltura</t>
        </r>
      </text>
    </comment>
    <comment ref="Y218" authorId="0" shapeId="0" xr:uid="{EF3E01FC-52A7-4B7C-966F-38548D01E0F8}">
      <text>
        <r>
          <rPr>
            <b/>
            <sz val="9"/>
            <color indexed="81"/>
            <rFont val="Tahoma"/>
            <family val="2"/>
          </rPr>
          <t>Esta Revoltura NO es la obtenida de Granja, sino la Venta por Oficina como Revoltura</t>
        </r>
      </text>
    </comment>
    <comment ref="Y225" authorId="0" shapeId="0" xr:uid="{5D91A629-89A0-4807-9018-C5CA615CDDC2}">
      <text>
        <r>
          <rPr>
            <b/>
            <sz val="9"/>
            <color indexed="81"/>
            <rFont val="Tahoma"/>
            <family val="2"/>
          </rPr>
          <t>Esta Revoltura NO es la obtenida de Granja, sino la Venta por Oficina como Revoltura</t>
        </r>
      </text>
    </comment>
    <comment ref="Y232" authorId="0" shapeId="0" xr:uid="{DA145D37-5EAD-4C29-9161-AAB4703C3064}">
      <text>
        <r>
          <rPr>
            <b/>
            <sz val="9"/>
            <color indexed="81"/>
            <rFont val="Tahoma"/>
            <family val="2"/>
          </rPr>
          <t>Esta Revoltura NO es la obtenida de Granja, sino la Venta por Oficina como Revoltura</t>
        </r>
      </text>
    </comment>
    <comment ref="Y239" authorId="0" shapeId="0" xr:uid="{7BD72A61-5698-4F6A-9856-0ABF5B3C9B2E}">
      <text>
        <r>
          <rPr>
            <b/>
            <sz val="9"/>
            <color indexed="81"/>
            <rFont val="Tahoma"/>
            <family val="2"/>
          </rPr>
          <t>Esta Revoltura NO es la obtenida de Granja, sino la Venta por Oficina como Revoltura</t>
        </r>
      </text>
    </comment>
    <comment ref="Y246" authorId="0" shapeId="0" xr:uid="{3D46D549-F5BF-4B01-A28C-133130A1A33F}">
      <text>
        <r>
          <rPr>
            <b/>
            <sz val="9"/>
            <color indexed="81"/>
            <rFont val="Tahoma"/>
            <family val="2"/>
          </rPr>
          <t>Esta Revoltura NO es la obtenida de Granja, sino la Venta por Oficina como Revoltura</t>
        </r>
      </text>
    </comment>
    <comment ref="Y253" authorId="0" shapeId="0" xr:uid="{A2F974B2-9530-4B7B-AD0D-FBE2317BE3A3}">
      <text>
        <r>
          <rPr>
            <b/>
            <sz val="9"/>
            <color indexed="81"/>
            <rFont val="Tahoma"/>
            <family val="2"/>
          </rPr>
          <t>Esta Revoltura NO es la obtenida de Granja, sino la Venta por Oficina como Revoltura</t>
        </r>
      </text>
    </comment>
    <comment ref="Y260" authorId="0" shapeId="0" xr:uid="{22FDAEC1-524F-4B5E-A48A-416FAD31BF27}">
      <text>
        <r>
          <rPr>
            <b/>
            <sz val="9"/>
            <color indexed="81"/>
            <rFont val="Tahoma"/>
            <family val="2"/>
          </rPr>
          <t>Esta Revoltura NO es la obtenida de Granja, sino la Venta por Oficina como Revoltura</t>
        </r>
      </text>
    </comment>
    <comment ref="Y267" authorId="0" shapeId="0" xr:uid="{D2493A63-4847-477B-BD51-8382037E9AD2}">
      <text>
        <r>
          <rPr>
            <b/>
            <sz val="9"/>
            <color indexed="81"/>
            <rFont val="Tahoma"/>
            <family val="2"/>
          </rPr>
          <t>Esta Revoltura NO es la obtenida de Granja, sino la Venta por Oficina como Revoltura</t>
        </r>
      </text>
    </comment>
    <comment ref="Y274" authorId="0" shapeId="0" xr:uid="{EE65CEC2-9355-4201-9433-E961CF3091AB}">
      <text>
        <r>
          <rPr>
            <b/>
            <sz val="9"/>
            <color indexed="81"/>
            <rFont val="Tahoma"/>
            <family val="2"/>
          </rPr>
          <t>Esta Revoltura NO es la obtenida de Granja, sino la Venta por Oficina como Revoltura</t>
        </r>
      </text>
    </comment>
    <comment ref="Y281" authorId="0" shapeId="0" xr:uid="{B98FA9E9-4C85-4969-904E-0F8E352A6EA8}">
      <text>
        <r>
          <rPr>
            <b/>
            <sz val="9"/>
            <color indexed="81"/>
            <rFont val="Tahoma"/>
            <family val="2"/>
          </rPr>
          <t>Esta Revoltura NO es la obtenida de Granja, sino la Venta por Oficina como Revoltura</t>
        </r>
      </text>
    </comment>
    <comment ref="Y288" authorId="0" shapeId="0" xr:uid="{ACCBA384-67C9-4230-9967-5FD8BC16746E}">
      <text>
        <r>
          <rPr>
            <b/>
            <sz val="9"/>
            <color indexed="81"/>
            <rFont val="Tahoma"/>
            <family val="2"/>
          </rPr>
          <t>Esta Revoltura NO es la obtenida de Granja, sino la Venta por Oficina como Revoltura</t>
        </r>
      </text>
    </comment>
    <comment ref="Y295" authorId="0" shapeId="0" xr:uid="{D230BAAA-E98F-4922-A5FB-9A2EE2CC1D90}">
      <text>
        <r>
          <rPr>
            <b/>
            <sz val="9"/>
            <color indexed="81"/>
            <rFont val="Tahoma"/>
            <family val="2"/>
          </rPr>
          <t>Esta Revoltura NO es la obtenida de Granja, sino la Venta por Oficina como Revoltura</t>
        </r>
      </text>
    </comment>
    <comment ref="Y302" authorId="0" shapeId="0" xr:uid="{3D1320AC-13C0-4587-90AE-3BB2EE68EFAC}">
      <text>
        <r>
          <rPr>
            <b/>
            <sz val="9"/>
            <color indexed="81"/>
            <rFont val="Tahoma"/>
            <family val="2"/>
          </rPr>
          <t>Esta Revoltura NO es la obtenida de Granja, sino la Venta por Oficina como Revoltura</t>
        </r>
      </text>
    </comment>
    <comment ref="Y309" authorId="0" shapeId="0" xr:uid="{71542D14-07A9-41D5-BC6A-1A67E57C4237}">
      <text>
        <r>
          <rPr>
            <b/>
            <sz val="9"/>
            <color indexed="81"/>
            <rFont val="Tahoma"/>
            <family val="2"/>
          </rPr>
          <t>Esta Revoltura NO es la obtenida de Granja, sino la Venta por Oficina como Revoltura</t>
        </r>
      </text>
    </comment>
    <comment ref="Y316" authorId="0" shapeId="0" xr:uid="{82842436-D52D-4A48-B38E-AE81571C684A}">
      <text>
        <r>
          <rPr>
            <b/>
            <sz val="9"/>
            <color indexed="81"/>
            <rFont val="Tahoma"/>
            <family val="2"/>
          </rPr>
          <t>Esta Revoltura NO es la obtenida de Granja, sino la Venta por Oficina como Revoltura</t>
        </r>
      </text>
    </comment>
    <comment ref="Y323" authorId="0" shapeId="0" xr:uid="{A54545EF-B99D-4217-9600-B6376BFDAA44}">
      <text>
        <r>
          <rPr>
            <b/>
            <sz val="9"/>
            <color indexed="81"/>
            <rFont val="Tahoma"/>
            <family val="2"/>
          </rPr>
          <t>Esta Revoltura NO es la obtenida de Granja, sino la Venta por Oficina como Revoltura</t>
        </r>
      </text>
    </comment>
    <comment ref="Y330" authorId="0" shapeId="0" xr:uid="{B0D58295-9B53-4D2F-B3EA-57D776F229BE}">
      <text>
        <r>
          <rPr>
            <b/>
            <sz val="9"/>
            <color indexed="81"/>
            <rFont val="Tahoma"/>
            <family val="2"/>
          </rPr>
          <t>Esta Revoltura NO es la obtenida de Granja, sino la Venta por Oficina como Revoltura</t>
        </r>
      </text>
    </comment>
    <comment ref="Y337" authorId="0" shapeId="0" xr:uid="{54308B6C-6C86-48FF-82D9-9241CD7621FA}">
      <text>
        <r>
          <rPr>
            <b/>
            <sz val="9"/>
            <color indexed="81"/>
            <rFont val="Tahoma"/>
            <family val="2"/>
          </rPr>
          <t>Esta Revoltura NO es la obtenida de Granja, sino la Venta por Oficina como Revoltura</t>
        </r>
      </text>
    </comment>
    <comment ref="Y344" authorId="0" shapeId="0" xr:uid="{CD49FFB4-C178-445A-84B6-DA3D5B8BF840}">
      <text>
        <r>
          <rPr>
            <b/>
            <sz val="9"/>
            <color indexed="81"/>
            <rFont val="Tahoma"/>
            <family val="2"/>
          </rPr>
          <t>Esta Revoltura NO es la obtenida de Granja, sino la Venta por Oficina como Revoltura</t>
        </r>
      </text>
    </comment>
    <comment ref="Y351" authorId="0" shapeId="0" xr:uid="{A7C9C313-7182-40B9-9E97-4481063D4F93}">
      <text>
        <r>
          <rPr>
            <b/>
            <sz val="9"/>
            <color indexed="81"/>
            <rFont val="Tahoma"/>
            <family val="2"/>
          </rPr>
          <t>Esta Revoltura NO es la obtenida de Granja, sino la Venta por Oficina como Revoltura</t>
        </r>
      </text>
    </comment>
    <comment ref="Y358" authorId="0" shapeId="0" xr:uid="{37CC80B3-F467-470B-BF5E-73276D124290}">
      <text>
        <r>
          <rPr>
            <b/>
            <sz val="9"/>
            <color indexed="81"/>
            <rFont val="Tahoma"/>
            <family val="2"/>
          </rPr>
          <t>Esta Revoltura NO es la obtenida de Granja, sino la Venta por Oficina como Revoltura</t>
        </r>
      </text>
    </comment>
    <comment ref="Y365" authorId="0" shapeId="0" xr:uid="{17813121-C35B-4A32-9870-ED01279049B1}">
      <text>
        <r>
          <rPr>
            <b/>
            <sz val="9"/>
            <color indexed="81"/>
            <rFont val="Tahoma"/>
            <family val="2"/>
          </rPr>
          <t>Esta Revoltura NO es la obtenida de Granja, sino la Venta por Oficina como Revoltura</t>
        </r>
      </text>
    </comment>
    <comment ref="Y372" authorId="0" shapeId="0" xr:uid="{196936F9-0396-442F-8E0E-7167C88B0590}">
      <text>
        <r>
          <rPr>
            <b/>
            <sz val="9"/>
            <color indexed="81"/>
            <rFont val="Tahoma"/>
            <family val="2"/>
          </rPr>
          <t>Esta Revoltura NO es la obtenida de Granja, sino la Venta por Oficina como Revoltura</t>
        </r>
      </text>
    </comment>
    <comment ref="Y379" authorId="0" shapeId="0" xr:uid="{97F3545C-4408-4F8F-8069-F5B1551A1D56}">
      <text>
        <r>
          <rPr>
            <b/>
            <sz val="9"/>
            <color indexed="81"/>
            <rFont val="Tahoma"/>
            <family val="2"/>
          </rPr>
          <t>Esta Revoltura NO es la obtenida de Granja, sino la Venta por Oficina como Revoltura</t>
        </r>
      </text>
    </comment>
    <comment ref="Y386" authorId="0" shapeId="0" xr:uid="{236CFF8C-8863-4170-B14A-CFFC0F80974E}">
      <text>
        <r>
          <rPr>
            <b/>
            <sz val="9"/>
            <color indexed="81"/>
            <rFont val="Tahoma"/>
            <family val="2"/>
          </rPr>
          <t>Esta Revoltura NO es la obtenida de Granja, sino la Venta por Oficina como Revoltura</t>
        </r>
      </text>
    </comment>
    <comment ref="Y393" authorId="0" shapeId="0" xr:uid="{BDEA2E42-7D42-403D-9F16-183664EAEF28}">
      <text>
        <r>
          <rPr>
            <b/>
            <sz val="9"/>
            <color indexed="81"/>
            <rFont val="Tahoma"/>
            <family val="2"/>
          </rPr>
          <t>Esta Revoltura NO es la obtenida de Granja, sino la Venta por Oficina como Revoltura</t>
        </r>
      </text>
    </comment>
    <comment ref="Y400" authorId="0" shapeId="0" xr:uid="{1A3806DB-8C04-460D-9A9D-BA30CEFCEC6A}">
      <text>
        <r>
          <rPr>
            <b/>
            <sz val="9"/>
            <color indexed="81"/>
            <rFont val="Tahoma"/>
            <family val="2"/>
          </rPr>
          <t>Esta Revoltura NO es la obtenida de Granja, sino la Venta por Oficina como Revoltura</t>
        </r>
      </text>
    </comment>
    <comment ref="Y407" authorId="0" shapeId="0" xr:uid="{E81E253F-21FE-4D2B-AE46-B90946DF0D78}">
      <text>
        <r>
          <rPr>
            <b/>
            <sz val="9"/>
            <color indexed="81"/>
            <rFont val="Tahoma"/>
            <family val="2"/>
          </rPr>
          <t>Esta Revoltura NO es la obtenida de Granja, sino la Venta por Oficina como Revoltura</t>
        </r>
      </text>
    </comment>
    <comment ref="Y414" authorId="0" shapeId="0" xr:uid="{FA9880B9-3203-48CA-ABC3-B0017C675DE3}">
      <text>
        <r>
          <rPr>
            <b/>
            <sz val="9"/>
            <color indexed="81"/>
            <rFont val="Tahoma"/>
            <family val="2"/>
          </rPr>
          <t>Esta Revoltura NO es la obtenida de Granja, sino la Venta por Oficina como Revoltura</t>
        </r>
      </text>
    </comment>
    <comment ref="Y421" authorId="0" shapeId="0" xr:uid="{01DD019B-9D04-468E-9CBB-A39C5EF487B7}">
      <text>
        <r>
          <rPr>
            <b/>
            <sz val="9"/>
            <color indexed="81"/>
            <rFont val="Tahoma"/>
            <family val="2"/>
          </rPr>
          <t>Esta Revoltura NO es la obtenida de Granja, sino la Venta por Oficina como Revoltura</t>
        </r>
      </text>
    </comment>
    <comment ref="Y428" authorId="0" shapeId="0" xr:uid="{F8770CFE-E738-45D0-A8D7-DDF01DA6168C}">
      <text>
        <r>
          <rPr>
            <b/>
            <sz val="9"/>
            <color indexed="81"/>
            <rFont val="Tahoma"/>
            <family val="2"/>
          </rPr>
          <t>Esta Revoltura NO es la obtenida de Granja, sino la Venta por Oficina como Revoltura</t>
        </r>
      </text>
    </comment>
    <comment ref="Y435" authorId="0" shapeId="0" xr:uid="{B9D1A421-DB10-4F0E-88E4-A2AE2B91B0FF}">
      <text>
        <r>
          <rPr>
            <b/>
            <sz val="9"/>
            <color indexed="81"/>
            <rFont val="Tahoma"/>
            <family val="2"/>
          </rPr>
          <t>Esta Revoltura NO es la obtenida de Granja, sino la Venta por Oficina como Revoltura</t>
        </r>
      </text>
    </comment>
    <comment ref="Y442" authorId="0" shapeId="0" xr:uid="{4D518D65-438F-46C1-9DC8-D2FF5DF3EF67}">
      <text>
        <r>
          <rPr>
            <b/>
            <sz val="9"/>
            <color indexed="81"/>
            <rFont val="Tahoma"/>
            <family val="2"/>
          </rPr>
          <t>Esta Revoltura NO es la obtenida de Granja, sino la Venta por Oficina como Revoltura</t>
        </r>
      </text>
    </comment>
    <comment ref="Y449" authorId="0" shapeId="0" xr:uid="{57D9E13D-BE2A-4343-B8B7-048CFE8E9526}">
      <text>
        <r>
          <rPr>
            <b/>
            <sz val="9"/>
            <color indexed="81"/>
            <rFont val="Tahoma"/>
            <family val="2"/>
          </rPr>
          <t>Esta Revoltura NO es la obtenida de Granja, sino la Venta por Oficina como Revoltura</t>
        </r>
      </text>
    </comment>
    <comment ref="Y456" authorId="0" shapeId="0" xr:uid="{AE5A1C41-3601-45C0-8868-D6E9E9394196}">
      <text>
        <r>
          <rPr>
            <b/>
            <sz val="9"/>
            <color indexed="81"/>
            <rFont val="Tahoma"/>
            <family val="2"/>
          </rPr>
          <t>Esta Revoltura NO es la obtenida de Granja, sino la Venta por Oficina como Revoltura</t>
        </r>
      </text>
    </comment>
    <comment ref="Y463" authorId="0" shapeId="0" xr:uid="{FE92A7EA-CBA7-4A51-BAE0-80895A523901}">
      <text>
        <r>
          <rPr>
            <b/>
            <sz val="9"/>
            <color indexed="81"/>
            <rFont val="Tahoma"/>
            <family val="2"/>
          </rPr>
          <t>Esta Revoltura NO es la obtenida de Granja, sino la Venta por Oficina como Revoltura</t>
        </r>
      </text>
    </comment>
    <comment ref="Y470" authorId="0" shapeId="0" xr:uid="{7D45C5F0-01C3-422F-9B23-E9996D301F47}">
      <text>
        <r>
          <rPr>
            <b/>
            <sz val="9"/>
            <color indexed="81"/>
            <rFont val="Tahoma"/>
            <family val="2"/>
          </rPr>
          <t>Esta Revoltura NO es la obtenida de Granja, sino la Venta por Oficina como Revoltura</t>
        </r>
      </text>
    </comment>
    <comment ref="Y477" authorId="0" shapeId="0" xr:uid="{44818D67-44B0-49AB-953C-4FC20E9B6F9B}">
      <text>
        <r>
          <rPr>
            <b/>
            <sz val="9"/>
            <color indexed="81"/>
            <rFont val="Tahoma"/>
            <family val="2"/>
          </rPr>
          <t>Esta Revoltura NO es la obtenida de Granja, sino la Venta por Oficina como Revoltura</t>
        </r>
      </text>
    </comment>
    <comment ref="Y484" authorId="0" shapeId="0" xr:uid="{6233AAA3-9BFA-400F-B597-852E74ADD3BB}">
      <text>
        <r>
          <rPr>
            <b/>
            <sz val="9"/>
            <color indexed="81"/>
            <rFont val="Tahoma"/>
            <family val="2"/>
          </rPr>
          <t>Esta Revoltura NO es la obtenida de Granja, sino la Venta por Oficina como Revoltura</t>
        </r>
      </text>
    </comment>
    <comment ref="Y491" authorId="0" shapeId="0" xr:uid="{B00B326D-B9D2-4CB3-9788-CAC98F931864}">
      <text>
        <r>
          <rPr>
            <b/>
            <sz val="9"/>
            <color indexed="81"/>
            <rFont val="Tahoma"/>
            <family val="2"/>
          </rPr>
          <t>Esta Revoltura NO es la obtenida de Granja, sino la Venta por Oficina como Revoltura</t>
        </r>
      </text>
    </comment>
    <comment ref="Y498" authorId="0" shapeId="0" xr:uid="{B71ABE51-9DB9-4C9C-AF3F-477CCAE1D3EA}">
      <text>
        <r>
          <rPr>
            <b/>
            <sz val="9"/>
            <color indexed="81"/>
            <rFont val="Tahoma"/>
            <family val="2"/>
          </rPr>
          <t>Esta Revoltura NO es la obtenida de Granja, sino la Venta por Oficina como Revoltura</t>
        </r>
      </text>
    </comment>
    <comment ref="Y505" authorId="0" shapeId="0" xr:uid="{5F45F769-04EB-4F26-8659-02D04207639F}">
      <text>
        <r>
          <rPr>
            <b/>
            <sz val="9"/>
            <color indexed="81"/>
            <rFont val="Tahoma"/>
            <family val="2"/>
          </rPr>
          <t>Esta Revoltura NO es la obtenida de Granja, sino la Venta por Oficina como Revoltura</t>
        </r>
      </text>
    </comment>
    <comment ref="Y512" authorId="0" shapeId="0" xr:uid="{5C4316B9-EE3A-4A60-8EA6-77307984BB85}">
      <text>
        <r>
          <rPr>
            <b/>
            <sz val="9"/>
            <color indexed="81"/>
            <rFont val="Tahoma"/>
            <family val="2"/>
          </rPr>
          <t>Esta Revoltura NO es la obtenida de Granja, sino la Venta por Oficina como Revoltura</t>
        </r>
      </text>
    </comment>
    <comment ref="Y519" authorId="0" shapeId="0" xr:uid="{F1491D5F-7FA4-4EF0-B1B4-40DE2490E1DE}">
      <text>
        <r>
          <rPr>
            <b/>
            <sz val="9"/>
            <color indexed="81"/>
            <rFont val="Tahoma"/>
            <family val="2"/>
          </rPr>
          <t>Esta Revoltura NO es la obtenida de Granja, sino la Venta por Oficina como Revoltura</t>
        </r>
      </text>
    </comment>
    <comment ref="Y526" authorId="0" shapeId="0" xr:uid="{5D5FEDE2-7F3F-47FD-9C13-FE6A825F83A1}">
      <text>
        <r>
          <rPr>
            <b/>
            <sz val="9"/>
            <color indexed="81"/>
            <rFont val="Tahoma"/>
            <family val="2"/>
          </rPr>
          <t>Esta Revoltura NO es la obtenida de Granja, sino la Venta por Oficina como Revoltura</t>
        </r>
      </text>
    </comment>
    <comment ref="Y533" authorId="0" shapeId="0" xr:uid="{16978D60-5E94-4D47-91CB-FA6D6E773439}">
      <text>
        <r>
          <rPr>
            <b/>
            <sz val="9"/>
            <color indexed="81"/>
            <rFont val="Tahoma"/>
            <family val="2"/>
          </rPr>
          <t>Esta Revoltura NO es la obtenida de Granja, sino la Venta por Oficina como Revoltura</t>
        </r>
      </text>
    </comment>
    <comment ref="Y540" authorId="0" shapeId="0" xr:uid="{E237E5A4-1D52-4BA2-9B9E-7A58120AC6D4}">
      <text>
        <r>
          <rPr>
            <b/>
            <sz val="9"/>
            <color indexed="81"/>
            <rFont val="Tahoma"/>
            <family val="2"/>
          </rPr>
          <t>Esta Revoltura NO es la obtenida de Granja, sino la Venta por Oficina como Revoltura</t>
        </r>
      </text>
    </comment>
    <comment ref="Y547" authorId="0" shapeId="0" xr:uid="{A20B0036-4980-411A-8CEF-011AB39361DF}">
      <text>
        <r>
          <rPr>
            <b/>
            <sz val="9"/>
            <color indexed="81"/>
            <rFont val="Tahoma"/>
            <family val="2"/>
          </rPr>
          <t>Esta Revoltura NO es la obtenida de Granja, sino la Venta por Oficina como Revoltura</t>
        </r>
      </text>
    </comment>
    <comment ref="Y554" authorId="0" shapeId="0" xr:uid="{91DC3ED9-3852-4A4A-958E-0DEFEA58FBA6}">
      <text>
        <r>
          <rPr>
            <b/>
            <sz val="9"/>
            <color indexed="81"/>
            <rFont val="Tahoma"/>
            <family val="2"/>
          </rPr>
          <t>Esta Revoltura NO es la obtenida de Granja, sino la Venta por Oficina como Revoltura</t>
        </r>
      </text>
    </comment>
    <comment ref="Y561" authorId="0" shapeId="0" xr:uid="{BB8F56B7-CD22-4E36-BCCE-B9C411CE0DCA}">
      <text>
        <r>
          <rPr>
            <b/>
            <sz val="9"/>
            <color indexed="81"/>
            <rFont val="Tahoma"/>
            <family val="2"/>
          </rPr>
          <t>Esta Revoltura NO es la obtenida de Granja, sino la Venta por Oficina como Revoltura</t>
        </r>
      </text>
    </comment>
    <comment ref="Y568" authorId="0" shapeId="0" xr:uid="{78D95C59-40FA-42F6-9919-1AB6ACE5D575}">
      <text>
        <r>
          <rPr>
            <b/>
            <sz val="9"/>
            <color indexed="81"/>
            <rFont val="Tahoma"/>
            <family val="2"/>
          </rPr>
          <t>Esta Revoltura NO es la obtenida de Granja, sino la Venta por Oficina como Revoltura</t>
        </r>
      </text>
    </comment>
    <comment ref="Y575" authorId="0" shapeId="0" xr:uid="{D27B1082-80C8-4C8E-B9E9-3206146FF921}">
      <text>
        <r>
          <rPr>
            <b/>
            <sz val="9"/>
            <color indexed="81"/>
            <rFont val="Tahoma"/>
            <family val="2"/>
          </rPr>
          <t>Esta Revoltura NO es la obtenida de Granja, sino la Venta por Oficina como Revoltura</t>
        </r>
      </text>
    </comment>
    <comment ref="Y582" authorId="0" shapeId="0" xr:uid="{3EE3DF52-2C6C-426A-B8AA-215DCDB1D224}">
      <text>
        <r>
          <rPr>
            <b/>
            <sz val="9"/>
            <color indexed="81"/>
            <rFont val="Tahoma"/>
            <family val="2"/>
          </rPr>
          <t>Esta Revoltura NO es la obtenida de Granja, sino la Venta por Oficina como Revoltura</t>
        </r>
      </text>
    </comment>
    <comment ref="Y589" authorId="0" shapeId="0" xr:uid="{A34282D0-E010-4403-B3F0-CD0722BFDF01}">
      <text>
        <r>
          <rPr>
            <b/>
            <sz val="9"/>
            <color indexed="81"/>
            <rFont val="Tahoma"/>
            <family val="2"/>
          </rPr>
          <t>Esta Revoltura NO es la obtenida de Granja, sino la Venta por Oficina como Revoltura</t>
        </r>
      </text>
    </comment>
    <comment ref="Y596" authorId="0" shapeId="0" xr:uid="{FC578CF4-6604-4BE4-AE55-7F6989829FB0}">
      <text>
        <r>
          <rPr>
            <b/>
            <sz val="9"/>
            <color indexed="81"/>
            <rFont val="Tahoma"/>
            <family val="2"/>
          </rPr>
          <t>Esta Revoltura NO es la obtenida de Granja, sino la Venta por Oficina como Revoltura</t>
        </r>
      </text>
    </comment>
    <comment ref="Y603" authorId="0" shapeId="0" xr:uid="{13ADF9EB-A93B-4FA5-A6D5-12977D1D2A8C}">
      <text>
        <r>
          <rPr>
            <b/>
            <sz val="9"/>
            <color indexed="81"/>
            <rFont val="Tahoma"/>
            <family val="2"/>
          </rPr>
          <t>Esta Revoltura NO es la obtenida de Granja, sino la Venta por Oficina como Revoltura</t>
        </r>
      </text>
    </comment>
    <comment ref="Y610" authorId="0" shapeId="0" xr:uid="{90025896-E072-42D5-9AD2-01754FEFD6A5}">
      <text>
        <r>
          <rPr>
            <b/>
            <sz val="9"/>
            <color indexed="81"/>
            <rFont val="Tahoma"/>
            <family val="2"/>
          </rPr>
          <t>Esta Revoltura NO es la obtenida de Granja, sino la Venta por Oficina como Revoltura</t>
        </r>
      </text>
    </comment>
    <comment ref="Y617" authorId="0" shapeId="0" xr:uid="{E6B39DE3-E597-4A9D-A012-A9A24A160128}">
      <text>
        <r>
          <rPr>
            <b/>
            <sz val="9"/>
            <color indexed="81"/>
            <rFont val="Tahoma"/>
            <family val="2"/>
          </rPr>
          <t>Esta Revoltura NO es la obtenida de Granja, sino la Venta por Oficina como Revoltura</t>
        </r>
      </text>
    </comment>
    <comment ref="Y624" authorId="0" shapeId="0" xr:uid="{69894C77-773A-4020-83DD-317714886F82}">
      <text>
        <r>
          <rPr>
            <b/>
            <sz val="9"/>
            <color indexed="81"/>
            <rFont val="Tahoma"/>
            <family val="2"/>
          </rPr>
          <t>Esta Revoltura NO es la obtenida de Granja, sino la Venta por Oficina como Revoltura</t>
        </r>
      </text>
    </comment>
    <comment ref="Y631" authorId="0" shapeId="0" xr:uid="{C82F2443-C826-43B5-B33B-B540480EEF89}">
      <text>
        <r>
          <rPr>
            <b/>
            <sz val="9"/>
            <color indexed="81"/>
            <rFont val="Tahoma"/>
            <family val="2"/>
          </rPr>
          <t>Esta Revoltura NO es la obtenida de Granja, sino la Venta por Oficina como Revoltura</t>
        </r>
      </text>
    </comment>
    <comment ref="Y638" authorId="0" shapeId="0" xr:uid="{026B9722-04F4-43D7-8BD7-EFEF6B5F36B7}">
      <text>
        <r>
          <rPr>
            <b/>
            <sz val="9"/>
            <color indexed="81"/>
            <rFont val="Tahoma"/>
            <family val="2"/>
          </rPr>
          <t>Esta Revoltura NO es la obtenida de Granja, sino la Venta por Oficina como Revoltura</t>
        </r>
      </text>
    </comment>
    <comment ref="Y645" authorId="0" shapeId="0" xr:uid="{03E031D0-98AE-4DF5-8E63-7FB3DC4011A6}">
      <text>
        <r>
          <rPr>
            <b/>
            <sz val="9"/>
            <color indexed="81"/>
            <rFont val="Tahoma"/>
            <family val="2"/>
          </rPr>
          <t>Esta Revoltura NO es la obtenida de Granja, sino la Venta por Oficina como Revoltura</t>
        </r>
      </text>
    </comment>
    <comment ref="Y652" authorId="0" shapeId="0" xr:uid="{77359156-70F7-4D1E-9C05-483E8B4DB4B4}">
      <text>
        <r>
          <rPr>
            <b/>
            <sz val="9"/>
            <color indexed="81"/>
            <rFont val="Tahoma"/>
            <family val="2"/>
          </rPr>
          <t>Esta Revoltura NO es la obtenida de Granja, sino la Venta por Oficina como Revoltura</t>
        </r>
      </text>
    </comment>
    <comment ref="Y659" authorId="0" shapeId="0" xr:uid="{8B34976C-3C2B-44B9-A141-A76E2BF7101A}">
      <text>
        <r>
          <rPr>
            <b/>
            <sz val="9"/>
            <color indexed="81"/>
            <rFont val="Tahoma"/>
            <family val="2"/>
          </rPr>
          <t>Esta Revoltura NO es la obtenida de Granja, sino la Venta por Oficina como Revoltura</t>
        </r>
      </text>
    </comment>
    <comment ref="Y666" authorId="0" shapeId="0" xr:uid="{DE6B1E7D-1AA6-424C-847B-7FD871CC832F}">
      <text>
        <r>
          <rPr>
            <b/>
            <sz val="9"/>
            <color indexed="81"/>
            <rFont val="Tahoma"/>
            <family val="2"/>
          </rPr>
          <t>Esta Revoltura NO es la obtenida de Granja, sino la Venta por Oficina como Revoltura</t>
        </r>
      </text>
    </comment>
    <comment ref="Y673" authorId="0" shapeId="0" xr:uid="{554C88CF-D23F-4987-9D26-CC91DC02A1A8}">
      <text>
        <r>
          <rPr>
            <b/>
            <sz val="9"/>
            <color indexed="81"/>
            <rFont val="Tahoma"/>
            <family val="2"/>
          </rPr>
          <t>Esta Revoltura NO es la obtenida de Granja, sino la Venta por Oficina como Revoltura</t>
        </r>
      </text>
    </comment>
    <comment ref="Y680" authorId="0" shapeId="0" xr:uid="{0CC29BBE-DD00-4BD6-A7DD-C07E96037724}">
      <text>
        <r>
          <rPr>
            <b/>
            <sz val="9"/>
            <color indexed="81"/>
            <rFont val="Tahoma"/>
            <family val="2"/>
          </rPr>
          <t>Esta Revoltura NO es la obtenida de Granja, sino la Venta por Oficina como Revoltura</t>
        </r>
      </text>
    </comment>
    <comment ref="Y687" authorId="0" shapeId="0" xr:uid="{6C1169C2-03C2-4384-B90C-B2216D4A9F91}">
      <text>
        <r>
          <rPr>
            <b/>
            <sz val="9"/>
            <color indexed="81"/>
            <rFont val="Tahoma"/>
            <family val="2"/>
          </rPr>
          <t>Esta Revoltura NO es la obtenida de Granja, sino la Venta por Oficina como Revoltura</t>
        </r>
      </text>
    </comment>
    <comment ref="Y694" authorId="0" shapeId="0" xr:uid="{37E09632-972A-4D5B-90FA-E68BE6C90EE5}">
      <text>
        <r>
          <rPr>
            <b/>
            <sz val="9"/>
            <color indexed="81"/>
            <rFont val="Tahoma"/>
            <family val="2"/>
          </rPr>
          <t>Esta Revoltura NO es la obtenida de Granja, sino la Venta por Oficina como Revoltura</t>
        </r>
      </text>
    </comment>
    <comment ref="Y701" authorId="0" shapeId="0" xr:uid="{4E9BA878-02E7-4198-B6F4-F20F7291BA11}">
      <text>
        <r>
          <rPr>
            <b/>
            <sz val="9"/>
            <color indexed="81"/>
            <rFont val="Tahoma"/>
            <family val="2"/>
          </rPr>
          <t>Esta Revoltura NO es la obtenida de Granja, sino la Venta por Oficina como Revoltura</t>
        </r>
      </text>
    </comment>
    <comment ref="Y708" authorId="0" shapeId="0" xr:uid="{3985F00F-A6AF-437E-AB79-010809A8805E}">
      <text>
        <r>
          <rPr>
            <b/>
            <sz val="9"/>
            <color indexed="81"/>
            <rFont val="Tahoma"/>
            <family val="2"/>
          </rPr>
          <t>Esta Revoltura NO es la obtenida de Granja, sino la Venta por Oficina como Revoltura</t>
        </r>
      </text>
    </comment>
    <comment ref="Y715" authorId="0" shapeId="0" xr:uid="{C62DBBAA-4B0F-4112-9BC0-673AAEEF1771}">
      <text>
        <r>
          <rPr>
            <b/>
            <sz val="9"/>
            <color indexed="81"/>
            <rFont val="Tahoma"/>
            <family val="2"/>
          </rPr>
          <t>Esta Revoltura NO es la obtenida de Granja, sino la Venta por Oficina como Revoltura</t>
        </r>
      </text>
    </comment>
    <comment ref="Y722" authorId="0" shapeId="0" xr:uid="{A2E20D01-DB11-44BB-ADC4-D5AE45CC0F2C}">
      <text>
        <r>
          <rPr>
            <b/>
            <sz val="9"/>
            <color indexed="81"/>
            <rFont val="Tahoma"/>
            <family val="2"/>
          </rPr>
          <t>Esta Revoltura NO es la obtenida de Granja, sino la Venta por Oficina como Revoltura</t>
        </r>
      </text>
    </comment>
  </commentList>
</comments>
</file>

<file path=xl/sharedStrings.xml><?xml version="1.0" encoding="utf-8"?>
<sst xmlns="http://schemas.openxmlformats.org/spreadsheetml/2006/main" count="1776" uniqueCount="547">
  <si>
    <t>Sem</t>
  </si>
  <si>
    <t>Control edad</t>
  </si>
  <si>
    <t>O B S E R V A C I O N E S</t>
  </si>
  <si>
    <t>AA</t>
  </si>
  <si>
    <t>A</t>
  </si>
  <si>
    <t>B</t>
  </si>
  <si>
    <t>C</t>
  </si>
  <si>
    <t>Roto</t>
  </si>
  <si>
    <t>Vencido</t>
  </si>
  <si>
    <t># Dosis a Pedir</t>
  </si>
  <si>
    <t xml:space="preserve">Granja de Producción : </t>
  </si>
  <si>
    <t xml:space="preserve">Responsable Técnico : </t>
  </si>
  <si>
    <t>Real</t>
  </si>
  <si>
    <t>$ / Lote</t>
  </si>
  <si>
    <t xml:space="preserve">Edad Traslado a Prod : </t>
  </si>
  <si>
    <t xml:space="preserve">Fecha Traslado a Prod : </t>
  </si>
  <si>
    <t>RAZA</t>
  </si>
  <si>
    <t>SEMANA</t>
  </si>
  <si>
    <t>% PROD. TAB.</t>
  </si>
  <si>
    <t>H.A.A.   TAB.</t>
  </si>
  <si>
    <t>Gr.A.D.  TAB.</t>
  </si>
  <si>
    <t>PESO HUEVO</t>
  </si>
  <si>
    <t>PESO  TAB.</t>
  </si>
  <si>
    <t xml:space="preserve">Altura sobre el nivel del mar : </t>
  </si>
  <si>
    <t>0 - 1.000</t>
  </si>
  <si>
    <t>Piso de cemento</t>
  </si>
  <si>
    <t>Plato - Automático</t>
  </si>
  <si>
    <t>Tipo de Alojamiento</t>
  </si>
  <si>
    <t>Fase de Alimento</t>
  </si>
  <si>
    <t>Equipo Comederos</t>
  </si>
  <si>
    <t>Equipo Bebederos</t>
  </si>
  <si>
    <t>Tipo de 
Serología</t>
  </si>
  <si>
    <t>Num Mes</t>
  </si>
  <si>
    <t>Mes</t>
  </si>
  <si>
    <t>Líneas</t>
  </si>
  <si>
    <t>Programa Osc. Lev.</t>
  </si>
  <si>
    <t>Programa Luz Prod.</t>
  </si>
  <si>
    <t>Def. Responsable Aves</t>
  </si>
  <si>
    <t>Habladores</t>
  </si>
  <si>
    <t>Mts sobre Nivel del Mar</t>
  </si>
  <si>
    <t>CLIMA</t>
  </si>
  <si>
    <t>Empaque Alimto</t>
  </si>
  <si>
    <t>Present Alimto</t>
  </si>
  <si>
    <t>Piso de tierra</t>
  </si>
  <si>
    <t>Alimento Medicado</t>
  </si>
  <si>
    <t>Artesanal</t>
  </si>
  <si>
    <t>A.R.P</t>
  </si>
  <si>
    <t>Ene</t>
  </si>
  <si>
    <t>Luz Natural</t>
  </si>
  <si>
    <t xml:space="preserve">Asesor Técnico : </t>
  </si>
  <si>
    <t>Cálido</t>
  </si>
  <si>
    <t>HARINA</t>
  </si>
  <si>
    <t>Preiniciador Pollita Cr.</t>
  </si>
  <si>
    <t>Canal - Cadena</t>
  </si>
  <si>
    <t>Bebedero Manual</t>
  </si>
  <si>
    <t>ELISA - IDEXX</t>
  </si>
  <si>
    <t>Feb</t>
  </si>
  <si>
    <t xml:space="preserve">Director de Producción : </t>
  </si>
  <si>
    <t>1.001 - 1.400</t>
  </si>
  <si>
    <t>Templado</t>
  </si>
  <si>
    <t>MIGAJAS</t>
  </si>
  <si>
    <t>Preiniciador Pollito Cr.</t>
  </si>
  <si>
    <t>Canal - Sinfín</t>
  </si>
  <si>
    <t>Campana Autom.</t>
  </si>
  <si>
    <t>H.I.</t>
  </si>
  <si>
    <t>Mar</t>
  </si>
  <si>
    <t>Lohmann LSL</t>
  </si>
  <si>
    <t xml:space="preserve">Director Técnico : </t>
  </si>
  <si>
    <t>&gt; 1.400</t>
  </si>
  <si>
    <t>Frio</t>
  </si>
  <si>
    <t>PELETIZADO</t>
  </si>
  <si>
    <t>Jaulón Lev. Fab. Nal.</t>
  </si>
  <si>
    <t>Iniciador Pollita Cr.</t>
  </si>
  <si>
    <t>Canal - Carro</t>
  </si>
  <si>
    <t>Campana Manual</t>
  </si>
  <si>
    <t>P.C.R.</t>
  </si>
  <si>
    <t>Abr</t>
  </si>
  <si>
    <t xml:space="preserve">Médico Veterinario : </t>
  </si>
  <si>
    <t>Jaula Californiana Fab. Propia</t>
  </si>
  <si>
    <t>Iniciador Pollita Hna.</t>
  </si>
  <si>
    <t>Canal - Manual</t>
  </si>
  <si>
    <t>Canal Manual</t>
  </si>
  <si>
    <t>P.C.R. R.T.</t>
  </si>
  <si>
    <t>May</t>
  </si>
  <si>
    <t>Hy Line Brown</t>
  </si>
  <si>
    <t xml:space="preserve">Responsable : </t>
  </si>
  <si>
    <t>B. Alasso</t>
  </si>
  <si>
    <t>Levante (Desarrollo) Cr.</t>
  </si>
  <si>
    <t>Plato - Manual</t>
  </si>
  <si>
    <t>Copa</t>
  </si>
  <si>
    <t>I.F.</t>
  </si>
  <si>
    <t>Jun</t>
  </si>
  <si>
    <t>B. Aruas</t>
  </si>
  <si>
    <t>Levante (Desarrollo) Hna.</t>
  </si>
  <si>
    <t>Niple</t>
  </si>
  <si>
    <t>Jul</t>
  </si>
  <si>
    <t>Babcock Brown</t>
  </si>
  <si>
    <t>B. Aruas Climatizado</t>
  </si>
  <si>
    <t>Prepostura Cr.</t>
  </si>
  <si>
    <t>Tarro - Manual</t>
  </si>
  <si>
    <t>Otro</t>
  </si>
  <si>
    <t>Ago</t>
  </si>
  <si>
    <t>B. Big Dutchmann</t>
  </si>
  <si>
    <t>Prepostura Hna.</t>
  </si>
  <si>
    <t>Sep</t>
  </si>
  <si>
    <t>B. Big Dutchmann Clim.</t>
  </si>
  <si>
    <t>Prepico Hna.</t>
  </si>
  <si>
    <t>Oct</t>
  </si>
  <si>
    <t>B. Chore Time</t>
  </si>
  <si>
    <t>Prepico Bajo Consumo Hna.</t>
  </si>
  <si>
    <t>Nov</t>
  </si>
  <si>
    <t>B. Chore Time Clim.</t>
  </si>
  <si>
    <t>Ponedoras Pico Hna.</t>
  </si>
  <si>
    <t>Dic</t>
  </si>
  <si>
    <t>B. Facco</t>
  </si>
  <si>
    <t>Ponedoras Fase 1 Hna.</t>
  </si>
  <si>
    <t>B. Facco Climatizada</t>
  </si>
  <si>
    <t>Ponedoras Fase 2 Hna.</t>
  </si>
  <si>
    <t>B. Quilbra</t>
  </si>
  <si>
    <t>Ponedoras Fase 3 Hna.</t>
  </si>
  <si>
    <t>B. Quilbra Climatizada</t>
  </si>
  <si>
    <t>Ponedoras Fase 4 Hna.</t>
  </si>
  <si>
    <t>B. Salmet</t>
  </si>
  <si>
    <t>Ponedoras Fase 5 Hna.</t>
  </si>
  <si>
    <t>B. Salmet Climatizada</t>
  </si>
  <si>
    <t>B. Sukami</t>
  </si>
  <si>
    <t>B. Sukami Climatizada</t>
  </si>
  <si>
    <t>B. Techno</t>
  </si>
  <si>
    <t>B. Techno Climatizada</t>
  </si>
  <si>
    <t>Semana</t>
  </si>
  <si>
    <t>Gr.A.D Real</t>
  </si>
  <si>
    <t>% Mort Acum.</t>
  </si>
  <si>
    <t>% M. Ac.</t>
  </si>
  <si>
    <t>H.A.A. Real</t>
  </si>
  <si>
    <t xml:space="preserve"> </t>
  </si>
  <si>
    <t xml:space="preserve">Lote # : </t>
  </si>
  <si>
    <t>Prod. con 10-100 LUX</t>
  </si>
  <si>
    <t>Prod. con 10-100 LUX + 2 h</t>
  </si>
  <si>
    <t>Prod. con 10-100 LUX + 4 h</t>
  </si>
  <si>
    <t>Luz Natural &amp; Supercena</t>
  </si>
  <si>
    <t>Luz Nat. + Adic 2 horas</t>
  </si>
  <si>
    <t>Luz Nat. + Adic 4 horas</t>
  </si>
  <si>
    <t>Sin Manejo de Luz</t>
  </si>
  <si>
    <t>Lohmann Brown</t>
  </si>
  <si>
    <t>Jaula Tradicional</t>
  </si>
  <si>
    <t>H&amp;N Brown</t>
  </si>
  <si>
    <t xml:space="preserve">Localización Granja : </t>
  </si>
  <si>
    <t xml:space="preserve">Nombre de la Granja : </t>
  </si>
  <si>
    <t xml:space="preserve">Clima : </t>
  </si>
  <si>
    <t xml:space="preserve">Manejo de la Luz : </t>
  </si>
  <si>
    <t xml:space="preserve">Clase de Alojamiento : </t>
  </si>
  <si>
    <t xml:space="preserve">Equipo de Comederos : </t>
  </si>
  <si>
    <t xml:space="preserve">Despique a semana : </t>
  </si>
  <si>
    <t xml:space="preserve">Presentación empaque de alimento : </t>
  </si>
  <si>
    <t xml:space="preserve">Total Aves Encasetadas : </t>
  </si>
  <si>
    <t xml:space="preserve">Semana de Traslado a Producción : </t>
  </si>
  <si>
    <t>Datos de Levante</t>
  </si>
  <si>
    <t>Datos de Producción</t>
  </si>
  <si>
    <t>Programa de Vacunaciones y Manejos en levante y producción</t>
  </si>
  <si>
    <t>Fecha Prog</t>
  </si>
  <si>
    <t>Fecha Ejec</t>
  </si>
  <si>
    <t>Día</t>
  </si>
  <si>
    <t>Descripción Vacuna - Actividad</t>
  </si>
  <si>
    <t>Vía Aplicación</t>
  </si>
  <si>
    <t>Identificación del Producto</t>
  </si>
  <si>
    <t>#Jornales</t>
  </si>
  <si>
    <t>Proveedor 
(o Ejecutante)</t>
  </si>
  <si>
    <t>Observaciones</t>
  </si>
  <si>
    <t>Inventario de Aves</t>
  </si>
  <si>
    <t xml:space="preserve">Consumo </t>
  </si>
  <si>
    <t>Gr. Ave Dia</t>
  </si>
  <si>
    <t>Trsl - Venta</t>
  </si>
  <si>
    <t>Saldo Aves</t>
  </si>
  <si>
    <t>% Viabilidad :</t>
  </si>
  <si>
    <t>T. Salidas Sem :</t>
  </si>
  <si>
    <t>T. Salidas Acm :</t>
  </si>
  <si>
    <t>% Mort/Sel Sem Tab :</t>
  </si>
  <si>
    <t>% Mort/Sel Acm Tab :</t>
  </si>
  <si>
    <t>Kilos</t>
  </si>
  <si>
    <t>B X 40 K</t>
  </si>
  <si>
    <t>B X 50 K</t>
  </si>
  <si>
    <t>Guía</t>
  </si>
  <si>
    <t>% Cumpl</t>
  </si>
  <si>
    <t>Gr. Ave Dia :</t>
  </si>
  <si>
    <t>Gr. Ave Sem :</t>
  </si>
  <si>
    <t xml:space="preserve">Galpon(es) : </t>
  </si>
  <si>
    <t xml:space="preserve">Entrada Inicial Aves : </t>
  </si>
  <si>
    <t>O b s e r v a c i o n e s</t>
  </si>
  <si>
    <t>% Sem Mort+Sel 
 ▼</t>
  </si>
  <si>
    <t>% Acm Mort+Sel 
 ▼</t>
  </si>
  <si>
    <t>Control de peso de las aves (Gr.)</t>
  </si>
  <si>
    <t>Control del Consumo de las aves</t>
  </si>
  <si>
    <t>Acum Real ▼</t>
  </si>
  <si>
    <t>Peso Real ▼</t>
  </si>
  <si>
    <t>Gan. P. Real ▼</t>
  </si>
  <si>
    <t>Inventario Aves</t>
  </si>
  <si>
    <t># Manejos aplicados al Lote</t>
  </si>
  <si>
    <t>Total Semana</t>
  </si>
  <si>
    <t>VR Ave Sem</t>
  </si>
  <si>
    <t>VR Ave Acum</t>
  </si>
  <si>
    <t>% Cumpl Cons. Acm</t>
  </si>
  <si>
    <t>$ Alimento Semana</t>
  </si>
  <si>
    <t>$ Tratamientos</t>
  </si>
  <si>
    <t>$ Fumig y Desinf</t>
  </si>
  <si>
    <t>$ Lab y Cntrl Inmune</t>
  </si>
  <si>
    <t>$ M de Obra - nómina</t>
  </si>
  <si>
    <t>$ Horas Extras</t>
  </si>
  <si>
    <t>$ M de Obra Temporal</t>
  </si>
  <si>
    <t>Canon Arriendos - Deprec.</t>
  </si>
  <si>
    <t>$ Gas / Calef</t>
  </si>
  <si>
    <t>$ Comunes</t>
  </si>
  <si>
    <t>$ Varios</t>
  </si>
  <si>
    <t>Telefonia - Internet</t>
  </si>
  <si>
    <t>Electrificadora</t>
  </si>
  <si>
    <t># Mort + Sel Sem</t>
  </si>
  <si>
    <t>Ventas - Traslad</t>
  </si>
  <si>
    <t>AAA</t>
  </si>
  <si>
    <t>Rev. Gr.</t>
  </si>
  <si>
    <t>Rev. Med</t>
  </si>
  <si>
    <t>Rev. Peq</t>
  </si>
  <si>
    <t xml:space="preserve">Huevos X Arrume : </t>
  </si>
  <si>
    <t xml:space="preserve"># Band. / Arrume : </t>
  </si>
  <si>
    <t>Ventas/Salen</t>
  </si>
  <si>
    <t>Kg Ave Acu :</t>
  </si>
  <si>
    <t xml:space="preserve">H. Ave Alojada : </t>
  </si>
  <si>
    <t xml:space="preserve">Peso Huevo (Gr) : </t>
  </si>
  <si>
    <t>PESO HUEVO AC</t>
  </si>
  <si>
    <t>Masa Sem Ave Presente</t>
  </si>
  <si>
    <t>Masa Acm Ave Alojada</t>
  </si>
  <si>
    <t>Peso H Ac</t>
  </si>
  <si>
    <t>% M. Sem</t>
  </si>
  <si>
    <t>Masa Sem Huevo</t>
  </si>
  <si>
    <t xml:space="preserve">Masa Sem H (Gr) : </t>
  </si>
  <si>
    <t xml:space="preserve">Masa Ac A. A (Kg) : </t>
  </si>
  <si>
    <t xml:space="preserve">Uniformidad (10% -) : </t>
  </si>
  <si>
    <t xml:space="preserve">Uniformidad (C. Lote) : </t>
  </si>
  <si>
    <t xml:space="preserve">Uniformidad (10% +) : </t>
  </si>
  <si>
    <t xml:space="preserve">Costo Pr H X Alimto : </t>
  </si>
  <si>
    <t xml:space="preserve">Peso Ave (Gr) : </t>
  </si>
  <si>
    <t>Peso Ave Real</t>
  </si>
  <si>
    <t>Ganancia P Real</t>
  </si>
  <si>
    <t>Unif. Real</t>
  </si>
  <si>
    <t>Gr. A. D. Real</t>
  </si>
  <si>
    <t>Gr Ac Real</t>
  </si>
  <si>
    <t>% Cumpl Peso</t>
  </si>
  <si>
    <t>% Cumpl Cons Ac</t>
  </si>
  <si>
    <t>% Cumpl Gr.A.D</t>
  </si>
  <si>
    <t>IPP</t>
  </si>
  <si>
    <t xml:space="preserve">Granja de Levante : </t>
  </si>
  <si>
    <t>% Cumpl Gan. Peso</t>
  </si>
  <si>
    <t>% Cumpl Ganan. Peso</t>
  </si>
  <si>
    <t>% Cumpl Gr.A.D.</t>
  </si>
  <si>
    <t>Gr.A.D. Real ▼</t>
  </si>
  <si>
    <t>Cumpl Pdn.</t>
  </si>
  <si>
    <t>Cumpl Peso Huevo</t>
  </si>
  <si>
    <t xml:space="preserve">Indicador Eficiencia : </t>
  </si>
  <si>
    <t>% Sem Mort + Sel</t>
  </si>
  <si>
    <t>% Acm Mort + Sel</t>
  </si>
  <si>
    <t xml:space="preserve">T. Pollitas Rec (+ Bon) : </t>
  </si>
  <si>
    <t>Det Edad</t>
  </si>
  <si>
    <t>Act</t>
  </si>
  <si>
    <t>Edad Días</t>
  </si>
  <si>
    <t>Revoltura</t>
  </si>
  <si>
    <t>Huevo No Conforme</t>
  </si>
  <si>
    <t xml:space="preserve">Gr. Ave Dia : </t>
  </si>
  <si>
    <t xml:space="preserve">Gr. Ave Acu : </t>
  </si>
  <si>
    <t>Huevo NO Conforme</t>
  </si>
  <si>
    <t>Fecha</t>
  </si>
  <si>
    <t>Total Inventario Bandeja</t>
  </si>
  <si>
    <t xml:space="preserve">Desde : </t>
  </si>
  <si>
    <t xml:space="preserve">Hasta : </t>
  </si>
  <si>
    <t>Seguimiento a Pesajes</t>
  </si>
  <si>
    <t>P r o d u c c i ó n</t>
  </si>
  <si>
    <t>Peso Huevo</t>
  </si>
  <si>
    <t>Peso Ave Tab</t>
  </si>
  <si>
    <t>Masa Sem Tab Ave Presente</t>
  </si>
  <si>
    <t>Masa Huevo</t>
  </si>
  <si>
    <t>Masa Ac Ave Aloj Tab</t>
  </si>
  <si>
    <t>% Mort Ac Tab.</t>
  </si>
  <si>
    <t>Gr.A.D. Tab.</t>
  </si>
  <si>
    <t>Peso H. Ac Tab</t>
  </si>
  <si>
    <t>H.A.A. Tab.</t>
  </si>
  <si>
    <t>% Prod. Tab.</t>
  </si>
  <si>
    <t>Peso H Sem Tab</t>
  </si>
  <si>
    <t>Peso Huevo (Gr)</t>
  </si>
  <si>
    <t>Indicador de Eficiencia</t>
  </si>
  <si>
    <t>% Prod. T. Min</t>
  </si>
  <si>
    <t>% Prod. T. Max</t>
  </si>
  <si>
    <t>H.A.A. T Min</t>
  </si>
  <si>
    <t>H.A.A. T Max</t>
  </si>
  <si>
    <t>H.A.A.  (R-T)</t>
  </si>
  <si>
    <t xml:space="preserve">Nombre / Razón Social </t>
  </si>
  <si>
    <t xml:space="preserve">Total Pollitas Recibidas : </t>
  </si>
  <si>
    <t>Decr Lento - Dia corto</t>
  </si>
  <si>
    <t>Decr Sem 6-8  - Dia corto</t>
  </si>
  <si>
    <t>Decr Lento - Dia solar</t>
  </si>
  <si>
    <t>Decr Lento - Lux Control</t>
  </si>
  <si>
    <t>Decr Sem 6-8  - Lux Control</t>
  </si>
  <si>
    <t>Decr Sem 6-8 - Dia solar</t>
  </si>
  <si>
    <t xml:space="preserve">Lote Levantado por : </t>
  </si>
  <si>
    <t>Mort</t>
  </si>
  <si>
    <t>Sel</t>
  </si>
  <si>
    <t>Aves X Cons</t>
  </si>
  <si>
    <t>Pond Cons</t>
  </si>
  <si>
    <t>Sem + Días</t>
  </si>
  <si>
    <t>F. Inicial</t>
  </si>
  <si>
    <t>F. Final</t>
  </si>
  <si>
    <t>Control del Consumo</t>
  </si>
  <si>
    <t>Dias adelanto / atraso</t>
  </si>
  <si>
    <t>Unif
▼</t>
  </si>
  <si>
    <t>S e g u i m i e n t o    a l    C o s t o    d e    P r o d u c c i ó n    d e l    H u e v o</t>
  </si>
  <si>
    <t xml:space="preserve">VALOR POLLONA A SEM 18 ($) : </t>
  </si>
  <si>
    <t>Item</t>
  </si>
  <si>
    <t>Valor ($)</t>
  </si>
  <si>
    <t>Valor Semana ($)</t>
  </si>
  <si>
    <t>Costo Huevo Sem X Item</t>
  </si>
  <si>
    <t>% Costo</t>
  </si>
  <si>
    <t>TOTAL COSTO PRODUCCIÓN</t>
  </si>
  <si>
    <t>Tipo  Huevo</t>
  </si>
  <si>
    <t>$ Sem Venta</t>
  </si>
  <si>
    <t>Cant. Sem</t>
  </si>
  <si>
    <t>% Part</t>
  </si>
  <si>
    <t>Precios de Venta por Tipo Huevo y su Participación (%)</t>
  </si>
  <si>
    <t>Huevo Clasif.</t>
  </si>
  <si>
    <t>H. de Segunda</t>
  </si>
  <si>
    <t>Total Sem.</t>
  </si>
  <si>
    <t>Prob Cásc</t>
  </si>
  <si>
    <t>Prob Color</t>
  </si>
  <si>
    <t>Bovans Black</t>
  </si>
  <si>
    <t>Bovans Brown</t>
  </si>
  <si>
    <t>Isa Brown</t>
  </si>
  <si>
    <t>Novogen</t>
  </si>
  <si>
    <t>D</t>
  </si>
  <si>
    <t># Doc</t>
  </si>
  <si>
    <t>Destino</t>
  </si>
  <si>
    <t>Clasificación en Granja</t>
  </si>
  <si>
    <t>Huevo Clasificado Granja</t>
  </si>
  <si>
    <t xml:space="preserve">Galpón : </t>
  </si>
  <si>
    <t># Doc Entrada</t>
  </si>
  <si>
    <t>Disp almto</t>
  </si>
  <si>
    <t>Saldo Disponible</t>
  </si>
  <si>
    <t>Comprador</t>
  </si>
  <si>
    <t>$ venta prom</t>
  </si>
  <si>
    <t>Cuentas de Costos/Gastos</t>
  </si>
  <si>
    <t>ALIMENTO</t>
  </si>
  <si>
    <t xml:space="preserve">Fecha de Inicio semana 19 : </t>
  </si>
  <si>
    <t>Control Sacos - Empaques</t>
  </si>
  <si>
    <t>Seguimiento Inventario de Aves</t>
  </si>
  <si>
    <t>Parámetros de Consumo</t>
  </si>
  <si>
    <t>$ venta</t>
  </si>
  <si>
    <t xml:space="preserve">Lote : </t>
  </si>
  <si>
    <t># Documento</t>
  </si>
  <si>
    <t>% Supv</t>
  </si>
  <si>
    <t xml:space="preserve">Fecha de Nacimiento : </t>
  </si>
  <si>
    <t>Producción Diaria Huevo</t>
  </si>
  <si>
    <t>Indicadores</t>
  </si>
  <si>
    <t>Resumen Semanal</t>
  </si>
  <si>
    <t xml:space="preserve">% Pdn prom semana : </t>
  </si>
  <si>
    <t>% Pdn</t>
  </si>
  <si>
    <t>H. No Procesado</t>
  </si>
  <si>
    <t>Conversión y Costo X Alimento</t>
  </si>
  <si>
    <t>Parámetros Producción y Peso</t>
  </si>
  <si>
    <t>Saldo Huevo</t>
  </si>
  <si>
    <t>Entrada Bja Jumbo</t>
  </si>
  <si>
    <t>Salida Bja Jumbo</t>
  </si>
  <si>
    <t>SaldoBja Jumbo</t>
  </si>
  <si>
    <t>Entrada Bandeja</t>
  </si>
  <si>
    <t>Salida Bandeja</t>
  </si>
  <si>
    <t>Saldo Bandeja</t>
  </si>
  <si>
    <t>Total Entrada Bdja</t>
  </si>
  <si>
    <t>Total Salida Bandeja</t>
  </si>
  <si>
    <t>Total Saldo Bandeja</t>
  </si>
  <si>
    <t xml:space="preserve">Saldo de Huevo en Granja : </t>
  </si>
  <si>
    <t>Salidas Huevo</t>
  </si>
  <si>
    <t>Totales Bandeja</t>
  </si>
  <si>
    <t>Ventas Clasificado</t>
  </si>
  <si>
    <t>Ventas Revoltura y H. Segunda</t>
  </si>
  <si>
    <t>Resumen Semanal Ventas</t>
  </si>
  <si>
    <t>Registro de Inventarios Varios en Granja</t>
  </si>
  <si>
    <t>INSUMO 1</t>
  </si>
  <si>
    <t>INSUMO 2</t>
  </si>
  <si>
    <t>INSUMO 3</t>
  </si>
  <si>
    <t>INSUMO 4</t>
  </si>
  <si>
    <t>INSUMO 5</t>
  </si>
  <si>
    <t>Balance $</t>
  </si>
  <si>
    <t>Costo Prod $ ▼</t>
  </si>
  <si>
    <t>$ Venta Sem ▼</t>
  </si>
  <si>
    <t>$ Balance Sem</t>
  </si>
  <si>
    <t>Mort / Supervivencia</t>
  </si>
  <si>
    <t>Gr X H</t>
  </si>
  <si>
    <r>
      <t>Fecha nacimiento (1</t>
    </r>
    <r>
      <rPr>
        <vertAlign val="superscript"/>
        <sz val="10"/>
        <rFont val="Courier"/>
        <family val="2"/>
      </rPr>
      <t>er</t>
    </r>
    <r>
      <rPr>
        <sz val="10"/>
        <rFont val="Courier"/>
        <family val="2"/>
      </rPr>
      <t xml:space="preserve"> día de vida) : </t>
    </r>
  </si>
  <si>
    <t>Pérdidas / Desc</t>
  </si>
  <si>
    <t xml:space="preserve">% : </t>
  </si>
  <si>
    <t xml:space="preserve">$ Ave : </t>
  </si>
  <si>
    <t xml:space="preserve">$ Lote : </t>
  </si>
  <si>
    <t>Otros Ingr.</t>
  </si>
  <si>
    <t xml:space="preserve">Marca Alimento Cría-Levante : </t>
  </si>
  <si>
    <t xml:space="preserve">Marca Alimento de Producción : </t>
  </si>
  <si>
    <t>Italcol</t>
  </si>
  <si>
    <t>Bovans White</t>
  </si>
  <si>
    <t>Kg. Sem Lote</t>
  </si>
  <si>
    <t># Huevos Sem</t>
  </si>
  <si>
    <t>Sacos? :</t>
  </si>
  <si>
    <t>SI</t>
  </si>
  <si>
    <t>Entr Sacos</t>
  </si>
  <si>
    <t>Salida Sacos</t>
  </si>
  <si>
    <t>Saldo Sacos</t>
  </si>
  <si>
    <t>% Cumpl  Masa H Ac A. Alj</t>
  </si>
  <si>
    <t>% Cumpl  Peso Ave Real</t>
  </si>
  <si>
    <t>% Prod.</t>
  </si>
  <si>
    <t>Costo Prod $</t>
  </si>
  <si>
    <t>$ Venta Sem</t>
  </si>
  <si>
    <t>Masa H. Ac A. Alj</t>
  </si>
  <si>
    <t>ml Ave día ▼</t>
  </si>
  <si>
    <t>Rel Agua / Alimto</t>
  </si>
  <si>
    <t>Control de Consumo Alimento y Agua</t>
  </si>
  <si>
    <t>Cons. Agua (Lt)</t>
  </si>
  <si>
    <t>Kg Lote Sem</t>
  </si>
  <si>
    <t>Kg Lote Sem Tab</t>
  </si>
  <si>
    <t>Lt Agua Sem</t>
  </si>
  <si>
    <t xml:space="preserve">Cons ml /ave día: </t>
  </si>
  <si>
    <t xml:space="preserve">Relación Agua /Alimto: </t>
  </si>
  <si>
    <t>Cons ml /ave día</t>
  </si>
  <si>
    <t>Relación Agua /Alimto</t>
  </si>
  <si>
    <t>% Cumpl Uniform.</t>
  </si>
  <si>
    <t xml:space="preserve">Total Litros Sem: </t>
  </si>
  <si>
    <t xml:space="preserve">Estirpe / Línea : </t>
  </si>
  <si>
    <t>ml /ave día</t>
  </si>
  <si>
    <t xml:space="preserve">Ton. Lote Acu : </t>
  </si>
  <si>
    <t>Consumo Alimento y Agua</t>
  </si>
  <si>
    <t>Unif</t>
  </si>
  <si>
    <t>AAAA</t>
  </si>
  <si>
    <t>Congolo</t>
  </si>
  <si>
    <t>Huevo No Conforme (Porcentajes)</t>
  </si>
  <si>
    <t>Clasificación del Huevo (Porcentajes)</t>
  </si>
  <si>
    <t>Visita la web de SanMarino</t>
  </si>
  <si>
    <r>
      <rPr>
        <sz val="12"/>
        <color theme="9" tint="0.79998168889431442"/>
        <rFont val="Century Gothic"/>
        <family val="2"/>
      </rPr>
      <t>Actividad Realizada</t>
    </r>
    <r>
      <rPr>
        <sz val="10"/>
        <color theme="9" tint="0.79998168889431442"/>
        <rFont val="Century Gothic"/>
        <family val="2"/>
      </rPr>
      <t xml:space="preserve">
Registrar en esta columna el tipo de manejo aplicado al Lote</t>
    </r>
  </si>
  <si>
    <r>
      <t xml:space="preserve">Agua </t>
    </r>
    <r>
      <rPr>
        <b/>
        <sz val="8"/>
        <color theme="9" tint="0.79998168889431442"/>
        <rFont val="Century Gothic"/>
        <family val="2"/>
      </rPr>
      <t>(Acd - Tto pot)</t>
    </r>
  </si>
  <si>
    <t>% Cumpl  Masa Sem Huevo</t>
  </si>
  <si>
    <t>Mortalidad Aves</t>
  </si>
  <si>
    <t>Bandeja</t>
  </si>
  <si>
    <t>Vacunas y medicamentos</t>
  </si>
  <si>
    <t>Diversos</t>
  </si>
  <si>
    <t>Depreciaciones</t>
  </si>
  <si>
    <t>Gastos de Viaje</t>
  </si>
  <si>
    <t>Adecuación Instalaciones</t>
  </si>
  <si>
    <t>Mantenimiento y Reparaciones</t>
  </si>
  <si>
    <t>Gastos Legales</t>
  </si>
  <si>
    <t>Servicios Públicos</t>
  </si>
  <si>
    <t>Arrendamientos</t>
  </si>
  <si>
    <t>Impuestos</t>
  </si>
  <si>
    <t>Honorarios</t>
  </si>
  <si>
    <t>Gastos de Personal</t>
  </si>
  <si>
    <t>Materia Prima (Carb Ca, etc.)</t>
  </si>
  <si>
    <t>Amortización de Aves</t>
  </si>
  <si>
    <t>Peso Min</t>
  </si>
  <si>
    <t>Peso Max</t>
  </si>
  <si>
    <t>Gr.A.D. TABLA Min</t>
  </si>
  <si>
    <t>Gr.A.D. TABLA Máx</t>
  </si>
  <si>
    <t>CONS AC TAB Min</t>
  </si>
  <si>
    <t>CONS AC TAB Máx</t>
  </si>
  <si>
    <t>% Cmp</t>
  </si>
  <si>
    <t>Consumo Agua (Lt)</t>
  </si>
  <si>
    <t>Huevo sin Clasificar</t>
  </si>
  <si>
    <t>Peso Huevo:</t>
  </si>
  <si>
    <t xml:space="preserve">  Salidas y Saldos de Huevo en Granja</t>
  </si>
  <si>
    <t>H.A.A. (R-T)</t>
  </si>
  <si>
    <t>Edad Sem Fin</t>
  </si>
  <si>
    <t>Sem transc</t>
  </si>
  <si>
    <t>Grosor Band</t>
  </si>
  <si>
    <t>Conversión semanal y acumulada</t>
  </si>
  <si>
    <t>Administrativos</t>
  </si>
  <si>
    <t>Fletes</t>
  </si>
  <si>
    <t xml:space="preserve">Servicio Técnico Sanmarino : </t>
  </si>
  <si>
    <t>Registro para Ponedoras Comerciales 
Versión 2025</t>
  </si>
  <si>
    <r>
      <t xml:space="preserve">10 % </t>
    </r>
    <r>
      <rPr>
        <b/>
        <i/>
        <sz val="10"/>
        <color theme="0"/>
        <rFont val="Candara"/>
        <family val="2"/>
      </rPr>
      <t>(</t>
    </r>
    <r>
      <rPr>
        <b/>
        <i/>
        <sz val="14"/>
        <color theme="0"/>
        <rFont val="Candara"/>
        <family val="2"/>
      </rPr>
      <t>-</t>
    </r>
    <r>
      <rPr>
        <b/>
        <i/>
        <sz val="10"/>
        <color theme="0"/>
        <rFont val="Candara"/>
        <family val="2"/>
      </rPr>
      <t>)</t>
    </r>
  </si>
  <si>
    <r>
      <t xml:space="preserve">10 % </t>
    </r>
    <r>
      <rPr>
        <b/>
        <i/>
        <sz val="10"/>
        <color theme="0"/>
        <rFont val="Candara"/>
        <family val="2"/>
      </rPr>
      <t>(</t>
    </r>
    <r>
      <rPr>
        <b/>
        <i/>
        <sz val="14"/>
        <color theme="0"/>
        <rFont val="Candara"/>
        <family val="2"/>
      </rPr>
      <t>+</t>
    </r>
    <r>
      <rPr>
        <b/>
        <i/>
        <sz val="10"/>
        <color theme="0"/>
        <rFont val="Candara"/>
        <family val="2"/>
      </rPr>
      <t>)</t>
    </r>
  </si>
  <si>
    <t>% Sem Mort+Sel Tab</t>
  </si>
  <si>
    <t>Gr.A.D. min Tab</t>
  </si>
  <si>
    <t>Gr.A.D. Dif</t>
  </si>
  <si>
    <t>Gr.A.D. máx Tab</t>
  </si>
  <si>
    <t>Acum min Tab</t>
  </si>
  <si>
    <t>Acum máx Tab</t>
  </si>
  <si>
    <t>Peso min Tab</t>
  </si>
  <si>
    <t>Peso max Tab</t>
  </si>
  <si>
    <t>Dif Peso</t>
  </si>
  <si>
    <t>Gan. P. min Tab</t>
  </si>
  <si>
    <t>Gan. P. máx Tab</t>
  </si>
  <si>
    <t>Dif Gan P</t>
  </si>
  <si>
    <t>Unif Tab</t>
  </si>
  <si>
    <r>
      <t xml:space="preserve">10 % 
</t>
    </r>
    <r>
      <rPr>
        <b/>
        <i/>
        <sz val="9"/>
        <color theme="0"/>
        <rFont val="Candara"/>
        <family val="2"/>
      </rPr>
      <t>(</t>
    </r>
    <r>
      <rPr>
        <b/>
        <i/>
        <sz val="14"/>
        <color theme="0"/>
        <rFont val="Candara"/>
        <family val="2"/>
      </rPr>
      <t>-</t>
    </r>
    <r>
      <rPr>
        <b/>
        <i/>
        <sz val="9"/>
        <color theme="0"/>
        <rFont val="Candara"/>
        <family val="2"/>
      </rPr>
      <t>)</t>
    </r>
  </si>
  <si>
    <r>
      <t xml:space="preserve">10 % 
</t>
    </r>
    <r>
      <rPr>
        <b/>
        <i/>
        <sz val="9"/>
        <color theme="0"/>
        <rFont val="Candara"/>
        <family val="2"/>
      </rPr>
      <t>(</t>
    </r>
    <r>
      <rPr>
        <b/>
        <i/>
        <sz val="14"/>
        <color theme="0"/>
        <rFont val="Candara"/>
        <family val="2"/>
      </rPr>
      <t>+</t>
    </r>
    <r>
      <rPr>
        <b/>
        <i/>
        <sz val="9"/>
        <color theme="0"/>
        <rFont val="Candara"/>
        <family val="2"/>
      </rPr>
      <t>)</t>
    </r>
  </si>
  <si>
    <t>$ Vacunas</t>
  </si>
  <si>
    <t>$ Alistamiento (Total)</t>
  </si>
  <si>
    <t>$ Pollitas</t>
  </si>
  <si>
    <t>Hy Line W-80</t>
  </si>
  <si>
    <t>Hora Amanecer Atardecer Colombia - Ecuador - Panamá - Perú</t>
  </si>
  <si>
    <t>País</t>
  </si>
  <si>
    <t>Fecha Sem</t>
  </si>
  <si>
    <t>hora amanecer</t>
  </si>
  <si>
    <t>hora atardecer</t>
  </si>
  <si>
    <t>semaño</t>
  </si>
  <si>
    <t>Colombia</t>
  </si>
  <si>
    <t>Panamá</t>
  </si>
  <si>
    <t>Ecuador</t>
  </si>
  <si>
    <t>Perú</t>
  </si>
  <si>
    <t>Recomendaciones de Manejo Ambiental (Temp-Hum), Densidad y Equipo (Com-Beb)</t>
  </si>
  <si>
    <t xml:space="preserve"># Galpón : </t>
  </si>
  <si>
    <t>Temp Deseada</t>
  </si>
  <si>
    <t>Humedad</t>
  </si>
  <si>
    <t>Aves /Comedero</t>
  </si>
  <si>
    <t># Comederos Requeridos</t>
  </si>
  <si>
    <t>Aves /Bebedero</t>
  </si>
  <si>
    <t># Bebederos Requeridos</t>
  </si>
  <si>
    <t># Pollitas Alojadas</t>
  </si>
  <si>
    <t>Alimento</t>
  </si>
  <si>
    <t xml:space="preserve">Programa Específico sugerido de Manejo de la Luz en </t>
  </si>
  <si>
    <t xml:space="preserve">Línea : </t>
  </si>
  <si>
    <t>Horas</t>
  </si>
  <si>
    <t>Minutos</t>
  </si>
  <si>
    <t>Déficit H. Luz</t>
  </si>
  <si>
    <t>Horas a Adicionar en la mañana</t>
  </si>
  <si>
    <t>Horas a Adicionar en la noche</t>
  </si>
  <si>
    <t>Encender las luces</t>
  </si>
  <si>
    <t>Hora Amanecer</t>
  </si>
  <si>
    <t>Hora Atardecer</t>
  </si>
  <si>
    <t>Apagar las luces</t>
  </si>
  <si>
    <t>Total de Horas de Luz</t>
  </si>
  <si>
    <t>Luz natural total</t>
  </si>
  <si>
    <t>24+</t>
  </si>
  <si>
    <t>Plan Recepción</t>
  </si>
  <si>
    <t>Recomendaciones Especiales</t>
  </si>
  <si>
    <t>Nunca suministre 24 horas contínuas de luz</t>
  </si>
  <si>
    <t>Para PRIMERA semana es MUY recomendable usar el PROGRAMA SALACUNA de iluminación, que consiste en ALTERNAR períodos de 4 horas de Luz con 2 horas de oscuridad (como se observa en el gráfico arriba)</t>
  </si>
  <si>
    <t>Lo anterior se puede programar con un temporizador para evitar errores humanos.  En caso que no sea posible, suministre los tres primeros días 22 horas de luz máximo, y los días 4-7 reduzca en 1 hora el suministro de Luz.</t>
  </si>
  <si>
    <t>Las horas-Luz a partir de segunda semana deben ir decreciendo (en cantidad e intensidad) según criterio del profesional Italcol.  Tenga en cuenta el factor Clima de su localidad para estimar cuan rápido puede disminuir las horas-Luz</t>
  </si>
  <si>
    <t>Azur</t>
  </si>
  <si>
    <t>Localización Granja :</t>
  </si>
  <si>
    <t>Ancho Galpón :</t>
  </si>
  <si>
    <r>
      <t xml:space="preserve">Edad </t>
    </r>
    <r>
      <rPr>
        <b/>
        <sz val="10"/>
        <color theme="0"/>
        <rFont val="Spartan MB Med"/>
        <family val="3"/>
      </rPr>
      <t>(Sem)</t>
    </r>
  </si>
  <si>
    <r>
      <t xml:space="preserve">Fecha Ini </t>
    </r>
    <r>
      <rPr>
        <b/>
        <sz val="10"/>
        <color theme="0"/>
        <rFont val="Spartan MB Med"/>
        <family val="3"/>
      </rPr>
      <t>Sem</t>
    </r>
  </si>
  <si>
    <r>
      <t xml:space="preserve">Fecha Fin </t>
    </r>
    <r>
      <rPr>
        <b/>
        <sz val="10"/>
        <color theme="0"/>
        <rFont val="Spartan MB Med"/>
        <family val="3"/>
      </rPr>
      <t>Sem</t>
    </r>
  </si>
  <si>
    <t>Para que las pollitas puedan acceder fácilmente al agua y al alimento y a su vez se adapten mejor a su entorno, permita que la intensidad lumínica sea suficiente (entre 25 a 50 LUX) durante la primera semana.</t>
  </si>
  <si>
    <t>Ventajas del PROGRAMA SALACUNA de ILUMINACIÓN.  
Las pollitas recién llegadas son BEBES a los cuales les conviene el descanso, y les enseña (sincroniza) sus hábitos de alimentación, mejorando así el logro del objetivo de peso y consumo de primera semana.</t>
  </si>
  <si>
    <r>
      <t>Densidad Aves/m</t>
    </r>
    <r>
      <rPr>
        <b/>
        <vertAlign val="superscript"/>
        <sz val="9.9"/>
        <color theme="0"/>
        <rFont val="Spartan MB Med"/>
        <family val="3"/>
      </rPr>
      <t>2</t>
    </r>
  </si>
  <si>
    <r>
      <t>Área requerida (m</t>
    </r>
    <r>
      <rPr>
        <b/>
        <vertAlign val="superscript"/>
        <sz val="9.9"/>
        <color theme="0"/>
        <rFont val="Spartan MB Med"/>
        <family val="3"/>
      </rPr>
      <t>2</t>
    </r>
    <r>
      <rPr>
        <b/>
        <sz val="11"/>
        <color theme="0"/>
        <rFont val="Spartan MB Med"/>
        <family val="3"/>
      </rPr>
      <t>)</t>
    </r>
  </si>
  <si>
    <r>
      <t xml:space="preserve">Largo requerido </t>
    </r>
    <r>
      <rPr>
        <b/>
        <sz val="10"/>
        <color theme="0"/>
        <rFont val="Spartan MB Med"/>
        <family val="3"/>
      </rPr>
      <t>(mt)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</si>
</sst>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0">
    <numFmt numFmtId="8" formatCode="&quot;$&quot;\ #,##0.00;[Red]&quot;$&quot;\ \-#,##0.00"/>
    <numFmt numFmtId="41" formatCode="_ * #,##0_ ;_ * \-#,##0_ ;_ * &quot;-&quot;_ ;_ @_ "/>
    <numFmt numFmtId="43" formatCode="_ * #,##0.00_ ;_ * \-#,##0.00_ ;_ * &quot;-&quot;??_ ;_ @_ "/>
    <numFmt numFmtId="164" formatCode="&quot;$&quot;#,##0.00;[Red]&quot;$&quot;\-#,##0.00"/>
    <numFmt numFmtId="165" formatCode="_ &quot;$&quot;* #,##0_ ;_ &quot;$&quot;* \-#,##0_ ;_ &quot;$&quot;* &quot;-&quot;_ ;_ @_ "/>
    <numFmt numFmtId="166" formatCode="General_)"/>
    <numFmt numFmtId="167" formatCode="0.0"/>
    <numFmt numFmtId="168" formatCode="?0.0"/>
    <numFmt numFmtId="169" formatCode="?0.00"/>
    <numFmt numFmtId="170" formatCode="??0.0"/>
    <numFmt numFmtId="171" formatCode="#,##0.0"/>
    <numFmt numFmtId="172" formatCode="?0.00\ %"/>
    <numFmt numFmtId="173" formatCode="??,??0"/>
    <numFmt numFmtId="174" formatCode="???,??0"/>
    <numFmt numFmtId="175" formatCode="?,??0"/>
    <numFmt numFmtId="176" formatCode="?,???,??0"/>
    <numFmt numFmtId="177" formatCode="??0.00"/>
    <numFmt numFmtId="178" formatCode="??0.00\ %"/>
    <numFmt numFmtId="179" formatCode="??,???,??0"/>
    <numFmt numFmtId="180" formatCode="?0"/>
    <numFmt numFmtId="181" formatCode="??0"/>
    <numFmt numFmtId="182" formatCode="[Blue]\+\ ??0.0\ ;[Red]\-\ ??0.0"/>
    <numFmt numFmtId="183" formatCode="ddd\,\ dd\-mmm"/>
    <numFmt numFmtId="184" formatCode="&quot;Dr. &quot;@\ "/>
    <numFmt numFmtId="185" formatCode="dd/mmm/yy\,\ \(ddd\)"/>
    <numFmt numFmtId="186" formatCode="?0.0\ &quot;Sem&quot;"/>
    <numFmt numFmtId="187" formatCode="\ ??0"/>
    <numFmt numFmtId="188" formatCode="mmm/dd/yy\,\ dddd"/>
    <numFmt numFmtId="189" formatCode="?0&quot; Sem&quot;"/>
    <numFmt numFmtId="190" formatCode="@\ &quot;m.s.n.m&quot;"/>
    <numFmt numFmtId="191" formatCode="0.000"/>
    <numFmt numFmtId="192" formatCode="ddd\,\ \ dd/mmm/yyyy"/>
    <numFmt numFmtId="193" formatCode="?,??0.0"/>
    <numFmt numFmtId="194" formatCode="?00.0"/>
    <numFmt numFmtId="195" formatCode="&quot;$&quot;\ ??,??0.00"/>
    <numFmt numFmtId="196" formatCode="&quot;$&quot;\ ???,???,??0"/>
    <numFmt numFmtId="197" formatCode="&quot;$&quot;\ ?,???,??0"/>
    <numFmt numFmtId="198" formatCode="&quot;$&quot;\ ??,???,??0"/>
    <numFmt numFmtId="199" formatCode="&quot;$&quot;\ ??,??0.0"/>
    <numFmt numFmtId="200" formatCode="\(ddd\)\ mmm/dd/yy"/>
    <numFmt numFmtId="201" formatCode="???,??0.0"/>
    <numFmt numFmtId="202" formatCode="[Red]\+\ ??0.0\ ;[Blue]\-\ ??0.0"/>
    <numFmt numFmtId="203" formatCode="[Blue]\+\ ?0.0\ \ &quot;Ptos&quot;;[Red]\-\ ?0.0\ &quot;Ptos&quot;"/>
    <numFmt numFmtId="204" formatCode="[Blue]\+\ ?0.0\ \ &quot;H&quot;;[Red]\-\ ?0.0\ &quot;H&quot;"/>
    <numFmt numFmtId="205" formatCode="[Blue]\+\ ?0.0\ \ &quot;Gr&quot;;[Red]\-\ ?0.0\ &quot;Gr&quot;"/>
    <numFmt numFmtId="206" formatCode="_ &quot;$&quot;* #,##0.0_ ;_ &quot;$&quot;* \-#,##0.0_ ;_ &quot;$&quot;* &quot;-&quot;?_ ;_ @_ "/>
    <numFmt numFmtId="207" formatCode="[Blue]\+\ ?0.00\ \ &quot;H&quot;;[Red]\-\ ?0.00\ &quot;H&quot;"/>
    <numFmt numFmtId="208" formatCode="??,??0.0"/>
    <numFmt numFmtId="209" formatCode="??0&quot;.&quot;00\ &quot;Kg&quot;"/>
    <numFmt numFmtId="210" formatCode="0&quot;.&quot;00"/>
    <numFmt numFmtId="211" formatCode="mmm\-dd\-yy\ \ /\ \ ddd\."/>
    <numFmt numFmtId="212" formatCode="?0\ \+\ ?/7"/>
    <numFmt numFmtId="213" formatCode="mmm\-dd\-yy\ /\ ddd\."/>
    <numFmt numFmtId="214" formatCode="[Blue]\+\ ?0.0\ ;[Red]\-\ ?0.0"/>
    <numFmt numFmtId="215" formatCode="??0.0\ %"/>
    <numFmt numFmtId="216" formatCode="&quot;$&quot;\ ??,??0"/>
    <numFmt numFmtId="217" formatCode="&quot;Precio Venta Gallina a &quot;##0&quot; Semanas: &quot;"/>
    <numFmt numFmtId="218" formatCode="&quot;BANDEJA-SEM (&quot;#0&quot; BAND/PAQ)&quot;"/>
    <numFmt numFmtId="219" formatCode="&quot;$&quot;?,???,??0"/>
    <numFmt numFmtId="220" formatCode="&quot;$&quot;\ ???,??0"/>
    <numFmt numFmtId="221" formatCode="&quot;$&quot;\ ??0.0"/>
    <numFmt numFmtId="222" formatCode="&quot;$&quot;??0.0"/>
    <numFmt numFmtId="223" formatCode="[Blue]\+\ &quot;$&quot;\ #,##0.00;[Red]\-\ &quot;$&quot;\ #,##0.00"/>
    <numFmt numFmtId="224" formatCode="&quot;$&quot;#,##0.0;[Red]&quot;$&quot;\-#,##0.0"/>
    <numFmt numFmtId="225" formatCode="&quot;$&quot;#,##0.0"/>
    <numFmt numFmtId="226" formatCode="[Blue]\+\ &quot;$&quot;\ #,##0.0;[Red]\-\ &quot;$&quot;\ #,##0.0"/>
    <numFmt numFmtId="227" formatCode="?0.00&quot; ml : 1 Gr.&quot;"/>
    <numFmt numFmtId="228" formatCode="[$$-240A]\ #,##0"/>
    <numFmt numFmtId="229" formatCode="[$-F800]dddd\,\ mmmm\ dd\,\ yyyy"/>
    <numFmt numFmtId="230" formatCode="?0.0&quot; ml :1 Gr.&quot;"/>
    <numFmt numFmtId="231" formatCode="?0.0&quot; ml/Gr.&quot;"/>
    <numFmt numFmtId="232" formatCode="&quot;$&quot;#,##0"/>
    <numFmt numFmtId="233" formatCode="[$$-240A]\ #,##0;[Red]\-[$$-240A]\ #,##0"/>
    <numFmt numFmtId="234" formatCode="??0&quot; Sem&quot;"/>
    <numFmt numFmtId="235" formatCode="?0.0&quot; %&quot;"/>
    <numFmt numFmtId="236" formatCode="??0.0&quot; H&quot;"/>
    <numFmt numFmtId="237" formatCode="??0.0&quot; Gr&quot;"/>
    <numFmt numFmtId="238" formatCode="??0.0&quot; ml&quot;"/>
    <numFmt numFmtId="239" formatCode="?0.0&quot; Gr&quot;"/>
    <numFmt numFmtId="240" formatCode="?,??0.0&quot; Gr&quot;"/>
    <numFmt numFmtId="241" formatCode="[h]:mm"/>
    <numFmt numFmtId="242" formatCode="dd/mmm"/>
    <numFmt numFmtId="243" formatCode="dddd\,\ dd\ /\ mmmm\ /\ yyyy"/>
    <numFmt numFmtId="244" formatCode="?0&quot; mt&quot;"/>
    <numFmt numFmtId="245" formatCode="&quot;$&quot;\ #,##0;[Red]&quot;$&quot;\ #,##0"/>
    <numFmt numFmtId="246" formatCode="?0\ \ \+?0/60"/>
    <numFmt numFmtId="247" formatCode="0&quot; h&quot;"/>
    <numFmt numFmtId="248" formatCode="[Blue]\+#0.0&quot;%&quot;\ ;[Red]\-#0.0&quot;%&quot;"/>
    <numFmt numFmtId="249" formatCode="[Blue]\+\ #0.0&quot;%&quot;\ ;[Red]\-\ #0.0&quot;%&quot;"/>
    <numFmt numFmtId="250" formatCode="[Blue]\+\ #0.0\ ;[Red]\-\ #0.0"/>
  </numFmts>
  <fonts count="195" x14ac:knownFonts="1">
    <font>
      <sz val="10"/>
      <name val="Courier"/>
    </font>
    <font>
      <sz val="11"/>
      <color theme="1"/>
      <name val="Calibri"/>
      <family val="2"/>
      <scheme val="minor"/>
    </font>
    <font>
      <sz val="11"/>
      <name val="Century Gothic"/>
      <family val="2"/>
    </font>
    <font>
      <sz val="12"/>
      <name val="Century Gothic"/>
      <family val="2"/>
    </font>
    <font>
      <sz val="10"/>
      <name val="MS Sans Serif"/>
      <family val="2"/>
    </font>
    <font>
      <b/>
      <sz val="10"/>
      <name val="Courier"/>
      <family val="3"/>
    </font>
    <font>
      <sz val="10"/>
      <name val="Times New Roman"/>
      <family val="1"/>
    </font>
    <font>
      <sz val="10"/>
      <name val="Arial"/>
      <family val="2"/>
    </font>
    <font>
      <b/>
      <sz val="9"/>
      <color indexed="81"/>
      <name val="Tahoma"/>
      <family val="2"/>
    </font>
    <font>
      <sz val="12"/>
      <name val="Times New Roman"/>
      <family val="1"/>
    </font>
    <font>
      <u/>
      <sz val="10"/>
      <color theme="10"/>
      <name val="Courier"/>
    </font>
    <font>
      <sz val="10"/>
      <name val="Arial"/>
      <family val="2"/>
    </font>
    <font>
      <u/>
      <sz val="10"/>
      <color theme="10"/>
      <name val="Arial"/>
      <family val="2"/>
    </font>
    <font>
      <sz val="10"/>
      <name val="Century Gothic"/>
      <family val="2"/>
    </font>
    <font>
      <sz val="11"/>
      <name val="Century Gothic"/>
      <family val="2"/>
    </font>
    <font>
      <sz val="8"/>
      <name val="Century Gothic"/>
      <family val="2"/>
    </font>
    <font>
      <b/>
      <sz val="14"/>
      <name val="Century Gothic"/>
      <family val="2"/>
    </font>
    <font>
      <b/>
      <sz val="12"/>
      <name val="Century Gothic"/>
      <family val="2"/>
    </font>
    <font>
      <b/>
      <sz val="10"/>
      <name val="Century Gothic"/>
      <family val="2"/>
    </font>
    <font>
      <b/>
      <sz val="11"/>
      <name val="Century Gothic"/>
      <family val="2"/>
    </font>
    <font>
      <sz val="12"/>
      <name val="Century Gothic"/>
      <family val="2"/>
    </font>
    <font>
      <sz val="14"/>
      <name val="Century Gothic"/>
      <family val="2"/>
    </font>
    <font>
      <b/>
      <sz val="8"/>
      <name val="Century Gothic"/>
      <family val="2"/>
    </font>
    <font>
      <b/>
      <sz val="12"/>
      <color theme="0"/>
      <name val="Century Gothic"/>
      <family val="2"/>
    </font>
    <font>
      <sz val="10"/>
      <color indexed="53"/>
      <name val="Century Gothic"/>
      <family val="2"/>
    </font>
    <font>
      <sz val="9"/>
      <name val="Century Gothic"/>
      <family val="2"/>
    </font>
    <font>
      <b/>
      <sz val="20"/>
      <name val="Century Gothic"/>
      <family val="2"/>
    </font>
    <font>
      <b/>
      <sz val="15"/>
      <name val="Century Gothic"/>
      <family val="2"/>
    </font>
    <font>
      <sz val="12"/>
      <color rgb="FFFF0000"/>
      <name val="Century Gothic"/>
      <family val="2"/>
    </font>
    <font>
      <b/>
      <sz val="10"/>
      <color indexed="81"/>
      <name val="Tahoma"/>
      <family val="2"/>
    </font>
    <font>
      <b/>
      <sz val="12"/>
      <color indexed="81"/>
      <name val="Tahoma"/>
      <family val="2"/>
    </font>
    <font>
      <sz val="12"/>
      <color theme="0"/>
      <name val="Century Gothic"/>
      <family val="2"/>
    </font>
    <font>
      <sz val="10"/>
      <color theme="0"/>
      <name val="Century Gothic"/>
      <family val="2"/>
    </font>
    <font>
      <sz val="10"/>
      <color indexed="12"/>
      <name val="Century Gothic"/>
      <family val="2"/>
    </font>
    <font>
      <b/>
      <sz val="11"/>
      <color theme="0"/>
      <name val="Century Gothic"/>
      <family val="2"/>
    </font>
    <font>
      <sz val="12"/>
      <color theme="0"/>
      <name val="Wingdings"/>
      <charset val="2"/>
    </font>
    <font>
      <sz val="12"/>
      <name val="Calibri"/>
      <family val="2"/>
      <scheme val="minor"/>
    </font>
    <font>
      <sz val="10"/>
      <color rgb="FFFF0000"/>
      <name val="Century Gothic"/>
      <family val="2"/>
    </font>
    <font>
      <sz val="10"/>
      <name val="Century Gothic"/>
      <family val="2"/>
    </font>
    <font>
      <b/>
      <sz val="12"/>
      <name val="Century Gothic"/>
      <family val="2"/>
    </font>
    <font>
      <b/>
      <sz val="11"/>
      <name val="Century Gothic"/>
      <family val="2"/>
    </font>
    <font>
      <sz val="11"/>
      <name val="Century Gothic"/>
      <family val="2"/>
    </font>
    <font>
      <b/>
      <sz val="10"/>
      <name val="Century Gothic"/>
      <family val="2"/>
    </font>
    <font>
      <sz val="10"/>
      <color theme="0"/>
      <name val="Bookshelf Symbol 7"/>
      <charset val="2"/>
    </font>
    <font>
      <b/>
      <sz val="8"/>
      <name val="Century Gothic"/>
      <family val="2"/>
    </font>
    <font>
      <b/>
      <sz val="9"/>
      <name val="Century Gothic"/>
      <family val="2"/>
    </font>
    <font>
      <sz val="8"/>
      <name val="Century Gothic"/>
      <family val="2"/>
    </font>
    <font>
      <sz val="10"/>
      <name val="Courier"/>
    </font>
    <font>
      <sz val="10"/>
      <color theme="0"/>
      <name val="Century Gothic"/>
      <family val="2"/>
    </font>
    <font>
      <sz val="10"/>
      <name val="Century Gothic"/>
      <family val="2"/>
    </font>
    <font>
      <b/>
      <sz val="11"/>
      <name val="Century Gothic"/>
      <family val="2"/>
    </font>
    <font>
      <b/>
      <sz val="12"/>
      <name val="Century Gothic"/>
      <family val="2"/>
    </font>
    <font>
      <b/>
      <sz val="10"/>
      <name val="Century Gothic"/>
      <family val="2"/>
    </font>
    <font>
      <sz val="10"/>
      <color indexed="53"/>
      <name val="Century Gothic"/>
      <family val="2"/>
    </font>
    <font>
      <sz val="10"/>
      <name val="Courier"/>
    </font>
    <font>
      <b/>
      <sz val="9"/>
      <name val="Century Gothic"/>
      <family val="2"/>
    </font>
    <font>
      <b/>
      <sz val="10"/>
      <color indexed="53"/>
      <name val="Century Gothic"/>
      <family val="2"/>
    </font>
    <font>
      <sz val="9"/>
      <name val="Century Gothic"/>
      <family val="2"/>
    </font>
    <font>
      <b/>
      <sz val="11"/>
      <color theme="9" tint="0.59996337778862885"/>
      <name val="Century Gothic"/>
      <family val="2"/>
    </font>
    <font>
      <b/>
      <sz val="9"/>
      <color theme="0" tint="-0.14999847407452621"/>
      <name val="Century Gothic"/>
      <family val="2"/>
    </font>
    <font>
      <b/>
      <sz val="10"/>
      <color theme="0" tint="-0.14999847407452621"/>
      <name val="Century Gothic"/>
      <family val="2"/>
    </font>
    <font>
      <sz val="10"/>
      <color rgb="FFFF0000"/>
      <name val="Bookman Old Style"/>
      <family val="1"/>
    </font>
    <font>
      <b/>
      <sz val="12"/>
      <color theme="0"/>
      <name val="Symbol"/>
      <family val="1"/>
      <charset val="2"/>
    </font>
    <font>
      <sz val="10"/>
      <name val="Century Gothic"/>
      <family val="2"/>
    </font>
    <font>
      <b/>
      <sz val="10"/>
      <name val="Century Gothic"/>
      <family val="2"/>
    </font>
    <font>
      <b/>
      <sz val="12"/>
      <name val="Century Gothic"/>
      <family val="2"/>
    </font>
    <font>
      <sz val="10"/>
      <color theme="0" tint="-0.499984740745262"/>
      <name val="Century Gothic"/>
      <family val="2"/>
    </font>
    <font>
      <sz val="11"/>
      <name val="Century Gothic"/>
      <family val="2"/>
    </font>
    <font>
      <b/>
      <sz val="11"/>
      <name val="Century Gothic"/>
      <family val="2"/>
    </font>
    <font>
      <sz val="10"/>
      <color indexed="53"/>
      <name val="Century Gothic"/>
      <family val="2"/>
    </font>
    <font>
      <sz val="12"/>
      <color rgb="FFC00000"/>
      <name val="Century Gothic"/>
      <family val="2"/>
    </font>
    <font>
      <sz val="11"/>
      <color theme="0"/>
      <name val="Century Gothic"/>
      <family val="2"/>
    </font>
    <font>
      <sz val="10"/>
      <color rgb="FFC00000"/>
      <name val="Century Gothic"/>
      <family val="2"/>
    </font>
    <font>
      <sz val="8"/>
      <name val="Century Gothic"/>
      <family val="2"/>
    </font>
    <font>
      <b/>
      <sz val="10"/>
      <color theme="0"/>
      <name val="Symbol"/>
      <family val="1"/>
      <charset val="2"/>
    </font>
    <font>
      <b/>
      <sz val="10"/>
      <color indexed="53"/>
      <name val="Century Gothic"/>
      <family val="2"/>
    </font>
    <font>
      <sz val="9"/>
      <name val="Century Gothic"/>
      <family val="2"/>
    </font>
    <font>
      <sz val="10"/>
      <color theme="0"/>
      <name val="Symbol"/>
      <family val="1"/>
      <charset val="2"/>
    </font>
    <font>
      <vertAlign val="superscript"/>
      <sz val="10"/>
      <name val="Courier"/>
      <family val="2"/>
    </font>
    <font>
      <sz val="10"/>
      <name val="Courier"/>
      <family val="2"/>
    </font>
    <font>
      <b/>
      <sz val="12"/>
      <name val="Calibri"/>
      <family val="2"/>
      <scheme val="minor"/>
    </font>
    <font>
      <sz val="12"/>
      <name val="Calibri"/>
      <family val="2"/>
      <scheme val="minor"/>
    </font>
    <font>
      <b/>
      <sz val="12"/>
      <name val="Verdana"/>
      <family val="2"/>
    </font>
    <font>
      <sz val="11"/>
      <name val="Century Gothic"/>
      <family val="2"/>
    </font>
    <font>
      <b/>
      <sz val="11"/>
      <name val="Century Gothic"/>
      <family val="2"/>
    </font>
    <font>
      <b/>
      <sz val="10"/>
      <name val="Century Gothic"/>
      <family val="2"/>
    </font>
    <font>
      <sz val="10"/>
      <name val="Courier"/>
    </font>
    <font>
      <sz val="10"/>
      <name val="Century Gothic"/>
      <family val="2"/>
    </font>
    <font>
      <b/>
      <sz val="10"/>
      <color rgb="FF5F5F5F"/>
      <name val="Century Gothic"/>
      <family val="2"/>
    </font>
    <font>
      <b/>
      <sz val="11"/>
      <color rgb="FF5F5F5F"/>
      <name val="Century Gothic"/>
      <family val="2"/>
    </font>
    <font>
      <sz val="11"/>
      <name val="Calibri"/>
      <family val="2"/>
      <scheme val="minor"/>
    </font>
    <font>
      <b/>
      <sz val="10"/>
      <color theme="0"/>
      <name val="Century Gothic"/>
      <family val="2"/>
    </font>
    <font>
      <b/>
      <sz val="11"/>
      <color theme="0"/>
      <name val="Century Gothic"/>
      <family val="2"/>
    </font>
    <font>
      <sz val="14"/>
      <color theme="0"/>
      <name val="Calibri"/>
      <family val="2"/>
      <scheme val="minor"/>
    </font>
    <font>
      <b/>
      <sz val="10"/>
      <color theme="0"/>
      <name val="Calibri"/>
      <family val="2"/>
      <scheme val="minor"/>
    </font>
    <font>
      <b/>
      <sz val="11"/>
      <color theme="0"/>
      <name val="Calibri"/>
      <family val="2"/>
      <scheme val="minor"/>
    </font>
    <font>
      <sz val="12"/>
      <color theme="0"/>
      <name val="Century Gothic"/>
      <family val="2"/>
    </font>
    <font>
      <b/>
      <sz val="18"/>
      <name val="Century Gothic"/>
      <family val="2"/>
    </font>
    <font>
      <sz val="10"/>
      <name val="Calibri"/>
      <family val="2"/>
      <scheme val="minor"/>
    </font>
    <font>
      <sz val="10"/>
      <name val="Arial"/>
      <family val="2"/>
    </font>
    <font>
      <sz val="10"/>
      <color theme="0"/>
      <name val="Calibri"/>
      <family val="2"/>
      <scheme val="minor"/>
    </font>
    <font>
      <sz val="8"/>
      <name val="Century Gothic"/>
      <family val="2"/>
    </font>
    <font>
      <sz val="8"/>
      <name val="Calibri"/>
      <family val="2"/>
      <scheme val="minor"/>
    </font>
    <font>
      <b/>
      <sz val="10"/>
      <name val="Calibri"/>
      <family val="2"/>
      <scheme val="minor"/>
    </font>
    <font>
      <sz val="11"/>
      <color theme="0"/>
      <name val="Century Gothic"/>
      <family val="2"/>
    </font>
    <font>
      <sz val="9"/>
      <name val="Century Gothic"/>
      <family val="2"/>
    </font>
    <font>
      <b/>
      <sz val="12"/>
      <color rgb="FF993300"/>
      <name val="Arial"/>
      <family val="2"/>
    </font>
    <font>
      <sz val="14"/>
      <color theme="1" tint="0.499984740745262"/>
      <name val="Century Gothic"/>
      <family val="2"/>
    </font>
    <font>
      <b/>
      <sz val="14"/>
      <name val="Century Gothic"/>
      <family val="2"/>
    </font>
    <font>
      <sz val="10"/>
      <name val="Century Gothic"/>
      <family val="2"/>
    </font>
    <font>
      <b/>
      <sz val="12"/>
      <name val="Century Gothic"/>
      <family val="2"/>
    </font>
    <font>
      <sz val="11"/>
      <name val="Century Gothic"/>
      <family val="2"/>
    </font>
    <font>
      <sz val="14"/>
      <name val="Century Gothic"/>
      <family val="2"/>
    </font>
    <font>
      <sz val="8"/>
      <name val="Century Gothic"/>
      <family val="2"/>
    </font>
    <font>
      <b/>
      <sz val="11"/>
      <name val="Century Gothic"/>
      <family val="2"/>
    </font>
    <font>
      <b/>
      <sz val="14"/>
      <color theme="0"/>
      <name val="Century Gothic"/>
      <family val="2"/>
    </font>
    <font>
      <sz val="10"/>
      <color theme="0"/>
      <name val="Bookman Old Style"/>
      <family val="1"/>
    </font>
    <font>
      <sz val="10"/>
      <name val="Candara"/>
      <family val="2"/>
    </font>
    <font>
      <i/>
      <sz val="14"/>
      <name val="Candara"/>
      <family val="2"/>
    </font>
    <font>
      <sz val="12"/>
      <color theme="0" tint="-0.499984740745262"/>
      <name val="Century Gothic"/>
      <family val="2"/>
    </font>
    <font>
      <b/>
      <sz val="8"/>
      <color theme="0"/>
      <name val="Century Gothic"/>
      <family val="2"/>
    </font>
    <font>
      <i/>
      <u/>
      <sz val="11"/>
      <color theme="10"/>
      <name val="Arial"/>
      <family val="2"/>
    </font>
    <font>
      <sz val="22"/>
      <name val="Arial Rounded MT Bold"/>
      <family val="2"/>
    </font>
    <font>
      <b/>
      <sz val="18"/>
      <color rgb="FF0070C0"/>
      <name val="Century Gothic"/>
      <family val="2"/>
    </font>
    <font>
      <b/>
      <sz val="9"/>
      <color theme="0"/>
      <name val="Century Gothic"/>
      <family val="2"/>
    </font>
    <font>
      <b/>
      <sz val="10"/>
      <color theme="0" tint="-4.9989318521683403E-2"/>
      <name val="Century Gothic"/>
      <family val="2"/>
    </font>
    <font>
      <b/>
      <sz val="11"/>
      <color theme="0" tint="-4.9989318521683403E-2"/>
      <name val="Century Gothic"/>
      <family val="2"/>
    </font>
    <font>
      <sz val="10"/>
      <color theme="0" tint="-4.9989318521683403E-2"/>
      <name val="Century Gothic"/>
      <family val="2"/>
    </font>
    <font>
      <b/>
      <sz val="12"/>
      <color theme="9" tint="0.79998168889431442"/>
      <name val="Century Gothic"/>
      <family val="2"/>
    </font>
    <font>
      <b/>
      <sz val="10"/>
      <color theme="9" tint="0.79998168889431442"/>
      <name val="Century Gothic"/>
      <family val="2"/>
    </font>
    <font>
      <b/>
      <sz val="11"/>
      <color theme="9" tint="0.79998168889431442"/>
      <name val="Century Gothic"/>
      <family val="2"/>
    </font>
    <font>
      <sz val="10"/>
      <color theme="9" tint="0.79998168889431442"/>
      <name val="Century Gothic"/>
      <family val="2"/>
    </font>
    <font>
      <sz val="12"/>
      <color theme="9" tint="0.79998168889431442"/>
      <name val="Century Gothic"/>
      <family val="2"/>
    </font>
    <font>
      <b/>
      <sz val="8"/>
      <color theme="9" tint="0.79998168889431442"/>
      <name val="Century Gothic"/>
      <family val="2"/>
    </font>
    <font>
      <b/>
      <sz val="14"/>
      <color theme="9" tint="0.79998168889431442"/>
      <name val="Century Gothic"/>
      <family val="2"/>
    </font>
    <font>
      <sz val="10"/>
      <color rgb="FFFFFFCC"/>
      <name val="Century Gothic"/>
      <family val="2"/>
    </font>
    <font>
      <b/>
      <sz val="10"/>
      <color rgb="FFFFFFCC"/>
      <name val="Century Gothic"/>
      <family val="2"/>
    </font>
    <font>
      <b/>
      <i/>
      <sz val="10"/>
      <color rgb="FFFFFFCC"/>
      <name val="Candara"/>
      <family val="2"/>
    </font>
    <font>
      <b/>
      <sz val="9"/>
      <color theme="0" tint="-4.9989318521683403E-2"/>
      <name val="Century Gothic"/>
      <family val="2"/>
    </font>
    <font>
      <sz val="8"/>
      <color theme="0" tint="-4.9989318521683403E-2"/>
      <name val="Century Gothic"/>
      <family val="2"/>
    </font>
    <font>
      <sz val="11"/>
      <color theme="0" tint="-4.9989318521683403E-2"/>
      <name val="Century Gothic"/>
      <family val="2"/>
    </font>
    <font>
      <sz val="9"/>
      <color theme="0" tint="-4.9989318521683403E-2"/>
      <name val="Century Gothic"/>
      <family val="2"/>
    </font>
    <font>
      <b/>
      <sz val="11"/>
      <color rgb="FFFFFFCC"/>
      <name val="Century Gothic"/>
      <family val="2"/>
    </font>
    <font>
      <b/>
      <i/>
      <sz val="12"/>
      <color rgb="FFFFFFCC"/>
      <name val="Candara"/>
      <family val="2"/>
    </font>
    <font>
      <b/>
      <i/>
      <sz val="14"/>
      <color rgb="FFFFFFCC"/>
      <name val="Candara"/>
      <family val="2"/>
    </font>
    <font>
      <sz val="11"/>
      <color rgb="FFFFFFCC"/>
      <name val="Century Gothic"/>
      <family val="2"/>
    </font>
    <font>
      <sz val="10"/>
      <color rgb="FFFFFFCC"/>
      <name val="Verdana"/>
      <family val="2"/>
    </font>
    <font>
      <sz val="9"/>
      <name val="Candara"/>
      <family val="2"/>
    </font>
    <font>
      <sz val="15"/>
      <name val="Century Gothic"/>
      <family val="2"/>
    </font>
    <font>
      <sz val="10"/>
      <color rgb="FF0070C0"/>
      <name val="Courier"/>
    </font>
    <font>
      <sz val="10"/>
      <color theme="0"/>
      <name val="Courier"/>
    </font>
    <font>
      <sz val="10"/>
      <color theme="0"/>
      <name val="Arial"/>
      <family val="2"/>
    </font>
    <font>
      <b/>
      <i/>
      <u/>
      <sz val="16"/>
      <color rgb="FF993300"/>
      <name val="Century Gothic"/>
      <family val="2"/>
    </font>
    <font>
      <b/>
      <i/>
      <sz val="10"/>
      <color theme="0"/>
      <name val="Century Gothic"/>
      <family val="2"/>
    </font>
    <font>
      <b/>
      <i/>
      <sz val="11"/>
      <color theme="0"/>
      <name val="Candara"/>
      <family val="2"/>
    </font>
    <font>
      <b/>
      <i/>
      <sz val="10"/>
      <color theme="0"/>
      <name val="Candara"/>
      <family val="2"/>
    </font>
    <font>
      <b/>
      <i/>
      <sz val="14"/>
      <color theme="0"/>
      <name val="Candara"/>
      <family val="2"/>
    </font>
    <font>
      <b/>
      <i/>
      <sz val="9"/>
      <color theme="0"/>
      <name val="Candara"/>
      <family val="2"/>
    </font>
    <font>
      <b/>
      <i/>
      <sz val="12"/>
      <color theme="9" tint="0.79998168889431442"/>
      <name val="Candara"/>
      <family val="2"/>
    </font>
    <font>
      <b/>
      <sz val="14"/>
      <color theme="2" tint="-0.499984740745262"/>
      <name val="Century Gothic"/>
      <family val="2"/>
    </font>
    <font>
      <b/>
      <sz val="14"/>
      <color theme="1"/>
      <name val="Calibri"/>
      <family val="2"/>
      <scheme val="minor"/>
    </font>
    <font>
      <sz val="12"/>
      <color theme="1"/>
      <name val="Calibri"/>
      <family val="2"/>
      <scheme val="minor"/>
    </font>
    <font>
      <sz val="10"/>
      <color theme="1"/>
      <name val="Arial"/>
      <family val="2"/>
    </font>
    <font>
      <sz val="10"/>
      <name val="Spartan MB Med"/>
      <family val="3"/>
    </font>
    <font>
      <sz val="12"/>
      <name val="Spartan MB Med"/>
      <family val="3"/>
    </font>
    <font>
      <sz val="12"/>
      <color theme="0"/>
      <name val="Spartan MB Med"/>
      <family val="3"/>
    </font>
    <font>
      <sz val="14"/>
      <name val="Spartan MB Med"/>
      <family val="3"/>
    </font>
    <font>
      <b/>
      <sz val="14"/>
      <name val="Spartan MB Med"/>
      <family val="3"/>
    </font>
    <font>
      <sz val="11"/>
      <name val="Spartan MB Med"/>
      <family val="3"/>
    </font>
    <font>
      <sz val="10"/>
      <color theme="1"/>
      <name val="Spartan MB Med"/>
      <family val="3"/>
    </font>
    <font>
      <b/>
      <sz val="14"/>
      <color theme="1"/>
      <name val="Spartan MB Med"/>
      <family val="3"/>
    </font>
    <font>
      <sz val="11"/>
      <name val="Speak Pro"/>
      <family val="2"/>
    </font>
    <font>
      <b/>
      <sz val="10"/>
      <color indexed="10"/>
      <name val="Spartan MB Med"/>
      <family val="3"/>
    </font>
    <font>
      <sz val="11"/>
      <color theme="1"/>
      <name val="Spartan MB Med"/>
      <family val="3"/>
    </font>
    <font>
      <b/>
      <sz val="11"/>
      <color theme="0"/>
      <name val="Spartan MB Med"/>
      <family val="3"/>
    </font>
    <font>
      <b/>
      <sz val="10"/>
      <color theme="0"/>
      <name val="Spartan MB Med"/>
      <family val="3"/>
    </font>
    <font>
      <sz val="12"/>
      <name val="Spartan MB Med"/>
      <family val="3"/>
    </font>
    <font>
      <b/>
      <sz val="12"/>
      <name val="Spartan MB Med"/>
      <family val="3"/>
    </font>
    <font>
      <sz val="11"/>
      <name val="Spartan MB Med"/>
      <family val="3"/>
    </font>
    <font>
      <b/>
      <sz val="11"/>
      <name val="Spartan MB Med"/>
      <family val="3"/>
    </font>
    <font>
      <sz val="14"/>
      <name val="Spartan MB Med"/>
      <family val="3"/>
    </font>
    <font>
      <b/>
      <sz val="14"/>
      <name val="Spartan MB Med"/>
      <family val="3"/>
    </font>
    <font>
      <b/>
      <sz val="10"/>
      <name val="Spartan MB Med"/>
      <family val="3"/>
    </font>
    <font>
      <b/>
      <sz val="14"/>
      <color theme="1"/>
      <name val="Spartan MB Med"/>
      <family val="3"/>
    </font>
    <font>
      <sz val="12"/>
      <color theme="1"/>
      <name val="Spartan MB Med"/>
      <family val="3"/>
    </font>
    <font>
      <b/>
      <sz val="12"/>
      <color theme="1"/>
      <name val="Spartan MB Med"/>
      <family val="3"/>
    </font>
    <font>
      <sz val="10"/>
      <color theme="1"/>
      <name val="Spartan MB Med"/>
      <family val="3"/>
    </font>
    <font>
      <sz val="11"/>
      <color theme="1"/>
      <name val="Spartan MB Med"/>
      <family val="3"/>
    </font>
    <font>
      <b/>
      <sz val="12"/>
      <color rgb="FF6D6D6D"/>
      <name val="Spartan MB Med"/>
      <family val="3"/>
    </font>
    <font>
      <b/>
      <sz val="12"/>
      <color theme="0"/>
      <name val="Spartan MB Med"/>
      <family val="3"/>
    </font>
    <font>
      <b/>
      <vertAlign val="superscript"/>
      <sz val="9.9"/>
      <color theme="0"/>
      <name val="Spartan MB Med"/>
      <family val="3"/>
    </font>
    <font>
      <b/>
      <sz val="14"/>
      <color theme="0"/>
      <name val="Spartan MB Med"/>
      <family val="3"/>
    </font>
    <font>
      <sz val="12"/>
      <color rgb="FF5F5F5F"/>
      <name val="Spartan MB Med"/>
      <family val="3"/>
    </font>
    <font>
      <b/>
      <sz val="12"/>
      <color rgb="FF5F5F5F"/>
      <name val="Spartan MB Med"/>
      <family val="3"/>
    </font>
    <font>
      <b/>
      <sz val="14"/>
      <color rgb="FF6D6D6D"/>
      <name val="Spartan MB Med"/>
      <family val="3"/>
    </font>
  </fonts>
  <fills count="38">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51"/>
        <bgColor indexed="64"/>
      </patternFill>
    </fill>
    <fill>
      <patternFill patternType="solid">
        <fgColor indexed="4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0.249977111117893"/>
        <bgColor indexed="64"/>
      </patternFill>
    </fill>
    <fill>
      <patternFill patternType="solid">
        <fgColor theme="0" tint="-0.24994659260841701"/>
        <bgColor indexed="64"/>
      </patternFill>
    </fill>
    <fill>
      <patternFill patternType="solid">
        <fgColor theme="3" tint="0.39997558519241921"/>
        <bgColor indexed="64"/>
      </patternFill>
    </fill>
    <fill>
      <patternFill patternType="solid">
        <fgColor rgb="FFFFC000"/>
        <bgColor indexed="64"/>
      </patternFill>
    </fill>
    <fill>
      <patternFill patternType="solid">
        <fgColor rgb="FFDBDAA2"/>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rgb="FFFFFFCC"/>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DADFFE"/>
        <bgColor indexed="64"/>
      </patternFill>
    </fill>
    <fill>
      <patternFill patternType="solid">
        <fgColor rgb="FFFBFFD7"/>
        <bgColor indexed="64"/>
      </patternFill>
    </fill>
    <fill>
      <patternFill patternType="solid">
        <fgColor theme="2" tint="-9.9978637043366805E-2"/>
        <bgColor indexed="64"/>
      </patternFill>
    </fill>
    <fill>
      <patternFill patternType="solid">
        <fgColor rgb="FFC00000"/>
        <bgColor indexed="64"/>
      </patternFill>
    </fill>
    <fill>
      <patternFill patternType="solid">
        <fgColor theme="4" tint="-0.249977111117893"/>
        <bgColor indexed="64"/>
      </patternFill>
    </fill>
    <fill>
      <patternFill patternType="solid">
        <fgColor rgb="FFFFFF99"/>
        <bgColor indexed="64"/>
      </patternFill>
    </fill>
    <fill>
      <gradientFill degree="90">
        <stop position="0">
          <color rgb="FFC00000"/>
        </stop>
        <stop position="1">
          <color rgb="FFFFFF99"/>
        </stop>
      </gradientFill>
    </fill>
    <fill>
      <patternFill patternType="solid">
        <fgColor theme="4" tint="0.79998168889431442"/>
        <bgColor indexed="64"/>
      </patternFill>
    </fill>
    <fill>
      <patternFill patternType="solid">
        <fgColor rgb="FF0070C0"/>
        <bgColor indexed="64"/>
      </patternFill>
    </fill>
    <fill>
      <patternFill patternType="solid">
        <fgColor rgb="FFC00000"/>
        <bgColor auto="1"/>
      </patternFill>
    </fill>
    <fill>
      <patternFill patternType="solid">
        <fgColor rgb="FFFFFF00"/>
        <bgColor indexed="64"/>
      </patternFill>
    </fill>
    <fill>
      <patternFill patternType="solid">
        <fgColor rgb="FFEF9C35"/>
        <bgColor indexed="64"/>
      </patternFill>
    </fill>
    <fill>
      <patternFill patternType="solid">
        <fgColor rgb="FFFBD626"/>
        <bgColor indexed="64"/>
      </patternFill>
    </fill>
  </fills>
  <borders count="1261">
    <border>
      <left/>
      <right/>
      <top/>
      <bottom/>
      <diagonal/>
    </border>
    <border>
      <left style="thick">
        <color indexed="64"/>
      </left>
      <right/>
      <top style="thick">
        <color indexed="64"/>
      </top>
      <bottom style="thick">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medium">
        <color indexed="64"/>
      </bottom>
      <diagonal/>
    </border>
    <border>
      <left/>
      <right/>
      <top style="hair">
        <color indexed="64"/>
      </top>
      <bottom style="hair">
        <color indexed="64"/>
      </bottom>
      <diagonal/>
    </border>
    <border>
      <left style="medium">
        <color indexed="16"/>
      </left>
      <right style="medium">
        <color indexed="16"/>
      </right>
      <top/>
      <bottom/>
      <diagonal/>
    </border>
    <border>
      <left/>
      <right/>
      <top style="medium">
        <color theme="8" tint="-0.24994659260841701"/>
      </top>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dotted">
        <color auto="1"/>
      </bottom>
      <diagonal/>
    </border>
    <border>
      <left style="medium">
        <color auto="1"/>
      </left>
      <right style="medium">
        <color auto="1"/>
      </right>
      <top/>
      <bottom style="dotted">
        <color auto="1"/>
      </bottom>
      <diagonal/>
    </border>
    <border>
      <left/>
      <right style="medium">
        <color indexed="64"/>
      </right>
      <top/>
      <bottom style="hair">
        <color indexed="64"/>
      </bottom>
      <diagonal/>
    </border>
    <border>
      <left style="medium">
        <color auto="1"/>
      </left>
      <right style="thin">
        <color auto="1"/>
      </right>
      <top/>
      <bottom style="dotted">
        <color auto="1"/>
      </bottom>
      <diagonal/>
    </border>
    <border>
      <left style="thin">
        <color auto="1"/>
      </left>
      <right style="medium">
        <color auto="1"/>
      </right>
      <top/>
      <bottom style="dotted">
        <color auto="1"/>
      </bottom>
      <diagonal/>
    </border>
    <border>
      <left style="medium">
        <color auto="1"/>
      </left>
      <right style="medium">
        <color auto="1"/>
      </right>
      <top style="thin">
        <color auto="1"/>
      </top>
      <bottom style="dotted">
        <color auto="1"/>
      </bottom>
      <diagonal/>
    </border>
    <border>
      <left style="medium">
        <color auto="1"/>
      </left>
      <right style="medium">
        <color auto="1"/>
      </right>
      <top style="dotted">
        <color auto="1"/>
      </top>
      <bottom style="dotted">
        <color auto="1"/>
      </bottom>
      <diagonal/>
    </border>
    <border>
      <left/>
      <right style="medium">
        <color auto="1"/>
      </right>
      <top style="hair">
        <color indexed="64"/>
      </top>
      <bottom style="hair">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medium">
        <color auto="1"/>
      </right>
      <top style="dotted">
        <color auto="1"/>
      </top>
      <bottom style="medium">
        <color auto="1"/>
      </bottom>
      <diagonal/>
    </border>
    <border>
      <left style="medium">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thin">
        <color indexed="54"/>
      </left>
      <right/>
      <top style="thin">
        <color indexed="54"/>
      </top>
      <bottom style="double">
        <color indexed="54"/>
      </bottom>
      <diagonal/>
    </border>
    <border>
      <left style="medium">
        <color indexed="23"/>
      </left>
      <right style="thin">
        <color indexed="23"/>
      </right>
      <top style="medium">
        <color indexed="23"/>
      </top>
      <bottom style="double">
        <color indexed="23"/>
      </bottom>
      <diagonal/>
    </border>
    <border>
      <left style="thin">
        <color indexed="23"/>
      </left>
      <right style="thin">
        <color indexed="23"/>
      </right>
      <top style="medium">
        <color indexed="23"/>
      </top>
      <bottom style="double">
        <color indexed="23"/>
      </bottom>
      <diagonal/>
    </border>
    <border>
      <left/>
      <right style="thin">
        <color indexed="23"/>
      </right>
      <top style="medium">
        <color indexed="23"/>
      </top>
      <bottom style="double">
        <color indexed="23"/>
      </bottom>
      <diagonal/>
    </border>
    <border>
      <left style="thin">
        <color indexed="23"/>
      </left>
      <right style="medium">
        <color indexed="23"/>
      </right>
      <top style="medium">
        <color indexed="23"/>
      </top>
      <bottom style="double">
        <color indexed="23"/>
      </bottom>
      <diagonal/>
    </border>
    <border>
      <left style="medium">
        <color indexed="23"/>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medium">
        <color theme="6" tint="-0.499984740745262"/>
      </left>
      <right style="dashed">
        <color theme="6" tint="-0.499984740745262"/>
      </right>
      <top style="medium">
        <color theme="6" tint="-0.499984740745262"/>
      </top>
      <bottom/>
      <diagonal/>
    </border>
    <border>
      <left style="dashed">
        <color theme="6" tint="-0.499984740745262"/>
      </left>
      <right style="dashed">
        <color theme="6" tint="-0.499984740745262"/>
      </right>
      <top style="medium">
        <color theme="6" tint="-0.499984740745262"/>
      </top>
      <bottom/>
      <diagonal/>
    </border>
    <border>
      <left style="dashed">
        <color theme="6" tint="-0.499984740745262"/>
      </left>
      <right style="dashed">
        <color theme="6" tint="-0.499984740745262"/>
      </right>
      <top style="medium">
        <color theme="6" tint="-0.499984740745262"/>
      </top>
      <bottom style="double">
        <color theme="3" tint="-0.24994659260841701"/>
      </bottom>
      <diagonal/>
    </border>
    <border>
      <left style="medium">
        <color theme="6" tint="-0.499984740745262"/>
      </left>
      <right style="dashed">
        <color theme="6" tint="-0.499984740745262"/>
      </right>
      <top style="double">
        <color theme="3" tint="-0.24994659260841701"/>
      </top>
      <bottom style="hair">
        <color theme="3" tint="-0.499984740745262"/>
      </bottom>
      <diagonal/>
    </border>
    <border>
      <left style="dashed">
        <color theme="6" tint="-0.499984740745262"/>
      </left>
      <right style="dashed">
        <color theme="6" tint="-0.499984740745262"/>
      </right>
      <top style="double">
        <color theme="3" tint="-0.24994659260841701"/>
      </top>
      <bottom style="hair">
        <color theme="3" tint="-0.499984740745262"/>
      </bottom>
      <diagonal/>
    </border>
    <border>
      <left style="dashed">
        <color theme="6" tint="-0.499984740745262"/>
      </left>
      <right style="medium">
        <color theme="6" tint="-0.499984740745262"/>
      </right>
      <top style="double">
        <color theme="3" tint="-0.24994659260841701"/>
      </top>
      <bottom style="hair">
        <color theme="3" tint="-0.499984740745262"/>
      </bottom>
      <diagonal/>
    </border>
    <border>
      <left style="medium">
        <color theme="6" tint="-0.499984740745262"/>
      </left>
      <right style="dashed">
        <color theme="6" tint="-0.499984740745262"/>
      </right>
      <top style="hair">
        <color theme="3" tint="-0.499984740745262"/>
      </top>
      <bottom style="hair">
        <color theme="3" tint="-0.499984740745262"/>
      </bottom>
      <diagonal/>
    </border>
    <border>
      <left style="dashed">
        <color theme="6" tint="-0.499984740745262"/>
      </left>
      <right style="dashed">
        <color theme="6" tint="-0.499984740745262"/>
      </right>
      <top style="hair">
        <color theme="3" tint="-0.499984740745262"/>
      </top>
      <bottom style="hair">
        <color theme="3" tint="-0.499984740745262"/>
      </bottom>
      <diagonal/>
    </border>
    <border>
      <left style="dashed">
        <color theme="6" tint="-0.499984740745262"/>
      </left>
      <right style="medium">
        <color theme="6" tint="-0.499984740745262"/>
      </right>
      <top style="hair">
        <color theme="3" tint="-0.499984740745262"/>
      </top>
      <bottom style="hair">
        <color theme="3" tint="-0.499984740745262"/>
      </bottom>
      <diagonal/>
    </border>
    <border>
      <left style="medium">
        <color theme="6" tint="-0.499984740745262"/>
      </left>
      <right style="dashed">
        <color theme="6" tint="-0.499984740745262"/>
      </right>
      <top style="hair">
        <color theme="3" tint="-0.499984740745262"/>
      </top>
      <bottom style="medium">
        <color theme="6" tint="-0.499984740745262"/>
      </bottom>
      <diagonal/>
    </border>
    <border>
      <left style="dashed">
        <color theme="6" tint="-0.499984740745262"/>
      </left>
      <right style="dashed">
        <color theme="6" tint="-0.499984740745262"/>
      </right>
      <top style="hair">
        <color theme="3" tint="-0.499984740745262"/>
      </top>
      <bottom style="medium">
        <color theme="6" tint="-0.499984740745262"/>
      </bottom>
      <diagonal/>
    </border>
    <border>
      <left style="dashed">
        <color theme="6" tint="-0.499984740745262"/>
      </left>
      <right style="medium">
        <color theme="6" tint="-0.499984740745262"/>
      </right>
      <top style="hair">
        <color theme="3" tint="-0.499984740745262"/>
      </top>
      <bottom style="medium">
        <color theme="6" tint="-0.499984740745262"/>
      </bottom>
      <diagonal/>
    </border>
    <border>
      <left style="dashed">
        <color theme="6" tint="-0.499984740745262"/>
      </left>
      <right style="medium">
        <color theme="6" tint="-0.499984740745262"/>
      </right>
      <top style="medium">
        <color theme="6" tint="-0.499984740745262"/>
      </top>
      <bottom style="double">
        <color theme="3" tint="-0.24994659260841701"/>
      </bottom>
      <diagonal/>
    </border>
    <border>
      <left style="medium">
        <color theme="6" tint="-0.499984740745262"/>
      </left>
      <right/>
      <top style="hair">
        <color theme="6" tint="-0.499984740745262"/>
      </top>
      <bottom style="medium">
        <color theme="6" tint="-0.499984740745262"/>
      </bottom>
      <diagonal/>
    </border>
    <border>
      <left/>
      <right/>
      <top style="hair">
        <color theme="6" tint="-0.499984740745262"/>
      </top>
      <bottom style="medium">
        <color theme="6" tint="-0.499984740745262"/>
      </bottom>
      <diagonal/>
    </border>
    <border>
      <left/>
      <right style="medium">
        <color theme="6" tint="-0.499984740745262"/>
      </right>
      <top style="hair">
        <color theme="6" tint="-0.499984740745262"/>
      </top>
      <bottom style="medium">
        <color theme="6" tint="-0.499984740745262"/>
      </bottom>
      <diagonal/>
    </border>
    <border>
      <left style="medium">
        <color theme="6" tint="-0.499984740745262"/>
      </left>
      <right/>
      <top style="medium">
        <color theme="6" tint="-0.499984740745262"/>
      </top>
      <bottom/>
      <diagonal/>
    </border>
    <border>
      <left/>
      <right/>
      <top style="medium">
        <color theme="6" tint="-0.499984740745262"/>
      </top>
      <bottom/>
      <diagonal/>
    </border>
    <border>
      <left style="medium">
        <color theme="6" tint="-0.499984740745262"/>
      </left>
      <right/>
      <top/>
      <bottom/>
      <diagonal/>
    </border>
    <border>
      <left style="hair">
        <color theme="9" tint="-0.499984740745262"/>
      </left>
      <right style="hair">
        <color theme="9" tint="-0.499984740745262"/>
      </right>
      <top style="hair">
        <color theme="9" tint="-0.499984740745262"/>
      </top>
      <bottom style="hair">
        <color theme="9" tint="-0.499984740745262"/>
      </bottom>
      <diagonal/>
    </border>
    <border>
      <left/>
      <right style="hair">
        <color theme="9" tint="-0.499984740745262"/>
      </right>
      <top style="hair">
        <color theme="9" tint="-0.499984740745262"/>
      </top>
      <bottom style="hair">
        <color theme="9" tint="-0.499984740745262"/>
      </bottom>
      <diagonal/>
    </border>
    <border>
      <left style="hair">
        <color indexed="53"/>
      </left>
      <right style="medium">
        <color indexed="16"/>
      </right>
      <top/>
      <bottom style="hair">
        <color indexed="53"/>
      </bottom>
      <diagonal/>
    </border>
    <border>
      <left style="hair">
        <color indexed="53"/>
      </left>
      <right style="medium">
        <color indexed="16"/>
      </right>
      <top style="hair">
        <color indexed="53"/>
      </top>
      <bottom style="hair">
        <color indexed="53"/>
      </bottom>
      <diagonal/>
    </border>
    <border>
      <left style="hair">
        <color theme="9" tint="-0.499984740745262"/>
      </left>
      <right style="hair">
        <color theme="9" tint="-0.499984740745262"/>
      </right>
      <top style="hair">
        <color theme="9" tint="-0.499984740745262"/>
      </top>
      <bottom/>
      <diagonal/>
    </border>
    <border>
      <left style="hair">
        <color theme="9" tint="-0.499984740745262"/>
      </left>
      <right/>
      <top style="hair">
        <color theme="9" tint="-0.499984740745262"/>
      </top>
      <bottom style="hair">
        <color theme="9" tint="-0.499984740745262"/>
      </bottom>
      <diagonal/>
    </border>
    <border>
      <left/>
      <right/>
      <top style="medium">
        <color indexed="16"/>
      </top>
      <bottom style="thin">
        <color indexed="16"/>
      </bottom>
      <diagonal/>
    </border>
    <border>
      <left/>
      <right/>
      <top style="dotted">
        <color rgb="FF002D56"/>
      </top>
      <bottom style="medium">
        <color indexed="16"/>
      </bottom>
      <diagonal/>
    </border>
    <border>
      <left style="medium">
        <color indexed="16"/>
      </left>
      <right/>
      <top style="medium">
        <color indexed="16"/>
      </top>
      <bottom style="dotted">
        <color rgb="FF002D56"/>
      </bottom>
      <diagonal/>
    </border>
    <border>
      <left/>
      <right/>
      <top style="medium">
        <color indexed="16"/>
      </top>
      <bottom style="dotted">
        <color rgb="FF002D56"/>
      </bottom>
      <diagonal/>
    </border>
    <border>
      <left style="medium">
        <color rgb="FF002D56"/>
      </left>
      <right/>
      <top style="medium">
        <color rgb="FF002D56"/>
      </top>
      <bottom style="hair">
        <color rgb="FF002D56"/>
      </bottom>
      <diagonal/>
    </border>
    <border>
      <left/>
      <right/>
      <top style="medium">
        <color rgb="FF002D56"/>
      </top>
      <bottom style="hair">
        <color rgb="FF002D56"/>
      </bottom>
      <diagonal/>
    </border>
    <border>
      <left/>
      <right style="medium">
        <color rgb="FF002D56"/>
      </right>
      <top style="medium">
        <color rgb="FF002D56"/>
      </top>
      <bottom style="hair">
        <color rgb="FF002D56"/>
      </bottom>
      <diagonal/>
    </border>
    <border>
      <left style="medium">
        <color rgb="FF002D56"/>
      </left>
      <right/>
      <top style="hair">
        <color rgb="FF002D56"/>
      </top>
      <bottom style="hair">
        <color rgb="FF002D56"/>
      </bottom>
      <diagonal/>
    </border>
    <border>
      <left/>
      <right/>
      <top style="hair">
        <color rgb="FF002D56"/>
      </top>
      <bottom style="hair">
        <color rgb="FF002D56"/>
      </bottom>
      <diagonal/>
    </border>
    <border>
      <left/>
      <right style="medium">
        <color rgb="FF002D56"/>
      </right>
      <top style="hair">
        <color rgb="FF002D56"/>
      </top>
      <bottom style="hair">
        <color rgb="FF002D56"/>
      </bottom>
      <diagonal/>
    </border>
    <border>
      <left style="medium">
        <color rgb="FF002D56"/>
      </left>
      <right/>
      <top style="hair">
        <color rgb="FF002D56"/>
      </top>
      <bottom style="medium">
        <color rgb="FF002D56"/>
      </bottom>
      <diagonal/>
    </border>
    <border>
      <left/>
      <right/>
      <top style="hair">
        <color rgb="FF002D56"/>
      </top>
      <bottom style="medium">
        <color rgb="FF002D56"/>
      </bottom>
      <diagonal/>
    </border>
    <border>
      <left/>
      <right style="medium">
        <color rgb="FF002D56"/>
      </right>
      <top style="hair">
        <color rgb="FF002D56"/>
      </top>
      <bottom style="medium">
        <color rgb="FF002D56"/>
      </bottom>
      <diagonal/>
    </border>
    <border>
      <left style="hair">
        <color theme="9" tint="-0.499984740745262"/>
      </left>
      <right style="hair">
        <color theme="9" tint="-0.499984740745262"/>
      </right>
      <top style="thin">
        <color theme="5" tint="-0.24994659260841701"/>
      </top>
      <bottom style="double">
        <color theme="5" tint="-0.24994659260841701"/>
      </bottom>
      <diagonal/>
    </border>
    <border>
      <left style="medium">
        <color theme="9" tint="-0.499984740745262"/>
      </left>
      <right style="hair">
        <color theme="9" tint="-0.499984740745262"/>
      </right>
      <top/>
      <bottom style="hair">
        <color indexed="64"/>
      </bottom>
      <diagonal/>
    </border>
    <border>
      <left style="hair">
        <color theme="9" tint="-0.499984740745262"/>
      </left>
      <right style="hair">
        <color theme="9" tint="-0.499984740745262"/>
      </right>
      <top/>
      <bottom style="hair">
        <color indexed="64"/>
      </bottom>
      <diagonal/>
    </border>
    <border>
      <left style="hair">
        <color theme="9" tint="-0.499984740745262"/>
      </left>
      <right style="medium">
        <color theme="5" tint="-0.24994659260841701"/>
      </right>
      <top/>
      <bottom style="hair">
        <color indexed="64"/>
      </bottom>
      <diagonal/>
    </border>
    <border>
      <left style="hair">
        <color theme="9" tint="-0.499984740745262"/>
      </left>
      <right style="hair">
        <color theme="9" tint="-0.499984740745262"/>
      </right>
      <top style="hair">
        <color indexed="64"/>
      </top>
      <bottom style="hair">
        <color indexed="64"/>
      </bottom>
      <diagonal/>
    </border>
    <border>
      <left style="hair">
        <color theme="9" tint="-0.499984740745262"/>
      </left>
      <right style="medium">
        <color theme="5" tint="-0.24994659260841701"/>
      </right>
      <top style="hair">
        <color indexed="64"/>
      </top>
      <bottom style="hair">
        <color indexed="64"/>
      </bottom>
      <diagonal/>
    </border>
    <border>
      <left style="hair">
        <color theme="9" tint="-0.499984740745262"/>
      </left>
      <right/>
      <top style="thin">
        <color theme="5" tint="-0.24994659260841701"/>
      </top>
      <bottom style="double">
        <color theme="5" tint="-0.24994659260841701"/>
      </bottom>
      <diagonal/>
    </border>
    <border>
      <left style="hair">
        <color theme="9" tint="-0.499984740745262"/>
      </left>
      <right/>
      <top/>
      <bottom style="hair">
        <color indexed="64"/>
      </bottom>
      <diagonal/>
    </border>
    <border>
      <left style="thin">
        <color theme="9" tint="-0.499984740745262"/>
      </left>
      <right style="hair">
        <color theme="9" tint="-0.499984740745262"/>
      </right>
      <top/>
      <bottom style="hair">
        <color indexed="64"/>
      </bottom>
      <diagonal/>
    </border>
    <border>
      <left style="thin">
        <color theme="9" tint="-0.499984740745262"/>
      </left>
      <right style="thin">
        <color theme="9" tint="-0.499984740745262"/>
      </right>
      <top/>
      <bottom style="hair">
        <color auto="1"/>
      </bottom>
      <diagonal/>
    </border>
    <border>
      <left style="thin">
        <color theme="9" tint="-0.499984740745262"/>
      </left>
      <right style="thin">
        <color theme="9" tint="-0.499984740745262"/>
      </right>
      <top style="hair">
        <color auto="1"/>
      </top>
      <bottom style="hair">
        <color auto="1"/>
      </bottom>
      <diagonal/>
    </border>
    <border>
      <left/>
      <right/>
      <top/>
      <bottom style="hair">
        <color indexed="64"/>
      </bottom>
      <diagonal/>
    </border>
    <border>
      <left style="medium">
        <color theme="9" tint="-0.499984740745262"/>
      </left>
      <right style="thin">
        <color theme="9" tint="-0.499984740745262"/>
      </right>
      <top/>
      <bottom style="hair">
        <color indexed="64"/>
      </bottom>
      <diagonal/>
    </border>
    <border>
      <left style="medium">
        <color theme="9" tint="-0.499984740745262"/>
      </left>
      <right style="thin">
        <color theme="9" tint="-0.499984740745262"/>
      </right>
      <top style="hair">
        <color indexed="64"/>
      </top>
      <bottom style="hair">
        <color indexed="64"/>
      </bottom>
      <diagonal/>
    </border>
    <border>
      <left style="thin">
        <color theme="9" tint="-0.499984740745262"/>
      </left>
      <right style="thin">
        <color theme="9" tint="-0.499984740745262"/>
      </right>
      <top style="hair">
        <color theme="3" tint="-0.24994659260841701"/>
      </top>
      <bottom style="hair">
        <color theme="3" tint="-0.24994659260841701"/>
      </bottom>
      <diagonal/>
    </border>
    <border>
      <left style="thin">
        <color theme="9" tint="-0.499984740745262"/>
      </left>
      <right style="medium">
        <color theme="9" tint="-0.499984740745262"/>
      </right>
      <top/>
      <bottom style="hair">
        <color auto="1"/>
      </bottom>
      <diagonal/>
    </border>
    <border>
      <left style="thin">
        <color theme="9" tint="-0.499984740745262"/>
      </left>
      <right style="medium">
        <color theme="9" tint="-0.499984740745262"/>
      </right>
      <top style="hair">
        <color auto="1"/>
      </top>
      <bottom style="hair">
        <color auto="1"/>
      </bottom>
      <diagonal/>
    </border>
    <border>
      <left style="medium">
        <color theme="9" tint="-0.499984740745262"/>
      </left>
      <right style="medium">
        <color theme="9" tint="-0.499984740745262"/>
      </right>
      <top/>
      <bottom style="hair">
        <color auto="1"/>
      </bottom>
      <diagonal/>
    </border>
    <border>
      <left style="medium">
        <color theme="9" tint="-0.499984740745262"/>
      </left>
      <right style="medium">
        <color theme="9" tint="-0.499984740745262"/>
      </right>
      <top style="hair">
        <color auto="1"/>
      </top>
      <bottom style="hair">
        <color auto="1"/>
      </bottom>
      <diagonal/>
    </border>
    <border>
      <left/>
      <right style="double">
        <color theme="9" tint="-0.499984740745262"/>
      </right>
      <top/>
      <bottom style="hair">
        <color auto="1"/>
      </bottom>
      <diagonal/>
    </border>
    <border>
      <left/>
      <right style="double">
        <color theme="9" tint="-0.499984740745262"/>
      </right>
      <top style="hair">
        <color auto="1"/>
      </top>
      <bottom style="hair">
        <color auto="1"/>
      </bottom>
      <diagonal/>
    </border>
    <border>
      <left style="hair">
        <color indexed="64"/>
      </left>
      <right/>
      <top style="hair">
        <color indexed="64"/>
      </top>
      <bottom style="hair">
        <color indexed="64"/>
      </bottom>
      <diagonal/>
    </border>
    <border>
      <left style="hair">
        <color indexed="53"/>
      </left>
      <right style="medium">
        <color indexed="16"/>
      </right>
      <top/>
      <bottom style="hair">
        <color indexed="53"/>
      </bottom>
      <diagonal/>
    </border>
    <border>
      <left style="hair">
        <color theme="9" tint="-0.499984740745262"/>
      </left>
      <right style="hair">
        <color theme="9" tint="-0.499984740745262"/>
      </right>
      <top/>
      <bottom style="hair">
        <color theme="9" tint="-0.499984740745262"/>
      </bottom>
      <diagonal/>
    </border>
    <border>
      <left style="hair">
        <color theme="9" tint="-0.499984740745262"/>
      </left>
      <right style="medium">
        <color indexed="16"/>
      </right>
      <top style="hair">
        <color theme="9" tint="-0.499984740745262"/>
      </top>
      <bottom style="hair">
        <color theme="9" tint="-0.499984740745262"/>
      </bottom>
      <diagonal/>
    </border>
    <border>
      <left style="hair">
        <color theme="9" tint="-0.499984740745262"/>
      </left>
      <right style="medium">
        <color indexed="16"/>
      </right>
      <top style="hair">
        <color theme="9" tint="-0.499984740745262"/>
      </top>
      <bottom/>
      <diagonal/>
    </border>
    <border>
      <left style="hair">
        <color indexed="53"/>
      </left>
      <right style="medium">
        <color indexed="16"/>
      </right>
      <top style="hair">
        <color indexed="53"/>
      </top>
      <bottom style="thin">
        <color indexed="16"/>
      </bottom>
      <diagonal/>
    </border>
    <border>
      <left/>
      <right style="medium">
        <color indexed="16"/>
      </right>
      <top style="thin">
        <color indexed="16"/>
      </top>
      <bottom style="medium">
        <color indexed="16"/>
      </bottom>
      <diagonal/>
    </border>
    <border>
      <left/>
      <right/>
      <top style="thin">
        <color indexed="16"/>
      </top>
      <bottom style="thin">
        <color indexed="16"/>
      </bottom>
      <diagonal/>
    </border>
    <border>
      <left/>
      <right/>
      <top style="thin">
        <color indexed="16"/>
      </top>
      <bottom style="medium">
        <color indexed="16"/>
      </bottom>
      <diagonal/>
    </border>
    <border>
      <left style="hair">
        <color theme="9" tint="-0.499984740745262"/>
      </left>
      <right style="hair">
        <color theme="9" tint="-0.499984740745262"/>
      </right>
      <top style="hair">
        <color theme="9" tint="-0.499984740745262"/>
      </top>
      <bottom style="thin">
        <color indexed="16"/>
      </bottom>
      <diagonal/>
    </border>
    <border>
      <left style="dotted">
        <color indexed="64"/>
      </left>
      <right style="dotted">
        <color indexed="64"/>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dotted">
        <color indexed="64"/>
      </left>
      <right style="dotted">
        <color indexed="64"/>
      </right>
      <top style="hair">
        <color indexed="64"/>
      </top>
      <bottom style="medium">
        <color indexed="64"/>
      </bottom>
      <diagonal/>
    </border>
    <border>
      <left style="dotted">
        <color indexed="64"/>
      </left>
      <right style="medium">
        <color indexed="64"/>
      </right>
      <top style="hair">
        <color indexed="64"/>
      </top>
      <bottom style="medium">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medium">
        <color theme="5" tint="-0.24994659260841701"/>
      </left>
      <right style="hair">
        <color theme="5" tint="-0.24994659260841701"/>
      </right>
      <top/>
      <bottom style="hair">
        <color indexed="64"/>
      </bottom>
      <diagonal/>
    </border>
    <border>
      <left/>
      <right style="hair">
        <color theme="9" tint="-0.499984740745262"/>
      </right>
      <top style="thin">
        <color theme="5" tint="-0.24994659260841701"/>
      </top>
      <bottom style="double">
        <color theme="5" tint="-0.24994659260841701"/>
      </bottom>
      <diagonal/>
    </border>
    <border>
      <left/>
      <right style="hair">
        <color theme="9" tint="-0.499984740745262"/>
      </right>
      <top/>
      <bottom style="hair">
        <color indexed="64"/>
      </bottom>
      <diagonal/>
    </border>
    <border>
      <left style="hair">
        <color theme="9" tint="-0.499984740745262"/>
      </left>
      <right style="thin">
        <color theme="9" tint="-0.499984740745262"/>
      </right>
      <top/>
      <bottom style="hair">
        <color indexed="64"/>
      </bottom>
      <diagonal/>
    </border>
    <border>
      <left style="hair">
        <color theme="9" tint="-0.499984740745262"/>
      </left>
      <right style="thin">
        <color theme="9" tint="-0.499984740745262"/>
      </right>
      <top style="hair">
        <color indexed="64"/>
      </top>
      <bottom style="hair">
        <color indexed="64"/>
      </bottom>
      <diagonal/>
    </border>
    <border>
      <left style="hair">
        <color theme="9" tint="-0.499984740745262"/>
      </left>
      <right/>
      <top style="hair">
        <color indexed="64"/>
      </top>
      <bottom style="hair">
        <color indexed="64"/>
      </bottom>
      <diagonal/>
    </border>
    <border>
      <left/>
      <right style="medium">
        <color indexed="16"/>
      </right>
      <top style="medium">
        <color indexed="16"/>
      </top>
      <bottom style="medium">
        <color indexed="16"/>
      </bottom>
      <diagonal/>
    </border>
    <border>
      <left style="medium">
        <color indexed="64"/>
      </left>
      <right style="dotted">
        <color indexed="64"/>
      </right>
      <top style="medium">
        <color indexed="64"/>
      </top>
      <bottom style="medium">
        <color indexed="64"/>
      </bottom>
      <diagonal/>
    </border>
    <border>
      <left/>
      <right/>
      <top style="medium">
        <color indexed="16"/>
      </top>
      <bottom style="medium">
        <color indexed="16"/>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rgb="FF993300"/>
      </left>
      <right style="thin">
        <color rgb="FF993300"/>
      </right>
      <top style="medium">
        <color rgb="FF993300"/>
      </top>
      <bottom style="double">
        <color rgb="FF993300"/>
      </bottom>
      <diagonal/>
    </border>
    <border>
      <left/>
      <right/>
      <top style="medium">
        <color rgb="FF993300"/>
      </top>
      <bottom style="medium">
        <color rgb="FF993300"/>
      </bottom>
      <diagonal/>
    </border>
    <border>
      <left style="thin">
        <color rgb="FF993300"/>
      </left>
      <right style="medium">
        <color rgb="FF993300"/>
      </right>
      <top style="medium">
        <color rgb="FF993300"/>
      </top>
      <bottom style="double">
        <color rgb="FF993300"/>
      </bottom>
      <diagonal/>
    </border>
    <border>
      <left style="thin">
        <color rgb="FF993300"/>
      </left>
      <right style="thin">
        <color rgb="FF993300"/>
      </right>
      <top style="medium">
        <color rgb="FF993300"/>
      </top>
      <bottom style="double">
        <color rgb="FF993300"/>
      </bottom>
      <diagonal/>
    </border>
    <border>
      <left style="medium">
        <color rgb="FF993300"/>
      </left>
      <right style="thin">
        <color rgb="FF993300"/>
      </right>
      <top style="hair">
        <color rgb="FF993300"/>
      </top>
      <bottom style="hair">
        <color rgb="FF993300"/>
      </bottom>
      <diagonal/>
    </border>
    <border>
      <left style="thin">
        <color rgb="FF993300"/>
      </left>
      <right style="thin">
        <color rgb="FF993300"/>
      </right>
      <top style="hair">
        <color rgb="FF993300"/>
      </top>
      <bottom style="hair">
        <color rgb="FF993300"/>
      </bottom>
      <diagonal/>
    </border>
    <border>
      <left style="thin">
        <color rgb="FF993300"/>
      </left>
      <right style="medium">
        <color rgb="FF993300"/>
      </right>
      <top style="hair">
        <color rgb="FF993300"/>
      </top>
      <bottom style="hair">
        <color rgb="FF993300"/>
      </bottom>
      <diagonal/>
    </border>
    <border>
      <left style="medium">
        <color rgb="FF993300"/>
      </left>
      <right style="thin">
        <color rgb="FF993300"/>
      </right>
      <top/>
      <bottom style="hair">
        <color rgb="FF993300"/>
      </bottom>
      <diagonal/>
    </border>
    <border>
      <left style="thin">
        <color rgb="FF993300"/>
      </left>
      <right style="thin">
        <color rgb="FF993300"/>
      </right>
      <top/>
      <bottom style="hair">
        <color rgb="FF993300"/>
      </bottom>
      <diagonal/>
    </border>
    <border>
      <left style="thin">
        <color rgb="FF993300"/>
      </left>
      <right style="medium">
        <color rgb="FF993300"/>
      </right>
      <top/>
      <bottom style="hair">
        <color rgb="FF993300"/>
      </bottom>
      <diagonal/>
    </border>
    <border>
      <left style="medium">
        <color rgb="FF993300"/>
      </left>
      <right/>
      <top style="medium">
        <color rgb="FF993300"/>
      </top>
      <bottom style="medium">
        <color rgb="FF993300"/>
      </bottom>
      <diagonal/>
    </border>
    <border>
      <left/>
      <right style="medium">
        <color rgb="FF993300"/>
      </right>
      <top style="medium">
        <color rgb="FF993300"/>
      </top>
      <bottom style="medium">
        <color rgb="FF993300"/>
      </bottom>
      <diagonal/>
    </border>
    <border>
      <left style="medium">
        <color rgb="FF993300"/>
      </left>
      <right/>
      <top style="medium">
        <color rgb="FF993300"/>
      </top>
      <bottom style="thin">
        <color indexed="54"/>
      </bottom>
      <diagonal/>
    </border>
    <border>
      <left style="medium">
        <color rgb="FF993300"/>
      </left>
      <right/>
      <top style="hair">
        <color indexed="54"/>
      </top>
      <bottom style="hair">
        <color indexed="54"/>
      </bottom>
      <diagonal/>
    </border>
    <border>
      <left style="medium">
        <color rgb="FF993300"/>
      </left>
      <right/>
      <top style="hair">
        <color indexed="54"/>
      </top>
      <bottom/>
      <diagonal/>
    </border>
    <border>
      <left style="thin">
        <color rgb="FF993300"/>
      </left>
      <right/>
      <top style="medium">
        <color rgb="FF993300"/>
      </top>
      <bottom style="medium">
        <color rgb="FF993300"/>
      </bottom>
      <diagonal/>
    </border>
    <border>
      <left style="medium">
        <color rgb="FF993300"/>
      </left>
      <right/>
      <top style="medium">
        <color rgb="FF993300"/>
      </top>
      <bottom/>
      <diagonal/>
    </border>
    <border>
      <left style="medium">
        <color rgb="FF993300"/>
      </left>
      <right/>
      <top/>
      <bottom style="hair">
        <color indexed="64"/>
      </bottom>
      <diagonal/>
    </border>
    <border>
      <left style="hair">
        <color indexed="64"/>
      </left>
      <right style="hair">
        <color indexed="64"/>
      </right>
      <top style="medium">
        <color rgb="FF993300"/>
      </top>
      <bottom style="thin">
        <color indexed="64"/>
      </bottom>
      <diagonal/>
    </border>
    <border>
      <left style="hair">
        <color indexed="64"/>
      </left>
      <right style="hair">
        <color indexed="64"/>
      </right>
      <top style="hair">
        <color indexed="64"/>
      </top>
      <bottom style="medium">
        <color rgb="FF993300"/>
      </bottom>
      <diagonal/>
    </border>
    <border>
      <left style="medium">
        <color rgb="FF993300"/>
      </left>
      <right/>
      <top style="hair">
        <color indexed="64"/>
      </top>
      <bottom style="hair">
        <color indexed="64"/>
      </bottom>
      <diagonal/>
    </border>
    <border>
      <left style="hair">
        <color rgb="FF993300"/>
      </left>
      <right style="hair">
        <color rgb="FF993300"/>
      </right>
      <top style="hair">
        <color indexed="64"/>
      </top>
      <bottom style="hair">
        <color indexed="64"/>
      </bottom>
      <diagonal/>
    </border>
    <border>
      <left style="medium">
        <color rgb="FF993300"/>
      </left>
      <right style="hair">
        <color rgb="FF993300"/>
      </right>
      <top style="medium">
        <color rgb="FF993300"/>
      </top>
      <bottom style="medium">
        <color rgb="FF993300"/>
      </bottom>
      <diagonal/>
    </border>
    <border>
      <left style="medium">
        <color rgb="FF993300"/>
      </left>
      <right style="hair">
        <color rgb="FF993300"/>
      </right>
      <top style="medium">
        <color rgb="FF993300"/>
      </top>
      <bottom style="double">
        <color rgb="FF993300"/>
      </bottom>
      <diagonal/>
    </border>
    <border>
      <left style="hair">
        <color rgb="FF993300"/>
      </left>
      <right style="hair">
        <color rgb="FF993300"/>
      </right>
      <top style="medium">
        <color rgb="FF993300"/>
      </top>
      <bottom style="double">
        <color rgb="FF993300"/>
      </bottom>
      <diagonal/>
    </border>
    <border>
      <left style="medium">
        <color rgb="FF993300"/>
      </left>
      <right style="hair">
        <color rgb="FF993300"/>
      </right>
      <top/>
      <bottom style="hair">
        <color indexed="17"/>
      </bottom>
      <diagonal/>
    </border>
    <border>
      <left style="hair">
        <color rgb="FF993300"/>
      </left>
      <right style="hair">
        <color rgb="FF993300"/>
      </right>
      <top/>
      <bottom style="hair">
        <color rgb="FF993300"/>
      </bottom>
      <diagonal/>
    </border>
    <border>
      <left style="medium">
        <color rgb="FF993300"/>
      </left>
      <right style="hair">
        <color rgb="FF993300"/>
      </right>
      <top/>
      <bottom style="hair">
        <color indexed="58"/>
      </bottom>
      <diagonal/>
    </border>
    <border>
      <left style="hair">
        <color rgb="FF993300"/>
      </left>
      <right style="hair">
        <color rgb="FF993300"/>
      </right>
      <top style="hair">
        <color rgb="FF993300"/>
      </top>
      <bottom style="hair">
        <color rgb="FF993300"/>
      </bottom>
      <diagonal/>
    </border>
    <border>
      <left style="medium">
        <color rgb="FF993300"/>
      </left>
      <right style="hair">
        <color rgb="FF993300"/>
      </right>
      <top style="hair">
        <color indexed="58"/>
      </top>
      <bottom style="hair">
        <color indexed="58"/>
      </bottom>
      <diagonal/>
    </border>
    <border>
      <left style="medium">
        <color rgb="FF993300"/>
      </left>
      <right style="hair">
        <color rgb="FF993300"/>
      </right>
      <top style="hair">
        <color indexed="58"/>
      </top>
      <bottom/>
      <diagonal/>
    </border>
    <border>
      <left style="hair">
        <color rgb="FF993300"/>
      </left>
      <right style="hair">
        <color rgb="FF993300"/>
      </right>
      <top style="hair">
        <color rgb="FF993300"/>
      </top>
      <bottom style="medium">
        <color rgb="FF993300"/>
      </bottom>
      <diagonal/>
    </border>
    <border>
      <left style="hair">
        <color rgb="FF993300"/>
      </left>
      <right/>
      <top style="medium">
        <color rgb="FF993300"/>
      </top>
      <bottom style="medium">
        <color rgb="FF993300"/>
      </bottom>
      <diagonal/>
    </border>
    <border>
      <left style="hair">
        <color rgb="FF993300"/>
      </left>
      <right/>
      <top style="medium">
        <color rgb="FF993300"/>
      </top>
      <bottom style="double">
        <color rgb="FF993300"/>
      </bottom>
      <diagonal/>
    </border>
    <border>
      <left style="hair">
        <color rgb="FF993300"/>
      </left>
      <right/>
      <top/>
      <bottom style="hair">
        <color indexed="17"/>
      </bottom>
      <diagonal/>
    </border>
    <border>
      <left style="hair">
        <color rgb="FF993300"/>
      </left>
      <right/>
      <top/>
      <bottom style="hair">
        <color indexed="58"/>
      </bottom>
      <diagonal/>
    </border>
    <border>
      <left style="hair">
        <color rgb="FF993300"/>
      </left>
      <right/>
      <top style="hair">
        <color indexed="58"/>
      </top>
      <bottom style="hair">
        <color indexed="58"/>
      </bottom>
      <diagonal/>
    </border>
    <border>
      <left style="hair">
        <color rgb="FF993300"/>
      </left>
      <right/>
      <top style="hair">
        <color indexed="58"/>
      </top>
      <bottom/>
      <diagonal/>
    </border>
    <border>
      <left style="hair">
        <color rgb="FF993300"/>
      </left>
      <right style="medium">
        <color rgb="FF993300"/>
      </right>
      <top style="medium">
        <color rgb="FF993300"/>
      </top>
      <bottom style="medium">
        <color rgb="FF993300"/>
      </bottom>
      <diagonal/>
    </border>
    <border>
      <left style="hair">
        <color rgb="FF993300"/>
      </left>
      <right style="medium">
        <color rgb="FF993300"/>
      </right>
      <top style="medium">
        <color rgb="FF993300"/>
      </top>
      <bottom style="double">
        <color rgb="FF993300"/>
      </bottom>
      <diagonal/>
    </border>
    <border>
      <left style="hair">
        <color rgb="FF993300"/>
      </left>
      <right style="medium">
        <color rgb="FF993300"/>
      </right>
      <top/>
      <bottom style="hair">
        <color indexed="58"/>
      </bottom>
      <diagonal/>
    </border>
    <border>
      <left style="hair">
        <color rgb="FF993300"/>
      </left>
      <right style="medium">
        <color rgb="FF993300"/>
      </right>
      <top style="hair">
        <color indexed="58"/>
      </top>
      <bottom style="hair">
        <color indexed="58"/>
      </bottom>
      <diagonal/>
    </border>
    <border>
      <left style="hair">
        <color rgb="FF993300"/>
      </left>
      <right style="medium">
        <color rgb="FF993300"/>
      </right>
      <top style="hair">
        <color indexed="58"/>
      </top>
      <bottom/>
      <diagonal/>
    </border>
    <border>
      <left/>
      <right/>
      <top style="medium">
        <color rgb="FF993300"/>
      </top>
      <bottom/>
      <diagonal/>
    </border>
    <border>
      <left/>
      <right/>
      <top/>
      <bottom style="medium">
        <color rgb="FF993300"/>
      </bottom>
      <diagonal/>
    </border>
    <border>
      <left style="hair">
        <color rgb="FF993300"/>
      </left>
      <right style="hair">
        <color rgb="FF993300"/>
      </right>
      <top style="medium">
        <color rgb="FF993300"/>
      </top>
      <bottom style="medium">
        <color rgb="FF993300"/>
      </bottom>
      <diagonal/>
    </border>
    <border>
      <left style="hair">
        <color rgb="FF993300"/>
      </left>
      <right style="hair">
        <color rgb="FF993300"/>
      </right>
      <top/>
      <bottom style="hair">
        <color indexed="17"/>
      </bottom>
      <diagonal/>
    </border>
    <border>
      <left style="hair">
        <color rgb="FF993300"/>
      </left>
      <right style="medium">
        <color rgb="FF993300"/>
      </right>
      <top/>
      <bottom style="hair">
        <color rgb="FF993300"/>
      </bottom>
      <diagonal/>
    </border>
    <border>
      <left style="hair">
        <color rgb="FF993300"/>
      </left>
      <right style="hair">
        <color rgb="FF993300"/>
      </right>
      <top/>
      <bottom style="hair">
        <color indexed="58"/>
      </bottom>
      <diagonal/>
    </border>
    <border>
      <left style="hair">
        <color rgb="FF993300"/>
      </left>
      <right style="medium">
        <color rgb="FF993300"/>
      </right>
      <top style="hair">
        <color rgb="FF993300"/>
      </top>
      <bottom style="hair">
        <color rgb="FF993300"/>
      </bottom>
      <diagonal/>
    </border>
    <border>
      <left style="hair">
        <color rgb="FF993300"/>
      </left>
      <right style="hair">
        <color rgb="FF993300"/>
      </right>
      <top style="hair">
        <color indexed="58"/>
      </top>
      <bottom style="hair">
        <color indexed="58"/>
      </bottom>
      <diagonal/>
    </border>
    <border>
      <left style="hair">
        <color rgb="FF993300"/>
      </left>
      <right style="hair">
        <color rgb="FF993300"/>
      </right>
      <top style="hair">
        <color indexed="58"/>
      </top>
      <bottom/>
      <diagonal/>
    </border>
    <border>
      <left style="hair">
        <color rgb="FF993300"/>
      </left>
      <right style="medium">
        <color rgb="FF993300"/>
      </right>
      <top style="hair">
        <color rgb="FF993300"/>
      </top>
      <bottom style="medium">
        <color rgb="FF993300"/>
      </bottom>
      <diagonal/>
    </border>
    <border>
      <left style="hair">
        <color rgb="FF993300"/>
      </left>
      <right style="medium">
        <color rgb="FF993300"/>
      </right>
      <top/>
      <bottom style="hair">
        <color indexed="17"/>
      </bottom>
      <diagonal/>
    </border>
    <border>
      <left style="thin">
        <color rgb="FF993300"/>
      </left>
      <right style="hair">
        <color rgb="FF993300"/>
      </right>
      <top style="medium">
        <color rgb="FF993300"/>
      </top>
      <bottom style="medium">
        <color rgb="FF993300"/>
      </bottom>
      <diagonal/>
    </border>
    <border>
      <left style="thin">
        <color rgb="FF993300"/>
      </left>
      <right style="hair">
        <color rgb="FF993300"/>
      </right>
      <top style="medium">
        <color rgb="FF993300"/>
      </top>
      <bottom style="double">
        <color rgb="FF993300"/>
      </bottom>
      <diagonal/>
    </border>
    <border>
      <left style="thin">
        <color rgb="FF993300"/>
      </left>
      <right style="hair">
        <color rgb="FF993300"/>
      </right>
      <top/>
      <bottom style="hair">
        <color indexed="23"/>
      </bottom>
      <diagonal/>
    </border>
    <border>
      <left style="thin">
        <color rgb="FF993300"/>
      </left>
      <right style="hair">
        <color rgb="FF993300"/>
      </right>
      <top style="hair">
        <color indexed="23"/>
      </top>
      <bottom style="hair">
        <color indexed="23"/>
      </bottom>
      <diagonal/>
    </border>
    <border>
      <left style="thin">
        <color rgb="FF993300"/>
      </left>
      <right style="hair">
        <color rgb="FF993300"/>
      </right>
      <top style="hair">
        <color indexed="23"/>
      </top>
      <bottom/>
      <diagonal/>
    </border>
    <border>
      <left style="thin">
        <color rgb="FF993300"/>
      </left>
      <right style="hair">
        <color rgb="FF993300"/>
      </right>
      <top/>
      <bottom style="hair">
        <color indexed="17"/>
      </bottom>
      <diagonal/>
    </border>
    <border>
      <left style="thin">
        <color rgb="FF993300"/>
      </left>
      <right style="hair">
        <color rgb="FF993300"/>
      </right>
      <top/>
      <bottom style="hair">
        <color indexed="58"/>
      </bottom>
      <diagonal/>
    </border>
    <border>
      <left style="thin">
        <color rgb="FF993300"/>
      </left>
      <right style="hair">
        <color rgb="FF993300"/>
      </right>
      <top style="hair">
        <color indexed="58"/>
      </top>
      <bottom style="hair">
        <color indexed="58"/>
      </bottom>
      <diagonal/>
    </border>
    <border>
      <left style="thin">
        <color rgb="FF993300"/>
      </left>
      <right style="hair">
        <color rgb="FF993300"/>
      </right>
      <top style="hair">
        <color indexed="58"/>
      </top>
      <bottom/>
      <diagonal/>
    </border>
    <border>
      <left/>
      <right/>
      <top style="medium">
        <color rgb="FF993300"/>
      </top>
      <bottom style="thin">
        <color rgb="FF993300"/>
      </bottom>
      <diagonal/>
    </border>
    <border>
      <left/>
      <right style="medium">
        <color rgb="FF993300"/>
      </right>
      <top style="medium">
        <color rgb="FF993300"/>
      </top>
      <bottom style="thin">
        <color rgb="FF993300"/>
      </bottom>
      <diagonal/>
    </border>
    <border>
      <left/>
      <right style="hair">
        <color indexed="53"/>
      </right>
      <top style="thin">
        <color rgb="FF993300"/>
      </top>
      <bottom style="double">
        <color rgb="FF993300"/>
      </bottom>
      <diagonal/>
    </border>
    <border>
      <left style="hair">
        <color indexed="53"/>
      </left>
      <right style="hair">
        <color indexed="53"/>
      </right>
      <top style="thin">
        <color rgb="FF993300"/>
      </top>
      <bottom style="double">
        <color rgb="FF993300"/>
      </bottom>
      <diagonal/>
    </border>
    <border>
      <left style="hair">
        <color indexed="53"/>
      </left>
      <right style="medium">
        <color indexed="53"/>
      </right>
      <top style="thin">
        <color rgb="FF993300"/>
      </top>
      <bottom style="double">
        <color rgb="FF993300"/>
      </bottom>
      <diagonal/>
    </border>
    <border>
      <left style="hair">
        <color indexed="53"/>
      </left>
      <right style="hair">
        <color indexed="53"/>
      </right>
      <top style="medium">
        <color rgb="FF993300"/>
      </top>
      <bottom style="thin">
        <color rgb="FF993300"/>
      </bottom>
      <diagonal/>
    </border>
    <border>
      <left style="hair">
        <color indexed="53"/>
      </left>
      <right style="medium">
        <color indexed="53"/>
      </right>
      <top style="medium">
        <color rgb="FF993300"/>
      </top>
      <bottom style="thin">
        <color rgb="FF993300"/>
      </bottom>
      <diagonal/>
    </border>
    <border>
      <left style="thin">
        <color theme="4" tint="-0.24994659260841701"/>
      </left>
      <right style="thin">
        <color theme="4" tint="-0.24994659260841701"/>
      </right>
      <top style="medium">
        <color theme="9" tint="-0.499984740745262"/>
      </top>
      <bottom style="medium">
        <color rgb="FF993300"/>
      </bottom>
      <diagonal/>
    </border>
    <border>
      <left/>
      <right style="medium">
        <color theme="9" tint="-0.499984740745262"/>
      </right>
      <top style="medium">
        <color theme="9" tint="-0.499984740745262"/>
      </top>
      <bottom style="medium">
        <color rgb="FF993300"/>
      </bottom>
      <diagonal/>
    </border>
    <border>
      <left style="medium">
        <color rgb="FF993300"/>
      </left>
      <right/>
      <top style="medium">
        <color rgb="FF993300"/>
      </top>
      <bottom style="thin">
        <color rgb="FF993300"/>
      </bottom>
      <diagonal/>
    </border>
    <border>
      <left style="thin">
        <color theme="9" tint="-0.499984740745262"/>
      </left>
      <right style="thin">
        <color theme="9" tint="-0.499984740745262"/>
      </right>
      <top style="medium">
        <color rgb="FF993300"/>
      </top>
      <bottom style="thin">
        <color rgb="FF993300"/>
      </bottom>
      <diagonal/>
    </border>
    <border>
      <left style="thin">
        <color theme="9" tint="-0.499984740745262"/>
      </left>
      <right style="medium">
        <color theme="9" tint="-0.499984740745262"/>
      </right>
      <top style="medium">
        <color rgb="FF993300"/>
      </top>
      <bottom style="thin">
        <color rgb="FF993300"/>
      </bottom>
      <diagonal/>
    </border>
    <border>
      <left style="medium">
        <color theme="9" tint="-0.499984740745262"/>
      </left>
      <right style="thin">
        <color theme="9" tint="-0.499984740745262"/>
      </right>
      <top style="medium">
        <color rgb="FF993300"/>
      </top>
      <bottom style="thin">
        <color rgb="FF993300"/>
      </bottom>
      <diagonal/>
    </border>
    <border>
      <left style="thin">
        <color theme="9" tint="-0.499984740745262"/>
      </left>
      <right style="medium">
        <color rgb="FF993300"/>
      </right>
      <top style="medium">
        <color rgb="FF993300"/>
      </top>
      <bottom style="thin">
        <color rgb="FF993300"/>
      </bottom>
      <diagonal/>
    </border>
    <border>
      <left style="medium">
        <color rgb="FF993300"/>
      </left>
      <right/>
      <top style="thin">
        <color rgb="FF993300"/>
      </top>
      <bottom style="thin">
        <color rgb="FF993300"/>
      </bottom>
      <diagonal/>
    </border>
    <border>
      <left style="thin">
        <color theme="9" tint="-0.499984740745262"/>
      </left>
      <right style="thin">
        <color theme="9" tint="-0.499984740745262"/>
      </right>
      <top style="thin">
        <color rgb="FF993300"/>
      </top>
      <bottom style="thin">
        <color rgb="FF993300"/>
      </bottom>
      <diagonal/>
    </border>
    <border>
      <left style="thin">
        <color theme="9" tint="-0.499984740745262"/>
      </left>
      <right style="medium">
        <color theme="9" tint="-0.499984740745262"/>
      </right>
      <top style="thin">
        <color rgb="FF993300"/>
      </top>
      <bottom style="thin">
        <color rgb="FF993300"/>
      </bottom>
      <diagonal/>
    </border>
    <border>
      <left style="medium">
        <color theme="9" tint="-0.499984740745262"/>
      </left>
      <right style="thin">
        <color theme="9" tint="-0.499984740745262"/>
      </right>
      <top style="thin">
        <color rgb="FF993300"/>
      </top>
      <bottom style="thin">
        <color rgb="FF993300"/>
      </bottom>
      <diagonal/>
    </border>
    <border>
      <left style="thin">
        <color theme="9" tint="-0.499984740745262"/>
      </left>
      <right style="medium">
        <color rgb="FF993300"/>
      </right>
      <top style="thin">
        <color rgb="FF993300"/>
      </top>
      <bottom style="thin">
        <color rgb="FF993300"/>
      </bottom>
      <diagonal/>
    </border>
    <border>
      <left style="medium">
        <color rgb="FF993300"/>
      </left>
      <right/>
      <top style="thin">
        <color rgb="FF993300"/>
      </top>
      <bottom style="medium">
        <color rgb="FF993300"/>
      </bottom>
      <diagonal/>
    </border>
    <border>
      <left style="thin">
        <color theme="9" tint="-0.499984740745262"/>
      </left>
      <right style="thin">
        <color theme="9" tint="-0.499984740745262"/>
      </right>
      <top style="thin">
        <color rgb="FF993300"/>
      </top>
      <bottom style="medium">
        <color rgb="FF993300"/>
      </bottom>
      <diagonal/>
    </border>
    <border>
      <left style="thin">
        <color theme="9" tint="-0.499984740745262"/>
      </left>
      <right style="medium">
        <color theme="9" tint="-0.499984740745262"/>
      </right>
      <top style="thin">
        <color rgb="FF993300"/>
      </top>
      <bottom style="medium">
        <color rgb="FF993300"/>
      </bottom>
      <diagonal/>
    </border>
    <border>
      <left style="medium">
        <color theme="9" tint="-0.499984740745262"/>
      </left>
      <right style="thin">
        <color theme="9" tint="-0.499984740745262"/>
      </right>
      <top style="thin">
        <color rgb="FF993300"/>
      </top>
      <bottom style="medium">
        <color rgb="FF993300"/>
      </bottom>
      <diagonal/>
    </border>
    <border>
      <left style="thin">
        <color theme="9" tint="-0.499984740745262"/>
      </left>
      <right style="medium">
        <color rgb="FF993300"/>
      </right>
      <top style="thin">
        <color rgb="FF993300"/>
      </top>
      <bottom style="medium">
        <color rgb="FF993300"/>
      </bottom>
      <diagonal/>
    </border>
    <border>
      <left style="medium">
        <color rgb="FF993300"/>
      </left>
      <right style="thin">
        <color rgb="FF993300"/>
      </right>
      <top style="hair">
        <color rgb="FF993300"/>
      </top>
      <bottom/>
      <diagonal/>
    </border>
    <border>
      <left style="thin">
        <color rgb="FF993300"/>
      </left>
      <right style="thin">
        <color rgb="FF993300"/>
      </right>
      <top style="hair">
        <color rgb="FF993300"/>
      </top>
      <bottom/>
      <diagonal/>
    </border>
    <border>
      <left style="thin">
        <color rgb="FF993300"/>
      </left>
      <right style="medium">
        <color rgb="FF993300"/>
      </right>
      <top style="hair">
        <color rgb="FF993300"/>
      </top>
      <bottom/>
      <diagonal/>
    </border>
    <border>
      <left style="medium">
        <color rgb="FF993300"/>
      </left>
      <right/>
      <top style="medium">
        <color rgb="FF993300"/>
      </top>
      <bottom style="hair">
        <color indexed="54"/>
      </bottom>
      <diagonal/>
    </border>
    <border>
      <left style="medium">
        <color rgb="FF993300"/>
      </left>
      <right style="thin">
        <color rgb="FF993300"/>
      </right>
      <top style="medium">
        <color rgb="FF993300"/>
      </top>
      <bottom style="hair">
        <color rgb="FF993300"/>
      </bottom>
      <diagonal/>
    </border>
    <border>
      <left style="thin">
        <color rgb="FF993300"/>
      </left>
      <right style="thin">
        <color rgb="FF993300"/>
      </right>
      <top style="medium">
        <color rgb="FF993300"/>
      </top>
      <bottom style="hair">
        <color rgb="FF993300"/>
      </bottom>
      <diagonal/>
    </border>
    <border>
      <left style="thin">
        <color rgb="FF993300"/>
      </left>
      <right style="medium">
        <color rgb="FF993300"/>
      </right>
      <top style="medium">
        <color rgb="FF993300"/>
      </top>
      <bottom style="hair">
        <color rgb="FF993300"/>
      </bottom>
      <diagonal/>
    </border>
    <border>
      <left style="hair">
        <color rgb="FF993300"/>
      </left>
      <right style="hair">
        <color rgb="FF993300"/>
      </right>
      <top style="hair">
        <color rgb="FF993300"/>
      </top>
      <bottom/>
      <diagonal/>
    </border>
    <border>
      <left style="hair">
        <color rgb="FF993300"/>
      </left>
      <right style="medium">
        <color rgb="FF993300"/>
      </right>
      <top style="hair">
        <color rgb="FF993300"/>
      </top>
      <bottom/>
      <diagonal/>
    </border>
    <border>
      <left style="medium">
        <color rgb="FF993300"/>
      </left>
      <right style="hair">
        <color rgb="FF993300"/>
      </right>
      <top style="medium">
        <color rgb="FF222E9E"/>
      </top>
      <bottom style="hair">
        <color indexed="58"/>
      </bottom>
      <diagonal/>
    </border>
    <border>
      <left style="hair">
        <color rgb="FF993300"/>
      </left>
      <right style="hair">
        <color rgb="FF993300"/>
      </right>
      <top style="medium">
        <color rgb="FF222E9E"/>
      </top>
      <bottom style="hair">
        <color rgb="FF993300"/>
      </bottom>
      <diagonal/>
    </border>
    <border>
      <left style="hair">
        <color rgb="FF993300"/>
      </left>
      <right/>
      <top style="medium">
        <color rgb="FF222E9E"/>
      </top>
      <bottom style="hair">
        <color indexed="58"/>
      </bottom>
      <diagonal/>
    </border>
    <border>
      <left style="hair">
        <color rgb="FF993300"/>
      </left>
      <right style="medium">
        <color rgb="FF993300"/>
      </right>
      <top style="medium">
        <color rgb="FF222E9E"/>
      </top>
      <bottom style="hair">
        <color indexed="58"/>
      </bottom>
      <diagonal/>
    </border>
    <border>
      <left style="hair">
        <color rgb="FF993300"/>
      </left>
      <right style="hair">
        <color rgb="FF993300"/>
      </right>
      <top style="medium">
        <color rgb="FF222E9E"/>
      </top>
      <bottom style="hair">
        <color indexed="58"/>
      </bottom>
      <diagonal/>
    </border>
    <border>
      <left style="hair">
        <color rgb="FF993300"/>
      </left>
      <right style="medium">
        <color rgb="FF993300"/>
      </right>
      <top style="medium">
        <color rgb="FF222E9E"/>
      </top>
      <bottom style="hair">
        <color rgb="FF993300"/>
      </bottom>
      <diagonal/>
    </border>
    <border>
      <left style="thin">
        <color rgb="FF993300"/>
      </left>
      <right style="hair">
        <color rgb="FF993300"/>
      </right>
      <top style="medium">
        <color rgb="FF222E9E"/>
      </top>
      <bottom style="hair">
        <color indexed="23"/>
      </bottom>
      <diagonal/>
    </border>
    <border>
      <left style="thin">
        <color rgb="FF993300"/>
      </left>
      <right style="hair">
        <color rgb="FF993300"/>
      </right>
      <top style="medium">
        <color rgb="FF222E9E"/>
      </top>
      <bottom style="hair">
        <color indexed="58"/>
      </bottom>
      <diagonal/>
    </border>
    <border>
      <left/>
      <right style="hair">
        <color indexed="53"/>
      </right>
      <top style="medium">
        <color rgb="FF993300"/>
      </top>
      <bottom style="thin">
        <color rgb="FF993300"/>
      </bottom>
      <diagonal/>
    </border>
    <border>
      <left style="hair">
        <color rgb="FF993300"/>
      </left>
      <right style="hair">
        <color rgb="FF993300"/>
      </right>
      <top style="thin">
        <color rgb="FF993300"/>
      </top>
      <bottom style="double">
        <color rgb="FF993300"/>
      </bottom>
      <diagonal/>
    </border>
    <border>
      <left style="medium">
        <color rgb="FF993300"/>
      </left>
      <right style="thin">
        <color rgb="FF993300"/>
      </right>
      <top style="medium">
        <color rgb="FF993300"/>
      </top>
      <bottom style="medium">
        <color rgb="FF993300"/>
      </bottom>
      <diagonal/>
    </border>
    <border>
      <left/>
      <right style="hair">
        <color rgb="FF993300"/>
      </right>
      <top style="medium">
        <color rgb="FF993300"/>
      </top>
      <bottom style="medium">
        <color rgb="FF993300"/>
      </bottom>
      <diagonal/>
    </border>
    <border>
      <left/>
      <right style="hair">
        <color rgb="FF993300"/>
      </right>
      <top style="medium">
        <color rgb="FF993300"/>
      </top>
      <bottom style="double">
        <color rgb="FF993300"/>
      </bottom>
      <diagonal/>
    </border>
    <border>
      <left/>
      <right style="hair">
        <color rgb="FF993300"/>
      </right>
      <top style="double">
        <color rgb="FF993300"/>
      </top>
      <bottom style="hair">
        <color indexed="17"/>
      </bottom>
      <diagonal/>
    </border>
    <border>
      <left/>
      <right style="hair">
        <color rgb="FF993300"/>
      </right>
      <top/>
      <bottom style="hair">
        <color indexed="58"/>
      </bottom>
      <diagonal/>
    </border>
    <border>
      <left/>
      <right style="hair">
        <color rgb="FF993300"/>
      </right>
      <top style="hair">
        <color indexed="58"/>
      </top>
      <bottom style="hair">
        <color indexed="58"/>
      </bottom>
      <diagonal/>
    </border>
    <border>
      <left/>
      <right style="hair">
        <color rgb="FF993300"/>
      </right>
      <top style="hair">
        <color indexed="58"/>
      </top>
      <bottom/>
      <diagonal/>
    </border>
    <border>
      <left/>
      <right style="hair">
        <color rgb="FF993300"/>
      </right>
      <top style="medium">
        <color rgb="FF222E9E"/>
      </top>
      <bottom style="hair">
        <color indexed="58"/>
      </bottom>
      <diagonal/>
    </border>
    <border>
      <left style="medium">
        <color rgb="FF993300"/>
      </left>
      <right style="thin">
        <color rgb="FF993300"/>
      </right>
      <top/>
      <bottom/>
      <diagonal/>
    </border>
    <border>
      <left style="medium">
        <color rgb="FF993300"/>
      </left>
      <right style="thin">
        <color rgb="FF993300"/>
      </right>
      <top style="hair">
        <color indexed="58"/>
      </top>
      <bottom style="hair">
        <color indexed="58"/>
      </bottom>
      <diagonal/>
    </border>
    <border>
      <left style="medium">
        <color rgb="FF993300"/>
      </left>
      <right style="thin">
        <color rgb="FF993300"/>
      </right>
      <top style="hair">
        <color indexed="58"/>
      </top>
      <bottom/>
      <diagonal/>
    </border>
    <border>
      <left style="medium">
        <color rgb="FF993300"/>
      </left>
      <right style="thin">
        <color rgb="FF993300"/>
      </right>
      <top style="medium">
        <color rgb="FF222E9E"/>
      </top>
      <bottom style="hair">
        <color indexed="58"/>
      </bottom>
      <diagonal/>
    </border>
    <border>
      <left style="medium">
        <color rgb="FF993300"/>
      </left>
      <right style="thin">
        <color rgb="FF993300"/>
      </right>
      <top style="hair">
        <color rgb="FF993300"/>
      </top>
      <bottom style="hair">
        <color indexed="58"/>
      </bottom>
      <diagonal/>
    </border>
    <border>
      <left/>
      <right/>
      <top/>
      <bottom style="medium">
        <color rgb="FF002D56"/>
      </bottom>
      <diagonal/>
    </border>
    <border>
      <left/>
      <right/>
      <top style="medium">
        <color rgb="FF002D56"/>
      </top>
      <bottom style="medium">
        <color rgb="FF002D56"/>
      </bottom>
      <diagonal/>
    </border>
    <border>
      <left/>
      <right/>
      <top style="medium">
        <color indexed="64"/>
      </top>
      <bottom/>
      <diagonal/>
    </border>
    <border>
      <left style="medium">
        <color indexed="16"/>
      </left>
      <right/>
      <top style="medium">
        <color indexed="16"/>
      </top>
      <bottom/>
      <diagonal/>
    </border>
    <border>
      <left style="medium">
        <color indexed="16"/>
      </left>
      <right/>
      <top/>
      <bottom/>
      <diagonal/>
    </border>
    <border>
      <left/>
      <right style="medium">
        <color indexed="16"/>
      </right>
      <top/>
      <bottom/>
      <diagonal/>
    </border>
    <border>
      <left style="medium">
        <color indexed="16"/>
      </left>
      <right/>
      <top/>
      <bottom style="medium">
        <color indexed="16"/>
      </bottom>
      <diagonal/>
    </border>
    <border>
      <left/>
      <right style="medium">
        <color indexed="16"/>
      </right>
      <top/>
      <bottom style="medium">
        <color indexed="16"/>
      </bottom>
      <diagonal/>
    </border>
    <border>
      <left/>
      <right/>
      <top/>
      <bottom style="medium">
        <color indexed="16"/>
      </bottom>
      <diagonal/>
    </border>
    <border>
      <left/>
      <right style="medium">
        <color auto="1"/>
      </right>
      <top style="dotted">
        <color auto="1"/>
      </top>
      <bottom style="medium">
        <color auto="1"/>
      </bottom>
      <diagonal/>
    </border>
    <border>
      <left/>
      <right style="medium">
        <color auto="1"/>
      </right>
      <top/>
      <bottom style="dotted">
        <color auto="1"/>
      </bottom>
      <diagonal/>
    </border>
    <border>
      <left/>
      <right style="medium">
        <color auto="1"/>
      </right>
      <top style="dotted">
        <color auto="1"/>
      </top>
      <bottom style="dotted">
        <color auto="1"/>
      </bottom>
      <diagonal/>
    </border>
    <border>
      <left style="medium">
        <color rgb="FF993300"/>
      </left>
      <right/>
      <top style="hair">
        <color rgb="FF993300"/>
      </top>
      <bottom style="hair">
        <color rgb="FF993300"/>
      </bottom>
      <diagonal/>
    </border>
    <border>
      <left style="thin">
        <color rgb="FF993300"/>
      </left>
      <right style="hair">
        <color rgb="FF993300"/>
      </right>
      <top style="hair">
        <color rgb="FF993300"/>
      </top>
      <bottom style="hair">
        <color rgb="FF993300"/>
      </bottom>
      <diagonal/>
    </border>
    <border>
      <left/>
      <right style="hair">
        <color indexed="53"/>
      </right>
      <top style="hair">
        <color rgb="FF993300"/>
      </top>
      <bottom style="hair">
        <color rgb="FF993300"/>
      </bottom>
      <diagonal/>
    </border>
    <border>
      <left style="hair">
        <color indexed="53"/>
      </left>
      <right style="hair">
        <color indexed="53"/>
      </right>
      <top style="hair">
        <color rgb="FF993300"/>
      </top>
      <bottom style="hair">
        <color rgb="FF993300"/>
      </bottom>
      <diagonal/>
    </border>
    <border>
      <left style="hair">
        <color indexed="53"/>
      </left>
      <right style="medium">
        <color indexed="53"/>
      </right>
      <top style="hair">
        <color rgb="FF993300"/>
      </top>
      <bottom style="hair">
        <color rgb="FF993300"/>
      </bottom>
      <diagonal/>
    </border>
    <border>
      <left style="hair">
        <color rgb="FF993300"/>
      </left>
      <right/>
      <top style="hair">
        <color rgb="FF993300"/>
      </top>
      <bottom style="hair">
        <color rgb="FF993300"/>
      </bottom>
      <diagonal/>
    </border>
    <border>
      <left style="medium">
        <color rgb="FF993300"/>
      </left>
      <right/>
      <top/>
      <bottom style="hair">
        <color rgb="FF993300"/>
      </bottom>
      <diagonal/>
    </border>
    <border>
      <left style="thin">
        <color rgb="FF993300"/>
      </left>
      <right style="hair">
        <color rgb="FF993300"/>
      </right>
      <top/>
      <bottom style="hair">
        <color rgb="FF993300"/>
      </bottom>
      <diagonal/>
    </border>
    <border>
      <left/>
      <right style="hair">
        <color indexed="53"/>
      </right>
      <top/>
      <bottom style="hair">
        <color rgb="FF993300"/>
      </bottom>
      <diagonal/>
    </border>
    <border>
      <left style="hair">
        <color indexed="53"/>
      </left>
      <right style="hair">
        <color indexed="53"/>
      </right>
      <top/>
      <bottom style="hair">
        <color rgb="FF993300"/>
      </bottom>
      <diagonal/>
    </border>
    <border>
      <left style="hair">
        <color indexed="53"/>
      </left>
      <right style="medium">
        <color indexed="53"/>
      </right>
      <top/>
      <bottom style="hair">
        <color rgb="FF993300"/>
      </bottom>
      <diagonal/>
    </border>
    <border>
      <left style="hair">
        <color rgb="FF993300"/>
      </left>
      <right/>
      <top/>
      <bottom style="hair">
        <color rgb="FF993300"/>
      </bottom>
      <diagonal/>
    </border>
    <border>
      <left style="thin">
        <color theme="5" tint="-0.24994659260841701"/>
      </left>
      <right style="thin">
        <color theme="9" tint="-0.499984740745262"/>
      </right>
      <top/>
      <bottom style="hair">
        <color indexed="64"/>
      </bottom>
      <diagonal/>
    </border>
    <border>
      <left style="hair">
        <color rgb="FF993300"/>
      </left>
      <right style="hair">
        <color rgb="FF993300"/>
      </right>
      <top style="medium">
        <color rgb="FF993300"/>
      </top>
      <bottom style="hair">
        <color rgb="FF993300"/>
      </bottom>
      <diagonal/>
    </border>
    <border>
      <left style="medium">
        <color rgb="FF993300"/>
      </left>
      <right style="hair">
        <color rgb="FF993300"/>
      </right>
      <top style="hair">
        <color rgb="FF993300"/>
      </top>
      <bottom style="hair">
        <color rgb="FF993300"/>
      </bottom>
      <diagonal/>
    </border>
    <border>
      <left style="hair">
        <color rgb="FF993300"/>
      </left>
      <right style="thin">
        <color rgb="FF993300"/>
      </right>
      <top style="hair">
        <color rgb="FF993300"/>
      </top>
      <bottom style="hair">
        <color rgb="FF993300"/>
      </bottom>
      <diagonal/>
    </border>
    <border>
      <left/>
      <right style="hair">
        <color rgb="FF993300"/>
      </right>
      <top style="medium">
        <color rgb="FF993300"/>
      </top>
      <bottom style="hair">
        <color rgb="FF993300"/>
      </bottom>
      <diagonal/>
    </border>
    <border>
      <left/>
      <right style="hair">
        <color rgb="FF993300"/>
      </right>
      <top style="hair">
        <color rgb="FF993300"/>
      </top>
      <bottom style="hair">
        <color rgb="FF993300"/>
      </bottom>
      <diagonal/>
    </border>
    <border>
      <left style="hair">
        <color rgb="FF993300"/>
      </left>
      <right/>
      <top style="medium">
        <color rgb="FF993300"/>
      </top>
      <bottom style="hair">
        <color rgb="FF993300"/>
      </bottom>
      <diagonal/>
    </border>
    <border>
      <left style="hair">
        <color rgb="FF993300"/>
      </left>
      <right style="hair">
        <color rgb="FF993300"/>
      </right>
      <top style="medium">
        <color rgb="FF993300"/>
      </top>
      <bottom/>
      <diagonal/>
    </border>
    <border>
      <left style="hair">
        <color rgb="FF993300"/>
      </left>
      <right style="medium">
        <color rgb="FF993300"/>
      </right>
      <top style="medium">
        <color rgb="FF993300"/>
      </top>
      <bottom style="hair">
        <color rgb="FF993300"/>
      </bottom>
      <diagonal/>
    </border>
    <border>
      <left style="hair">
        <color rgb="FF993300"/>
      </left>
      <right style="hair">
        <color rgb="FF993300"/>
      </right>
      <top style="double">
        <color rgb="FF993300"/>
      </top>
      <bottom style="hair">
        <color rgb="FF993300"/>
      </bottom>
      <diagonal/>
    </border>
    <border>
      <left style="hair">
        <color rgb="FF993300"/>
      </left>
      <right style="medium">
        <color rgb="FF993300"/>
      </right>
      <top style="double">
        <color rgb="FF993300"/>
      </top>
      <bottom style="hair">
        <color rgb="FF993300"/>
      </bottom>
      <diagonal/>
    </border>
    <border>
      <left style="medium">
        <color rgb="FF993300"/>
      </left>
      <right style="hair">
        <color rgb="FF993300"/>
      </right>
      <top style="hair">
        <color rgb="FF993300"/>
      </top>
      <bottom/>
      <diagonal/>
    </border>
    <border>
      <left/>
      <right style="hair">
        <color rgb="FF993300"/>
      </right>
      <top style="hair">
        <color rgb="FF993300"/>
      </top>
      <bottom/>
      <diagonal/>
    </border>
    <border>
      <left style="hair">
        <color rgb="FF993300"/>
      </left>
      <right/>
      <top style="hair">
        <color rgb="FF993300"/>
      </top>
      <bottom/>
      <diagonal/>
    </border>
    <border>
      <left style="hair">
        <color rgb="FF993300"/>
      </left>
      <right style="hair">
        <color rgb="FF993300"/>
      </right>
      <top/>
      <bottom/>
      <diagonal/>
    </border>
    <border>
      <left style="hair">
        <color rgb="FF993300"/>
      </left>
      <right style="thin">
        <color rgb="FF993300"/>
      </right>
      <top style="double">
        <color rgb="FF993300"/>
      </top>
      <bottom style="hair">
        <color rgb="FF993300"/>
      </bottom>
      <diagonal/>
    </border>
    <border>
      <left/>
      <right style="hair">
        <color rgb="FF993300"/>
      </right>
      <top style="double">
        <color rgb="FF993300"/>
      </top>
      <bottom style="hair">
        <color rgb="FF993300"/>
      </bottom>
      <diagonal/>
    </border>
    <border>
      <left style="hair">
        <color rgb="FF993300"/>
      </left>
      <right/>
      <top style="double">
        <color rgb="FF993300"/>
      </top>
      <bottom style="hair">
        <color rgb="FF993300"/>
      </bottom>
      <diagonal/>
    </border>
    <border>
      <left style="medium">
        <color rgb="FF993300"/>
      </left>
      <right style="hair">
        <color rgb="FF993300"/>
      </right>
      <top style="hair">
        <color rgb="FF993300"/>
      </top>
      <bottom style="medium">
        <color rgb="FF993300"/>
      </bottom>
      <diagonal/>
    </border>
    <border>
      <left/>
      <right style="hair">
        <color rgb="FF993300"/>
      </right>
      <top style="hair">
        <color rgb="FF993300"/>
      </top>
      <bottom style="medium">
        <color rgb="FF993300"/>
      </bottom>
      <diagonal/>
    </border>
    <border>
      <left/>
      <right style="hair">
        <color theme="9" tint="-0.499984740745262"/>
      </right>
      <top style="thin">
        <color indexed="16"/>
      </top>
      <bottom style="hair">
        <color theme="9" tint="-0.499984740745262"/>
      </bottom>
      <diagonal/>
    </border>
    <border>
      <left/>
      <right style="medium">
        <color rgb="FF993300"/>
      </right>
      <top/>
      <bottom style="medium">
        <color rgb="FF993300"/>
      </bottom>
      <diagonal/>
    </border>
    <border>
      <left style="hair">
        <color rgb="FF993300"/>
      </left>
      <right style="thin">
        <color rgb="FF993300"/>
      </right>
      <top/>
      <bottom style="hair">
        <color rgb="FF993300"/>
      </bottom>
      <diagonal/>
    </border>
    <border>
      <left/>
      <right style="medium">
        <color rgb="FF993300"/>
      </right>
      <top/>
      <bottom/>
      <diagonal/>
    </border>
    <border>
      <left style="medium">
        <color rgb="FF993300"/>
      </left>
      <right style="thin">
        <color rgb="FF993300"/>
      </right>
      <top style="medium">
        <color rgb="FF993300"/>
      </top>
      <bottom/>
      <diagonal/>
    </border>
    <border>
      <left/>
      <right/>
      <top/>
      <bottom style="hair">
        <color indexed="53"/>
      </bottom>
      <diagonal/>
    </border>
    <border>
      <left/>
      <right/>
      <top style="hair">
        <color indexed="53"/>
      </top>
      <bottom style="hair">
        <color indexed="53"/>
      </bottom>
      <diagonal/>
    </border>
    <border>
      <left style="medium">
        <color rgb="FF993300"/>
      </left>
      <right style="hair">
        <color rgb="FF993300"/>
      </right>
      <top style="medium">
        <color rgb="FF993300"/>
      </top>
      <bottom/>
      <diagonal/>
    </border>
    <border>
      <left style="hair">
        <color rgb="FF993300"/>
      </left>
      <right style="medium">
        <color rgb="FF993300"/>
      </right>
      <top style="medium">
        <color rgb="FF993300"/>
      </top>
      <bottom/>
      <diagonal/>
    </border>
    <border>
      <left style="medium">
        <color rgb="FF993300"/>
      </left>
      <right style="hair">
        <color rgb="FF993300"/>
      </right>
      <top/>
      <bottom style="medium">
        <color rgb="FF993300"/>
      </bottom>
      <diagonal/>
    </border>
    <border>
      <left style="hair">
        <color rgb="FF993300"/>
      </left>
      <right style="hair">
        <color rgb="FF993300"/>
      </right>
      <top/>
      <bottom style="medium">
        <color rgb="FF993300"/>
      </bottom>
      <diagonal/>
    </border>
    <border>
      <left style="hair">
        <color rgb="FF993300"/>
      </left>
      <right style="medium">
        <color rgb="FF993300"/>
      </right>
      <top/>
      <bottom style="medium">
        <color rgb="FF993300"/>
      </bottom>
      <diagonal/>
    </border>
    <border>
      <left style="medium">
        <color rgb="FF993300"/>
      </left>
      <right/>
      <top style="medium">
        <color rgb="FF993300"/>
      </top>
      <bottom style="hair">
        <color rgb="FF993300"/>
      </bottom>
      <diagonal/>
    </border>
    <border>
      <left style="medium">
        <color rgb="FF993300"/>
      </left>
      <right/>
      <top style="hair">
        <color rgb="FF993300"/>
      </top>
      <bottom style="medium">
        <color rgb="FF993300"/>
      </bottom>
      <diagonal/>
    </border>
    <border>
      <left/>
      <right/>
      <top style="hair">
        <color indexed="53"/>
      </top>
      <bottom style="thin">
        <color indexed="16"/>
      </bottom>
      <diagonal/>
    </border>
    <border>
      <left/>
      <right style="hair">
        <color rgb="FF993300"/>
      </right>
      <top/>
      <bottom style="hair">
        <color rgb="FF993300"/>
      </bottom>
      <diagonal/>
    </border>
    <border>
      <left style="medium">
        <color rgb="FF993300"/>
      </left>
      <right style="thin">
        <color rgb="FF993300"/>
      </right>
      <top style="double">
        <color rgb="FF993300"/>
      </top>
      <bottom/>
      <diagonal/>
    </border>
    <border>
      <left style="thin">
        <color rgb="FF993300"/>
      </left>
      <right style="hair">
        <color rgb="FF993300"/>
      </right>
      <top style="double">
        <color rgb="FF993300"/>
      </top>
      <bottom style="hair">
        <color rgb="FF993300"/>
      </bottom>
      <diagonal/>
    </border>
    <border>
      <left style="thin">
        <color rgb="FF993300"/>
      </left>
      <right style="hair">
        <color rgb="FF993300"/>
      </right>
      <top style="hair">
        <color rgb="FF993300"/>
      </top>
      <bottom style="medium">
        <color rgb="FF993300"/>
      </bottom>
      <diagonal/>
    </border>
    <border>
      <left style="medium">
        <color rgb="FF993300"/>
      </left>
      <right style="hair">
        <color rgb="FF993300"/>
      </right>
      <top/>
      <bottom style="hair">
        <color rgb="FF993300"/>
      </bottom>
      <diagonal/>
    </border>
    <border>
      <left/>
      <right style="hair">
        <color indexed="64"/>
      </right>
      <top/>
      <bottom/>
      <diagonal/>
    </border>
    <border>
      <left style="hair">
        <color indexed="64"/>
      </left>
      <right style="hair">
        <color indexed="64"/>
      </right>
      <top/>
      <bottom style="hair">
        <color indexed="64"/>
      </bottom>
      <diagonal/>
    </border>
    <border>
      <left style="hair">
        <color rgb="FFC00000"/>
      </left>
      <right style="hair">
        <color auto="1"/>
      </right>
      <top style="thin">
        <color rgb="FFC00000"/>
      </top>
      <bottom/>
      <diagonal/>
    </border>
    <border>
      <left style="hair">
        <color indexed="64"/>
      </left>
      <right/>
      <top style="thin">
        <color rgb="FFC00000"/>
      </top>
      <bottom/>
      <diagonal/>
    </border>
    <border>
      <left style="medium">
        <color rgb="FFC00000"/>
      </left>
      <right style="thin">
        <color rgb="FFC00000"/>
      </right>
      <top style="hair">
        <color indexed="64"/>
      </top>
      <bottom style="hair">
        <color indexed="64"/>
      </bottom>
      <diagonal/>
    </border>
    <border>
      <left style="thin">
        <color rgb="FFC00000"/>
      </left>
      <right/>
      <top style="hair">
        <color auto="1"/>
      </top>
      <bottom style="hair">
        <color auto="1"/>
      </bottom>
      <diagonal/>
    </border>
    <border>
      <left style="hair">
        <color rgb="FFC00000"/>
      </left>
      <right style="hair">
        <color auto="1"/>
      </right>
      <top style="hair">
        <color auto="1"/>
      </top>
      <bottom style="hair">
        <color auto="1"/>
      </bottom>
      <diagonal/>
    </border>
    <border>
      <left style="thin">
        <color rgb="FFC00000"/>
      </left>
      <right style="medium">
        <color rgb="FFC00000"/>
      </right>
      <top style="hair">
        <color auto="1"/>
      </top>
      <bottom style="hair">
        <color auto="1"/>
      </bottom>
      <diagonal/>
    </border>
    <border>
      <left style="thin">
        <color rgb="FFC00000"/>
      </left>
      <right style="hair">
        <color rgb="FFC00000"/>
      </right>
      <top style="hair">
        <color auto="1"/>
      </top>
      <bottom style="hair">
        <color auto="1"/>
      </bottom>
      <diagonal/>
    </border>
    <border>
      <left style="medium">
        <color rgb="FFC00000"/>
      </left>
      <right style="thin">
        <color rgb="FFC00000"/>
      </right>
      <top style="thin">
        <color rgb="FFC00000"/>
      </top>
      <bottom/>
      <diagonal/>
    </border>
    <border>
      <left style="thin">
        <color rgb="FFC00000"/>
      </left>
      <right style="hair">
        <color rgb="FFC00000"/>
      </right>
      <top style="thin">
        <color rgb="FFC00000"/>
      </top>
      <bottom/>
      <diagonal/>
    </border>
    <border>
      <left style="thin">
        <color rgb="FFC00000"/>
      </left>
      <right style="medium">
        <color rgb="FFC00000"/>
      </right>
      <top style="thin">
        <color rgb="FFC00000"/>
      </top>
      <bottom/>
      <diagonal/>
    </border>
    <border>
      <left style="medium">
        <color theme="4" tint="-0.24994659260841701"/>
      </left>
      <right style="hair">
        <color indexed="64"/>
      </right>
      <top style="hair">
        <color indexed="64"/>
      </top>
      <bottom style="hair">
        <color indexed="64"/>
      </bottom>
      <diagonal/>
    </border>
    <border>
      <left/>
      <right style="medium">
        <color theme="4" tint="-0.24994659260841701"/>
      </right>
      <top style="hair">
        <color indexed="64"/>
      </top>
      <bottom style="hair">
        <color indexed="64"/>
      </bottom>
      <diagonal/>
    </border>
    <border>
      <left style="medium">
        <color rgb="FFC00000"/>
      </left>
      <right style="hair">
        <color indexed="64"/>
      </right>
      <top style="hair">
        <color indexed="64"/>
      </top>
      <bottom style="hair">
        <color indexed="64"/>
      </bottom>
      <diagonal/>
    </border>
    <border>
      <left style="medium">
        <color theme="6" tint="-0.499984740745262"/>
      </left>
      <right/>
      <top style="medium">
        <color theme="6" tint="-0.499984740745262"/>
      </top>
      <bottom style="hair">
        <color theme="6" tint="-0.499984740745262"/>
      </bottom>
      <diagonal/>
    </border>
    <border>
      <left/>
      <right/>
      <top style="medium">
        <color theme="6" tint="-0.499984740745262"/>
      </top>
      <bottom style="hair">
        <color theme="6" tint="-0.499984740745262"/>
      </bottom>
      <diagonal/>
    </border>
    <border>
      <left/>
      <right style="medium">
        <color theme="6" tint="-0.499984740745262"/>
      </right>
      <top style="medium">
        <color theme="6" tint="-0.499984740745262"/>
      </top>
      <bottom style="hair">
        <color theme="6" tint="-0.499984740745262"/>
      </bottom>
      <diagonal/>
    </border>
    <border>
      <left style="medium">
        <color theme="6" tint="-0.499984740745262"/>
      </left>
      <right/>
      <top style="hair">
        <color theme="6" tint="-0.499984740745262"/>
      </top>
      <bottom style="thin">
        <color theme="6" tint="-0.499984740745262"/>
      </bottom>
      <diagonal/>
    </border>
    <border>
      <left/>
      <right/>
      <top style="hair">
        <color theme="6" tint="-0.499984740745262"/>
      </top>
      <bottom style="thin">
        <color theme="6" tint="-0.499984740745262"/>
      </bottom>
      <diagonal/>
    </border>
    <border>
      <left/>
      <right style="medium">
        <color theme="6" tint="-0.499984740745262"/>
      </right>
      <top style="hair">
        <color theme="6" tint="-0.499984740745262"/>
      </top>
      <bottom style="thin">
        <color theme="6" tint="-0.499984740745262"/>
      </bottom>
      <diagonal/>
    </border>
    <border>
      <left style="medium">
        <color theme="6" tint="-0.499984740745262"/>
      </left>
      <right style="medium">
        <color theme="6" tint="-0.499984740745262"/>
      </right>
      <top style="thin">
        <color theme="6" tint="-0.499984740745262"/>
      </top>
      <bottom style="medium">
        <color theme="6" tint="-0.499984740745262"/>
      </bottom>
      <diagonal/>
    </border>
    <border>
      <left style="medium">
        <color theme="6" tint="-0.499984740745262"/>
      </left>
      <right/>
      <top style="thin">
        <color theme="6" tint="-0.499984740745262"/>
      </top>
      <bottom style="medium">
        <color theme="6" tint="-0.499984740745262"/>
      </bottom>
      <diagonal/>
    </border>
    <border>
      <left/>
      <right/>
      <top style="thin">
        <color theme="6" tint="-0.499984740745262"/>
      </top>
      <bottom style="medium">
        <color theme="6" tint="-0.499984740745262"/>
      </bottom>
      <diagonal/>
    </border>
    <border>
      <left/>
      <right style="medium">
        <color theme="6" tint="-0.499984740745262"/>
      </right>
      <top style="thin">
        <color theme="6" tint="-0.499984740745262"/>
      </top>
      <bottom style="medium">
        <color theme="6" tint="-0.499984740745262"/>
      </bottom>
      <diagonal/>
    </border>
    <border>
      <left/>
      <right/>
      <top/>
      <bottom style="medium">
        <color theme="6" tint="-0.499984740745262"/>
      </bottom>
      <diagonal/>
    </border>
    <border>
      <left style="medium">
        <color theme="6" tint="-0.499984740745262"/>
      </left>
      <right/>
      <top style="hair">
        <color theme="6" tint="-0.499984740745262"/>
      </top>
      <bottom style="hair">
        <color theme="6" tint="-0.499984740745262"/>
      </bottom>
      <diagonal/>
    </border>
    <border>
      <left/>
      <right/>
      <top style="hair">
        <color theme="6" tint="-0.499984740745262"/>
      </top>
      <bottom style="hair">
        <color theme="6" tint="-0.499984740745262"/>
      </bottom>
      <diagonal/>
    </border>
    <border>
      <left/>
      <right style="medium">
        <color theme="6" tint="-0.499984740745262"/>
      </right>
      <top style="hair">
        <color theme="6" tint="-0.499984740745262"/>
      </top>
      <bottom style="hair">
        <color theme="6" tint="-0.499984740745262"/>
      </bottom>
      <diagonal/>
    </border>
    <border>
      <left/>
      <right/>
      <top style="hair">
        <color rgb="FFC00000"/>
      </top>
      <bottom style="medium">
        <color rgb="FF993300"/>
      </bottom>
      <diagonal/>
    </border>
    <border>
      <left style="medium">
        <color rgb="FFC00000"/>
      </left>
      <right style="medium">
        <color rgb="FFC00000"/>
      </right>
      <top style="medium">
        <color rgb="FFC00000"/>
      </top>
      <bottom style="hair">
        <color indexed="64"/>
      </bottom>
      <diagonal/>
    </border>
    <border>
      <left style="medium">
        <color rgb="FFC00000"/>
      </left>
      <right style="medium">
        <color rgb="FFC00000"/>
      </right>
      <top style="hair">
        <color indexed="64"/>
      </top>
      <bottom style="medium">
        <color rgb="FFC00000"/>
      </bottom>
      <diagonal/>
    </border>
    <border>
      <left style="thin">
        <color rgb="FFC00000"/>
      </left>
      <right style="thin">
        <color rgb="FFC00000"/>
      </right>
      <top style="medium">
        <color rgb="FFC00000"/>
      </top>
      <bottom/>
      <diagonal/>
    </border>
    <border>
      <left style="thin">
        <color rgb="FFC00000"/>
      </left>
      <right style="thin">
        <color rgb="FFC00000"/>
      </right>
      <top/>
      <bottom style="medium">
        <color rgb="FFC00000"/>
      </bottom>
      <diagonal/>
    </border>
    <border>
      <left style="medium">
        <color rgb="FFC00000"/>
      </left>
      <right style="hair">
        <color rgb="FFC00000"/>
      </right>
      <top style="medium">
        <color rgb="FFC00000"/>
      </top>
      <bottom/>
      <diagonal/>
    </border>
    <border>
      <left style="medium">
        <color rgb="FFC00000"/>
      </left>
      <right style="hair">
        <color rgb="FFC00000"/>
      </right>
      <top/>
      <bottom style="medium">
        <color rgb="FFC00000"/>
      </bottom>
      <diagonal/>
    </border>
    <border>
      <left style="hair">
        <color rgb="FFC00000"/>
      </left>
      <right style="hair">
        <color rgb="FFC00000"/>
      </right>
      <top style="medium">
        <color rgb="FFC00000"/>
      </top>
      <bottom/>
      <diagonal/>
    </border>
    <border>
      <left style="hair">
        <color rgb="FFC00000"/>
      </left>
      <right style="hair">
        <color rgb="FFC00000"/>
      </right>
      <top/>
      <bottom style="medium">
        <color rgb="FFC00000"/>
      </bottom>
      <diagonal/>
    </border>
    <border>
      <left style="hair">
        <color rgb="FFC00000"/>
      </left>
      <right style="medium">
        <color rgb="FFC00000"/>
      </right>
      <top style="medium">
        <color rgb="FFC00000"/>
      </top>
      <bottom/>
      <diagonal/>
    </border>
    <border>
      <left style="hair">
        <color rgb="FFC00000"/>
      </left>
      <right style="medium">
        <color rgb="FFC00000"/>
      </right>
      <top/>
      <bottom style="medium">
        <color rgb="FFC00000"/>
      </bottom>
      <diagonal/>
    </border>
    <border>
      <left/>
      <right/>
      <top style="thin">
        <color indexed="16"/>
      </top>
      <bottom style="thin">
        <color indexed="16"/>
      </bottom>
      <diagonal/>
    </border>
    <border>
      <left/>
      <right/>
      <top style="medium">
        <color rgb="FF993300"/>
      </top>
      <bottom style="thin">
        <color indexed="64"/>
      </bottom>
      <diagonal/>
    </border>
    <border>
      <left style="medium">
        <color rgb="FF993300"/>
      </left>
      <right/>
      <top style="medium">
        <color rgb="FF993300"/>
      </top>
      <bottom style="thin">
        <color indexed="64"/>
      </bottom>
      <diagonal/>
    </border>
    <border>
      <left/>
      <right style="medium">
        <color rgb="FF993300"/>
      </right>
      <top style="medium">
        <color rgb="FF993300"/>
      </top>
      <bottom style="thin">
        <color indexed="64"/>
      </bottom>
      <diagonal/>
    </border>
    <border>
      <left style="medium">
        <color rgb="FF993300"/>
      </left>
      <right style="hair">
        <color rgb="FF993300"/>
      </right>
      <top style="thin">
        <color indexed="64"/>
      </top>
      <bottom style="medium">
        <color indexed="64"/>
      </bottom>
      <diagonal/>
    </border>
    <border>
      <left style="hair">
        <color rgb="FF993300"/>
      </left>
      <right style="hair">
        <color rgb="FF993300"/>
      </right>
      <top style="thin">
        <color indexed="64"/>
      </top>
      <bottom style="medium">
        <color indexed="64"/>
      </bottom>
      <diagonal/>
    </border>
    <border>
      <left style="hair">
        <color rgb="FF993300"/>
      </left>
      <right style="medium">
        <color rgb="FF993300"/>
      </right>
      <top style="thin">
        <color indexed="64"/>
      </top>
      <bottom style="medium">
        <color indexed="64"/>
      </bottom>
      <diagonal/>
    </border>
    <border>
      <left style="medium">
        <color rgb="FF993300"/>
      </left>
      <right style="hair">
        <color rgb="FF993300"/>
      </right>
      <top style="hair">
        <color indexed="64"/>
      </top>
      <bottom style="hair">
        <color indexed="64"/>
      </bottom>
      <diagonal/>
    </border>
    <border>
      <left style="hair">
        <color rgb="FF993300"/>
      </left>
      <right style="medium">
        <color rgb="FF993300"/>
      </right>
      <top style="hair">
        <color indexed="64"/>
      </top>
      <bottom style="hair">
        <color indexed="64"/>
      </bottom>
      <diagonal/>
    </border>
    <border>
      <left style="medium">
        <color rgb="FF993300"/>
      </left>
      <right style="hair">
        <color indexed="64"/>
      </right>
      <top style="medium">
        <color rgb="FF993300"/>
      </top>
      <bottom style="thin">
        <color indexed="64"/>
      </bottom>
      <diagonal/>
    </border>
    <border>
      <left style="hair">
        <color indexed="64"/>
      </left>
      <right style="medium">
        <color rgb="FF993300"/>
      </right>
      <top style="medium">
        <color rgb="FF993300"/>
      </top>
      <bottom style="thin">
        <color indexed="64"/>
      </bottom>
      <diagonal/>
    </border>
    <border>
      <left style="medium">
        <color rgb="FF993300"/>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rgb="FF993300"/>
      </right>
      <top style="thin">
        <color indexed="64"/>
      </top>
      <bottom style="medium">
        <color indexed="64"/>
      </bottom>
      <diagonal/>
    </border>
    <border>
      <left style="medium">
        <color rgb="FF993300"/>
      </left>
      <right style="hair">
        <color indexed="64"/>
      </right>
      <top style="medium">
        <color indexed="64"/>
      </top>
      <bottom style="hair">
        <color indexed="64"/>
      </bottom>
      <diagonal/>
    </border>
    <border>
      <left style="hair">
        <color indexed="64"/>
      </left>
      <right style="medium">
        <color rgb="FF993300"/>
      </right>
      <top style="hair">
        <color indexed="64"/>
      </top>
      <bottom style="hair">
        <color indexed="64"/>
      </bottom>
      <diagonal/>
    </border>
    <border>
      <left style="medium">
        <color rgb="FF993300"/>
      </left>
      <right style="hair">
        <color indexed="64"/>
      </right>
      <top style="hair">
        <color indexed="64"/>
      </top>
      <bottom style="hair">
        <color indexed="64"/>
      </bottom>
      <diagonal/>
    </border>
    <border>
      <left/>
      <right style="hair">
        <color indexed="16"/>
      </right>
      <top style="medium">
        <color indexed="16"/>
      </top>
      <bottom style="dotted">
        <color rgb="FF002D56"/>
      </bottom>
      <diagonal/>
    </border>
    <border>
      <left/>
      <right style="hair">
        <color indexed="16"/>
      </right>
      <top style="dotted">
        <color rgb="FF002D56"/>
      </top>
      <bottom style="medium">
        <color indexed="16"/>
      </bottom>
      <diagonal/>
    </border>
    <border>
      <left style="hair">
        <color rgb="FFC00000"/>
      </left>
      <right/>
      <top style="medium">
        <color rgb="FFC00000"/>
      </top>
      <bottom/>
      <diagonal/>
    </border>
    <border>
      <left style="hair">
        <color rgb="FFC00000"/>
      </left>
      <right/>
      <top/>
      <bottom style="medium">
        <color rgb="FFC00000"/>
      </bottom>
      <diagonal/>
    </border>
    <border>
      <left style="medium">
        <color rgb="FF993300"/>
      </left>
      <right/>
      <top/>
      <bottom/>
      <diagonal/>
    </border>
    <border>
      <left/>
      <right style="medium">
        <color rgb="FFC00000"/>
      </right>
      <top style="medium">
        <color rgb="FFC00000"/>
      </top>
      <bottom/>
      <diagonal/>
    </border>
    <border>
      <left/>
      <right style="medium">
        <color rgb="FFC00000"/>
      </right>
      <top/>
      <bottom style="medium">
        <color rgb="FFC00000"/>
      </bottom>
      <diagonal/>
    </border>
    <border>
      <left/>
      <right style="medium">
        <color rgb="FFC00000"/>
      </right>
      <top/>
      <bottom/>
      <diagonal/>
    </border>
    <border>
      <left style="dashed">
        <color rgb="FF993300"/>
      </left>
      <right style="hair">
        <color rgb="FF993300"/>
      </right>
      <top style="medium">
        <color rgb="FF993300"/>
      </top>
      <bottom style="hair">
        <color rgb="FF993300"/>
      </bottom>
      <diagonal/>
    </border>
    <border>
      <left style="hair">
        <color rgb="FF993300"/>
      </left>
      <right style="thin">
        <color rgb="FF993300"/>
      </right>
      <top style="medium">
        <color rgb="FF993300"/>
      </top>
      <bottom style="hair">
        <color rgb="FF993300"/>
      </bottom>
      <diagonal/>
    </border>
    <border>
      <left style="dashed">
        <color rgb="FF993300"/>
      </left>
      <right style="hair">
        <color rgb="FF993300"/>
      </right>
      <top style="hair">
        <color rgb="FF993300"/>
      </top>
      <bottom style="hair">
        <color rgb="FF993300"/>
      </bottom>
      <diagonal/>
    </border>
    <border>
      <left style="medium">
        <color rgb="FFC00000"/>
      </left>
      <right/>
      <top/>
      <bottom/>
      <diagonal/>
    </border>
    <border>
      <left/>
      <right style="medium">
        <color rgb="FF993300"/>
      </right>
      <top style="medium">
        <color indexed="16"/>
      </top>
      <bottom style="thin">
        <color indexed="16"/>
      </bottom>
      <diagonal/>
    </border>
    <border>
      <left/>
      <right style="medium">
        <color rgb="FF993300"/>
      </right>
      <top style="thin">
        <color indexed="16"/>
      </top>
      <bottom style="thin">
        <color indexed="16"/>
      </bottom>
      <diagonal/>
    </border>
    <border>
      <left/>
      <right/>
      <top style="hair">
        <color rgb="FF993300"/>
      </top>
      <bottom style="medium">
        <color rgb="FF993300"/>
      </bottom>
      <diagonal/>
    </border>
    <border>
      <left/>
      <right/>
      <top style="medium">
        <color rgb="FF993300"/>
      </top>
      <bottom style="hair">
        <color rgb="FF993300"/>
      </bottom>
      <diagonal/>
    </border>
    <border>
      <left style="medium">
        <color rgb="FF993300"/>
      </left>
      <right/>
      <top style="medium">
        <color rgb="FF993300"/>
      </top>
      <bottom style="hair">
        <color rgb="FFC00000"/>
      </bottom>
      <diagonal/>
    </border>
    <border>
      <left/>
      <right/>
      <top style="medium">
        <color rgb="FF993300"/>
      </top>
      <bottom style="hair">
        <color rgb="FFC00000"/>
      </bottom>
      <diagonal/>
    </border>
    <border>
      <left style="medium">
        <color rgb="FF993300"/>
      </left>
      <right/>
      <top style="hair">
        <color rgb="FFC00000"/>
      </top>
      <bottom style="medium">
        <color rgb="FF993300"/>
      </bottom>
      <diagonal/>
    </border>
    <border>
      <left/>
      <right style="medium">
        <color rgb="FF993300"/>
      </right>
      <top style="medium">
        <color rgb="FF993300"/>
      </top>
      <bottom style="hair">
        <color rgb="FF993300"/>
      </bottom>
      <diagonal/>
    </border>
    <border>
      <left/>
      <right style="medium">
        <color rgb="FF993300"/>
      </right>
      <top style="hair">
        <color rgb="FF993300"/>
      </top>
      <bottom style="medium">
        <color rgb="FF993300"/>
      </bottom>
      <diagonal/>
    </border>
    <border>
      <left style="hair">
        <color theme="9" tint="-0.499984740745262"/>
      </left>
      <right style="hair">
        <color theme="9" tint="-0.499984740745262"/>
      </right>
      <top style="hair">
        <color indexed="64"/>
      </top>
      <bottom style="thick">
        <color theme="9" tint="-0.499984740745262"/>
      </bottom>
      <diagonal/>
    </border>
    <border>
      <left style="hair">
        <color theme="9" tint="-0.499984740745262"/>
      </left>
      <right/>
      <top style="hair">
        <color indexed="64"/>
      </top>
      <bottom style="thick">
        <color theme="9" tint="-0.499984740745262"/>
      </bottom>
      <diagonal/>
    </border>
    <border>
      <left style="hair">
        <color theme="9" tint="-0.499984740745262"/>
      </left>
      <right style="thin">
        <color theme="9" tint="-0.499984740745262"/>
      </right>
      <top style="hair">
        <color indexed="64"/>
      </top>
      <bottom style="thick">
        <color theme="9" tint="-0.499984740745262"/>
      </bottom>
      <diagonal/>
    </border>
    <border>
      <left style="hair">
        <color theme="9" tint="-0.499984740745262"/>
      </left>
      <right style="medium">
        <color theme="5" tint="-0.24994659260841701"/>
      </right>
      <top style="hair">
        <color indexed="64"/>
      </top>
      <bottom style="thick">
        <color theme="9" tint="-0.499984740745262"/>
      </bottom>
      <diagonal/>
    </border>
    <border>
      <left style="thin">
        <color indexed="16"/>
      </left>
      <right style="hair">
        <color indexed="16"/>
      </right>
      <top style="thin">
        <color rgb="FF993300"/>
      </top>
      <bottom style="thin">
        <color rgb="FF993300"/>
      </bottom>
      <diagonal/>
    </border>
    <border>
      <left style="thin">
        <color rgb="FF993300"/>
      </left>
      <right style="hair">
        <color theme="9" tint="-0.499984740745262"/>
      </right>
      <top style="hair">
        <color theme="9" tint="-0.499984740745262"/>
      </top>
      <bottom/>
      <diagonal/>
    </border>
    <border>
      <left style="thin">
        <color rgb="FF993300"/>
      </left>
      <right/>
      <top style="thin">
        <color indexed="16"/>
      </top>
      <bottom style="hair">
        <color theme="9" tint="-0.499984740745262"/>
      </bottom>
      <diagonal/>
    </border>
    <border>
      <left style="thin">
        <color rgb="FF993300"/>
      </left>
      <right/>
      <top style="hair">
        <color theme="9" tint="-0.499984740745262"/>
      </top>
      <bottom style="hair">
        <color theme="9" tint="-0.499984740745262"/>
      </bottom>
      <diagonal/>
    </border>
    <border>
      <left style="hair">
        <color theme="9" tint="-0.499984740745262"/>
      </left>
      <right style="medium">
        <color rgb="FF993300"/>
      </right>
      <top/>
      <bottom style="hair">
        <color theme="9" tint="-0.499984740745262"/>
      </bottom>
      <diagonal/>
    </border>
    <border>
      <left style="hair">
        <color rgb="FF993300"/>
      </left>
      <right/>
      <top/>
      <bottom/>
      <diagonal/>
    </border>
    <border>
      <left style="hair">
        <color rgb="FF993300"/>
      </left>
      <right/>
      <top/>
      <bottom style="double">
        <color rgb="FF993300"/>
      </bottom>
      <diagonal/>
    </border>
    <border>
      <left style="medium">
        <color rgb="FF993300"/>
      </left>
      <right/>
      <top style="medium">
        <color rgb="FF993300"/>
      </top>
      <bottom style="hair">
        <color theme="9" tint="-0.499984740745262"/>
      </bottom>
      <diagonal/>
    </border>
    <border>
      <left/>
      <right style="medium">
        <color rgb="FF993300"/>
      </right>
      <top style="medium">
        <color rgb="FF993300"/>
      </top>
      <bottom style="hair">
        <color theme="9" tint="-0.499984740745262"/>
      </bottom>
      <diagonal/>
    </border>
    <border>
      <left style="thin">
        <color rgb="FF993300"/>
      </left>
      <right/>
      <top style="medium">
        <color rgb="FF993300"/>
      </top>
      <bottom style="hair">
        <color rgb="FF993300"/>
      </bottom>
      <diagonal/>
    </border>
    <border>
      <left style="medium">
        <color indexed="16"/>
      </left>
      <right/>
      <top style="medium">
        <color indexed="16"/>
      </top>
      <bottom style="medium">
        <color indexed="16"/>
      </bottom>
      <diagonal/>
    </border>
    <border>
      <left style="medium">
        <color indexed="16"/>
      </left>
      <right/>
      <top style="dotted">
        <color rgb="FF002D56"/>
      </top>
      <bottom style="medium">
        <color indexed="16"/>
      </bottom>
      <diagonal/>
    </border>
    <border>
      <left style="hair">
        <color indexed="16"/>
      </left>
      <right/>
      <top style="medium">
        <color indexed="16"/>
      </top>
      <bottom/>
      <diagonal/>
    </border>
    <border>
      <left style="hair">
        <color indexed="16"/>
      </left>
      <right/>
      <top/>
      <bottom style="medium">
        <color indexed="16"/>
      </bottom>
      <diagonal/>
    </border>
    <border>
      <left/>
      <right style="hair">
        <color theme="9" tint="-0.499984740745262"/>
      </right>
      <top style="hair">
        <color theme="9" tint="-0.499984740745262"/>
      </top>
      <bottom/>
      <diagonal/>
    </border>
    <border>
      <left style="hair">
        <color rgb="FF993300"/>
      </left>
      <right style="hair">
        <color rgb="FF993300"/>
      </right>
      <top/>
      <bottom style="double">
        <color rgb="FF993300"/>
      </bottom>
      <diagonal/>
    </border>
    <border>
      <left style="dashed">
        <color rgb="FF993300"/>
      </left>
      <right style="hair">
        <color rgb="FF993300"/>
      </right>
      <top/>
      <bottom style="double">
        <color rgb="FF993300"/>
      </bottom>
      <diagonal/>
    </border>
    <border>
      <left style="thin">
        <color rgb="FF993300"/>
      </left>
      <right style="thin">
        <color rgb="FF993300"/>
      </right>
      <top/>
      <bottom style="double">
        <color rgb="FF993300"/>
      </bottom>
      <diagonal/>
    </border>
    <border>
      <left style="medium">
        <color rgb="FF993300"/>
      </left>
      <right/>
      <top/>
      <bottom style="double">
        <color rgb="FF993300"/>
      </bottom>
      <diagonal/>
    </border>
    <border>
      <left/>
      <right style="hair">
        <color rgb="FF993300"/>
      </right>
      <top/>
      <bottom style="double">
        <color rgb="FF993300"/>
      </bottom>
      <diagonal/>
    </border>
    <border>
      <left style="medium">
        <color rgb="FF993300"/>
      </left>
      <right/>
      <top style="medium">
        <color indexed="16"/>
      </top>
      <bottom style="thin">
        <color indexed="16"/>
      </bottom>
      <diagonal/>
    </border>
    <border>
      <left style="thin">
        <color rgb="FF993300"/>
      </left>
      <right/>
      <top style="medium">
        <color indexed="16"/>
      </top>
      <bottom style="thin">
        <color indexed="16"/>
      </bottom>
      <diagonal/>
    </border>
    <border>
      <left style="hair">
        <color indexed="64"/>
      </left>
      <right style="hair">
        <color indexed="64"/>
      </right>
      <top/>
      <bottom/>
      <diagonal/>
    </border>
    <border>
      <left style="thin">
        <color rgb="FF993300"/>
      </left>
      <right/>
      <top/>
      <bottom style="hair">
        <color rgb="FF993300"/>
      </bottom>
      <diagonal/>
    </border>
    <border>
      <left style="thin">
        <color rgb="FF993300"/>
      </left>
      <right/>
      <top style="hair">
        <color rgb="FF993300"/>
      </top>
      <bottom style="hair">
        <color rgb="FF993300"/>
      </bottom>
      <diagonal/>
    </border>
    <border>
      <left style="thin">
        <color rgb="FF993300"/>
      </left>
      <right style="hair">
        <color theme="9" tint="-0.499984740745262"/>
      </right>
      <top style="hair">
        <color rgb="FF993300"/>
      </top>
      <bottom style="hair">
        <color rgb="FF993300"/>
      </bottom>
      <diagonal/>
    </border>
    <border>
      <left style="hair">
        <color theme="9" tint="-0.499984740745262"/>
      </left>
      <right style="hair">
        <color theme="9" tint="-0.499984740745262"/>
      </right>
      <top style="hair">
        <color rgb="FF993300"/>
      </top>
      <bottom style="hair">
        <color rgb="FF993300"/>
      </bottom>
      <diagonal/>
    </border>
    <border>
      <left style="hair">
        <color theme="9" tint="-0.499984740745262"/>
      </left>
      <right style="medium">
        <color rgb="FF993300"/>
      </right>
      <top style="hair">
        <color rgb="FF993300"/>
      </top>
      <bottom style="hair">
        <color rgb="FF993300"/>
      </bottom>
      <diagonal/>
    </border>
    <border>
      <left style="medium">
        <color indexed="16"/>
      </left>
      <right style="hair">
        <color indexed="16"/>
      </right>
      <top style="hair">
        <color theme="9" tint="-0.499984740745262"/>
      </top>
      <bottom style="thin">
        <color theme="9" tint="-0.499984740745262"/>
      </bottom>
      <diagonal/>
    </border>
    <border>
      <left style="hair">
        <color indexed="16"/>
      </left>
      <right style="hair">
        <color indexed="16"/>
      </right>
      <top style="hair">
        <color theme="9" tint="-0.499984740745262"/>
      </top>
      <bottom style="thin">
        <color indexed="16"/>
      </bottom>
      <diagonal/>
    </border>
    <border>
      <left style="hair">
        <color indexed="16"/>
      </left>
      <right style="medium">
        <color indexed="16"/>
      </right>
      <top style="hair">
        <color theme="9" tint="-0.499984740745262"/>
      </top>
      <bottom style="thin">
        <color theme="9" tint="-0.499984740745262"/>
      </bottom>
      <diagonal/>
    </border>
    <border>
      <left style="medium">
        <color indexed="16"/>
      </left>
      <right style="hair">
        <color indexed="16"/>
      </right>
      <top/>
      <bottom style="hair">
        <color theme="9" tint="-0.499984740745262"/>
      </bottom>
      <diagonal/>
    </border>
    <border>
      <left style="hair">
        <color indexed="16"/>
      </left>
      <right style="hair">
        <color indexed="16"/>
      </right>
      <top/>
      <bottom style="hair">
        <color theme="9" tint="-0.499984740745262"/>
      </bottom>
      <diagonal/>
    </border>
    <border>
      <left style="hair">
        <color indexed="16"/>
      </left>
      <right style="medium">
        <color indexed="16"/>
      </right>
      <top/>
      <bottom style="hair">
        <color theme="9" tint="-0.499984740745262"/>
      </bottom>
      <diagonal/>
    </border>
    <border>
      <left style="medium">
        <color indexed="16"/>
      </left>
      <right style="hair">
        <color indexed="16"/>
      </right>
      <top style="hair">
        <color theme="9" tint="-0.499984740745262"/>
      </top>
      <bottom/>
      <diagonal/>
    </border>
    <border>
      <left style="hair">
        <color indexed="16"/>
      </left>
      <right style="hair">
        <color indexed="16"/>
      </right>
      <top style="hair">
        <color theme="9" tint="-0.499984740745262"/>
      </top>
      <bottom/>
      <diagonal/>
    </border>
    <border>
      <left style="hair">
        <color indexed="16"/>
      </left>
      <right style="medium">
        <color indexed="16"/>
      </right>
      <top style="hair">
        <color theme="9" tint="-0.499984740745262"/>
      </top>
      <bottom/>
      <diagonal/>
    </border>
    <border>
      <left style="medium">
        <color indexed="16"/>
      </left>
      <right style="hair">
        <color indexed="16"/>
      </right>
      <top style="thin">
        <color indexed="16"/>
      </top>
      <bottom style="thin">
        <color indexed="16"/>
      </bottom>
      <diagonal/>
    </border>
    <border>
      <left style="hair">
        <color indexed="16"/>
      </left>
      <right style="hair">
        <color indexed="16"/>
      </right>
      <top style="thin">
        <color indexed="16"/>
      </top>
      <bottom style="thin">
        <color indexed="16"/>
      </bottom>
      <diagonal/>
    </border>
    <border>
      <left style="hair">
        <color indexed="16"/>
      </left>
      <right style="medium">
        <color indexed="16"/>
      </right>
      <top style="thin">
        <color indexed="16"/>
      </top>
      <bottom style="thin">
        <color indexed="16"/>
      </bottom>
      <diagonal/>
    </border>
    <border>
      <left style="hair">
        <color indexed="16"/>
      </left>
      <right style="hair">
        <color indexed="16"/>
      </right>
      <top style="thin">
        <color indexed="16"/>
      </top>
      <bottom style="hair">
        <color theme="9" tint="-0.499984740745262"/>
      </bottom>
      <diagonal/>
    </border>
    <border>
      <left style="thin">
        <color rgb="FF993300"/>
      </left>
      <right style="hair">
        <color theme="9" tint="-0.499984740745262"/>
      </right>
      <top style="hair">
        <color rgb="FF993300"/>
      </top>
      <bottom/>
      <diagonal/>
    </border>
    <border>
      <left style="hair">
        <color theme="9" tint="-0.499984740745262"/>
      </left>
      <right style="hair">
        <color theme="9" tint="-0.499984740745262"/>
      </right>
      <top style="hair">
        <color rgb="FF993300"/>
      </top>
      <bottom/>
      <diagonal/>
    </border>
    <border>
      <left style="hair">
        <color theme="9" tint="-0.499984740745262"/>
      </left>
      <right style="medium">
        <color rgb="FF993300"/>
      </right>
      <top style="hair">
        <color rgb="FF993300"/>
      </top>
      <bottom/>
      <diagonal/>
    </border>
    <border>
      <left style="thin">
        <color rgb="FF993300"/>
      </left>
      <right style="hair">
        <color theme="9" tint="-0.499984740745262"/>
      </right>
      <top style="thin">
        <color rgb="FF993300"/>
      </top>
      <bottom style="hair">
        <color rgb="FF993300"/>
      </bottom>
      <diagonal/>
    </border>
    <border>
      <left style="hair">
        <color theme="9" tint="-0.499984740745262"/>
      </left>
      <right style="hair">
        <color theme="9" tint="-0.499984740745262"/>
      </right>
      <top style="thin">
        <color rgb="FF993300"/>
      </top>
      <bottom style="hair">
        <color rgb="FF993300"/>
      </bottom>
      <diagonal/>
    </border>
    <border>
      <left style="hair">
        <color theme="9" tint="-0.499984740745262"/>
      </left>
      <right style="medium">
        <color rgb="FF993300"/>
      </right>
      <top style="thin">
        <color rgb="FF993300"/>
      </top>
      <bottom style="hair">
        <color rgb="FF993300"/>
      </bottom>
      <diagonal/>
    </border>
    <border>
      <left style="medium">
        <color indexed="16"/>
      </left>
      <right style="hair">
        <color indexed="16"/>
      </right>
      <top style="hair">
        <color theme="9" tint="-0.499984740745262"/>
      </top>
      <bottom style="thin">
        <color indexed="16"/>
      </bottom>
      <diagonal/>
    </border>
    <border>
      <left style="hair">
        <color indexed="16"/>
      </left>
      <right style="medium">
        <color indexed="16"/>
      </right>
      <top style="hair">
        <color theme="9" tint="-0.499984740745262"/>
      </top>
      <bottom style="thin">
        <color indexed="16"/>
      </bottom>
      <diagonal/>
    </border>
    <border>
      <left style="hair">
        <color indexed="16"/>
      </left>
      <right style="medium">
        <color indexed="16"/>
      </right>
      <top/>
      <bottom style="thin">
        <color indexed="16"/>
      </bottom>
      <diagonal/>
    </border>
    <border>
      <left/>
      <right style="thin">
        <color rgb="FFC00000"/>
      </right>
      <top style="hair">
        <color indexed="64"/>
      </top>
      <bottom style="hair">
        <color indexed="64"/>
      </bottom>
      <diagonal/>
    </border>
    <border>
      <left/>
      <right/>
      <top/>
      <bottom style="thin">
        <color rgb="FFC00000"/>
      </bottom>
      <diagonal/>
    </border>
    <border>
      <left/>
      <right/>
      <top style="hair">
        <color auto="1"/>
      </top>
      <bottom/>
      <diagonal/>
    </border>
    <border>
      <left style="hair">
        <color indexed="64"/>
      </left>
      <right/>
      <top/>
      <bottom/>
      <diagonal/>
    </border>
    <border>
      <left style="medium">
        <color rgb="FFC00000"/>
      </left>
      <right style="hair">
        <color auto="1"/>
      </right>
      <top/>
      <bottom/>
      <diagonal/>
    </border>
    <border>
      <left style="hair">
        <color auto="1"/>
      </left>
      <right style="medium">
        <color theme="4" tint="-0.24994659260841701"/>
      </right>
      <top/>
      <bottom/>
      <diagonal/>
    </border>
    <border>
      <left style="medium">
        <color theme="4" tint="-0.24994659260841701"/>
      </left>
      <right style="hair">
        <color auto="1"/>
      </right>
      <top/>
      <bottom/>
      <diagonal/>
    </border>
    <border>
      <left style="medium">
        <color theme="4" tint="-0.24994659260841701"/>
      </left>
      <right style="hair">
        <color indexed="64"/>
      </right>
      <top/>
      <bottom style="hair">
        <color auto="1"/>
      </bottom>
      <diagonal/>
    </border>
    <border>
      <left/>
      <right style="thin">
        <color rgb="FFC00000"/>
      </right>
      <top style="medium">
        <color rgb="FF993300"/>
      </top>
      <bottom style="hair">
        <color auto="1"/>
      </bottom>
      <diagonal/>
    </border>
    <border>
      <left style="thin">
        <color rgb="FFC00000"/>
      </left>
      <right/>
      <top style="medium">
        <color rgb="FF993300"/>
      </top>
      <bottom style="hair">
        <color auto="1"/>
      </bottom>
      <diagonal/>
    </border>
    <border>
      <left style="hair">
        <color rgb="FFC00000"/>
      </left>
      <right style="hair">
        <color auto="1"/>
      </right>
      <top style="medium">
        <color rgb="FF993300"/>
      </top>
      <bottom style="hair">
        <color auto="1"/>
      </bottom>
      <diagonal/>
    </border>
    <border>
      <left style="hair">
        <color indexed="64"/>
      </left>
      <right/>
      <top style="medium">
        <color rgb="FF993300"/>
      </top>
      <bottom style="hair">
        <color auto="1"/>
      </bottom>
      <diagonal/>
    </border>
    <border>
      <left style="thin">
        <color rgb="FFC00000"/>
      </left>
      <right style="medium">
        <color rgb="FFC00000"/>
      </right>
      <top style="medium">
        <color rgb="FF993300"/>
      </top>
      <bottom style="hair">
        <color auto="1"/>
      </bottom>
      <diagonal/>
    </border>
    <border>
      <left style="medium">
        <color rgb="FFC00000"/>
      </left>
      <right style="thin">
        <color rgb="FFC00000"/>
      </right>
      <top style="medium">
        <color rgb="FF993300"/>
      </top>
      <bottom style="hair">
        <color auto="1"/>
      </bottom>
      <diagonal/>
    </border>
    <border>
      <left style="medium">
        <color rgb="FFC00000"/>
      </left>
      <right style="hair">
        <color indexed="64"/>
      </right>
      <top style="medium">
        <color rgb="FF993300"/>
      </top>
      <bottom style="hair">
        <color auto="1"/>
      </bottom>
      <diagonal/>
    </border>
    <border>
      <left style="hair">
        <color indexed="64"/>
      </left>
      <right style="hair">
        <color indexed="64"/>
      </right>
      <top style="medium">
        <color rgb="FF993300"/>
      </top>
      <bottom style="hair">
        <color auto="1"/>
      </bottom>
      <diagonal/>
    </border>
    <border>
      <left/>
      <right style="medium">
        <color theme="4" tint="-0.24994659260841701"/>
      </right>
      <top style="medium">
        <color rgb="FF993300"/>
      </top>
      <bottom style="hair">
        <color auto="1"/>
      </bottom>
      <diagonal/>
    </border>
    <border>
      <left style="medium">
        <color theme="4" tint="-0.24994659260841701"/>
      </left>
      <right style="hair">
        <color indexed="64"/>
      </right>
      <top style="medium">
        <color rgb="FF993300"/>
      </top>
      <bottom style="hair">
        <color auto="1"/>
      </bottom>
      <diagonal/>
    </border>
    <border>
      <left/>
      <right style="thin">
        <color rgb="FFC00000"/>
      </right>
      <top style="hair">
        <color auto="1"/>
      </top>
      <bottom style="medium">
        <color rgb="FF993300"/>
      </bottom>
      <diagonal/>
    </border>
    <border>
      <left style="thin">
        <color rgb="FFC00000"/>
      </left>
      <right style="hair">
        <color rgb="FFC00000"/>
      </right>
      <top style="hair">
        <color auto="1"/>
      </top>
      <bottom style="medium">
        <color rgb="FF993300"/>
      </bottom>
      <diagonal/>
    </border>
    <border>
      <left style="hair">
        <color rgb="FFC00000"/>
      </left>
      <right style="hair">
        <color auto="1"/>
      </right>
      <top style="hair">
        <color auto="1"/>
      </top>
      <bottom style="medium">
        <color rgb="FF993300"/>
      </bottom>
      <diagonal/>
    </border>
    <border>
      <left style="hair">
        <color indexed="64"/>
      </left>
      <right/>
      <top style="hair">
        <color auto="1"/>
      </top>
      <bottom style="medium">
        <color rgb="FF993300"/>
      </bottom>
      <diagonal/>
    </border>
    <border>
      <left style="thin">
        <color rgb="FFC00000"/>
      </left>
      <right style="medium">
        <color rgb="FFC00000"/>
      </right>
      <top style="hair">
        <color auto="1"/>
      </top>
      <bottom style="medium">
        <color rgb="FF993300"/>
      </bottom>
      <diagonal/>
    </border>
    <border>
      <left style="medium">
        <color rgb="FFC00000"/>
      </left>
      <right style="thin">
        <color rgb="FFC00000"/>
      </right>
      <top style="hair">
        <color auto="1"/>
      </top>
      <bottom style="medium">
        <color rgb="FF993300"/>
      </bottom>
      <diagonal/>
    </border>
    <border>
      <left style="medium">
        <color rgb="FFC00000"/>
      </left>
      <right/>
      <top style="hair">
        <color auto="1"/>
      </top>
      <bottom style="medium">
        <color rgb="FF993300"/>
      </bottom>
      <diagonal/>
    </border>
    <border>
      <left/>
      <right/>
      <top style="hair">
        <color auto="1"/>
      </top>
      <bottom style="medium">
        <color rgb="FF993300"/>
      </bottom>
      <diagonal/>
    </border>
    <border>
      <left style="medium">
        <color rgb="FFC00000"/>
      </left>
      <right style="hair">
        <color indexed="64"/>
      </right>
      <top style="hair">
        <color auto="1"/>
      </top>
      <bottom style="medium">
        <color rgb="FF993300"/>
      </bottom>
      <diagonal/>
    </border>
    <border>
      <left/>
      <right style="medium">
        <color theme="4" tint="-0.24994659260841701"/>
      </right>
      <top style="hair">
        <color auto="1"/>
      </top>
      <bottom style="medium">
        <color rgb="FF993300"/>
      </bottom>
      <diagonal/>
    </border>
    <border>
      <left style="medium">
        <color theme="4" tint="-0.24994659260841701"/>
      </left>
      <right style="hair">
        <color indexed="64"/>
      </right>
      <top style="hair">
        <color auto="1"/>
      </top>
      <bottom style="medium">
        <color rgb="FF993300"/>
      </bottom>
      <diagonal/>
    </border>
    <border>
      <left style="thick">
        <color rgb="FF993300"/>
      </left>
      <right style="thin">
        <color rgb="FFC00000"/>
      </right>
      <top style="medium">
        <color rgb="FF993300"/>
      </top>
      <bottom style="hair">
        <color auto="1"/>
      </bottom>
      <diagonal/>
    </border>
    <border>
      <left style="thick">
        <color rgb="FF993300"/>
      </left>
      <right style="thin">
        <color rgb="FFC00000"/>
      </right>
      <top style="hair">
        <color auto="1"/>
      </top>
      <bottom style="hair">
        <color auto="1"/>
      </bottom>
      <diagonal/>
    </border>
    <border>
      <left style="thick">
        <color rgb="FF993300"/>
      </left>
      <right style="thin">
        <color rgb="FFC00000"/>
      </right>
      <top style="hair">
        <color auto="1"/>
      </top>
      <bottom style="medium">
        <color rgb="FF993300"/>
      </bottom>
      <diagonal/>
    </border>
    <border>
      <left/>
      <right/>
      <top/>
      <bottom style="thin">
        <color indexed="64"/>
      </bottom>
      <diagonal/>
    </border>
    <border>
      <left style="medium">
        <color theme="2" tint="-0.499984740745262"/>
      </left>
      <right/>
      <top/>
      <bottom style="thin">
        <color indexed="64"/>
      </bottom>
      <diagonal/>
    </border>
    <border>
      <left/>
      <right style="medium">
        <color theme="2" tint="-0.499984740745262"/>
      </right>
      <top/>
      <bottom style="thin">
        <color indexed="64"/>
      </bottom>
      <diagonal/>
    </border>
    <border>
      <left/>
      <right style="medium">
        <color theme="2" tint="-0.499984740745262"/>
      </right>
      <top/>
      <bottom/>
      <diagonal/>
    </border>
    <border>
      <left style="medium">
        <color theme="2" tint="-0.499984740745262"/>
      </left>
      <right style="hair">
        <color indexed="64"/>
      </right>
      <top style="medium">
        <color theme="2" tint="-0.499984740745262"/>
      </top>
      <bottom style="thin">
        <color indexed="64"/>
      </bottom>
      <diagonal/>
    </border>
    <border>
      <left style="hair">
        <color indexed="64"/>
      </left>
      <right style="hair">
        <color indexed="64"/>
      </right>
      <top style="medium">
        <color theme="2" tint="-0.499984740745262"/>
      </top>
      <bottom style="thin">
        <color indexed="64"/>
      </bottom>
      <diagonal/>
    </border>
    <border>
      <left style="hair">
        <color indexed="64"/>
      </left>
      <right style="medium">
        <color theme="2" tint="-0.499984740745262"/>
      </right>
      <top style="medium">
        <color theme="2" tint="-0.499984740745262"/>
      </top>
      <bottom style="thin">
        <color indexed="64"/>
      </bottom>
      <diagonal/>
    </border>
    <border>
      <left/>
      <right/>
      <top style="medium">
        <color theme="2" tint="-0.499984740745262"/>
      </top>
      <bottom style="thin">
        <color indexed="64"/>
      </bottom>
      <diagonal/>
    </border>
    <border>
      <left/>
      <right/>
      <top style="medium">
        <color auto="1"/>
      </top>
      <bottom style="hair">
        <color auto="1"/>
      </bottom>
      <diagonal/>
    </border>
    <border>
      <left style="medium">
        <color theme="2" tint="-0.499984740745262"/>
      </left>
      <right/>
      <top style="medium">
        <color theme="2" tint="-0.499984740745262"/>
      </top>
      <bottom style="hair">
        <color auto="1"/>
      </bottom>
      <diagonal/>
    </border>
    <border>
      <left/>
      <right/>
      <top style="medium">
        <color theme="2" tint="-0.499984740745262"/>
      </top>
      <bottom style="hair">
        <color auto="1"/>
      </bottom>
      <diagonal/>
    </border>
    <border>
      <left/>
      <right style="medium">
        <color theme="2" tint="-0.499984740745262"/>
      </right>
      <top style="medium">
        <color theme="2" tint="-0.499984740745262"/>
      </top>
      <bottom style="hair">
        <color indexed="64"/>
      </bottom>
      <diagonal/>
    </border>
    <border>
      <left style="medium">
        <color theme="2" tint="-0.499984740745262"/>
      </left>
      <right/>
      <top style="medium">
        <color auto="1"/>
      </top>
      <bottom style="hair">
        <color auto="1"/>
      </bottom>
      <diagonal/>
    </border>
    <border>
      <left/>
      <right style="medium">
        <color theme="2" tint="-0.499984740745262"/>
      </right>
      <top style="medium">
        <color auto="1"/>
      </top>
      <bottom style="hair">
        <color indexed="64"/>
      </bottom>
      <diagonal/>
    </border>
    <border>
      <left style="medium">
        <color theme="2" tint="-0.499984740745262"/>
      </left>
      <right/>
      <top style="hair">
        <color auto="1"/>
      </top>
      <bottom/>
      <diagonal/>
    </border>
    <border>
      <left/>
      <right style="medium">
        <color theme="2" tint="-0.499984740745262"/>
      </right>
      <top style="hair">
        <color indexed="64"/>
      </top>
      <bottom/>
      <diagonal/>
    </border>
    <border>
      <left style="hair">
        <color indexed="64"/>
      </left>
      <right/>
      <top style="hair">
        <color indexed="64"/>
      </top>
      <bottom style="medium">
        <color rgb="FF993300"/>
      </bottom>
      <diagonal/>
    </border>
    <border>
      <left style="thick">
        <color rgb="FF993300"/>
      </left>
      <right style="thin">
        <color rgb="FFC00000"/>
      </right>
      <top style="hair">
        <color auto="1"/>
      </top>
      <bottom style="medium">
        <color rgb="FF993300"/>
      </bottom>
      <diagonal/>
    </border>
    <border>
      <left/>
      <right style="thin">
        <color rgb="FFC00000"/>
      </right>
      <top style="hair">
        <color auto="1"/>
      </top>
      <bottom style="medium">
        <color rgb="FF993300"/>
      </bottom>
      <diagonal/>
    </border>
    <border>
      <left style="thin">
        <color rgb="FFC00000"/>
      </left>
      <right style="hair">
        <color rgb="FFC00000"/>
      </right>
      <top style="hair">
        <color auto="1"/>
      </top>
      <bottom style="medium">
        <color rgb="FF993300"/>
      </bottom>
      <diagonal/>
    </border>
    <border>
      <left style="thin">
        <color rgb="FFC00000"/>
      </left>
      <right style="medium">
        <color rgb="FFC00000"/>
      </right>
      <top style="hair">
        <color auto="1"/>
      </top>
      <bottom style="medium">
        <color rgb="FF993300"/>
      </bottom>
      <diagonal/>
    </border>
    <border>
      <left style="medium">
        <color rgb="FFC00000"/>
      </left>
      <right style="thin">
        <color rgb="FFC00000"/>
      </right>
      <top style="hair">
        <color auto="1"/>
      </top>
      <bottom style="medium">
        <color rgb="FF993300"/>
      </bottom>
      <diagonal/>
    </border>
    <border>
      <left style="medium">
        <color rgb="FFC00000"/>
      </left>
      <right/>
      <top style="hair">
        <color auto="1"/>
      </top>
      <bottom style="medium">
        <color rgb="FF993300"/>
      </bottom>
      <diagonal/>
    </border>
    <border>
      <left/>
      <right/>
      <top style="hair">
        <color auto="1"/>
      </top>
      <bottom style="medium">
        <color rgb="FF993300"/>
      </bottom>
      <diagonal/>
    </border>
    <border>
      <left style="medium">
        <color rgb="FFC00000"/>
      </left>
      <right style="hair">
        <color indexed="64"/>
      </right>
      <top style="hair">
        <color auto="1"/>
      </top>
      <bottom style="medium">
        <color rgb="FF993300"/>
      </bottom>
      <diagonal/>
    </border>
    <border>
      <left/>
      <right style="medium">
        <color theme="4" tint="-0.24994659260841701"/>
      </right>
      <top style="hair">
        <color auto="1"/>
      </top>
      <bottom style="medium">
        <color rgb="FF993300"/>
      </bottom>
      <diagonal/>
    </border>
    <border>
      <left style="medium">
        <color theme="4" tint="-0.24994659260841701"/>
      </left>
      <right style="hair">
        <color indexed="64"/>
      </right>
      <top style="hair">
        <color auto="1"/>
      </top>
      <bottom style="medium">
        <color rgb="FF993300"/>
      </bottom>
      <diagonal/>
    </border>
    <border>
      <left style="medium">
        <color theme="4" tint="-0.24994659260841701"/>
      </left>
      <right style="hair">
        <color indexed="64"/>
      </right>
      <top style="hair">
        <color indexed="64"/>
      </top>
      <bottom/>
      <diagonal/>
    </border>
    <border>
      <left style="hair">
        <color indexed="64"/>
      </left>
      <right style="hair">
        <color indexed="64"/>
      </right>
      <top style="hair">
        <color indexed="64"/>
      </top>
      <bottom/>
      <diagonal/>
    </border>
    <border>
      <left/>
      <right style="medium">
        <color theme="4" tint="-0.24994659260841701"/>
      </right>
      <top style="hair">
        <color indexed="64"/>
      </top>
      <bottom/>
      <diagonal/>
    </border>
    <border>
      <left style="medium">
        <color theme="4" tint="-0.24994659260841701"/>
      </left>
      <right style="hair">
        <color indexed="64"/>
      </right>
      <top style="thin">
        <color rgb="FF993300"/>
      </top>
      <bottom style="hair">
        <color indexed="64"/>
      </bottom>
      <diagonal/>
    </border>
    <border>
      <left style="hair">
        <color indexed="64"/>
      </left>
      <right style="hair">
        <color indexed="64"/>
      </right>
      <top style="thin">
        <color rgb="FF993300"/>
      </top>
      <bottom style="hair">
        <color indexed="64"/>
      </bottom>
      <diagonal/>
    </border>
    <border>
      <left/>
      <right style="medium">
        <color theme="4" tint="-0.24994659260841701"/>
      </right>
      <top style="thin">
        <color rgb="FF993300"/>
      </top>
      <bottom style="hair">
        <color indexed="64"/>
      </bottom>
      <diagonal/>
    </border>
    <border>
      <left style="medium">
        <color theme="4" tint="-0.24994659260841701"/>
      </left>
      <right style="hair">
        <color indexed="64"/>
      </right>
      <top style="medium">
        <color rgb="FF993300"/>
      </top>
      <bottom/>
      <diagonal/>
    </border>
    <border>
      <left/>
      <right style="hair">
        <color indexed="64"/>
      </right>
      <top style="medium">
        <color rgb="FF993300"/>
      </top>
      <bottom/>
      <diagonal/>
    </border>
    <border>
      <left style="hair">
        <color indexed="64"/>
      </left>
      <right style="hair">
        <color indexed="64"/>
      </right>
      <top style="medium">
        <color rgb="FF993300"/>
      </top>
      <bottom/>
      <diagonal/>
    </border>
    <border>
      <left/>
      <right style="hair">
        <color indexed="64"/>
      </right>
      <top style="thin">
        <color rgb="FF993300"/>
      </top>
      <bottom style="hair">
        <color indexed="64"/>
      </bottom>
      <diagonal/>
    </border>
    <border>
      <left style="medium">
        <color theme="4" tint="-0.24994659260841701"/>
      </left>
      <right style="hair">
        <color indexed="64"/>
      </right>
      <top style="hair">
        <color indexed="64"/>
      </top>
      <bottom style="thin">
        <color rgb="FF993300"/>
      </bottom>
      <diagonal/>
    </border>
    <border>
      <left/>
      <right style="hair">
        <color indexed="64"/>
      </right>
      <top style="hair">
        <color indexed="64"/>
      </top>
      <bottom style="thin">
        <color rgb="FF993300"/>
      </bottom>
      <diagonal/>
    </border>
    <border>
      <left style="hair">
        <color indexed="64"/>
      </left>
      <right style="hair">
        <color indexed="64"/>
      </right>
      <top style="hair">
        <color indexed="64"/>
      </top>
      <bottom style="thin">
        <color rgb="FF993300"/>
      </bottom>
      <diagonal/>
    </border>
    <border>
      <left style="medium">
        <color theme="4" tint="-0.24994659260841701"/>
      </left>
      <right style="hair">
        <color indexed="64"/>
      </right>
      <top style="thin">
        <color rgb="FF993300"/>
      </top>
      <bottom style="thin">
        <color rgb="FF993300"/>
      </bottom>
      <diagonal/>
    </border>
    <border>
      <left/>
      <right style="hair">
        <color indexed="64"/>
      </right>
      <top style="thin">
        <color rgb="FF993300"/>
      </top>
      <bottom style="thin">
        <color rgb="FF993300"/>
      </bottom>
      <diagonal/>
    </border>
    <border>
      <left style="hair">
        <color indexed="64"/>
      </left>
      <right style="hair">
        <color indexed="64"/>
      </right>
      <top style="thin">
        <color rgb="FF993300"/>
      </top>
      <bottom style="thin">
        <color rgb="FF993300"/>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right/>
      <top style="medium">
        <color theme="2" tint="-0.499984740745262"/>
      </top>
      <bottom/>
      <diagonal/>
    </border>
    <border>
      <left style="hair">
        <color indexed="64"/>
      </left>
      <right style="hair">
        <color indexed="64"/>
      </right>
      <top style="medium">
        <color theme="2" tint="-0.499984740745262"/>
      </top>
      <bottom style="medium">
        <color rgb="FF993300"/>
      </bottom>
      <diagonal/>
    </border>
    <border>
      <left/>
      <right style="hair">
        <color indexed="64"/>
      </right>
      <top style="medium">
        <color theme="2" tint="-0.499984740745262"/>
      </top>
      <bottom style="medium">
        <color rgb="FF993300"/>
      </bottom>
      <diagonal/>
    </border>
    <border>
      <left style="medium">
        <color theme="2" tint="-0.749961851863155"/>
      </left>
      <right/>
      <top style="medium">
        <color theme="2" tint="-0.749961851863155"/>
      </top>
      <bottom style="medium">
        <color theme="2" tint="-0.749961851863155"/>
      </bottom>
      <diagonal/>
    </border>
    <border>
      <left/>
      <right style="medium">
        <color theme="2" tint="-0.749961851863155"/>
      </right>
      <top style="medium">
        <color theme="2" tint="-0.749961851863155"/>
      </top>
      <bottom style="medium">
        <color theme="2" tint="-0.749961851863155"/>
      </bottom>
      <diagonal/>
    </border>
    <border>
      <left style="hair">
        <color auto="1"/>
      </left>
      <right style="hair">
        <color auto="1"/>
      </right>
      <top style="medium">
        <color theme="2" tint="-0.499984740745262"/>
      </top>
      <bottom style="medium">
        <color theme="2" tint="-0.499984740745262"/>
      </bottom>
      <diagonal/>
    </border>
    <border>
      <left style="hair">
        <color auto="1"/>
      </left>
      <right style="medium">
        <color theme="2" tint="-0.499984740745262"/>
      </right>
      <top style="medium">
        <color theme="2" tint="-0.499984740745262"/>
      </top>
      <bottom style="medium">
        <color theme="2" tint="-0.499984740745262"/>
      </bottom>
      <diagonal/>
    </border>
    <border>
      <left style="hair">
        <color auto="1"/>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right style="medium">
        <color theme="2" tint="-0.499984740745262"/>
      </right>
      <top style="hair">
        <color indexed="64"/>
      </top>
      <bottom style="medium">
        <color theme="2" tint="-0.499984740745262"/>
      </bottom>
      <diagonal/>
    </border>
    <border>
      <left style="hair">
        <color auto="1"/>
      </left>
      <right/>
      <top style="medium">
        <color theme="2" tint="-0.499984740745262"/>
      </top>
      <bottom style="hair">
        <color indexed="64"/>
      </bottom>
      <diagonal/>
    </border>
    <border>
      <left style="hair">
        <color auto="1"/>
      </left>
      <right/>
      <top style="hair">
        <color indexed="64"/>
      </top>
      <bottom style="medium">
        <color theme="2" tint="-0.499984740745262"/>
      </bottom>
      <diagonal/>
    </border>
    <border>
      <left style="thin">
        <color theme="2" tint="-0.499984740745262"/>
      </left>
      <right style="hair">
        <color indexed="64"/>
      </right>
      <top style="medium">
        <color theme="2" tint="-0.499984740745262"/>
      </top>
      <bottom style="medium">
        <color rgb="FF993300"/>
      </bottom>
      <diagonal/>
    </border>
    <border>
      <left style="hair">
        <color indexed="64"/>
      </left>
      <right/>
      <top style="medium">
        <color theme="2" tint="-0.499984740745262"/>
      </top>
      <bottom style="medium">
        <color rgb="FF993300"/>
      </bottom>
      <diagonal/>
    </border>
    <border>
      <left/>
      <right/>
      <top style="medium">
        <color theme="2" tint="-0.499984740745262"/>
      </top>
      <bottom style="medium">
        <color theme="2" tint="-0.499984740745262"/>
      </bottom>
      <diagonal/>
    </border>
    <border>
      <left style="medium">
        <color theme="2" tint="-0.499984740745262"/>
      </left>
      <right/>
      <top/>
      <bottom style="thin">
        <color theme="2" tint="-0.499984740745262"/>
      </bottom>
      <diagonal/>
    </border>
    <border>
      <left/>
      <right/>
      <top/>
      <bottom style="thin">
        <color theme="2" tint="-0.499984740745262"/>
      </bottom>
      <diagonal/>
    </border>
    <border>
      <left style="medium">
        <color theme="4" tint="-0.24994659260841701"/>
      </left>
      <right/>
      <top/>
      <bottom style="thin">
        <color theme="2" tint="-0.499984740745262"/>
      </bottom>
      <diagonal/>
    </border>
    <border>
      <left/>
      <right style="medium">
        <color theme="4" tint="-0.24994659260841701"/>
      </right>
      <top/>
      <bottom style="thin">
        <color theme="2" tint="-0.499984740745262"/>
      </bottom>
      <diagonal/>
    </border>
    <border>
      <left style="medium">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4" tint="-0.24994659260841701"/>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hair">
        <color indexed="64"/>
      </left>
      <right/>
      <top/>
      <bottom style="thin">
        <color rgb="FFC00000"/>
      </bottom>
      <diagonal/>
    </border>
    <border>
      <left/>
      <right style="medium">
        <color theme="2" tint="-0.499984740745262"/>
      </right>
      <top/>
      <bottom style="thin">
        <color rgb="FFC00000"/>
      </bottom>
      <diagonal/>
    </border>
    <border>
      <left style="hair">
        <color indexed="16"/>
      </left>
      <right/>
      <top style="medium">
        <color indexed="16"/>
      </top>
      <bottom style="thin">
        <color indexed="16"/>
      </bottom>
      <diagonal/>
    </border>
    <border>
      <left/>
      <right/>
      <top style="medium">
        <color indexed="16"/>
      </top>
      <bottom style="thin">
        <color indexed="16"/>
      </bottom>
      <diagonal/>
    </border>
    <border>
      <left/>
      <right style="medium">
        <color indexed="16"/>
      </right>
      <top style="medium">
        <color indexed="16"/>
      </top>
      <bottom style="thin">
        <color indexed="16"/>
      </bottom>
      <diagonal/>
    </border>
    <border>
      <left style="medium">
        <color rgb="FF993300"/>
      </left>
      <right style="thin">
        <color rgb="FFC00000"/>
      </right>
      <top style="thin">
        <color rgb="FFC00000"/>
      </top>
      <bottom style="medium">
        <color rgb="FF993300"/>
      </bottom>
      <diagonal/>
    </border>
    <border>
      <left style="medium">
        <color theme="2" tint="-0.499984740745262"/>
      </left>
      <right/>
      <top style="medium">
        <color theme="2" tint="-0.499984740745262"/>
      </top>
      <bottom style="thin">
        <color indexed="16"/>
      </bottom>
      <diagonal/>
    </border>
    <border>
      <left/>
      <right/>
      <top style="medium">
        <color theme="2" tint="-0.499984740745262"/>
      </top>
      <bottom style="thin">
        <color indexed="16"/>
      </bottom>
      <diagonal/>
    </border>
    <border>
      <left/>
      <right style="medium">
        <color theme="2" tint="-0.499984740745262"/>
      </right>
      <top style="medium">
        <color theme="2" tint="-0.499984740745262"/>
      </top>
      <bottom style="thin">
        <color indexed="16"/>
      </bottom>
      <diagonal/>
    </border>
    <border>
      <left style="medium">
        <color theme="2" tint="-0.499984740745262"/>
      </left>
      <right style="hair">
        <color rgb="FF993300"/>
      </right>
      <top style="medium">
        <color rgb="FF993300"/>
      </top>
      <bottom style="hair">
        <color rgb="FF993300"/>
      </bottom>
      <diagonal/>
    </border>
    <border>
      <left style="thin">
        <color rgb="FF993300"/>
      </left>
      <right style="medium">
        <color theme="2" tint="-0.499984740745262"/>
      </right>
      <top style="medium">
        <color rgb="FF993300"/>
      </top>
      <bottom style="hair">
        <color rgb="FF993300"/>
      </bottom>
      <diagonal/>
    </border>
    <border>
      <left style="medium">
        <color theme="2" tint="-0.499984740745262"/>
      </left>
      <right style="hair">
        <color rgb="FF993300"/>
      </right>
      <top style="hair">
        <color rgb="FF993300"/>
      </top>
      <bottom style="hair">
        <color rgb="FF993300"/>
      </bottom>
      <diagonal/>
    </border>
    <border>
      <left style="thin">
        <color rgb="FF993300"/>
      </left>
      <right style="medium">
        <color theme="2" tint="-0.499984740745262"/>
      </right>
      <top style="hair">
        <color rgb="FF993300"/>
      </top>
      <bottom style="hair">
        <color rgb="FF993300"/>
      </bottom>
      <diagonal/>
    </border>
    <border>
      <left/>
      <right style="hair">
        <color rgb="FF993300"/>
      </right>
      <top style="thin">
        <color indexed="16"/>
      </top>
      <bottom style="medium">
        <color rgb="FF993300"/>
      </bottom>
      <diagonal/>
    </border>
    <border>
      <left style="hair">
        <color rgb="FF993300"/>
      </left>
      <right style="hair">
        <color rgb="FF993300"/>
      </right>
      <top style="thin">
        <color indexed="16"/>
      </top>
      <bottom style="medium">
        <color rgb="FF993300"/>
      </bottom>
      <diagonal/>
    </border>
    <border>
      <left style="thin">
        <color rgb="FF993300"/>
      </left>
      <right style="medium">
        <color theme="2" tint="-0.499984740745262"/>
      </right>
      <top style="thin">
        <color indexed="16"/>
      </top>
      <bottom style="medium">
        <color rgb="FF993300"/>
      </bottom>
      <diagonal/>
    </border>
    <border>
      <left style="medium">
        <color rgb="FF993300"/>
      </left>
      <right style="hair">
        <color rgb="FF993300"/>
      </right>
      <top style="medium">
        <color rgb="FF993300"/>
      </top>
      <bottom style="thin">
        <color rgb="FF993300"/>
      </bottom>
      <diagonal/>
    </border>
    <border>
      <left style="hair">
        <color rgb="FF993300"/>
      </left>
      <right style="hair">
        <color rgb="FF993300"/>
      </right>
      <top style="medium">
        <color rgb="FF993300"/>
      </top>
      <bottom style="thin">
        <color rgb="FF993300"/>
      </bottom>
      <diagonal/>
    </border>
    <border>
      <left style="hair">
        <color rgb="FF993300"/>
      </left>
      <right style="medium">
        <color rgb="FF993300"/>
      </right>
      <top style="medium">
        <color rgb="FF993300"/>
      </top>
      <bottom style="thin">
        <color rgb="FF993300"/>
      </bottom>
      <diagonal/>
    </border>
    <border>
      <left style="medium">
        <color rgb="FF993300"/>
      </left>
      <right style="hair">
        <color rgb="FF993300"/>
      </right>
      <top style="thin">
        <color rgb="FF993300"/>
      </top>
      <bottom style="double">
        <color rgb="FF993300"/>
      </bottom>
      <diagonal/>
    </border>
    <border>
      <left style="hair">
        <color rgb="FF993300"/>
      </left>
      <right style="medium">
        <color rgb="FF993300"/>
      </right>
      <top style="thin">
        <color rgb="FF993300"/>
      </top>
      <bottom style="double">
        <color rgb="FF993300"/>
      </bottom>
      <diagonal/>
    </border>
    <border>
      <left style="medium">
        <color indexed="16"/>
      </left>
      <right/>
      <top style="medium">
        <color indexed="16"/>
      </top>
      <bottom style="thin">
        <color indexed="16"/>
      </bottom>
      <diagonal/>
    </border>
    <border>
      <left style="medium">
        <color indexed="16"/>
      </left>
      <right/>
      <top style="thin">
        <color indexed="16"/>
      </top>
      <bottom style="thin">
        <color indexed="16"/>
      </bottom>
      <diagonal/>
    </border>
    <border>
      <left/>
      <right/>
      <top style="thin">
        <color indexed="16"/>
      </top>
      <bottom style="thin">
        <color indexed="16"/>
      </bottom>
      <diagonal/>
    </border>
    <border>
      <left/>
      <right style="medium">
        <color indexed="16"/>
      </right>
      <top style="thin">
        <color indexed="16"/>
      </top>
      <bottom style="thin">
        <color indexed="16"/>
      </bottom>
      <diagonal/>
    </border>
    <border>
      <left style="medium">
        <color indexed="16"/>
      </left>
      <right/>
      <top style="thin">
        <color indexed="16"/>
      </top>
      <bottom style="medium">
        <color indexed="16"/>
      </bottom>
      <diagonal/>
    </border>
    <border>
      <left/>
      <right/>
      <top style="thin">
        <color indexed="16"/>
      </top>
      <bottom style="medium">
        <color indexed="16"/>
      </bottom>
      <diagonal/>
    </border>
    <border>
      <left/>
      <right style="medium">
        <color indexed="16"/>
      </right>
      <top style="thin">
        <color indexed="16"/>
      </top>
      <bottom style="medium">
        <color indexed="16"/>
      </bottom>
      <diagonal/>
    </border>
    <border>
      <left/>
      <right style="hair">
        <color rgb="FF993300"/>
      </right>
      <top style="thin">
        <color rgb="FF993300"/>
      </top>
      <bottom style="double">
        <color rgb="FF993300"/>
      </bottom>
      <diagonal/>
    </border>
    <border>
      <left style="medium">
        <color rgb="FF993300"/>
      </left>
      <right style="hair">
        <color auto="1"/>
      </right>
      <top style="medium">
        <color rgb="FF993300"/>
      </top>
      <bottom style="double">
        <color rgb="FF993300"/>
      </bottom>
      <diagonal/>
    </border>
    <border>
      <left style="hair">
        <color auto="1"/>
      </left>
      <right style="thin">
        <color rgb="FF993300"/>
      </right>
      <top style="medium">
        <color rgb="FF993300"/>
      </top>
      <bottom style="double">
        <color rgb="FF993300"/>
      </bottom>
      <diagonal/>
    </border>
    <border>
      <left style="medium">
        <color rgb="FF993300"/>
      </left>
      <right style="hair">
        <color auto="1"/>
      </right>
      <top/>
      <bottom style="hair">
        <color rgb="FF993300"/>
      </bottom>
      <diagonal/>
    </border>
    <border>
      <left style="hair">
        <color auto="1"/>
      </left>
      <right style="thin">
        <color rgb="FF993300"/>
      </right>
      <top/>
      <bottom style="hair">
        <color rgb="FF993300"/>
      </bottom>
      <diagonal/>
    </border>
    <border>
      <left style="medium">
        <color rgb="FF993300"/>
      </left>
      <right style="hair">
        <color auto="1"/>
      </right>
      <top style="hair">
        <color rgb="FF993300"/>
      </top>
      <bottom style="hair">
        <color rgb="FF993300"/>
      </bottom>
      <diagonal/>
    </border>
    <border>
      <left style="hair">
        <color auto="1"/>
      </left>
      <right style="thin">
        <color rgb="FF993300"/>
      </right>
      <top style="hair">
        <color rgb="FF993300"/>
      </top>
      <bottom style="hair">
        <color rgb="FF993300"/>
      </bottom>
      <diagonal/>
    </border>
    <border>
      <left style="medium">
        <color rgb="FF993300"/>
      </left>
      <right style="hair">
        <color auto="1"/>
      </right>
      <top style="hair">
        <color rgb="FF993300"/>
      </top>
      <bottom style="medium">
        <color rgb="FF993300"/>
      </bottom>
      <diagonal/>
    </border>
    <border>
      <left style="hair">
        <color auto="1"/>
      </left>
      <right style="thin">
        <color rgb="FF993300"/>
      </right>
      <top style="hair">
        <color rgb="FF993300"/>
      </top>
      <bottom style="medium">
        <color rgb="FF993300"/>
      </bottom>
      <diagonal/>
    </border>
    <border>
      <left/>
      <right style="hair">
        <color indexed="16"/>
      </right>
      <top style="medium">
        <color indexed="16"/>
      </top>
      <bottom style="thin">
        <color indexed="16"/>
      </bottom>
      <diagonal/>
    </border>
    <border>
      <left/>
      <right style="hair">
        <color indexed="16"/>
      </right>
      <top style="thin">
        <color indexed="16"/>
      </top>
      <bottom style="thin">
        <color indexed="16"/>
      </bottom>
      <diagonal/>
    </border>
    <border>
      <left style="hair">
        <color indexed="16"/>
      </left>
      <right/>
      <top style="thin">
        <color indexed="16"/>
      </top>
      <bottom style="thin">
        <color indexed="16"/>
      </bottom>
      <diagonal/>
    </border>
    <border>
      <left style="hair">
        <color indexed="16"/>
      </left>
      <right/>
      <top style="thin">
        <color indexed="16"/>
      </top>
      <bottom style="medium">
        <color indexed="16"/>
      </bottom>
      <diagonal/>
    </border>
    <border>
      <left/>
      <right style="hair">
        <color indexed="16"/>
      </right>
      <top style="thin">
        <color indexed="16"/>
      </top>
      <bottom style="medium">
        <color indexed="16"/>
      </bottom>
      <diagonal/>
    </border>
    <border>
      <left/>
      <right/>
      <top style="medium">
        <color indexed="16"/>
      </top>
      <bottom/>
      <diagonal/>
    </border>
    <border>
      <left/>
      <right style="medium">
        <color indexed="16"/>
      </right>
      <top style="medium">
        <color indexed="16"/>
      </top>
      <bottom/>
      <diagonal/>
    </border>
    <border>
      <left style="hair">
        <color indexed="53"/>
      </left>
      <right style="medium">
        <color rgb="FF993300"/>
      </right>
      <top/>
      <bottom style="hair">
        <color rgb="FF993300"/>
      </bottom>
      <diagonal/>
    </border>
    <border>
      <left style="hair">
        <color indexed="53"/>
      </left>
      <right style="medium">
        <color rgb="FF993300"/>
      </right>
      <top style="hair">
        <color rgb="FF993300"/>
      </top>
      <bottom style="hair">
        <color rgb="FF993300"/>
      </bottom>
      <diagonal/>
    </border>
    <border>
      <left/>
      <right/>
      <top style="medium">
        <color indexed="16"/>
      </top>
      <bottom style="thin">
        <color rgb="FF993300"/>
      </bottom>
      <diagonal/>
    </border>
    <border>
      <left style="medium">
        <color rgb="FF993300"/>
      </left>
      <right/>
      <top style="medium">
        <color indexed="16"/>
      </top>
      <bottom style="thin">
        <color rgb="FF993300"/>
      </bottom>
      <diagonal/>
    </border>
    <border>
      <left/>
      <right style="medium">
        <color rgb="FF993300"/>
      </right>
      <top style="medium">
        <color indexed="16"/>
      </top>
      <bottom style="thin">
        <color rgb="FF993300"/>
      </bottom>
      <diagonal/>
    </border>
    <border>
      <left style="medium">
        <color rgb="FF993300"/>
      </left>
      <right style="hair">
        <color indexed="53"/>
      </right>
      <top/>
      <bottom style="hair">
        <color rgb="FF993300"/>
      </bottom>
      <diagonal/>
    </border>
    <border>
      <left style="medium">
        <color rgb="FF993300"/>
      </left>
      <right style="hair">
        <color indexed="53"/>
      </right>
      <top style="hair">
        <color rgb="FF993300"/>
      </top>
      <bottom style="hair">
        <color rgb="FF993300"/>
      </bottom>
      <diagonal/>
    </border>
    <border>
      <left style="medium">
        <color rgb="FF993300"/>
      </left>
      <right style="hair">
        <color rgb="FF993300"/>
      </right>
      <top style="medium">
        <color indexed="16"/>
      </top>
      <bottom style="thin">
        <color rgb="FF993300"/>
      </bottom>
      <diagonal/>
    </border>
    <border>
      <left style="hair">
        <color rgb="FF993300"/>
      </left>
      <right style="hair">
        <color rgb="FF993300"/>
      </right>
      <top style="medium">
        <color indexed="16"/>
      </top>
      <bottom style="thin">
        <color rgb="FF993300"/>
      </bottom>
      <diagonal/>
    </border>
    <border>
      <left style="hair">
        <color rgb="FF993300"/>
      </left>
      <right style="medium">
        <color rgb="FF993300"/>
      </right>
      <top style="medium">
        <color indexed="16"/>
      </top>
      <bottom style="thin">
        <color rgb="FF993300"/>
      </bottom>
      <diagonal/>
    </border>
    <border>
      <left style="thin">
        <color rgb="FFC00000"/>
      </left>
      <right/>
      <top style="hair">
        <color auto="1"/>
      </top>
      <bottom style="hair">
        <color auto="1"/>
      </bottom>
      <diagonal/>
    </border>
    <border>
      <left style="medium">
        <color theme="9" tint="-0.499984740745262"/>
      </left>
      <right/>
      <top/>
      <bottom style="hair">
        <color indexed="64"/>
      </bottom>
      <diagonal/>
    </border>
    <border>
      <left style="thin">
        <color rgb="FF993300"/>
      </left>
      <right style="thin">
        <color theme="9" tint="-0.499984740745262"/>
      </right>
      <top style="medium">
        <color rgb="FF993300"/>
      </top>
      <bottom style="thin">
        <color rgb="FF993300"/>
      </bottom>
      <diagonal/>
    </border>
    <border>
      <left style="thin">
        <color rgb="FF993300"/>
      </left>
      <right style="thin">
        <color theme="9" tint="-0.499984740745262"/>
      </right>
      <top style="thin">
        <color rgb="FF993300"/>
      </top>
      <bottom style="thin">
        <color rgb="FF993300"/>
      </bottom>
      <diagonal/>
    </border>
    <border>
      <left style="thin">
        <color rgb="FF993300"/>
      </left>
      <right style="thin">
        <color theme="9" tint="-0.499984740745262"/>
      </right>
      <top style="thin">
        <color rgb="FF993300"/>
      </top>
      <bottom style="medium">
        <color rgb="FF993300"/>
      </bottom>
      <diagonal/>
    </border>
    <border>
      <left style="medium">
        <color theme="9" tint="-0.499984740745262"/>
      </left>
      <right/>
      <top style="hair">
        <color indexed="64"/>
      </top>
      <bottom style="hair">
        <color indexed="64"/>
      </bottom>
      <diagonal/>
    </border>
    <border>
      <left style="thin">
        <color theme="9" tint="-0.499984740745262"/>
      </left>
      <right style="thin">
        <color theme="9" tint="-0.499984740745262"/>
      </right>
      <top/>
      <bottom style="hair">
        <color indexed="64"/>
      </bottom>
      <diagonal/>
    </border>
    <border>
      <left style="thin">
        <color theme="9" tint="-0.499984740745262"/>
      </left>
      <right style="thin">
        <color theme="9" tint="-0.499984740745262"/>
      </right>
      <top style="hair">
        <color indexed="64"/>
      </top>
      <bottom style="hair">
        <color indexed="64"/>
      </bottom>
      <diagonal/>
    </border>
    <border>
      <left style="thin">
        <color theme="9" tint="-0.499984740745262"/>
      </left>
      <right/>
      <top/>
      <bottom style="hair">
        <color theme="3" tint="-0.24994659260841701"/>
      </bottom>
      <diagonal/>
    </border>
    <border>
      <left style="thin">
        <color theme="9" tint="-0.499984740745262"/>
      </left>
      <right/>
      <top style="hair">
        <color theme="3" tint="-0.24994659260841701"/>
      </top>
      <bottom style="hair">
        <color theme="3" tint="-0.24994659260841701"/>
      </bottom>
      <diagonal/>
    </border>
    <border>
      <left style="thin">
        <color theme="9" tint="-0.499984740745262"/>
      </left>
      <right style="hair">
        <color theme="9" tint="-0.499984740745262"/>
      </right>
      <top/>
      <bottom style="hair">
        <color indexed="64"/>
      </bottom>
      <diagonal/>
    </border>
    <border>
      <left/>
      <right/>
      <top style="thick">
        <color theme="9" tint="-0.499984740745262"/>
      </top>
      <bottom/>
      <diagonal/>
    </border>
    <border>
      <left style="thin">
        <color theme="9" tint="-0.499984740745262"/>
      </left>
      <right style="thin">
        <color theme="9" tint="-0.499984740745262"/>
      </right>
      <top style="hair">
        <color theme="3" tint="-0.24994659260841701"/>
      </top>
      <bottom/>
      <diagonal/>
    </border>
    <border>
      <left style="thin">
        <color theme="9" tint="-0.499984740745262"/>
      </left>
      <right/>
      <top style="hair">
        <color theme="3" tint="-0.24994659260841701"/>
      </top>
      <bottom/>
      <diagonal/>
    </border>
    <border>
      <left/>
      <right style="medium">
        <color theme="9" tint="-0.499984740745262"/>
      </right>
      <top/>
      <bottom/>
      <diagonal/>
    </border>
    <border>
      <left/>
      <right/>
      <top/>
      <bottom style="medium">
        <color theme="9" tint="-0.499984740745262"/>
      </bottom>
      <diagonal/>
    </border>
    <border>
      <left/>
      <right style="thin">
        <color theme="9" tint="-0.499984740745262"/>
      </right>
      <top/>
      <bottom style="hair">
        <color theme="3" tint="-0.24994659260841701"/>
      </bottom>
      <diagonal/>
    </border>
    <border>
      <left/>
      <right style="thin">
        <color theme="9" tint="-0.499984740745262"/>
      </right>
      <top style="hair">
        <color theme="3" tint="-0.24994659260841701"/>
      </top>
      <bottom style="hair">
        <color theme="3" tint="-0.24994659260841701"/>
      </bottom>
      <diagonal/>
    </border>
    <border>
      <left/>
      <right style="thin">
        <color theme="9" tint="-0.499984740745262"/>
      </right>
      <top style="hair">
        <color theme="3" tint="-0.24994659260841701"/>
      </top>
      <bottom/>
      <diagonal/>
    </border>
    <border>
      <left style="medium">
        <color theme="9" tint="-0.499984740745262"/>
      </left>
      <right style="thin">
        <color theme="9" tint="-0.499984740745262"/>
      </right>
      <top style="medium">
        <color theme="9" tint="-0.499984740745262"/>
      </top>
      <bottom style="double">
        <color theme="5" tint="-0.24994659260841701"/>
      </bottom>
      <diagonal/>
    </border>
    <border>
      <left style="medium">
        <color theme="9" tint="-0.499984740745262"/>
      </left>
      <right style="thin">
        <color theme="9" tint="-0.499984740745262"/>
      </right>
      <top/>
      <bottom style="hair">
        <color indexed="64"/>
      </bottom>
      <diagonal/>
    </border>
    <border>
      <left style="medium">
        <color theme="9" tint="-0.499984740745262"/>
      </left>
      <right style="thin">
        <color theme="9" tint="-0.499984740745262"/>
      </right>
      <top style="hair">
        <color indexed="64"/>
      </top>
      <bottom style="hair">
        <color indexed="64"/>
      </bottom>
      <diagonal/>
    </border>
    <border>
      <left style="medium">
        <color theme="9" tint="-0.499984740745262"/>
      </left>
      <right style="thin">
        <color theme="9" tint="-0.499984740745262"/>
      </right>
      <top style="hair">
        <color indexed="64"/>
      </top>
      <bottom style="thick">
        <color theme="9" tint="-0.499984740745262"/>
      </bottom>
      <diagonal/>
    </border>
    <border>
      <left style="medium">
        <color theme="2" tint="-0.499984740745262"/>
      </left>
      <right/>
      <top/>
      <bottom/>
      <diagonal/>
    </border>
    <border>
      <left style="thin">
        <color theme="2" tint="-0.499984740745262"/>
      </left>
      <right style="medium">
        <color theme="2" tint="-0.499984740745262"/>
      </right>
      <top style="thin">
        <color theme="2" tint="-0.749961851863155"/>
      </top>
      <bottom style="medium">
        <color rgb="FF993300"/>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style="hair">
        <color indexed="64"/>
      </left>
      <right style="medium">
        <color theme="2" tint="-0.499984740745262"/>
      </right>
      <top/>
      <bottom/>
      <diagonal/>
    </border>
    <border>
      <left/>
      <right style="medium">
        <color theme="2" tint="-0.499984740745262"/>
      </right>
      <top style="medium">
        <color rgb="FF993300"/>
      </top>
      <bottom/>
      <diagonal/>
    </border>
    <border>
      <left style="medium">
        <color rgb="FFC00000"/>
      </left>
      <right style="hair">
        <color indexed="64"/>
      </right>
      <top style="hair">
        <color indexed="64"/>
      </top>
      <bottom style="hair">
        <color indexed="64"/>
      </bottom>
      <diagonal/>
    </border>
    <border>
      <left/>
      <right style="medium">
        <color theme="4" tint="-0.24994659260841701"/>
      </right>
      <top style="hair">
        <color indexed="64"/>
      </top>
      <bottom style="hair">
        <color indexed="64"/>
      </bottom>
      <diagonal/>
    </border>
    <border>
      <left style="medium">
        <color theme="4" tint="-0.24994659260841701"/>
      </left>
      <right style="hair">
        <color indexed="64"/>
      </right>
      <top style="hair">
        <color indexed="64"/>
      </top>
      <bottom style="hair">
        <color indexed="64"/>
      </bottom>
      <diagonal/>
    </border>
    <border>
      <left/>
      <right style="medium">
        <color theme="2" tint="-0.499984740745262"/>
      </right>
      <top style="thin">
        <color rgb="FF993300"/>
      </top>
      <bottom style="hair">
        <color indexed="64"/>
      </bottom>
      <diagonal/>
    </border>
    <border>
      <left/>
      <right style="medium">
        <color theme="2" tint="-0.499984740745262"/>
      </right>
      <top style="hair">
        <color indexed="64"/>
      </top>
      <bottom style="thin">
        <color rgb="FF993300"/>
      </bottom>
      <diagonal/>
    </border>
    <border>
      <left/>
      <right style="medium">
        <color theme="2" tint="-0.499984740745262"/>
      </right>
      <top style="thin">
        <color rgb="FF993300"/>
      </top>
      <bottom style="thin">
        <color rgb="FF993300"/>
      </bottom>
      <diagonal/>
    </border>
    <border>
      <left style="hair">
        <color indexed="64"/>
      </left>
      <right/>
      <top/>
      <bottom style="hair">
        <color auto="1"/>
      </bottom>
      <diagonal/>
    </border>
    <border>
      <left/>
      <right style="medium">
        <color theme="2" tint="-0.499984740745262"/>
      </right>
      <top/>
      <bottom style="hair">
        <color auto="1"/>
      </bottom>
      <diagonal/>
    </border>
    <border>
      <left style="hair">
        <color indexed="64"/>
      </left>
      <right style="hair">
        <color indexed="64"/>
      </right>
      <top style="hair">
        <color indexed="64"/>
      </top>
      <bottom style="medium">
        <color rgb="FF993300"/>
      </bottom>
      <diagonal/>
    </border>
    <border>
      <left/>
      <right style="medium">
        <color theme="2" tint="-0.499984740745262"/>
      </right>
      <top style="hair">
        <color auto="1"/>
      </top>
      <bottom style="medium">
        <color rgb="FF993300"/>
      </bottom>
      <diagonal/>
    </border>
    <border>
      <left style="medium">
        <color theme="5" tint="-0.24994659260841701"/>
      </left>
      <right/>
      <top style="medium">
        <color indexed="16"/>
      </top>
      <bottom style="thin">
        <color theme="5" tint="-0.24994659260841701"/>
      </bottom>
      <diagonal/>
    </border>
    <border>
      <left/>
      <right/>
      <top style="medium">
        <color indexed="16"/>
      </top>
      <bottom style="thin">
        <color theme="5" tint="-0.24994659260841701"/>
      </bottom>
      <diagonal/>
    </border>
    <border>
      <left/>
      <right style="medium">
        <color theme="9" tint="-0.499984740745262"/>
      </right>
      <top style="medium">
        <color indexed="16"/>
      </top>
      <bottom style="thin">
        <color theme="5" tint="-0.24994659260841701"/>
      </bottom>
      <diagonal/>
    </border>
    <border>
      <left/>
      <right style="hair">
        <color theme="5" tint="-0.24994659260841701"/>
      </right>
      <top style="thin">
        <color theme="5" tint="-0.24994659260841701"/>
      </top>
      <bottom style="double">
        <color theme="5" tint="-0.24994659260841701"/>
      </bottom>
      <diagonal/>
    </border>
    <border>
      <left/>
      <right style="hair">
        <color theme="5" tint="-0.24994659260841701"/>
      </right>
      <top/>
      <bottom style="hair">
        <color indexed="64"/>
      </bottom>
      <diagonal/>
    </border>
    <border>
      <left style="medium">
        <color theme="5" tint="-0.24994659260841701"/>
      </left>
      <right style="hair">
        <color theme="5" tint="-0.24994659260841701"/>
      </right>
      <top style="hair">
        <color indexed="64"/>
      </top>
      <bottom style="thick">
        <color theme="9" tint="-0.499984740745262"/>
      </bottom>
      <diagonal/>
    </border>
    <border>
      <left style="medium">
        <color rgb="FF993300"/>
      </left>
      <right style="dotted">
        <color rgb="FF993300"/>
      </right>
      <top style="medium">
        <color rgb="FF993300"/>
      </top>
      <bottom style="medium">
        <color rgb="FF993300"/>
      </bottom>
      <diagonal/>
    </border>
    <border>
      <left style="dotted">
        <color rgb="FF993300"/>
      </left>
      <right style="dotted">
        <color rgb="FF993300"/>
      </right>
      <top style="medium">
        <color rgb="FF993300"/>
      </top>
      <bottom style="medium">
        <color rgb="FF993300"/>
      </bottom>
      <diagonal/>
    </border>
    <border>
      <left style="dotted">
        <color rgb="FF993300"/>
      </left>
      <right style="medium">
        <color rgb="FF993300"/>
      </right>
      <top style="medium">
        <color rgb="FF993300"/>
      </top>
      <bottom style="medium">
        <color rgb="FF993300"/>
      </bottom>
      <diagonal/>
    </border>
    <border>
      <left style="medium">
        <color rgb="FF993300"/>
      </left>
      <right style="dotted">
        <color rgb="FF993300"/>
      </right>
      <top style="medium">
        <color rgb="FF993300"/>
      </top>
      <bottom style="double">
        <color rgb="FF993300"/>
      </bottom>
      <diagonal/>
    </border>
    <border>
      <left style="dotted">
        <color rgb="FF993300"/>
      </left>
      <right style="dotted">
        <color rgb="FF993300"/>
      </right>
      <top style="medium">
        <color rgb="FF993300"/>
      </top>
      <bottom style="double">
        <color rgb="FF993300"/>
      </bottom>
      <diagonal/>
    </border>
    <border>
      <left style="medium">
        <color rgb="FF993300"/>
      </left>
      <right style="dotted">
        <color rgb="FF993300"/>
      </right>
      <top/>
      <bottom style="hair">
        <color indexed="54"/>
      </bottom>
      <diagonal/>
    </border>
    <border>
      <left style="dotted">
        <color rgb="FF993300"/>
      </left>
      <right style="dotted">
        <color rgb="FF993300"/>
      </right>
      <top/>
      <bottom style="hair">
        <color rgb="FF993300"/>
      </bottom>
      <diagonal/>
    </border>
    <border>
      <left style="dotted">
        <color rgb="FF993300"/>
      </left>
      <right style="medium">
        <color rgb="FF993300"/>
      </right>
      <top/>
      <bottom style="hair">
        <color indexed="17"/>
      </bottom>
      <diagonal/>
    </border>
    <border>
      <left style="medium">
        <color rgb="FF993300"/>
      </left>
      <right style="dotted">
        <color rgb="FF993300"/>
      </right>
      <top style="hair">
        <color indexed="54"/>
      </top>
      <bottom style="hair">
        <color indexed="54"/>
      </bottom>
      <diagonal/>
    </border>
    <border>
      <left style="dotted">
        <color rgb="FF993300"/>
      </left>
      <right style="dotted">
        <color rgb="FF993300"/>
      </right>
      <top style="hair">
        <color rgb="FF993300"/>
      </top>
      <bottom style="hair">
        <color rgb="FF993300"/>
      </bottom>
      <diagonal/>
    </border>
    <border>
      <left style="dotted">
        <color rgb="FF993300"/>
      </left>
      <right style="medium">
        <color rgb="FF993300"/>
      </right>
      <top/>
      <bottom style="hair">
        <color indexed="58"/>
      </bottom>
      <diagonal/>
    </border>
    <border>
      <left style="dotted">
        <color rgb="FF993300"/>
      </left>
      <right style="medium">
        <color rgb="FF993300"/>
      </right>
      <top style="hair">
        <color indexed="58"/>
      </top>
      <bottom style="hair">
        <color indexed="58"/>
      </bottom>
      <diagonal/>
    </border>
    <border>
      <left style="medium">
        <color rgb="FF993300"/>
      </left>
      <right style="dotted">
        <color rgb="FF993300"/>
      </right>
      <top style="hair">
        <color indexed="54"/>
      </top>
      <bottom/>
      <diagonal/>
    </border>
    <border>
      <left style="dotted">
        <color rgb="FF993300"/>
      </left>
      <right style="dotted">
        <color rgb="FF993300"/>
      </right>
      <top style="hair">
        <color rgb="FF993300"/>
      </top>
      <bottom/>
      <diagonal/>
    </border>
    <border>
      <left style="dotted">
        <color rgb="FF993300"/>
      </left>
      <right style="medium">
        <color rgb="FF993300"/>
      </right>
      <top style="hair">
        <color indexed="58"/>
      </top>
      <bottom/>
      <diagonal/>
    </border>
    <border>
      <left style="medium">
        <color rgb="FF993300"/>
      </left>
      <right style="dotted">
        <color rgb="FF993300"/>
      </right>
      <top style="medium">
        <color rgb="FF222E9E"/>
      </top>
      <bottom style="hair">
        <color indexed="54"/>
      </bottom>
      <diagonal/>
    </border>
    <border>
      <left style="dotted">
        <color rgb="FF993300"/>
      </left>
      <right style="dotted">
        <color rgb="FF993300"/>
      </right>
      <top style="medium">
        <color rgb="FF222E9E"/>
      </top>
      <bottom style="hair">
        <color rgb="FF993300"/>
      </bottom>
      <diagonal/>
    </border>
    <border>
      <left style="dotted">
        <color rgb="FF993300"/>
      </left>
      <right style="medium">
        <color rgb="FF993300"/>
      </right>
      <top style="medium">
        <color rgb="FF222E9E"/>
      </top>
      <bottom style="hair">
        <color indexed="58"/>
      </bottom>
      <diagonal/>
    </border>
    <border>
      <left style="dotted">
        <color rgb="FF993300"/>
      </left>
      <right style="dotted">
        <color rgb="FF993300"/>
      </right>
      <top style="hair">
        <color rgb="FF993300"/>
      </top>
      <bottom style="medium">
        <color rgb="FF993300"/>
      </bottom>
      <diagonal/>
    </border>
    <border>
      <left/>
      <right/>
      <top/>
      <bottom style="thin">
        <color rgb="FF993300"/>
      </bottom>
      <diagonal/>
    </border>
    <border>
      <left style="dotted">
        <color rgb="FF993300"/>
      </left>
      <right style="dotted">
        <color rgb="FF993300"/>
      </right>
      <top style="thin">
        <color rgb="FF993300"/>
      </top>
      <bottom style="double">
        <color rgb="FF993300"/>
      </bottom>
      <diagonal/>
    </border>
    <border>
      <left style="dotted">
        <color rgb="FF993300"/>
      </left>
      <right style="medium">
        <color rgb="FF993300"/>
      </right>
      <top/>
      <bottom style="hair">
        <color rgb="FF993300"/>
      </bottom>
      <diagonal/>
    </border>
    <border>
      <left/>
      <right style="dotted">
        <color rgb="FF993300"/>
      </right>
      <top style="hair">
        <color rgb="FF993300"/>
      </top>
      <bottom style="hair">
        <color rgb="FF993300"/>
      </bottom>
      <diagonal/>
    </border>
    <border>
      <left style="dotted">
        <color rgb="FF993300"/>
      </left>
      <right style="medium">
        <color rgb="FF993300"/>
      </right>
      <top style="hair">
        <color rgb="FF993300"/>
      </top>
      <bottom style="hair">
        <color rgb="FF993300"/>
      </bottom>
      <diagonal/>
    </border>
    <border>
      <left/>
      <right style="dotted">
        <color rgb="FF993300"/>
      </right>
      <top style="hair">
        <color rgb="FF993300"/>
      </top>
      <bottom style="medium">
        <color rgb="FF993300"/>
      </bottom>
      <diagonal/>
    </border>
    <border>
      <left style="dotted">
        <color rgb="FF993300"/>
      </left>
      <right style="medium">
        <color rgb="FF993300"/>
      </right>
      <top style="hair">
        <color rgb="FF993300"/>
      </top>
      <bottom style="medium">
        <color rgb="FF993300"/>
      </bottom>
      <diagonal/>
    </border>
    <border>
      <left style="medium">
        <color rgb="FF993300"/>
      </left>
      <right/>
      <top/>
      <bottom style="thin">
        <color rgb="FF993300"/>
      </bottom>
      <diagonal/>
    </border>
    <border>
      <left style="medium">
        <color rgb="FF993300"/>
      </left>
      <right style="dotted">
        <color rgb="FF993300"/>
      </right>
      <top/>
      <bottom style="hair">
        <color rgb="FF993300"/>
      </bottom>
      <diagonal/>
    </border>
    <border>
      <left style="medium">
        <color rgb="FF993300"/>
      </left>
      <right style="dotted">
        <color rgb="FF993300"/>
      </right>
      <top style="hair">
        <color rgb="FF993300"/>
      </top>
      <bottom style="hair">
        <color rgb="FF993300"/>
      </bottom>
      <diagonal/>
    </border>
    <border>
      <left style="medium">
        <color rgb="FF993300"/>
      </left>
      <right style="dotted">
        <color rgb="FF993300"/>
      </right>
      <top style="hair">
        <color rgb="FF993300"/>
      </top>
      <bottom style="medium">
        <color rgb="FF993300"/>
      </bottom>
      <diagonal/>
    </border>
    <border>
      <left style="hair">
        <color rgb="FF021484"/>
      </left>
      <right style="thin">
        <color rgb="FF021484"/>
      </right>
      <top/>
      <bottom style="hair">
        <color indexed="64"/>
      </bottom>
      <diagonal/>
    </border>
    <border>
      <left style="hair">
        <color rgb="FF021484"/>
      </left>
      <right style="thin">
        <color rgb="FF021484"/>
      </right>
      <top style="hair">
        <color indexed="64"/>
      </top>
      <bottom style="hair">
        <color indexed="64"/>
      </bottom>
      <diagonal/>
    </border>
    <border>
      <left/>
      <right/>
      <top/>
      <bottom style="hair">
        <color rgb="FF993300"/>
      </bottom>
      <diagonal/>
    </border>
    <border>
      <left/>
      <right style="hair">
        <color theme="9" tint="-0.499984740745262"/>
      </right>
      <top style="thin">
        <color rgb="FF993300"/>
      </top>
      <bottom/>
      <diagonal/>
    </border>
    <border>
      <left/>
      <right style="hair">
        <color theme="9" tint="-0.499984740745262"/>
      </right>
      <top/>
      <bottom style="double">
        <color rgb="FF993300"/>
      </bottom>
      <diagonal/>
    </border>
    <border>
      <left style="medium">
        <color indexed="16"/>
      </left>
      <right style="hair">
        <color indexed="16"/>
      </right>
      <top style="double">
        <color rgb="FF993300"/>
      </top>
      <bottom style="hair">
        <color rgb="FF993300"/>
      </bottom>
      <diagonal/>
    </border>
    <border>
      <left style="medium">
        <color indexed="16"/>
      </left>
      <right style="hair">
        <color indexed="16"/>
      </right>
      <top style="hair">
        <color rgb="FF993300"/>
      </top>
      <bottom style="hair">
        <color rgb="FF993300"/>
      </bottom>
      <diagonal/>
    </border>
    <border>
      <left style="medium">
        <color indexed="16"/>
      </left>
      <right style="hair">
        <color indexed="16"/>
      </right>
      <top style="medium">
        <color rgb="FF993300"/>
      </top>
      <bottom style="hair">
        <color rgb="FF993300"/>
      </bottom>
      <diagonal/>
    </border>
    <border>
      <left style="dotted">
        <color indexed="64"/>
      </left>
      <right style="dotted">
        <color indexed="64"/>
      </right>
      <top style="hair">
        <color indexed="64"/>
      </top>
      <bottom style="hair">
        <color indexed="64"/>
      </bottom>
      <diagonal/>
    </border>
    <border>
      <left style="medium">
        <color theme="9" tint="-0.499984740745262"/>
      </left>
      <right/>
      <top style="medium">
        <color theme="9" tint="-0.499984740745262"/>
      </top>
      <bottom style="thin">
        <color theme="5" tint="-0.24994659260841701"/>
      </bottom>
      <diagonal/>
    </border>
    <border>
      <left/>
      <right style="hair">
        <color indexed="16"/>
      </right>
      <top style="medium">
        <color theme="9" tint="-0.499984740745262"/>
      </top>
      <bottom style="thin">
        <color theme="5" tint="-0.24994659260841701"/>
      </bottom>
      <diagonal/>
    </border>
    <border>
      <left style="hair">
        <color theme="9" tint="-0.499984740745262"/>
      </left>
      <right style="hair">
        <color theme="9" tint="-0.499984740745262"/>
      </right>
      <top/>
      <bottom style="medium">
        <color rgb="FF993300"/>
      </bottom>
      <diagonal/>
    </border>
    <border>
      <left style="hair">
        <color theme="9" tint="-0.499984740745262"/>
      </left>
      <right style="hair">
        <color theme="9" tint="-0.499984740745262"/>
      </right>
      <top style="hair">
        <color indexed="64"/>
      </top>
      <bottom style="medium">
        <color rgb="FF993300"/>
      </bottom>
      <diagonal/>
    </border>
    <border>
      <left style="hair">
        <color theme="9" tint="-0.499984740745262"/>
      </left>
      <right style="medium">
        <color theme="9" tint="-0.499984740745262"/>
      </right>
      <top style="thin">
        <color theme="5" tint="-0.24994659260841701"/>
      </top>
      <bottom style="double">
        <color theme="5" tint="-0.24994659260841701"/>
      </bottom>
      <diagonal/>
    </border>
    <border>
      <left style="hair">
        <color theme="9" tint="-0.499984740745262"/>
      </left>
      <right style="medium">
        <color theme="9" tint="-0.499984740745262"/>
      </right>
      <top/>
      <bottom style="hair">
        <color indexed="64"/>
      </bottom>
      <diagonal/>
    </border>
    <border>
      <left style="hair">
        <color theme="9" tint="-0.499984740745262"/>
      </left>
      <right style="medium">
        <color theme="9" tint="-0.499984740745262"/>
      </right>
      <top style="hair">
        <color indexed="64"/>
      </top>
      <bottom style="medium">
        <color rgb="FF993300"/>
      </bottom>
      <diagonal/>
    </border>
    <border>
      <left style="thin">
        <color theme="9" tint="-0.499984740745262"/>
      </left>
      <right style="hair">
        <color theme="9" tint="-0.499984740745262"/>
      </right>
      <top/>
      <bottom style="hair">
        <color indexed="64"/>
      </bottom>
      <diagonal/>
    </border>
    <border>
      <left style="thin">
        <color theme="9" tint="-0.499984740745262"/>
      </left>
      <right style="hair">
        <color theme="9" tint="-0.499984740745262"/>
      </right>
      <top/>
      <bottom style="medium">
        <color rgb="FF993300"/>
      </bottom>
      <diagonal/>
    </border>
    <border>
      <left style="medium">
        <color theme="9" tint="-0.499984740745262"/>
      </left>
      <right/>
      <top style="medium">
        <color indexed="16"/>
      </top>
      <bottom style="thin">
        <color theme="5" tint="-0.24994659260841701"/>
      </bottom>
      <diagonal/>
    </border>
    <border>
      <left style="hair">
        <color theme="9" tint="-0.499984740745262"/>
      </left>
      <right/>
      <top style="thin">
        <color indexed="16"/>
      </top>
      <bottom style="hair">
        <color theme="9" tint="-0.499984740745262"/>
      </bottom>
      <diagonal/>
    </border>
    <border>
      <left/>
      <right style="medium">
        <color rgb="FF993300"/>
      </right>
      <top style="thin">
        <color indexed="16"/>
      </top>
      <bottom style="hair">
        <color theme="9" tint="-0.499984740745262"/>
      </bottom>
      <diagonal/>
    </border>
    <border>
      <left/>
      <right style="medium">
        <color rgb="FF993300"/>
      </right>
      <top style="hair">
        <color theme="9" tint="-0.499984740745262"/>
      </top>
      <bottom style="hair">
        <color theme="9" tint="-0.499984740745262"/>
      </bottom>
      <diagonal/>
    </border>
    <border>
      <left style="thin">
        <color rgb="FF993300"/>
      </left>
      <right style="hair">
        <color theme="9" tint="-0.499984740745262"/>
      </right>
      <top/>
      <bottom style="hair">
        <color theme="9" tint="-0.499984740745262"/>
      </bottom>
      <diagonal/>
    </border>
    <border>
      <left style="hair">
        <color theme="9" tint="-0.499984740745262"/>
      </left>
      <right style="hair">
        <color theme="9" tint="-0.499984740745262"/>
      </right>
      <top/>
      <bottom style="double">
        <color rgb="FF993300"/>
      </bottom>
      <diagonal/>
    </border>
    <border>
      <left style="thin">
        <color theme="9" tint="-0.499984740745262"/>
      </left>
      <right style="medium">
        <color theme="9" tint="-0.499984740745262"/>
      </right>
      <top/>
      <bottom style="hair">
        <color auto="1"/>
      </bottom>
      <diagonal/>
    </border>
    <border>
      <left style="thin">
        <color theme="9" tint="-0.499984740745262"/>
      </left>
      <right style="medium">
        <color theme="9" tint="-0.499984740745262"/>
      </right>
      <top style="hair">
        <color auto="1"/>
      </top>
      <bottom style="hair">
        <color auto="1"/>
      </bottom>
      <diagonal/>
    </border>
    <border>
      <left style="hair">
        <color rgb="FF021484"/>
      </left>
      <right style="thin">
        <color rgb="FF021484"/>
      </right>
      <top style="hair">
        <color indexed="64"/>
      </top>
      <bottom/>
      <diagonal/>
    </border>
    <border>
      <left style="medium">
        <color rgb="FF993300"/>
      </left>
      <right/>
      <top style="hair">
        <color theme="9" tint="-0.499984740745262"/>
      </top>
      <bottom style="medium">
        <color indexed="16"/>
      </bottom>
      <diagonal/>
    </border>
    <border>
      <left/>
      <right style="medium">
        <color rgb="FF993300"/>
      </right>
      <top style="hair">
        <color theme="9" tint="-0.499984740745262"/>
      </top>
      <bottom style="medium">
        <color indexed="16"/>
      </bottom>
      <diagonal/>
    </border>
    <border>
      <left style="thin">
        <color rgb="FF993300"/>
      </left>
      <right style="hair">
        <color theme="9" tint="-0.499984740745262"/>
      </right>
      <top style="hair">
        <color rgb="FF993300"/>
      </top>
      <bottom style="thin">
        <color rgb="FF993300"/>
      </bottom>
      <diagonal/>
    </border>
    <border>
      <left/>
      <right style="hair">
        <color theme="9" tint="-0.499984740745262"/>
      </right>
      <top style="hair">
        <color rgb="FF993300"/>
      </top>
      <bottom style="thin">
        <color rgb="FF993300"/>
      </bottom>
      <diagonal/>
    </border>
    <border>
      <left style="hair">
        <color theme="9" tint="-0.499984740745262"/>
      </left>
      <right style="hair">
        <color theme="9" tint="-0.499984740745262"/>
      </right>
      <top style="hair">
        <color rgb="FF993300"/>
      </top>
      <bottom style="thin">
        <color rgb="FF993300"/>
      </bottom>
      <diagonal/>
    </border>
    <border>
      <left style="hair">
        <color theme="9" tint="-0.499984740745262"/>
      </left>
      <right style="medium">
        <color indexed="16"/>
      </right>
      <top style="hair">
        <color theme="9" tint="-0.499984740745262"/>
      </top>
      <bottom style="thin">
        <color rgb="FF993300"/>
      </bottom>
      <diagonal/>
    </border>
    <border>
      <left style="thin">
        <color rgb="FF993300"/>
      </left>
      <right/>
      <top style="thin">
        <color rgb="FF993300"/>
      </top>
      <bottom style="hair">
        <color indexed="16"/>
      </bottom>
      <diagonal/>
    </border>
    <border>
      <left/>
      <right style="hair">
        <color theme="9" tint="-0.499984740745262"/>
      </right>
      <top style="thin">
        <color rgb="FF993300"/>
      </top>
      <bottom style="hair">
        <color indexed="16"/>
      </bottom>
      <diagonal/>
    </border>
    <border>
      <left style="thin">
        <color rgb="FF993300"/>
      </left>
      <right/>
      <top style="hair">
        <color indexed="16"/>
      </top>
      <bottom style="hair">
        <color indexed="16"/>
      </bottom>
      <diagonal/>
    </border>
    <border>
      <left/>
      <right style="hair">
        <color theme="9" tint="-0.499984740745262"/>
      </right>
      <top style="hair">
        <color indexed="16"/>
      </top>
      <bottom style="hair">
        <color indexed="16"/>
      </bottom>
      <diagonal/>
    </border>
    <border>
      <left style="hair">
        <color theme="9" tint="-0.499984740745262"/>
      </left>
      <right/>
      <top style="thin">
        <color indexed="16"/>
      </top>
      <bottom style="hair">
        <color indexed="16"/>
      </bottom>
      <diagonal/>
    </border>
    <border>
      <left/>
      <right style="medium">
        <color indexed="16"/>
      </right>
      <top style="thin">
        <color indexed="16"/>
      </top>
      <bottom style="hair">
        <color indexed="16"/>
      </bottom>
      <diagonal/>
    </border>
    <border>
      <left style="hair">
        <color theme="9" tint="-0.499984740745262"/>
      </left>
      <right/>
      <top style="hair">
        <color indexed="16"/>
      </top>
      <bottom style="hair">
        <color indexed="16"/>
      </bottom>
      <diagonal/>
    </border>
    <border>
      <left/>
      <right style="medium">
        <color indexed="16"/>
      </right>
      <top style="hair">
        <color indexed="16"/>
      </top>
      <bottom style="hair">
        <color indexed="16"/>
      </bottom>
      <diagonal/>
    </border>
    <border>
      <left/>
      <right/>
      <top style="hair">
        <color indexed="53"/>
      </top>
      <bottom/>
      <diagonal/>
    </border>
    <border>
      <left style="hair">
        <color indexed="53"/>
      </left>
      <right style="medium">
        <color indexed="16"/>
      </right>
      <top style="hair">
        <color indexed="53"/>
      </top>
      <bottom/>
      <diagonal/>
    </border>
    <border>
      <left style="medium">
        <color rgb="FF993300"/>
      </left>
      <right/>
      <top style="hair">
        <color rgb="FF993300"/>
      </top>
      <bottom/>
      <diagonal/>
    </border>
    <border>
      <left style="thin">
        <color rgb="FF993300"/>
      </left>
      <right/>
      <top style="hair">
        <color rgb="FF993300"/>
      </top>
      <bottom/>
      <diagonal/>
    </border>
    <border>
      <left style="thin">
        <color rgb="FF993300"/>
      </left>
      <right/>
      <top style="hair">
        <color indexed="16"/>
      </top>
      <bottom/>
      <diagonal/>
    </border>
    <border>
      <left/>
      <right style="hair">
        <color theme="9" tint="-0.499984740745262"/>
      </right>
      <top style="hair">
        <color indexed="16"/>
      </top>
      <bottom/>
      <diagonal/>
    </border>
    <border>
      <left style="hair">
        <color theme="9" tint="-0.499984740745262"/>
      </left>
      <right/>
      <top style="hair">
        <color indexed="16"/>
      </top>
      <bottom/>
      <diagonal/>
    </border>
    <border>
      <left/>
      <right style="medium">
        <color indexed="16"/>
      </right>
      <top style="hair">
        <color indexed="16"/>
      </top>
      <bottom/>
      <diagonal/>
    </border>
    <border>
      <left/>
      <right/>
      <top/>
      <bottom style="hair">
        <color indexed="53"/>
      </bottom>
      <diagonal/>
    </border>
    <border>
      <left style="hair">
        <color indexed="53"/>
      </left>
      <right style="medium">
        <color indexed="16"/>
      </right>
      <top/>
      <bottom style="hair">
        <color indexed="53"/>
      </bottom>
      <diagonal/>
    </border>
    <border>
      <left style="medium">
        <color indexed="16"/>
      </left>
      <right style="hair">
        <color indexed="16"/>
      </right>
      <top style="thin">
        <color indexed="16"/>
      </top>
      <bottom style="thin">
        <color indexed="16"/>
      </bottom>
      <diagonal/>
    </border>
    <border>
      <left style="hair">
        <color indexed="16"/>
      </left>
      <right style="hair">
        <color indexed="16"/>
      </right>
      <top style="thin">
        <color indexed="16"/>
      </top>
      <bottom style="thin">
        <color indexed="16"/>
      </bottom>
      <diagonal/>
    </border>
    <border>
      <left/>
      <right/>
      <top style="hair">
        <color rgb="FF993300"/>
      </top>
      <bottom style="hair">
        <color rgb="FF993300"/>
      </bottom>
      <diagonal/>
    </border>
    <border>
      <left/>
      <right/>
      <top style="thin">
        <color rgb="FF993300"/>
      </top>
      <bottom style="double">
        <color rgb="FF993300"/>
      </bottom>
      <diagonal/>
    </border>
    <border>
      <left style="hair">
        <color indexed="53"/>
      </left>
      <right/>
      <top style="thin">
        <color rgb="FF993300"/>
      </top>
      <bottom style="double">
        <color rgb="FF993300"/>
      </bottom>
      <diagonal/>
    </border>
    <border>
      <left style="hair">
        <color indexed="53"/>
      </left>
      <right/>
      <top/>
      <bottom style="hair">
        <color rgb="FF993300"/>
      </bottom>
      <diagonal/>
    </border>
    <border>
      <left style="hair">
        <color indexed="53"/>
      </left>
      <right/>
      <top style="hair">
        <color rgb="FF993300"/>
      </top>
      <bottom style="hair">
        <color rgb="FF993300"/>
      </bottom>
      <diagonal/>
    </border>
    <border>
      <left style="thin">
        <color rgb="FF993300"/>
      </left>
      <right style="hair">
        <color rgb="FF993300"/>
      </right>
      <top style="thin">
        <color rgb="FF993300"/>
      </top>
      <bottom style="double">
        <color rgb="FF993300"/>
      </bottom>
      <diagonal/>
    </border>
    <border>
      <left/>
      <right/>
      <top/>
      <bottom style="hair">
        <color indexed="17"/>
      </bottom>
      <diagonal/>
    </border>
    <border>
      <left/>
      <right/>
      <top/>
      <bottom style="hair">
        <color indexed="58"/>
      </bottom>
      <diagonal/>
    </border>
    <border>
      <left/>
      <right/>
      <top style="hair">
        <color indexed="58"/>
      </top>
      <bottom style="hair">
        <color indexed="58"/>
      </bottom>
      <diagonal/>
    </border>
    <border>
      <left/>
      <right/>
      <top style="hair">
        <color indexed="58"/>
      </top>
      <bottom/>
      <diagonal/>
    </border>
    <border>
      <left/>
      <right/>
      <top style="medium">
        <color rgb="FF222E9E"/>
      </top>
      <bottom style="hair">
        <color indexed="58"/>
      </bottom>
      <diagonal/>
    </border>
    <border>
      <left style="medium">
        <color rgb="FF993300"/>
      </left>
      <right style="hair">
        <color rgb="FF993300"/>
      </right>
      <top/>
      <bottom style="hair">
        <color indexed="17"/>
      </bottom>
      <diagonal/>
    </border>
    <border>
      <left style="medium">
        <color rgb="FF993300"/>
      </left>
      <right style="hair">
        <color rgb="FF993300"/>
      </right>
      <top/>
      <bottom style="hair">
        <color indexed="58"/>
      </bottom>
      <diagonal/>
    </border>
    <border>
      <left style="medium">
        <color rgb="FF993300"/>
      </left>
      <right style="hair">
        <color rgb="FF993300"/>
      </right>
      <top style="hair">
        <color indexed="58"/>
      </top>
      <bottom style="hair">
        <color indexed="58"/>
      </bottom>
      <diagonal/>
    </border>
    <border>
      <left style="medium">
        <color rgb="FF993300"/>
      </left>
      <right style="hair">
        <color rgb="FF993300"/>
      </right>
      <top style="hair">
        <color indexed="58"/>
      </top>
      <bottom/>
      <diagonal/>
    </border>
    <border>
      <left style="dotted">
        <color rgb="FF993300"/>
      </left>
      <right/>
      <top style="thin">
        <color rgb="FF993300"/>
      </top>
      <bottom style="double">
        <color rgb="FF993300"/>
      </bottom>
      <diagonal/>
    </border>
    <border>
      <left style="dotted">
        <color rgb="FF993300"/>
      </left>
      <right/>
      <top/>
      <bottom style="hair">
        <color rgb="FF993300"/>
      </bottom>
      <diagonal/>
    </border>
    <border>
      <left style="dotted">
        <color rgb="FF993300"/>
      </left>
      <right/>
      <top style="hair">
        <color rgb="FF993300"/>
      </top>
      <bottom style="hair">
        <color rgb="FF993300"/>
      </bottom>
      <diagonal/>
    </border>
    <border>
      <left style="dotted">
        <color rgb="FF993300"/>
      </left>
      <right/>
      <top style="hair">
        <color rgb="FF993300"/>
      </top>
      <bottom style="medium">
        <color rgb="FF993300"/>
      </bottom>
      <diagonal/>
    </border>
    <border>
      <left/>
      <right style="medium">
        <color rgb="FF993300"/>
      </right>
      <top/>
      <bottom style="thin">
        <color rgb="FF993300"/>
      </bottom>
      <diagonal/>
    </border>
    <border>
      <left style="thin">
        <color rgb="FF993300"/>
      </left>
      <right style="hair">
        <color indexed="53"/>
      </right>
      <top/>
      <bottom style="hair">
        <color rgb="FF993300"/>
      </bottom>
      <diagonal/>
    </border>
    <border>
      <left style="thin">
        <color rgb="FF993300"/>
      </left>
      <right style="hair">
        <color indexed="53"/>
      </right>
      <top style="hair">
        <color rgb="FF993300"/>
      </top>
      <bottom style="hair">
        <color rgb="FF993300"/>
      </bottom>
      <diagonal/>
    </border>
    <border>
      <left style="thin">
        <color rgb="FF993300"/>
      </left>
      <right style="hair">
        <color indexed="53"/>
      </right>
      <top style="hair">
        <color rgb="FF993300"/>
      </top>
      <bottom style="medium">
        <color rgb="FF993300"/>
      </bottom>
      <diagonal/>
    </border>
    <border>
      <left/>
      <right style="hair">
        <color indexed="64"/>
      </right>
      <top style="medium">
        <color theme="2" tint="-0.499984740745262"/>
      </top>
      <bottom style="thin">
        <color indexed="64"/>
      </bottom>
      <diagonal/>
    </border>
    <border>
      <left style="thin">
        <color indexed="64"/>
      </left>
      <right style="hair">
        <color indexed="64"/>
      </right>
      <top style="medium">
        <color theme="2" tint="-0.499984740745262"/>
      </top>
      <bottom style="thin">
        <color indexed="64"/>
      </bottom>
      <diagonal/>
    </border>
    <border>
      <left style="thin">
        <color indexed="64"/>
      </left>
      <right style="hair">
        <color indexed="64"/>
      </right>
      <top style="hair">
        <color indexed="64"/>
      </top>
      <bottom style="hair">
        <color indexed="64"/>
      </bottom>
      <diagonal/>
    </border>
    <border>
      <left style="thin">
        <color auto="1"/>
      </left>
      <right style="hair">
        <color auto="1"/>
      </right>
      <top style="medium">
        <color theme="2" tint="-0.499984740745262"/>
      </top>
      <bottom style="medium">
        <color theme="2" tint="-0.499984740745262"/>
      </bottom>
      <diagonal/>
    </border>
    <border>
      <left/>
      <right style="hair">
        <color rgb="FF993300"/>
      </right>
      <top style="thin">
        <color indexed="64"/>
      </top>
      <bottom style="medium">
        <color indexed="64"/>
      </bottom>
      <diagonal/>
    </border>
    <border>
      <left/>
      <right style="hair">
        <color rgb="FF993300"/>
      </right>
      <top style="hair">
        <color indexed="64"/>
      </top>
      <bottom style="hair">
        <color indexed="64"/>
      </bottom>
      <diagonal/>
    </border>
    <border>
      <left style="hair">
        <color rgb="FF993300"/>
      </left>
      <right/>
      <top style="thin">
        <color rgb="FF993300"/>
      </top>
      <bottom style="double">
        <color rgb="FF993300"/>
      </bottom>
      <diagonal/>
    </border>
    <border>
      <left style="thin">
        <color rgb="FF993300"/>
      </left>
      <right/>
      <top style="medium">
        <color indexed="16"/>
      </top>
      <bottom style="thin">
        <color rgb="FF993300"/>
      </bottom>
      <diagonal/>
    </border>
    <border>
      <left/>
      <right style="hair">
        <color rgb="FF993300"/>
      </right>
      <top/>
      <bottom style="hair">
        <color indexed="17"/>
      </bottom>
      <diagonal/>
    </border>
    <border>
      <left/>
      <right style="hair">
        <color rgb="FF993300"/>
      </right>
      <top/>
      <bottom style="hair">
        <color indexed="58"/>
      </bottom>
      <diagonal/>
    </border>
    <border>
      <left/>
      <right style="hair">
        <color rgb="FF993300"/>
      </right>
      <top style="hair">
        <color indexed="58"/>
      </top>
      <bottom style="hair">
        <color indexed="58"/>
      </bottom>
      <diagonal/>
    </border>
    <border>
      <left/>
      <right style="hair">
        <color rgb="FF993300"/>
      </right>
      <top style="hair">
        <color indexed="58"/>
      </top>
      <bottom/>
      <diagonal/>
    </border>
    <border>
      <left style="medium">
        <color rgb="FF993300"/>
      </left>
      <right style="thin">
        <color rgb="FF993300"/>
      </right>
      <top style="thin">
        <color rgb="FF993300"/>
      </top>
      <bottom style="double">
        <color rgb="FF993300"/>
      </bottom>
      <diagonal/>
    </border>
    <border>
      <left style="hair">
        <color indexed="16"/>
      </left>
      <right/>
      <top style="thin">
        <color rgb="FF993300"/>
      </top>
      <bottom style="thin">
        <color rgb="FF993300"/>
      </bottom>
      <diagonal/>
    </border>
    <border>
      <left style="hair">
        <color theme="9" tint="-0.499984740745262"/>
      </left>
      <right/>
      <top/>
      <bottom style="double">
        <color rgb="FF993300"/>
      </bottom>
      <diagonal/>
    </border>
    <border>
      <left style="hair">
        <color rgb="FF993300"/>
      </left>
      <right style="hair">
        <color rgb="FF993300"/>
      </right>
      <top style="hair">
        <color rgb="FF993300"/>
      </top>
      <bottom style="double">
        <color rgb="FF993300"/>
      </bottom>
      <diagonal/>
    </border>
    <border>
      <left/>
      <right style="medium">
        <color indexed="16"/>
      </right>
      <top/>
      <bottom style="double">
        <color rgb="FF993300"/>
      </bottom>
      <diagonal/>
    </border>
    <border>
      <left style="medium">
        <color indexed="16"/>
      </left>
      <right/>
      <top style="double">
        <color rgb="FF993300"/>
      </top>
      <bottom/>
      <diagonal/>
    </border>
    <border>
      <left style="thin">
        <color indexed="16"/>
      </left>
      <right style="thick">
        <color indexed="16"/>
      </right>
      <top style="double">
        <color rgb="FF993300"/>
      </top>
      <bottom/>
      <diagonal/>
    </border>
    <border>
      <left style="thin">
        <color indexed="16"/>
      </left>
      <right style="thick">
        <color indexed="16"/>
      </right>
      <top/>
      <bottom/>
      <diagonal/>
    </border>
    <border>
      <left style="thin">
        <color theme="0"/>
      </left>
      <right style="hair">
        <color rgb="FF993300"/>
      </right>
      <top style="medium">
        <color rgb="FF993300"/>
      </top>
      <bottom style="double">
        <color rgb="FF993300"/>
      </bottom>
      <diagonal/>
    </border>
    <border>
      <left style="thin">
        <color theme="0" tint="-0.14996795556505021"/>
      </left>
      <right style="hair">
        <color rgb="FF993300"/>
      </right>
      <top style="thin">
        <color rgb="FF993300"/>
      </top>
      <bottom style="hair">
        <color rgb="FF993300"/>
      </bottom>
      <diagonal/>
    </border>
    <border>
      <left style="hair">
        <color rgb="FF993300"/>
      </left>
      <right style="hair">
        <color rgb="FF993300"/>
      </right>
      <top style="thin">
        <color rgb="FF993300"/>
      </top>
      <bottom style="hair">
        <color rgb="FF993300"/>
      </bottom>
      <diagonal/>
    </border>
    <border>
      <left style="hair">
        <color rgb="FF993300"/>
      </left>
      <right style="thin">
        <color theme="0" tint="-0.14996795556505021"/>
      </right>
      <top style="thin">
        <color rgb="FF993300"/>
      </top>
      <bottom style="hair">
        <color rgb="FF993300"/>
      </bottom>
      <diagonal/>
    </border>
    <border>
      <left style="thin">
        <color theme="0" tint="-0.14996795556505021"/>
      </left>
      <right style="hair">
        <color rgb="FF993300"/>
      </right>
      <top style="hair">
        <color rgb="FF993300"/>
      </top>
      <bottom style="double">
        <color rgb="FF993300"/>
      </bottom>
      <diagonal/>
    </border>
    <border>
      <left style="hair">
        <color rgb="FF993300"/>
      </left>
      <right style="thin">
        <color theme="0" tint="-0.14996795556505021"/>
      </right>
      <top style="hair">
        <color rgb="FF993300"/>
      </top>
      <bottom style="double">
        <color rgb="FF993300"/>
      </bottom>
      <diagonal/>
    </border>
    <border>
      <left style="medium">
        <color theme="0" tint="-0.14996795556505021"/>
      </left>
      <right style="hair">
        <color indexed="16"/>
      </right>
      <top style="thin">
        <color rgb="FF993300"/>
      </top>
      <bottom/>
      <diagonal/>
    </border>
    <border>
      <left style="medium">
        <color theme="0" tint="-0.14996795556505021"/>
      </left>
      <right style="hair">
        <color indexed="16"/>
      </right>
      <top/>
      <bottom style="double">
        <color rgb="FF993300"/>
      </bottom>
      <diagonal/>
    </border>
    <border>
      <left style="thin">
        <color theme="0" tint="-0.14996795556505021"/>
      </left>
      <right/>
      <top style="thin">
        <color rgb="FF993300"/>
      </top>
      <bottom style="double">
        <color rgb="FF993300"/>
      </bottom>
      <diagonal/>
    </border>
    <border>
      <left/>
      <right style="medium">
        <color theme="0" tint="-0.14996795556505021"/>
      </right>
      <top style="thin">
        <color rgb="FF993300"/>
      </top>
      <bottom style="double">
        <color rgb="FF993300"/>
      </bottom>
      <diagonal/>
    </border>
    <border>
      <left style="thin">
        <color theme="0" tint="-0.14996795556505021"/>
      </left>
      <right/>
      <top style="thin">
        <color rgb="FF993300"/>
      </top>
      <bottom style="thin">
        <color theme="0" tint="-0.14993743705557422"/>
      </bottom>
      <diagonal/>
    </border>
    <border>
      <left/>
      <right/>
      <top style="thin">
        <color rgb="FF993300"/>
      </top>
      <bottom style="thin">
        <color theme="0" tint="-0.14993743705557422"/>
      </bottom>
      <diagonal/>
    </border>
    <border>
      <left style="medium">
        <color theme="0" tint="-0.14996795556505021"/>
      </left>
      <right style="hair">
        <color rgb="FF993300"/>
      </right>
      <top style="thin">
        <color indexed="16"/>
      </top>
      <bottom style="hair">
        <color rgb="FF993300"/>
      </bottom>
      <diagonal/>
    </border>
    <border>
      <left style="medium">
        <color theme="0" tint="-0.14996795556505021"/>
      </left>
      <right style="hair">
        <color rgb="FF993300"/>
      </right>
      <top style="hair">
        <color rgb="FF993300"/>
      </top>
      <bottom style="double">
        <color rgb="FF993300"/>
      </bottom>
      <diagonal/>
    </border>
    <border>
      <left style="medium">
        <color theme="0" tint="-0.14996795556505021"/>
      </left>
      <right style="thin">
        <color theme="0" tint="-0.14996795556505021"/>
      </right>
      <top style="medium">
        <color indexed="16"/>
      </top>
      <bottom/>
      <diagonal/>
    </border>
    <border>
      <left style="medium">
        <color theme="0" tint="-0.14996795556505021"/>
      </left>
      <right style="thin">
        <color theme="0" tint="-0.14996795556505021"/>
      </right>
      <top/>
      <bottom/>
      <diagonal/>
    </border>
    <border>
      <left style="medium">
        <color theme="0" tint="-0.14996795556505021"/>
      </left>
      <right style="thin">
        <color theme="0" tint="-0.14996795556505021"/>
      </right>
      <top/>
      <bottom style="double">
        <color rgb="FF993300"/>
      </bottom>
      <diagonal/>
    </border>
    <border>
      <left style="medium">
        <color theme="0" tint="-0.14996795556505021"/>
      </left>
      <right style="hair">
        <color theme="9" tint="-0.499984740745262"/>
      </right>
      <top style="thin">
        <color theme="5" tint="-0.24994659260841701"/>
      </top>
      <bottom style="double">
        <color theme="5" tint="-0.24994659260841701"/>
      </bottom>
      <diagonal/>
    </border>
    <border>
      <left style="thin">
        <color theme="0" tint="-0.14996795556505021"/>
      </left>
      <right style="thin">
        <color theme="0" tint="-0.14996795556505021"/>
      </right>
      <top style="thin">
        <color theme="5" tint="-0.24994659260841701"/>
      </top>
      <bottom style="double">
        <color theme="5" tint="-0.24994659260841701"/>
      </bottom>
      <diagonal/>
    </border>
    <border>
      <left style="hair">
        <color rgb="FF021484"/>
      </left>
      <right/>
      <top style="thin">
        <color theme="5" tint="-0.24994659260841701"/>
      </top>
      <bottom style="double">
        <color theme="5" tint="-0.24994659260841701"/>
      </bottom>
      <diagonal/>
    </border>
    <border>
      <left/>
      <right/>
      <top style="thin">
        <color theme="5" tint="-0.24994659260841701"/>
      </top>
      <bottom style="double">
        <color theme="5" tint="-0.24994659260841701"/>
      </bottom>
      <diagonal/>
    </border>
    <border>
      <left style="thin">
        <color theme="0" tint="-0.14996795556505021"/>
      </left>
      <right style="hair">
        <color indexed="64"/>
      </right>
      <top style="thin">
        <color theme="5" tint="-0.24994659260841701"/>
      </top>
      <bottom style="double">
        <color theme="5" tint="-0.24994659260841701"/>
      </bottom>
      <diagonal/>
    </border>
    <border>
      <left style="hair">
        <color theme="5" tint="-0.24994659260841701"/>
      </left>
      <right/>
      <top style="thin">
        <color theme="5" tint="-0.24994659260841701"/>
      </top>
      <bottom style="double">
        <color theme="5" tint="-0.24994659260841701"/>
      </bottom>
      <diagonal/>
    </border>
    <border>
      <left style="medium">
        <color theme="0" tint="-0.14996795556505021"/>
      </left>
      <right style="hair">
        <color theme="5" tint="-0.24994659260841701"/>
      </right>
      <top style="thin">
        <color theme="5" tint="-0.24994659260841701"/>
      </top>
      <bottom style="double">
        <color theme="5" tint="-0.24994659260841701"/>
      </bottom>
      <diagonal/>
    </border>
    <border>
      <left style="thin">
        <color theme="0" tint="-0.14996795556505021"/>
      </left>
      <right style="hair">
        <color theme="9" tint="-0.499984740745262"/>
      </right>
      <top style="thin">
        <color theme="5" tint="-0.24994659260841701"/>
      </top>
      <bottom style="double">
        <color theme="5" tint="-0.24994659260841701"/>
      </bottom>
      <diagonal/>
    </border>
    <border>
      <left/>
      <right/>
      <top/>
      <bottom style="double">
        <color theme="9" tint="-0.499984740745262"/>
      </bottom>
      <diagonal/>
    </border>
    <border>
      <left/>
      <right style="hair">
        <color theme="9" tint="-0.499984740745262"/>
      </right>
      <top/>
      <bottom style="double">
        <color theme="5" tint="-0.24994659260841701"/>
      </bottom>
      <diagonal/>
    </border>
    <border>
      <left style="thin">
        <color theme="0" tint="-0.24994659260841701"/>
      </left>
      <right style="hair">
        <color rgb="FF993300"/>
      </right>
      <top style="medium">
        <color rgb="FF993300"/>
      </top>
      <bottom style="double">
        <color rgb="FF993300"/>
      </bottom>
      <diagonal/>
    </border>
    <border>
      <left style="medium">
        <color rgb="FF993300"/>
      </left>
      <right/>
      <top style="medium">
        <color rgb="FF993300"/>
      </top>
      <bottom style="double">
        <color rgb="FF993300"/>
      </bottom>
      <diagonal/>
    </border>
    <border>
      <left style="medium">
        <color theme="0" tint="-0.24994659260841701"/>
      </left>
      <right style="hair">
        <color rgb="FF993300"/>
      </right>
      <top style="thin">
        <color indexed="16"/>
      </top>
      <bottom style="double">
        <color rgb="FF993300"/>
      </bottom>
      <diagonal/>
    </border>
    <border>
      <left style="thin">
        <color theme="0" tint="-0.24994659260841701"/>
      </left>
      <right style="thin">
        <color rgb="FF993300"/>
      </right>
      <top style="thin">
        <color indexed="16"/>
      </top>
      <bottom style="double">
        <color rgb="FF993300"/>
      </bottom>
      <diagonal/>
    </border>
    <border>
      <left style="thin">
        <color theme="0" tint="-0.24994659260841701"/>
      </left>
      <right style="thin">
        <color theme="0" tint="-0.24994659260841701"/>
      </right>
      <top style="thin">
        <color indexed="16"/>
      </top>
      <bottom style="double">
        <color rgb="FF993300"/>
      </bottom>
      <diagonal/>
    </border>
    <border>
      <left style="medium">
        <color theme="0" tint="-0.24994659260841701"/>
      </left>
      <right/>
      <top style="thin">
        <color indexed="16"/>
      </top>
      <bottom style="double">
        <color rgb="FF993300"/>
      </bottom>
      <diagonal/>
    </border>
    <border>
      <left style="thin">
        <color theme="0" tint="-0.24994659260841701"/>
      </left>
      <right/>
      <top style="thin">
        <color indexed="16"/>
      </top>
      <bottom style="double">
        <color rgb="FF993300"/>
      </bottom>
      <diagonal/>
    </border>
    <border>
      <left style="hair">
        <color auto="1"/>
      </left>
      <right style="hair">
        <color auto="1"/>
      </right>
      <top style="thin">
        <color indexed="16"/>
      </top>
      <bottom style="double">
        <color rgb="FF993300"/>
      </bottom>
      <diagonal/>
    </border>
    <border>
      <left style="hair">
        <color auto="1"/>
      </left>
      <right style="hair">
        <color auto="1"/>
      </right>
      <top style="hair">
        <color rgb="FF993300"/>
      </top>
      <bottom style="hair">
        <color rgb="FF993300"/>
      </bottom>
      <diagonal/>
    </border>
    <border>
      <left style="hair">
        <color auto="1"/>
      </left>
      <right style="hair">
        <color auto="1"/>
      </right>
      <top style="medium">
        <color rgb="FF993300"/>
      </top>
      <bottom style="hair">
        <color rgb="FF993300"/>
      </bottom>
      <diagonal/>
    </border>
    <border>
      <left style="thin">
        <color rgb="FF993300"/>
      </left>
      <right/>
      <top/>
      <bottom style="double">
        <color rgb="FF993300"/>
      </bottom>
      <diagonal/>
    </border>
    <border>
      <left style="medium">
        <color indexed="16"/>
      </left>
      <right/>
      <top style="thin">
        <color indexed="16"/>
      </top>
      <bottom/>
      <diagonal/>
    </border>
    <border>
      <left/>
      <right style="hair">
        <color indexed="16"/>
      </right>
      <top style="thin">
        <color indexed="16"/>
      </top>
      <bottom/>
      <diagonal/>
    </border>
    <border>
      <left style="hair">
        <color indexed="16"/>
      </left>
      <right/>
      <top style="thin">
        <color indexed="16"/>
      </top>
      <bottom/>
      <diagonal/>
    </border>
    <border>
      <left style="medium">
        <color theme="0" tint="-0.24994659260841701"/>
      </left>
      <right style="hair">
        <color rgb="FF993300"/>
      </right>
      <top style="thin">
        <color rgb="FF993300"/>
      </top>
      <bottom style="double">
        <color rgb="FF993300"/>
      </bottom>
      <diagonal/>
    </border>
    <border>
      <left/>
      <right style="medium">
        <color rgb="FF993300"/>
      </right>
      <top style="medium">
        <color rgb="FF993300"/>
      </top>
      <bottom/>
      <diagonal/>
    </border>
    <border>
      <left style="hair">
        <color indexed="53"/>
      </left>
      <right style="thin">
        <color theme="0" tint="-0.24994659260841701"/>
      </right>
      <top style="thin">
        <color rgb="FF993300"/>
      </top>
      <bottom style="double">
        <color rgb="FF993300"/>
      </bottom>
      <diagonal/>
    </border>
    <border>
      <left style="thin">
        <color theme="0" tint="-0.24994659260841701"/>
      </left>
      <right style="hair">
        <color indexed="53"/>
      </right>
      <top style="thin">
        <color rgb="FF993300"/>
      </top>
      <bottom style="double">
        <color rgb="FF993300"/>
      </bottom>
      <diagonal/>
    </border>
    <border>
      <left style="hair">
        <color indexed="53"/>
      </left>
      <right style="medium">
        <color theme="0" tint="-0.24994659260841701"/>
      </right>
      <top style="thin">
        <color rgb="FF993300"/>
      </top>
      <bottom style="double">
        <color rgb="FF993300"/>
      </bottom>
      <diagonal/>
    </border>
    <border>
      <left style="medium">
        <color theme="0" tint="-0.24994659260841701"/>
      </left>
      <right style="hair">
        <color indexed="53"/>
      </right>
      <top style="thin">
        <color rgb="FF993300"/>
      </top>
      <bottom style="double">
        <color rgb="FF993300"/>
      </bottom>
      <diagonal/>
    </border>
    <border>
      <left style="hair">
        <color rgb="FF993300"/>
      </left>
      <right style="medium">
        <color theme="0" tint="-0.24994659260841701"/>
      </right>
      <top style="thin">
        <color rgb="FF993300"/>
      </top>
      <bottom style="double">
        <color rgb="FF993300"/>
      </bottom>
      <diagonal/>
    </border>
    <border>
      <left/>
      <right style="hair">
        <color indexed="53"/>
      </right>
      <top/>
      <bottom style="double">
        <color rgb="FF993300"/>
      </bottom>
      <diagonal/>
    </border>
    <border>
      <left style="medium">
        <color theme="0" tint="-0.24994659260841701"/>
      </left>
      <right style="dotted">
        <color rgb="FF993300"/>
      </right>
      <top style="thin">
        <color rgb="FF993300"/>
      </top>
      <bottom style="double">
        <color rgb="FF993300"/>
      </bottom>
      <diagonal/>
    </border>
    <border>
      <left style="dotted">
        <color rgb="FF993300"/>
      </left>
      <right style="medium">
        <color theme="0" tint="-0.24994659260841701"/>
      </right>
      <top style="thin">
        <color rgb="FF993300"/>
      </top>
      <bottom style="double">
        <color rgb="FF993300"/>
      </bottom>
      <diagonal/>
    </border>
    <border>
      <left/>
      <right style="dotted">
        <color rgb="FF993300"/>
      </right>
      <top style="thin">
        <color rgb="FF993300"/>
      </top>
      <bottom style="double">
        <color rgb="FF993300"/>
      </bottom>
      <diagonal/>
    </border>
    <border>
      <left style="thin">
        <color theme="0" tint="-0.24994659260841701"/>
      </left>
      <right style="hair">
        <color rgb="FF993300"/>
      </right>
      <top style="thin">
        <color rgb="FF993300"/>
      </top>
      <bottom style="double">
        <color rgb="FF993300"/>
      </bottom>
      <diagonal/>
    </border>
    <border>
      <left style="medium">
        <color theme="2" tint="-0.24994659260841701"/>
      </left>
      <right style="hair">
        <color indexed="64"/>
      </right>
      <top style="medium">
        <color theme="2" tint="-0.499984740745262"/>
      </top>
      <bottom style="medium">
        <color rgb="FF993300"/>
      </bottom>
      <diagonal/>
    </border>
    <border>
      <left style="hair">
        <color indexed="64"/>
      </left>
      <right style="medium">
        <color theme="2" tint="-0.24994659260841701"/>
      </right>
      <top style="medium">
        <color theme="2" tint="-0.499984740745262"/>
      </top>
      <bottom style="medium">
        <color rgb="FF993300"/>
      </bottom>
      <diagonal/>
    </border>
    <border>
      <left style="medium">
        <color theme="2" tint="-0.24994659260841701"/>
      </left>
      <right style="hair">
        <color rgb="FF993300"/>
      </right>
      <top style="thin">
        <color indexed="16"/>
      </top>
      <bottom style="medium">
        <color rgb="FF993300"/>
      </bottom>
      <diagonal/>
    </border>
    <border>
      <left style="thin">
        <color rgb="FF993300"/>
      </left>
      <right style="medium">
        <color theme="2" tint="-0.24994659260841701"/>
      </right>
      <top style="thin">
        <color indexed="16"/>
      </top>
      <bottom style="medium">
        <color rgb="FF993300"/>
      </bottom>
      <diagonal/>
    </border>
    <border>
      <left/>
      <right style="thin">
        <color indexed="23"/>
      </right>
      <top style="medium">
        <color indexed="23"/>
      </top>
      <bottom style="double">
        <color indexed="23"/>
      </bottom>
      <diagonal/>
    </border>
    <border>
      <left/>
      <right/>
      <top style="medium">
        <color indexed="16"/>
      </top>
      <bottom style="medium">
        <color indexed="16"/>
      </bottom>
      <diagonal/>
    </border>
    <border>
      <left/>
      <right/>
      <top style="medium">
        <color indexed="16"/>
      </top>
      <bottom style="dotted">
        <color rgb="FF002D56"/>
      </bottom>
      <diagonal/>
    </border>
    <border>
      <left/>
      <right/>
      <top/>
      <bottom style="thin">
        <color theme="5" tint="-0.24994659260841701"/>
      </bottom>
      <diagonal/>
    </border>
    <border>
      <left style="hair">
        <color theme="9" tint="-0.499984740745262"/>
      </left>
      <right/>
      <top/>
      <bottom/>
      <diagonal/>
    </border>
    <border>
      <left/>
      <right/>
      <top style="medium">
        <color indexed="23"/>
      </top>
      <bottom style="double">
        <color indexed="23"/>
      </bottom>
      <diagonal/>
    </border>
    <border>
      <left style="thin">
        <color indexed="23"/>
      </left>
      <right/>
      <top/>
      <bottom style="thin">
        <color indexed="23"/>
      </bottom>
      <diagonal/>
    </border>
    <border>
      <left style="thin">
        <color indexed="23"/>
      </left>
      <right/>
      <top style="thin">
        <color indexed="23"/>
      </top>
      <bottom style="thin">
        <color indexed="23"/>
      </bottom>
      <diagonal/>
    </border>
    <border>
      <left style="thin">
        <color indexed="23"/>
      </left>
      <right/>
      <top style="thin">
        <color indexed="23"/>
      </top>
      <bottom style="medium">
        <color indexed="23"/>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hair">
        <color theme="5" tint="-0.24994659260841701"/>
      </left>
      <right style="hair">
        <color theme="5" tint="-0.24994659260841701"/>
      </right>
      <top style="double">
        <color theme="5" tint="-0.24994659260841701"/>
      </top>
      <bottom style="hair">
        <color indexed="64"/>
      </bottom>
      <diagonal/>
    </border>
    <border>
      <left style="hair">
        <color theme="5" tint="-0.24994659260841701"/>
      </left>
      <right style="hair">
        <color theme="5" tint="-0.24994659260841701"/>
      </right>
      <top style="hair">
        <color indexed="64"/>
      </top>
      <bottom style="hair">
        <color indexed="64"/>
      </bottom>
      <diagonal/>
    </border>
    <border>
      <left style="hair">
        <color theme="5" tint="-0.24994659260841701"/>
      </left>
      <right style="hair">
        <color theme="5" tint="-0.24994659260841701"/>
      </right>
      <top style="hair">
        <color indexed="64"/>
      </top>
      <bottom style="thick">
        <color theme="9" tint="-0.499984740745262"/>
      </bottom>
      <diagonal/>
    </border>
    <border>
      <left/>
      <right style="hair">
        <color rgb="FF021484"/>
      </right>
      <top/>
      <bottom style="hair">
        <color indexed="64"/>
      </bottom>
      <diagonal/>
    </border>
    <border>
      <left style="hair">
        <color theme="5" tint="-0.24994659260841701"/>
      </left>
      <right style="hair">
        <color theme="5" tint="-0.24994659260841701"/>
      </right>
      <top style="thin">
        <color theme="5" tint="-0.24994659260841701"/>
      </top>
      <bottom style="double">
        <color theme="5" tint="-0.24994659260841701"/>
      </bottom>
      <diagonal/>
    </border>
    <border>
      <left style="hair">
        <color theme="5" tint="-0.24994659260841701"/>
      </left>
      <right style="thin">
        <color theme="5" tint="-0.24994659260841701"/>
      </right>
      <top/>
      <bottom style="hair">
        <color indexed="64"/>
      </bottom>
      <diagonal/>
    </border>
    <border>
      <left style="hair">
        <color theme="5" tint="-0.24994659260841701"/>
      </left>
      <right style="thin">
        <color theme="5" tint="-0.24994659260841701"/>
      </right>
      <top/>
      <bottom style="thick">
        <color theme="9" tint="-0.499984740745262"/>
      </bottom>
      <diagonal/>
    </border>
    <border>
      <left style="thin">
        <color theme="0" tint="-0.24994659260841701"/>
      </left>
      <right style="hair">
        <color rgb="FF021484"/>
      </right>
      <top style="thin">
        <color theme="5" tint="-0.24994659260841701"/>
      </top>
      <bottom style="double">
        <color theme="5" tint="-0.24994659260841701"/>
      </bottom>
      <diagonal/>
    </border>
    <border>
      <left/>
      <right style="dotted">
        <color indexed="64"/>
      </right>
      <top style="medium">
        <color indexed="64"/>
      </top>
      <bottom style="medium">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23"/>
      </bottom>
      <diagonal/>
    </border>
    <border>
      <left/>
      <right/>
      <top style="medium">
        <color indexed="64"/>
      </top>
      <bottom/>
      <diagonal/>
    </border>
    <border>
      <left/>
      <right/>
      <top/>
      <bottom style="medium">
        <color indexed="64"/>
      </bottom>
      <diagonal/>
    </border>
    <border>
      <left style="dotted">
        <color indexed="64"/>
      </left>
      <right/>
      <top style="hair">
        <color indexed="64"/>
      </top>
      <bottom style="hair">
        <color indexed="64"/>
      </bottom>
      <diagonal/>
    </border>
    <border>
      <left style="dotted">
        <color indexed="64"/>
      </left>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bottom style="hair">
        <color indexed="64"/>
      </bottom>
      <diagonal/>
    </border>
    <border>
      <left/>
      <right style="dotted">
        <color indexed="64"/>
      </right>
      <top/>
      <bottom style="hair">
        <color indexed="64"/>
      </bottom>
      <diagonal/>
    </border>
    <border>
      <left style="dotted">
        <color indexed="64"/>
      </left>
      <right style="dotted">
        <color indexed="64"/>
      </right>
      <top/>
      <bottom style="hair">
        <color indexed="64"/>
      </bottom>
      <diagonal/>
    </border>
    <border>
      <left style="dotted">
        <color indexed="64"/>
      </left>
      <right style="medium">
        <color indexed="64"/>
      </right>
      <top/>
      <bottom style="hair">
        <color indexed="64"/>
      </bottom>
      <diagonal/>
    </border>
    <border>
      <left style="medium">
        <color indexed="64"/>
      </left>
      <right/>
      <top style="medium">
        <color indexed="64"/>
      </top>
      <bottom style="double">
        <color indexed="64"/>
      </bottom>
      <diagonal/>
    </border>
    <border>
      <left style="thin">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style="medium">
        <color indexed="64"/>
      </right>
      <top style="medium">
        <color indexed="64"/>
      </top>
      <bottom style="double">
        <color indexed="64"/>
      </bottom>
      <diagonal/>
    </border>
    <border>
      <left style="medium">
        <color indexed="64"/>
      </left>
      <right style="hair">
        <color indexed="64"/>
      </right>
      <top style="medium">
        <color indexed="64"/>
      </top>
      <bottom style="medium">
        <color indexed="64"/>
      </bottom>
      <diagonal/>
    </border>
    <border>
      <left style="dotted">
        <color indexed="64"/>
      </left>
      <right/>
      <top style="medium">
        <color indexed="64"/>
      </top>
      <bottom style="double">
        <color indexed="64"/>
      </bottom>
      <diagonal/>
    </border>
    <border>
      <left style="dotted">
        <color indexed="64"/>
      </left>
      <right/>
      <top/>
      <bottom style="hair">
        <color indexed="64"/>
      </bottom>
      <diagonal/>
    </border>
    <border>
      <left style="medium">
        <color indexed="64"/>
      </left>
      <right style="hair">
        <color indexed="64"/>
      </right>
      <top style="medium">
        <color indexed="64"/>
      </top>
      <bottom style="double">
        <color indexed="64"/>
      </bottom>
      <diagonal/>
    </border>
    <border>
      <left style="medium">
        <color indexed="64"/>
      </left>
      <right style="hair">
        <color indexed="64"/>
      </right>
      <top/>
      <bottom style="hair">
        <color theme="9" tint="-0.499984740745262"/>
      </bottom>
      <diagonal/>
    </border>
    <border>
      <left style="medium">
        <color indexed="64"/>
      </left>
      <right style="hair">
        <color indexed="64"/>
      </right>
      <top style="hair">
        <color rgb="FF993300"/>
      </top>
      <bottom style="hair">
        <color rgb="FF993300"/>
      </bottom>
      <diagonal/>
    </border>
    <border>
      <left style="medium">
        <color indexed="64"/>
      </left>
      <right style="hair">
        <color indexed="64"/>
      </right>
      <top style="hair">
        <color rgb="FF993300"/>
      </top>
      <bottom style="medium">
        <color indexed="64"/>
      </bottom>
      <diagonal/>
    </border>
    <border>
      <left style="hair">
        <color indexed="64"/>
      </left>
      <right style="medium">
        <color indexed="64"/>
      </right>
      <top style="medium">
        <color indexed="64"/>
      </top>
      <bottom style="double">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style="double">
        <color indexed="64"/>
      </bottom>
      <diagonal/>
    </border>
    <border>
      <left style="hair">
        <color indexed="64"/>
      </left>
      <right style="thin">
        <color indexed="64"/>
      </right>
      <top style="medium">
        <color indexed="64"/>
      </top>
      <bottom style="medium">
        <color indexed="64"/>
      </bottom>
      <diagonal/>
    </border>
    <border>
      <left style="hair">
        <color indexed="64"/>
      </left>
      <right style="thin">
        <color indexed="64"/>
      </right>
      <top style="medium">
        <color indexed="64"/>
      </top>
      <bottom style="double">
        <color indexed="64"/>
      </bottom>
      <diagonal/>
    </border>
    <border>
      <left style="hair">
        <color indexed="64"/>
      </left>
      <right style="thin">
        <color indexed="64"/>
      </right>
      <top style="hair">
        <color indexed="64"/>
      </top>
      <bottom style="medium">
        <color indexed="64"/>
      </bottom>
      <diagonal/>
    </border>
    <border>
      <left style="hair">
        <color indexed="64"/>
      </left>
      <right style="thin">
        <color indexed="64"/>
      </right>
      <top/>
      <bottom style="hair">
        <color theme="9" tint="-0.499984740745262"/>
      </bottom>
      <diagonal/>
    </border>
    <border>
      <left style="hair">
        <color indexed="64"/>
      </left>
      <right style="thin">
        <color indexed="64"/>
      </right>
      <top style="hair">
        <color rgb="FF993300"/>
      </top>
      <bottom style="hair">
        <color rgb="FF993300"/>
      </bottom>
      <diagonal/>
    </border>
    <border>
      <left style="hair">
        <color indexed="64"/>
      </left>
      <right style="thin">
        <color indexed="64"/>
      </right>
      <top style="hair">
        <color rgb="FF993300"/>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style="thin">
        <color theme="5" tint="-0.24994659260841701"/>
      </top>
      <bottom style="double">
        <color theme="5" tint="-0.24994659260841701"/>
      </bottom>
      <diagonal/>
    </border>
    <border>
      <left style="hair">
        <color indexed="64"/>
      </left>
      <right style="hair">
        <color indexed="64"/>
      </right>
      <top style="hair">
        <color indexed="64"/>
      </top>
      <bottom style="thick">
        <color theme="9" tint="-0.499984740745262"/>
      </bottom>
      <diagonal/>
    </border>
    <border>
      <left style="thin">
        <color rgb="FF993300"/>
      </left>
      <right style="hair">
        <color theme="9" tint="-0.499984740745262"/>
      </right>
      <top style="double">
        <color rgb="FF993300"/>
      </top>
      <bottom/>
      <diagonal/>
    </border>
    <border>
      <left style="hair">
        <color theme="9" tint="-0.499984740745262"/>
      </left>
      <right style="hair">
        <color theme="9" tint="-0.499984740745262"/>
      </right>
      <top style="double">
        <color rgb="FF993300"/>
      </top>
      <bottom/>
      <diagonal/>
    </border>
    <border>
      <left style="thin">
        <color rgb="FF993300"/>
      </left>
      <right style="hair">
        <color theme="9" tint="-0.499984740745262"/>
      </right>
      <top/>
      <bottom style="thin">
        <color indexed="16"/>
      </bottom>
      <diagonal/>
    </border>
    <border>
      <left style="hair">
        <color theme="9" tint="-0.499984740745262"/>
      </left>
      <right style="hair">
        <color theme="9" tint="-0.499984740745262"/>
      </right>
      <top/>
      <bottom style="thin">
        <color indexed="16"/>
      </bottom>
      <diagonal/>
    </border>
    <border>
      <left style="hair">
        <color theme="9" tint="-0.499984740745262"/>
      </left>
      <right style="medium">
        <color rgb="FF993300"/>
      </right>
      <top style="double">
        <color rgb="FF993300"/>
      </top>
      <bottom/>
      <diagonal/>
    </border>
    <border>
      <left style="hair">
        <color theme="9" tint="-0.499984740745262"/>
      </left>
      <right style="medium">
        <color rgb="FF993300"/>
      </right>
      <top style="hair">
        <color theme="9" tint="-0.499984740745262"/>
      </top>
      <bottom/>
      <diagonal/>
    </border>
    <border>
      <left style="hair">
        <color theme="9" tint="-0.499984740745262"/>
      </left>
      <right style="medium">
        <color rgb="FF993300"/>
      </right>
      <top/>
      <bottom style="thin">
        <color indexed="16"/>
      </bottom>
      <diagonal/>
    </border>
    <border>
      <left style="thin">
        <color rgb="FF993300"/>
      </left>
      <right style="hair">
        <color theme="9" tint="-0.499984740745262"/>
      </right>
      <top/>
      <bottom/>
      <diagonal/>
    </border>
    <border>
      <left style="hair">
        <color theme="9" tint="-0.499984740745262"/>
      </left>
      <right style="hair">
        <color theme="9" tint="-0.499984740745262"/>
      </right>
      <top/>
      <bottom/>
      <diagonal/>
    </border>
    <border>
      <left style="hair">
        <color theme="9" tint="-0.499984740745262"/>
      </left>
      <right style="medium">
        <color rgb="FF993300"/>
      </right>
      <top/>
      <bottom/>
      <diagonal/>
    </border>
    <border>
      <left style="thin">
        <color rgb="FF993300"/>
      </left>
      <right style="hair">
        <color theme="9" tint="-0.499984740745262"/>
      </right>
      <top style="hair">
        <color rgb="FF993300"/>
      </top>
      <bottom style="thin">
        <color indexed="16"/>
      </bottom>
      <diagonal/>
    </border>
    <border>
      <left style="hair">
        <color theme="9" tint="-0.499984740745262"/>
      </left>
      <right style="hair">
        <color theme="9" tint="-0.499984740745262"/>
      </right>
      <top style="hair">
        <color rgb="FF993300"/>
      </top>
      <bottom style="thin">
        <color indexed="16"/>
      </bottom>
      <diagonal/>
    </border>
    <border>
      <left style="medium">
        <color rgb="FF993300"/>
      </left>
      <right style="medium">
        <color rgb="FF993300"/>
      </right>
      <top style="medium">
        <color rgb="FF993300"/>
      </top>
      <bottom/>
      <diagonal/>
    </border>
    <border>
      <left style="medium">
        <color rgb="FF993300"/>
      </left>
      <right style="medium">
        <color rgb="FF993300"/>
      </right>
      <top/>
      <bottom style="medium">
        <color rgb="FF993300"/>
      </bottom>
      <diagonal/>
    </border>
    <border>
      <left style="medium">
        <color rgb="FFC00000"/>
      </left>
      <right style="medium">
        <color rgb="FFC00000"/>
      </right>
      <top/>
      <bottom/>
      <diagonal/>
    </border>
    <border>
      <left style="medium">
        <color indexed="16"/>
      </left>
      <right style="medium">
        <color theme="2" tint="-0.499984740745262"/>
      </right>
      <top/>
      <bottom style="thin">
        <color indexed="16"/>
      </bottom>
      <diagonal/>
    </border>
    <border>
      <left style="medium">
        <color indexed="16"/>
      </left>
      <right/>
      <top style="medium">
        <color indexed="16"/>
      </top>
      <bottom style="medium">
        <color theme="2" tint="-0.499984740745262"/>
      </bottom>
      <diagonal/>
    </border>
    <border>
      <left/>
      <right/>
      <top style="medium">
        <color indexed="16"/>
      </top>
      <bottom style="medium">
        <color theme="2" tint="-0.499984740745262"/>
      </bottom>
      <diagonal/>
    </border>
    <border>
      <left style="medium">
        <color theme="2" tint="-0.499984740745262"/>
      </left>
      <right/>
      <top style="medium">
        <color theme="2" tint="-0.499984740745262"/>
      </top>
      <bottom style="medium">
        <color theme="2" tint="-0.499984740745262"/>
      </bottom>
      <diagonal/>
    </border>
    <border>
      <left/>
      <right style="medium">
        <color theme="2" tint="-0.499984740745262"/>
      </right>
      <top style="medium">
        <color indexed="16"/>
      </top>
      <bottom/>
      <diagonal/>
    </border>
    <border>
      <left/>
      <right style="hair">
        <color rgb="FF993300"/>
      </right>
      <top style="medium">
        <color theme="2" tint="-0.499984740745262"/>
      </top>
      <bottom style="medium">
        <color rgb="FF993300"/>
      </bottom>
      <diagonal/>
    </border>
    <border>
      <left style="hair">
        <color rgb="FF993300"/>
      </left>
      <right style="hair">
        <color rgb="FF993300"/>
      </right>
      <top style="medium">
        <color theme="2" tint="-0.499984740745262"/>
      </top>
      <bottom style="medium">
        <color rgb="FF993300"/>
      </bottom>
      <diagonal/>
    </border>
    <border>
      <left style="hair">
        <color rgb="FF993300"/>
      </left>
      <right/>
      <top style="medium">
        <color theme="2" tint="-0.499984740745262"/>
      </top>
      <bottom style="medium">
        <color rgb="FF993300"/>
      </bottom>
      <diagonal/>
    </border>
    <border>
      <left style="dashed">
        <color rgb="FF993300"/>
      </left>
      <right style="hair">
        <color rgb="FF993300"/>
      </right>
      <top style="medium">
        <color theme="2" tint="-0.499984740745262"/>
      </top>
      <bottom style="medium">
        <color rgb="FF993300"/>
      </bottom>
      <diagonal/>
    </border>
    <border>
      <left style="medium">
        <color indexed="16"/>
      </left>
      <right style="hair">
        <color indexed="16"/>
      </right>
      <top style="medium">
        <color indexed="16"/>
      </top>
      <bottom/>
      <diagonal/>
    </border>
    <border>
      <left style="medium">
        <color theme="0" tint="-0.24994659260841701"/>
      </left>
      <right style="hair">
        <color indexed="16"/>
      </right>
      <top style="medium">
        <color theme="2" tint="-0.499984740745262"/>
      </top>
      <bottom style="medium">
        <color rgb="FF993300"/>
      </bottom>
      <diagonal/>
    </border>
    <border>
      <left style="hair">
        <color rgb="FF993300"/>
      </left>
      <right style="medium">
        <color theme="0" tint="-0.24994659260841701"/>
      </right>
      <top style="medium">
        <color theme="2" tint="-0.499984740745262"/>
      </top>
      <bottom style="medium">
        <color rgb="FF993300"/>
      </bottom>
      <diagonal/>
    </border>
    <border>
      <left/>
      <right style="hair">
        <color rgb="FFC00000"/>
      </right>
      <top style="medium">
        <color rgb="FFC00000"/>
      </top>
      <bottom/>
      <diagonal/>
    </border>
    <border>
      <left/>
      <right style="hair">
        <color rgb="FFC00000"/>
      </right>
      <top/>
      <bottom style="medium">
        <color rgb="FFC00000"/>
      </bottom>
      <diagonal/>
    </border>
    <border>
      <left style="medium">
        <color indexed="16"/>
      </left>
      <right style="hair">
        <color indexed="16"/>
      </right>
      <top/>
      <bottom style="hair">
        <color theme="1"/>
      </bottom>
      <diagonal/>
    </border>
    <border>
      <left style="medium">
        <color theme="0" tint="-0.24994659260841701"/>
      </left>
      <right style="hair">
        <color theme="9" tint="-0.499984740745262"/>
      </right>
      <top style="thin">
        <color indexed="16"/>
      </top>
      <bottom style="double">
        <color rgb="FF993300"/>
      </bottom>
      <diagonal/>
    </border>
    <border>
      <left style="hair">
        <color theme="9" tint="-0.499984740745262"/>
      </left>
      <right style="hair">
        <color theme="9" tint="-0.499984740745262"/>
      </right>
      <top style="thin">
        <color indexed="16"/>
      </top>
      <bottom style="double">
        <color rgb="FF993300"/>
      </bottom>
      <diagonal/>
    </border>
    <border>
      <left style="hair">
        <color theme="9" tint="-0.499984740745262"/>
      </left>
      <right style="medium">
        <color theme="0" tint="-0.24994659260841701"/>
      </right>
      <top style="thin">
        <color indexed="16"/>
      </top>
      <bottom style="double">
        <color rgb="FF993300"/>
      </bottom>
      <diagonal/>
    </border>
    <border>
      <left/>
      <right style="medium">
        <color indexed="16"/>
      </right>
      <top style="medium">
        <color indexed="16"/>
      </top>
      <bottom style="double">
        <color rgb="FF993300"/>
      </bottom>
      <diagonal/>
    </border>
    <border>
      <left/>
      <right/>
      <top/>
      <bottom style="double">
        <color rgb="FF993300"/>
      </bottom>
      <diagonal/>
    </border>
    <border>
      <left style="thin">
        <color rgb="FF993300"/>
      </left>
      <right style="hair">
        <color theme="9" tint="-0.499984740745262"/>
      </right>
      <top/>
      <bottom style="hair">
        <color rgb="FF993300"/>
      </bottom>
      <diagonal/>
    </border>
    <border>
      <left style="hair">
        <color theme="9" tint="-0.499984740745262"/>
      </left>
      <right style="hair">
        <color theme="9" tint="-0.499984740745262"/>
      </right>
      <top/>
      <bottom style="hair">
        <color rgb="FF993300"/>
      </bottom>
      <diagonal/>
    </border>
    <border>
      <left style="hair">
        <color theme="9" tint="-0.499984740745262"/>
      </left>
      <right style="medium">
        <color rgb="FF993300"/>
      </right>
      <top/>
      <bottom style="hair">
        <color rgb="FF993300"/>
      </bottom>
      <diagonal/>
    </border>
    <border>
      <left/>
      <right style="hair">
        <color theme="9" tint="-0.499984740745262"/>
      </right>
      <top/>
      <bottom style="hair">
        <color theme="9" tint="-0.499984740745262"/>
      </bottom>
      <diagonal/>
    </border>
    <border>
      <left style="hair">
        <color theme="9" tint="-0.499984740745262"/>
      </left>
      <right style="medium">
        <color indexed="16"/>
      </right>
      <top/>
      <bottom style="hair">
        <color theme="9" tint="-0.499984740745262"/>
      </bottom>
      <diagonal/>
    </border>
    <border>
      <left/>
      <right style="hair">
        <color indexed="64"/>
      </right>
      <top/>
      <bottom style="double">
        <color rgb="FF993300"/>
      </bottom>
      <diagonal/>
    </border>
    <border>
      <left style="hair">
        <color indexed="64"/>
      </left>
      <right style="hair">
        <color indexed="64"/>
      </right>
      <top style="thin">
        <color indexed="64"/>
      </top>
      <bottom style="double">
        <color rgb="FF993300"/>
      </bottom>
      <diagonal/>
    </border>
    <border>
      <left style="hair">
        <color indexed="64"/>
      </left>
      <right/>
      <top style="thin">
        <color indexed="64"/>
      </top>
      <bottom style="double">
        <color rgb="FF993300"/>
      </bottom>
      <diagonal/>
    </border>
    <border>
      <left style="thin">
        <color theme="0" tint="-0.34998626667073579"/>
      </left>
      <right style="hair">
        <color indexed="64"/>
      </right>
      <top style="thin">
        <color indexed="64"/>
      </top>
      <bottom style="double">
        <color rgb="FF993300"/>
      </bottom>
      <diagonal/>
    </border>
    <border>
      <left style="hair">
        <color indexed="64"/>
      </left>
      <right style="hair">
        <color indexed="64"/>
      </right>
      <top style="thin">
        <color theme="3" tint="-0.24994659260841701"/>
      </top>
      <bottom style="double">
        <color rgb="FF993300"/>
      </bottom>
      <diagonal/>
    </border>
    <border>
      <left style="hair">
        <color indexed="64"/>
      </left>
      <right/>
      <top style="thin">
        <color theme="3" tint="-0.24994659260841701"/>
      </top>
      <bottom style="double">
        <color rgb="FF993300"/>
      </bottom>
      <diagonal/>
    </border>
    <border>
      <left style="medium">
        <color theme="0" tint="-0.34998626667073579"/>
      </left>
      <right style="hair">
        <color indexed="64"/>
      </right>
      <top style="thin">
        <color indexed="64"/>
      </top>
      <bottom style="double">
        <color rgb="FF993300"/>
      </bottom>
      <diagonal/>
    </border>
    <border>
      <left style="medium">
        <color theme="2" tint="-0.24994659260841701"/>
      </left>
      <right style="hair">
        <color indexed="64"/>
      </right>
      <top style="medium">
        <color theme="2" tint="-0.499984740745262"/>
      </top>
      <bottom style="double">
        <color rgb="FF993300"/>
      </bottom>
      <diagonal/>
    </border>
    <border>
      <left style="hair">
        <color indexed="64"/>
      </left>
      <right style="hair">
        <color indexed="64"/>
      </right>
      <top style="medium">
        <color theme="2" tint="-0.499984740745262"/>
      </top>
      <bottom style="double">
        <color rgb="FF993300"/>
      </bottom>
      <diagonal/>
    </border>
    <border>
      <left style="hair">
        <color indexed="64"/>
      </left>
      <right style="thin">
        <color theme="2" tint="-0.24994659260841701"/>
      </right>
      <top style="medium">
        <color theme="2" tint="-0.499984740745262"/>
      </top>
      <bottom style="double">
        <color rgb="FF993300"/>
      </bottom>
      <diagonal/>
    </border>
    <border>
      <left style="medium">
        <color theme="2" tint="-0.24994659260841701"/>
      </left>
      <right style="medium">
        <color theme="2" tint="-0.24994659260841701"/>
      </right>
      <top style="medium">
        <color theme="2" tint="-0.499984740745262"/>
      </top>
      <bottom style="double">
        <color rgb="FF993300"/>
      </bottom>
      <diagonal/>
    </border>
    <border>
      <left style="hair">
        <color rgb="FF993300"/>
      </left>
      <right style="thin">
        <color theme="0" tint="-0.24994659260841701"/>
      </right>
      <top style="thin">
        <color rgb="FF993300"/>
      </top>
      <bottom style="double">
        <color rgb="FF993300"/>
      </bottom>
      <diagonal/>
    </border>
    <border>
      <left style="medium">
        <color theme="2" tint="-0.499984740745262"/>
      </left>
      <right style="hair">
        <color auto="1"/>
      </right>
      <top style="medium">
        <color rgb="FF993300"/>
      </top>
      <bottom/>
      <diagonal/>
    </border>
    <border>
      <left style="medium">
        <color theme="2" tint="-0.499984740745262"/>
      </left>
      <right style="hair">
        <color auto="1"/>
      </right>
      <top/>
      <bottom style="medium">
        <color rgb="FF993300"/>
      </bottom>
      <diagonal/>
    </border>
    <border>
      <left style="hair">
        <color auto="1"/>
      </left>
      <right style="hair">
        <color auto="1"/>
      </right>
      <top/>
      <bottom style="medium">
        <color rgb="FF993300"/>
      </bottom>
      <diagonal/>
    </border>
    <border>
      <left style="hair">
        <color auto="1"/>
      </left>
      <right style="medium">
        <color theme="2" tint="-0.499984740745262"/>
      </right>
      <top style="medium">
        <color rgb="FF993300"/>
      </top>
      <bottom/>
      <diagonal/>
    </border>
    <border>
      <left style="hair">
        <color auto="1"/>
      </left>
      <right style="medium">
        <color theme="2" tint="-0.499984740745262"/>
      </right>
      <top/>
      <bottom style="medium">
        <color rgb="FF993300"/>
      </bottom>
      <diagonal/>
    </border>
    <border>
      <left style="medium">
        <color theme="2" tint="-0.499984740745262"/>
      </left>
      <right style="thin">
        <color theme="2" tint="-0.499984740745262"/>
      </right>
      <top style="medium">
        <color rgb="FF993300"/>
      </top>
      <bottom/>
      <diagonal/>
    </border>
    <border>
      <left style="medium">
        <color theme="2" tint="-0.499984740745262"/>
      </left>
      <right style="thin">
        <color theme="2" tint="-0.499984740745262"/>
      </right>
      <top/>
      <bottom style="medium">
        <color rgb="FF993300"/>
      </bottom>
      <diagonal/>
    </border>
    <border>
      <left style="thin">
        <color theme="2" tint="-0.499984740745262"/>
      </left>
      <right style="hair">
        <color auto="1"/>
      </right>
      <top style="medium">
        <color rgb="FF993300"/>
      </top>
      <bottom/>
      <diagonal/>
    </border>
    <border>
      <left style="thin">
        <color theme="2" tint="-0.499984740745262"/>
      </left>
      <right style="hair">
        <color auto="1"/>
      </right>
      <top/>
      <bottom style="medium">
        <color rgb="FF993300"/>
      </bottom>
      <diagonal/>
    </border>
    <border>
      <left style="hair">
        <color auto="1"/>
      </left>
      <right style="medium">
        <color rgb="FF993300"/>
      </right>
      <top style="medium">
        <color rgb="FF993300"/>
      </top>
      <bottom/>
      <diagonal/>
    </border>
    <border>
      <left style="hair">
        <color auto="1"/>
      </left>
      <right style="medium">
        <color rgb="FF993300"/>
      </right>
      <top/>
      <bottom style="medium">
        <color rgb="FF993300"/>
      </bottom>
      <diagonal/>
    </border>
    <border>
      <left style="thin">
        <color theme="2" tint="-0.499984740745262"/>
      </left>
      <right/>
      <top style="medium">
        <color rgb="FF993300"/>
      </top>
      <bottom/>
      <diagonal/>
    </border>
    <border>
      <left/>
      <right style="thin">
        <color theme="2" tint="-0.499984740745262"/>
      </right>
      <top style="medium">
        <color rgb="FF993300"/>
      </top>
      <bottom/>
      <diagonal/>
    </border>
    <border>
      <left style="thin">
        <color theme="2" tint="-0.499984740745262"/>
      </left>
      <right/>
      <top/>
      <bottom style="medium">
        <color rgb="FF993300"/>
      </bottom>
      <diagonal/>
    </border>
    <border>
      <left/>
      <right style="thin">
        <color theme="2" tint="-0.499984740745262"/>
      </right>
      <top/>
      <bottom style="medium">
        <color rgb="FF993300"/>
      </bottom>
      <diagonal/>
    </border>
    <border>
      <left style="medium">
        <color rgb="FF993300"/>
      </left>
      <right style="hair">
        <color rgb="FFC00000"/>
      </right>
      <top style="medium">
        <color rgb="FF993300"/>
      </top>
      <bottom/>
      <diagonal/>
    </border>
    <border>
      <left style="medium">
        <color rgb="FF993300"/>
      </left>
      <right style="hair">
        <color rgb="FFC00000"/>
      </right>
      <top/>
      <bottom style="medium">
        <color rgb="FF993300"/>
      </bottom>
      <diagonal/>
    </border>
    <border>
      <left style="hair">
        <color rgb="FFC00000"/>
      </left>
      <right style="hair">
        <color rgb="FFC00000"/>
      </right>
      <top style="medium">
        <color rgb="FF993300"/>
      </top>
      <bottom/>
      <diagonal/>
    </border>
    <border>
      <left style="hair">
        <color rgb="FFC00000"/>
      </left>
      <right style="hair">
        <color rgb="FFC00000"/>
      </right>
      <top/>
      <bottom style="medium">
        <color rgb="FF993300"/>
      </bottom>
      <diagonal/>
    </border>
    <border>
      <left style="hair">
        <color rgb="FFC00000"/>
      </left>
      <right style="medium">
        <color rgb="FF993300"/>
      </right>
      <top style="medium">
        <color rgb="FF993300"/>
      </top>
      <bottom/>
      <diagonal/>
    </border>
    <border>
      <left style="hair">
        <color rgb="FFC00000"/>
      </left>
      <right style="medium">
        <color rgb="FF993300"/>
      </right>
      <top/>
      <bottom style="medium">
        <color rgb="FF993300"/>
      </bottom>
      <diagonal/>
    </border>
    <border>
      <left style="medium">
        <color rgb="FF993300"/>
      </left>
      <right style="hair">
        <color auto="1"/>
      </right>
      <top style="medium">
        <color rgb="FF993300"/>
      </top>
      <bottom/>
      <diagonal/>
    </border>
    <border>
      <left style="medium">
        <color rgb="FF993300"/>
      </left>
      <right style="hair">
        <color auto="1"/>
      </right>
      <top/>
      <bottom style="medium">
        <color rgb="FF993300"/>
      </bottom>
      <diagonal/>
    </border>
    <border>
      <left style="hair">
        <color auto="1"/>
      </left>
      <right style="thin">
        <color rgb="FF993300"/>
      </right>
      <top style="medium">
        <color rgb="FF993300"/>
      </top>
      <bottom/>
      <diagonal/>
    </border>
    <border>
      <left style="hair">
        <color auto="1"/>
      </left>
      <right style="thin">
        <color rgb="FF993300"/>
      </right>
      <top/>
      <bottom style="medium">
        <color rgb="FF993300"/>
      </bottom>
      <diagonal/>
    </border>
    <border>
      <left style="thin">
        <color rgb="FF993300"/>
      </left>
      <right style="medium">
        <color rgb="FF993300"/>
      </right>
      <top style="medium">
        <color rgb="FF993300"/>
      </top>
      <bottom/>
      <diagonal/>
    </border>
    <border>
      <left style="thin">
        <color rgb="FF993300"/>
      </left>
      <right style="medium">
        <color rgb="FF993300"/>
      </right>
      <top/>
      <bottom style="medium">
        <color rgb="FF993300"/>
      </bottom>
      <diagonal/>
    </border>
    <border>
      <left style="medium">
        <color theme="2" tint="-0.499984740745262"/>
      </left>
      <right/>
      <top/>
      <bottom style="medium">
        <color indexed="16"/>
      </bottom>
      <diagonal/>
    </border>
    <border>
      <left/>
      <right style="medium">
        <color theme="2" tint="-0.499984740745262"/>
      </right>
      <top/>
      <bottom style="medium">
        <color indexed="16"/>
      </bottom>
      <diagonal/>
    </border>
    <border>
      <left style="thin">
        <color rgb="FF993300"/>
      </left>
      <right style="thin">
        <color rgb="FF993300"/>
      </right>
      <top style="medium">
        <color rgb="FF993300"/>
      </top>
      <bottom/>
      <diagonal/>
    </border>
    <border>
      <left style="thin">
        <color rgb="FF993300"/>
      </left>
      <right/>
      <top style="medium">
        <color rgb="FF993300"/>
      </top>
      <bottom/>
      <diagonal/>
    </border>
    <border>
      <left style="medium">
        <color rgb="FF993300"/>
      </left>
      <right style="thin">
        <color rgb="FF993300"/>
      </right>
      <top style="thin">
        <color rgb="FF993300"/>
      </top>
      <bottom style="medium">
        <color rgb="FF993300"/>
      </bottom>
      <diagonal/>
    </border>
    <border>
      <left style="thin">
        <color rgb="FF993300"/>
      </left>
      <right style="thin">
        <color rgb="FF993300"/>
      </right>
      <top style="thin">
        <color rgb="FF993300"/>
      </top>
      <bottom style="medium">
        <color rgb="FF993300"/>
      </bottom>
      <diagonal/>
    </border>
    <border>
      <left style="thin">
        <color rgb="FF993300"/>
      </left>
      <right/>
      <top style="thin">
        <color rgb="FF993300"/>
      </top>
      <bottom style="medium">
        <color rgb="FF993300"/>
      </bottom>
      <diagonal/>
    </border>
    <border>
      <left style="thin">
        <color rgb="FF993300"/>
      </left>
      <right style="medium">
        <color rgb="FF993300"/>
      </right>
      <top style="thin">
        <color rgb="FF993300"/>
      </top>
      <bottom style="medium">
        <color rgb="FF993300"/>
      </bottom>
      <diagonal/>
    </border>
    <border>
      <left style="medium">
        <color auto="1"/>
      </left>
      <right style="dotted">
        <color auto="1"/>
      </right>
      <top style="medium">
        <color auto="1"/>
      </top>
      <bottom style="hair">
        <color auto="1"/>
      </bottom>
      <diagonal/>
    </border>
    <border>
      <left style="dotted">
        <color auto="1"/>
      </left>
      <right style="dotted">
        <color auto="1"/>
      </right>
      <top style="medium">
        <color auto="1"/>
      </top>
      <bottom style="hair">
        <color auto="1"/>
      </bottom>
      <diagonal/>
    </border>
    <border>
      <left style="dotted">
        <color auto="1"/>
      </left>
      <right style="medium">
        <color auto="1"/>
      </right>
      <top style="medium">
        <color auto="1"/>
      </top>
      <bottom style="hair">
        <color auto="1"/>
      </bottom>
      <diagonal/>
    </border>
    <border>
      <left style="medium">
        <color auto="1"/>
      </left>
      <right style="dotted">
        <color auto="1"/>
      </right>
      <top style="hair">
        <color auto="1"/>
      </top>
      <bottom style="hair">
        <color auto="1"/>
      </bottom>
      <diagonal/>
    </border>
    <border>
      <left style="dotted">
        <color auto="1"/>
      </left>
      <right style="dotted">
        <color auto="1"/>
      </right>
      <top style="hair">
        <color auto="1"/>
      </top>
      <bottom style="hair">
        <color auto="1"/>
      </bottom>
      <diagonal/>
    </border>
    <border>
      <left style="dotted">
        <color auto="1"/>
      </left>
      <right style="medium">
        <color auto="1"/>
      </right>
      <top style="hair">
        <color auto="1"/>
      </top>
      <bottom style="hair">
        <color auto="1"/>
      </bottom>
      <diagonal/>
    </border>
    <border>
      <left style="medium">
        <color auto="1"/>
      </left>
      <right style="dotted">
        <color auto="1"/>
      </right>
      <top style="hair">
        <color auto="1"/>
      </top>
      <bottom style="medium">
        <color auto="1"/>
      </bottom>
      <diagonal/>
    </border>
    <border>
      <left style="dotted">
        <color auto="1"/>
      </left>
      <right style="dotted">
        <color auto="1"/>
      </right>
      <top style="hair">
        <color auto="1"/>
      </top>
      <bottom style="medium">
        <color auto="1"/>
      </bottom>
      <diagonal/>
    </border>
    <border>
      <left style="dotted">
        <color auto="1"/>
      </left>
      <right style="medium">
        <color auto="1"/>
      </right>
      <top style="hair">
        <color auto="1"/>
      </top>
      <bottom style="medium">
        <color auto="1"/>
      </bottom>
      <diagonal/>
    </border>
    <border>
      <left/>
      <right/>
      <top style="medium">
        <color rgb="FFC00000"/>
      </top>
      <bottom/>
      <diagonal/>
    </border>
    <border>
      <left style="medium">
        <color rgb="FF993300"/>
      </left>
      <right style="hair">
        <color rgb="FF993300"/>
      </right>
      <top style="hair">
        <color indexed="58"/>
      </top>
      <bottom/>
      <diagonal/>
    </border>
    <border>
      <left style="hair">
        <color rgb="FF993300"/>
      </left>
      <right/>
      <top style="hair">
        <color indexed="58"/>
      </top>
      <bottom/>
      <diagonal/>
    </border>
    <border>
      <left style="hair">
        <color rgb="FF993300"/>
      </left>
      <right style="medium">
        <color rgb="FF993300"/>
      </right>
      <top style="hair">
        <color indexed="58"/>
      </top>
      <bottom/>
      <diagonal/>
    </border>
    <border>
      <left style="medium">
        <color rgb="FF993300"/>
      </left>
      <right style="thin">
        <color rgb="FF993300"/>
      </right>
      <top style="hair">
        <color indexed="58"/>
      </top>
      <bottom/>
      <diagonal/>
    </border>
    <border>
      <left/>
      <right style="hair">
        <color rgb="FF993300"/>
      </right>
      <top style="hair">
        <color indexed="58"/>
      </top>
      <bottom/>
      <diagonal/>
    </border>
    <border>
      <left style="hair">
        <color rgb="FF993300"/>
      </left>
      <right style="hair">
        <color rgb="FF993300"/>
      </right>
      <top style="hair">
        <color indexed="58"/>
      </top>
      <bottom/>
      <diagonal/>
    </border>
    <border>
      <left/>
      <right/>
      <top style="hair">
        <color indexed="58"/>
      </top>
      <bottom/>
      <diagonal/>
    </border>
    <border>
      <left style="thin">
        <color rgb="FF993300"/>
      </left>
      <right style="hair">
        <color rgb="FF993300"/>
      </right>
      <top style="hair">
        <color indexed="23"/>
      </top>
      <bottom/>
      <diagonal/>
    </border>
    <border>
      <left style="thin">
        <color rgb="FF993300"/>
      </left>
      <right style="hair">
        <color rgb="FF993300"/>
      </right>
      <top style="hair">
        <color indexed="58"/>
      </top>
      <bottom/>
      <diagonal/>
    </border>
    <border>
      <left style="medium">
        <color rgb="FF993300"/>
      </left>
      <right style="dotted">
        <color rgb="FF993300"/>
      </right>
      <top style="hair">
        <color indexed="54"/>
      </top>
      <bottom/>
      <diagonal/>
    </border>
    <border>
      <left style="dotted">
        <color rgb="FF993300"/>
      </left>
      <right style="medium">
        <color rgb="FF993300"/>
      </right>
      <top style="hair">
        <color indexed="58"/>
      </top>
      <bottom/>
      <diagonal/>
    </border>
    <border>
      <left style="medium">
        <color rgb="FF993300"/>
      </left>
      <right/>
      <top style="hair">
        <color indexed="64"/>
      </top>
      <bottom/>
      <diagonal/>
    </border>
    <border>
      <left style="medium">
        <color rgb="FF993300"/>
      </left>
      <right style="hair">
        <color rgb="FF993300"/>
      </right>
      <top style="hair">
        <color indexed="64"/>
      </top>
      <bottom/>
      <diagonal/>
    </border>
    <border>
      <left/>
      <right style="hair">
        <color rgb="FF993300"/>
      </right>
      <top style="hair">
        <color indexed="64"/>
      </top>
      <bottom/>
      <diagonal/>
    </border>
    <border>
      <left style="hair">
        <color rgb="FF993300"/>
      </left>
      <right style="hair">
        <color rgb="FF993300"/>
      </right>
      <top style="hair">
        <color indexed="64"/>
      </top>
      <bottom/>
      <diagonal/>
    </border>
    <border>
      <left style="hair">
        <color rgb="FF993300"/>
      </left>
      <right style="medium">
        <color rgb="FF993300"/>
      </right>
      <top style="hair">
        <color indexed="64"/>
      </top>
      <bottom/>
      <diagonal/>
    </border>
    <border>
      <left style="medium">
        <color rgb="FF993300"/>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rgb="FF993300"/>
      </right>
      <top style="hair">
        <color indexed="64"/>
      </top>
      <bottom/>
      <diagonal/>
    </border>
    <border>
      <left style="medium">
        <color rgb="FF993300"/>
      </left>
      <right/>
      <top style="hair">
        <color indexed="54"/>
      </top>
      <bottom/>
      <diagonal/>
    </border>
    <border>
      <left style="medium">
        <color indexed="16"/>
      </left>
      <right/>
      <top/>
      <bottom style="thin">
        <color indexed="16"/>
      </bottom>
      <diagonal/>
    </border>
    <border>
      <left/>
      <right/>
      <top/>
      <bottom style="thin">
        <color indexed="16"/>
      </bottom>
      <diagonal/>
    </border>
    <border>
      <left/>
      <right style="medium">
        <color indexed="16"/>
      </right>
      <top/>
      <bottom style="thin">
        <color indexed="16"/>
      </bottom>
      <diagonal/>
    </border>
    <border>
      <left style="hair">
        <color theme="5" tint="-0.24994659260841701"/>
      </left>
      <right style="hair">
        <color theme="5" tint="-0.24994659260841701"/>
      </right>
      <top style="hair">
        <color indexed="64"/>
      </top>
      <bottom style="thick">
        <color theme="9" tint="-0.499984740745262"/>
      </bottom>
      <diagonal/>
    </border>
    <border>
      <left style="hair">
        <color indexed="64"/>
      </left>
      <right/>
      <top style="thin">
        <color rgb="FF993300"/>
      </top>
      <bottom/>
      <diagonal/>
    </border>
    <border>
      <left/>
      <right style="medium">
        <color theme="2" tint="-0.499984740745262"/>
      </right>
      <top style="thin">
        <color rgb="FF993300"/>
      </top>
      <bottom/>
      <diagonal/>
    </border>
    <border>
      <left style="hair">
        <color indexed="64"/>
      </left>
      <right/>
      <top/>
      <bottom style="medium">
        <color rgb="FF993300"/>
      </bottom>
      <diagonal/>
    </border>
    <border>
      <left/>
      <right style="medium">
        <color theme="2" tint="-0.499984740745262"/>
      </right>
      <top/>
      <bottom style="medium">
        <color rgb="FF993300"/>
      </bottom>
      <diagonal/>
    </border>
    <border>
      <left style="hair">
        <color indexed="64"/>
      </left>
      <right style="hair">
        <color indexed="64"/>
      </right>
      <top style="thin">
        <color rgb="FF993300"/>
      </top>
      <bottom/>
      <diagonal/>
    </border>
    <border>
      <left style="hair">
        <color indexed="53"/>
      </left>
      <right style="medium">
        <color indexed="16"/>
      </right>
      <top/>
      <bottom style="hair">
        <color indexed="53"/>
      </bottom>
      <diagonal/>
    </border>
    <border>
      <left style="thin">
        <color rgb="FF993300"/>
      </left>
      <right style="thin">
        <color rgb="FF993300"/>
      </right>
      <top style="double">
        <color rgb="FF993300"/>
      </top>
      <bottom style="hair">
        <color rgb="FF993300"/>
      </bottom>
      <diagonal/>
    </border>
    <border>
      <left style="thin">
        <color indexed="16"/>
      </left>
      <right/>
      <top style="double">
        <color rgb="FF993300"/>
      </top>
      <bottom style="hair">
        <color rgb="FF993300"/>
      </bottom>
      <diagonal/>
    </border>
    <border>
      <left style="hair">
        <color indexed="53"/>
      </left>
      <right style="medium">
        <color indexed="16"/>
      </right>
      <top style="double">
        <color rgb="FF993300"/>
      </top>
      <bottom style="hair">
        <color rgb="FF993300"/>
      </bottom>
      <diagonal/>
    </border>
    <border>
      <left style="thin">
        <color indexed="16"/>
      </left>
      <right/>
      <top style="hair">
        <color rgb="FF993300"/>
      </top>
      <bottom style="hair">
        <color rgb="FF993300"/>
      </bottom>
      <diagonal/>
    </border>
    <border>
      <left style="hair">
        <color indexed="53"/>
      </left>
      <right style="medium">
        <color indexed="16"/>
      </right>
      <top style="hair">
        <color rgb="FF993300"/>
      </top>
      <bottom style="hair">
        <color rgb="FF993300"/>
      </bottom>
      <diagonal/>
    </border>
    <border>
      <left style="thin">
        <color indexed="16"/>
      </left>
      <right style="hair">
        <color indexed="53"/>
      </right>
      <top style="hair">
        <color rgb="FF993300"/>
      </top>
      <bottom style="hair">
        <color rgb="FF993300"/>
      </bottom>
      <diagonal/>
    </border>
    <border>
      <left style="thin">
        <color rgb="FF993300"/>
      </left>
      <right/>
      <top style="hair">
        <color theme="9" tint="-0.499984740745262"/>
      </top>
      <bottom/>
      <diagonal/>
    </border>
    <border>
      <left style="hair">
        <color theme="9" tint="-0.499984740745262"/>
      </left>
      <right/>
      <top style="hair">
        <color theme="9" tint="-0.499984740745262"/>
      </top>
      <bottom/>
      <diagonal/>
    </border>
    <border>
      <left/>
      <right style="medium">
        <color rgb="FF993300"/>
      </right>
      <top style="hair">
        <color theme="9" tint="-0.499984740745262"/>
      </top>
      <bottom/>
      <diagonal/>
    </border>
    <border>
      <left style="hair">
        <color theme="9" tint="-0.499984740745262"/>
      </left>
      <right style="hair">
        <color theme="9" tint="-0.499984740745262"/>
      </right>
      <top style="hair">
        <color rgb="FF993300"/>
      </top>
      <bottom style="hair">
        <color theme="9" tint="-0.499984740745262"/>
      </bottom>
      <diagonal/>
    </border>
    <border>
      <left style="thin">
        <color rgb="FF993300"/>
      </left>
      <right/>
      <top style="hair">
        <color theme="9" tint="-0.499984740745262"/>
      </top>
      <bottom style="hair">
        <color rgb="FF993300"/>
      </bottom>
      <diagonal/>
    </border>
    <border>
      <left/>
      <right style="hair">
        <color theme="9" tint="-0.499984740745262"/>
      </right>
      <top style="hair">
        <color theme="9" tint="-0.499984740745262"/>
      </top>
      <bottom style="hair">
        <color rgb="FF993300"/>
      </bottom>
      <diagonal/>
    </border>
    <border>
      <left style="hair">
        <color theme="9" tint="-0.499984740745262"/>
      </left>
      <right/>
      <top style="hair">
        <color theme="9" tint="-0.499984740745262"/>
      </top>
      <bottom style="hair">
        <color rgb="FF993300"/>
      </bottom>
      <diagonal/>
    </border>
    <border>
      <left/>
      <right style="medium">
        <color rgb="FF993300"/>
      </right>
      <top style="hair">
        <color theme="9" tint="-0.499984740745262"/>
      </top>
      <bottom style="hair">
        <color rgb="FF993300"/>
      </bottom>
      <diagonal/>
    </border>
    <border>
      <left style="medium">
        <color rgb="FF993300"/>
      </left>
      <right style="hair">
        <color rgb="FF993300"/>
      </right>
      <top style="double">
        <color rgb="FF993300"/>
      </top>
      <bottom style="hair">
        <color rgb="FF993300"/>
      </bottom>
      <diagonal/>
    </border>
    <border>
      <left style="hair">
        <color rgb="FF993300"/>
      </left>
      <right style="medium">
        <color indexed="16"/>
      </right>
      <top style="double">
        <color rgb="FF993300"/>
      </top>
      <bottom style="hair">
        <color rgb="FF993300"/>
      </bottom>
      <diagonal/>
    </border>
    <border>
      <left style="hair">
        <color rgb="FF993300"/>
      </left>
      <right style="medium">
        <color indexed="16"/>
      </right>
      <top style="hair">
        <color rgb="FF993300"/>
      </top>
      <bottom style="hair">
        <color rgb="FF993300"/>
      </bottom>
      <diagonal/>
    </border>
    <border>
      <left style="thin">
        <color indexed="16"/>
      </left>
      <right style="thick">
        <color indexed="16"/>
      </right>
      <top style="thin">
        <color indexed="16"/>
      </top>
      <bottom style="thin">
        <color indexed="16"/>
      </bottom>
      <diagonal/>
    </border>
    <border>
      <left style="medium">
        <color rgb="FF993300"/>
      </left>
      <right style="thin">
        <color rgb="FF993300"/>
      </right>
      <top style="thin">
        <color rgb="FF993300"/>
      </top>
      <bottom/>
      <diagonal/>
    </border>
    <border>
      <left style="medium">
        <color rgb="FF993300"/>
      </left>
      <right style="thin">
        <color rgb="FF993300"/>
      </right>
      <top/>
      <bottom style="thin">
        <color rgb="FF993300"/>
      </bottom>
      <diagonal/>
    </border>
    <border>
      <left style="medium">
        <color rgb="FF993300"/>
      </left>
      <right style="thin">
        <color rgb="FF993300"/>
      </right>
      <top style="double">
        <color rgb="FF993300"/>
      </top>
      <bottom style="hair">
        <color rgb="FF993300"/>
      </bottom>
      <diagonal/>
    </border>
    <border>
      <left style="dashed">
        <color rgb="FF993300"/>
      </left>
      <right style="hair">
        <color rgb="FF993300"/>
      </right>
      <top style="double">
        <color rgb="FF993300"/>
      </top>
      <bottom style="hair">
        <color rgb="FF993300"/>
      </bottom>
      <diagonal/>
    </border>
    <border>
      <left style="thin">
        <color rgb="FF993300"/>
      </left>
      <right/>
      <top style="hair">
        <color rgb="FF993300"/>
      </top>
      <bottom style="hair">
        <color indexed="53"/>
      </bottom>
      <diagonal/>
    </border>
    <border>
      <left style="hair">
        <color indexed="53"/>
      </left>
      <right style="medium">
        <color indexed="16"/>
      </right>
      <top style="hair">
        <color rgb="FF993300"/>
      </top>
      <bottom style="hair">
        <color indexed="53"/>
      </bottom>
      <diagonal/>
    </border>
    <border>
      <left style="thin">
        <color rgb="FF993300"/>
      </left>
      <right/>
      <top/>
      <bottom style="hair">
        <color indexed="53"/>
      </bottom>
      <diagonal/>
    </border>
    <border>
      <left style="thin">
        <color rgb="FF993300"/>
      </left>
      <right/>
      <top style="hair">
        <color indexed="53"/>
      </top>
      <bottom style="thin">
        <color indexed="16"/>
      </bottom>
      <diagonal/>
    </border>
    <border>
      <left style="hair">
        <color indexed="53"/>
      </left>
      <right style="medium">
        <color indexed="16"/>
      </right>
      <top style="hair">
        <color indexed="53"/>
      </top>
      <bottom style="thin">
        <color indexed="16"/>
      </bottom>
      <diagonal/>
    </border>
    <border>
      <left style="thin">
        <color rgb="FF993300"/>
      </left>
      <right/>
      <top style="hair">
        <color indexed="53"/>
      </top>
      <bottom style="hair">
        <color indexed="53"/>
      </bottom>
      <diagonal/>
    </border>
    <border>
      <left style="hair">
        <color indexed="53"/>
      </left>
      <right style="medium">
        <color indexed="16"/>
      </right>
      <top style="hair">
        <color indexed="53"/>
      </top>
      <bottom style="hair">
        <color indexed="53"/>
      </bottom>
      <diagonal/>
    </border>
    <border>
      <left style="thin">
        <color rgb="FF993300"/>
      </left>
      <right/>
      <top style="hair">
        <color indexed="53"/>
      </top>
      <bottom style="hair">
        <color rgb="FF993300"/>
      </bottom>
      <diagonal/>
    </border>
    <border>
      <left style="hair">
        <color indexed="53"/>
      </left>
      <right style="medium">
        <color indexed="16"/>
      </right>
      <top style="hair">
        <color indexed="53"/>
      </top>
      <bottom style="hair">
        <color rgb="FF993300"/>
      </bottom>
      <diagonal/>
    </border>
    <border>
      <left style="medium">
        <color indexed="16"/>
      </left>
      <right/>
      <top style="hair">
        <color indexed="16"/>
      </top>
      <bottom style="hair">
        <color rgb="FF993300"/>
      </bottom>
      <diagonal/>
    </border>
    <border>
      <left style="thin">
        <color rgb="FF993300"/>
      </left>
      <right/>
      <top style="hair">
        <color indexed="16"/>
      </top>
      <bottom style="hair">
        <color rgb="FF993300"/>
      </bottom>
      <diagonal/>
    </border>
    <border>
      <left style="thin">
        <color rgb="FF993300"/>
      </left>
      <right style="hair">
        <color theme="9" tint="-0.499984740745262"/>
      </right>
      <top style="hair">
        <color indexed="16"/>
      </top>
      <bottom style="hair">
        <color rgb="FF993300"/>
      </bottom>
      <diagonal/>
    </border>
    <border>
      <left style="hair">
        <color theme="9" tint="-0.499984740745262"/>
      </left>
      <right style="hair">
        <color theme="9" tint="-0.499984740745262"/>
      </right>
      <top style="hair">
        <color indexed="16"/>
      </top>
      <bottom style="hair">
        <color rgb="FF993300"/>
      </bottom>
      <diagonal/>
    </border>
    <border>
      <left style="hair">
        <color theme="9" tint="-0.499984740745262"/>
      </left>
      <right style="medium">
        <color rgb="FF993300"/>
      </right>
      <top style="hair">
        <color indexed="16"/>
      </top>
      <bottom style="hair">
        <color rgb="FF993300"/>
      </bottom>
      <diagonal/>
    </border>
    <border>
      <left style="medium">
        <color indexed="16"/>
      </left>
      <right/>
      <top style="hair">
        <color rgb="FF993300"/>
      </top>
      <bottom style="hair">
        <color rgb="FF993300"/>
      </bottom>
      <diagonal/>
    </border>
    <border>
      <left style="medium">
        <color indexed="16"/>
      </left>
      <right/>
      <top style="hair">
        <color rgb="FF993300"/>
      </top>
      <bottom style="hair">
        <color indexed="16"/>
      </bottom>
      <diagonal/>
    </border>
    <border>
      <left style="thin">
        <color rgb="FF993300"/>
      </left>
      <right/>
      <top style="hair">
        <color rgb="FF993300"/>
      </top>
      <bottom style="hair">
        <color indexed="16"/>
      </bottom>
      <diagonal/>
    </border>
    <border>
      <left style="thin">
        <color rgb="FF993300"/>
      </left>
      <right style="hair">
        <color theme="9" tint="-0.499984740745262"/>
      </right>
      <top style="hair">
        <color rgb="FF993300"/>
      </top>
      <bottom style="hair">
        <color indexed="16"/>
      </bottom>
      <diagonal/>
    </border>
    <border>
      <left style="hair">
        <color theme="9" tint="-0.499984740745262"/>
      </left>
      <right style="hair">
        <color theme="9" tint="-0.499984740745262"/>
      </right>
      <top style="hair">
        <color rgb="FF993300"/>
      </top>
      <bottom style="hair">
        <color indexed="16"/>
      </bottom>
      <diagonal/>
    </border>
    <border>
      <left style="hair">
        <color theme="9" tint="-0.499984740745262"/>
      </left>
      <right style="medium">
        <color rgb="FF993300"/>
      </right>
      <top style="hair">
        <color rgb="FF993300"/>
      </top>
      <bottom style="hair">
        <color indexed="16"/>
      </bottom>
      <diagonal/>
    </border>
    <border>
      <left/>
      <right/>
      <top style="double">
        <color rgb="FF993300"/>
      </top>
      <bottom style="hair">
        <color rgb="FF993300"/>
      </bottom>
      <diagonal/>
    </border>
    <border>
      <left style="hair">
        <color auto="1"/>
      </left>
      <right style="hair">
        <color auto="1"/>
      </right>
      <top style="double">
        <color rgb="FF993300"/>
      </top>
      <bottom style="hair">
        <color rgb="FF993300"/>
      </bottom>
      <diagonal/>
    </border>
    <border>
      <left style="thin">
        <color rgb="FF993300"/>
      </left>
      <right style="hair">
        <color theme="9" tint="-0.499984740745262"/>
      </right>
      <top style="hair">
        <color rgb="FF993300"/>
      </top>
      <bottom style="hair">
        <color theme="9" tint="-0.499984740745262"/>
      </bottom>
      <diagonal/>
    </border>
    <border>
      <left style="hair">
        <color theme="9" tint="-0.499984740745262"/>
      </left>
      <right style="medium">
        <color indexed="16"/>
      </right>
      <top style="hair">
        <color rgb="FF993300"/>
      </top>
      <bottom style="hair">
        <color theme="9" tint="-0.499984740745262"/>
      </bottom>
      <diagonal/>
    </border>
    <border>
      <left style="medium">
        <color indexed="16"/>
      </left>
      <right style="hair">
        <color indexed="16"/>
      </right>
      <top style="hair">
        <color rgb="FF993300"/>
      </top>
      <bottom style="hair">
        <color theme="9" tint="-0.499984740745262"/>
      </bottom>
      <diagonal/>
    </border>
    <border>
      <left style="hair">
        <color indexed="16"/>
      </left>
      <right style="hair">
        <color indexed="16"/>
      </right>
      <top style="hair">
        <color rgb="FF993300"/>
      </top>
      <bottom style="hair">
        <color theme="9" tint="-0.499984740745262"/>
      </bottom>
      <diagonal/>
    </border>
    <border>
      <left style="hair">
        <color indexed="16"/>
      </left>
      <right style="medium">
        <color indexed="16"/>
      </right>
      <top style="hair">
        <color rgb="FF993300"/>
      </top>
      <bottom style="hair">
        <color theme="9" tint="-0.499984740745262"/>
      </bottom>
      <diagonal/>
    </border>
    <border>
      <left style="thin">
        <color rgb="FF993300"/>
      </left>
      <right style="hair">
        <color theme="9" tint="-0.499984740745262"/>
      </right>
      <top style="hair">
        <color theme="9" tint="-0.499984740745262"/>
      </top>
      <bottom style="hair">
        <color theme="9" tint="-0.499984740745262"/>
      </bottom>
      <diagonal/>
    </border>
    <border>
      <left style="thin">
        <color rgb="FF993300"/>
      </left>
      <right/>
      <top style="hair">
        <color indexed="16"/>
      </top>
      <bottom style="hair">
        <color indexed="16"/>
      </bottom>
      <diagonal/>
    </border>
    <border>
      <left/>
      <right style="hair">
        <color theme="9" tint="-0.499984740745262"/>
      </right>
      <top style="hair">
        <color indexed="16"/>
      </top>
      <bottom style="hair">
        <color indexed="16"/>
      </bottom>
      <diagonal/>
    </border>
    <border>
      <left style="hair">
        <color theme="9" tint="-0.499984740745262"/>
      </left>
      <right/>
      <top style="hair">
        <color indexed="16"/>
      </top>
      <bottom style="hair">
        <color indexed="16"/>
      </bottom>
      <diagonal/>
    </border>
    <border>
      <left/>
      <right style="medium">
        <color indexed="16"/>
      </right>
      <top style="hair">
        <color indexed="16"/>
      </top>
      <bottom style="hair">
        <color indexed="16"/>
      </bottom>
      <diagonal/>
    </border>
    <border>
      <left/>
      <right style="hair">
        <color theme="9" tint="-0.499984740745262"/>
      </right>
      <top style="hair">
        <color indexed="16"/>
      </top>
      <bottom style="hair">
        <color rgb="FF993300"/>
      </bottom>
      <diagonal/>
    </border>
    <border>
      <left style="hair">
        <color theme="9" tint="-0.499984740745262"/>
      </left>
      <right/>
      <top style="hair">
        <color indexed="16"/>
      </top>
      <bottom style="hair">
        <color rgb="FF993300"/>
      </bottom>
      <diagonal/>
    </border>
    <border>
      <left/>
      <right style="medium">
        <color indexed="16"/>
      </right>
      <top style="hair">
        <color indexed="16"/>
      </top>
      <bottom style="hair">
        <color rgb="FF993300"/>
      </bottom>
      <diagonal/>
    </border>
    <border>
      <left style="medium">
        <color indexed="16"/>
      </left>
      <right style="hair">
        <color indexed="16"/>
      </right>
      <top style="hair">
        <color theme="9" tint="-0.499984740745262"/>
      </top>
      <bottom style="hair">
        <color rgb="FF993300"/>
      </bottom>
      <diagonal/>
    </border>
    <border>
      <left style="hair">
        <color indexed="16"/>
      </left>
      <right style="hair">
        <color indexed="16"/>
      </right>
      <top style="hair">
        <color theme="9" tint="-0.499984740745262"/>
      </top>
      <bottom style="hair">
        <color rgb="FF993300"/>
      </bottom>
      <diagonal/>
    </border>
    <border>
      <left style="hair">
        <color indexed="16"/>
      </left>
      <right style="medium">
        <color indexed="16"/>
      </right>
      <top style="hair">
        <color theme="9" tint="-0.499984740745262"/>
      </top>
      <bottom style="hair">
        <color rgb="FF993300"/>
      </bottom>
      <diagonal/>
    </border>
    <border>
      <left style="medium">
        <color indexed="16"/>
      </left>
      <right style="thin">
        <color theme="2" tint="-0.499984740745262"/>
      </right>
      <top style="double">
        <color rgb="FF993300"/>
      </top>
      <bottom style="hair">
        <color indexed="16"/>
      </bottom>
      <diagonal/>
    </border>
    <border>
      <left/>
      <right style="hair">
        <color indexed="64"/>
      </right>
      <top style="double">
        <color rgb="FF993300"/>
      </top>
      <bottom style="hair">
        <color indexed="16"/>
      </bottom>
      <diagonal/>
    </border>
    <border>
      <left/>
      <right/>
      <top style="double">
        <color rgb="FF993300"/>
      </top>
      <bottom style="hair">
        <color indexed="16"/>
      </bottom>
      <diagonal/>
    </border>
    <border>
      <left style="thin">
        <color indexed="64"/>
      </left>
      <right style="hair">
        <color indexed="64"/>
      </right>
      <top style="double">
        <color rgb="FF993300"/>
      </top>
      <bottom style="hair">
        <color indexed="16"/>
      </bottom>
      <diagonal/>
    </border>
    <border>
      <left style="hair">
        <color indexed="64"/>
      </left>
      <right style="hair">
        <color indexed="64"/>
      </right>
      <top style="double">
        <color rgb="FF993300"/>
      </top>
      <bottom style="hair">
        <color indexed="16"/>
      </bottom>
      <diagonal/>
    </border>
    <border>
      <left style="hair">
        <color indexed="64"/>
      </left>
      <right/>
      <top style="double">
        <color rgb="FF993300"/>
      </top>
      <bottom style="hair">
        <color indexed="16"/>
      </bottom>
      <diagonal/>
    </border>
    <border>
      <left style="medium">
        <color theme="2" tint="-0.499984740745262"/>
      </left>
      <right style="hair">
        <color indexed="64"/>
      </right>
      <top style="double">
        <color rgb="FF993300"/>
      </top>
      <bottom style="hair">
        <color indexed="16"/>
      </bottom>
      <diagonal/>
    </border>
    <border>
      <left style="hair">
        <color indexed="64"/>
      </left>
      <right style="medium">
        <color theme="2" tint="-0.499984740745262"/>
      </right>
      <top style="double">
        <color rgb="FF993300"/>
      </top>
      <bottom style="hair">
        <color indexed="16"/>
      </bottom>
      <diagonal/>
    </border>
    <border>
      <left style="thin">
        <color theme="2" tint="-0.499984740745262"/>
      </left>
      <right style="medium">
        <color theme="2" tint="-0.499984740745262"/>
      </right>
      <top style="double">
        <color rgb="FF993300"/>
      </top>
      <bottom style="hair">
        <color indexed="16"/>
      </bottom>
      <diagonal/>
    </border>
    <border>
      <left style="medium">
        <color theme="2" tint="-0.499984740745262"/>
      </left>
      <right style="medium">
        <color theme="2" tint="-0.499984740745262"/>
      </right>
      <top style="double">
        <color rgb="FF993300"/>
      </top>
      <bottom style="hair">
        <color indexed="16"/>
      </bottom>
      <diagonal/>
    </border>
    <border>
      <left style="medium">
        <color indexed="16"/>
      </left>
      <right style="thin">
        <color theme="2" tint="-0.499984740745262"/>
      </right>
      <top style="hair">
        <color indexed="16"/>
      </top>
      <bottom style="hair">
        <color indexed="16"/>
      </bottom>
      <diagonal/>
    </border>
    <border>
      <left/>
      <right style="hair">
        <color indexed="64"/>
      </right>
      <top style="hair">
        <color indexed="16"/>
      </top>
      <bottom style="hair">
        <color indexed="16"/>
      </bottom>
      <diagonal/>
    </border>
    <border>
      <left/>
      <right/>
      <top style="hair">
        <color indexed="16"/>
      </top>
      <bottom style="hair">
        <color indexed="16"/>
      </bottom>
      <diagonal/>
    </border>
    <border>
      <left style="thin">
        <color indexed="64"/>
      </left>
      <right style="hair">
        <color indexed="64"/>
      </right>
      <top style="hair">
        <color indexed="16"/>
      </top>
      <bottom style="hair">
        <color indexed="16"/>
      </bottom>
      <diagonal/>
    </border>
    <border>
      <left style="hair">
        <color indexed="64"/>
      </left>
      <right style="hair">
        <color indexed="64"/>
      </right>
      <top style="hair">
        <color indexed="16"/>
      </top>
      <bottom style="hair">
        <color indexed="16"/>
      </bottom>
      <diagonal/>
    </border>
    <border>
      <left style="hair">
        <color indexed="64"/>
      </left>
      <right/>
      <top style="hair">
        <color indexed="16"/>
      </top>
      <bottom style="hair">
        <color indexed="16"/>
      </bottom>
      <diagonal/>
    </border>
    <border>
      <left style="medium">
        <color theme="2" tint="-0.499984740745262"/>
      </left>
      <right style="hair">
        <color indexed="64"/>
      </right>
      <top style="hair">
        <color indexed="16"/>
      </top>
      <bottom style="hair">
        <color indexed="16"/>
      </bottom>
      <diagonal/>
    </border>
    <border>
      <left style="hair">
        <color indexed="64"/>
      </left>
      <right style="medium">
        <color theme="2" tint="-0.499984740745262"/>
      </right>
      <top style="hair">
        <color indexed="16"/>
      </top>
      <bottom style="hair">
        <color indexed="16"/>
      </bottom>
      <diagonal/>
    </border>
    <border>
      <left style="thin">
        <color theme="2" tint="-0.499984740745262"/>
      </left>
      <right style="medium">
        <color theme="2" tint="-0.499984740745262"/>
      </right>
      <top style="hair">
        <color indexed="16"/>
      </top>
      <bottom style="hair">
        <color indexed="16"/>
      </bottom>
      <diagonal/>
    </border>
    <border>
      <left style="medium">
        <color theme="2" tint="-0.499984740745262"/>
      </left>
      <right style="medium">
        <color theme="2" tint="-0.499984740745262"/>
      </right>
      <top style="hair">
        <color indexed="16"/>
      </top>
      <bottom style="hair">
        <color indexed="16"/>
      </bottom>
      <diagonal/>
    </border>
    <border>
      <left style="medium">
        <color rgb="FF993300"/>
      </left>
      <right style="thin">
        <color rgb="FF993300"/>
      </right>
      <top style="hair">
        <color rgb="FF993300"/>
      </top>
      <bottom style="thin">
        <color rgb="FF993300"/>
      </bottom>
      <diagonal/>
    </border>
    <border>
      <left style="medium">
        <color rgb="FF993300"/>
      </left>
      <right style="thin">
        <color rgb="FF993300"/>
      </right>
      <top style="thin">
        <color rgb="FF993300"/>
      </top>
      <bottom style="hair">
        <color rgb="FF993300"/>
      </bottom>
      <diagonal/>
    </border>
    <border>
      <left style="medium">
        <color indexed="16"/>
      </left>
      <right style="medium">
        <color indexed="16"/>
      </right>
      <top style="thin">
        <color indexed="16"/>
      </top>
      <bottom/>
      <diagonal/>
    </border>
    <border>
      <left style="medium">
        <color indexed="16"/>
      </left>
      <right style="medium">
        <color indexed="16"/>
      </right>
      <top/>
      <bottom style="thin">
        <color indexed="16"/>
      </bottom>
      <diagonal/>
    </border>
    <border>
      <left style="medium">
        <color theme="2" tint="-0.499984740745262"/>
      </left>
      <right style="medium">
        <color theme="2" tint="-0.499984740745262"/>
      </right>
      <top style="hair">
        <color indexed="16"/>
      </top>
      <bottom/>
      <diagonal/>
    </border>
    <border>
      <left style="medium">
        <color theme="2" tint="-0.499984740745262"/>
      </left>
      <right style="medium">
        <color theme="2" tint="-0.499984740745262"/>
      </right>
      <top style="thin">
        <color rgb="FF993300"/>
      </top>
      <bottom style="hair">
        <color indexed="16"/>
      </bottom>
      <diagonal/>
    </border>
    <border>
      <left style="medium">
        <color theme="2" tint="-0.499984740745262"/>
      </left>
      <right style="medium">
        <color theme="2" tint="-0.499984740745262"/>
      </right>
      <top style="hair">
        <color indexed="16"/>
      </top>
      <bottom style="thin">
        <color rgb="FF993300"/>
      </bottom>
      <diagonal/>
    </border>
    <border>
      <left style="medium">
        <color theme="2" tint="-0.499984740745262"/>
      </left>
      <right style="hair">
        <color theme="2" tint="-0.499984740745262"/>
      </right>
      <top style="medium">
        <color theme="2" tint="-0.499984740745262"/>
      </top>
      <bottom style="medium">
        <color theme="2" tint="-0.499984740745262"/>
      </bottom>
      <diagonal/>
    </border>
    <border>
      <left/>
      <right style="hair">
        <color auto="1"/>
      </right>
      <top style="medium">
        <color theme="2" tint="-0.499984740745262"/>
      </top>
      <bottom style="medium">
        <color theme="2" tint="-0.499984740745262"/>
      </bottom>
      <diagonal/>
    </border>
    <border>
      <left style="thick">
        <color rgb="FF993300"/>
      </left>
      <right/>
      <top style="medium">
        <color rgb="FF993300"/>
      </top>
      <bottom style="hair">
        <color rgb="FF993300"/>
      </bottom>
      <diagonal/>
    </border>
    <border>
      <left style="thin">
        <color theme="2" tint="-0.499984740745262"/>
      </left>
      <right style="medium">
        <color theme="2" tint="-0.499984740745262"/>
      </right>
      <top style="medium">
        <color rgb="FF993300"/>
      </top>
      <bottom style="hair">
        <color rgb="FF993300"/>
      </bottom>
      <diagonal/>
    </border>
    <border>
      <left style="medium">
        <color theme="2" tint="-0.499984740745262"/>
      </left>
      <right style="hair">
        <color indexed="64"/>
      </right>
      <top style="medium">
        <color rgb="FF993300"/>
      </top>
      <bottom style="hair">
        <color rgb="FF993300"/>
      </bottom>
      <diagonal/>
    </border>
    <border>
      <left style="hair">
        <color indexed="64"/>
      </left>
      <right style="medium">
        <color theme="2" tint="-0.499984740745262"/>
      </right>
      <top style="medium">
        <color rgb="FF993300"/>
      </top>
      <bottom style="hair">
        <color rgb="FF993300"/>
      </bottom>
      <diagonal/>
    </border>
    <border>
      <left/>
      <right style="hair">
        <color indexed="64"/>
      </right>
      <top style="medium">
        <color rgb="FF993300"/>
      </top>
      <bottom style="hair">
        <color rgb="FF993300"/>
      </bottom>
      <diagonal/>
    </border>
    <border>
      <left style="hair">
        <color indexed="64"/>
      </left>
      <right/>
      <top style="medium">
        <color rgb="FF993300"/>
      </top>
      <bottom style="hair">
        <color rgb="FF993300"/>
      </bottom>
      <diagonal/>
    </border>
    <border>
      <left style="thin">
        <color theme="2" tint="-0.499984740745262"/>
      </left>
      <right style="hair">
        <color indexed="64"/>
      </right>
      <top style="medium">
        <color rgb="FF993300"/>
      </top>
      <bottom style="hair">
        <color rgb="FF993300"/>
      </bottom>
      <diagonal/>
    </border>
    <border>
      <left style="thick">
        <color rgb="FF993300"/>
      </left>
      <right/>
      <top style="hair">
        <color rgb="FF993300"/>
      </top>
      <bottom style="hair">
        <color rgb="FF993300"/>
      </bottom>
      <diagonal/>
    </border>
    <border>
      <left style="thin">
        <color theme="2" tint="-0.499984740745262"/>
      </left>
      <right style="medium">
        <color theme="2" tint="-0.499984740745262"/>
      </right>
      <top style="hair">
        <color rgb="FF993300"/>
      </top>
      <bottom style="hair">
        <color rgb="FF993300"/>
      </bottom>
      <diagonal/>
    </border>
    <border>
      <left style="medium">
        <color theme="2" tint="-0.499984740745262"/>
      </left>
      <right style="hair">
        <color indexed="64"/>
      </right>
      <top style="hair">
        <color rgb="FF993300"/>
      </top>
      <bottom style="hair">
        <color rgb="FF993300"/>
      </bottom>
      <diagonal/>
    </border>
    <border>
      <left style="hair">
        <color indexed="64"/>
      </left>
      <right style="medium">
        <color theme="2" tint="-0.499984740745262"/>
      </right>
      <top style="hair">
        <color rgb="FF993300"/>
      </top>
      <bottom style="hair">
        <color rgb="FF993300"/>
      </bottom>
      <diagonal/>
    </border>
    <border>
      <left/>
      <right style="hair">
        <color indexed="64"/>
      </right>
      <top style="hair">
        <color rgb="FF993300"/>
      </top>
      <bottom style="hair">
        <color rgb="FF993300"/>
      </bottom>
      <diagonal/>
    </border>
    <border>
      <left style="hair">
        <color indexed="64"/>
      </left>
      <right/>
      <top style="hair">
        <color rgb="FF993300"/>
      </top>
      <bottom style="hair">
        <color rgb="FF993300"/>
      </bottom>
      <diagonal/>
    </border>
    <border>
      <left style="thin">
        <color theme="2" tint="-0.499984740745262"/>
      </left>
      <right style="hair">
        <color indexed="64"/>
      </right>
      <top style="hair">
        <color rgb="FF993300"/>
      </top>
      <bottom style="hair">
        <color rgb="FF993300"/>
      </bottom>
      <diagonal/>
    </border>
    <border>
      <left style="thick">
        <color rgb="FF993300"/>
      </left>
      <right/>
      <top style="hair">
        <color rgb="FF993300"/>
      </top>
      <bottom/>
      <diagonal/>
    </border>
    <border>
      <left style="thick">
        <color rgb="FF993300"/>
      </left>
      <right style="thin">
        <color theme="2" tint="-0.499984740745262"/>
      </right>
      <top style="thin">
        <color rgb="FF993300"/>
      </top>
      <bottom style="hair">
        <color rgb="FF993300"/>
      </bottom>
      <diagonal/>
    </border>
    <border>
      <left style="thick">
        <color rgb="FF993300"/>
      </left>
      <right style="thin">
        <color theme="2" tint="-0.499984740745262"/>
      </right>
      <top style="hair">
        <color rgb="FF993300"/>
      </top>
      <bottom style="hair">
        <color rgb="FF993300"/>
      </bottom>
      <diagonal/>
    </border>
    <border>
      <left style="thick">
        <color rgb="FF993300"/>
      </left>
      <right style="thin">
        <color theme="2" tint="-0.499984740745262"/>
      </right>
      <top style="hair">
        <color rgb="FF993300"/>
      </top>
      <bottom style="thin">
        <color rgb="FF993300"/>
      </bottom>
      <diagonal/>
    </border>
    <border>
      <left style="medium">
        <color indexed="16"/>
      </left>
      <right style="thin">
        <color indexed="16"/>
      </right>
      <top style="thin">
        <color indexed="16"/>
      </top>
      <bottom style="double">
        <color rgb="FF993300"/>
      </bottom>
      <diagonal/>
    </border>
    <border>
      <left style="medium">
        <color theme="2" tint="-0.499984740745262"/>
      </left>
      <right/>
      <top style="thin">
        <color indexed="64"/>
      </top>
      <bottom style="thin">
        <color indexed="64"/>
      </bottom>
      <diagonal/>
    </border>
    <border>
      <left/>
      <right/>
      <top style="thin">
        <color indexed="64"/>
      </top>
      <bottom style="thin">
        <color indexed="64"/>
      </bottom>
      <diagonal/>
    </border>
    <border>
      <left/>
      <right style="medium">
        <color theme="2" tint="-0.499984740745262"/>
      </right>
      <top style="thin">
        <color indexed="64"/>
      </top>
      <bottom style="thin">
        <color indexed="64"/>
      </bottom>
      <diagonal/>
    </border>
    <border>
      <left style="double">
        <color theme="9" tint="-0.499984740745262"/>
      </left>
      <right style="medium">
        <color theme="9" tint="-0.499984740745262"/>
      </right>
      <top style="medium">
        <color theme="9" tint="-0.499984740745262"/>
      </top>
      <bottom style="medium">
        <color rgb="FF993300"/>
      </bottom>
      <diagonal/>
    </border>
    <border>
      <left/>
      <right/>
      <top style="thin">
        <color indexed="16"/>
      </top>
      <bottom/>
      <diagonal/>
    </border>
    <border>
      <left style="thin">
        <color theme="0" tint="-0.14996795556505021"/>
      </left>
      <right style="thin">
        <color theme="0" tint="-0.14996795556505021"/>
      </right>
      <top/>
      <bottom style="double">
        <color theme="9" tint="-0.499984740745262"/>
      </bottom>
      <diagonal/>
    </border>
    <border>
      <left style="hair">
        <color theme="9" tint="-0.499984740745262"/>
      </left>
      <right style="thin">
        <color theme="9" tint="-0.499984740745262"/>
      </right>
      <top/>
      <bottom style="double">
        <color theme="5" tint="-0.24994659260841701"/>
      </bottom>
      <diagonal/>
    </border>
    <border>
      <left style="hair">
        <color theme="9" tint="-0.499984740745262"/>
      </left>
      <right/>
      <top/>
      <bottom style="double">
        <color theme="5" tint="-0.24994659260841701"/>
      </bottom>
      <diagonal/>
    </border>
    <border>
      <left style="medium">
        <color theme="9" tint="-0.499984740745262"/>
      </left>
      <right/>
      <top style="medium">
        <color theme="9" tint="-0.499984740745262"/>
      </top>
      <bottom style="thin">
        <color rgb="FFC00000"/>
      </bottom>
      <diagonal/>
    </border>
    <border>
      <left/>
      <right/>
      <top style="medium">
        <color theme="9" tint="-0.499984740745262"/>
      </top>
      <bottom style="thin">
        <color rgb="FFC00000"/>
      </bottom>
      <diagonal/>
    </border>
    <border>
      <left/>
      <right style="medium">
        <color theme="5" tint="-0.24994659260841701"/>
      </right>
      <top style="medium">
        <color theme="9" tint="-0.499984740745262"/>
      </top>
      <bottom style="thin">
        <color rgb="FFC00000"/>
      </bottom>
      <diagonal/>
    </border>
    <border>
      <left style="medium">
        <color rgb="FF002D56"/>
      </left>
      <right style="dotted">
        <color rgb="FFFF9900"/>
      </right>
      <top style="medium">
        <color rgb="FF002D56"/>
      </top>
      <bottom style="hair">
        <color rgb="FF002D56"/>
      </bottom>
      <diagonal/>
    </border>
    <border>
      <left style="medium">
        <color rgb="FF002D56"/>
      </left>
      <right style="dotted">
        <color rgb="FFFF9900"/>
      </right>
      <top style="hair">
        <color rgb="FF002D56"/>
      </top>
      <bottom style="hair">
        <color rgb="FF002D56"/>
      </bottom>
      <diagonal/>
    </border>
    <border>
      <left style="dotted">
        <color rgb="FFFF9900"/>
      </left>
      <right style="medium">
        <color rgb="FF002D56"/>
      </right>
      <top style="hair">
        <color rgb="FF002D56"/>
      </top>
      <bottom style="hair">
        <color rgb="FF002D56"/>
      </bottom>
      <diagonal/>
    </border>
    <border>
      <left style="dotted">
        <color rgb="FF002D56"/>
      </left>
      <right style="medium">
        <color rgb="FF002D56"/>
      </right>
      <top style="hair">
        <color rgb="FF002D56"/>
      </top>
      <bottom style="hair">
        <color rgb="FF002D56"/>
      </bottom>
      <diagonal/>
    </border>
    <border>
      <left style="medium">
        <color rgb="FF002D56"/>
      </left>
      <right style="dotted">
        <color rgb="FFFF9900"/>
      </right>
      <top style="hair">
        <color rgb="FF002D56"/>
      </top>
      <bottom style="medium">
        <color rgb="FF002D56"/>
      </bottom>
      <diagonal/>
    </border>
    <border>
      <left style="dotted">
        <color rgb="FFFF9900"/>
      </left>
      <right style="medium">
        <color rgb="FF002D56"/>
      </right>
      <top style="hair">
        <color rgb="FF002D56"/>
      </top>
      <bottom style="medium">
        <color rgb="FF002D56"/>
      </bottom>
      <diagonal/>
    </border>
    <border>
      <left/>
      <right style="thin">
        <color rgb="FF993300"/>
      </right>
      <top style="medium">
        <color rgb="FF993300"/>
      </top>
      <bottom style="thin">
        <color rgb="FF993300"/>
      </bottom>
      <diagonal/>
    </border>
    <border>
      <left/>
      <right style="thin">
        <color rgb="FF993300"/>
      </right>
      <top style="thin">
        <color rgb="FF993300"/>
      </top>
      <bottom style="thin">
        <color rgb="FF993300"/>
      </bottom>
      <diagonal/>
    </border>
    <border>
      <left/>
      <right style="thin">
        <color rgb="FF993300"/>
      </right>
      <top style="thin">
        <color rgb="FF993300"/>
      </top>
      <bottom style="medium">
        <color rgb="FF993300"/>
      </bottom>
      <diagonal/>
    </border>
    <border>
      <left/>
      <right style="medium">
        <color indexed="16"/>
      </right>
      <top style="medium">
        <color indexed="16"/>
      </top>
      <bottom style="medium">
        <color indexed="16"/>
      </bottom>
      <diagonal/>
    </border>
    <border>
      <left style="thin">
        <color theme="9" tint="-0.499984740745262"/>
      </left>
      <right style="medium">
        <color theme="9" tint="-0.499984740745262"/>
      </right>
      <top style="hair">
        <color indexed="64"/>
      </top>
      <bottom style="hair">
        <color indexed="64"/>
      </bottom>
      <diagonal/>
    </border>
    <border>
      <left style="thin">
        <color theme="9" tint="-0.499984740745262"/>
      </left>
      <right style="medium">
        <color theme="9" tint="-0.499984740745262"/>
      </right>
      <top style="hair">
        <color indexed="64"/>
      </top>
      <bottom style="medium">
        <color theme="9" tint="-0.499984740745262"/>
      </bottom>
      <diagonal/>
    </border>
    <border>
      <left/>
      <right/>
      <top style="medium">
        <color indexed="16"/>
      </top>
      <bottom style="double">
        <color indexed="16"/>
      </bottom>
      <diagonal/>
    </border>
    <border>
      <left style="thin">
        <color theme="0" tint="-0.14996795556505021"/>
      </left>
      <right/>
      <top style="medium">
        <color indexed="16"/>
      </top>
      <bottom style="double">
        <color indexed="16"/>
      </bottom>
      <diagonal/>
    </border>
    <border>
      <left style="thin">
        <color theme="0" tint="-0.24994659260841701"/>
      </left>
      <right style="thin">
        <color theme="0" tint="-0.14996795556505021"/>
      </right>
      <top style="medium">
        <color indexed="16"/>
      </top>
      <bottom style="double">
        <color indexed="16"/>
      </bottom>
      <diagonal/>
    </border>
    <border>
      <left style="medium">
        <color theme="0" tint="-0.24994659260841701"/>
      </left>
      <right style="thin">
        <color theme="0" tint="-0.24994659260841701"/>
      </right>
      <top style="medium">
        <color indexed="16"/>
      </top>
      <bottom style="double">
        <color indexed="16"/>
      </bottom>
      <diagonal/>
    </border>
    <border>
      <left style="thin">
        <color theme="0" tint="-0.24994659260841701"/>
      </left>
      <right style="thin">
        <color theme="0" tint="-0.24994659260841701"/>
      </right>
      <top style="medium">
        <color indexed="16"/>
      </top>
      <bottom style="double">
        <color indexed="16"/>
      </bottom>
      <diagonal/>
    </border>
    <border>
      <left style="thin">
        <color theme="0" tint="-0.24994659260841701"/>
      </left>
      <right style="medium">
        <color theme="0" tint="-0.24994659260841701"/>
      </right>
      <top style="medium">
        <color indexed="16"/>
      </top>
      <bottom style="double">
        <color indexed="16"/>
      </bottom>
      <diagonal/>
    </border>
    <border>
      <left/>
      <right style="thin">
        <color theme="0" tint="-0.14993743705557422"/>
      </right>
      <top style="medium">
        <color indexed="16"/>
      </top>
      <bottom style="double">
        <color indexed="16"/>
      </bottom>
      <diagonal/>
    </border>
    <border>
      <left style="thin">
        <color theme="0" tint="-0.14993743705557422"/>
      </left>
      <right style="medium">
        <color theme="0" tint="-0.14993743705557422"/>
      </right>
      <top style="medium">
        <color indexed="16"/>
      </top>
      <bottom style="double">
        <color indexed="16"/>
      </bottom>
      <diagonal/>
    </border>
    <border>
      <left style="thin">
        <color theme="0" tint="-0.14996795556505021"/>
      </left>
      <right style="medium">
        <color theme="0" tint="-0.14996795556505021"/>
      </right>
      <top style="medium">
        <color indexed="16"/>
      </top>
      <bottom style="double">
        <color indexed="16"/>
      </bottom>
      <diagonal/>
    </border>
    <border>
      <left style="medium">
        <color theme="0" tint="-0.14996795556505021"/>
      </left>
      <right style="thin">
        <color theme="0" tint="-0.14996795556505021"/>
      </right>
      <top style="medium">
        <color indexed="16"/>
      </top>
      <bottom style="double">
        <color indexed="16"/>
      </bottom>
      <diagonal/>
    </border>
    <border>
      <left style="thin">
        <color theme="0" tint="-0.14993743705557422"/>
      </left>
      <right style="thin">
        <color theme="0" tint="-0.14993743705557422"/>
      </right>
      <top style="medium">
        <color indexed="16"/>
      </top>
      <bottom style="double">
        <color indexed="16"/>
      </bottom>
      <diagonal/>
    </border>
    <border>
      <left style="medium">
        <color theme="0" tint="-0.14996795556505021"/>
      </left>
      <right style="thin">
        <color theme="0" tint="-0.14993743705557422"/>
      </right>
      <top style="medium">
        <color indexed="16"/>
      </top>
      <bottom style="double">
        <color indexed="16"/>
      </bottom>
      <diagonal/>
    </border>
    <border>
      <left style="medium">
        <color theme="0" tint="-0.14993743705557422"/>
      </left>
      <right style="double">
        <color theme="0" tint="-0.14990691854609822"/>
      </right>
      <top style="medium">
        <color indexed="16"/>
      </top>
      <bottom style="double">
        <color indexed="16"/>
      </bottom>
      <diagonal/>
    </border>
    <border>
      <left style="thin">
        <color theme="9" tint="-0.499984740745262"/>
      </left>
      <right style="medium">
        <color theme="9" tint="-0.499984740745262"/>
      </right>
      <top style="medium">
        <color indexed="16"/>
      </top>
      <bottom style="double">
        <color indexed="16"/>
      </bottom>
      <diagonal/>
    </border>
    <border>
      <left style="medium">
        <color indexed="16"/>
      </left>
      <right style="thin">
        <color indexed="16"/>
      </right>
      <top/>
      <bottom style="hair">
        <color auto="1"/>
      </bottom>
      <diagonal/>
    </border>
    <border>
      <left style="thin">
        <color indexed="16"/>
      </left>
      <right style="thin">
        <color indexed="16"/>
      </right>
      <top/>
      <bottom style="hair">
        <color auto="1"/>
      </bottom>
      <diagonal/>
    </border>
    <border>
      <left style="medium">
        <color indexed="16"/>
      </left>
      <right style="thin">
        <color indexed="16"/>
      </right>
      <top style="hair">
        <color auto="1"/>
      </top>
      <bottom style="hair">
        <color auto="1"/>
      </bottom>
      <diagonal/>
    </border>
    <border>
      <left style="thin">
        <color indexed="16"/>
      </left>
      <right style="thin">
        <color indexed="16"/>
      </right>
      <top style="hair">
        <color auto="1"/>
      </top>
      <bottom style="hair">
        <color auto="1"/>
      </bottom>
      <diagonal/>
    </border>
    <border>
      <left style="medium">
        <color indexed="16"/>
      </left>
      <right style="thin">
        <color indexed="16"/>
      </right>
      <top style="hair">
        <color auto="1"/>
      </top>
      <bottom style="medium">
        <color theme="9" tint="-0.499984740745262"/>
      </bottom>
      <diagonal/>
    </border>
    <border>
      <left style="thin">
        <color indexed="16"/>
      </left>
      <right style="thin">
        <color indexed="16"/>
      </right>
      <top style="hair">
        <color auto="1"/>
      </top>
      <bottom style="medium">
        <color theme="9" tint="-0.499984740745262"/>
      </bottom>
      <diagonal/>
    </border>
    <border>
      <left style="thin">
        <color theme="0" tint="-0.34998626667073579"/>
      </left>
      <right style="thin">
        <color theme="0" tint="-0.34998626667073579"/>
      </right>
      <top style="medium">
        <color indexed="16"/>
      </top>
      <bottom style="double">
        <color indexed="16"/>
      </bottom>
      <diagonal/>
    </border>
    <border>
      <left style="medium">
        <color indexed="16"/>
      </left>
      <right/>
      <top style="medium">
        <color indexed="16"/>
      </top>
      <bottom style="double">
        <color indexed="16"/>
      </bottom>
      <diagonal/>
    </border>
    <border>
      <left style="medium">
        <color theme="9" tint="-0.499984740745262"/>
      </left>
      <right/>
      <top/>
      <bottom/>
      <diagonal/>
    </border>
    <border>
      <left style="thin">
        <color theme="9" tint="-0.499984740745262"/>
      </left>
      <right style="thin">
        <color theme="9" tint="-0.499984740745262"/>
      </right>
      <top style="hair">
        <color auto="1"/>
      </top>
      <bottom/>
      <diagonal/>
    </border>
    <border>
      <left style="thin">
        <color theme="9" tint="-0.499984740745262"/>
      </left>
      <right style="medium">
        <color theme="9" tint="-0.499984740745262"/>
      </right>
      <top style="hair">
        <color auto="1"/>
      </top>
      <bottom/>
      <diagonal/>
    </border>
    <border>
      <left style="medium">
        <color theme="9" tint="-0.499984740745262"/>
      </left>
      <right style="thin">
        <color theme="9" tint="-0.499984740745262"/>
      </right>
      <top style="hair">
        <color auto="1"/>
      </top>
      <bottom/>
      <diagonal/>
    </border>
    <border>
      <left style="medium">
        <color theme="9" tint="-0.499984740745262"/>
      </left>
      <right style="medium">
        <color theme="9" tint="-0.499984740745262"/>
      </right>
      <top style="hair">
        <color auto="1"/>
      </top>
      <bottom/>
      <diagonal/>
    </border>
    <border>
      <left/>
      <right style="double">
        <color theme="9" tint="-0.499984740745262"/>
      </right>
      <top style="hair">
        <color auto="1"/>
      </top>
      <bottom/>
      <diagonal/>
    </border>
    <border>
      <left style="medium">
        <color theme="9" tint="-0.499984740745262"/>
      </left>
      <right style="medium">
        <color theme="9" tint="-0.499984740745262"/>
      </right>
      <top style="medium">
        <color rgb="FF993300"/>
      </top>
      <bottom style="thin">
        <color rgb="FF993300"/>
      </bottom>
      <diagonal/>
    </border>
    <border>
      <left style="medium">
        <color theme="9" tint="-0.499984740745262"/>
      </left>
      <right style="double">
        <color theme="9" tint="-0.499984740745262"/>
      </right>
      <top style="medium">
        <color rgb="FF993300"/>
      </top>
      <bottom style="thin">
        <color rgb="FF993300"/>
      </bottom>
      <diagonal/>
    </border>
    <border>
      <left/>
      <right/>
      <top style="thin">
        <color rgb="FF993300"/>
      </top>
      <bottom style="thin">
        <color rgb="FF993300"/>
      </bottom>
      <diagonal/>
    </border>
    <border>
      <left style="medium">
        <color theme="9" tint="-0.499984740745262"/>
      </left>
      <right style="medium">
        <color theme="9" tint="-0.499984740745262"/>
      </right>
      <top style="thin">
        <color rgb="FF993300"/>
      </top>
      <bottom style="thin">
        <color rgb="FF993300"/>
      </bottom>
      <diagonal/>
    </border>
    <border>
      <left style="medium">
        <color theme="9" tint="-0.499984740745262"/>
      </left>
      <right style="double">
        <color theme="9" tint="-0.499984740745262"/>
      </right>
      <top style="thin">
        <color rgb="FF993300"/>
      </top>
      <bottom style="thin">
        <color rgb="FF993300"/>
      </bottom>
      <diagonal/>
    </border>
    <border>
      <left/>
      <right/>
      <top style="thin">
        <color rgb="FF993300"/>
      </top>
      <bottom style="medium">
        <color rgb="FF993300"/>
      </bottom>
      <diagonal/>
    </border>
    <border>
      <left style="medium">
        <color theme="9" tint="-0.499984740745262"/>
      </left>
      <right style="medium">
        <color theme="9" tint="-0.499984740745262"/>
      </right>
      <top style="thin">
        <color rgb="FF993300"/>
      </top>
      <bottom style="medium">
        <color rgb="FF993300"/>
      </bottom>
      <diagonal/>
    </border>
    <border>
      <left style="medium">
        <color theme="9" tint="-0.499984740745262"/>
      </left>
      <right style="double">
        <color theme="9" tint="-0.499984740745262"/>
      </right>
      <top style="thin">
        <color rgb="FF993300"/>
      </top>
      <bottom style="medium">
        <color rgb="FF9933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right/>
      <top style="medium">
        <color rgb="FF002D56"/>
      </top>
      <bottom/>
      <diagonal/>
    </border>
    <border>
      <left style="medium">
        <color rgb="FF002D56"/>
      </left>
      <right/>
      <top style="thin">
        <color theme="4" tint="-0.24994659260841701"/>
      </top>
      <bottom style="thin">
        <color theme="4" tint="-0.24994659260841701"/>
      </bottom>
      <diagonal/>
    </border>
    <border>
      <left/>
      <right/>
      <top style="thin">
        <color theme="4" tint="-0.24994659260841701"/>
      </top>
      <bottom style="thin">
        <color theme="4" tint="-0.24994659260841701"/>
      </bottom>
      <diagonal/>
    </border>
    <border>
      <left style="medium">
        <color theme="4" tint="-0.24994659260841701"/>
      </left>
      <right style="medium">
        <color theme="4" tint="-0.24994659260841701"/>
      </right>
      <top style="thin">
        <color theme="4" tint="-0.24994659260841701"/>
      </top>
      <bottom style="thin">
        <color theme="4" tint="-0.24994659260841701"/>
      </bottom>
      <diagonal/>
    </border>
    <border>
      <left style="medium">
        <color theme="4" tint="-0.24994659260841701"/>
      </left>
      <right/>
      <top style="thin">
        <color theme="4" tint="-0.24994659260841701"/>
      </top>
      <bottom style="thin">
        <color theme="4" tint="-0.24994659260841701"/>
      </bottom>
      <diagonal/>
    </border>
    <border>
      <left style="medium">
        <color rgb="FF002D56"/>
      </left>
      <right/>
      <top/>
      <bottom style="medium">
        <color rgb="FF002D56"/>
      </bottom>
      <diagonal/>
    </border>
    <border>
      <left style="medium">
        <color rgb="FF002D56"/>
      </left>
      <right/>
      <top/>
      <bottom style="thin">
        <color rgb="FF002D56"/>
      </bottom>
      <diagonal/>
    </border>
    <border>
      <left style="medium">
        <color rgb="FF002D56"/>
      </left>
      <right style="thin">
        <color rgb="FF002D56"/>
      </right>
      <top style="medium">
        <color rgb="FF002D56"/>
      </top>
      <bottom style="double">
        <color theme="4" tint="-0.24994659260841701"/>
      </bottom>
      <diagonal/>
    </border>
    <border>
      <left style="thin">
        <color rgb="FF002D56"/>
      </left>
      <right style="thin">
        <color rgb="FF002D56"/>
      </right>
      <top style="medium">
        <color rgb="FF002D56"/>
      </top>
      <bottom style="double">
        <color theme="4" tint="-0.24994659260841701"/>
      </bottom>
      <diagonal/>
    </border>
    <border>
      <left style="thin">
        <color rgb="FF002D56"/>
      </left>
      <right style="thin">
        <color rgb="FF002D56"/>
      </right>
      <top/>
      <bottom style="double">
        <color theme="4" tint="-0.24994659260841701"/>
      </bottom>
      <diagonal/>
    </border>
    <border>
      <left/>
      <right style="medium">
        <color rgb="FF002D56"/>
      </right>
      <top/>
      <bottom style="double">
        <color theme="4" tint="-0.24994659260841701"/>
      </bottom>
      <diagonal/>
    </border>
    <border>
      <left style="medium">
        <color rgb="FF002D56"/>
      </left>
      <right style="thin">
        <color rgb="FF002D56"/>
      </right>
      <top/>
      <bottom style="hair">
        <color theme="4" tint="-0.24994659260841701"/>
      </bottom>
      <diagonal/>
    </border>
    <border>
      <left style="thin">
        <color rgb="FF002D56"/>
      </left>
      <right style="thin">
        <color rgb="FF002D56"/>
      </right>
      <top/>
      <bottom style="hair">
        <color theme="4" tint="-0.24994659260841701"/>
      </bottom>
      <diagonal/>
    </border>
    <border>
      <left/>
      <right style="medium">
        <color rgb="FF002D56"/>
      </right>
      <top/>
      <bottom style="hair">
        <color theme="4" tint="-0.24994659260841701"/>
      </bottom>
      <diagonal/>
    </border>
    <border>
      <left style="medium">
        <color rgb="FF002D56"/>
      </left>
      <right style="thin">
        <color rgb="FF002D56"/>
      </right>
      <top style="hair">
        <color theme="4" tint="-0.24994659260841701"/>
      </top>
      <bottom style="hair">
        <color theme="4" tint="-0.24994659260841701"/>
      </bottom>
      <diagonal/>
    </border>
    <border>
      <left style="thin">
        <color rgb="FF002D56"/>
      </left>
      <right style="thin">
        <color rgb="FF002D56"/>
      </right>
      <top style="hair">
        <color theme="4" tint="-0.24994659260841701"/>
      </top>
      <bottom style="hair">
        <color theme="4" tint="-0.24994659260841701"/>
      </bottom>
      <diagonal/>
    </border>
    <border>
      <left/>
      <right style="medium">
        <color rgb="FF002D56"/>
      </right>
      <top style="hair">
        <color theme="4" tint="-0.24994659260841701"/>
      </top>
      <bottom style="hair">
        <color theme="4" tint="-0.24994659260841701"/>
      </bottom>
      <diagonal/>
    </border>
    <border>
      <left style="medium">
        <color rgb="FF002D56"/>
      </left>
      <right style="thin">
        <color rgb="FF002D56"/>
      </right>
      <top style="hair">
        <color theme="4" tint="-0.24994659260841701"/>
      </top>
      <bottom style="medium">
        <color rgb="FF002D56"/>
      </bottom>
      <diagonal/>
    </border>
    <border>
      <left style="thin">
        <color rgb="FF002D56"/>
      </left>
      <right style="thin">
        <color rgb="FF002D56"/>
      </right>
      <top style="hair">
        <color theme="4" tint="-0.24994659260841701"/>
      </top>
      <bottom style="medium">
        <color rgb="FF002D56"/>
      </bottom>
      <diagonal/>
    </border>
    <border>
      <left/>
      <right style="medium">
        <color rgb="FF002D56"/>
      </right>
      <top style="hair">
        <color theme="4" tint="-0.24994659260841701"/>
      </top>
      <bottom style="medium">
        <color rgb="FF002D56"/>
      </bottom>
      <diagonal/>
    </border>
    <border>
      <left/>
      <right style="medium">
        <color rgb="FF002D56"/>
      </right>
      <top/>
      <bottom/>
      <diagonal/>
    </border>
    <border>
      <left style="medium">
        <color rgb="FF002D56"/>
      </left>
      <right/>
      <top style="medium">
        <color rgb="FF002D56"/>
      </top>
      <bottom style="medium">
        <color rgb="FF002D56"/>
      </bottom>
      <diagonal/>
    </border>
    <border>
      <left/>
      <right style="medium">
        <color rgb="FF002D56"/>
      </right>
      <top style="medium">
        <color rgb="FF002D56"/>
      </top>
      <bottom style="medium">
        <color rgb="FF002D56"/>
      </bottom>
      <diagonal/>
    </border>
    <border>
      <left style="medium">
        <color rgb="FF002D56"/>
      </left>
      <right style="medium">
        <color rgb="FF002D56"/>
      </right>
      <top style="medium">
        <color rgb="FF002D56"/>
      </top>
      <bottom/>
      <diagonal/>
    </border>
    <border>
      <left style="medium">
        <color rgb="FF002D56"/>
      </left>
      <right style="medium">
        <color theme="4" tint="-0.24994659260841701"/>
      </right>
      <top/>
      <bottom/>
      <diagonal/>
    </border>
    <border>
      <left style="medium">
        <color theme="4" tint="-0.24994659260841701"/>
      </left>
      <right/>
      <top/>
      <bottom style="thin">
        <color rgb="FF002D56"/>
      </bottom>
      <diagonal/>
    </border>
    <border>
      <left/>
      <right/>
      <top/>
      <bottom style="thin">
        <color rgb="FF002D56"/>
      </bottom>
      <diagonal/>
    </border>
    <border>
      <left/>
      <right style="medium">
        <color theme="4" tint="-0.24994659260841701"/>
      </right>
      <top/>
      <bottom style="thin">
        <color rgb="FF002D56"/>
      </bottom>
      <diagonal/>
    </border>
    <border>
      <left style="medium">
        <color theme="4" tint="-0.24994659260841701"/>
      </left>
      <right style="medium">
        <color rgb="FF002D56"/>
      </right>
      <top style="medium">
        <color theme="4" tint="-0.24994659260841701"/>
      </top>
      <bottom/>
      <diagonal/>
    </border>
    <border>
      <left/>
      <right style="medium">
        <color rgb="FF002D56"/>
      </right>
      <top/>
      <bottom style="medium">
        <color rgb="FF002D56"/>
      </bottom>
      <diagonal/>
    </border>
    <border>
      <left style="medium">
        <color rgb="FF002D56"/>
      </left>
      <right style="medium">
        <color theme="4" tint="-0.24994659260841701"/>
      </right>
      <top/>
      <bottom style="medium">
        <color rgb="FF002D56"/>
      </bottom>
      <diagonal/>
    </border>
    <border>
      <left style="medium">
        <color theme="4" tint="-0.24994659260841701"/>
      </left>
      <right/>
      <top/>
      <bottom/>
      <diagonal/>
    </border>
    <border>
      <left/>
      <right style="medium">
        <color theme="4" tint="-0.24994659260841701"/>
      </right>
      <top/>
      <bottom/>
      <diagonal/>
    </border>
    <border>
      <left style="medium">
        <color theme="4" tint="-0.24994659260841701"/>
      </left>
      <right style="medium">
        <color rgb="FF002D56"/>
      </right>
      <top/>
      <bottom/>
      <diagonal/>
    </border>
    <border>
      <left style="thin">
        <color rgb="FF002D56"/>
      </left>
      <right style="medium">
        <color rgb="FF002D56"/>
      </right>
      <top style="medium">
        <color rgb="FF002D56"/>
      </top>
      <bottom style="double">
        <color theme="4" tint="-0.24994659260841701"/>
      </bottom>
      <diagonal/>
    </border>
    <border>
      <left/>
      <right/>
      <top/>
      <bottom style="medium">
        <color theme="4" tint="-0.24994659260841701"/>
      </bottom>
      <diagonal/>
    </border>
    <border>
      <left style="thin">
        <color theme="4" tint="-0.24994659260841701"/>
      </left>
      <right style="thin">
        <color theme="4" tint="-0.24994659260841701"/>
      </right>
      <top style="medium">
        <color theme="4" tint="-0.24994659260841701"/>
      </top>
      <bottom style="hair">
        <color theme="4" tint="-0.24994659260841701"/>
      </bottom>
      <diagonal/>
    </border>
    <border>
      <left style="thin">
        <color theme="4" tint="-0.24994659260841701"/>
      </left>
      <right/>
      <top style="medium">
        <color theme="4" tint="-0.24994659260841701"/>
      </top>
      <bottom style="hair">
        <color theme="4" tint="-0.24994659260841701"/>
      </bottom>
      <diagonal/>
    </border>
    <border>
      <left/>
      <right style="thin">
        <color theme="4" tint="-0.24994659260841701"/>
      </right>
      <top style="medium">
        <color theme="4" tint="-0.24994659260841701"/>
      </top>
      <bottom style="hair">
        <color theme="4" tint="-0.24994659260841701"/>
      </bottom>
      <diagonal/>
    </border>
    <border>
      <left/>
      <right style="medium">
        <color theme="4" tint="-0.24994659260841701"/>
      </right>
      <top style="medium">
        <color theme="4" tint="-0.24994659260841701"/>
      </top>
      <bottom style="hair">
        <color theme="4" tint="-0.24994659260841701"/>
      </bottom>
      <diagonal/>
    </border>
    <border>
      <left style="thin">
        <color theme="4" tint="-0.24994659260841701"/>
      </left>
      <right style="thin">
        <color theme="4" tint="-0.24994659260841701"/>
      </right>
      <top style="hair">
        <color theme="4" tint="-0.24994659260841701"/>
      </top>
      <bottom/>
      <diagonal/>
    </border>
    <border>
      <left style="thin">
        <color theme="4" tint="-0.24994659260841701"/>
      </left>
      <right/>
      <top style="hair">
        <color theme="4" tint="-0.24994659260841701"/>
      </top>
      <bottom/>
      <diagonal/>
    </border>
    <border>
      <left/>
      <right style="thin">
        <color theme="4" tint="-0.24994659260841701"/>
      </right>
      <top style="hair">
        <color theme="4" tint="-0.24994659260841701"/>
      </top>
      <bottom/>
      <diagonal/>
    </border>
    <border>
      <left/>
      <right style="medium">
        <color theme="4" tint="-0.24994659260841701"/>
      </right>
      <top style="hair">
        <color theme="4" tint="-0.24994659260841701"/>
      </top>
      <bottom/>
      <diagonal/>
    </border>
    <border>
      <left style="medium">
        <color theme="4" tint="-0.24994659260841701"/>
      </left>
      <right style="dashed">
        <color theme="4" tint="-0.24994659260841701"/>
      </right>
      <top style="medium">
        <color theme="4" tint="-0.24994659260841701"/>
      </top>
      <bottom style="hair">
        <color auto="1"/>
      </bottom>
      <diagonal/>
    </border>
    <border>
      <left style="dashed">
        <color theme="4" tint="-0.24994659260841701"/>
      </left>
      <right style="dashed">
        <color theme="4" tint="-0.24994659260841701"/>
      </right>
      <top style="medium">
        <color theme="4" tint="-0.24994659260841701"/>
      </top>
      <bottom style="hair">
        <color auto="1"/>
      </bottom>
      <diagonal/>
    </border>
    <border>
      <left style="dashed">
        <color theme="4" tint="-0.24994659260841701"/>
      </left>
      <right style="medium">
        <color theme="4" tint="-0.24994659260841701"/>
      </right>
      <top style="medium">
        <color theme="4" tint="-0.24994659260841701"/>
      </top>
      <bottom style="hair">
        <color auto="1"/>
      </bottom>
      <diagonal/>
    </border>
    <border>
      <left style="medium">
        <color theme="4" tint="-0.24994659260841701"/>
      </left>
      <right style="dashed">
        <color theme="4" tint="-0.24994659260841701"/>
      </right>
      <top style="hair">
        <color auto="1"/>
      </top>
      <bottom style="hair">
        <color auto="1"/>
      </bottom>
      <diagonal/>
    </border>
    <border>
      <left style="dashed">
        <color theme="4" tint="-0.24994659260841701"/>
      </left>
      <right style="dashed">
        <color theme="4" tint="-0.24994659260841701"/>
      </right>
      <top style="hair">
        <color auto="1"/>
      </top>
      <bottom style="hair">
        <color auto="1"/>
      </bottom>
      <diagonal/>
    </border>
    <border>
      <left style="dashed">
        <color theme="4" tint="-0.24994659260841701"/>
      </left>
      <right style="medium">
        <color theme="4" tint="-0.24994659260841701"/>
      </right>
      <top style="hair">
        <color auto="1"/>
      </top>
      <bottom style="hair">
        <color auto="1"/>
      </bottom>
      <diagonal/>
    </border>
    <border>
      <left style="medium">
        <color theme="4" tint="-0.24994659260841701"/>
      </left>
      <right style="dashed">
        <color theme="4" tint="-0.24994659260841701"/>
      </right>
      <top style="hair">
        <color auto="1"/>
      </top>
      <bottom style="medium">
        <color theme="4" tint="-0.24994659260841701"/>
      </bottom>
      <diagonal/>
    </border>
    <border>
      <left style="dashed">
        <color theme="4" tint="-0.24994659260841701"/>
      </left>
      <right style="dashed">
        <color theme="4" tint="-0.24994659260841701"/>
      </right>
      <top style="hair">
        <color auto="1"/>
      </top>
      <bottom style="medium">
        <color theme="4" tint="-0.24994659260841701"/>
      </bottom>
      <diagonal/>
    </border>
    <border>
      <left style="dashed">
        <color theme="4" tint="-0.24994659260841701"/>
      </left>
      <right style="dashed">
        <color theme="4" tint="-0.24994659260841701"/>
      </right>
      <top style="hair">
        <color auto="1"/>
      </top>
      <bottom/>
      <diagonal/>
    </border>
    <border>
      <left style="dashed">
        <color theme="4" tint="-0.24994659260841701"/>
      </left>
      <right style="dashed">
        <color theme="4" tint="-0.24994659260841701"/>
      </right>
      <top style="hair">
        <color auto="1"/>
      </top>
      <bottom style="hair">
        <color auto="1"/>
      </bottom>
      <diagonal/>
    </border>
    <border>
      <left style="dashed">
        <color theme="4" tint="-0.24994659260841701"/>
      </left>
      <right style="medium">
        <color theme="4" tint="-0.24994659260841701"/>
      </right>
      <top style="hair">
        <color auto="1"/>
      </top>
      <bottom style="medium">
        <color theme="4" tint="-0.24994659260841701"/>
      </bottom>
      <diagonal/>
    </border>
    <border>
      <left/>
      <right/>
      <top style="medium">
        <color theme="4" tint="-0.24994659260841701"/>
      </top>
      <bottom/>
      <diagonal/>
    </border>
    <border>
      <left style="thin">
        <color rgb="FF002D56"/>
      </left>
      <right style="dashed">
        <color rgb="FF002D56"/>
      </right>
      <top style="medium">
        <color rgb="FF002D56"/>
      </top>
      <bottom style="double">
        <color theme="4" tint="-0.24994659260841701"/>
      </bottom>
      <diagonal/>
    </border>
    <border>
      <left style="dashed">
        <color rgb="FF002D56"/>
      </left>
      <right style="thin">
        <color rgb="FF002D56"/>
      </right>
      <top style="medium">
        <color rgb="FF002D56"/>
      </top>
      <bottom style="double">
        <color theme="4" tint="-0.24994659260841701"/>
      </bottom>
      <diagonal/>
    </border>
    <border>
      <left style="thin">
        <color rgb="FF002D56"/>
      </left>
      <right style="dashed">
        <color rgb="FF002D56"/>
      </right>
      <top style="double">
        <color theme="4" tint="-0.24994659260841701"/>
      </top>
      <bottom style="hair">
        <color rgb="FF002D56"/>
      </bottom>
      <diagonal/>
    </border>
    <border>
      <left style="dashed">
        <color rgb="FF002D56"/>
      </left>
      <right style="thin">
        <color rgb="FF002D56"/>
      </right>
      <top style="double">
        <color theme="4" tint="-0.24994659260841701"/>
      </top>
      <bottom style="hair">
        <color rgb="FF002D56"/>
      </bottom>
      <diagonal/>
    </border>
    <border>
      <left style="thin">
        <color rgb="FF002D56"/>
      </left>
      <right style="dashed">
        <color rgb="FF002D56"/>
      </right>
      <top style="hair">
        <color rgb="FF002D56"/>
      </top>
      <bottom style="hair">
        <color rgb="FF002D56"/>
      </bottom>
      <diagonal/>
    </border>
    <border>
      <left style="dashed">
        <color rgb="FF002D56"/>
      </left>
      <right style="thin">
        <color rgb="FF002D56"/>
      </right>
      <top style="hair">
        <color rgb="FF002D56"/>
      </top>
      <bottom style="hair">
        <color rgb="FF002D56"/>
      </bottom>
      <diagonal/>
    </border>
    <border>
      <left style="thin">
        <color rgb="FF002D56"/>
      </left>
      <right style="dashed">
        <color rgb="FF002D56"/>
      </right>
      <top style="hair">
        <color rgb="FF002D56"/>
      </top>
      <bottom style="medium">
        <color rgb="FF002D56"/>
      </bottom>
      <diagonal/>
    </border>
    <border>
      <left style="dashed">
        <color rgb="FF002D56"/>
      </left>
      <right style="thin">
        <color rgb="FF002D56"/>
      </right>
      <top style="hair">
        <color rgb="FF002D56"/>
      </top>
      <bottom style="medium">
        <color rgb="FF002D56"/>
      </bottom>
      <diagonal/>
    </border>
    <border>
      <left style="medium">
        <color theme="4" tint="-0.24994659260841701"/>
      </left>
      <right/>
      <top style="medium">
        <color theme="4" tint="-0.24994659260841701"/>
      </top>
      <bottom style="hair">
        <color theme="4" tint="-0.24994659260841701"/>
      </bottom>
      <diagonal/>
    </border>
    <border>
      <left/>
      <right/>
      <top style="medium">
        <color theme="4" tint="-0.24994659260841701"/>
      </top>
      <bottom style="hair">
        <color theme="4" tint="-0.24994659260841701"/>
      </bottom>
      <diagonal/>
    </border>
    <border>
      <left style="medium">
        <color theme="4" tint="-0.24994659260841701"/>
      </left>
      <right/>
      <top style="hair">
        <color theme="4" tint="-0.24994659260841701"/>
      </top>
      <bottom style="medium">
        <color theme="4" tint="-0.24994659260841701"/>
      </bottom>
      <diagonal/>
    </border>
    <border>
      <left/>
      <right/>
      <top style="hair">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style="thin">
        <color theme="4" tint="-0.24994659260841701"/>
      </bottom>
      <diagonal/>
    </border>
    <border>
      <left style="medium">
        <color theme="4" tint="-0.24994659260841701"/>
      </left>
      <right/>
      <top style="medium">
        <color theme="4" tint="-0.24994659260841701"/>
      </top>
      <bottom style="thin">
        <color theme="4" tint="-0.24994659260841701"/>
      </bottom>
      <diagonal/>
    </border>
    <border>
      <left/>
      <right style="medium">
        <color theme="4" tint="-0.24994659260841701"/>
      </right>
      <top style="medium">
        <color theme="4" tint="-0.24994659260841701"/>
      </top>
      <bottom style="thin">
        <color theme="4" tint="-0.24994659260841701"/>
      </bottom>
      <diagonal/>
    </border>
    <border>
      <left style="medium">
        <color theme="4" tint="-0.24994659260841701"/>
      </left>
      <right/>
      <top style="thin">
        <color theme="4" tint="-0.24994659260841701"/>
      </top>
      <bottom style="medium">
        <color theme="4" tint="-0.24994659260841701"/>
      </bottom>
      <diagonal/>
    </border>
    <border>
      <left/>
      <right/>
      <top style="thin">
        <color theme="4" tint="-0.24994659260841701"/>
      </top>
      <bottom style="medium">
        <color theme="4" tint="-0.24994659260841701"/>
      </bottom>
      <diagonal/>
    </border>
    <border>
      <left/>
      <right style="medium">
        <color theme="4" tint="-0.24994659260841701"/>
      </right>
      <top style="thin">
        <color theme="4" tint="-0.24994659260841701"/>
      </top>
      <bottom style="medium">
        <color theme="4" tint="-0.24994659260841701"/>
      </bottom>
      <diagonal/>
    </border>
  </borders>
  <cellStyleXfs count="19">
    <xf numFmtId="166" fontId="0" fillId="0" borderId="0"/>
    <xf numFmtId="40" fontId="4" fillId="0" borderId="0" applyFont="0" applyFill="0" applyBorder="0" applyAlignment="0" applyProtection="0"/>
    <xf numFmtId="8" fontId="4" fillId="0" borderId="0" applyFont="0" applyFill="0" applyBorder="0" applyAlignment="0" applyProtection="0"/>
    <xf numFmtId="0" fontId="7" fillId="0" borderId="0"/>
    <xf numFmtId="166" fontId="5" fillId="0" borderId="1">
      <alignment horizontal="left"/>
    </xf>
    <xf numFmtId="0" fontId="6" fillId="0" borderId="0"/>
    <xf numFmtId="9" fontId="4" fillId="0" borderId="0" applyFont="0" applyFill="0" applyBorder="0" applyAlignment="0" applyProtection="0"/>
    <xf numFmtId="166" fontId="10" fillId="0" borderId="0" applyNumberFormat="0" applyFill="0" applyBorder="0" applyAlignment="0" applyProtection="0"/>
    <xf numFmtId="0" fontId="9" fillId="0" borderId="0"/>
    <xf numFmtId="0" fontId="11" fillId="0" borderId="0"/>
    <xf numFmtId="0" fontId="12" fillId="0" borderId="0" applyNumberFormat="0" applyFill="0" applyBorder="0" applyAlignment="0" applyProtection="0"/>
    <xf numFmtId="43" fontId="7" fillId="0" borderId="0" applyFont="0" applyFill="0" applyBorder="0" applyAlignment="0" applyProtection="0"/>
    <xf numFmtId="0" fontId="6" fillId="0" borderId="0"/>
    <xf numFmtId="41" fontId="47" fillId="0" borderId="0" applyFont="0" applyFill="0" applyBorder="0" applyAlignment="0" applyProtection="0"/>
    <xf numFmtId="165" fontId="47" fillId="0" borderId="0" applyFont="0" applyFill="0" applyBorder="0" applyAlignment="0" applyProtection="0"/>
    <xf numFmtId="0" fontId="1" fillId="0" borderId="0"/>
    <xf numFmtId="166" fontId="47" fillId="0" borderId="0"/>
    <xf numFmtId="0" fontId="162" fillId="0" borderId="0"/>
    <xf numFmtId="0" fontId="7" fillId="0" borderId="0"/>
  </cellStyleXfs>
  <cellXfs count="2340">
    <xf numFmtId="166" fontId="0" fillId="0" borderId="0" xfId="0"/>
    <xf numFmtId="0" fontId="13" fillId="0" borderId="0" xfId="3" applyFont="1"/>
    <xf numFmtId="0" fontId="20" fillId="7" borderId="12" xfId="3" applyFont="1" applyFill="1" applyBorder="1" applyAlignment="1" applyProtection="1">
      <alignment shrinkToFit="1"/>
      <protection locked="0"/>
    </xf>
    <xf numFmtId="0" fontId="13" fillId="2" borderId="13" xfId="3" applyFont="1" applyFill="1" applyBorder="1" applyAlignment="1" applyProtection="1">
      <alignment horizontal="center" vertical="center" shrinkToFit="1"/>
      <protection locked="0"/>
    </xf>
    <xf numFmtId="0" fontId="14" fillId="0" borderId="14" xfId="3" applyFont="1" applyBorder="1" applyAlignment="1" applyProtection="1">
      <alignment horizontal="center"/>
      <protection hidden="1"/>
    </xf>
    <xf numFmtId="0" fontId="20" fillId="0" borderId="15" xfId="3" applyFont="1" applyBorder="1" applyAlignment="1" applyProtection="1">
      <alignment horizontal="center" shrinkToFit="1"/>
      <protection hidden="1"/>
    </xf>
    <xf numFmtId="0" fontId="20" fillId="0" borderId="12" xfId="3" applyFont="1" applyBorder="1" applyAlignment="1" applyProtection="1">
      <alignment shrinkToFit="1"/>
      <protection hidden="1"/>
    </xf>
    <xf numFmtId="0" fontId="14" fillId="0" borderId="16" xfId="3" applyFont="1" applyBorder="1" applyAlignment="1" applyProtection="1">
      <alignment shrinkToFit="1"/>
      <protection hidden="1"/>
    </xf>
    <xf numFmtId="0" fontId="14" fillId="0" borderId="12" xfId="3" applyFont="1" applyBorder="1" applyAlignment="1" applyProtection="1">
      <alignment shrinkToFit="1"/>
      <protection hidden="1"/>
    </xf>
    <xf numFmtId="0" fontId="20" fillId="0" borderId="12" xfId="3" quotePrefix="1" applyFont="1" applyBorder="1" applyAlignment="1" applyProtection="1">
      <alignment horizontal="center" shrinkToFit="1"/>
      <protection hidden="1"/>
    </xf>
    <xf numFmtId="0" fontId="15" fillId="0" borderId="17" xfId="3" applyFont="1" applyBorder="1" applyAlignment="1" applyProtection="1">
      <alignment horizontal="center" vertical="center" shrinkToFit="1"/>
      <protection hidden="1"/>
    </xf>
    <xf numFmtId="0" fontId="20" fillId="7" borderId="17" xfId="3" applyFont="1" applyFill="1" applyBorder="1" applyAlignment="1" applyProtection="1">
      <alignment shrinkToFit="1"/>
      <protection locked="0"/>
    </xf>
    <xf numFmtId="0" fontId="13" fillId="2" borderId="18" xfId="3" applyFont="1" applyFill="1" applyBorder="1" applyAlignment="1" applyProtection="1">
      <alignment horizontal="center" vertical="center" shrinkToFit="1"/>
      <protection locked="0"/>
    </xf>
    <xf numFmtId="0" fontId="14" fillId="0" borderId="19" xfId="3" applyFont="1" applyBorder="1" applyAlignment="1" applyProtection="1">
      <alignment horizontal="center"/>
      <protection hidden="1"/>
    </xf>
    <xf numFmtId="0" fontId="20" fillId="0" borderId="20" xfId="3" applyFont="1" applyBorder="1" applyAlignment="1" applyProtection="1">
      <alignment horizontal="center" shrinkToFit="1"/>
      <protection hidden="1"/>
    </xf>
    <xf numFmtId="0" fontId="20" fillId="0" borderId="17" xfId="3" applyFont="1" applyBorder="1" applyAlignment="1" applyProtection="1">
      <alignment shrinkToFit="1"/>
      <protection hidden="1"/>
    </xf>
    <xf numFmtId="0" fontId="14" fillId="0" borderId="17" xfId="3" applyFont="1" applyBorder="1" applyAlignment="1" applyProtection="1">
      <alignment shrinkToFit="1"/>
      <protection hidden="1"/>
    </xf>
    <xf numFmtId="0" fontId="20" fillId="0" borderId="17" xfId="3" quotePrefix="1" applyFont="1" applyBorder="1" applyAlignment="1" applyProtection="1">
      <alignment horizontal="center" shrinkToFit="1"/>
      <protection hidden="1"/>
    </xf>
    <xf numFmtId="0" fontId="20" fillId="0" borderId="21" xfId="3" quotePrefix="1" applyFont="1" applyBorder="1" applyAlignment="1" applyProtection="1">
      <alignment horizontal="center" shrinkToFit="1"/>
      <protection hidden="1"/>
    </xf>
    <xf numFmtId="0" fontId="20" fillId="0" borderId="21" xfId="3" applyFont="1" applyBorder="1" applyAlignment="1" applyProtection="1">
      <alignment shrinkToFit="1"/>
      <protection hidden="1"/>
    </xf>
    <xf numFmtId="0" fontId="15" fillId="0" borderId="21" xfId="3" applyFont="1" applyBorder="1" applyAlignment="1" applyProtection="1">
      <alignment horizontal="center" vertical="center" shrinkToFit="1"/>
      <protection hidden="1"/>
    </xf>
    <xf numFmtId="0" fontId="21" fillId="0" borderId="0" xfId="3" applyFont="1" applyAlignment="1" applyProtection="1">
      <alignment shrinkToFit="1"/>
      <protection hidden="1"/>
    </xf>
    <xf numFmtId="0" fontId="13" fillId="0" borderId="0" xfId="3" applyFont="1" applyProtection="1">
      <protection hidden="1"/>
    </xf>
    <xf numFmtId="0" fontId="18" fillId="0" borderId="21" xfId="3" applyFont="1" applyBorder="1" applyAlignment="1" applyProtection="1">
      <alignment horizontal="center" shrinkToFit="1"/>
      <protection hidden="1"/>
    </xf>
    <xf numFmtId="0" fontId="14" fillId="0" borderId="21" xfId="3" applyFont="1" applyBorder="1" applyAlignment="1" applyProtection="1">
      <alignment shrinkToFit="1"/>
      <protection hidden="1"/>
    </xf>
    <xf numFmtId="0" fontId="20" fillId="0" borderId="0" xfId="3" applyFont="1" applyAlignment="1" applyProtection="1">
      <alignment shrinkToFit="1"/>
      <protection hidden="1"/>
    </xf>
    <xf numFmtId="0" fontId="13" fillId="2" borderId="3" xfId="3" applyFont="1" applyFill="1" applyBorder="1" applyAlignment="1" applyProtection="1">
      <alignment horizontal="center" vertical="center" shrinkToFit="1"/>
      <protection locked="0"/>
    </xf>
    <xf numFmtId="0" fontId="14" fillId="0" borderId="22" xfId="3" applyFont="1" applyBorder="1" applyAlignment="1" applyProtection="1">
      <alignment horizontal="center"/>
      <protection hidden="1"/>
    </xf>
    <xf numFmtId="0" fontId="20" fillId="0" borderId="23" xfId="3" applyFont="1" applyBorder="1" applyAlignment="1" applyProtection="1">
      <alignment horizontal="center" shrinkToFit="1"/>
      <protection hidden="1"/>
    </xf>
    <xf numFmtId="0" fontId="20" fillId="7" borderId="21" xfId="3" applyFont="1" applyFill="1" applyBorder="1" applyAlignment="1" applyProtection="1">
      <alignment shrinkToFit="1"/>
      <protection locked="0"/>
    </xf>
    <xf numFmtId="0" fontId="20" fillId="0" borderId="0" xfId="8" applyFont="1"/>
    <xf numFmtId="191" fontId="13" fillId="0" borderId="0" xfId="3" applyNumberFormat="1" applyFont="1" applyAlignment="1" applyProtection="1">
      <alignment horizontal="left" vertical="center"/>
      <protection hidden="1"/>
    </xf>
    <xf numFmtId="0" fontId="13" fillId="0" borderId="0" xfId="3" applyFont="1" applyAlignment="1" applyProtection="1">
      <alignment horizontal="left" vertical="center"/>
      <protection locked="0" hidden="1"/>
    </xf>
    <xf numFmtId="181" fontId="13" fillId="0" borderId="0" xfId="3" applyNumberFormat="1" applyFont="1" applyAlignment="1">
      <alignment horizontal="center"/>
    </xf>
    <xf numFmtId="0" fontId="13" fillId="0" borderId="0" xfId="3" applyFont="1" applyAlignment="1" applyProtection="1">
      <alignment horizontal="center"/>
      <protection hidden="1"/>
    </xf>
    <xf numFmtId="0" fontId="13" fillId="0" borderId="0" xfId="3" applyFont="1" applyAlignment="1" applyProtection="1">
      <alignment horizontal="center" shrinkToFit="1"/>
      <protection hidden="1"/>
    </xf>
    <xf numFmtId="0" fontId="17" fillId="0" borderId="7" xfId="3" applyFont="1" applyBorder="1" applyAlignment="1" applyProtection="1">
      <alignment horizontal="center" vertical="center" shrinkToFit="1"/>
      <protection hidden="1"/>
    </xf>
    <xf numFmtId="0" fontId="17" fillId="0" borderId="9" xfId="3" applyFont="1" applyBorder="1" applyAlignment="1" applyProtection="1">
      <alignment horizontal="center" vertical="center" shrinkToFit="1"/>
      <protection hidden="1"/>
    </xf>
    <xf numFmtId="0" fontId="17" fillId="0" borderId="10" xfId="3" applyFont="1" applyBorder="1" applyAlignment="1" applyProtection="1">
      <alignment horizontal="center" vertical="center" shrinkToFit="1"/>
      <protection hidden="1"/>
    </xf>
    <xf numFmtId="0" fontId="19" fillId="0" borderId="7" xfId="3" applyFont="1" applyBorder="1" applyAlignment="1" applyProtection="1">
      <alignment horizontal="center" vertical="center" wrapText="1" shrinkToFit="1"/>
      <protection hidden="1"/>
    </xf>
    <xf numFmtId="0" fontId="14" fillId="0" borderId="7" xfId="3" applyFont="1" applyBorder="1" applyAlignment="1" applyProtection="1">
      <alignment horizontal="center" vertical="center" wrapText="1" shrinkToFit="1"/>
      <protection hidden="1"/>
    </xf>
    <xf numFmtId="0" fontId="19" fillId="0" borderId="7" xfId="3" applyFont="1" applyBorder="1" applyAlignment="1" applyProtection="1">
      <alignment horizontal="center" vertical="center" shrinkToFit="1"/>
      <protection hidden="1"/>
    </xf>
    <xf numFmtId="0" fontId="18" fillId="0" borderId="11" xfId="3" applyFont="1" applyBorder="1" applyAlignment="1" applyProtection="1">
      <alignment horizontal="center" vertical="center" wrapText="1" shrinkToFit="1"/>
      <protection hidden="1"/>
    </xf>
    <xf numFmtId="166" fontId="13" fillId="0" borderId="0" xfId="0" applyFont="1"/>
    <xf numFmtId="0" fontId="26" fillId="0" borderId="6" xfId="3" applyFont="1" applyBorder="1" applyAlignment="1" applyProtection="1">
      <alignment horizontal="centerContinuous" vertical="center" shrinkToFit="1"/>
      <protection hidden="1"/>
    </xf>
    <xf numFmtId="0" fontId="20" fillId="0" borderId="0" xfId="3" applyFont="1" applyAlignment="1">
      <alignment horizontal="center" vertical="center"/>
    </xf>
    <xf numFmtId="0" fontId="17" fillId="0" borderId="0" xfId="3" applyFont="1" applyAlignment="1" applyProtection="1">
      <alignment horizontal="centerContinuous" vertical="center" wrapText="1"/>
      <protection hidden="1"/>
    </xf>
    <xf numFmtId="0" fontId="16" fillId="0" borderId="0" xfId="3" applyFont="1" applyAlignment="1" applyProtection="1">
      <alignment horizontal="centerContinuous" vertical="center" shrinkToFit="1"/>
      <protection hidden="1"/>
    </xf>
    <xf numFmtId="0" fontId="20" fillId="0" borderId="0" xfId="3" applyFont="1" applyAlignment="1" applyProtection="1">
      <alignment horizontal="center" vertical="center"/>
      <protection hidden="1"/>
    </xf>
    <xf numFmtId="0" fontId="21" fillId="0" borderId="0" xfId="3" applyFont="1" applyAlignment="1" applyProtection="1">
      <alignment horizontal="right" vertical="center"/>
      <protection hidden="1"/>
    </xf>
    <xf numFmtId="184" fontId="16" fillId="0" borderId="0" xfId="3" applyNumberFormat="1" applyFont="1" applyAlignment="1" applyProtection="1">
      <alignment horizontal="left" vertical="center"/>
      <protection locked="0" hidden="1"/>
    </xf>
    <xf numFmtId="180" fontId="17" fillId="0" borderId="41" xfId="3" applyNumberFormat="1" applyFont="1" applyBorder="1" applyAlignment="1" applyProtection="1">
      <alignment horizontal="center" vertical="center" shrinkToFit="1"/>
      <protection hidden="1"/>
    </xf>
    <xf numFmtId="183" fontId="20" fillId="0" borderId="42" xfId="3" applyNumberFormat="1" applyFont="1" applyBorder="1" applyAlignment="1" applyProtection="1">
      <alignment horizontal="center" vertical="center" shrinkToFit="1"/>
      <protection hidden="1"/>
    </xf>
    <xf numFmtId="180" fontId="17" fillId="0" borderId="44" xfId="3" applyNumberFormat="1" applyFont="1" applyBorder="1" applyAlignment="1" applyProtection="1">
      <alignment horizontal="center" vertical="center" shrinkToFit="1"/>
      <protection hidden="1"/>
    </xf>
    <xf numFmtId="183" fontId="20" fillId="0" borderId="45" xfId="3" applyNumberFormat="1" applyFont="1" applyBorder="1" applyAlignment="1" applyProtection="1">
      <alignment horizontal="center" vertical="center" shrinkToFit="1"/>
      <protection hidden="1"/>
    </xf>
    <xf numFmtId="180" fontId="17" fillId="0" borderId="47" xfId="3" applyNumberFormat="1" applyFont="1" applyBorder="1" applyAlignment="1" applyProtection="1">
      <alignment horizontal="center" vertical="center" shrinkToFit="1"/>
      <protection hidden="1"/>
    </xf>
    <xf numFmtId="183" fontId="20" fillId="0" borderId="48" xfId="3" applyNumberFormat="1" applyFont="1" applyBorder="1" applyAlignment="1" applyProtection="1">
      <alignment horizontal="center" vertical="center" shrinkToFit="1"/>
      <protection hidden="1"/>
    </xf>
    <xf numFmtId="0" fontId="16" fillId="0" borderId="0" xfId="3" applyFont="1" applyAlignment="1" applyProtection="1">
      <alignment horizontal="left" vertical="center" shrinkToFit="1"/>
      <protection hidden="1"/>
    </xf>
    <xf numFmtId="0" fontId="13" fillId="0" borderId="0" xfId="3" applyFont="1" applyAlignment="1" applyProtection="1">
      <alignment horizontal="left" vertical="center" shrinkToFit="1"/>
      <protection hidden="1"/>
    </xf>
    <xf numFmtId="166" fontId="18" fillId="0" borderId="0" xfId="0" applyFont="1"/>
    <xf numFmtId="166" fontId="13" fillId="0" borderId="0" xfId="0" applyFont="1" applyProtection="1">
      <protection hidden="1"/>
    </xf>
    <xf numFmtId="166" fontId="15" fillId="0" borderId="0" xfId="0" applyFont="1"/>
    <xf numFmtId="166" fontId="22" fillId="0" borderId="0" xfId="0" applyFont="1"/>
    <xf numFmtId="8" fontId="13" fillId="0" borderId="0" xfId="2" applyFont="1" applyAlignment="1">
      <alignment horizontal="centerContinuous"/>
    </xf>
    <xf numFmtId="0" fontId="28" fillId="0" borderId="0" xfId="3" applyFont="1" applyAlignment="1">
      <alignment horizontal="center" vertical="center"/>
    </xf>
    <xf numFmtId="166" fontId="13" fillId="0" borderId="0" xfId="0" applyFont="1" applyAlignment="1" applyProtection="1">
      <alignment horizontal="center" vertical="center" wrapText="1"/>
      <protection hidden="1"/>
    </xf>
    <xf numFmtId="172" fontId="19" fillId="0" borderId="69" xfId="0" applyNumberFormat="1" applyFont="1" applyBorder="1" applyAlignment="1" applyProtection="1">
      <alignment horizontal="left" vertical="center" shrinkToFit="1"/>
      <protection hidden="1"/>
    </xf>
    <xf numFmtId="172" fontId="19" fillId="0" borderId="72" xfId="0" applyNumberFormat="1" applyFont="1" applyBorder="1" applyAlignment="1" applyProtection="1">
      <alignment horizontal="left" vertical="center" shrinkToFit="1"/>
      <protection hidden="1"/>
    </xf>
    <xf numFmtId="172" fontId="19" fillId="0" borderId="75" xfId="0" applyNumberFormat="1" applyFont="1" applyBorder="1" applyAlignment="1" applyProtection="1">
      <alignment horizontal="left" vertical="center" shrinkToFit="1"/>
      <protection hidden="1"/>
    </xf>
    <xf numFmtId="8" fontId="13" fillId="0" borderId="0" xfId="2" applyFont="1" applyAlignment="1">
      <alignment horizontal="center"/>
    </xf>
    <xf numFmtId="173" fontId="13" fillId="0" borderId="90" xfId="0" applyNumberFormat="1" applyFont="1" applyBorder="1" applyAlignment="1" applyProtection="1">
      <alignment horizontal="center" vertical="center" shrinkToFit="1"/>
      <protection hidden="1"/>
    </xf>
    <xf numFmtId="175" fontId="33" fillId="0" borderId="107" xfId="0" applyNumberFormat="1" applyFont="1" applyBorder="1" applyAlignment="1" applyProtection="1">
      <alignment horizontal="center" shrinkToFit="1"/>
      <protection hidden="1"/>
    </xf>
    <xf numFmtId="178" fontId="13" fillId="0" borderId="107" xfId="0" applyNumberFormat="1" applyFont="1" applyBorder="1" applyAlignment="1" applyProtection="1">
      <alignment horizontal="center" shrinkToFit="1"/>
      <protection hidden="1"/>
    </xf>
    <xf numFmtId="175" fontId="33" fillId="0" borderId="109" xfId="0" applyNumberFormat="1" applyFont="1" applyBorder="1" applyAlignment="1" applyProtection="1">
      <alignment horizontal="center" shrinkToFit="1"/>
      <protection hidden="1"/>
    </xf>
    <xf numFmtId="178" fontId="13" fillId="0" borderId="109" xfId="0" applyNumberFormat="1" applyFont="1" applyBorder="1" applyAlignment="1" applyProtection="1">
      <alignment horizontal="center" shrinkToFit="1"/>
      <protection hidden="1"/>
    </xf>
    <xf numFmtId="178" fontId="13" fillId="0" borderId="108" xfId="0" applyNumberFormat="1" applyFont="1" applyBorder="1" applyAlignment="1" applyProtection="1">
      <alignment horizontal="center" shrinkToFit="1"/>
      <protection hidden="1"/>
    </xf>
    <xf numFmtId="178" fontId="13" fillId="0" borderId="110" xfId="0" applyNumberFormat="1" applyFont="1" applyBorder="1" applyAlignment="1" applyProtection="1">
      <alignment horizontal="center" shrinkToFit="1"/>
      <protection hidden="1"/>
    </xf>
    <xf numFmtId="0" fontId="17" fillId="0" borderId="0" xfId="3" applyFont="1" applyAlignment="1" applyProtection="1">
      <alignment horizontal="centerContinuous" vertical="center" shrinkToFit="1"/>
      <protection hidden="1"/>
    </xf>
    <xf numFmtId="0" fontId="17" fillId="0" borderId="24" xfId="3" applyFont="1" applyBorder="1" applyAlignment="1" applyProtection="1">
      <alignment horizontal="center" vertical="center" wrapText="1"/>
      <protection hidden="1"/>
    </xf>
    <xf numFmtId="203" fontId="13" fillId="0" borderId="0" xfId="3" applyNumberFormat="1" applyFont="1"/>
    <xf numFmtId="40" fontId="13" fillId="0" borderId="0" xfId="1" applyFont="1"/>
    <xf numFmtId="177" fontId="13" fillId="0" borderId="121" xfId="0" applyNumberFormat="1" applyFont="1" applyBorder="1" applyAlignment="1" applyProtection="1">
      <alignment horizontal="center" shrinkToFit="1"/>
      <protection hidden="1"/>
    </xf>
    <xf numFmtId="170" fontId="20" fillId="0" borderId="0" xfId="8" applyNumberFormat="1" applyFont="1"/>
    <xf numFmtId="166" fontId="27" fillId="0" borderId="0" xfId="0" applyFont="1" applyAlignment="1" applyProtection="1">
      <alignment horizontal="centerContinuous" shrinkToFit="1"/>
      <protection hidden="1"/>
    </xf>
    <xf numFmtId="175" fontId="33" fillId="0" borderId="123" xfId="0" applyNumberFormat="1" applyFont="1" applyBorder="1" applyAlignment="1" applyProtection="1">
      <alignment horizontal="center" shrinkToFit="1"/>
      <protection hidden="1"/>
    </xf>
    <xf numFmtId="177" fontId="13" fillId="0" borderId="125" xfId="0" applyNumberFormat="1" applyFont="1" applyBorder="1" applyAlignment="1" applyProtection="1">
      <alignment horizontal="center" shrinkToFit="1"/>
      <protection hidden="1"/>
    </xf>
    <xf numFmtId="0" fontId="13" fillId="0" borderId="0" xfId="3" applyFont="1" applyAlignment="1">
      <alignment horizontal="center" vertical="center" wrapText="1"/>
    </xf>
    <xf numFmtId="170" fontId="13" fillId="0" borderId="130" xfId="3" applyNumberFormat="1" applyFont="1" applyBorder="1" applyAlignment="1" applyProtection="1">
      <alignment horizontal="center" vertical="center"/>
      <protection hidden="1"/>
    </xf>
    <xf numFmtId="170" fontId="13" fillId="0" borderId="131" xfId="3" applyNumberFormat="1" applyFont="1" applyBorder="1" applyAlignment="1" applyProtection="1">
      <alignment horizontal="center" vertical="center"/>
      <protection hidden="1"/>
    </xf>
    <xf numFmtId="177" fontId="13" fillId="0" borderId="131" xfId="3" applyNumberFormat="1" applyFont="1" applyBorder="1" applyAlignment="1" applyProtection="1">
      <alignment horizontal="center" vertical="center"/>
      <protection hidden="1"/>
    </xf>
    <xf numFmtId="170" fontId="13" fillId="0" borderId="134" xfId="3" applyNumberFormat="1" applyFont="1" applyBorder="1" applyAlignment="1" applyProtection="1">
      <alignment horizontal="center" vertical="center"/>
      <protection hidden="1"/>
    </xf>
    <xf numFmtId="177" fontId="13" fillId="0" borderId="134" xfId="3" applyNumberFormat="1" applyFont="1" applyBorder="1" applyAlignment="1" applyProtection="1">
      <alignment horizontal="center" vertical="center"/>
      <protection hidden="1"/>
    </xf>
    <xf numFmtId="0" fontId="22" fillId="0" borderId="126" xfId="3" applyFont="1" applyBorder="1" applyAlignment="1" applyProtection="1">
      <alignment horizontal="center" vertical="center" wrapText="1" shrinkToFit="1"/>
      <protection hidden="1"/>
    </xf>
    <xf numFmtId="0" fontId="22" fillId="0" borderId="129" xfId="3" applyFont="1" applyBorder="1" applyAlignment="1" applyProtection="1">
      <alignment horizontal="center" vertical="center" wrapText="1" shrinkToFit="1"/>
      <protection hidden="1"/>
    </xf>
    <xf numFmtId="0" fontId="22" fillId="0" borderId="128" xfId="3" applyFont="1" applyBorder="1" applyAlignment="1" applyProtection="1">
      <alignment horizontal="center" vertical="center" wrapText="1" shrinkToFit="1"/>
      <protection hidden="1"/>
    </xf>
    <xf numFmtId="0" fontId="17" fillId="0" borderId="138" xfId="3" applyFont="1" applyBorder="1" applyAlignment="1" applyProtection="1">
      <alignment horizontal="center" vertical="center" wrapText="1"/>
      <protection hidden="1"/>
    </xf>
    <xf numFmtId="0" fontId="17" fillId="0" borderId="139" xfId="3" applyFont="1" applyBorder="1" applyAlignment="1" applyProtection="1">
      <alignment horizontal="center"/>
      <protection hidden="1"/>
    </xf>
    <xf numFmtId="166" fontId="13" fillId="0" borderId="0" xfId="0" applyFont="1" applyProtection="1">
      <protection locked="0"/>
    </xf>
    <xf numFmtId="177" fontId="15" fillId="0" borderId="2" xfId="5" applyNumberFormat="1" applyFont="1" applyBorder="1" applyAlignment="1" applyProtection="1">
      <alignment horizontal="center"/>
      <protection hidden="1"/>
    </xf>
    <xf numFmtId="177" fontId="15" fillId="0" borderId="147" xfId="5" applyNumberFormat="1" applyFont="1" applyBorder="1" applyAlignment="1" applyProtection="1">
      <alignment horizontal="center"/>
      <protection hidden="1"/>
    </xf>
    <xf numFmtId="170" fontId="13" fillId="0" borderId="152" xfId="3" applyNumberFormat="1" applyFont="1" applyBorder="1" applyAlignment="1" applyProtection="1">
      <alignment horizontal="center" vertical="center"/>
      <protection hidden="1"/>
    </xf>
    <xf numFmtId="170" fontId="13" fillId="0" borderId="154" xfId="3" applyNumberFormat="1" applyFont="1" applyBorder="1" applyAlignment="1" applyProtection="1">
      <alignment horizontal="center" vertical="center"/>
      <protection hidden="1"/>
    </xf>
    <xf numFmtId="0" fontId="16" fillId="0" borderId="136" xfId="3" applyFont="1" applyBorder="1" applyAlignment="1" applyProtection="1">
      <alignment horizontal="centerContinuous" vertical="center" shrinkToFit="1"/>
      <protection hidden="1"/>
    </xf>
    <xf numFmtId="0" fontId="16" fillId="0" borderId="127" xfId="3" applyFont="1" applyBorder="1" applyAlignment="1" applyProtection="1">
      <alignment horizontal="centerContinuous" vertical="center" shrinkToFit="1"/>
      <protection hidden="1"/>
    </xf>
    <xf numFmtId="0" fontId="16" fillId="0" borderId="137" xfId="3" applyFont="1" applyBorder="1" applyAlignment="1" applyProtection="1">
      <alignment horizontal="centerContinuous" vertical="center" shrinkToFit="1"/>
      <protection hidden="1"/>
    </xf>
    <xf numFmtId="177" fontId="13" fillId="0" borderId="171" xfId="3" applyNumberFormat="1" applyFont="1" applyBorder="1" applyAlignment="1" applyProtection="1">
      <alignment horizontal="center" vertical="center" shrinkToFit="1"/>
      <protection hidden="1"/>
    </xf>
    <xf numFmtId="177" fontId="13" fillId="0" borderId="172" xfId="3" applyNumberFormat="1" applyFont="1" applyBorder="1" applyAlignment="1" applyProtection="1">
      <alignment horizontal="center" vertical="center" shrinkToFit="1"/>
      <protection hidden="1"/>
    </xf>
    <xf numFmtId="170" fontId="13" fillId="0" borderId="173" xfId="3" applyNumberFormat="1" applyFont="1" applyBorder="1" applyAlignment="1" applyProtection="1">
      <alignment horizontal="center" vertical="center"/>
      <protection hidden="1"/>
    </xf>
    <xf numFmtId="177" fontId="13" fillId="0" borderId="174" xfId="3" applyNumberFormat="1" applyFont="1" applyBorder="1" applyAlignment="1" applyProtection="1">
      <alignment horizontal="center" vertical="center" shrinkToFit="1"/>
      <protection hidden="1"/>
    </xf>
    <xf numFmtId="170" fontId="13" fillId="0" borderId="175" xfId="3" applyNumberFormat="1" applyFont="1" applyBorder="1" applyAlignment="1" applyProtection="1">
      <alignment horizontal="center" vertical="center"/>
      <protection hidden="1"/>
    </xf>
    <xf numFmtId="177" fontId="13" fillId="0" borderId="176" xfId="3" applyNumberFormat="1" applyFont="1" applyBorder="1" applyAlignment="1" applyProtection="1">
      <alignment horizontal="center" vertical="center" shrinkToFit="1"/>
      <protection hidden="1"/>
    </xf>
    <xf numFmtId="177" fontId="13" fillId="0" borderId="177" xfId="3" applyNumberFormat="1" applyFont="1" applyBorder="1" applyAlignment="1" applyProtection="1">
      <alignment horizontal="center" vertical="center" shrinkToFit="1"/>
      <protection hidden="1"/>
    </xf>
    <xf numFmtId="168" fontId="13" fillId="0" borderId="171" xfId="3" applyNumberFormat="1" applyFont="1" applyBorder="1" applyAlignment="1" applyProtection="1">
      <alignment horizontal="center" vertical="center" shrinkToFit="1"/>
      <protection hidden="1"/>
    </xf>
    <xf numFmtId="168" fontId="13" fillId="0" borderId="151" xfId="3" applyNumberFormat="1" applyFont="1" applyBorder="1" applyAlignment="1" applyProtection="1">
      <alignment horizontal="center" vertical="center" shrinkToFit="1"/>
      <protection hidden="1"/>
    </xf>
    <xf numFmtId="168" fontId="13" fillId="0" borderId="155" xfId="3" applyNumberFormat="1" applyFont="1" applyBorder="1" applyAlignment="1" applyProtection="1">
      <alignment horizontal="center" vertical="center" shrinkToFit="1"/>
      <protection hidden="1"/>
    </xf>
    <xf numFmtId="168" fontId="13" fillId="0" borderId="156" xfId="3" applyNumberFormat="1" applyFont="1" applyBorder="1" applyAlignment="1" applyProtection="1">
      <alignment horizontal="center" vertical="center" shrinkToFit="1"/>
      <protection hidden="1"/>
    </xf>
    <xf numFmtId="168" fontId="13" fillId="0" borderId="180" xfId="3" applyNumberFormat="1" applyFont="1" applyBorder="1" applyAlignment="1" applyProtection="1">
      <alignment horizontal="center" vertical="center" shrinkToFit="1"/>
      <protection hidden="1"/>
    </xf>
    <xf numFmtId="177" fontId="13" fillId="0" borderId="182" xfId="11" applyNumberFormat="1" applyFont="1" applyBorder="1" applyAlignment="1" applyProtection="1">
      <alignment horizontal="center" vertical="center" shrinkToFit="1"/>
      <protection hidden="1"/>
    </xf>
    <xf numFmtId="177" fontId="13" fillId="0" borderId="183" xfId="11" applyNumberFormat="1" applyFont="1" applyBorder="1" applyAlignment="1" applyProtection="1">
      <alignment horizontal="center" vertical="center" shrinkToFit="1"/>
      <protection hidden="1"/>
    </xf>
    <xf numFmtId="177" fontId="13" fillId="0" borderId="184" xfId="11" applyNumberFormat="1" applyFont="1" applyBorder="1" applyAlignment="1" applyProtection="1">
      <alignment horizontal="center" vertical="center" shrinkToFit="1"/>
      <protection hidden="1"/>
    </xf>
    <xf numFmtId="169" fontId="13" fillId="0" borderId="171" xfId="3" applyNumberFormat="1" applyFont="1" applyBorder="1" applyAlignment="1" applyProtection="1">
      <alignment horizontal="center" vertical="center" shrinkToFit="1"/>
      <protection hidden="1"/>
    </xf>
    <xf numFmtId="169" fontId="13" fillId="0" borderId="151" xfId="3" applyNumberFormat="1" applyFont="1" applyBorder="1" applyAlignment="1" applyProtection="1">
      <alignment horizontal="center" vertical="center" shrinkToFit="1"/>
      <protection hidden="1"/>
    </xf>
    <xf numFmtId="177" fontId="13" fillId="0" borderId="152" xfId="3" applyNumberFormat="1" applyFont="1" applyBorder="1" applyAlignment="1" applyProtection="1">
      <alignment horizontal="center" vertical="center"/>
      <protection hidden="1"/>
    </xf>
    <xf numFmtId="169" fontId="13" fillId="0" borderId="153" xfId="3" applyNumberFormat="1" applyFont="1" applyBorder="1" applyAlignment="1" applyProtection="1">
      <alignment horizontal="center" vertical="center" shrinkToFit="1"/>
      <protection hidden="1"/>
    </xf>
    <xf numFmtId="177" fontId="13" fillId="0" borderId="154" xfId="3" applyNumberFormat="1" applyFont="1" applyBorder="1" applyAlignment="1" applyProtection="1">
      <alignment horizontal="center" vertical="center"/>
      <protection hidden="1"/>
    </xf>
    <xf numFmtId="169" fontId="13" fillId="0" borderId="155" xfId="3" applyNumberFormat="1" applyFont="1" applyBorder="1" applyAlignment="1" applyProtection="1">
      <alignment horizontal="center" vertical="center" shrinkToFit="1"/>
      <protection hidden="1"/>
    </xf>
    <xf numFmtId="169" fontId="13" fillId="0" borderId="156" xfId="3" applyNumberFormat="1" applyFont="1" applyBorder="1" applyAlignment="1" applyProtection="1">
      <alignment horizontal="center" vertical="center" shrinkToFit="1"/>
      <protection hidden="1"/>
    </xf>
    <xf numFmtId="169" fontId="13" fillId="0" borderId="185" xfId="3" applyNumberFormat="1" applyFont="1" applyBorder="1" applyAlignment="1" applyProtection="1">
      <alignment horizontal="center" vertical="center" shrinkToFit="1"/>
      <protection hidden="1"/>
    </xf>
    <xf numFmtId="169" fontId="13" fillId="0" borderId="186" xfId="3" applyNumberFormat="1" applyFont="1" applyBorder="1" applyAlignment="1" applyProtection="1">
      <alignment horizontal="center" vertical="center" shrinkToFit="1"/>
      <protection hidden="1"/>
    </xf>
    <xf numFmtId="169" fontId="13" fillId="0" borderId="187" xfId="3" applyNumberFormat="1" applyFont="1" applyBorder="1" applyAlignment="1" applyProtection="1">
      <alignment horizontal="center" vertical="center" shrinkToFit="1"/>
      <protection hidden="1"/>
    </xf>
    <xf numFmtId="169" fontId="13" fillId="0" borderId="188" xfId="3" applyNumberFormat="1" applyFont="1" applyBorder="1" applyAlignment="1" applyProtection="1">
      <alignment horizontal="center" vertical="center" shrinkToFit="1"/>
      <protection hidden="1"/>
    </xf>
    <xf numFmtId="4" fontId="13" fillId="0" borderId="148" xfId="3" applyNumberFormat="1" applyFont="1" applyBorder="1" applyAlignment="1" applyProtection="1">
      <alignment horizontal="center" vertical="center" shrinkToFit="1"/>
      <protection hidden="1"/>
    </xf>
    <xf numFmtId="4" fontId="13" fillId="0" borderId="171" xfId="3" applyNumberFormat="1" applyFont="1" applyBorder="1" applyAlignment="1" applyProtection="1">
      <alignment horizontal="center" vertical="center" shrinkToFit="1"/>
      <protection hidden="1"/>
    </xf>
    <xf numFmtId="4" fontId="13" fillId="0" borderId="151" xfId="3" applyNumberFormat="1" applyFont="1" applyBorder="1" applyAlignment="1" applyProtection="1">
      <alignment horizontal="center" vertical="center" shrinkToFit="1"/>
      <protection hidden="1"/>
    </xf>
    <xf numFmtId="4" fontId="13" fillId="0" borderId="172" xfId="3" applyNumberFormat="1" applyFont="1" applyBorder="1" applyAlignment="1" applyProtection="1">
      <alignment horizontal="center" vertical="center" shrinkToFit="1"/>
      <protection hidden="1"/>
    </xf>
    <xf numFmtId="4" fontId="13" fillId="0" borderId="153" xfId="3" applyNumberFormat="1" applyFont="1" applyBorder="1" applyAlignment="1" applyProtection="1">
      <alignment horizontal="center" vertical="center" shrinkToFit="1"/>
      <protection hidden="1"/>
    </xf>
    <xf numFmtId="4" fontId="13" fillId="0" borderId="174" xfId="3" applyNumberFormat="1" applyFont="1" applyBorder="1" applyAlignment="1" applyProtection="1">
      <alignment horizontal="center" vertical="center" shrinkToFit="1"/>
      <protection hidden="1"/>
    </xf>
    <xf numFmtId="4" fontId="13" fillId="0" borderId="155" xfId="3" applyNumberFormat="1" applyFont="1" applyBorder="1" applyAlignment="1" applyProtection="1">
      <alignment horizontal="center" vertical="center" shrinkToFit="1"/>
      <protection hidden="1"/>
    </xf>
    <xf numFmtId="4" fontId="13" fillId="0" borderId="176" xfId="3" applyNumberFormat="1" applyFont="1" applyBorder="1" applyAlignment="1" applyProtection="1">
      <alignment horizontal="center" vertical="center" shrinkToFit="1"/>
      <protection hidden="1"/>
    </xf>
    <xf numFmtId="4" fontId="13" fillId="0" borderId="156" xfId="3" applyNumberFormat="1" applyFont="1" applyBorder="1" applyAlignment="1" applyProtection="1">
      <alignment horizontal="center" vertical="center" shrinkToFit="1"/>
      <protection hidden="1"/>
    </xf>
    <xf numFmtId="4" fontId="13" fillId="0" borderId="177" xfId="3" applyNumberFormat="1" applyFont="1" applyBorder="1" applyAlignment="1" applyProtection="1">
      <alignment horizontal="center" vertical="center" shrinkToFit="1"/>
      <protection hidden="1"/>
    </xf>
    <xf numFmtId="170" fontId="13" fillId="0" borderId="171" xfId="3" applyNumberFormat="1" applyFont="1" applyBorder="1" applyAlignment="1" applyProtection="1">
      <alignment horizontal="center" vertical="center" shrinkToFit="1"/>
      <protection hidden="1"/>
    </xf>
    <xf numFmtId="168" fontId="13" fillId="0" borderId="136" xfId="3" applyNumberFormat="1" applyFont="1" applyBorder="1" applyAlignment="1" applyProtection="1">
      <alignment horizontal="center" vertical="center" shrinkToFit="1"/>
      <protection hidden="1"/>
    </xf>
    <xf numFmtId="169" fontId="13" fillId="0" borderId="136" xfId="3" applyNumberFormat="1" applyFont="1" applyBorder="1" applyAlignment="1" applyProtection="1">
      <alignment horizontal="center" vertical="center" shrinkToFit="1"/>
      <protection hidden="1"/>
    </xf>
    <xf numFmtId="169" fontId="13" fillId="0" borderId="141" xfId="3" applyNumberFormat="1" applyFont="1" applyBorder="1" applyAlignment="1" applyProtection="1">
      <alignment horizontal="center" vertical="center" shrinkToFit="1"/>
      <protection hidden="1"/>
    </xf>
    <xf numFmtId="195" fontId="17" fillId="0" borderId="196" xfId="0" applyNumberFormat="1" applyFont="1" applyBorder="1" applyAlignment="1" applyProtection="1">
      <alignment horizontal="center" vertical="center" shrinkToFit="1"/>
      <protection hidden="1"/>
    </xf>
    <xf numFmtId="199" fontId="17" fillId="0" borderId="197" xfId="0" applyNumberFormat="1" applyFont="1" applyBorder="1" applyAlignment="1" applyProtection="1">
      <alignment horizontal="center" vertical="center" shrinkToFit="1"/>
      <protection hidden="1"/>
    </xf>
    <xf numFmtId="199" fontId="17" fillId="0" borderId="204" xfId="0" applyNumberFormat="1" applyFont="1" applyBorder="1" applyAlignment="1" applyProtection="1">
      <alignment horizontal="center" vertical="center" shrinkToFit="1"/>
      <protection hidden="1"/>
    </xf>
    <xf numFmtId="199" fontId="17" fillId="0" borderId="205" xfId="0" applyNumberFormat="1" applyFont="1" applyBorder="1" applyAlignment="1" applyProtection="1">
      <alignment horizontal="center" vertical="center" shrinkToFit="1"/>
      <protection hidden="1"/>
    </xf>
    <xf numFmtId="199" fontId="17" fillId="0" borderId="206" xfId="0" applyNumberFormat="1" applyFont="1" applyBorder="1" applyAlignment="1" applyProtection="1">
      <alignment horizontal="center" vertical="center" shrinkToFit="1"/>
      <protection hidden="1"/>
    </xf>
    <xf numFmtId="199" fontId="17" fillId="0" borderId="207" xfId="0" applyNumberFormat="1" applyFont="1" applyBorder="1" applyAlignment="1" applyProtection="1">
      <alignment horizontal="center" vertical="center" shrinkToFit="1"/>
      <protection hidden="1"/>
    </xf>
    <xf numFmtId="0" fontId="17" fillId="0" borderId="216" xfId="3" applyFont="1" applyBorder="1" applyAlignment="1" applyProtection="1">
      <alignment horizontal="center"/>
      <protection hidden="1"/>
    </xf>
    <xf numFmtId="170" fontId="13" fillId="0" borderId="218" xfId="3" applyNumberFormat="1" applyFont="1" applyBorder="1" applyAlignment="1" applyProtection="1">
      <alignment horizontal="center" vertical="center"/>
      <protection hidden="1"/>
    </xf>
    <xf numFmtId="0" fontId="17" fillId="14" borderId="139" xfId="3" applyFont="1" applyFill="1" applyBorder="1" applyAlignment="1" applyProtection="1">
      <alignment horizontal="center"/>
      <protection hidden="1"/>
    </xf>
    <xf numFmtId="170" fontId="13" fillId="14" borderId="131" xfId="3" applyNumberFormat="1" applyFont="1" applyFill="1" applyBorder="1" applyAlignment="1" applyProtection="1">
      <alignment horizontal="center" vertical="center"/>
      <protection hidden="1"/>
    </xf>
    <xf numFmtId="0" fontId="17" fillId="14" borderId="140" xfId="3" applyFont="1" applyFill="1" applyBorder="1" applyAlignment="1" applyProtection="1">
      <alignment horizontal="center"/>
      <protection hidden="1"/>
    </xf>
    <xf numFmtId="170" fontId="13" fillId="14" borderId="214" xfId="3" applyNumberFormat="1" applyFont="1" applyFill="1" applyBorder="1" applyAlignment="1" applyProtection="1">
      <alignment horizontal="center" vertical="center"/>
      <protection hidden="1"/>
    </xf>
    <xf numFmtId="170" fontId="13" fillId="0" borderId="220" xfId="3" applyNumberFormat="1" applyFont="1" applyBorder="1" applyAlignment="1" applyProtection="1">
      <alignment horizontal="center" vertical="center"/>
      <protection hidden="1"/>
    </xf>
    <xf numFmtId="170" fontId="13" fillId="0" borderId="221" xfId="3" applyNumberFormat="1" applyFont="1" applyBorder="1" applyAlignment="1" applyProtection="1">
      <alignment horizontal="center" vertical="center"/>
      <protection hidden="1"/>
    </xf>
    <xf numFmtId="170" fontId="13" fillId="0" borderId="223" xfId="3" applyNumberFormat="1" applyFont="1" applyBorder="1" applyAlignment="1" applyProtection="1">
      <alignment horizontal="center" vertical="center"/>
      <protection hidden="1"/>
    </xf>
    <xf numFmtId="177" fontId="13" fillId="0" borderId="226" xfId="3" applyNumberFormat="1" applyFont="1" applyBorder="1" applyAlignment="1" applyProtection="1">
      <alignment horizontal="center" vertical="center" shrinkToFit="1"/>
      <protection hidden="1"/>
    </xf>
    <xf numFmtId="170" fontId="13" fillId="0" borderId="227" xfId="3" applyNumberFormat="1" applyFont="1" applyBorder="1" applyAlignment="1" applyProtection="1">
      <alignment horizontal="center" vertical="center"/>
      <protection hidden="1"/>
    </xf>
    <xf numFmtId="168" fontId="13" fillId="0" borderId="222" xfId="3" applyNumberFormat="1" applyFont="1" applyBorder="1" applyAlignment="1" applyProtection="1">
      <alignment horizontal="center" vertical="center" shrinkToFit="1"/>
      <protection hidden="1"/>
    </xf>
    <xf numFmtId="177" fontId="13" fillId="0" borderId="228" xfId="11" applyNumberFormat="1" applyFont="1" applyBorder="1" applyAlignment="1" applyProtection="1">
      <alignment horizontal="center" vertical="center" shrinkToFit="1"/>
      <protection hidden="1"/>
    </xf>
    <xf numFmtId="169" fontId="13" fillId="0" borderId="222" xfId="3" applyNumberFormat="1" applyFont="1" applyBorder="1" applyAlignment="1" applyProtection="1">
      <alignment horizontal="center" vertical="center" shrinkToFit="1"/>
      <protection hidden="1"/>
    </xf>
    <xf numFmtId="169" fontId="13" fillId="0" borderId="229" xfId="3" applyNumberFormat="1" applyFont="1" applyBorder="1" applyAlignment="1" applyProtection="1">
      <alignment horizontal="center" vertical="center" shrinkToFit="1"/>
      <protection hidden="1"/>
    </xf>
    <xf numFmtId="4" fontId="13" fillId="0" borderId="222" xfId="3" applyNumberFormat="1" applyFont="1" applyBorder="1" applyAlignment="1" applyProtection="1">
      <alignment horizontal="center" vertical="center" shrinkToFit="1"/>
      <protection hidden="1"/>
    </xf>
    <xf numFmtId="4" fontId="13" fillId="0" borderId="226" xfId="3" applyNumberFormat="1" applyFont="1" applyBorder="1" applyAlignment="1" applyProtection="1">
      <alignment horizontal="center" vertical="center" shrinkToFit="1"/>
      <protection hidden="1"/>
    </xf>
    <xf numFmtId="177" fontId="13" fillId="0" borderId="233" xfId="3" applyNumberFormat="1" applyFont="1" applyBorder="1" applyAlignment="1" applyProtection="1">
      <alignment horizontal="center" vertical="center" shrinkToFit="1"/>
      <protection hidden="1"/>
    </xf>
    <xf numFmtId="177" fontId="13" fillId="0" borderId="235" xfId="3" applyNumberFormat="1" applyFont="1" applyBorder="1" applyAlignment="1" applyProtection="1">
      <alignment horizontal="center" vertical="center" shrinkToFit="1"/>
      <protection hidden="1"/>
    </xf>
    <xf numFmtId="177" fontId="13" fillId="0" borderId="236" xfId="3" applyNumberFormat="1" applyFont="1" applyBorder="1" applyAlignment="1" applyProtection="1">
      <alignment horizontal="center" vertical="center" shrinkToFit="1"/>
      <protection hidden="1"/>
    </xf>
    <xf numFmtId="177" fontId="13" fillId="0" borderId="237" xfId="3" applyNumberFormat="1" applyFont="1" applyBorder="1" applyAlignment="1" applyProtection="1">
      <alignment horizontal="center" vertical="center" shrinkToFit="1"/>
      <protection hidden="1"/>
    </xf>
    <xf numFmtId="177" fontId="13" fillId="0" borderId="238" xfId="3" applyNumberFormat="1" applyFont="1" applyBorder="1" applyAlignment="1" applyProtection="1">
      <alignment horizontal="center" vertical="center" shrinkToFit="1"/>
      <protection hidden="1"/>
    </xf>
    <xf numFmtId="177" fontId="13" fillId="0" borderId="239" xfId="3" applyNumberFormat="1" applyFont="1" applyBorder="1" applyAlignment="1" applyProtection="1">
      <alignment horizontal="center" vertical="center" shrinkToFit="1"/>
      <protection hidden="1"/>
    </xf>
    <xf numFmtId="174" fontId="13" fillId="13" borderId="240" xfId="3" applyNumberFormat="1" applyFont="1" applyFill="1" applyBorder="1" applyAlignment="1" applyProtection="1">
      <alignment horizontal="center" vertical="center" shrinkToFit="1"/>
      <protection hidden="1"/>
    </xf>
    <xf numFmtId="174" fontId="13" fillId="13" borderId="244" xfId="3" applyNumberFormat="1" applyFont="1" applyFill="1" applyBorder="1" applyAlignment="1" applyProtection="1">
      <alignment horizontal="center" vertical="center" shrinkToFit="1"/>
      <protection hidden="1"/>
    </xf>
    <xf numFmtId="174" fontId="13" fillId="13" borderId="241" xfId="3" applyNumberFormat="1" applyFont="1" applyFill="1" applyBorder="1" applyAlignment="1" applyProtection="1">
      <alignment horizontal="center" vertical="center" shrinkToFit="1"/>
      <protection hidden="1"/>
    </xf>
    <xf numFmtId="174" fontId="13" fillId="13" borderId="242" xfId="3" applyNumberFormat="1" applyFont="1" applyFill="1" applyBorder="1" applyAlignment="1" applyProtection="1">
      <alignment horizontal="center" vertical="center" shrinkToFit="1"/>
      <protection hidden="1"/>
    </xf>
    <xf numFmtId="174" fontId="13" fillId="13" borderId="243" xfId="3" applyNumberFormat="1" applyFont="1" applyFill="1" applyBorder="1" applyAlignment="1" applyProtection="1">
      <alignment horizontal="center" vertical="center" shrinkToFit="1"/>
      <protection hidden="1"/>
    </xf>
    <xf numFmtId="0" fontId="20" fillId="0" borderId="254" xfId="3" applyFont="1" applyBorder="1" applyAlignment="1" applyProtection="1">
      <alignment shrinkToFit="1"/>
      <protection hidden="1"/>
    </xf>
    <xf numFmtId="0" fontId="17" fillId="0" borderId="8" xfId="3" applyFont="1" applyBorder="1" applyAlignment="1" applyProtection="1">
      <alignment horizontal="center" vertical="center" shrinkToFit="1"/>
      <protection hidden="1"/>
    </xf>
    <xf numFmtId="0" fontId="20" fillId="0" borderId="255" xfId="3" applyFont="1" applyBorder="1" applyAlignment="1" applyProtection="1">
      <alignment shrinkToFit="1"/>
      <protection hidden="1"/>
    </xf>
    <xf numFmtId="0" fontId="20" fillId="0" borderId="256" xfId="3" applyFont="1" applyBorder="1" applyAlignment="1" applyProtection="1">
      <alignment shrinkToFit="1"/>
      <protection hidden="1"/>
    </xf>
    <xf numFmtId="4" fontId="13" fillId="0" borderId="0" xfId="3" applyNumberFormat="1" applyFont="1"/>
    <xf numFmtId="0" fontId="35" fillId="0" borderId="0" xfId="3" applyFont="1" applyAlignment="1" applyProtection="1">
      <alignment horizontal="center" vertical="center"/>
      <protection hidden="1"/>
    </xf>
    <xf numFmtId="214" fontId="33" fillId="0" borderId="107" xfId="0" applyNumberFormat="1" applyFont="1" applyBorder="1" applyAlignment="1" applyProtection="1">
      <alignment horizontal="center" shrinkToFit="1"/>
      <protection hidden="1"/>
    </xf>
    <xf numFmtId="214" fontId="33" fillId="0" borderId="123" xfId="0" applyNumberFormat="1" applyFont="1" applyBorder="1" applyAlignment="1" applyProtection="1">
      <alignment horizontal="center" shrinkToFit="1"/>
      <protection hidden="1"/>
    </xf>
    <xf numFmtId="0" fontId="14" fillId="10" borderId="17" xfId="3" applyFont="1" applyFill="1" applyBorder="1" applyAlignment="1" applyProtection="1">
      <alignment shrinkToFit="1"/>
      <protection hidden="1"/>
    </xf>
    <xf numFmtId="186" fontId="20" fillId="0" borderId="332" xfId="3" applyNumberFormat="1" applyFont="1" applyBorder="1" applyAlignment="1" applyProtection="1">
      <alignment horizontal="left" vertical="center" shrinkToFit="1"/>
      <protection hidden="1"/>
    </xf>
    <xf numFmtId="0" fontId="14" fillId="0" borderId="330" xfId="3" applyFont="1" applyBorder="1" applyAlignment="1" applyProtection="1">
      <alignment horizontal="right" vertical="center" shrinkToFit="1"/>
      <protection hidden="1"/>
    </xf>
    <xf numFmtId="15" fontId="17" fillId="0" borderId="333" xfId="3" applyNumberFormat="1" applyFont="1" applyBorder="1" applyAlignment="1" applyProtection="1">
      <alignment horizontal="left" vertical="center" shrinkToFit="1"/>
      <protection hidden="1"/>
    </xf>
    <xf numFmtId="177" fontId="15" fillId="0" borderId="356" xfId="5" applyNumberFormat="1" applyFont="1" applyBorder="1" applyAlignment="1" applyProtection="1">
      <alignment horizontal="center"/>
      <protection hidden="1"/>
    </xf>
    <xf numFmtId="177" fontId="15" fillId="0" borderId="357" xfId="5" applyNumberFormat="1" applyFont="1" applyBorder="1" applyAlignment="1" applyProtection="1">
      <alignment horizontal="center"/>
      <protection hidden="1"/>
    </xf>
    <xf numFmtId="177" fontId="15" fillId="0" borderId="363" xfId="5" applyNumberFormat="1" applyFont="1" applyBorder="1" applyAlignment="1" applyProtection="1">
      <alignment horizontal="center"/>
      <protection hidden="1"/>
    </xf>
    <xf numFmtId="177" fontId="15" fillId="0" borderId="364" xfId="5" applyNumberFormat="1" applyFont="1" applyBorder="1" applyAlignment="1" applyProtection="1">
      <alignment horizontal="center"/>
      <protection hidden="1"/>
    </xf>
    <xf numFmtId="177" fontId="15" fillId="0" borderId="365" xfId="5" applyNumberFormat="1" applyFont="1" applyBorder="1" applyAlignment="1" applyProtection="1">
      <alignment horizontal="center"/>
      <protection hidden="1"/>
    </xf>
    <xf numFmtId="0" fontId="14" fillId="10" borderId="12" xfId="3" applyFont="1" applyFill="1" applyBorder="1" applyAlignment="1" applyProtection="1">
      <alignment shrinkToFit="1"/>
      <protection hidden="1"/>
    </xf>
    <xf numFmtId="0" fontId="13" fillId="10" borderId="17" xfId="3" applyFont="1" applyFill="1" applyBorder="1" applyAlignment="1" applyProtection="1">
      <alignment shrinkToFit="1"/>
      <protection hidden="1"/>
    </xf>
    <xf numFmtId="166" fontId="38" fillId="0" borderId="0" xfId="0" applyFont="1"/>
    <xf numFmtId="166" fontId="43" fillId="0" borderId="0" xfId="0" applyFont="1" applyProtection="1">
      <protection hidden="1"/>
    </xf>
    <xf numFmtId="166" fontId="42" fillId="0" borderId="191" xfId="0" applyFont="1" applyBorder="1" applyAlignment="1" applyProtection="1">
      <alignment horizontal="center" vertical="center" wrapText="1" shrinkToFit="1"/>
      <protection hidden="1"/>
    </xf>
    <xf numFmtId="166" fontId="42" fillId="0" borderId="192" xfId="0" applyFont="1" applyBorder="1" applyAlignment="1" applyProtection="1">
      <alignment horizontal="center" vertical="center" wrapText="1" shrinkToFit="1"/>
      <protection hidden="1"/>
    </xf>
    <xf numFmtId="166" fontId="42" fillId="0" borderId="193" xfId="0" applyFont="1" applyBorder="1" applyAlignment="1" applyProtection="1">
      <alignment horizontal="center" vertical="center" wrapText="1" shrinkToFit="1"/>
      <protection hidden="1"/>
    </xf>
    <xf numFmtId="166" fontId="43" fillId="0" borderId="0" xfId="0" applyFont="1" applyAlignment="1" applyProtection="1">
      <alignment horizontal="center" wrapText="1"/>
      <protection hidden="1"/>
    </xf>
    <xf numFmtId="166" fontId="42" fillId="0" borderId="0" xfId="0" applyFont="1"/>
    <xf numFmtId="169" fontId="38" fillId="0" borderId="265" xfId="0" applyNumberFormat="1" applyFont="1" applyBorder="1" applyAlignment="1">
      <alignment horizontal="center" shrinkToFit="1"/>
    </xf>
    <xf numFmtId="169" fontId="38" fillId="0" borderId="266" xfId="0" applyNumberFormat="1" applyFont="1" applyBorder="1" applyAlignment="1" applyProtection="1">
      <alignment horizontal="center" shrinkToFit="1"/>
      <protection hidden="1"/>
    </xf>
    <xf numFmtId="182" fontId="42" fillId="13" borderId="267" xfId="3" applyNumberFormat="1" applyFont="1" applyFill="1" applyBorder="1" applyAlignment="1" applyProtection="1">
      <alignment horizontal="center" vertical="center" shrinkToFit="1"/>
      <protection hidden="1"/>
    </xf>
    <xf numFmtId="169" fontId="38" fillId="0" borderId="260" xfId="0" applyNumberFormat="1" applyFont="1" applyBorder="1" applyAlignment="1" applyProtection="1">
      <alignment horizontal="center" shrinkToFit="1"/>
      <protection hidden="1"/>
    </xf>
    <xf numFmtId="182" fontId="42" fillId="13" borderId="261" xfId="3" applyNumberFormat="1" applyFont="1" applyFill="1" applyBorder="1" applyAlignment="1" applyProtection="1">
      <alignment horizontal="center" vertical="center" shrinkToFit="1"/>
      <protection hidden="1"/>
    </xf>
    <xf numFmtId="169" fontId="38" fillId="8" borderId="259" xfId="0" applyNumberFormat="1" applyFont="1" applyFill="1" applyBorder="1" applyAlignment="1" applyProtection="1">
      <alignment horizontal="center" shrinkToFit="1"/>
      <protection locked="0"/>
    </xf>
    <xf numFmtId="166" fontId="47" fillId="0" borderId="0" xfId="0" applyFont="1"/>
    <xf numFmtId="166" fontId="38" fillId="0" borderId="169" xfId="0" applyFont="1" applyBorder="1"/>
    <xf numFmtId="166" fontId="42" fillId="0" borderId="231" xfId="0" applyFont="1" applyBorder="1" applyAlignment="1" applyProtection="1">
      <alignment horizontal="center" vertical="center" wrapText="1"/>
      <protection hidden="1"/>
    </xf>
    <xf numFmtId="175" fontId="48" fillId="0" borderId="0" xfId="5" applyNumberFormat="1" applyFont="1" applyAlignment="1" applyProtection="1">
      <alignment vertical="center"/>
      <protection hidden="1"/>
    </xf>
    <xf numFmtId="0" fontId="53" fillId="0" borderId="0" xfId="5" applyFont="1"/>
    <xf numFmtId="0" fontId="49" fillId="0" borderId="0" xfId="5" applyFont="1"/>
    <xf numFmtId="166" fontId="49" fillId="0" borderId="0" xfId="0" applyFont="1"/>
    <xf numFmtId="175" fontId="48" fillId="0" borderId="170" xfId="5" applyNumberFormat="1" applyFont="1" applyBorder="1" applyAlignment="1" applyProtection="1">
      <alignment vertical="center"/>
      <protection hidden="1"/>
    </xf>
    <xf numFmtId="166" fontId="54" fillId="0" borderId="0" xfId="0" applyFont="1"/>
    <xf numFmtId="0" fontId="55" fillId="0" borderId="291" xfId="5" applyFont="1" applyBorder="1" applyAlignment="1" applyProtection="1">
      <alignment horizontal="center" vertical="center" wrapText="1" shrinkToFit="1"/>
      <protection hidden="1"/>
    </xf>
    <xf numFmtId="0" fontId="56" fillId="0" borderId="0" xfId="5" applyFont="1"/>
    <xf numFmtId="211" fontId="49" fillId="0" borderId="306" xfId="0" applyNumberFormat="1" applyFont="1" applyBorder="1" applyAlignment="1" applyProtection="1">
      <alignment horizontal="center" vertical="center" shrinkToFit="1"/>
      <protection hidden="1"/>
    </xf>
    <xf numFmtId="212" fontId="49" fillId="0" borderId="284" xfId="0" applyNumberFormat="1" applyFont="1" applyBorder="1" applyAlignment="1" applyProtection="1">
      <alignment horizontal="center" vertical="center" shrinkToFit="1"/>
      <protection hidden="1"/>
    </xf>
    <xf numFmtId="193" fontId="49" fillId="0" borderId="278" xfId="5" applyNumberFormat="1" applyFont="1" applyBorder="1" applyAlignment="1" applyProtection="1">
      <alignment horizontal="center" shrinkToFit="1"/>
      <protection hidden="1"/>
    </xf>
    <xf numFmtId="193" fontId="49" fillId="0" borderId="286" xfId="5" applyNumberFormat="1" applyFont="1" applyBorder="1" applyAlignment="1" applyProtection="1">
      <alignment horizontal="center" shrinkToFit="1"/>
      <protection hidden="1"/>
    </xf>
    <xf numFmtId="170" fontId="49" fillId="0" borderId="306" xfId="5" applyNumberFormat="1" applyFont="1" applyBorder="1" applyAlignment="1" applyProtection="1">
      <alignment horizontal="center" shrinkToFit="1"/>
      <protection hidden="1"/>
    </xf>
    <xf numFmtId="175" fontId="49" fillId="0" borderId="278" xfId="5" applyNumberFormat="1" applyFont="1" applyBorder="1" applyAlignment="1" applyProtection="1">
      <alignment horizontal="center" shrinkToFit="1"/>
      <protection hidden="1"/>
    </xf>
    <xf numFmtId="170" fontId="49" fillId="0" borderId="278" xfId="5" applyNumberFormat="1" applyFont="1" applyBorder="1" applyAlignment="1" applyProtection="1">
      <alignment horizontal="center" shrinkToFit="1"/>
      <protection hidden="1"/>
    </xf>
    <xf numFmtId="3" fontId="49" fillId="0" borderId="278" xfId="5" applyNumberFormat="1" applyFont="1" applyBorder="1" applyAlignment="1" applyProtection="1">
      <alignment horizontal="center" shrinkToFit="1"/>
      <protection hidden="1"/>
    </xf>
    <xf numFmtId="211" fontId="49" fillId="0" borderId="258" xfId="0" applyNumberFormat="1" applyFont="1" applyBorder="1" applyAlignment="1" applyProtection="1">
      <alignment horizontal="center" vertical="center" shrinkToFit="1"/>
      <protection hidden="1"/>
    </xf>
    <xf numFmtId="212" fontId="49" fillId="0" borderId="272" xfId="0" applyNumberFormat="1" applyFont="1" applyBorder="1" applyAlignment="1" applyProtection="1">
      <alignment horizontal="center" vertical="center" shrinkToFit="1"/>
      <protection hidden="1"/>
    </xf>
    <xf numFmtId="193" fontId="49" fillId="0" borderId="154" xfId="5" applyNumberFormat="1" applyFont="1" applyBorder="1" applyAlignment="1" applyProtection="1">
      <alignment horizontal="center" shrinkToFit="1"/>
      <protection hidden="1"/>
    </xf>
    <xf numFmtId="193" fontId="49" fillId="0" borderId="262" xfId="5" applyNumberFormat="1" applyFont="1" applyBorder="1" applyAlignment="1" applyProtection="1">
      <alignment horizontal="center" shrinkToFit="1"/>
      <protection hidden="1"/>
    </xf>
    <xf numFmtId="170" fontId="49" fillId="0" borderId="258" xfId="5" applyNumberFormat="1" applyFont="1" applyBorder="1" applyAlignment="1" applyProtection="1">
      <alignment horizontal="center" shrinkToFit="1"/>
      <protection hidden="1"/>
    </xf>
    <xf numFmtId="181" fontId="49" fillId="0" borderId="271" xfId="5" applyNumberFormat="1" applyFont="1" applyBorder="1" applyAlignment="1" applyProtection="1">
      <alignment horizontal="center" shrinkToFit="1"/>
      <protection hidden="1"/>
    </xf>
    <xf numFmtId="175" fontId="49" fillId="0" borderId="154" xfId="5" applyNumberFormat="1" applyFont="1" applyBorder="1" applyAlignment="1" applyProtection="1">
      <alignment horizontal="center" shrinkToFit="1"/>
      <protection hidden="1"/>
    </xf>
    <xf numFmtId="170" fontId="49" fillId="0" borderId="154" xfId="5" applyNumberFormat="1" applyFont="1" applyBorder="1" applyAlignment="1" applyProtection="1">
      <alignment horizontal="center" shrinkToFit="1"/>
      <protection hidden="1"/>
    </xf>
    <xf numFmtId="3" fontId="49" fillId="0" borderId="154" xfId="5" applyNumberFormat="1" applyFont="1" applyBorder="1" applyAlignment="1" applyProtection="1">
      <alignment horizontal="center" shrinkToFit="1"/>
      <protection hidden="1"/>
    </xf>
    <xf numFmtId="166" fontId="49" fillId="0" borderId="277" xfId="0" applyFont="1" applyBorder="1" applyAlignment="1" applyProtection="1">
      <alignment shrinkToFit="1"/>
      <protection hidden="1"/>
    </xf>
    <xf numFmtId="166" fontId="49" fillId="0" borderId="370" xfId="0" applyFont="1" applyBorder="1" applyAlignment="1" applyProtection="1">
      <alignment shrinkToFit="1"/>
      <protection hidden="1"/>
    </xf>
    <xf numFmtId="166" fontId="49" fillId="0" borderId="0" xfId="0" applyFont="1" applyAlignment="1" applyProtection="1">
      <alignment shrinkToFit="1"/>
      <protection hidden="1"/>
    </xf>
    <xf numFmtId="166" fontId="49" fillId="0" borderId="178" xfId="0" applyFont="1" applyBorder="1" applyAlignment="1" applyProtection="1">
      <alignment shrinkToFit="1"/>
      <protection hidden="1"/>
    </xf>
    <xf numFmtId="175" fontId="48" fillId="0" borderId="0" xfId="5" applyNumberFormat="1" applyFont="1" applyAlignment="1" applyProtection="1">
      <alignment horizontal="center" vertical="center"/>
      <protection hidden="1"/>
    </xf>
    <xf numFmtId="175" fontId="48" fillId="0" borderId="170" xfId="5" applyNumberFormat="1" applyFont="1" applyBorder="1" applyAlignment="1" applyProtection="1">
      <alignment horizontal="center" vertical="center"/>
      <protection hidden="1"/>
    </xf>
    <xf numFmtId="174" fontId="49" fillId="0" borderId="286" xfId="5" applyNumberFormat="1" applyFont="1" applyBorder="1" applyAlignment="1" applyProtection="1">
      <alignment horizontal="center" vertical="center" shrinkToFit="1"/>
      <protection hidden="1"/>
    </xf>
    <xf numFmtId="174" fontId="49" fillId="0" borderId="262" xfId="5" applyNumberFormat="1" applyFont="1" applyBorder="1" applyAlignment="1" applyProtection="1">
      <alignment horizontal="center" vertical="center" shrinkToFit="1"/>
      <protection hidden="1"/>
    </xf>
    <xf numFmtId="0" fontId="49" fillId="0" borderId="391" xfId="5" applyFont="1" applyBorder="1" applyAlignment="1" applyProtection="1">
      <alignment horizontal="right" shrinkToFit="1"/>
      <protection hidden="1"/>
    </xf>
    <xf numFmtId="175" fontId="48" fillId="0" borderId="292" xfId="5" applyNumberFormat="1" applyFont="1" applyBorder="1" applyAlignment="1" applyProtection="1">
      <alignment horizontal="center" vertical="center"/>
      <protection hidden="1"/>
    </xf>
    <xf numFmtId="175" fontId="48" fillId="0" borderId="290" xfId="5" applyNumberFormat="1" applyFont="1" applyBorder="1" applyAlignment="1" applyProtection="1">
      <alignment horizontal="center" vertical="center"/>
      <protection hidden="1"/>
    </xf>
    <xf numFmtId="0" fontId="58" fillId="9" borderId="198" xfId="5" applyFont="1" applyFill="1" applyBorder="1" applyAlignment="1" applyProtection="1">
      <alignment horizontal="center"/>
      <protection locked="0" hidden="1"/>
    </xf>
    <xf numFmtId="0" fontId="52" fillId="0" borderId="381" xfId="0" applyNumberFormat="1" applyFont="1" applyBorder="1" applyAlignment="1" applyProtection="1">
      <alignment horizontal="left" shrinkToFit="1"/>
      <protection hidden="1"/>
    </xf>
    <xf numFmtId="166" fontId="61" fillId="0" borderId="0" xfId="0" applyFont="1" applyProtection="1">
      <protection hidden="1"/>
    </xf>
    <xf numFmtId="166" fontId="42" fillId="0" borderId="561" xfId="0" applyFont="1" applyBorder="1" applyAlignment="1" applyProtection="1">
      <alignment horizontal="center" vertical="center" wrapText="1"/>
      <protection hidden="1"/>
    </xf>
    <xf numFmtId="166" fontId="42" fillId="0" borderId="562" xfId="0" applyFont="1" applyBorder="1" applyAlignment="1" applyProtection="1">
      <alignment horizontal="center" vertical="center" wrapText="1" shrinkToFit="1"/>
      <protection hidden="1"/>
    </xf>
    <xf numFmtId="164" fontId="38" fillId="0" borderId="308" xfId="0" applyNumberFormat="1" applyFont="1" applyBorder="1" applyAlignment="1" applyProtection="1">
      <alignment horizontal="center" shrinkToFit="1"/>
      <protection hidden="1"/>
    </xf>
    <xf numFmtId="164" fontId="38" fillId="0" borderId="152" xfId="0" applyNumberFormat="1" applyFont="1" applyBorder="1" applyAlignment="1" applyProtection="1">
      <alignment horizontal="center" shrinkToFit="1"/>
      <protection hidden="1"/>
    </xf>
    <xf numFmtId="164" fontId="38" fillId="0" borderId="271" xfId="0" applyNumberFormat="1" applyFont="1" applyBorder="1" applyAlignment="1" applyProtection="1">
      <alignment horizontal="center" shrinkToFit="1"/>
      <protection hidden="1"/>
    </xf>
    <xf numFmtId="164" fontId="38" fillId="0" borderId="154" xfId="0" applyNumberFormat="1" applyFont="1" applyBorder="1" applyAlignment="1" applyProtection="1">
      <alignment horizontal="center" shrinkToFit="1"/>
      <protection hidden="1"/>
    </xf>
    <xf numFmtId="223" fontId="38" fillId="0" borderId="173" xfId="0" applyNumberFormat="1" applyFont="1" applyBorder="1" applyAlignment="1" applyProtection="1">
      <alignment horizontal="center" shrinkToFit="1"/>
      <protection hidden="1"/>
    </xf>
    <xf numFmtId="223" fontId="38" fillId="0" borderId="175" xfId="0" applyNumberFormat="1" applyFont="1" applyBorder="1" applyAlignment="1" applyProtection="1">
      <alignment horizontal="center" shrinkToFit="1"/>
      <protection hidden="1"/>
    </xf>
    <xf numFmtId="166" fontId="38" fillId="0" borderId="0" xfId="0" applyFont="1" applyAlignment="1">
      <alignment vertical="center"/>
    </xf>
    <xf numFmtId="169" fontId="38" fillId="0" borderId="304" xfId="0" applyNumberFormat="1" applyFont="1" applyBorder="1" applyAlignment="1">
      <alignment horizontal="center" shrinkToFit="1"/>
    </xf>
    <xf numFmtId="169" fontId="38" fillId="15" borderId="274" xfId="0" applyNumberFormat="1" applyFont="1" applyFill="1" applyBorder="1" applyAlignment="1" applyProtection="1">
      <alignment horizontal="center" shrinkToFit="1"/>
      <protection locked="0"/>
    </xf>
    <xf numFmtId="181" fontId="39" fillId="0" borderId="573" xfId="0" applyNumberFormat="1" applyFont="1" applyBorder="1" applyAlignment="1" applyProtection="1">
      <alignment horizontal="center" shrinkToFit="1"/>
      <protection hidden="1"/>
    </xf>
    <xf numFmtId="174" fontId="42" fillId="0" borderId="574" xfId="0" applyNumberFormat="1" applyFont="1" applyBorder="1" applyAlignment="1" applyProtection="1">
      <alignment horizontal="center" shrinkToFit="1"/>
      <protection hidden="1"/>
    </xf>
    <xf numFmtId="181" fontId="39" fillId="0" borderId="575" xfId="0" applyNumberFormat="1" applyFont="1" applyBorder="1" applyAlignment="1" applyProtection="1">
      <alignment horizontal="center" shrinkToFit="1"/>
      <protection hidden="1"/>
    </xf>
    <xf numFmtId="174" fontId="42" fillId="0" borderId="576" xfId="0" applyNumberFormat="1" applyFont="1" applyBorder="1" applyAlignment="1" applyProtection="1">
      <alignment horizontal="center" shrinkToFit="1"/>
      <protection hidden="1"/>
    </xf>
    <xf numFmtId="181" fontId="39" fillId="0" borderId="577" xfId="0" applyNumberFormat="1" applyFont="1" applyBorder="1" applyAlignment="1" applyProtection="1">
      <alignment horizontal="center" shrinkToFit="1"/>
      <protection hidden="1"/>
    </xf>
    <xf numFmtId="174" fontId="42" fillId="0" borderId="578" xfId="0" applyNumberFormat="1" applyFont="1" applyBorder="1" applyAlignment="1" applyProtection="1">
      <alignment horizontal="center" shrinkToFit="1"/>
      <protection hidden="1"/>
    </xf>
    <xf numFmtId="166" fontId="63" fillId="0" borderId="0" xfId="0" applyFont="1" applyProtection="1">
      <protection hidden="1"/>
    </xf>
    <xf numFmtId="0" fontId="63" fillId="0" borderId="0" xfId="5" applyFont="1" applyProtection="1">
      <protection hidden="1"/>
    </xf>
    <xf numFmtId="0" fontId="63" fillId="0" borderId="0" xfId="5" applyFont="1" applyAlignment="1" applyProtection="1">
      <alignment horizontal="center"/>
      <protection hidden="1"/>
    </xf>
    <xf numFmtId="0" fontId="69" fillId="0" borderId="0" xfId="5" applyFont="1" applyProtection="1">
      <protection hidden="1"/>
    </xf>
    <xf numFmtId="0" fontId="69" fillId="0" borderId="0" xfId="5" applyFont="1"/>
    <xf numFmtId="166" fontId="63" fillId="0" borderId="0" xfId="0" applyFont="1"/>
    <xf numFmtId="0" fontId="63" fillId="0" borderId="0" xfId="5" applyFont="1" applyAlignment="1" applyProtection="1">
      <alignment shrinkToFit="1"/>
      <protection hidden="1"/>
    </xf>
    <xf numFmtId="0" fontId="74" fillId="0" borderId="0" xfId="5" applyFont="1" applyAlignment="1" applyProtection="1">
      <alignment horizontal="center"/>
      <protection hidden="1"/>
    </xf>
    <xf numFmtId="0" fontId="64" fillId="0" borderId="0" xfId="5" applyFont="1" applyAlignment="1" applyProtection="1">
      <alignment horizontal="center"/>
      <protection hidden="1"/>
    </xf>
    <xf numFmtId="0" fontId="75" fillId="0" borderId="0" xfId="5" applyFont="1"/>
    <xf numFmtId="168" fontId="63" fillId="0" borderId="294" xfId="5" applyNumberFormat="1" applyFont="1" applyBorder="1" applyAlignment="1" applyProtection="1">
      <alignment horizontal="right" shrinkToFit="1"/>
      <protection hidden="1"/>
    </xf>
    <xf numFmtId="172" fontId="63" fillId="0" borderId="98" xfId="5" applyNumberFormat="1" applyFont="1" applyBorder="1" applyAlignment="1" applyProtection="1">
      <alignment horizontal="center" vertical="center" shrinkToFit="1"/>
      <protection hidden="1"/>
    </xf>
    <xf numFmtId="215" fontId="76" fillId="0" borderId="414" xfId="5" applyNumberFormat="1" applyFont="1" applyBorder="1" applyAlignment="1" applyProtection="1">
      <alignment horizontal="center" shrinkToFit="1"/>
      <protection hidden="1"/>
    </xf>
    <xf numFmtId="166" fontId="73" fillId="0" borderId="58" xfId="0" applyFont="1" applyBorder="1" applyAlignment="1" applyProtection="1">
      <alignment horizontal="right" shrinkToFit="1"/>
      <protection hidden="1"/>
    </xf>
    <xf numFmtId="170" fontId="63" fillId="0" borderId="57" xfId="0" applyNumberFormat="1" applyFont="1" applyBorder="1" applyAlignment="1" applyProtection="1">
      <alignment horizontal="center" shrinkToFit="1"/>
      <protection hidden="1"/>
    </xf>
    <xf numFmtId="182" fontId="63" fillId="0" borderId="100" xfId="0" applyNumberFormat="1" applyFont="1" applyBorder="1" applyAlignment="1" applyProtection="1">
      <alignment horizontal="center" shrinkToFit="1"/>
      <protection hidden="1"/>
    </xf>
    <xf numFmtId="173" fontId="63" fillId="0" borderId="275" xfId="5" applyNumberFormat="1" applyFont="1" applyBorder="1" applyAlignment="1" applyProtection="1">
      <alignment shrinkToFit="1"/>
      <protection hidden="1"/>
    </xf>
    <xf numFmtId="211" fontId="63" fillId="0" borderId="274" xfId="0" applyNumberFormat="1" applyFont="1" applyBorder="1" applyAlignment="1" applyProtection="1">
      <alignment horizontal="center" vertical="center" shrinkToFit="1"/>
      <protection hidden="1"/>
    </xf>
    <xf numFmtId="212" fontId="63" fillId="0" borderId="175" xfId="0" applyNumberFormat="1" applyFont="1" applyBorder="1" applyAlignment="1" applyProtection="1">
      <alignment horizontal="center" vertical="center" shrinkToFit="1"/>
      <protection hidden="1"/>
    </xf>
    <xf numFmtId="174" fontId="63" fillId="0" borderId="131" xfId="5" applyNumberFormat="1" applyFont="1" applyBorder="1" applyAlignment="1" applyProtection="1">
      <alignment horizontal="center" shrinkToFit="1"/>
      <protection hidden="1"/>
    </xf>
    <xf numFmtId="172" fontId="63" fillId="0" borderId="59" xfId="5" applyNumberFormat="1" applyFont="1" applyBorder="1" applyAlignment="1" applyProtection="1">
      <alignment horizontal="center" vertical="center" shrinkToFit="1"/>
      <protection hidden="1"/>
    </xf>
    <xf numFmtId="215" fontId="76" fillId="0" borderId="415" xfId="5" applyNumberFormat="1" applyFont="1" applyBorder="1" applyAlignment="1" applyProtection="1">
      <alignment horizontal="center" shrinkToFit="1"/>
      <protection hidden="1"/>
    </xf>
    <xf numFmtId="166" fontId="63" fillId="0" borderId="416" xfId="0" applyFont="1" applyBorder="1" applyAlignment="1" applyProtection="1">
      <alignment horizontal="right" shrinkToFit="1"/>
      <protection hidden="1"/>
    </xf>
    <xf numFmtId="170" fontId="63" fillId="0" borderId="417" xfId="0" applyNumberFormat="1" applyFont="1" applyBorder="1" applyAlignment="1" applyProtection="1">
      <alignment horizontal="center" shrinkToFit="1"/>
      <protection hidden="1"/>
    </xf>
    <xf numFmtId="204" fontId="63" fillId="0" borderId="418" xfId="0" applyNumberFormat="1" applyFont="1" applyBorder="1" applyAlignment="1" applyProtection="1">
      <alignment horizontal="center" shrinkToFit="1"/>
      <protection hidden="1"/>
    </xf>
    <xf numFmtId="208" fontId="63" fillId="0" borderId="262" xfId="5" applyNumberFormat="1" applyFont="1" applyBorder="1" applyAlignment="1" applyProtection="1">
      <alignment horizontal="center" shrinkToFit="1"/>
      <protection hidden="1"/>
    </xf>
    <xf numFmtId="208" fontId="63" fillId="0" borderId="131" xfId="5" applyNumberFormat="1" applyFont="1" applyBorder="1" applyAlignment="1" applyProtection="1">
      <alignment horizontal="center" shrinkToFit="1"/>
      <protection hidden="1"/>
    </xf>
    <xf numFmtId="170" fontId="63" fillId="0" borderId="131" xfId="5" applyNumberFormat="1" applyFont="1" applyBorder="1" applyAlignment="1" applyProtection="1">
      <alignment horizontal="center" shrinkToFit="1"/>
      <protection hidden="1"/>
    </xf>
    <xf numFmtId="171" fontId="63" fillId="0" borderId="420" xfId="0" applyNumberFormat="1" applyFont="1" applyBorder="1" applyAlignment="1" applyProtection="1">
      <alignment horizontal="center" shrinkToFit="1"/>
      <protection hidden="1"/>
    </xf>
    <xf numFmtId="202" fontId="63" fillId="0" borderId="421" xfId="0" applyNumberFormat="1" applyFont="1" applyBorder="1" applyAlignment="1" applyProtection="1">
      <alignment horizontal="center" shrinkToFit="1"/>
      <protection hidden="1"/>
    </xf>
    <xf numFmtId="173" fontId="63" fillId="0" borderId="262" xfId="5" applyNumberFormat="1" applyFont="1" applyBorder="1" applyAlignment="1" applyProtection="1">
      <alignment shrinkToFit="1"/>
      <protection hidden="1"/>
    </xf>
    <xf numFmtId="0" fontId="77" fillId="0" borderId="0" xfId="5" applyFont="1" applyAlignment="1" applyProtection="1">
      <alignment horizontal="center"/>
      <protection hidden="1"/>
    </xf>
    <xf numFmtId="168" fontId="63" fillId="0" borderId="303" xfId="5" applyNumberFormat="1" applyFont="1" applyBorder="1" applyAlignment="1" applyProtection="1">
      <alignment horizontal="right" shrinkToFit="1"/>
      <protection hidden="1"/>
    </xf>
    <xf numFmtId="172" fontId="63" fillId="0" borderId="102" xfId="5" applyNumberFormat="1" applyFont="1" applyBorder="1" applyAlignment="1" applyProtection="1">
      <alignment horizontal="center" vertical="center" shrinkToFit="1"/>
      <protection hidden="1"/>
    </xf>
    <xf numFmtId="166" fontId="63" fillId="0" borderId="432" xfId="0" applyFont="1" applyBorder="1" applyAlignment="1" applyProtection="1">
      <alignment horizontal="right" shrinkToFit="1"/>
      <protection hidden="1"/>
    </xf>
    <xf numFmtId="168" fontId="63" fillId="0" borderId="433" xfId="0" applyNumberFormat="1" applyFont="1" applyBorder="1" applyAlignment="1" applyProtection="1">
      <alignment horizontal="center" shrinkToFit="1"/>
      <protection hidden="1"/>
    </xf>
    <xf numFmtId="205" fontId="63" fillId="0" borderId="434" xfId="0" applyNumberFormat="1" applyFont="1" applyBorder="1" applyAlignment="1" applyProtection="1">
      <alignment horizontal="center" shrinkToFit="1"/>
      <protection hidden="1"/>
    </xf>
    <xf numFmtId="166" fontId="73" fillId="0" borderId="405" xfId="0" applyFont="1" applyBorder="1" applyAlignment="1" applyProtection="1">
      <alignment horizontal="right" shrinkToFit="1"/>
      <protection hidden="1"/>
    </xf>
    <xf numFmtId="170" fontId="63" fillId="0" borderId="61" xfId="0" applyNumberFormat="1" applyFont="1" applyBorder="1" applyAlignment="1" applyProtection="1">
      <alignment horizontal="center" shrinkToFit="1"/>
      <protection hidden="1"/>
    </xf>
    <xf numFmtId="177" fontId="63" fillId="0" borderId="61" xfId="0" applyNumberFormat="1" applyFont="1" applyBorder="1" applyAlignment="1" applyProtection="1">
      <alignment horizontal="center" shrinkToFit="1"/>
      <protection hidden="1"/>
    </xf>
    <xf numFmtId="182" fontId="63" fillId="0" borderId="101" xfId="0" applyNumberFormat="1" applyFont="1" applyBorder="1" applyAlignment="1" applyProtection="1">
      <alignment horizontal="center" shrinkToFit="1"/>
      <protection hidden="1"/>
    </xf>
    <xf numFmtId="166" fontId="63" fillId="0" borderId="422" xfId="0" applyFont="1" applyBorder="1" applyAlignment="1" applyProtection="1">
      <alignment horizontal="right" shrinkToFit="1"/>
      <protection hidden="1"/>
    </xf>
    <xf numFmtId="170" fontId="63" fillId="0" borderId="423" xfId="0" applyNumberFormat="1" applyFont="1" applyBorder="1" applyAlignment="1" applyProtection="1">
      <alignment horizontal="center" shrinkToFit="1"/>
      <protection hidden="1"/>
    </xf>
    <xf numFmtId="182" fontId="63" fillId="0" borderId="424" xfId="0" applyNumberFormat="1" applyFont="1" applyBorder="1" applyAlignment="1" applyProtection="1">
      <alignment horizontal="center" shrinkToFit="1"/>
      <protection hidden="1"/>
    </xf>
    <xf numFmtId="166" fontId="63" fillId="0" borderId="435" xfId="0" applyFont="1" applyBorder="1" applyAlignment="1" applyProtection="1">
      <alignment horizontal="right" shrinkToFit="1"/>
      <protection hidden="1"/>
    </xf>
    <xf numFmtId="193" fontId="63" fillId="0" borderId="436" xfId="0" applyNumberFormat="1" applyFont="1" applyBorder="1" applyAlignment="1" applyProtection="1">
      <alignment horizontal="center" shrinkToFit="1"/>
      <protection hidden="1"/>
    </xf>
    <xf numFmtId="182" fontId="63" fillId="0" borderId="437" xfId="0" applyNumberFormat="1" applyFont="1" applyBorder="1" applyAlignment="1" applyProtection="1">
      <alignment horizontal="center" shrinkToFit="1"/>
      <protection hidden="1"/>
    </xf>
    <xf numFmtId="166" fontId="63" fillId="0" borderId="425" xfId="0" applyFont="1" applyBorder="1" applyAlignment="1" applyProtection="1">
      <alignment horizontal="right" shrinkToFit="1"/>
      <protection hidden="1"/>
    </xf>
    <xf numFmtId="169" fontId="63" fillId="0" borderId="426" xfId="0" applyNumberFormat="1" applyFont="1" applyBorder="1" applyAlignment="1" applyProtection="1">
      <alignment horizontal="center" shrinkToFit="1"/>
      <protection hidden="1"/>
    </xf>
    <xf numFmtId="182" fontId="63" fillId="0" borderId="427" xfId="0" applyNumberFormat="1" applyFont="1" applyBorder="1" applyAlignment="1" applyProtection="1">
      <alignment horizontal="center" shrinkToFit="1"/>
      <protection hidden="1"/>
    </xf>
    <xf numFmtId="168" fontId="63" fillId="0" borderId="417" xfId="0" applyNumberFormat="1" applyFont="1" applyBorder="1" applyAlignment="1" applyProtection="1">
      <alignment horizontal="center" shrinkToFit="1"/>
      <protection hidden="1"/>
    </xf>
    <xf numFmtId="182" fontId="63" fillId="0" borderId="418" xfId="0" applyNumberFormat="1" applyFont="1" applyBorder="1" applyAlignment="1" applyProtection="1">
      <alignment shrinkToFit="1"/>
      <protection hidden="1"/>
    </xf>
    <xf numFmtId="166" fontId="63" fillId="0" borderId="428" xfId="0" applyFont="1" applyBorder="1" applyAlignment="1" applyProtection="1">
      <alignment horizontal="right" shrinkToFit="1"/>
      <protection hidden="1"/>
    </xf>
    <xf numFmtId="171" fontId="63" fillId="0" borderId="429" xfId="0" applyNumberFormat="1" applyFont="1" applyBorder="1" applyAlignment="1" applyProtection="1">
      <alignment horizontal="center" shrinkToFit="1"/>
      <protection hidden="1"/>
    </xf>
    <xf numFmtId="4" fontId="63" fillId="0" borderId="429" xfId="0" applyNumberFormat="1" applyFont="1" applyBorder="1" applyAlignment="1" applyProtection="1">
      <alignment horizontal="center" shrinkToFit="1"/>
      <protection hidden="1"/>
    </xf>
    <xf numFmtId="182" fontId="63" fillId="0" borderId="430" xfId="0" applyNumberFormat="1" applyFont="1" applyBorder="1" applyAlignment="1" applyProtection="1">
      <alignment horizontal="center" shrinkToFit="1"/>
      <protection hidden="1"/>
    </xf>
    <xf numFmtId="168" fontId="63" fillId="0" borderId="295" xfId="5" applyNumberFormat="1" applyFont="1" applyBorder="1" applyAlignment="1" applyProtection="1">
      <alignment horizontal="right" shrinkToFit="1"/>
      <protection hidden="1"/>
    </xf>
    <xf numFmtId="172" fontId="63" fillId="0" borderId="60" xfId="5" applyNumberFormat="1" applyFont="1" applyBorder="1" applyAlignment="1" applyProtection="1">
      <alignment horizontal="center" vertical="center" shrinkToFit="1"/>
      <protection hidden="1"/>
    </xf>
    <xf numFmtId="202" fontId="63" fillId="0" borderId="439" xfId="0" applyNumberFormat="1" applyFont="1" applyBorder="1" applyAlignment="1" applyProtection="1">
      <alignment horizontal="center" shrinkToFit="1"/>
      <protection hidden="1"/>
    </xf>
    <xf numFmtId="0" fontId="77" fillId="0" borderId="0" xfId="5" applyFont="1" applyProtection="1">
      <protection hidden="1"/>
    </xf>
    <xf numFmtId="182" fontId="63" fillId="0" borderId="439" xfId="0" applyNumberFormat="1" applyFont="1" applyBorder="1" applyAlignment="1" applyProtection="1">
      <alignment horizontal="center" shrinkToFit="1"/>
      <protection hidden="1"/>
    </xf>
    <xf numFmtId="182" fontId="63" fillId="0" borderId="440" xfId="0" applyNumberFormat="1" applyFont="1" applyBorder="1" applyAlignment="1" applyProtection="1">
      <alignment horizontal="center" shrinkToFit="1"/>
      <protection hidden="1"/>
    </xf>
    <xf numFmtId="166" fontId="67" fillId="0" borderId="0" xfId="0" applyFont="1"/>
    <xf numFmtId="166" fontId="67" fillId="0" borderId="0" xfId="0" applyFont="1" applyProtection="1">
      <protection hidden="1"/>
    </xf>
    <xf numFmtId="174" fontId="63" fillId="0" borderId="0" xfId="5" applyNumberFormat="1" applyFont="1" applyAlignment="1" applyProtection="1">
      <alignment horizontal="center" vertical="center" shrinkToFit="1"/>
      <protection hidden="1"/>
    </xf>
    <xf numFmtId="170" fontId="38" fillId="0" borderId="265" xfId="0" applyNumberFormat="1" applyFont="1" applyBorder="1" applyAlignment="1">
      <alignment horizontal="center" shrinkToFit="1"/>
    </xf>
    <xf numFmtId="170" fontId="38" fillId="8" borderId="259" xfId="0" applyNumberFormat="1" applyFont="1" applyFill="1" applyBorder="1" applyAlignment="1" applyProtection="1">
      <alignment horizontal="center" shrinkToFit="1"/>
      <protection locked="0"/>
    </xf>
    <xf numFmtId="169" fontId="38" fillId="0" borderId="173" xfId="0" applyNumberFormat="1" applyFont="1" applyBorder="1" applyAlignment="1">
      <alignment horizontal="center" shrinkToFit="1"/>
    </xf>
    <xf numFmtId="169" fontId="38" fillId="15" borderId="175" xfId="0" applyNumberFormat="1" applyFont="1" applyFill="1" applyBorder="1" applyAlignment="1" applyProtection="1">
      <alignment horizontal="center" shrinkToFit="1"/>
      <protection locked="0"/>
    </xf>
    <xf numFmtId="204" fontId="42" fillId="13" borderId="586" xfId="3" applyNumberFormat="1" applyFont="1" applyFill="1" applyBorder="1" applyAlignment="1" applyProtection="1">
      <alignment horizontal="center" vertical="center" shrinkToFit="1"/>
      <protection hidden="1"/>
    </xf>
    <xf numFmtId="204" fontId="42" fillId="13" borderId="587" xfId="3" applyNumberFormat="1" applyFont="1" applyFill="1" applyBorder="1" applyAlignment="1" applyProtection="1">
      <alignment horizontal="center" vertical="center" shrinkToFit="1"/>
      <protection hidden="1"/>
    </xf>
    <xf numFmtId="210" fontId="38" fillId="0" borderId="591" xfId="0" applyNumberFormat="1" applyFont="1" applyBorder="1" applyAlignment="1">
      <alignment horizontal="center" shrinkToFit="1"/>
    </xf>
    <xf numFmtId="202" fontId="42" fillId="13" borderId="586" xfId="3" applyNumberFormat="1" applyFont="1" applyFill="1" applyBorder="1" applyAlignment="1" applyProtection="1">
      <alignment horizontal="center" vertical="center" shrinkToFit="1"/>
      <protection hidden="1"/>
    </xf>
    <xf numFmtId="202" fontId="42" fillId="13" borderId="587" xfId="3" applyNumberFormat="1" applyFont="1" applyFill="1" applyBorder="1" applyAlignment="1" applyProtection="1">
      <alignment horizontal="center" vertical="center" shrinkToFit="1"/>
      <protection hidden="1"/>
    </xf>
    <xf numFmtId="210" fontId="38" fillId="8" borderId="592" xfId="0" applyNumberFormat="1" applyFont="1" applyFill="1" applyBorder="1" applyAlignment="1" applyProtection="1">
      <alignment horizontal="center" shrinkToFit="1"/>
      <protection locked="0"/>
    </xf>
    <xf numFmtId="226" fontId="42" fillId="13" borderId="586" xfId="3" applyNumberFormat="1" applyFont="1" applyFill="1" applyBorder="1" applyAlignment="1" applyProtection="1">
      <alignment horizontal="center" vertical="center" shrinkToFit="1"/>
      <protection hidden="1"/>
    </xf>
    <xf numFmtId="226" fontId="42" fillId="13" borderId="587" xfId="3" applyNumberFormat="1" applyFont="1" applyFill="1" applyBorder="1" applyAlignment="1" applyProtection="1">
      <alignment horizontal="center" vertical="center" shrinkToFit="1"/>
      <protection hidden="1"/>
    </xf>
    <xf numFmtId="0" fontId="38" fillId="0" borderId="169" xfId="0" applyNumberFormat="1" applyFont="1" applyBorder="1"/>
    <xf numFmtId="0" fontId="47" fillId="0" borderId="169" xfId="0" applyNumberFormat="1" applyFont="1" applyBorder="1"/>
    <xf numFmtId="0" fontId="38" fillId="0" borderId="169" xfId="0" applyNumberFormat="1" applyFont="1" applyBorder="1" applyAlignment="1">
      <alignment horizontal="center"/>
    </xf>
    <xf numFmtId="0" fontId="81" fillId="0" borderId="0" xfId="5" applyFont="1" applyAlignment="1" applyProtection="1">
      <alignment horizontal="right" vertical="center"/>
      <protection hidden="1"/>
    </xf>
    <xf numFmtId="166" fontId="86" fillId="0" borderId="0" xfId="0" applyFont="1"/>
    <xf numFmtId="0" fontId="87" fillId="0" borderId="0" xfId="5" applyFont="1" applyProtection="1">
      <protection hidden="1"/>
    </xf>
    <xf numFmtId="166" fontId="87" fillId="0" borderId="0" xfId="0" applyFont="1"/>
    <xf numFmtId="217" fontId="90" fillId="0" borderId="0" xfId="5" applyNumberFormat="1" applyFont="1" applyAlignment="1" applyProtection="1">
      <alignment horizontal="right" vertical="center"/>
      <protection locked="0" hidden="1"/>
    </xf>
    <xf numFmtId="166" fontId="93" fillId="20" borderId="547" xfId="0" applyFont="1" applyFill="1" applyBorder="1" applyAlignment="1" applyProtection="1">
      <alignment horizontal="center" vertical="center" wrapText="1"/>
      <protection hidden="1"/>
    </xf>
    <xf numFmtId="166" fontId="94" fillId="20" borderId="319" xfId="0" applyFont="1" applyFill="1" applyBorder="1" applyAlignment="1" applyProtection="1">
      <alignment horizontal="center" vertical="center" wrapText="1"/>
      <protection hidden="1"/>
    </xf>
    <xf numFmtId="166" fontId="94" fillId="20" borderId="311" xfId="0" applyFont="1" applyFill="1" applyBorder="1" applyAlignment="1" applyProtection="1">
      <alignment horizontal="center" vertical="center" wrapText="1"/>
      <protection hidden="1"/>
    </xf>
    <xf numFmtId="166" fontId="94" fillId="20" borderId="312" xfId="0" applyFont="1" applyFill="1" applyBorder="1" applyAlignment="1" applyProtection="1">
      <alignment horizontal="center" vertical="center" wrapText="1"/>
      <protection hidden="1"/>
    </xf>
    <xf numFmtId="0" fontId="95" fillId="24" borderId="320" xfId="5" applyFont="1" applyFill="1" applyBorder="1" applyAlignment="1" applyProtection="1">
      <alignment horizontal="center" vertical="center" wrapText="1" shrinkToFit="1"/>
      <protection hidden="1"/>
    </xf>
    <xf numFmtId="166" fontId="93" fillId="20" borderId="318" xfId="0" applyFont="1" applyFill="1" applyBorder="1" applyAlignment="1" applyProtection="1">
      <alignment horizontal="center" vertical="center" wrapText="1"/>
      <protection hidden="1"/>
    </xf>
    <xf numFmtId="0" fontId="87" fillId="0" borderId="445" xfId="5" applyFont="1" applyBorder="1" applyAlignment="1" applyProtection="1">
      <alignment horizontal="center" vertical="center" wrapText="1" shrinkToFit="1"/>
      <protection hidden="1"/>
    </xf>
    <xf numFmtId="0" fontId="87" fillId="0" borderId="413" xfId="5" applyFont="1" applyBorder="1" applyAlignment="1" applyProtection="1">
      <alignment horizontal="center" vertical="center" wrapText="1" shrinkToFit="1"/>
      <protection hidden="1"/>
    </xf>
    <xf numFmtId="0" fontId="87" fillId="0" borderId="446" xfId="5" applyFont="1" applyBorder="1" applyAlignment="1" applyProtection="1">
      <alignment horizontal="center" vertical="center" wrapText="1" shrinkToFit="1"/>
      <protection hidden="1"/>
    </xf>
    <xf numFmtId="0" fontId="87" fillId="0" borderId="447" xfId="5" applyFont="1" applyBorder="1" applyAlignment="1" applyProtection="1">
      <alignment horizontal="center" vertical="center" wrapText="1" shrinkToFit="1"/>
      <protection hidden="1"/>
    </xf>
    <xf numFmtId="0" fontId="87" fillId="0" borderId="446" xfId="5" applyFont="1" applyBorder="1" applyAlignment="1" applyProtection="1">
      <alignment horizontal="center" vertical="center" shrinkToFit="1"/>
      <protection hidden="1"/>
    </xf>
    <xf numFmtId="0" fontId="98" fillId="0" borderId="449" xfId="5" applyFont="1" applyBorder="1" applyAlignment="1" applyProtection="1">
      <alignment vertical="center" shrinkToFit="1"/>
      <protection hidden="1"/>
    </xf>
    <xf numFmtId="220" fontId="81" fillId="7" borderId="450" xfId="5" applyNumberFormat="1" applyFont="1" applyFill="1" applyBorder="1" applyAlignment="1" applyProtection="1">
      <alignment horizontal="center" vertical="center" shrinkToFit="1"/>
      <protection locked="0"/>
    </xf>
    <xf numFmtId="220" fontId="81" fillId="0" borderId="451" xfId="5" applyNumberFormat="1" applyFont="1" applyBorder="1" applyAlignment="1" applyProtection="1">
      <alignment horizontal="center" vertical="center" shrinkToFit="1"/>
      <protection hidden="1"/>
    </xf>
    <xf numFmtId="8" fontId="99" fillId="0" borderId="452" xfId="2" applyFont="1" applyBorder="1" applyAlignment="1" applyProtection="1">
      <alignment horizontal="center" vertical="center" shrinkToFit="1"/>
      <protection hidden="1"/>
    </xf>
    <xf numFmtId="178" fontId="100" fillId="24" borderId="453" xfId="5" applyNumberFormat="1" applyFont="1" applyFill="1" applyBorder="1" applyAlignment="1" applyProtection="1">
      <alignment horizontal="center" vertical="center" shrinkToFit="1"/>
      <protection hidden="1"/>
    </xf>
    <xf numFmtId="0" fontId="98" fillId="0" borderId="454" xfId="5" applyFont="1" applyBorder="1" applyAlignment="1" applyProtection="1">
      <alignment vertical="center" shrinkToFit="1"/>
      <protection locked="0" hidden="1"/>
    </xf>
    <xf numFmtId="219" fontId="81" fillId="0" borderId="451" xfId="5" applyNumberFormat="1" applyFont="1" applyBorder="1" applyAlignment="1" applyProtection="1">
      <alignment horizontal="center" vertical="center" shrinkToFit="1"/>
      <protection hidden="1"/>
    </xf>
    <xf numFmtId="0" fontId="101" fillId="0" borderId="455" xfId="5" applyFont="1" applyBorder="1" applyAlignment="1" applyProtection="1">
      <alignment horizontal="center" vertical="center" shrinkToFit="1"/>
      <protection hidden="1"/>
    </xf>
    <xf numFmtId="222" fontId="102" fillId="7" borderId="456" xfId="5" applyNumberFormat="1" applyFont="1" applyFill="1" applyBorder="1" applyAlignment="1" applyProtection="1">
      <alignment horizontal="center" shrinkToFit="1"/>
      <protection locked="0"/>
    </xf>
    <xf numFmtId="178" fontId="101" fillId="0" borderId="457" xfId="5" applyNumberFormat="1" applyFont="1" applyBorder="1" applyAlignment="1" applyProtection="1">
      <alignment horizontal="center" shrinkToFit="1"/>
      <protection hidden="1"/>
    </xf>
    <xf numFmtId="178" fontId="101" fillId="0" borderId="458" xfId="5" applyNumberFormat="1" applyFont="1" applyBorder="1" applyAlignment="1" applyProtection="1">
      <alignment horizontal="center" vertical="center" shrinkToFit="1"/>
      <protection hidden="1"/>
    </xf>
    <xf numFmtId="178" fontId="101" fillId="0" borderId="506" xfId="5" applyNumberFormat="1" applyFont="1" applyBorder="1" applyAlignment="1" applyProtection="1">
      <alignment horizontal="center" vertical="center" shrinkToFit="1"/>
      <protection hidden="1"/>
    </xf>
    <xf numFmtId="222" fontId="103" fillId="0" borderId="507" xfId="5" applyNumberFormat="1" applyFont="1" applyBorder="1" applyAlignment="1" applyProtection="1">
      <alignment horizontal="center" vertical="center" shrinkToFit="1"/>
      <protection hidden="1"/>
    </xf>
    <xf numFmtId="174" fontId="101" fillId="0" borderId="508" xfId="5" applyNumberFormat="1" applyFont="1" applyBorder="1" applyAlignment="1" applyProtection="1">
      <alignment horizontal="center" shrinkToFit="1"/>
      <protection hidden="1"/>
    </xf>
    <xf numFmtId="0" fontId="98" fillId="0" borderId="441" xfId="5" applyFont="1" applyBorder="1" applyAlignment="1" applyProtection="1">
      <alignment vertical="center" shrinkToFit="1"/>
      <protection hidden="1"/>
    </xf>
    <xf numFmtId="216" fontId="81" fillId="0" borderId="314" xfId="5" applyNumberFormat="1" applyFont="1" applyBorder="1" applyAlignment="1" applyProtection="1">
      <alignment horizontal="center" vertical="center" shrinkToFit="1"/>
      <protection hidden="1"/>
    </xf>
    <xf numFmtId="198" fontId="81" fillId="0" borderId="315" xfId="5" applyNumberFormat="1" applyFont="1" applyBorder="1" applyAlignment="1" applyProtection="1">
      <alignment horizontal="center" vertical="center" shrinkToFit="1"/>
      <protection hidden="1"/>
    </xf>
    <xf numFmtId="8" fontId="99" fillId="0" borderId="97" xfId="2" applyFont="1" applyBorder="1" applyAlignment="1" applyProtection="1">
      <alignment horizontal="center" vertical="center" shrinkToFit="1"/>
      <protection hidden="1"/>
    </xf>
    <xf numFmtId="178" fontId="100" fillId="24" borderId="316" xfId="5" applyNumberFormat="1" applyFont="1" applyFill="1" applyBorder="1" applyAlignment="1" applyProtection="1">
      <alignment horizontal="center" vertical="center" shrinkToFit="1"/>
      <protection hidden="1"/>
    </xf>
    <xf numFmtId="0" fontId="98" fillId="0" borderId="313" xfId="5" applyFont="1" applyBorder="1" applyAlignment="1" applyProtection="1">
      <alignment vertical="center" shrinkToFit="1"/>
      <protection hidden="1"/>
    </xf>
    <xf numFmtId="197" fontId="81" fillId="7" borderId="314" xfId="5" applyNumberFormat="1" applyFont="1" applyFill="1" applyBorder="1" applyAlignment="1" applyProtection="1">
      <alignment horizontal="center" vertical="center" shrinkToFit="1"/>
      <protection locked="0"/>
    </xf>
    <xf numFmtId="220" fontId="81" fillId="0" borderId="315" xfId="5" applyNumberFormat="1" applyFont="1" applyBorder="1" applyAlignment="1" applyProtection="1">
      <alignment horizontal="center" vertical="center" shrinkToFit="1"/>
      <protection hidden="1"/>
    </xf>
    <xf numFmtId="0" fontId="98" fillId="0" borderId="313" xfId="5" applyFont="1" applyBorder="1" applyAlignment="1" applyProtection="1">
      <alignment vertical="center" shrinkToFit="1"/>
      <protection locked="0" hidden="1"/>
    </xf>
    <xf numFmtId="197" fontId="81" fillId="7" borderId="317" xfId="5" applyNumberFormat="1" applyFont="1" applyFill="1" applyBorder="1" applyAlignment="1" applyProtection="1">
      <alignment horizontal="center" vertical="center" shrinkToFit="1"/>
      <protection locked="0"/>
    </xf>
    <xf numFmtId="219" fontId="81" fillId="0" borderId="315" xfId="5" applyNumberFormat="1" applyFont="1" applyBorder="1" applyAlignment="1" applyProtection="1">
      <alignment horizontal="center" vertical="center" shrinkToFit="1"/>
      <protection hidden="1"/>
    </xf>
    <xf numFmtId="0" fontId="101" fillId="0" borderId="323" xfId="5" applyFont="1" applyBorder="1" applyAlignment="1" applyProtection="1">
      <alignment horizontal="center" vertical="center" shrinkToFit="1"/>
      <protection hidden="1"/>
    </xf>
    <xf numFmtId="222" fontId="102" fillId="7" borderId="2" xfId="5" applyNumberFormat="1" applyFont="1" applyFill="1" applyBorder="1" applyAlignment="1" applyProtection="1">
      <alignment horizontal="center" shrinkToFit="1"/>
      <protection locked="0"/>
    </xf>
    <xf numFmtId="178" fontId="101" fillId="0" borderId="322" xfId="5" applyNumberFormat="1" applyFont="1" applyBorder="1" applyAlignment="1" applyProtection="1">
      <alignment horizontal="center" shrinkToFit="1"/>
      <protection hidden="1"/>
    </xf>
    <xf numFmtId="178" fontId="101" fillId="0" borderId="321" xfId="5" applyNumberFormat="1" applyFont="1" applyBorder="1" applyAlignment="1" applyProtection="1">
      <alignment horizontal="center" vertical="center" shrinkToFit="1"/>
      <protection hidden="1"/>
    </xf>
    <xf numFmtId="178" fontId="101" fillId="0" borderId="503" xfId="5" applyNumberFormat="1" applyFont="1" applyBorder="1" applyAlignment="1" applyProtection="1">
      <alignment horizontal="center" vertical="center" shrinkToFit="1"/>
      <protection hidden="1"/>
    </xf>
    <xf numFmtId="222" fontId="103" fillId="0" borderId="509" xfId="5" applyNumberFormat="1" applyFont="1" applyBorder="1" applyAlignment="1" applyProtection="1">
      <alignment horizontal="center" vertical="center" shrinkToFit="1"/>
      <protection hidden="1"/>
    </xf>
    <xf numFmtId="174" fontId="101" fillId="0" borderId="504" xfId="5" applyNumberFormat="1" applyFont="1" applyBorder="1" applyAlignment="1" applyProtection="1">
      <alignment horizontal="center" shrinkToFit="1"/>
      <protection hidden="1"/>
    </xf>
    <xf numFmtId="208" fontId="87" fillId="0" borderId="554" xfId="5" applyNumberFormat="1" applyFont="1" applyBorder="1" applyAlignment="1" applyProtection="1">
      <alignment horizontal="center" shrinkToFit="1"/>
      <protection hidden="1"/>
    </xf>
    <xf numFmtId="218" fontId="98" fillId="0" borderId="441" xfId="5" applyNumberFormat="1" applyFont="1" applyBorder="1" applyAlignment="1" applyProtection="1">
      <alignment horizontal="left" vertical="center" shrinkToFit="1"/>
      <protection hidden="1"/>
    </xf>
    <xf numFmtId="221" fontId="81" fillId="7" borderId="314" xfId="5" applyNumberFormat="1" applyFont="1" applyFill="1" applyBorder="1" applyAlignment="1" applyProtection="1">
      <alignment horizontal="center" vertical="center" shrinkToFit="1"/>
      <protection locked="0"/>
    </xf>
    <xf numFmtId="197" fontId="81" fillId="7" borderId="317" xfId="5" applyNumberFormat="1" applyFont="1" applyFill="1" applyBorder="1" applyAlignment="1" applyProtection="1">
      <alignment horizontal="center" vertical="center" shrinkToFit="1"/>
      <protection locked="0" hidden="1"/>
    </xf>
    <xf numFmtId="178" fontId="101" fillId="0" borderId="510" xfId="5" applyNumberFormat="1" applyFont="1" applyBorder="1" applyAlignment="1" applyProtection="1">
      <alignment horizontal="center" vertical="center" shrinkToFit="1"/>
      <protection hidden="1"/>
    </xf>
    <xf numFmtId="0" fontId="98" fillId="0" borderId="441" xfId="5" applyFont="1" applyBorder="1" applyAlignment="1" applyProtection="1">
      <alignment vertical="center" shrinkToFit="1"/>
      <protection locked="0" hidden="1"/>
    </xf>
    <xf numFmtId="219" fontId="81" fillId="6" borderId="315" xfId="5" applyNumberFormat="1" applyFont="1" applyFill="1" applyBorder="1" applyAlignment="1" applyProtection="1">
      <alignment horizontal="center" vertical="center" shrinkToFit="1"/>
      <protection locked="0"/>
    </xf>
    <xf numFmtId="0" fontId="101" fillId="0" borderId="500" xfId="5" applyFont="1" applyBorder="1" applyAlignment="1" applyProtection="1">
      <alignment horizontal="center" vertical="center" shrinkToFit="1"/>
      <protection hidden="1"/>
    </xf>
    <xf numFmtId="222" fontId="102" fillId="7" borderId="501" xfId="5" applyNumberFormat="1" applyFont="1" applyFill="1" applyBorder="1" applyAlignment="1" applyProtection="1">
      <alignment horizontal="center" shrinkToFit="1"/>
      <protection locked="0"/>
    </xf>
    <xf numFmtId="178" fontId="101" fillId="0" borderId="502" xfId="5" applyNumberFormat="1" applyFont="1" applyBorder="1" applyAlignment="1" applyProtection="1">
      <alignment horizontal="center" shrinkToFit="1"/>
      <protection hidden="1"/>
    </xf>
    <xf numFmtId="0" fontId="101" fillId="0" borderId="447" xfId="5" applyFont="1" applyBorder="1" applyAlignment="1" applyProtection="1">
      <alignment horizontal="center" vertical="center" shrinkToFit="1"/>
      <protection hidden="1"/>
    </xf>
    <xf numFmtId="222" fontId="103" fillId="7" borderId="309" xfId="5" applyNumberFormat="1" applyFont="1" applyFill="1" applyBorder="1" applyAlignment="1" applyProtection="1">
      <alignment horizontal="center" vertical="center" shrinkToFit="1"/>
      <protection locked="0" hidden="1"/>
    </xf>
    <xf numFmtId="174" fontId="101" fillId="0" borderId="413" xfId="5" applyNumberFormat="1" applyFont="1" applyBorder="1" applyAlignment="1" applyProtection="1">
      <alignment horizontal="center" shrinkToFit="1"/>
      <protection hidden="1"/>
    </xf>
    <xf numFmtId="218" fontId="98" fillId="0" borderId="313" xfId="5" applyNumberFormat="1" applyFont="1" applyBorder="1" applyAlignment="1" applyProtection="1">
      <alignment horizontal="left" vertical="center" shrinkToFit="1"/>
      <protection locked="0" hidden="1"/>
    </xf>
    <xf numFmtId="222" fontId="102" fillId="7" borderId="504" xfId="5" applyNumberFormat="1" applyFont="1" applyFill="1" applyBorder="1" applyAlignment="1" applyProtection="1">
      <alignment horizontal="center" shrinkToFit="1"/>
      <protection locked="0"/>
    </xf>
    <xf numFmtId="178" fontId="101" fillId="0" borderId="505" xfId="5" applyNumberFormat="1" applyFont="1" applyBorder="1" applyAlignment="1" applyProtection="1">
      <alignment horizontal="center" shrinkToFit="1"/>
      <protection hidden="1"/>
    </xf>
    <xf numFmtId="0" fontId="101" fillId="0" borderId="513" xfId="5" applyFont="1" applyBorder="1" applyAlignment="1" applyProtection="1">
      <alignment horizontal="center" vertical="center" shrinkToFit="1"/>
      <protection hidden="1"/>
    </xf>
    <xf numFmtId="222" fontId="103" fillId="0" borderId="514" xfId="5" applyNumberFormat="1" applyFont="1" applyBorder="1" applyAlignment="1" applyProtection="1">
      <alignment horizontal="center" vertical="center" shrinkToFit="1"/>
      <protection hidden="1"/>
    </xf>
    <xf numFmtId="174" fontId="101" fillId="0" borderId="515" xfId="5" applyNumberFormat="1" applyFont="1" applyBorder="1" applyAlignment="1" applyProtection="1">
      <alignment horizontal="center" shrinkToFit="1"/>
      <protection hidden="1"/>
    </xf>
    <xf numFmtId="220" fontId="81" fillId="7" borderId="314" xfId="5" applyNumberFormat="1" applyFont="1" applyFill="1" applyBorder="1" applyAlignment="1" applyProtection="1">
      <alignment horizontal="center" vertical="center" shrinkToFit="1"/>
      <protection locked="0"/>
    </xf>
    <xf numFmtId="178" fontId="101" fillId="0" borderId="322" xfId="5" applyNumberFormat="1" applyFont="1" applyBorder="1" applyAlignment="1" applyProtection="1">
      <alignment horizontal="center" vertical="center" shrinkToFit="1"/>
      <protection hidden="1"/>
    </xf>
    <xf numFmtId="0" fontId="98" fillId="0" borderId="491" xfId="5" applyFont="1" applyBorder="1" applyAlignment="1" applyProtection="1">
      <alignment vertical="center" shrinkToFit="1"/>
      <protection hidden="1"/>
    </xf>
    <xf numFmtId="197" fontId="81" fillId="7" borderId="492" xfId="5" applyNumberFormat="1" applyFont="1" applyFill="1" applyBorder="1" applyAlignment="1" applyProtection="1">
      <alignment horizontal="center" vertical="center" shrinkToFit="1"/>
      <protection locked="0"/>
    </xf>
    <xf numFmtId="220" fontId="81" fillId="0" borderId="461" xfId="5" applyNumberFormat="1" applyFont="1" applyBorder="1" applyAlignment="1" applyProtection="1">
      <alignment horizontal="center" vertical="center" shrinkToFit="1"/>
      <protection hidden="1"/>
    </xf>
    <xf numFmtId="8" fontId="99" fillId="0" borderId="489" xfId="2" applyFont="1" applyBorder="1" applyAlignment="1" applyProtection="1">
      <alignment horizontal="center" vertical="center" shrinkToFit="1"/>
      <protection hidden="1"/>
    </xf>
    <xf numFmtId="178" fontId="100" fillId="24" borderId="493" xfId="5" applyNumberFormat="1" applyFont="1" applyFill="1" applyBorder="1" applyAlignment="1" applyProtection="1">
      <alignment horizontal="center" vertical="center" shrinkToFit="1"/>
      <protection hidden="1"/>
    </xf>
    <xf numFmtId="0" fontId="98" fillId="0" borderId="494" xfId="5" applyFont="1" applyBorder="1" applyAlignment="1" applyProtection="1">
      <alignment vertical="center" shrinkToFit="1"/>
      <protection locked="0" hidden="1"/>
    </xf>
    <xf numFmtId="197" fontId="81" fillId="7" borderId="492" xfId="5" applyNumberFormat="1" applyFont="1" applyFill="1" applyBorder="1" applyAlignment="1" applyProtection="1">
      <alignment horizontal="center" vertical="center" shrinkToFit="1"/>
      <protection locked="0" hidden="1"/>
    </xf>
    <xf numFmtId="219" fontId="81" fillId="0" borderId="461" xfId="5" applyNumberFormat="1" applyFont="1" applyBorder="1" applyAlignment="1" applyProtection="1">
      <alignment horizontal="center" vertical="center" shrinkToFit="1"/>
      <protection hidden="1"/>
    </xf>
    <xf numFmtId="219" fontId="81" fillId="17" borderId="461" xfId="5" applyNumberFormat="1" applyFont="1" applyFill="1" applyBorder="1" applyAlignment="1" applyProtection="1">
      <alignment horizontal="center" vertical="center" shrinkToFit="1"/>
      <protection hidden="1"/>
    </xf>
    <xf numFmtId="8" fontId="99" fillId="17" borderId="489" xfId="2" applyFont="1" applyFill="1" applyBorder="1" applyAlignment="1" applyProtection="1">
      <alignment horizontal="center" vertical="center" shrinkToFit="1"/>
      <protection hidden="1"/>
    </xf>
    <xf numFmtId="0" fontId="101" fillId="0" borderId="497" xfId="5" applyFont="1" applyBorder="1" applyAlignment="1" applyProtection="1">
      <alignment horizontal="center" vertical="center" shrinkToFit="1"/>
      <protection hidden="1"/>
    </xf>
    <xf numFmtId="222" fontId="102" fillId="7" borderId="145" xfId="5" applyNumberFormat="1" applyFont="1" applyFill="1" applyBorder="1" applyAlignment="1" applyProtection="1">
      <alignment horizontal="center" shrinkToFit="1"/>
      <protection locked="0"/>
    </xf>
    <xf numFmtId="178" fontId="101" fillId="0" borderId="498" xfId="5" applyNumberFormat="1" applyFont="1" applyBorder="1" applyAlignment="1" applyProtection="1">
      <alignment horizontal="center" shrinkToFit="1"/>
      <protection hidden="1"/>
    </xf>
    <xf numFmtId="178" fontId="101" fillId="0" borderId="499" xfId="5" applyNumberFormat="1" applyFont="1" applyBorder="1" applyAlignment="1" applyProtection="1">
      <alignment horizontal="center" vertical="center" shrinkToFit="1"/>
      <protection hidden="1"/>
    </xf>
    <xf numFmtId="166" fontId="98" fillId="0" borderId="449" xfId="5" applyNumberFormat="1" applyFont="1" applyBorder="1" applyAlignment="1" applyProtection="1">
      <alignment horizontal="left" vertical="center" shrinkToFit="1"/>
      <protection hidden="1"/>
    </xf>
    <xf numFmtId="166" fontId="98" fillId="0" borderId="454" xfId="5" applyNumberFormat="1" applyFont="1" applyBorder="1" applyAlignment="1" applyProtection="1">
      <alignment horizontal="left" vertical="center" shrinkToFit="1"/>
      <protection hidden="1"/>
    </xf>
    <xf numFmtId="220" fontId="81" fillId="7" borderId="450" xfId="5" applyNumberFormat="1" applyFont="1" applyFill="1" applyBorder="1" applyAlignment="1" applyProtection="1">
      <alignment horizontal="center" vertical="center" shrinkToFit="1"/>
      <protection locked="0" hidden="1"/>
    </xf>
    <xf numFmtId="0" fontId="98" fillId="0" borderId="454" xfId="5" applyFont="1" applyBorder="1" applyAlignment="1" applyProtection="1">
      <alignment horizontal="left" vertical="center" shrinkToFit="1"/>
      <protection hidden="1"/>
    </xf>
    <xf numFmtId="208" fontId="87" fillId="0" borderId="552" xfId="5" applyNumberFormat="1" applyFont="1" applyBorder="1" applyAlignment="1" applyProtection="1">
      <alignment horizontal="center" shrinkToFit="1"/>
      <protection hidden="1"/>
    </xf>
    <xf numFmtId="0" fontId="98" fillId="0" borderId="441" xfId="5" applyFont="1" applyBorder="1" applyAlignment="1" applyProtection="1">
      <alignment horizontal="left" vertical="center" shrinkToFit="1"/>
      <protection hidden="1"/>
    </xf>
    <xf numFmtId="0" fontId="98" fillId="0" borderId="313" xfId="5" applyFont="1" applyBorder="1" applyAlignment="1" applyProtection="1">
      <alignment horizontal="left" vertical="center" shrinkToFit="1"/>
      <protection hidden="1"/>
    </xf>
    <xf numFmtId="197" fontId="81" fillId="7" borderId="314" xfId="5" applyNumberFormat="1" applyFont="1" applyFill="1" applyBorder="1" applyAlignment="1" applyProtection="1">
      <alignment horizontal="center" vertical="center" shrinkToFit="1"/>
      <protection locked="0" hidden="1"/>
    </xf>
    <xf numFmtId="218" fontId="98" fillId="0" borderId="313" xfId="5" applyNumberFormat="1" applyFont="1" applyBorder="1" applyAlignment="1" applyProtection="1">
      <alignment horizontal="left" vertical="center" shrinkToFit="1"/>
      <protection hidden="1"/>
    </xf>
    <xf numFmtId="222" fontId="103" fillId="7" borderId="309" xfId="5" applyNumberFormat="1" applyFont="1" applyFill="1" applyBorder="1" applyAlignment="1" applyProtection="1">
      <alignment horizontal="center" vertical="center" shrinkToFit="1"/>
      <protection locked="0"/>
    </xf>
    <xf numFmtId="220" fontId="81" fillId="7" borderId="314" xfId="5" applyNumberFormat="1" applyFont="1" applyFill="1" applyBorder="1" applyAlignment="1" applyProtection="1">
      <alignment horizontal="center" vertical="center" shrinkToFit="1"/>
      <protection locked="0" hidden="1"/>
    </xf>
    <xf numFmtId="0" fontId="98" fillId="0" borderId="459" xfId="5" applyFont="1" applyBorder="1" applyAlignment="1" applyProtection="1">
      <alignment horizontal="left" vertical="center" shrinkToFit="1"/>
      <protection hidden="1"/>
    </xf>
    <xf numFmtId="197" fontId="81" fillId="7" borderId="460" xfId="5" applyNumberFormat="1" applyFont="1" applyFill="1" applyBorder="1" applyAlignment="1" applyProtection="1">
      <alignment horizontal="center" vertical="center" shrinkToFit="1"/>
      <protection locked="0" hidden="1"/>
    </xf>
    <xf numFmtId="8" fontId="99" fillId="0" borderId="462" xfId="2" applyFont="1" applyBorder="1" applyAlignment="1" applyProtection="1">
      <alignment horizontal="center" vertical="center" shrinkToFit="1"/>
      <protection hidden="1"/>
    </xf>
    <xf numFmtId="178" fontId="100" fillId="24" borderId="463" xfId="5" applyNumberFormat="1" applyFont="1" applyFill="1" applyBorder="1" applyAlignment="1" applyProtection="1">
      <alignment horizontal="center" vertical="center" shrinkToFit="1"/>
      <protection hidden="1"/>
    </xf>
    <xf numFmtId="0" fontId="98" fillId="0" borderId="464" xfId="5" applyFont="1" applyBorder="1" applyAlignment="1" applyProtection="1">
      <alignment horizontal="left" vertical="center" shrinkToFit="1"/>
      <protection hidden="1"/>
    </xf>
    <xf numFmtId="8" fontId="99" fillId="17" borderId="462" xfId="2" applyFont="1" applyFill="1" applyBorder="1" applyAlignment="1" applyProtection="1">
      <alignment horizontal="center" vertical="center" shrinkToFit="1"/>
      <protection hidden="1"/>
    </xf>
    <xf numFmtId="0" fontId="101" fillId="0" borderId="467" xfId="5" applyFont="1" applyBorder="1" applyAlignment="1" applyProtection="1">
      <alignment horizontal="center" vertical="center" shrinkToFit="1"/>
      <protection hidden="1"/>
    </xf>
    <xf numFmtId="178" fontId="101" fillId="0" borderId="468" xfId="5" applyNumberFormat="1" applyFont="1" applyBorder="1" applyAlignment="1" applyProtection="1">
      <alignment horizontal="center" shrinkToFit="1"/>
      <protection hidden="1"/>
    </xf>
    <xf numFmtId="178" fontId="101" fillId="0" borderId="469" xfId="5" applyNumberFormat="1" applyFont="1" applyBorder="1" applyAlignment="1" applyProtection="1">
      <alignment horizontal="center" vertical="center" shrinkToFit="1"/>
      <protection hidden="1"/>
    </xf>
    <xf numFmtId="0" fontId="87" fillId="0" borderId="0" xfId="5" applyFont="1" applyAlignment="1" applyProtection="1">
      <alignment vertical="center"/>
      <protection hidden="1"/>
    </xf>
    <xf numFmtId="0" fontId="85" fillId="0" borderId="522" xfId="5" applyFont="1" applyBorder="1" applyAlignment="1" applyProtection="1">
      <alignment horizontal="right" vertical="center"/>
      <protection hidden="1"/>
    </xf>
    <xf numFmtId="179" fontId="85" fillId="0" borderId="523" xfId="5" applyNumberFormat="1" applyFont="1" applyBorder="1" applyAlignment="1" applyProtection="1">
      <alignment horizontal="center" vertical="center" shrinkToFit="1"/>
      <protection hidden="1"/>
    </xf>
    <xf numFmtId="206" fontId="103" fillId="0" borderId="511" xfId="5" applyNumberFormat="1" applyFont="1" applyBorder="1" applyAlignment="1" applyProtection="1">
      <alignment horizontal="center" vertical="center" shrinkToFit="1"/>
      <protection hidden="1"/>
    </xf>
    <xf numFmtId="216" fontId="36" fillId="0" borderId="596" xfId="5" applyNumberFormat="1" applyFont="1" applyBorder="1" applyAlignment="1" applyProtection="1">
      <alignment horizontal="center" vertical="center" shrinkToFit="1"/>
      <protection hidden="1"/>
    </xf>
    <xf numFmtId="198" fontId="36" fillId="0" borderId="315" xfId="5" applyNumberFormat="1" applyFont="1" applyBorder="1" applyAlignment="1" applyProtection="1">
      <alignment horizontal="center" vertical="center" shrinkToFit="1"/>
      <protection hidden="1"/>
    </xf>
    <xf numFmtId="8" fontId="7" fillId="0" borderId="97" xfId="2" applyFont="1" applyBorder="1" applyAlignment="1" applyProtection="1">
      <alignment horizontal="center" vertical="center" shrinkToFit="1"/>
      <protection hidden="1"/>
    </xf>
    <xf numFmtId="199" fontId="17" fillId="0" borderId="599" xfId="0" applyNumberFormat="1" applyFont="1" applyBorder="1" applyAlignment="1" applyProtection="1">
      <alignment horizontal="center" vertical="center" shrinkToFit="1"/>
      <protection hidden="1"/>
    </xf>
    <xf numFmtId="173" fontId="13" fillId="0" borderId="604" xfId="0" applyNumberFormat="1" applyFont="1" applyBorder="1" applyAlignment="1" applyProtection="1">
      <alignment horizontal="center" vertical="center" shrinkToFit="1"/>
      <protection hidden="1"/>
    </xf>
    <xf numFmtId="173" fontId="13" fillId="0" borderId="605" xfId="0" applyNumberFormat="1" applyFont="1" applyBorder="1" applyAlignment="1" applyProtection="1">
      <alignment horizontal="center" vertical="center" shrinkToFit="1"/>
      <protection hidden="1"/>
    </xf>
    <xf numFmtId="166" fontId="13" fillId="0" borderId="607" xfId="0" applyFont="1" applyBorder="1"/>
    <xf numFmtId="173" fontId="13" fillId="0" borderId="608" xfId="0" applyNumberFormat="1" applyFont="1" applyBorder="1" applyAlignment="1" applyProtection="1">
      <alignment horizontal="center" vertical="center" shrinkToFit="1"/>
      <protection hidden="1"/>
    </xf>
    <xf numFmtId="173" fontId="13" fillId="0" borderId="609" xfId="0" applyNumberFormat="1" applyFont="1" applyBorder="1" applyAlignment="1" applyProtection="1">
      <alignment horizontal="center" vertical="center" shrinkToFit="1"/>
      <protection hidden="1"/>
    </xf>
    <xf numFmtId="166" fontId="13" fillId="0" borderId="607" xfId="0" applyFont="1" applyBorder="1" applyAlignment="1" applyProtection="1">
      <alignment horizontal="center" vertical="center" wrapText="1"/>
      <protection hidden="1"/>
    </xf>
    <xf numFmtId="166" fontId="18" fillId="0" borderId="615" xfId="0" applyFont="1" applyBorder="1" applyAlignment="1" applyProtection="1">
      <alignment horizontal="center" vertical="center" wrapText="1"/>
      <protection hidden="1"/>
    </xf>
    <xf numFmtId="0" fontId="108" fillId="0" borderId="0" xfId="9" applyFont="1" applyAlignment="1" applyProtection="1">
      <alignment horizontal="center" vertical="center" wrapText="1"/>
      <protection hidden="1"/>
    </xf>
    <xf numFmtId="0" fontId="109" fillId="0" borderId="0" xfId="9" applyFont="1" applyAlignment="1">
      <alignment horizontal="center"/>
    </xf>
    <xf numFmtId="0" fontId="109" fillId="0" borderId="0" xfId="9" applyFont="1"/>
    <xf numFmtId="0" fontId="109" fillId="0" borderId="0" xfId="9" applyFont="1" applyProtection="1">
      <protection hidden="1"/>
    </xf>
    <xf numFmtId="0" fontId="113" fillId="0" borderId="0" xfId="9" applyFont="1" applyAlignment="1" applyProtection="1">
      <alignment shrinkToFit="1"/>
      <protection hidden="1"/>
    </xf>
    <xf numFmtId="166" fontId="109" fillId="0" borderId="0" xfId="0" applyFont="1"/>
    <xf numFmtId="173" fontId="63" fillId="0" borderId="271" xfId="5" applyNumberFormat="1" applyFont="1" applyBorder="1" applyAlignment="1" applyProtection="1">
      <alignment shrinkToFit="1"/>
      <protection hidden="1"/>
    </xf>
    <xf numFmtId="173" fontId="63" fillId="0" borderId="154" xfId="5" applyNumberFormat="1" applyFont="1" applyBorder="1" applyAlignment="1" applyProtection="1">
      <alignment shrinkToFit="1"/>
      <protection hidden="1"/>
    </xf>
    <xf numFmtId="208" fontId="63" fillId="0" borderId="274" xfId="5" applyNumberFormat="1" applyFont="1" applyBorder="1" applyAlignment="1" applyProtection="1">
      <alignment horizontal="center" shrinkToFit="1"/>
      <protection hidden="1"/>
    </xf>
    <xf numFmtId="208" fontId="63" fillId="0" borderId="154" xfId="5" applyNumberFormat="1" applyFont="1" applyBorder="1" applyAlignment="1" applyProtection="1">
      <alignment horizontal="center" shrinkToFit="1"/>
      <protection hidden="1"/>
    </xf>
    <xf numFmtId="181" fontId="63" fillId="0" borderId="270" xfId="5" applyNumberFormat="1" applyFont="1" applyBorder="1" applyAlignment="1" applyProtection="1">
      <alignment shrinkToFit="1"/>
      <protection hidden="1"/>
    </xf>
    <xf numFmtId="197" fontId="63" fillId="0" borderId="374" xfId="5" applyNumberFormat="1" applyFont="1" applyBorder="1" applyAlignment="1" applyProtection="1">
      <alignment shrinkToFit="1"/>
      <protection hidden="1"/>
    </xf>
    <xf numFmtId="0" fontId="63" fillId="0" borderId="375" xfId="5" applyFont="1" applyBorder="1" applyAlignment="1" applyProtection="1">
      <alignment horizontal="left" shrinkToFit="1"/>
      <protection hidden="1"/>
    </xf>
    <xf numFmtId="181" fontId="63" fillId="0" borderId="154" xfId="5" applyNumberFormat="1" applyFont="1" applyBorder="1" applyAlignment="1" applyProtection="1">
      <alignment shrinkToFit="1"/>
      <protection hidden="1"/>
    </xf>
    <xf numFmtId="197" fontId="63" fillId="0" borderId="376" xfId="5" applyNumberFormat="1" applyFont="1" applyBorder="1" applyAlignment="1" applyProtection="1">
      <alignment shrinkToFit="1"/>
      <protection hidden="1"/>
    </xf>
    <xf numFmtId="0" fontId="63" fillId="0" borderId="272" xfId="5" applyFont="1" applyBorder="1" applyAlignment="1" applyProtection="1">
      <alignment horizontal="left" shrinkToFit="1"/>
      <protection hidden="1"/>
    </xf>
    <xf numFmtId="166" fontId="116" fillId="0" borderId="0" xfId="0" applyFont="1" applyProtection="1">
      <protection locked="0" hidden="1"/>
    </xf>
    <xf numFmtId="166" fontId="24" fillId="0" borderId="607" xfId="0" applyFont="1" applyBorder="1"/>
    <xf numFmtId="193" fontId="63" fillId="0" borderId="436" xfId="0" applyNumberFormat="1" applyFont="1" applyBorder="1" applyAlignment="1" applyProtection="1">
      <alignment horizontal="center" shrinkToFit="1"/>
      <protection locked="0" hidden="1"/>
    </xf>
    <xf numFmtId="168" fontId="63" fillId="0" borderId="417" xfId="0" applyNumberFormat="1" applyFont="1" applyBorder="1" applyAlignment="1" applyProtection="1">
      <alignment horizontal="center" shrinkToFit="1"/>
      <protection locked="0" hidden="1"/>
    </xf>
    <xf numFmtId="0" fontId="96" fillId="20" borderId="620" xfId="5" applyFont="1" applyFill="1" applyBorder="1" applyAlignment="1" applyProtection="1">
      <alignment horizontal="center" vertical="center" shrinkToFit="1"/>
      <protection hidden="1"/>
    </xf>
    <xf numFmtId="0" fontId="87" fillId="0" borderId="623" xfId="5" applyFont="1" applyBorder="1" applyAlignment="1" applyProtection="1">
      <alignment horizontal="center" vertical="center" wrapText="1" shrinkToFit="1"/>
      <protection hidden="1"/>
    </xf>
    <xf numFmtId="178" fontId="101" fillId="0" borderId="624" xfId="5" applyNumberFormat="1" applyFont="1" applyBorder="1" applyAlignment="1" applyProtection="1">
      <alignment horizontal="center" shrinkToFit="1"/>
      <protection hidden="1"/>
    </xf>
    <xf numFmtId="0" fontId="101" fillId="0" borderId="625" xfId="5" applyFont="1" applyBorder="1" applyAlignment="1" applyProtection="1">
      <alignment horizontal="center" vertical="center" shrinkToFit="1"/>
      <protection hidden="1"/>
    </xf>
    <xf numFmtId="178" fontId="101" fillId="0" borderId="626" xfId="5" applyNumberFormat="1" applyFont="1" applyBorder="1" applyAlignment="1" applyProtection="1">
      <alignment horizontal="center" shrinkToFit="1"/>
      <protection hidden="1"/>
    </xf>
    <xf numFmtId="178" fontId="101" fillId="0" borderId="627" xfId="5" applyNumberFormat="1" applyFont="1" applyBorder="1" applyAlignment="1" applyProtection="1">
      <alignment horizontal="center" vertical="center" shrinkToFit="1"/>
      <protection hidden="1"/>
    </xf>
    <xf numFmtId="178" fontId="101" fillId="0" borderId="628" xfId="5" applyNumberFormat="1" applyFont="1" applyBorder="1" applyAlignment="1" applyProtection="1">
      <alignment horizontal="center" shrinkToFit="1"/>
      <protection hidden="1"/>
    </xf>
    <xf numFmtId="178" fontId="101" fillId="0" borderId="629" xfId="5" applyNumberFormat="1" applyFont="1" applyBorder="1" applyAlignment="1" applyProtection="1">
      <alignment horizontal="center" shrinkToFit="1"/>
      <protection hidden="1"/>
    </xf>
    <xf numFmtId="178" fontId="101" fillId="0" borderId="476" xfId="5" applyNumberFormat="1" applyFont="1" applyBorder="1" applyAlignment="1" applyProtection="1">
      <alignment horizontal="center" shrinkToFit="1"/>
      <protection hidden="1"/>
    </xf>
    <xf numFmtId="178" fontId="101" fillId="0" borderId="630" xfId="5" applyNumberFormat="1" applyFont="1" applyBorder="1" applyAlignment="1" applyProtection="1">
      <alignment horizontal="center" shrinkToFit="1"/>
      <protection hidden="1"/>
    </xf>
    <xf numFmtId="178" fontId="101" fillId="0" borderId="626" xfId="5" applyNumberFormat="1" applyFont="1" applyBorder="1" applyAlignment="1" applyProtection="1">
      <alignment horizontal="center" vertical="center" shrinkToFit="1"/>
      <protection hidden="1"/>
    </xf>
    <xf numFmtId="222" fontId="102" fillId="7" borderId="633" xfId="5" applyNumberFormat="1" applyFont="1" applyFill="1" applyBorder="1" applyAlignment="1" applyProtection="1">
      <alignment horizontal="center" shrinkToFit="1"/>
      <protection locked="0"/>
    </xf>
    <xf numFmtId="174" fontId="38" fillId="0" borderId="265" xfId="0" applyNumberFormat="1" applyFont="1" applyBorder="1" applyAlignment="1" applyProtection="1">
      <alignment horizontal="center" shrinkToFit="1"/>
      <protection hidden="1"/>
    </xf>
    <xf numFmtId="174" fontId="38" fillId="0" borderId="259" xfId="0" applyNumberFormat="1" applyFont="1" applyBorder="1" applyAlignment="1" applyProtection="1">
      <alignment horizontal="center" shrinkToFit="1"/>
      <protection hidden="1"/>
    </xf>
    <xf numFmtId="168" fontId="38" fillId="0" borderId="265" xfId="0" applyNumberFormat="1" applyFont="1" applyBorder="1" applyAlignment="1">
      <alignment horizontal="center" shrinkToFit="1"/>
    </xf>
    <xf numFmtId="168" fontId="38" fillId="8" borderId="259" xfId="0" applyNumberFormat="1" applyFont="1" applyFill="1" applyBorder="1" applyAlignment="1" applyProtection="1">
      <alignment horizontal="center" shrinkToFit="1"/>
      <protection locked="0"/>
    </xf>
    <xf numFmtId="176" fontId="38" fillId="0" borderId="308" xfId="0" applyNumberFormat="1" applyFont="1" applyBorder="1" applyAlignment="1" applyProtection="1">
      <alignment horizontal="center" shrinkToFit="1"/>
      <protection hidden="1"/>
    </xf>
    <xf numFmtId="176" fontId="38" fillId="0" borderId="271" xfId="0" applyNumberFormat="1" applyFont="1" applyBorder="1" applyAlignment="1" applyProtection="1">
      <alignment horizontal="center" shrinkToFit="1"/>
      <protection hidden="1"/>
    </xf>
    <xf numFmtId="176" fontId="38" fillId="0" borderId="287" xfId="0" applyNumberFormat="1" applyFont="1" applyBorder="1" applyAlignment="1" applyProtection="1">
      <alignment horizontal="center" shrinkToFit="1"/>
      <protection hidden="1"/>
    </xf>
    <xf numFmtId="181" fontId="43" fillId="0" borderId="0" xfId="5" applyNumberFormat="1" applyFont="1" applyProtection="1">
      <protection hidden="1"/>
    </xf>
    <xf numFmtId="166" fontId="19" fillId="21" borderId="545" xfId="0" applyFont="1" applyFill="1" applyBorder="1" applyAlignment="1" applyProtection="1">
      <alignment horizontal="right" shrinkToFit="1"/>
      <protection hidden="1"/>
    </xf>
    <xf numFmtId="175" fontId="13" fillId="0" borderId="641" xfId="3" applyNumberFormat="1" applyFont="1" applyBorder="1" applyAlignment="1" applyProtection="1">
      <alignment horizontal="center" vertical="center"/>
      <protection hidden="1"/>
    </xf>
    <xf numFmtId="175" fontId="13" fillId="0" borderId="642" xfId="3" applyNumberFormat="1" applyFont="1" applyBorder="1" applyAlignment="1" applyProtection="1">
      <alignment horizontal="center" vertical="center"/>
      <protection hidden="1"/>
    </xf>
    <xf numFmtId="175" fontId="13" fillId="0" borderId="646" xfId="3" applyNumberFormat="1" applyFont="1" applyBorder="1" applyAlignment="1" applyProtection="1">
      <alignment horizontal="center" vertical="center"/>
      <protection hidden="1"/>
    </xf>
    <xf numFmtId="175" fontId="13" fillId="0" borderId="647" xfId="3" applyNumberFormat="1" applyFont="1" applyBorder="1" applyAlignment="1" applyProtection="1">
      <alignment horizontal="center" vertical="center"/>
      <protection hidden="1"/>
    </xf>
    <xf numFmtId="175" fontId="13" fillId="0" borderId="649" xfId="3" applyNumberFormat="1" applyFont="1" applyBorder="1" applyAlignment="1" applyProtection="1">
      <alignment horizontal="center" vertical="center"/>
      <protection hidden="1"/>
    </xf>
    <xf numFmtId="175" fontId="13" fillId="0" borderId="650" xfId="3" applyNumberFormat="1" applyFont="1" applyBorder="1" applyAlignment="1" applyProtection="1">
      <alignment horizontal="center" vertical="center"/>
      <protection hidden="1"/>
    </xf>
    <xf numFmtId="175" fontId="13" fillId="0" borderId="653" xfId="3" applyNumberFormat="1" applyFont="1" applyBorder="1" applyAlignment="1" applyProtection="1">
      <alignment horizontal="center" vertical="center"/>
      <protection hidden="1"/>
    </xf>
    <xf numFmtId="175" fontId="13" fillId="0" borderId="654" xfId="3" applyNumberFormat="1" applyFont="1" applyBorder="1" applyAlignment="1" applyProtection="1">
      <alignment horizontal="center" vertical="center"/>
      <protection hidden="1"/>
    </xf>
    <xf numFmtId="175" fontId="13" fillId="0" borderId="656" xfId="3" applyNumberFormat="1" applyFont="1" applyBorder="1" applyAlignment="1" applyProtection="1">
      <alignment horizontal="center" vertical="center"/>
      <protection hidden="1"/>
    </xf>
    <xf numFmtId="175" fontId="13" fillId="0" borderId="657" xfId="3" applyNumberFormat="1" applyFont="1" applyBorder="1" applyAlignment="1" applyProtection="1">
      <alignment horizontal="center" vertical="center"/>
      <protection hidden="1"/>
    </xf>
    <xf numFmtId="182" fontId="42" fillId="13" borderId="662" xfId="3" applyNumberFormat="1" applyFont="1" applyFill="1" applyBorder="1" applyAlignment="1" applyProtection="1">
      <alignment horizontal="center" vertical="center" shrinkToFit="1"/>
      <protection hidden="1"/>
    </xf>
    <xf numFmtId="182" fontId="42" fillId="13" borderId="664" xfId="3" applyNumberFormat="1" applyFont="1" applyFill="1" applyBorder="1" applyAlignment="1" applyProtection="1">
      <alignment horizontal="center" vertical="center" shrinkToFit="1"/>
      <protection hidden="1"/>
    </xf>
    <xf numFmtId="182" fontId="42" fillId="13" borderId="666" xfId="3" applyNumberFormat="1" applyFont="1" applyFill="1" applyBorder="1" applyAlignment="1" applyProtection="1">
      <alignment horizontal="center" vertical="center" shrinkToFit="1"/>
      <protection hidden="1"/>
    </xf>
    <xf numFmtId="205" fontId="44" fillId="13" borderId="662" xfId="3" applyNumberFormat="1" applyFont="1" applyFill="1" applyBorder="1" applyAlignment="1" applyProtection="1">
      <alignment horizontal="center" vertical="center" shrinkToFit="1"/>
      <protection hidden="1"/>
    </xf>
    <xf numFmtId="205" fontId="44" fillId="13" borderId="664" xfId="3" applyNumberFormat="1" applyFont="1" applyFill="1" applyBorder="1" applyAlignment="1" applyProtection="1">
      <alignment horizontal="center" vertical="center" shrinkToFit="1"/>
      <protection hidden="1"/>
    </xf>
    <xf numFmtId="205" fontId="44" fillId="13" borderId="666" xfId="3" applyNumberFormat="1" applyFont="1" applyFill="1" applyBorder="1" applyAlignment="1" applyProtection="1">
      <alignment horizontal="center" vertical="center" shrinkToFit="1"/>
      <protection hidden="1"/>
    </xf>
    <xf numFmtId="170" fontId="38" fillId="0" borderId="668" xfId="3" applyNumberFormat="1" applyFont="1" applyBorder="1" applyAlignment="1">
      <alignment horizontal="center" vertical="center" shrinkToFit="1"/>
    </xf>
    <xf numFmtId="170" fontId="38" fillId="0" borderId="647" xfId="3" applyNumberFormat="1" applyFont="1" applyBorder="1" applyAlignment="1" applyProtection="1">
      <alignment horizontal="center" vertical="center"/>
      <protection hidden="1"/>
    </xf>
    <xf numFmtId="170" fontId="38" fillId="8" borderId="669" xfId="3" applyNumberFormat="1" applyFont="1" applyFill="1" applyBorder="1" applyAlignment="1" applyProtection="1">
      <alignment horizontal="center" vertical="center" shrinkToFit="1"/>
      <protection locked="0"/>
    </xf>
    <xf numFmtId="170" fontId="38" fillId="0" borderId="650" xfId="3" applyNumberFormat="1" applyFont="1" applyBorder="1" applyAlignment="1" applyProtection="1">
      <alignment horizontal="center" vertical="center"/>
      <protection hidden="1"/>
    </xf>
    <xf numFmtId="170" fontId="38" fillId="8" borderId="670" xfId="3" applyNumberFormat="1" applyFont="1" applyFill="1" applyBorder="1" applyAlignment="1" applyProtection="1">
      <alignment horizontal="center" vertical="center" shrinkToFit="1"/>
      <protection locked="0"/>
    </xf>
    <xf numFmtId="170" fontId="38" fillId="0" borderId="659" xfId="3" applyNumberFormat="1" applyFont="1" applyBorder="1" applyAlignment="1" applyProtection="1">
      <alignment horizontal="center" vertical="center"/>
      <protection hidden="1"/>
    </xf>
    <xf numFmtId="169" fontId="38" fillId="0" borderId="668" xfId="3" applyNumberFormat="1" applyFont="1" applyBorder="1" applyAlignment="1">
      <alignment horizontal="center" vertical="center" shrinkToFit="1"/>
    </xf>
    <xf numFmtId="169" fontId="38" fillId="8" borderId="669" xfId="3" applyNumberFormat="1" applyFont="1" applyFill="1" applyBorder="1" applyAlignment="1" applyProtection="1">
      <alignment horizontal="center" vertical="center" shrinkToFit="1"/>
      <protection locked="0"/>
    </xf>
    <xf numFmtId="169" fontId="38" fillId="8" borderId="670" xfId="3" applyNumberFormat="1" applyFont="1" applyFill="1" applyBorder="1" applyAlignment="1" applyProtection="1">
      <alignment horizontal="center" vertical="center" shrinkToFit="1"/>
      <protection locked="0"/>
    </xf>
    <xf numFmtId="166" fontId="43" fillId="10" borderId="0" xfId="0" applyFont="1" applyFill="1" applyProtection="1">
      <protection hidden="1"/>
    </xf>
    <xf numFmtId="175" fontId="33" fillId="0" borderId="679" xfId="0" applyNumberFormat="1" applyFont="1" applyBorder="1" applyAlignment="1" applyProtection="1">
      <alignment horizontal="center" shrinkToFit="1"/>
      <protection hidden="1"/>
    </xf>
    <xf numFmtId="168" fontId="13" fillId="25" borderId="680" xfId="0" applyNumberFormat="1" applyFont="1" applyFill="1" applyBorder="1" applyAlignment="1" applyProtection="1">
      <alignment horizontal="center" vertical="center" shrinkToFit="1"/>
      <protection locked="0"/>
    </xf>
    <xf numFmtId="168" fontId="13" fillId="0" borderId="681" xfId="0" applyNumberFormat="1" applyFont="1" applyBorder="1" applyAlignment="1" applyProtection="1">
      <alignment horizontal="center" vertical="center" shrinkToFit="1"/>
      <protection locked="0" hidden="1"/>
    </xf>
    <xf numFmtId="0" fontId="43" fillId="10" borderId="0" xfId="14" applyNumberFormat="1" applyFont="1" applyFill="1" applyAlignment="1" applyProtection="1">
      <alignment shrinkToFit="1"/>
      <protection hidden="1"/>
    </xf>
    <xf numFmtId="208" fontId="67" fillId="0" borderId="0" xfId="0" applyNumberFormat="1" applyFont="1"/>
    <xf numFmtId="208" fontId="76" fillId="0" borderId="130" xfId="5" applyNumberFormat="1" applyFont="1" applyBorder="1" applyAlignment="1" applyProtection="1">
      <alignment horizontal="center" shrinkToFit="1"/>
      <protection hidden="1"/>
    </xf>
    <xf numFmtId="166" fontId="73" fillId="0" borderId="700" xfId="0" applyFont="1" applyBorder="1" applyAlignment="1" applyProtection="1">
      <alignment horizontal="right" shrinkToFit="1"/>
      <protection hidden="1"/>
    </xf>
    <xf numFmtId="182" fontId="63" fillId="0" borderId="703" xfId="0" applyNumberFormat="1" applyFont="1" applyBorder="1" applyAlignment="1" applyProtection="1">
      <alignment horizontal="center" shrinkToFit="1"/>
      <protection hidden="1"/>
    </xf>
    <xf numFmtId="193" fontId="63" fillId="0" borderId="702" xfId="1" applyNumberFormat="1" applyFont="1" applyBorder="1" applyAlignment="1" applyProtection="1">
      <alignment horizontal="center" shrinkToFit="1"/>
      <protection hidden="1"/>
    </xf>
    <xf numFmtId="193" fontId="73" fillId="0" borderId="701" xfId="0" applyNumberFormat="1" applyFont="1" applyBorder="1" applyAlignment="1" applyProtection="1">
      <alignment horizontal="center" shrinkToFit="1"/>
      <protection hidden="1"/>
    </xf>
    <xf numFmtId="168" fontId="63" fillId="0" borderId="712" xfId="5" applyNumberFormat="1" applyFont="1" applyBorder="1" applyAlignment="1" applyProtection="1">
      <alignment horizontal="right" shrinkToFit="1"/>
      <protection hidden="1"/>
    </xf>
    <xf numFmtId="172" fontId="63" fillId="0" borderId="713" xfId="5" applyNumberFormat="1" applyFont="1" applyBorder="1" applyAlignment="1" applyProtection="1">
      <alignment horizontal="center" vertical="center" shrinkToFit="1"/>
      <protection hidden="1"/>
    </xf>
    <xf numFmtId="215" fontId="76" fillId="0" borderId="715" xfId="5" applyNumberFormat="1" applyFont="1" applyBorder="1" applyAlignment="1" applyProtection="1">
      <alignment horizontal="center" shrinkToFit="1"/>
      <protection hidden="1"/>
    </xf>
    <xf numFmtId="168" fontId="63" fillId="0" borderId="433" xfId="0" applyNumberFormat="1" applyFont="1" applyBorder="1" applyAlignment="1" applyProtection="1">
      <alignment horizontal="center"/>
      <protection hidden="1"/>
    </xf>
    <xf numFmtId="182" fontId="63" fillId="0" borderId="434" xfId="0" applyNumberFormat="1" applyFont="1" applyBorder="1" applyAlignment="1" applyProtection="1">
      <alignment shrinkToFit="1"/>
      <protection hidden="1"/>
    </xf>
    <xf numFmtId="206" fontId="63" fillId="0" borderId="426" xfId="0" applyNumberFormat="1" applyFont="1" applyBorder="1" applyAlignment="1" applyProtection="1">
      <alignment horizontal="left" shrinkToFit="1"/>
      <protection hidden="1"/>
    </xf>
    <xf numFmtId="202" fontId="63" fillId="0" borderId="427" xfId="0" applyNumberFormat="1" applyFont="1" applyBorder="1" applyAlignment="1" applyProtection="1">
      <alignment horizontal="center" shrinkToFit="1"/>
      <protection hidden="1"/>
    </xf>
    <xf numFmtId="168" fontId="63" fillId="0" borderId="720" xfId="5" applyNumberFormat="1" applyFont="1" applyBorder="1" applyAlignment="1" applyProtection="1">
      <alignment horizontal="right" shrinkToFit="1"/>
      <protection hidden="1"/>
    </xf>
    <xf numFmtId="172" fontId="63" fillId="0" borderId="721" xfId="5" applyNumberFormat="1" applyFont="1" applyBorder="1" applyAlignment="1" applyProtection="1">
      <alignment horizontal="center" vertical="center" shrinkToFit="1"/>
      <protection hidden="1"/>
    </xf>
    <xf numFmtId="166" fontId="63" fillId="0" borderId="722" xfId="0" applyFont="1" applyBorder="1" applyAlignment="1" applyProtection="1">
      <alignment horizontal="right" shrinkToFit="1"/>
      <protection hidden="1"/>
    </xf>
    <xf numFmtId="171" fontId="63" fillId="0" borderId="723" xfId="0" applyNumberFormat="1" applyFont="1" applyBorder="1" applyAlignment="1" applyProtection="1">
      <alignment horizontal="center" shrinkToFit="1"/>
      <protection hidden="1"/>
    </xf>
    <xf numFmtId="182" fontId="42" fillId="13" borderId="727" xfId="3" applyNumberFormat="1" applyFont="1" applyFill="1" applyBorder="1" applyAlignment="1" applyProtection="1">
      <alignment horizontal="center" vertical="center" shrinkToFit="1"/>
      <protection hidden="1"/>
    </xf>
    <xf numFmtId="182" fontId="42" fillId="13" borderId="728" xfId="3" applyNumberFormat="1" applyFont="1" applyFill="1" applyBorder="1" applyAlignment="1" applyProtection="1">
      <alignment horizontal="center" vertical="center" shrinkToFit="1"/>
      <protection hidden="1"/>
    </xf>
    <xf numFmtId="181" fontId="42" fillId="0" borderId="264" xfId="3" applyNumberFormat="1" applyFont="1" applyBorder="1" applyAlignment="1">
      <alignment horizontal="center" vertical="center" shrinkToFit="1"/>
    </xf>
    <xf numFmtId="181" fontId="42" fillId="8" borderId="258" xfId="3" applyNumberFormat="1" applyFont="1" applyFill="1" applyBorder="1" applyAlignment="1" applyProtection="1">
      <alignment horizontal="center" vertical="center" shrinkToFit="1"/>
      <protection locked="0"/>
    </xf>
    <xf numFmtId="181" fontId="42" fillId="8" borderId="307" xfId="3" applyNumberFormat="1" applyFont="1" applyFill="1" applyBorder="1" applyAlignment="1" applyProtection="1">
      <alignment horizontal="center" vertical="center" shrinkToFit="1"/>
      <protection locked="0"/>
    </xf>
    <xf numFmtId="0" fontId="13" fillId="0" borderId="149" xfId="3" applyFont="1" applyBorder="1" applyAlignment="1" applyProtection="1">
      <alignment horizontal="center" vertical="center" wrapText="1"/>
      <protection hidden="1"/>
    </xf>
    <xf numFmtId="0" fontId="15" fillId="0" borderId="150" xfId="3" applyFont="1" applyBorder="1" applyAlignment="1" applyProtection="1">
      <alignment horizontal="center" vertical="center" wrapText="1" shrinkToFit="1"/>
      <protection hidden="1"/>
    </xf>
    <xf numFmtId="0" fontId="13" fillId="0" borderId="159" xfId="3" applyFont="1" applyBorder="1" applyAlignment="1" applyProtection="1">
      <alignment horizontal="center" vertical="center" wrapText="1"/>
      <protection hidden="1"/>
    </xf>
    <xf numFmtId="0" fontId="13" fillId="0" borderId="165" xfId="3" applyFont="1" applyBorder="1" applyAlignment="1" applyProtection="1">
      <alignment horizontal="center" vertical="center" wrapText="1"/>
      <protection hidden="1"/>
    </xf>
    <xf numFmtId="0" fontId="14" fillId="0" borderId="126" xfId="3" applyFont="1" applyBorder="1" applyAlignment="1" applyProtection="1">
      <alignment horizontal="center" vertical="center" wrapText="1"/>
      <protection hidden="1"/>
    </xf>
    <xf numFmtId="0" fontId="13" fillId="0" borderId="234" xfId="3" applyFont="1" applyBorder="1" applyAlignment="1" applyProtection="1">
      <alignment horizontal="center" vertical="center" wrapText="1"/>
      <protection hidden="1"/>
    </xf>
    <xf numFmtId="0" fontId="13" fillId="0" borderId="150" xfId="3" applyFont="1" applyBorder="1" applyAlignment="1" applyProtection="1">
      <alignment horizontal="center" vertical="center" wrapText="1"/>
      <protection hidden="1"/>
    </xf>
    <xf numFmtId="0" fontId="15" fillId="0" borderId="165" xfId="3" applyFont="1" applyBorder="1" applyAlignment="1" applyProtection="1">
      <alignment horizontal="center" vertical="center" wrapText="1" shrinkToFit="1"/>
      <protection hidden="1"/>
    </xf>
    <xf numFmtId="0" fontId="13" fillId="0" borderId="150" xfId="3" applyFont="1" applyBorder="1" applyAlignment="1" applyProtection="1">
      <alignment horizontal="center" vertical="center" wrapText="1" shrinkToFit="1"/>
      <protection hidden="1"/>
    </xf>
    <xf numFmtId="181" fontId="13" fillId="0" borderId="149" xfId="0" applyNumberFormat="1" applyFont="1" applyBorder="1" applyAlignment="1" applyProtection="1">
      <alignment horizontal="center" vertical="center" wrapText="1" shrinkToFit="1"/>
      <protection hidden="1"/>
    </xf>
    <xf numFmtId="166" fontId="13" fillId="0" borderId="725" xfId="0" applyFont="1" applyBorder="1" applyAlignment="1" applyProtection="1">
      <alignment horizontal="center" vertical="center" wrapText="1" shrinkToFit="1"/>
      <protection hidden="1"/>
    </xf>
    <xf numFmtId="0" fontId="15" fillId="0" borderId="149" xfId="3" applyFont="1" applyBorder="1" applyAlignment="1" applyProtection="1">
      <alignment horizontal="center" vertical="center" wrapText="1"/>
      <protection hidden="1"/>
    </xf>
    <xf numFmtId="177" fontId="13" fillId="0" borderId="181" xfId="11" applyNumberFormat="1" applyFont="1" applyBorder="1" applyAlignment="1" applyProtection="1">
      <alignment horizontal="center" vertical="center" wrapText="1" shrinkToFit="1"/>
      <protection hidden="1"/>
    </xf>
    <xf numFmtId="0" fontId="13" fillId="0" borderId="181" xfId="3" applyFont="1" applyBorder="1" applyAlignment="1" applyProtection="1">
      <alignment horizontal="center" vertical="center" wrapText="1"/>
      <protection hidden="1"/>
    </xf>
    <xf numFmtId="0" fontId="13" fillId="0" borderId="644" xfId="3" applyFont="1" applyBorder="1" applyAlignment="1" applyProtection="1">
      <alignment horizontal="center" vertical="center" wrapText="1"/>
      <protection hidden="1"/>
    </xf>
    <xf numFmtId="0" fontId="13" fillId="0" borderId="645" xfId="3" applyFont="1" applyBorder="1" applyAlignment="1" applyProtection="1">
      <alignment horizontal="center" vertical="center" wrapText="1" shrinkToFit="1"/>
      <protection hidden="1"/>
    </xf>
    <xf numFmtId="168" fontId="46" fillId="27" borderId="668" xfId="0" applyNumberFormat="1" applyFont="1" applyFill="1" applyBorder="1" applyAlignment="1" applyProtection="1">
      <alignment horizontal="center" shrinkToFit="1"/>
      <protection locked="0" hidden="1"/>
    </xf>
    <xf numFmtId="168" fontId="46" fillId="27" borderId="669" xfId="0" applyNumberFormat="1" applyFont="1" applyFill="1" applyBorder="1" applyAlignment="1" applyProtection="1">
      <alignment horizontal="center" shrinkToFit="1"/>
      <protection locked="0" hidden="1"/>
    </xf>
    <xf numFmtId="168" fontId="46" fillId="27" borderId="670" xfId="0" applyNumberFormat="1" applyFont="1" applyFill="1" applyBorder="1" applyAlignment="1" applyProtection="1">
      <alignment horizontal="center" shrinkToFit="1"/>
      <protection locked="0" hidden="1"/>
    </xf>
    <xf numFmtId="209" fontId="46" fillId="25" borderId="663" xfId="0" applyNumberFormat="1" applyFont="1" applyFill="1" applyBorder="1" applyAlignment="1" applyProtection="1">
      <alignment horizontal="center" shrinkToFit="1"/>
      <protection locked="0"/>
    </xf>
    <xf numFmtId="209" fontId="46" fillId="25" borderId="663" xfId="1" applyNumberFormat="1" applyFont="1" applyFill="1" applyBorder="1" applyAlignment="1" applyProtection="1">
      <alignment horizontal="center" shrinkToFit="1"/>
      <protection locked="0"/>
    </xf>
    <xf numFmtId="209" fontId="46" fillId="25" borderId="665" xfId="1" applyNumberFormat="1" applyFont="1" applyFill="1" applyBorder="1" applyAlignment="1" applyProtection="1">
      <alignment horizontal="center" shrinkToFit="1"/>
      <protection locked="0"/>
    </xf>
    <xf numFmtId="168" fontId="13" fillId="25" borderId="152" xfId="3" applyNumberFormat="1" applyFont="1" applyFill="1" applyBorder="1" applyAlignment="1" applyProtection="1">
      <alignment horizontal="center" vertical="center" shrinkToFit="1"/>
      <protection locked="0"/>
    </xf>
    <xf numFmtId="168" fontId="13" fillId="25" borderId="154" xfId="3" applyNumberFormat="1" applyFont="1" applyFill="1" applyBorder="1" applyAlignment="1" applyProtection="1">
      <alignment horizontal="center" vertical="center" shrinkToFit="1"/>
      <protection locked="0"/>
    </xf>
    <xf numFmtId="168" fontId="13" fillId="25" borderId="157" xfId="3" applyNumberFormat="1" applyFont="1" applyFill="1" applyBorder="1" applyAlignment="1" applyProtection="1">
      <alignment horizontal="center" vertical="center" shrinkToFit="1"/>
      <protection locked="0"/>
    </xf>
    <xf numFmtId="168" fontId="13" fillId="25" borderId="673" xfId="3" applyNumberFormat="1" applyFont="1" applyFill="1" applyBorder="1" applyAlignment="1" applyProtection="1">
      <alignment horizontal="center" vertical="center" shrinkToFit="1"/>
      <protection locked="0"/>
    </xf>
    <xf numFmtId="168" fontId="13" fillId="25" borderId="724" xfId="3" applyNumberFormat="1" applyFont="1" applyFill="1" applyBorder="1" applyAlignment="1" applyProtection="1">
      <alignment horizontal="center" vertical="center" shrinkToFit="1"/>
      <protection locked="0"/>
    </xf>
    <xf numFmtId="168" fontId="13" fillId="25" borderId="380" xfId="3" applyNumberFormat="1" applyFont="1" applyFill="1" applyBorder="1" applyAlignment="1" applyProtection="1">
      <alignment horizontal="center" vertical="center" shrinkToFit="1"/>
      <protection locked="0"/>
    </xf>
    <xf numFmtId="182" fontId="42" fillId="13" borderId="740" xfId="3" applyNumberFormat="1" applyFont="1" applyFill="1" applyBorder="1" applyAlignment="1" applyProtection="1">
      <alignment horizontal="center" vertical="center" shrinkToFit="1"/>
      <protection hidden="1"/>
    </xf>
    <xf numFmtId="182" fontId="42" fillId="13" borderId="741" xfId="3" applyNumberFormat="1" applyFont="1" applyFill="1" applyBorder="1" applyAlignment="1" applyProtection="1">
      <alignment horizontal="center" vertical="center" shrinkToFit="1"/>
      <protection hidden="1"/>
    </xf>
    <xf numFmtId="182" fontId="42" fillId="13" borderId="742" xfId="3" applyNumberFormat="1" applyFont="1" applyFill="1" applyBorder="1" applyAlignment="1" applyProtection="1">
      <alignment horizontal="center" vertical="center" shrinkToFit="1"/>
      <protection hidden="1"/>
    </xf>
    <xf numFmtId="168" fontId="13" fillId="0" borderId="264" xfId="3" applyNumberFormat="1" applyFont="1" applyBorder="1" applyAlignment="1" applyProtection="1">
      <alignment horizontal="center" vertical="center" shrinkToFit="1"/>
      <protection hidden="1"/>
    </xf>
    <xf numFmtId="168" fontId="13" fillId="0" borderId="258" xfId="3" applyNumberFormat="1" applyFont="1" applyBorder="1" applyAlignment="1" applyProtection="1">
      <alignment horizontal="center" vertical="center" shrinkToFit="1"/>
      <protection hidden="1"/>
    </xf>
    <xf numFmtId="168" fontId="13" fillId="0" borderId="307" xfId="3" applyNumberFormat="1" applyFont="1" applyBorder="1" applyAlignment="1" applyProtection="1">
      <alignment horizontal="center" vertical="center" shrinkToFit="1"/>
      <protection hidden="1"/>
    </xf>
    <xf numFmtId="0" fontId="38" fillId="0" borderId="249" xfId="5" applyFont="1" applyBorder="1" applyAlignment="1" applyProtection="1">
      <alignment vertical="center" shrinkToFit="1"/>
      <protection hidden="1"/>
    </xf>
    <xf numFmtId="0" fontId="38" fillId="0" borderId="0" xfId="5" applyFont="1" applyAlignment="1" applyProtection="1">
      <alignment vertical="center" shrinkToFit="1"/>
      <protection hidden="1"/>
    </xf>
    <xf numFmtId="0" fontId="38" fillId="0" borderId="251" xfId="5" applyFont="1" applyBorder="1" applyAlignment="1" applyProtection="1">
      <alignment vertical="center" shrinkToFit="1"/>
      <protection hidden="1"/>
    </xf>
    <xf numFmtId="0" fontId="38" fillId="0" borderId="253" xfId="5" applyFont="1" applyBorder="1" applyAlignment="1" applyProtection="1">
      <alignment vertical="center" shrinkToFit="1"/>
      <protection hidden="1"/>
    </xf>
    <xf numFmtId="166" fontId="38" fillId="0" borderId="249" xfId="0" applyFont="1" applyBorder="1"/>
    <xf numFmtId="166" fontId="38" fillId="0" borderId="253" xfId="0" applyFont="1" applyBorder="1"/>
    <xf numFmtId="203" fontId="44" fillId="13" borderId="727" xfId="3" applyNumberFormat="1" applyFont="1" applyFill="1" applyBorder="1" applyAlignment="1" applyProtection="1">
      <alignment horizontal="center" vertical="center" shrinkToFit="1"/>
      <protection hidden="1"/>
    </xf>
    <xf numFmtId="203" fontId="44" fillId="13" borderId="728" xfId="3" applyNumberFormat="1" applyFont="1" applyFill="1" applyBorder="1" applyAlignment="1" applyProtection="1">
      <alignment horizontal="center" vertical="center" shrinkToFit="1"/>
      <protection hidden="1"/>
    </xf>
    <xf numFmtId="170" fontId="38" fillId="0" borderId="744" xfId="0" applyNumberFormat="1" applyFont="1" applyBorder="1" applyAlignment="1">
      <alignment horizontal="center" shrinkToFit="1"/>
    </xf>
    <xf numFmtId="170" fontId="38" fillId="8" borderId="745" xfId="0" applyNumberFormat="1" applyFont="1" applyFill="1" applyBorder="1" applyAlignment="1" applyProtection="1">
      <alignment horizontal="center" shrinkToFit="1"/>
      <protection locked="0"/>
    </xf>
    <xf numFmtId="170" fontId="38" fillId="8" borderId="746" xfId="0" applyNumberFormat="1" applyFont="1" applyFill="1" applyBorder="1" applyAlignment="1" applyProtection="1">
      <alignment horizontal="center" shrinkToFit="1"/>
      <protection locked="0"/>
    </xf>
    <xf numFmtId="177" fontId="15" fillId="0" borderId="752" xfId="5" applyNumberFormat="1" applyFont="1" applyBorder="1" applyAlignment="1" applyProtection="1">
      <alignment horizontal="center"/>
      <protection hidden="1"/>
    </xf>
    <xf numFmtId="170" fontId="46" fillId="0" borderId="308" xfId="5" applyNumberFormat="1" applyFont="1" applyBorder="1" applyAlignment="1" applyProtection="1">
      <alignment horizontal="center" shrinkToFit="1"/>
      <protection hidden="1"/>
    </xf>
    <xf numFmtId="170" fontId="46" fillId="0" borderId="152" xfId="5" applyNumberFormat="1" applyFont="1" applyBorder="1" applyAlignment="1" applyProtection="1">
      <alignment horizontal="center" shrinkToFit="1"/>
      <protection hidden="1"/>
    </xf>
    <xf numFmtId="170" fontId="46" fillId="0" borderId="173" xfId="5" applyNumberFormat="1" applyFont="1" applyBorder="1" applyAlignment="1" applyProtection="1">
      <alignment horizontal="center" shrinkToFit="1"/>
      <protection hidden="1"/>
    </xf>
    <xf numFmtId="170" fontId="38" fillId="0" borderId="271" xfId="0" applyNumberFormat="1" applyFont="1" applyBorder="1" applyAlignment="1" applyProtection="1">
      <alignment horizontal="center" shrinkToFit="1"/>
      <protection hidden="1"/>
    </xf>
    <xf numFmtId="170" fontId="38" fillId="0" borderId="154" xfId="0" applyNumberFormat="1" applyFont="1" applyBorder="1" applyAlignment="1" applyProtection="1">
      <alignment horizontal="center" shrinkToFit="1"/>
      <protection hidden="1"/>
    </xf>
    <xf numFmtId="170" fontId="38" fillId="0" borderId="175" xfId="0" applyNumberFormat="1" applyFont="1" applyBorder="1" applyAlignment="1" applyProtection="1">
      <alignment horizontal="center" shrinkToFit="1"/>
      <protection hidden="1"/>
    </xf>
    <xf numFmtId="170" fontId="38" fillId="0" borderId="287" xfId="0" applyNumberFormat="1" applyFont="1" applyBorder="1" applyAlignment="1" applyProtection="1">
      <alignment horizontal="center" shrinkToFit="1"/>
      <protection hidden="1"/>
    </xf>
    <xf numFmtId="170" fontId="38" fillId="0" borderId="157" xfId="0" applyNumberFormat="1" applyFont="1" applyBorder="1" applyAlignment="1" applyProtection="1">
      <alignment horizontal="center" shrinkToFit="1"/>
      <protection hidden="1"/>
    </xf>
    <xf numFmtId="170" fontId="38" fillId="0" borderId="178" xfId="0" applyNumberFormat="1" applyFont="1" applyBorder="1" applyAlignment="1" applyProtection="1">
      <alignment horizontal="center" shrinkToFit="1"/>
      <protection hidden="1"/>
    </xf>
    <xf numFmtId="225" fontId="38" fillId="0" borderId="591" xfId="0" applyNumberFormat="1" applyFont="1" applyBorder="1" applyAlignment="1" applyProtection="1">
      <alignment horizontal="center" shrinkToFit="1"/>
      <protection hidden="1"/>
    </xf>
    <xf numFmtId="225" fontId="38" fillId="0" borderId="592" xfId="0" applyNumberFormat="1" applyFont="1" applyBorder="1" applyAlignment="1" applyProtection="1">
      <alignment horizontal="center" shrinkToFit="1"/>
      <protection hidden="1"/>
    </xf>
    <xf numFmtId="224" fontId="38" fillId="0" borderId="266" xfId="0" applyNumberFormat="1" applyFont="1" applyBorder="1" applyAlignment="1" applyProtection="1">
      <alignment horizontal="center" shrinkToFit="1"/>
      <protection hidden="1"/>
    </xf>
    <xf numFmtId="224" fontId="38" fillId="0" borderId="260" xfId="0" applyNumberFormat="1" applyFont="1" applyBorder="1" applyAlignment="1" applyProtection="1">
      <alignment horizontal="center" shrinkToFit="1"/>
      <protection hidden="1"/>
    </xf>
    <xf numFmtId="170" fontId="46" fillId="0" borderId="268" xfId="5" applyNumberFormat="1" applyFont="1" applyBorder="1" applyAlignment="1" applyProtection="1">
      <alignment horizontal="center" shrinkToFit="1"/>
      <protection hidden="1"/>
    </xf>
    <xf numFmtId="170" fontId="38" fillId="0" borderId="262" xfId="0" applyNumberFormat="1" applyFont="1" applyBorder="1" applyAlignment="1" applyProtection="1">
      <alignment horizontal="center" shrinkToFit="1"/>
      <protection hidden="1"/>
    </xf>
    <xf numFmtId="170" fontId="46" fillId="0" borderId="264" xfId="5" applyNumberFormat="1" applyFont="1" applyBorder="1" applyAlignment="1" applyProtection="1">
      <alignment horizontal="center" shrinkToFit="1"/>
      <protection hidden="1"/>
    </xf>
    <xf numFmtId="170" fontId="38" fillId="0" borderId="258" xfId="0" applyNumberFormat="1" applyFont="1" applyBorder="1" applyAlignment="1" applyProtection="1">
      <alignment horizontal="center" shrinkToFit="1"/>
      <protection hidden="1"/>
    </xf>
    <xf numFmtId="170" fontId="13" fillId="0" borderId="127" xfId="3" applyNumberFormat="1" applyFont="1" applyBorder="1" applyAlignment="1" applyProtection="1">
      <alignment horizontal="center" vertical="center" shrinkToFit="1"/>
      <protection hidden="1"/>
    </xf>
    <xf numFmtId="170" fontId="13" fillId="0" borderId="755" xfId="3" applyNumberFormat="1" applyFont="1" applyBorder="1" applyAlignment="1" applyProtection="1">
      <alignment horizontal="center" vertical="center" shrinkToFit="1"/>
      <protection hidden="1"/>
    </xf>
    <xf numFmtId="170" fontId="13" fillId="0" borderId="756" xfId="3" applyNumberFormat="1" applyFont="1" applyBorder="1" applyAlignment="1" applyProtection="1">
      <alignment horizontal="center" vertical="center" shrinkToFit="1"/>
      <protection hidden="1"/>
    </xf>
    <xf numFmtId="170" fontId="13" fillId="0" borderId="757" xfId="3" applyNumberFormat="1" applyFont="1" applyBorder="1" applyAlignment="1" applyProtection="1">
      <alignment horizontal="center" vertical="center" shrinkToFit="1"/>
      <protection hidden="1"/>
    </xf>
    <xf numFmtId="170" fontId="13" fillId="0" borderId="758" xfId="3" applyNumberFormat="1" applyFont="1" applyBorder="1" applyAlignment="1" applyProtection="1">
      <alignment horizontal="center" vertical="center" shrinkToFit="1"/>
      <protection hidden="1"/>
    </xf>
    <xf numFmtId="170" fontId="13" fillId="0" borderId="239" xfId="3" applyNumberFormat="1" applyFont="1" applyBorder="1" applyAlignment="1" applyProtection="1">
      <alignment horizontal="center" vertical="center" shrinkToFit="1"/>
      <protection hidden="1"/>
    </xf>
    <xf numFmtId="170" fontId="13" fillId="0" borderId="232" xfId="3" applyNumberFormat="1" applyFont="1" applyBorder="1" applyAlignment="1" applyProtection="1">
      <alignment horizontal="center" vertical="center" shrinkToFit="1"/>
      <protection hidden="1"/>
    </xf>
    <xf numFmtId="181" fontId="17" fillId="19" borderId="42" xfId="3" applyNumberFormat="1" applyFont="1" applyFill="1" applyBorder="1" applyAlignment="1" applyProtection="1">
      <alignment horizontal="center" vertical="center" shrinkToFit="1"/>
      <protection locked="0"/>
    </xf>
    <xf numFmtId="181" fontId="17" fillId="19" borderId="45" xfId="3" applyNumberFormat="1" applyFont="1" applyFill="1" applyBorder="1" applyAlignment="1" applyProtection="1">
      <alignment horizontal="center" vertical="center" shrinkToFit="1"/>
      <protection locked="0"/>
    </xf>
    <xf numFmtId="181" fontId="17" fillId="19" borderId="48" xfId="3" applyNumberFormat="1" applyFont="1" applyFill="1" applyBorder="1" applyAlignment="1" applyProtection="1">
      <alignment horizontal="center" vertical="center" shrinkToFit="1"/>
      <protection locked="0"/>
    </xf>
    <xf numFmtId="183" fontId="20" fillId="19" borderId="42" xfId="3" applyNumberFormat="1" applyFont="1" applyFill="1" applyBorder="1" applyAlignment="1" applyProtection="1">
      <alignment horizontal="center" vertical="center" shrinkToFit="1"/>
      <protection locked="0"/>
    </xf>
    <xf numFmtId="0" fontId="20" fillId="19" borderId="42" xfId="3" applyFont="1" applyFill="1" applyBorder="1" applyAlignment="1" applyProtection="1">
      <alignment horizontal="left" vertical="center" shrinkToFit="1"/>
      <protection locked="0"/>
    </xf>
    <xf numFmtId="0" fontId="20" fillId="19" borderId="42" xfId="3" applyFont="1" applyFill="1" applyBorder="1" applyAlignment="1" applyProtection="1">
      <alignment horizontal="center" vertical="center" shrinkToFit="1"/>
      <protection locked="0"/>
    </xf>
    <xf numFmtId="173" fontId="17" fillId="19" borderId="42" xfId="3" applyNumberFormat="1" applyFont="1" applyFill="1" applyBorder="1" applyAlignment="1" applyProtection="1">
      <alignment horizontal="center" vertical="center" shrinkToFit="1"/>
      <protection locked="0"/>
    </xf>
    <xf numFmtId="0" fontId="13" fillId="19" borderId="42" xfId="3" applyFont="1" applyFill="1" applyBorder="1" applyAlignment="1" applyProtection="1">
      <alignment horizontal="center" vertical="center" shrinkToFit="1"/>
      <protection locked="0"/>
    </xf>
    <xf numFmtId="0" fontId="13" fillId="19" borderId="42" xfId="3" applyFont="1" applyFill="1" applyBorder="1" applyAlignment="1" applyProtection="1">
      <alignment horizontal="left" vertical="center" shrinkToFit="1"/>
      <protection locked="0"/>
    </xf>
    <xf numFmtId="0" fontId="17" fillId="19" borderId="42" xfId="3" applyFont="1" applyFill="1" applyBorder="1" applyAlignment="1" applyProtection="1">
      <alignment horizontal="center" vertical="center" shrinkToFit="1"/>
      <protection locked="0"/>
    </xf>
    <xf numFmtId="0" fontId="13" fillId="19" borderId="43" xfId="3" applyFont="1" applyFill="1" applyBorder="1" applyAlignment="1" applyProtection="1">
      <alignment horizontal="left" vertical="center" shrinkToFit="1"/>
      <protection locked="0"/>
    </xf>
    <xf numFmtId="183" fontId="20" fillId="19" borderId="45" xfId="3" applyNumberFormat="1" applyFont="1" applyFill="1" applyBorder="1" applyAlignment="1" applyProtection="1">
      <alignment horizontal="center" vertical="center" shrinkToFit="1"/>
      <protection locked="0"/>
    </xf>
    <xf numFmtId="0" fontId="20" fillId="19" borderId="45" xfId="3" applyFont="1" applyFill="1" applyBorder="1" applyAlignment="1" applyProtection="1">
      <alignment horizontal="left" vertical="center" shrinkToFit="1"/>
      <protection locked="0"/>
    </xf>
    <xf numFmtId="0" fontId="20" fillId="19" borderId="45" xfId="3" applyFont="1" applyFill="1" applyBorder="1" applyAlignment="1" applyProtection="1">
      <alignment horizontal="center" vertical="center" shrinkToFit="1"/>
      <protection locked="0"/>
    </xf>
    <xf numFmtId="173" fontId="20" fillId="19" borderId="45" xfId="3" applyNumberFormat="1" applyFont="1" applyFill="1" applyBorder="1" applyAlignment="1" applyProtection="1">
      <alignment horizontal="center" vertical="center" shrinkToFit="1"/>
      <protection locked="0"/>
    </xf>
    <xf numFmtId="0" fontId="13" fillId="19" borderId="45" xfId="3" applyFont="1" applyFill="1" applyBorder="1" applyAlignment="1" applyProtection="1">
      <alignment horizontal="center" vertical="center" shrinkToFit="1"/>
      <protection locked="0"/>
    </xf>
    <xf numFmtId="0" fontId="13" fillId="19" borderId="45" xfId="3" applyFont="1" applyFill="1" applyBorder="1" applyAlignment="1" applyProtection="1">
      <alignment horizontal="left" vertical="center" shrinkToFit="1"/>
      <protection locked="0"/>
    </xf>
    <xf numFmtId="0" fontId="13" fillId="19" borderId="46" xfId="3" applyFont="1" applyFill="1" applyBorder="1" applyAlignment="1" applyProtection="1">
      <alignment horizontal="left" vertical="center" shrinkToFit="1"/>
      <protection locked="0"/>
    </xf>
    <xf numFmtId="183" fontId="20" fillId="19" borderId="48" xfId="3" applyNumberFormat="1" applyFont="1" applyFill="1" applyBorder="1" applyAlignment="1" applyProtection="1">
      <alignment horizontal="center" vertical="center" shrinkToFit="1"/>
      <protection locked="0"/>
    </xf>
    <xf numFmtId="0" fontId="20" fillId="19" borderId="48" xfId="3" applyFont="1" applyFill="1" applyBorder="1" applyAlignment="1" applyProtection="1">
      <alignment horizontal="left" vertical="center" shrinkToFit="1"/>
      <protection locked="0"/>
    </xf>
    <xf numFmtId="0" fontId="20" fillId="19" borderId="48" xfId="3" applyFont="1" applyFill="1" applyBorder="1" applyAlignment="1" applyProtection="1">
      <alignment horizontal="center" vertical="center" shrinkToFit="1"/>
      <protection locked="0"/>
    </xf>
    <xf numFmtId="173" fontId="20" fillId="19" borderId="48" xfId="3" applyNumberFormat="1" applyFont="1" applyFill="1" applyBorder="1" applyAlignment="1" applyProtection="1">
      <alignment horizontal="center" vertical="center" shrinkToFit="1"/>
      <protection locked="0"/>
    </xf>
    <xf numFmtId="0" fontId="13" fillId="19" borderId="48" xfId="3" applyFont="1" applyFill="1" applyBorder="1" applyAlignment="1" applyProtection="1">
      <alignment horizontal="center" vertical="center" shrinkToFit="1"/>
      <protection locked="0"/>
    </xf>
    <xf numFmtId="0" fontId="13" fillId="19" borderId="48" xfId="3" applyFont="1" applyFill="1" applyBorder="1" applyAlignment="1" applyProtection="1">
      <alignment horizontal="left" vertical="center" shrinkToFit="1"/>
      <protection locked="0"/>
    </xf>
    <xf numFmtId="0" fontId="13" fillId="19" borderId="49" xfId="3" applyFont="1" applyFill="1" applyBorder="1" applyAlignment="1" applyProtection="1">
      <alignment horizontal="left" vertical="center" shrinkToFit="1"/>
      <protection locked="0"/>
    </xf>
    <xf numFmtId="175" fontId="49" fillId="19" borderId="285" xfId="5" applyNumberFormat="1" applyFont="1" applyFill="1" applyBorder="1" applyAlignment="1" applyProtection="1">
      <alignment horizontal="center" shrinkToFit="1"/>
      <protection locked="0"/>
    </xf>
    <xf numFmtId="173" fontId="49" fillId="19" borderId="278" xfId="5" applyNumberFormat="1" applyFont="1" applyFill="1" applyBorder="1" applyAlignment="1" applyProtection="1">
      <alignment horizontal="center" shrinkToFit="1"/>
      <protection locked="0"/>
    </xf>
    <xf numFmtId="175" fontId="49" fillId="19" borderId="274" xfId="5" applyNumberFormat="1" applyFont="1" applyFill="1" applyBorder="1" applyAlignment="1" applyProtection="1">
      <alignment horizontal="center" shrinkToFit="1"/>
      <protection locked="0"/>
    </xf>
    <xf numFmtId="173" fontId="49" fillId="19" borderId="154" xfId="5" applyNumberFormat="1" applyFont="1" applyFill="1" applyBorder="1" applyAlignment="1" applyProtection="1">
      <alignment horizontal="center" shrinkToFit="1"/>
      <protection locked="0"/>
    </xf>
    <xf numFmtId="0" fontId="49" fillId="19" borderId="285" xfId="5" applyFont="1" applyFill="1" applyBorder="1" applyAlignment="1" applyProtection="1">
      <alignment horizontal="left" shrinkToFit="1"/>
      <protection locked="0"/>
    </xf>
    <xf numFmtId="193" fontId="49" fillId="19" borderId="285" xfId="5" applyNumberFormat="1" applyFont="1" applyFill="1" applyBorder="1" applyAlignment="1" applyProtection="1">
      <alignment horizontal="center" shrinkToFit="1"/>
      <protection locked="0"/>
    </xf>
    <xf numFmtId="193" fontId="49" fillId="19" borderId="278" xfId="5" applyNumberFormat="1" applyFont="1" applyFill="1" applyBorder="1" applyAlignment="1" applyProtection="1">
      <alignment horizontal="center" shrinkToFit="1"/>
      <protection locked="0"/>
    </xf>
    <xf numFmtId="0" fontId="49" fillId="19" borderId="274" xfId="5" applyFont="1" applyFill="1" applyBorder="1" applyAlignment="1" applyProtection="1">
      <alignment horizontal="left" shrinkToFit="1"/>
      <protection locked="0"/>
    </xf>
    <xf numFmtId="193" fontId="49" fillId="19" borderId="274" xfId="5" applyNumberFormat="1" applyFont="1" applyFill="1" applyBorder="1" applyAlignment="1" applyProtection="1">
      <alignment horizontal="center" shrinkToFit="1"/>
      <protection locked="0"/>
    </xf>
    <xf numFmtId="193" fontId="49" fillId="19" borderId="154" xfId="5" applyNumberFormat="1" applyFont="1" applyFill="1" applyBorder="1" applyAlignment="1" applyProtection="1">
      <alignment horizontal="center" shrinkToFit="1"/>
      <protection locked="0"/>
    </xf>
    <xf numFmtId="181" fontId="49" fillId="19" borderId="278" xfId="5" applyNumberFormat="1" applyFont="1" applyFill="1" applyBorder="1" applyAlignment="1" applyProtection="1">
      <alignment horizontal="center" shrinkToFit="1"/>
      <protection locked="0"/>
    </xf>
    <xf numFmtId="181" fontId="49" fillId="19" borderId="154" xfId="5" applyNumberFormat="1" applyFont="1" applyFill="1" applyBorder="1" applyAlignment="1" applyProtection="1">
      <alignment horizontal="center" shrinkToFit="1"/>
      <protection locked="0"/>
    </xf>
    <xf numFmtId="166" fontId="13" fillId="19" borderId="545" xfId="0" applyFont="1" applyFill="1" applyBorder="1" applyAlignment="1" applyProtection="1">
      <alignment shrinkToFit="1"/>
      <protection locked="0"/>
    </xf>
    <xf numFmtId="197" fontId="49" fillId="19" borderId="278" xfId="5" applyNumberFormat="1" applyFont="1" applyFill="1" applyBorder="1" applyAlignment="1" applyProtection="1">
      <alignment horizontal="center" shrinkToFit="1"/>
      <protection locked="0"/>
    </xf>
    <xf numFmtId="197" fontId="49" fillId="19" borderId="154" xfId="5" applyNumberFormat="1" applyFont="1" applyFill="1" applyBorder="1" applyAlignment="1" applyProtection="1">
      <alignment horizontal="center" shrinkToFit="1"/>
      <protection locked="0"/>
    </xf>
    <xf numFmtId="197" fontId="13" fillId="19" borderId="602" xfId="0" applyNumberFormat="1" applyFont="1" applyFill="1" applyBorder="1" applyAlignment="1" applyProtection="1">
      <alignment horizontal="center" vertical="center" shrinkToFit="1"/>
      <protection locked="0"/>
    </xf>
    <xf numFmtId="196" fontId="13" fillId="19" borderId="87" xfId="0" applyNumberFormat="1" applyFont="1" applyFill="1" applyBorder="1" applyAlignment="1" applyProtection="1">
      <alignment horizontal="center" vertical="center" shrinkToFit="1"/>
      <protection locked="0"/>
    </xf>
    <xf numFmtId="197" fontId="13" fillId="19" borderId="603" xfId="0" applyNumberFormat="1" applyFont="1" applyFill="1" applyBorder="1" applyAlignment="1" applyProtection="1">
      <alignment horizontal="center" vertical="center" shrinkToFit="1"/>
      <protection locked="0"/>
    </xf>
    <xf numFmtId="196" fontId="13" fillId="19" borderId="4" xfId="0" applyNumberFormat="1" applyFont="1" applyFill="1" applyBorder="1" applyAlignment="1" applyProtection="1">
      <alignment horizontal="center" vertical="center" shrinkToFit="1"/>
      <protection locked="0"/>
    </xf>
    <xf numFmtId="198" fontId="13" fillId="19" borderId="88" xfId="0" applyNumberFormat="1" applyFont="1" applyFill="1" applyBorder="1" applyAlignment="1" applyProtection="1">
      <alignment horizontal="center" vertical="center" shrinkToFit="1"/>
      <protection locked="0"/>
    </xf>
    <xf numFmtId="198" fontId="13" fillId="19" borderId="85" xfId="0" applyNumberFormat="1" applyFont="1" applyFill="1" applyBorder="1" applyAlignment="1" applyProtection="1">
      <alignment horizontal="center" vertical="center" shrinkToFit="1"/>
      <protection locked="0"/>
    </xf>
    <xf numFmtId="198" fontId="13" fillId="19" borderId="91" xfId="0" applyNumberFormat="1" applyFont="1" applyFill="1" applyBorder="1" applyAlignment="1" applyProtection="1">
      <alignment horizontal="center" vertical="center" shrinkToFit="1"/>
      <protection locked="0"/>
    </xf>
    <xf numFmtId="0" fontId="13" fillId="19" borderId="87" xfId="0" applyNumberFormat="1" applyFont="1" applyFill="1" applyBorder="1" applyAlignment="1" applyProtection="1">
      <alignment horizontal="left" vertical="center" shrinkToFit="1"/>
      <protection locked="0"/>
    </xf>
    <xf numFmtId="198" fontId="13" fillId="19" borderId="93" xfId="0" applyNumberFormat="1" applyFont="1" applyFill="1" applyBorder="1" applyAlignment="1" applyProtection="1">
      <alignment horizontal="center" vertical="center" shrinkToFit="1"/>
      <protection locked="0"/>
    </xf>
    <xf numFmtId="197" fontId="13" fillId="19" borderId="87" xfId="0" applyNumberFormat="1" applyFont="1" applyFill="1" applyBorder="1" applyAlignment="1" applyProtection="1">
      <alignment horizontal="center" vertical="center" shrinkToFit="1"/>
      <protection locked="0"/>
    </xf>
    <xf numFmtId="197" fontId="13" fillId="19" borderId="91" xfId="0" applyNumberFormat="1" applyFont="1" applyFill="1" applyBorder="1" applyAlignment="1" applyProtection="1">
      <alignment horizontal="center" vertical="center" shrinkToFit="1"/>
      <protection locked="0"/>
    </xf>
    <xf numFmtId="197" fontId="13" fillId="19" borderId="95" xfId="0" applyNumberFormat="1" applyFont="1" applyFill="1" applyBorder="1" applyAlignment="1" applyProtection="1">
      <alignment horizontal="center" vertical="center" shrinkToFit="1"/>
      <protection locked="0"/>
    </xf>
    <xf numFmtId="198" fontId="13" fillId="19" borderId="89" xfId="0" applyNumberFormat="1" applyFont="1" applyFill="1" applyBorder="1" applyAlignment="1" applyProtection="1">
      <alignment horizontal="center" vertical="center" shrinkToFit="1"/>
      <protection locked="0"/>
    </xf>
    <xf numFmtId="198" fontId="13" fillId="19" borderId="86" xfId="0" applyNumberFormat="1" applyFont="1" applyFill="1" applyBorder="1" applyAlignment="1" applyProtection="1">
      <alignment horizontal="center" vertical="center" shrinkToFit="1"/>
      <protection locked="0"/>
    </xf>
    <xf numFmtId="198" fontId="13" fillId="19" borderId="92" xfId="0" applyNumberFormat="1" applyFont="1" applyFill="1" applyBorder="1" applyAlignment="1" applyProtection="1">
      <alignment horizontal="center" vertical="center" shrinkToFit="1"/>
      <protection locked="0"/>
    </xf>
    <xf numFmtId="0" fontId="13" fillId="19" borderId="4" xfId="0" applyNumberFormat="1" applyFont="1" applyFill="1" applyBorder="1" applyAlignment="1" applyProtection="1">
      <alignment horizontal="left" vertical="center" shrinkToFit="1"/>
      <protection locked="0"/>
    </xf>
    <xf numFmtId="198" fontId="13" fillId="19" borderId="94" xfId="0" applyNumberFormat="1" applyFont="1" applyFill="1" applyBorder="1" applyAlignment="1" applyProtection="1">
      <alignment horizontal="center" vertical="center" shrinkToFit="1"/>
      <protection locked="0"/>
    </xf>
    <xf numFmtId="197" fontId="13" fillId="19" borderId="4" xfId="0" applyNumberFormat="1" applyFont="1" applyFill="1" applyBorder="1" applyAlignment="1" applyProtection="1">
      <alignment horizontal="center" vertical="center" shrinkToFit="1"/>
      <protection locked="0"/>
    </xf>
    <xf numFmtId="197" fontId="13" fillId="19" borderId="92" xfId="0" applyNumberFormat="1" applyFont="1" applyFill="1" applyBorder="1" applyAlignment="1" applyProtection="1">
      <alignment horizontal="center" vertical="center" shrinkToFit="1"/>
      <protection locked="0"/>
    </xf>
    <xf numFmtId="197" fontId="13" fillId="19" borderId="96" xfId="0" applyNumberFormat="1" applyFont="1" applyFill="1" applyBorder="1" applyAlignment="1" applyProtection="1">
      <alignment horizontal="center" vertical="center" shrinkToFit="1"/>
      <protection locked="0"/>
    </xf>
    <xf numFmtId="173" fontId="63" fillId="19" borderId="271" xfId="5" applyNumberFormat="1" applyFont="1" applyFill="1" applyBorder="1" applyAlignment="1" applyProtection="1">
      <alignment shrinkToFit="1"/>
      <protection locked="0"/>
    </xf>
    <xf numFmtId="173" fontId="63" fillId="19" borderId="154" xfId="5" applyNumberFormat="1" applyFont="1" applyFill="1" applyBorder="1" applyAlignment="1" applyProtection="1">
      <alignment shrinkToFit="1"/>
      <protection locked="0"/>
    </xf>
    <xf numFmtId="173" fontId="63" fillId="19" borderId="262" xfId="5" applyNumberFormat="1" applyFont="1" applyFill="1" applyBorder="1" applyAlignment="1" applyProtection="1">
      <alignment shrinkToFit="1"/>
      <protection locked="0"/>
    </xf>
    <xf numFmtId="197" fontId="63" fillId="19" borderId="376" xfId="5" applyNumberFormat="1" applyFont="1" applyFill="1" applyBorder="1" applyAlignment="1" applyProtection="1">
      <alignment shrinkToFit="1"/>
      <protection locked="0"/>
    </xf>
    <xf numFmtId="0" fontId="63" fillId="19" borderId="272" xfId="5" applyFont="1" applyFill="1" applyBorder="1" applyAlignment="1" applyProtection="1">
      <alignment horizontal="left" shrinkToFit="1"/>
      <protection locked="0"/>
    </xf>
    <xf numFmtId="174" fontId="63" fillId="19" borderId="263" xfId="5" applyNumberFormat="1" applyFont="1" applyFill="1" applyBorder="1" applyAlignment="1" applyProtection="1">
      <alignment horizontal="center" shrinkToFit="1"/>
      <protection locked="0"/>
    </xf>
    <xf numFmtId="174" fontId="63" fillId="19" borderId="257" xfId="5" applyNumberFormat="1" applyFont="1" applyFill="1" applyBorder="1" applyAlignment="1" applyProtection="1">
      <alignment horizontal="center" shrinkToFit="1"/>
      <protection locked="0"/>
    </xf>
    <xf numFmtId="174" fontId="63" fillId="19" borderId="714" xfId="5" applyNumberFormat="1" applyFont="1" applyFill="1" applyBorder="1" applyAlignment="1" applyProtection="1">
      <alignment horizontal="center" shrinkToFit="1"/>
      <protection locked="0"/>
    </xf>
    <xf numFmtId="208" fontId="76" fillId="19" borderId="130" xfId="5" applyNumberFormat="1" applyFont="1" applyFill="1" applyBorder="1" applyAlignment="1" applyProtection="1">
      <alignment horizontal="center" shrinkToFit="1"/>
      <protection locked="0"/>
    </xf>
    <xf numFmtId="208" fontId="63" fillId="19" borderId="274" xfId="5" applyNumberFormat="1" applyFont="1" applyFill="1" applyBorder="1" applyAlignment="1" applyProtection="1">
      <alignment horizontal="center" shrinkToFit="1"/>
      <protection locked="0" hidden="1"/>
    </xf>
    <xf numFmtId="208" fontId="63" fillId="19" borderId="154" xfId="5" applyNumberFormat="1" applyFont="1" applyFill="1" applyBorder="1" applyAlignment="1" applyProtection="1">
      <alignment horizontal="center" shrinkToFit="1"/>
      <protection locked="0" hidden="1"/>
    </xf>
    <xf numFmtId="181" fontId="63" fillId="19" borderId="154" xfId="5" applyNumberFormat="1" applyFont="1" applyFill="1" applyBorder="1" applyAlignment="1" applyProtection="1">
      <alignment shrinkToFit="1"/>
      <protection locked="0"/>
    </xf>
    <xf numFmtId="170" fontId="85" fillId="19" borderId="477" xfId="3" applyNumberFormat="1" applyFont="1" applyFill="1" applyBorder="1" applyAlignment="1" applyProtection="1">
      <alignment horizontal="center" vertical="center" shrinkToFit="1"/>
      <protection locked="0"/>
    </xf>
    <xf numFmtId="170" fontId="85" fillId="19" borderId="747" xfId="3" applyNumberFormat="1" applyFont="1" applyFill="1" applyBorder="1" applyAlignment="1" applyProtection="1">
      <alignment horizontal="center" vertical="center" shrinkToFit="1"/>
      <protection locked="0"/>
    </xf>
    <xf numFmtId="170" fontId="85" fillId="19" borderId="480" xfId="3" applyNumberFormat="1" applyFont="1" applyFill="1" applyBorder="1" applyAlignment="1" applyProtection="1">
      <alignment horizontal="center" vertical="center" shrinkToFit="1"/>
      <protection locked="0"/>
    </xf>
    <xf numFmtId="170" fontId="85" fillId="19" borderId="748" xfId="3" applyNumberFormat="1" applyFont="1" applyFill="1" applyBorder="1" applyAlignment="1" applyProtection="1">
      <alignment horizontal="center" vertical="center" shrinkToFit="1"/>
      <protection locked="0"/>
    </xf>
    <xf numFmtId="170" fontId="85" fillId="19" borderId="478" xfId="3" applyNumberFormat="1" applyFont="1" applyFill="1" applyBorder="1" applyAlignment="1" applyProtection="1">
      <alignment horizontal="center" vertical="center" shrinkToFit="1"/>
      <protection locked="0"/>
    </xf>
    <xf numFmtId="170" fontId="85" fillId="19" borderId="479" xfId="3" applyNumberFormat="1" applyFont="1" applyFill="1" applyBorder="1" applyAlignment="1" applyProtection="1">
      <alignment horizontal="center" vertical="center" shrinkToFit="1"/>
      <protection locked="0"/>
    </xf>
    <xf numFmtId="181" fontId="89" fillId="19" borderId="484" xfId="0" applyNumberFormat="1" applyFont="1" applyFill="1" applyBorder="1" applyAlignment="1" applyProtection="1">
      <alignment horizontal="left"/>
      <protection locked="0"/>
    </xf>
    <xf numFmtId="181" fontId="89" fillId="19" borderId="488" xfId="0" applyNumberFormat="1" applyFont="1" applyFill="1" applyBorder="1" applyAlignment="1" applyProtection="1">
      <alignment horizontal="left"/>
      <protection locked="0"/>
    </xf>
    <xf numFmtId="181" fontId="89" fillId="19" borderId="486" xfId="0" applyNumberFormat="1" applyFont="1" applyFill="1" applyBorder="1" applyAlignment="1" applyProtection="1">
      <alignment horizontal="left"/>
      <protection locked="0"/>
    </xf>
    <xf numFmtId="0" fontId="105" fillId="19" borderId="553" xfId="5" applyFont="1" applyFill="1" applyBorder="1" applyAlignment="1" applyProtection="1">
      <alignment horizontal="center" shrinkToFit="1"/>
      <protection locked="0"/>
    </xf>
    <xf numFmtId="208" fontId="87" fillId="19" borderId="274" xfId="5" applyNumberFormat="1" applyFont="1" applyFill="1" applyBorder="1" applyAlignment="1" applyProtection="1">
      <alignment horizontal="center" shrinkToFit="1"/>
      <protection locked="0"/>
    </xf>
    <xf numFmtId="208" fontId="87" fillId="19" borderId="154" xfId="5" applyNumberFormat="1" applyFont="1" applyFill="1" applyBorder="1" applyAlignment="1" applyProtection="1">
      <alignment horizontal="center" shrinkToFit="1"/>
      <protection locked="0"/>
    </xf>
    <xf numFmtId="0" fontId="105" fillId="19" borderId="551" xfId="5" applyFont="1" applyFill="1" applyBorder="1" applyAlignment="1" applyProtection="1">
      <alignment horizontal="center" shrinkToFit="1"/>
      <protection locked="0"/>
    </xf>
    <xf numFmtId="208" fontId="87" fillId="19" borderId="273" xfId="5" applyNumberFormat="1" applyFont="1" applyFill="1" applyBorder="1" applyAlignment="1" applyProtection="1">
      <alignment horizontal="center" shrinkToFit="1"/>
      <protection locked="0"/>
    </xf>
    <xf numFmtId="208" fontId="87" fillId="19" borderId="270" xfId="5" applyNumberFormat="1" applyFont="1" applyFill="1" applyBorder="1" applyAlignment="1" applyProtection="1">
      <alignment horizontal="center" shrinkToFit="1"/>
      <protection locked="0"/>
    </xf>
    <xf numFmtId="216" fontId="106" fillId="19" borderId="310" xfId="12" applyNumberFormat="1" applyFont="1" applyFill="1" applyBorder="1" applyAlignment="1" applyProtection="1">
      <alignment horizontal="center" vertical="center" shrinkToFit="1"/>
      <protection locked="0" hidden="1"/>
    </xf>
    <xf numFmtId="216" fontId="106" fillId="19" borderId="2" xfId="12" applyNumberFormat="1" applyFont="1" applyFill="1" applyBorder="1" applyAlignment="1" applyProtection="1">
      <alignment horizontal="center" vertical="center" shrinkToFit="1"/>
      <protection locked="0" hidden="1"/>
    </xf>
    <xf numFmtId="174" fontId="101" fillId="19" borderId="512" xfId="5" applyNumberFormat="1" applyFont="1" applyFill="1" applyBorder="1" applyAlignment="1" applyProtection="1">
      <alignment horizontal="center" shrinkToFit="1"/>
      <protection locked="0"/>
    </xf>
    <xf numFmtId="0" fontId="23" fillId="28" borderId="38" xfId="3" applyFont="1" applyFill="1" applyBorder="1" applyAlignment="1" applyProtection="1">
      <alignment horizontal="center" vertical="center" shrinkToFit="1"/>
      <protection hidden="1"/>
    </xf>
    <xf numFmtId="0" fontId="23" fillId="28" borderId="39" xfId="3" applyFont="1" applyFill="1" applyBorder="1" applyAlignment="1" applyProtection="1">
      <alignment horizontal="center" vertical="center" shrinkToFit="1"/>
      <protection hidden="1"/>
    </xf>
    <xf numFmtId="0" fontId="34" fillId="28" borderId="39" xfId="3" applyFont="1" applyFill="1" applyBorder="1" applyAlignment="1" applyProtection="1">
      <alignment horizontal="center" vertical="center" shrinkToFit="1"/>
      <protection hidden="1"/>
    </xf>
    <xf numFmtId="0" fontId="91" fillId="28" borderId="39" xfId="3" applyFont="1" applyFill="1" applyBorder="1" applyAlignment="1" applyProtection="1">
      <alignment horizontal="center" vertical="center" wrapText="1" shrinkToFit="1"/>
      <protection hidden="1"/>
    </xf>
    <xf numFmtId="0" fontId="23" fillId="28" borderId="39" xfId="3" applyFont="1" applyFill="1" applyBorder="1" applyAlignment="1" applyProtection="1">
      <alignment horizontal="center" vertical="center" wrapText="1"/>
      <protection hidden="1"/>
    </xf>
    <xf numFmtId="0" fontId="34" fillId="28" borderId="39" xfId="3" applyFont="1" applyFill="1" applyBorder="1" applyAlignment="1" applyProtection="1">
      <alignment horizontal="center" vertical="center" wrapText="1" shrinkToFit="1"/>
      <protection hidden="1"/>
    </xf>
    <xf numFmtId="0" fontId="23" fillId="28" borderId="40" xfId="3" applyFont="1" applyFill="1" applyBorder="1" applyAlignment="1" applyProtection="1">
      <alignment horizontal="center" vertical="center" wrapText="1" shrinkToFit="1"/>
      <protection hidden="1"/>
    </xf>
    <xf numFmtId="0" fontId="34" fillId="28" borderId="39" xfId="3" applyFont="1" applyFill="1" applyBorder="1" applyAlignment="1" applyProtection="1">
      <alignment horizontal="center" vertical="center" wrapText="1"/>
      <protection hidden="1"/>
    </xf>
    <xf numFmtId="0" fontId="23" fillId="28" borderId="50" xfId="3" applyFont="1" applyFill="1" applyBorder="1" applyAlignment="1" applyProtection="1">
      <alignment horizontal="center" vertical="center" wrapText="1" shrinkToFit="1"/>
      <protection hidden="1"/>
    </xf>
    <xf numFmtId="0" fontId="26" fillId="0" borderId="55" xfId="3" applyFont="1" applyBorder="1" applyAlignment="1" applyProtection="1">
      <alignment vertical="center" shrinkToFit="1"/>
      <protection hidden="1"/>
    </xf>
    <xf numFmtId="0" fontId="26" fillId="0" borderId="0" xfId="3" applyFont="1" applyAlignment="1" applyProtection="1">
      <alignment vertical="center" shrinkToFit="1"/>
      <protection hidden="1"/>
    </xf>
    <xf numFmtId="0" fontId="26" fillId="0" borderId="334" xfId="3" applyFont="1" applyBorder="1" applyAlignment="1" applyProtection="1">
      <alignment vertical="center" shrinkToFit="1"/>
      <protection hidden="1"/>
    </xf>
    <xf numFmtId="0" fontId="122" fillId="0" borderId="55" xfId="3" applyFont="1" applyBorder="1" applyAlignment="1" applyProtection="1">
      <alignment vertical="center" shrinkToFit="1"/>
      <protection hidden="1"/>
    </xf>
    <xf numFmtId="0" fontId="122" fillId="0" borderId="0" xfId="3" applyFont="1" applyAlignment="1" applyProtection="1">
      <alignment vertical="center" shrinkToFit="1"/>
      <protection hidden="1"/>
    </xf>
    <xf numFmtId="0" fontId="16" fillId="0" borderId="0" xfId="3" applyFont="1" applyAlignment="1" applyProtection="1">
      <alignment vertical="center" shrinkToFit="1"/>
      <protection hidden="1"/>
    </xf>
    <xf numFmtId="0" fontId="91" fillId="28" borderId="694" xfId="5" applyFont="1" applyFill="1" applyBorder="1" applyAlignment="1" applyProtection="1">
      <alignment horizontal="center" shrinkToFit="1"/>
      <protection hidden="1"/>
    </xf>
    <xf numFmtId="166" fontId="91" fillId="28" borderId="694" xfId="0" applyFont="1" applyFill="1" applyBorder="1" applyAlignment="1" applyProtection="1">
      <alignment horizontal="center" shrinkToFit="1"/>
      <protection hidden="1"/>
    </xf>
    <xf numFmtId="174" fontId="50" fillId="18" borderId="760" xfId="0" applyNumberFormat="1" applyFont="1" applyFill="1" applyBorder="1" applyAlignment="1" applyProtection="1">
      <alignment horizontal="left" vertical="center"/>
      <protection locked="0"/>
    </xf>
    <xf numFmtId="0" fontId="91" fillId="28" borderId="142" xfId="5" applyFont="1" applyFill="1" applyBorder="1" applyAlignment="1" applyProtection="1">
      <alignment horizontal="center" vertical="center" shrinkToFit="1"/>
      <protection hidden="1"/>
    </xf>
    <xf numFmtId="0" fontId="91" fillId="28" borderId="767" xfId="5" applyFont="1" applyFill="1" applyBorder="1" applyAlignment="1" applyProtection="1">
      <alignment horizontal="center" vertical="center" shrinkToFit="1"/>
      <protection hidden="1"/>
    </xf>
    <xf numFmtId="0" fontId="91" fillId="28" borderId="675" xfId="5" applyFont="1" applyFill="1" applyBorder="1" applyAlignment="1" applyProtection="1">
      <alignment horizontal="center" shrinkToFit="1"/>
      <protection hidden="1"/>
    </xf>
    <xf numFmtId="174" fontId="34" fillId="29" borderId="612" xfId="0" applyNumberFormat="1" applyFont="1" applyFill="1" applyBorder="1" applyAlignment="1" applyProtection="1">
      <alignment horizontal="center" vertical="center" shrinkToFit="1"/>
      <protection hidden="1"/>
    </xf>
    <xf numFmtId="174" fontId="34" fillId="29" borderId="613" xfId="0" applyNumberFormat="1" applyFont="1" applyFill="1" applyBorder="1" applyAlignment="1" applyProtection="1">
      <alignment horizontal="center" vertical="center" shrinkToFit="1"/>
      <protection hidden="1"/>
    </xf>
    <xf numFmtId="174" fontId="34" fillId="29" borderId="614" xfId="0" applyNumberFormat="1" applyFont="1" applyFill="1" applyBorder="1" applyAlignment="1" applyProtection="1">
      <alignment horizontal="center" vertical="center" shrinkToFit="1"/>
      <protection hidden="1"/>
    </xf>
    <xf numFmtId="166" fontId="120" fillId="28" borderId="785" xfId="0" applyFont="1" applyFill="1" applyBorder="1" applyAlignment="1" applyProtection="1">
      <alignment horizontal="center" vertical="center" wrapText="1" shrinkToFit="1"/>
      <protection hidden="1"/>
    </xf>
    <xf numFmtId="0" fontId="125" fillId="28" borderId="406" xfId="5" applyFont="1" applyFill="1" applyBorder="1" applyAlignment="1" applyProtection="1">
      <alignment horizontal="center" vertical="center" wrapText="1" shrinkToFit="1"/>
      <protection hidden="1"/>
    </xf>
    <xf numFmtId="0" fontId="125" fillId="28" borderId="397" xfId="5" applyFont="1" applyFill="1" applyBorder="1" applyAlignment="1" applyProtection="1">
      <alignment horizontal="center" vertical="center" wrapText="1" shrinkToFit="1"/>
      <protection hidden="1"/>
    </xf>
    <xf numFmtId="0" fontId="125" fillId="28" borderId="407" xfId="5" applyFont="1" applyFill="1" applyBorder="1" applyAlignment="1" applyProtection="1">
      <alignment horizontal="center" vertical="center" wrapText="1" shrinkToFit="1"/>
      <protection hidden="1"/>
    </xf>
    <xf numFmtId="0" fontId="139" fillId="28" borderId="409" xfId="5" applyFont="1" applyFill="1" applyBorder="1" applyAlignment="1" applyProtection="1">
      <alignment horizontal="center" vertical="center" wrapText="1" shrinkToFit="1"/>
      <protection hidden="1"/>
    </xf>
    <xf numFmtId="0" fontId="127" fillId="28" borderId="410" xfId="5" applyFont="1" applyFill="1" applyBorder="1" applyAlignment="1" applyProtection="1">
      <alignment horizontal="center" vertical="center" wrapText="1" shrinkToFit="1"/>
      <protection hidden="1"/>
    </xf>
    <xf numFmtId="0" fontId="127" fillId="28" borderId="406" xfId="5" applyFont="1" applyFill="1" applyBorder="1" applyAlignment="1" applyProtection="1">
      <alignment horizontal="center" vertical="center" wrapText="1" shrinkToFit="1"/>
      <protection hidden="1"/>
    </xf>
    <xf numFmtId="0" fontId="127" fillId="28" borderId="397" xfId="5" applyFont="1" applyFill="1" applyBorder="1" applyAlignment="1" applyProtection="1">
      <alignment horizontal="center" vertical="center" wrapText="1" shrinkToFit="1"/>
      <protection hidden="1"/>
    </xf>
    <xf numFmtId="0" fontId="139" fillId="28" borderId="408" xfId="5" applyFont="1" applyFill="1" applyBorder="1" applyAlignment="1" applyProtection="1">
      <alignment horizontal="center" vertical="center" wrapText="1" shrinkToFit="1"/>
      <protection hidden="1"/>
    </xf>
    <xf numFmtId="0" fontId="125" fillId="28" borderId="795" xfId="5" applyFont="1" applyFill="1" applyBorder="1" applyAlignment="1" applyProtection="1">
      <alignment horizontal="center" vertical="center" shrinkToFit="1"/>
      <protection hidden="1"/>
    </xf>
    <xf numFmtId="0" fontId="125" fillId="28" borderId="794" xfId="5" applyFont="1" applyFill="1" applyBorder="1" applyAlignment="1" applyProtection="1">
      <alignment horizontal="center" vertical="center" shrinkToFit="1"/>
      <protection hidden="1"/>
    </xf>
    <xf numFmtId="0" fontId="138" fillId="28" borderId="159" xfId="5" applyFont="1" applyFill="1" applyBorder="1" applyAlignment="1" applyProtection="1">
      <alignment horizontal="center" vertical="center" wrapText="1" shrinkToFit="1"/>
      <protection hidden="1"/>
    </xf>
    <xf numFmtId="0" fontId="125" fillId="28" borderId="796" xfId="5" applyFont="1" applyFill="1" applyBorder="1" applyAlignment="1" applyProtection="1">
      <alignment horizontal="center" vertical="center" wrapText="1" shrinkToFit="1"/>
      <protection hidden="1"/>
    </xf>
    <xf numFmtId="0" fontId="125" fillId="28" borderId="797" xfId="5" applyFont="1" applyFill="1" applyBorder="1" applyAlignment="1" applyProtection="1">
      <alignment horizontal="center" vertical="center" wrapText="1" shrinkToFit="1"/>
      <protection hidden="1"/>
    </xf>
    <xf numFmtId="170" fontId="138" fillId="28" borderId="798" xfId="5" applyNumberFormat="1" applyFont="1" applyFill="1" applyBorder="1" applyAlignment="1" applyProtection="1">
      <alignment horizontal="center" vertical="center" wrapText="1" shrinkToFit="1"/>
      <protection hidden="1"/>
    </xf>
    <xf numFmtId="170" fontId="141" fillId="28" borderId="800" xfId="5" applyNumberFormat="1" applyFont="1" applyFill="1" applyBorder="1" applyAlignment="1" applyProtection="1">
      <alignment horizontal="center" vertical="center" wrapText="1" shrinkToFit="1"/>
      <protection hidden="1"/>
    </xf>
    <xf numFmtId="0" fontId="76" fillId="0" borderId="724" xfId="5" applyFont="1" applyBorder="1" applyAlignment="1" applyProtection="1">
      <alignment horizontal="center" shrinkToFit="1"/>
      <protection hidden="1"/>
    </xf>
    <xf numFmtId="0" fontId="76" fillId="19" borderId="724" xfId="5" applyFont="1" applyFill="1" applyBorder="1" applyAlignment="1" applyProtection="1">
      <alignment horizontal="center" shrinkToFit="1"/>
      <protection locked="0"/>
    </xf>
    <xf numFmtId="170" fontId="141" fillId="28" borderId="801" xfId="5" applyNumberFormat="1" applyFont="1" applyFill="1" applyBorder="1" applyAlignment="1" applyProtection="1">
      <alignment horizontal="center" vertical="center" wrapText="1" shrinkToFit="1"/>
      <protection hidden="1"/>
    </xf>
    <xf numFmtId="228" fontId="76" fillId="0" borderId="802" xfId="5" applyNumberFormat="1" applyFont="1" applyBorder="1" applyAlignment="1" applyProtection="1">
      <alignment horizontal="center" shrinkToFit="1"/>
      <protection hidden="1"/>
    </xf>
    <xf numFmtId="228" fontId="76" fillId="19" borderId="802" xfId="5" applyNumberFormat="1" applyFont="1" applyFill="1" applyBorder="1" applyAlignment="1" applyProtection="1">
      <alignment horizontal="center" shrinkToFit="1"/>
      <protection locked="0" hidden="1"/>
    </xf>
    <xf numFmtId="0" fontId="139" fillId="28" borderId="804" xfId="5" applyFont="1" applyFill="1" applyBorder="1" applyAlignment="1" applyProtection="1">
      <alignment horizontal="center" vertical="center" wrapText="1" shrinkToFit="1"/>
      <protection hidden="1"/>
    </xf>
    <xf numFmtId="0" fontId="141" fillId="28" borderId="798" xfId="5" applyFont="1" applyFill="1" applyBorder="1" applyAlignment="1" applyProtection="1">
      <alignment horizontal="center" vertical="center" wrapText="1" shrinkToFit="1"/>
      <protection hidden="1"/>
    </xf>
    <xf numFmtId="169" fontId="38" fillId="30" borderId="647" xfId="3" applyNumberFormat="1" applyFont="1" applyFill="1" applyBorder="1" applyAlignment="1" applyProtection="1">
      <alignment horizontal="center" vertical="center"/>
      <protection hidden="1"/>
    </xf>
    <xf numFmtId="169" fontId="38" fillId="30" borderId="650" xfId="3" applyNumberFormat="1" applyFont="1" applyFill="1" applyBorder="1" applyAlignment="1" applyProtection="1">
      <alignment horizontal="center" vertical="center"/>
      <protection hidden="1"/>
    </xf>
    <xf numFmtId="169" fontId="38" fillId="30" borderId="659" xfId="3" applyNumberFormat="1" applyFont="1" applyFill="1" applyBorder="1" applyAlignment="1" applyProtection="1">
      <alignment horizontal="center" vertical="center"/>
      <protection hidden="1"/>
    </xf>
    <xf numFmtId="169" fontId="13" fillId="30" borderId="152" xfId="0" applyNumberFormat="1" applyFont="1" applyFill="1" applyBorder="1" applyAlignment="1" applyProtection="1">
      <alignment horizontal="center" shrinkToFit="1"/>
      <protection hidden="1"/>
    </xf>
    <xf numFmtId="169" fontId="13" fillId="30" borderId="154" xfId="0" applyNumberFormat="1" applyFont="1" applyFill="1" applyBorder="1" applyAlignment="1" applyProtection="1">
      <alignment horizontal="center" shrinkToFit="1"/>
      <protection hidden="1"/>
    </xf>
    <xf numFmtId="168" fontId="13" fillId="30" borderId="266" xfId="0" applyNumberFormat="1" applyFont="1" applyFill="1" applyBorder="1" applyAlignment="1" applyProtection="1">
      <alignment horizontal="center" shrinkToFit="1"/>
      <protection hidden="1"/>
    </xf>
    <xf numFmtId="168" fontId="13" fillId="30" borderId="260" xfId="0" applyNumberFormat="1" applyFont="1" applyFill="1" applyBorder="1" applyAlignment="1" applyProtection="1">
      <alignment horizontal="center" shrinkToFit="1"/>
      <protection hidden="1"/>
    </xf>
    <xf numFmtId="170" fontId="13" fillId="30" borderId="266" xfId="0" applyNumberFormat="1" applyFont="1" applyFill="1" applyBorder="1" applyAlignment="1" applyProtection="1">
      <alignment horizontal="center" shrinkToFit="1"/>
      <protection hidden="1"/>
    </xf>
    <xf numFmtId="170" fontId="13" fillId="30" borderId="260" xfId="0" applyNumberFormat="1" applyFont="1" applyFill="1" applyBorder="1" applyAlignment="1" applyProtection="1">
      <alignment horizontal="center" shrinkToFit="1"/>
      <protection hidden="1"/>
    </xf>
    <xf numFmtId="210" fontId="13" fillId="30" borderId="266" xfId="0" applyNumberFormat="1" applyFont="1" applyFill="1" applyBorder="1" applyAlignment="1" applyProtection="1">
      <alignment horizontal="center" shrinkToFit="1"/>
      <protection hidden="1"/>
    </xf>
    <xf numFmtId="210" fontId="13" fillId="30" borderId="260" xfId="0" applyNumberFormat="1" applyFont="1" applyFill="1" applyBorder="1" applyAlignment="1" applyProtection="1">
      <alignment horizontal="center" shrinkToFit="1"/>
      <protection hidden="1"/>
    </xf>
    <xf numFmtId="168" fontId="15" fillId="30" borderId="647" xfId="0" applyNumberFormat="1" applyFont="1" applyFill="1" applyBorder="1" applyAlignment="1" applyProtection="1">
      <alignment horizontal="center" shrinkToFit="1"/>
      <protection hidden="1"/>
    </xf>
    <xf numFmtId="168" fontId="15" fillId="30" borderId="650" xfId="0" applyNumberFormat="1" applyFont="1" applyFill="1" applyBorder="1" applyAlignment="1" applyProtection="1">
      <alignment horizontal="center" shrinkToFit="1"/>
      <protection hidden="1"/>
    </xf>
    <xf numFmtId="168" fontId="15" fillId="30" borderId="659" xfId="0" applyNumberFormat="1" applyFont="1" applyFill="1" applyBorder="1" applyAlignment="1" applyProtection="1">
      <alignment horizontal="center" shrinkToFit="1"/>
      <protection hidden="1"/>
    </xf>
    <xf numFmtId="209" fontId="15" fillId="30" borderId="647" xfId="0" applyNumberFormat="1" applyFont="1" applyFill="1" applyBorder="1" applyAlignment="1" applyProtection="1">
      <alignment horizontal="center" shrinkToFit="1"/>
      <protection hidden="1"/>
    </xf>
    <xf numFmtId="209" fontId="15" fillId="30" borderId="650" xfId="0" applyNumberFormat="1" applyFont="1" applyFill="1" applyBorder="1" applyAlignment="1" applyProtection="1">
      <alignment horizontal="center" shrinkToFit="1"/>
      <protection hidden="1"/>
    </xf>
    <xf numFmtId="209" fontId="15" fillId="30" borderId="659" xfId="0" applyNumberFormat="1" applyFont="1" applyFill="1" applyBorder="1" applyAlignment="1" applyProtection="1">
      <alignment horizontal="center" shrinkToFit="1"/>
      <protection hidden="1"/>
    </xf>
    <xf numFmtId="166" fontId="38" fillId="0" borderId="805" xfId="0" applyFont="1" applyBorder="1" applyAlignment="1" applyProtection="1">
      <alignment shrinkToFit="1"/>
      <protection hidden="1"/>
    </xf>
    <xf numFmtId="166" fontId="38" fillId="0" borderId="806" xfId="0" applyFont="1" applyBorder="1" applyAlignment="1" applyProtection="1">
      <alignment shrinkToFit="1"/>
      <protection hidden="1"/>
    </xf>
    <xf numFmtId="0" fontId="42" fillId="0" borderId="807" xfId="0" applyNumberFormat="1" applyFont="1" applyBorder="1" applyAlignment="1" applyProtection="1">
      <alignment shrinkToFit="1"/>
      <protection hidden="1"/>
    </xf>
    <xf numFmtId="178" fontId="135" fillId="28" borderId="520" xfId="3" applyNumberFormat="1" applyFont="1" applyFill="1" applyBorder="1" applyAlignment="1" applyProtection="1">
      <alignment horizontal="center" vertical="center" wrapText="1" shrinkToFit="1"/>
      <protection locked="0"/>
    </xf>
    <xf numFmtId="178" fontId="135" fillId="28" borderId="521" xfId="3" applyNumberFormat="1" applyFont="1" applyFill="1" applyBorder="1" applyAlignment="1" applyProtection="1">
      <alignment horizontal="center" vertical="center" wrapText="1" shrinkToFit="1"/>
      <protection locked="0"/>
    </xf>
    <xf numFmtId="0" fontId="135" fillId="28" borderId="520" xfId="5" applyFont="1" applyFill="1" applyBorder="1" applyAlignment="1" applyProtection="1">
      <alignment horizontal="center" vertical="center"/>
      <protection hidden="1"/>
    </xf>
    <xf numFmtId="0" fontId="136" fillId="28" borderId="532" xfId="5" applyFont="1" applyFill="1" applyBorder="1" applyAlignment="1" applyProtection="1">
      <alignment horizontal="center" vertical="center"/>
      <protection hidden="1"/>
    </xf>
    <xf numFmtId="178" fontId="135" fillId="28" borderId="531" xfId="3" applyNumberFormat="1" applyFont="1" applyFill="1" applyBorder="1" applyAlignment="1" applyProtection="1">
      <alignment horizontal="center" vertical="center" wrapText="1" shrinkToFit="1"/>
      <protection locked="0"/>
    </xf>
    <xf numFmtId="178" fontId="135" fillId="28" borderId="532" xfId="3" applyNumberFormat="1" applyFont="1" applyFill="1" applyBorder="1" applyAlignment="1" applyProtection="1">
      <alignment horizontal="center" vertical="center" wrapText="1" shrinkToFit="1"/>
      <protection locked="0"/>
    </xf>
    <xf numFmtId="0" fontId="145" fillId="28" borderId="555" xfId="5" applyFont="1" applyFill="1" applyBorder="1" applyAlignment="1" applyProtection="1">
      <alignment horizontal="center" vertical="center" wrapText="1" shrinkToFit="1"/>
      <protection hidden="1"/>
    </xf>
    <xf numFmtId="0" fontId="145" fillId="28" borderId="556" xfId="5" applyFont="1" applyFill="1" applyBorder="1" applyAlignment="1" applyProtection="1">
      <alignment horizontal="center" vertical="center" wrapText="1" shrinkToFit="1"/>
      <protection hidden="1"/>
    </xf>
    <xf numFmtId="0" fontId="145" fillId="28" borderId="557" xfId="5" applyFont="1" applyFill="1" applyBorder="1" applyAlignment="1" applyProtection="1">
      <alignment horizontal="center" vertical="center" wrapText="1" shrinkToFit="1"/>
      <protection hidden="1"/>
    </xf>
    <xf numFmtId="178" fontId="135" fillId="28" borderId="820" xfId="3" applyNumberFormat="1" applyFont="1" applyFill="1" applyBorder="1" applyAlignment="1" applyProtection="1">
      <alignment horizontal="center" vertical="center" wrapText="1" shrinkToFit="1"/>
      <protection locked="0"/>
    </xf>
    <xf numFmtId="178" fontId="135" fillId="28" borderId="821" xfId="3" applyNumberFormat="1" applyFont="1" applyFill="1" applyBorder="1" applyAlignment="1" applyProtection="1">
      <alignment horizontal="center" vertical="center" wrapText="1" shrinkToFit="1"/>
      <protection locked="0"/>
    </xf>
    <xf numFmtId="170" fontId="145" fillId="28" borderId="822" xfId="5" applyNumberFormat="1" applyFont="1" applyFill="1" applyBorder="1" applyAlignment="1" applyProtection="1">
      <alignment horizontal="center" vertical="center" wrapText="1" shrinkToFit="1"/>
      <protection hidden="1"/>
    </xf>
    <xf numFmtId="0" fontId="145" fillId="28" borderId="823" xfId="5" applyFont="1" applyFill="1" applyBorder="1" applyAlignment="1" applyProtection="1">
      <alignment horizontal="center" vertical="center" wrapText="1" shrinkToFit="1"/>
      <protection hidden="1"/>
    </xf>
    <xf numFmtId="0" fontId="16" fillId="0" borderId="7" xfId="3" applyFont="1" applyBorder="1" applyAlignment="1" applyProtection="1">
      <alignment horizontal="center" shrinkToFit="1"/>
      <protection hidden="1"/>
    </xf>
    <xf numFmtId="0" fontId="18" fillId="0" borderId="8" xfId="3" applyFont="1" applyBorder="1" applyAlignment="1" applyProtection="1">
      <alignment horizontal="center" vertical="center" wrapText="1" shrinkToFit="1"/>
      <protection hidden="1"/>
    </xf>
    <xf numFmtId="0" fontId="17" fillId="0" borderId="7" xfId="3" applyFont="1" applyBorder="1" applyAlignment="1" applyProtection="1">
      <alignment horizontal="center" shrinkToFit="1"/>
      <protection hidden="1"/>
    </xf>
    <xf numFmtId="168" fontId="13" fillId="0" borderId="827" xfId="0" applyNumberFormat="1" applyFont="1" applyBorder="1" applyAlignment="1" applyProtection="1">
      <alignment horizontal="center" vertical="center" shrinkToFit="1"/>
      <protection locked="0" hidden="1"/>
    </xf>
    <xf numFmtId="170" fontId="13" fillId="0" borderId="136" xfId="3" applyNumberFormat="1" applyFont="1" applyBorder="1" applyAlignment="1" applyProtection="1">
      <alignment horizontal="center" vertical="center" shrinkToFit="1"/>
      <protection hidden="1"/>
    </xf>
    <xf numFmtId="203" fontId="13" fillId="13" borderId="158" xfId="3" applyNumberFormat="1" applyFont="1" applyFill="1" applyBorder="1" applyAlignment="1" applyProtection="1">
      <alignment horizontal="center" vertical="center" shrinkToFit="1"/>
      <protection hidden="1"/>
    </xf>
    <xf numFmtId="177" fontId="13" fillId="0" borderId="136" xfId="3" applyNumberFormat="1" applyFont="1" applyBorder="1" applyAlignment="1" applyProtection="1">
      <alignment horizontal="center" vertical="center" shrinkToFit="1"/>
      <protection hidden="1"/>
    </xf>
    <xf numFmtId="207" fontId="13" fillId="13" borderId="164" xfId="3" applyNumberFormat="1" applyFont="1" applyFill="1" applyBorder="1" applyAlignment="1" applyProtection="1">
      <alignment horizontal="center" vertical="center" shrinkToFit="1"/>
      <protection hidden="1"/>
    </xf>
    <xf numFmtId="174" fontId="13" fillId="13" borderId="232" xfId="3" applyNumberFormat="1" applyFont="1" applyFill="1" applyBorder="1" applyAlignment="1" applyProtection="1">
      <alignment horizontal="center" vertical="center" shrinkToFit="1"/>
      <protection hidden="1"/>
    </xf>
    <xf numFmtId="182" fontId="14" fillId="13" borderId="164" xfId="3" applyNumberFormat="1" applyFont="1" applyFill="1" applyBorder="1" applyAlignment="1" applyProtection="1">
      <alignment horizontal="center" vertical="center" shrinkToFit="1"/>
      <protection hidden="1"/>
    </xf>
    <xf numFmtId="205" fontId="13" fillId="13" borderId="158" xfId="3" applyNumberFormat="1" applyFont="1" applyFill="1" applyBorder="1" applyAlignment="1" applyProtection="1">
      <alignment horizontal="center" vertical="center" shrinkToFit="1"/>
      <protection hidden="1"/>
    </xf>
    <xf numFmtId="182" fontId="14" fillId="13" borderId="158" xfId="3" applyNumberFormat="1" applyFont="1" applyFill="1" applyBorder="1" applyAlignment="1" applyProtection="1">
      <alignment horizontal="center" vertical="center" shrinkToFit="1"/>
      <protection hidden="1"/>
    </xf>
    <xf numFmtId="182" fontId="14" fillId="13" borderId="643" xfId="3" applyNumberFormat="1" applyFont="1" applyFill="1" applyBorder="1" applyAlignment="1" applyProtection="1">
      <alignment horizontal="center" vertical="center" shrinkToFit="1"/>
      <protection hidden="1"/>
    </xf>
    <xf numFmtId="182" fontId="13" fillId="13" borderId="164" xfId="3" applyNumberFormat="1" applyFont="1" applyFill="1" applyBorder="1" applyAlignment="1" applyProtection="1">
      <alignment horizontal="center" vertical="center" shrinkToFit="1"/>
      <protection hidden="1"/>
    </xf>
    <xf numFmtId="166" fontId="13" fillId="0" borderId="759" xfId="0" applyFont="1" applyBorder="1" applyAlignment="1" applyProtection="1">
      <alignment horizontal="center" vertical="center" wrapText="1" shrinkToFit="1"/>
      <protection hidden="1"/>
    </xf>
    <xf numFmtId="166" fontId="15" fillId="5" borderId="353" xfId="0" applyFont="1" applyFill="1" applyBorder="1" applyAlignment="1" applyProtection="1">
      <alignment horizontal="center" vertical="center"/>
      <protection hidden="1"/>
    </xf>
    <xf numFmtId="166" fontId="15" fillId="5" borderId="751" xfId="0" applyFont="1" applyFill="1" applyBorder="1" applyAlignment="1" applyProtection="1">
      <alignment horizontal="center" vertical="center"/>
      <protection hidden="1"/>
    </xf>
    <xf numFmtId="166" fontId="15" fillId="5" borderId="354" xfId="0" applyFont="1" applyFill="1" applyBorder="1" applyAlignment="1" applyProtection="1">
      <alignment horizontal="center" vertical="center" wrapText="1"/>
      <protection hidden="1"/>
    </xf>
    <xf numFmtId="166" fontId="15" fillId="5" borderId="355" xfId="0" applyFont="1" applyFill="1" applyBorder="1" applyAlignment="1" applyProtection="1">
      <alignment horizontal="center" vertical="center" wrapText="1"/>
      <protection hidden="1"/>
    </xf>
    <xf numFmtId="166" fontId="15" fillId="5" borderId="360" xfId="0" applyFont="1" applyFill="1" applyBorder="1" applyAlignment="1" applyProtection="1">
      <alignment horizontal="center" vertical="center" shrinkToFit="1"/>
      <protection hidden="1"/>
    </xf>
    <xf numFmtId="166" fontId="15" fillId="5" borderId="361" xfId="0" applyFont="1" applyFill="1" applyBorder="1" applyAlignment="1" applyProtection="1">
      <alignment horizontal="center" vertical="center" shrinkToFit="1"/>
      <protection hidden="1"/>
    </xf>
    <xf numFmtId="166" fontId="15" fillId="5" borderId="362" xfId="0" applyFont="1" applyFill="1" applyBorder="1" applyAlignment="1" applyProtection="1">
      <alignment horizontal="center" vertical="center" shrinkToFit="1"/>
      <protection hidden="1"/>
    </xf>
    <xf numFmtId="170" fontId="13" fillId="0" borderId="151" xfId="3" applyNumberFormat="1" applyFont="1" applyBorder="1" applyAlignment="1" applyProtection="1">
      <alignment horizontal="center" vertical="center" shrinkToFit="1"/>
      <protection hidden="1"/>
    </xf>
    <xf numFmtId="203" fontId="15" fillId="13" borderId="160" xfId="3" applyNumberFormat="1" applyFont="1" applyFill="1" applyBorder="1" applyAlignment="1" applyProtection="1">
      <alignment horizontal="center" vertical="center" shrinkToFit="1"/>
      <protection hidden="1"/>
    </xf>
    <xf numFmtId="177" fontId="13" fillId="0" borderId="151" xfId="3" applyNumberFormat="1" applyFont="1" applyBorder="1" applyAlignment="1" applyProtection="1">
      <alignment horizontal="center" vertical="center" shrinkToFit="1"/>
      <protection hidden="1"/>
    </xf>
    <xf numFmtId="204" fontId="13" fillId="13" borderId="166" xfId="3" applyNumberFormat="1" applyFont="1" applyFill="1" applyBorder="1" applyAlignment="1" applyProtection="1">
      <alignment horizontal="center" vertical="center" shrinkToFit="1"/>
      <protection hidden="1"/>
    </xf>
    <xf numFmtId="174" fontId="13" fillId="0" borderId="133" xfId="0" applyNumberFormat="1" applyFont="1" applyBorder="1" applyAlignment="1" applyProtection="1">
      <alignment horizontal="center" shrinkToFit="1"/>
      <protection hidden="1"/>
    </xf>
    <xf numFmtId="182" fontId="3" fillId="13" borderId="179" xfId="3" applyNumberFormat="1" applyFont="1" applyFill="1" applyBorder="1" applyAlignment="1" applyProtection="1">
      <alignment horizontal="center" vertical="center" shrinkToFit="1"/>
      <protection hidden="1"/>
    </xf>
    <xf numFmtId="205" fontId="13" fillId="13" borderId="160" xfId="3" applyNumberFormat="1" applyFont="1" applyFill="1" applyBorder="1" applyAlignment="1" applyProtection="1">
      <alignment horizontal="center" vertical="center" shrinkToFit="1"/>
      <protection hidden="1"/>
    </xf>
    <xf numFmtId="182" fontId="13" fillId="13" borderId="160" xfId="3" applyNumberFormat="1" applyFont="1" applyFill="1" applyBorder="1" applyAlignment="1" applyProtection="1">
      <alignment horizontal="center" vertical="center" shrinkToFit="1"/>
      <protection hidden="1"/>
    </xf>
    <xf numFmtId="182" fontId="13" fillId="13" borderId="179" xfId="3" applyNumberFormat="1" applyFont="1" applyFill="1" applyBorder="1" applyAlignment="1" applyProtection="1">
      <alignment horizontal="center" vertical="center" shrinkToFit="1"/>
      <protection hidden="1"/>
    </xf>
    <xf numFmtId="182" fontId="13" fillId="13" borderId="648" xfId="3" applyNumberFormat="1" applyFont="1" applyFill="1" applyBorder="1" applyAlignment="1" applyProtection="1">
      <alignment horizontal="center" vertical="center" shrinkToFit="1"/>
      <protection hidden="1"/>
    </xf>
    <xf numFmtId="166" fontId="13" fillId="0" borderId="146" xfId="0" applyFont="1" applyBorder="1" applyAlignment="1" applyProtection="1">
      <alignment horizontal="center"/>
      <protection hidden="1"/>
    </xf>
    <xf numFmtId="170" fontId="13" fillId="0" borderId="153" xfId="3" applyNumberFormat="1" applyFont="1" applyBorder="1" applyAlignment="1" applyProtection="1">
      <alignment horizontal="center" vertical="center" shrinkToFit="1"/>
      <protection hidden="1"/>
    </xf>
    <xf numFmtId="203" fontId="15" fillId="13" borderId="161" xfId="3" applyNumberFormat="1" applyFont="1" applyFill="1" applyBorder="1" applyAlignment="1" applyProtection="1">
      <alignment horizontal="center" vertical="center" shrinkToFit="1"/>
      <protection hidden="1"/>
    </xf>
    <xf numFmtId="177" fontId="13" fillId="0" borderId="153" xfId="3" applyNumberFormat="1" applyFont="1" applyBorder="1" applyAlignment="1" applyProtection="1">
      <alignment horizontal="center" vertical="center" shrinkToFit="1"/>
      <protection hidden="1"/>
    </xf>
    <xf numFmtId="204" fontId="13" fillId="13" borderId="167" xfId="3" applyNumberFormat="1" applyFont="1" applyFill="1" applyBorder="1" applyAlignment="1" applyProtection="1">
      <alignment horizontal="center" vertical="center" shrinkToFit="1"/>
      <protection hidden="1"/>
    </xf>
    <xf numFmtId="174" fontId="13" fillId="0" borderId="130" xfId="0" applyNumberFormat="1" applyFont="1" applyBorder="1" applyAlignment="1" applyProtection="1">
      <alignment horizontal="center" shrinkToFit="1"/>
      <protection hidden="1"/>
    </xf>
    <xf numFmtId="182" fontId="3" fillId="13" borderId="166" xfId="3" applyNumberFormat="1" applyFont="1" applyFill="1" applyBorder="1" applyAlignment="1" applyProtection="1">
      <alignment horizontal="center" vertical="center" shrinkToFit="1"/>
      <protection hidden="1"/>
    </xf>
    <xf numFmtId="205" fontId="13" fillId="13" borderId="162" xfId="3" applyNumberFormat="1" applyFont="1" applyFill="1" applyBorder="1" applyAlignment="1" applyProtection="1">
      <alignment horizontal="center" vertical="center" shrinkToFit="1"/>
      <protection hidden="1"/>
    </xf>
    <xf numFmtId="182" fontId="13" fillId="13" borderId="161" xfId="3" applyNumberFormat="1" applyFont="1" applyFill="1" applyBorder="1" applyAlignment="1" applyProtection="1">
      <alignment horizontal="center" vertical="center" shrinkToFit="1"/>
      <protection hidden="1"/>
    </xf>
    <xf numFmtId="182" fontId="13" fillId="13" borderId="166" xfId="3" applyNumberFormat="1" applyFont="1" applyFill="1" applyBorder="1" applyAlignment="1" applyProtection="1">
      <alignment horizontal="center" vertical="center" shrinkToFit="1"/>
      <protection hidden="1"/>
    </xf>
    <xf numFmtId="182" fontId="13" fillId="13" borderId="651" xfId="3" applyNumberFormat="1" applyFont="1" applyFill="1" applyBorder="1" applyAlignment="1" applyProtection="1">
      <alignment horizontal="center" vertical="center" shrinkToFit="1"/>
      <protection hidden="1"/>
    </xf>
    <xf numFmtId="170" fontId="13" fillId="0" borderId="155" xfId="3" applyNumberFormat="1" applyFont="1" applyBorder="1" applyAlignment="1" applyProtection="1">
      <alignment horizontal="center" vertical="center" shrinkToFit="1"/>
      <protection hidden="1"/>
    </xf>
    <xf numFmtId="203" fontId="15" fillId="13" borderId="162" xfId="3" applyNumberFormat="1" applyFont="1" applyFill="1" applyBorder="1" applyAlignment="1" applyProtection="1">
      <alignment horizontal="center" vertical="center" shrinkToFit="1"/>
      <protection hidden="1"/>
    </xf>
    <xf numFmtId="177" fontId="13" fillId="0" borderId="155" xfId="3" applyNumberFormat="1" applyFont="1" applyBorder="1" applyAlignment="1" applyProtection="1">
      <alignment horizontal="center" vertical="center" shrinkToFit="1"/>
      <protection hidden="1"/>
    </xf>
    <xf numFmtId="182" fontId="3" fillId="13" borderId="167" xfId="3" applyNumberFormat="1" applyFont="1" applyFill="1" applyBorder="1" applyAlignment="1" applyProtection="1">
      <alignment horizontal="center" vertical="center" shrinkToFit="1"/>
      <protection hidden="1"/>
    </xf>
    <xf numFmtId="182" fontId="13" fillId="13" borderId="652" xfId="3" applyNumberFormat="1" applyFont="1" applyFill="1" applyBorder="1" applyAlignment="1" applyProtection="1">
      <alignment horizontal="center" vertical="center" shrinkToFit="1"/>
      <protection hidden="1"/>
    </xf>
    <xf numFmtId="182" fontId="13" fillId="13" borderId="167" xfId="3" applyNumberFormat="1" applyFont="1" applyFill="1" applyBorder="1" applyAlignment="1" applyProtection="1">
      <alignment horizontal="center" vertical="center" shrinkToFit="1"/>
      <protection hidden="1"/>
    </xf>
    <xf numFmtId="182" fontId="13" fillId="13" borderId="162" xfId="3" applyNumberFormat="1" applyFont="1" applyFill="1" applyBorder="1" applyAlignment="1" applyProtection="1">
      <alignment horizontal="center" vertical="center" shrinkToFit="1"/>
      <protection hidden="1"/>
    </xf>
    <xf numFmtId="170" fontId="13" fillId="0" borderId="156" xfId="3" applyNumberFormat="1" applyFont="1" applyBorder="1" applyAlignment="1" applyProtection="1">
      <alignment horizontal="center" vertical="center" shrinkToFit="1"/>
      <protection hidden="1"/>
    </xf>
    <xf numFmtId="203" fontId="15" fillId="13" borderId="163" xfId="3" applyNumberFormat="1" applyFont="1" applyFill="1" applyBorder="1" applyAlignment="1" applyProtection="1">
      <alignment horizontal="center" vertical="center" shrinkToFit="1"/>
      <protection hidden="1"/>
    </xf>
    <xf numFmtId="177" fontId="13" fillId="0" borderId="156" xfId="3" applyNumberFormat="1" applyFont="1" applyBorder="1" applyAlignment="1" applyProtection="1">
      <alignment horizontal="center" vertical="center" shrinkToFit="1"/>
      <protection hidden="1"/>
    </xf>
    <xf numFmtId="204" fontId="13" fillId="13" borderId="168" xfId="3" applyNumberFormat="1" applyFont="1" applyFill="1" applyBorder="1" applyAlignment="1" applyProtection="1">
      <alignment horizontal="center" vertical="center" shrinkToFit="1"/>
      <protection hidden="1"/>
    </xf>
    <xf numFmtId="182" fontId="3" fillId="13" borderId="168" xfId="3" applyNumberFormat="1" applyFont="1" applyFill="1" applyBorder="1" applyAlignment="1" applyProtection="1">
      <alignment horizontal="center" vertical="center" shrinkToFit="1"/>
      <protection hidden="1"/>
    </xf>
    <xf numFmtId="205" fontId="13" fillId="13" borderId="163" xfId="3" applyNumberFormat="1" applyFont="1" applyFill="1" applyBorder="1" applyAlignment="1" applyProtection="1">
      <alignment horizontal="center" vertical="center" shrinkToFit="1"/>
      <protection hidden="1"/>
    </xf>
    <xf numFmtId="182" fontId="13" fillId="13" borderId="163" xfId="3" applyNumberFormat="1" applyFont="1" applyFill="1" applyBorder="1" applyAlignment="1" applyProtection="1">
      <alignment horizontal="center" vertical="center" shrinkToFit="1"/>
      <protection hidden="1"/>
    </xf>
    <xf numFmtId="182" fontId="13" fillId="13" borderId="168" xfId="3" applyNumberFormat="1" applyFont="1" applyFill="1" applyBorder="1" applyAlignment="1" applyProtection="1">
      <alignment horizontal="center" vertical="center" shrinkToFit="1"/>
      <protection hidden="1"/>
    </xf>
    <xf numFmtId="182" fontId="13" fillId="13" borderId="655" xfId="3" applyNumberFormat="1" applyFont="1" applyFill="1" applyBorder="1" applyAlignment="1" applyProtection="1">
      <alignment horizontal="center" vertical="center" shrinkToFit="1"/>
      <protection hidden="1"/>
    </xf>
    <xf numFmtId="170" fontId="13" fillId="0" borderId="222" xfId="3" applyNumberFormat="1" applyFont="1" applyBorder="1" applyAlignment="1" applyProtection="1">
      <alignment horizontal="center" vertical="center" shrinkToFit="1"/>
      <protection hidden="1"/>
    </xf>
    <xf numFmtId="203" fontId="15" fillId="13" borderId="224" xfId="3" applyNumberFormat="1" applyFont="1" applyFill="1" applyBorder="1" applyAlignment="1" applyProtection="1">
      <alignment horizontal="center" vertical="center" shrinkToFit="1"/>
      <protection hidden="1"/>
    </xf>
    <xf numFmtId="177" fontId="13" fillId="0" borderId="222" xfId="3" applyNumberFormat="1" applyFont="1" applyBorder="1" applyAlignment="1" applyProtection="1">
      <alignment horizontal="center" vertical="center" shrinkToFit="1"/>
      <protection hidden="1"/>
    </xf>
    <xf numFmtId="204" fontId="13" fillId="13" borderId="225" xfId="3" applyNumberFormat="1" applyFont="1" applyFill="1" applyBorder="1" applyAlignment="1" applyProtection="1">
      <alignment horizontal="center" vertical="center" shrinkToFit="1"/>
      <protection hidden="1"/>
    </xf>
    <xf numFmtId="182" fontId="3" fillId="13" borderId="225" xfId="3" applyNumberFormat="1" applyFont="1" applyFill="1" applyBorder="1" applyAlignment="1" applyProtection="1">
      <alignment horizontal="center" vertical="center" shrinkToFit="1"/>
      <protection hidden="1"/>
    </xf>
    <xf numFmtId="205" fontId="13" fillId="13" borderId="224" xfId="3" applyNumberFormat="1" applyFont="1" applyFill="1" applyBorder="1" applyAlignment="1" applyProtection="1">
      <alignment horizontal="center" vertical="center" shrinkToFit="1"/>
      <protection hidden="1"/>
    </xf>
    <xf numFmtId="182" fontId="13" fillId="13" borderId="224" xfId="3" applyNumberFormat="1" applyFont="1" applyFill="1" applyBorder="1" applyAlignment="1" applyProtection="1">
      <alignment horizontal="center" vertical="center" shrinkToFit="1"/>
      <protection hidden="1"/>
    </xf>
    <xf numFmtId="182" fontId="13" fillId="13" borderId="225" xfId="3" applyNumberFormat="1" applyFont="1" applyFill="1" applyBorder="1" applyAlignment="1" applyProtection="1">
      <alignment horizontal="center" vertical="center" shrinkToFit="1"/>
      <protection hidden="1"/>
    </xf>
    <xf numFmtId="182" fontId="13" fillId="13" borderId="658" xfId="3" applyNumberFormat="1" applyFont="1" applyFill="1" applyBorder="1" applyAlignment="1" applyProtection="1">
      <alignment horizontal="center" vertical="center" shrinkToFit="1"/>
      <protection hidden="1"/>
    </xf>
    <xf numFmtId="174" fontId="101" fillId="25" borderId="456" xfId="5" applyNumberFormat="1" applyFont="1" applyFill="1" applyBorder="1" applyAlignment="1" applyProtection="1">
      <alignment horizontal="center" shrinkToFit="1"/>
      <protection locked="0" hidden="1"/>
    </xf>
    <xf numFmtId="174" fontId="101" fillId="25" borderId="2" xfId="5" applyNumberFormat="1" applyFont="1" applyFill="1" applyBorder="1" applyAlignment="1" applyProtection="1">
      <alignment horizontal="center" shrinkToFit="1"/>
      <protection locked="0" hidden="1"/>
    </xf>
    <xf numFmtId="174" fontId="101" fillId="25" borderId="633" xfId="5" applyNumberFormat="1" applyFont="1" applyFill="1" applyBorder="1" applyAlignment="1" applyProtection="1">
      <alignment horizontal="center" shrinkToFit="1"/>
      <protection locked="0" hidden="1"/>
    </xf>
    <xf numFmtId="174" fontId="101" fillId="25" borderId="501" xfId="5" applyNumberFormat="1" applyFont="1" applyFill="1" applyBorder="1" applyAlignment="1" applyProtection="1">
      <alignment horizontal="center" shrinkToFit="1"/>
      <protection locked="0" hidden="1"/>
    </xf>
    <xf numFmtId="174" fontId="101" fillId="25" borderId="504" xfId="5" applyNumberFormat="1" applyFont="1" applyFill="1" applyBorder="1" applyAlignment="1" applyProtection="1">
      <alignment horizontal="center" shrinkToFit="1"/>
      <protection locked="0" hidden="1"/>
    </xf>
    <xf numFmtId="174" fontId="101" fillId="25" borderId="145" xfId="5" applyNumberFormat="1" applyFont="1" applyFill="1" applyBorder="1" applyAlignment="1" applyProtection="1">
      <alignment horizontal="center" shrinkToFit="1"/>
      <protection locked="0" hidden="1"/>
    </xf>
    <xf numFmtId="166" fontId="13" fillId="0" borderId="0" xfId="0" applyFont="1" applyAlignment="1">
      <alignment shrinkToFit="1"/>
    </xf>
    <xf numFmtId="166" fontId="63" fillId="0" borderId="563" xfId="0" applyFont="1" applyBorder="1" applyAlignment="1" applyProtection="1">
      <alignment horizontal="right" shrinkToFit="1"/>
      <protection hidden="1"/>
    </xf>
    <xf numFmtId="166" fontId="63" fillId="0" borderId="567" xfId="0" applyFont="1" applyBorder="1" applyAlignment="1" applyProtection="1">
      <alignment horizontal="right" shrinkToFit="1"/>
      <protection hidden="1"/>
    </xf>
    <xf numFmtId="209" fontId="13" fillId="25" borderId="77" xfId="0" applyNumberFormat="1" applyFont="1" applyFill="1" applyBorder="1" applyAlignment="1" applyProtection="1">
      <alignment horizontal="center" shrinkToFit="1"/>
      <protection locked="0"/>
    </xf>
    <xf numFmtId="166" fontId="91" fillId="28" borderId="638" xfId="0" applyFont="1" applyFill="1" applyBorder="1" applyAlignment="1" applyProtection="1">
      <alignment horizontal="center" vertical="center" wrapText="1" shrinkToFit="1"/>
      <protection hidden="1"/>
    </xf>
    <xf numFmtId="182" fontId="19" fillId="3" borderId="840" xfId="0" applyNumberFormat="1" applyFont="1" applyFill="1" applyBorder="1" applyAlignment="1">
      <alignment horizontal="center" vertical="center" shrinkToFit="1"/>
    </xf>
    <xf numFmtId="175" fontId="33" fillId="0" borderId="846" xfId="0" applyNumberFormat="1" applyFont="1" applyBorder="1" applyAlignment="1" applyProtection="1">
      <alignment horizontal="center" shrinkToFit="1"/>
      <protection hidden="1"/>
    </xf>
    <xf numFmtId="175" fontId="33" fillId="0" borderId="847" xfId="0" applyNumberFormat="1" applyFont="1" applyBorder="1" applyAlignment="1" applyProtection="1">
      <alignment horizontal="center" shrinkToFit="1"/>
      <protection hidden="1"/>
    </xf>
    <xf numFmtId="175" fontId="33" fillId="0" borderId="749" xfId="0" applyNumberFormat="1" applyFont="1" applyBorder="1" applyAlignment="1" applyProtection="1">
      <alignment horizontal="center" shrinkToFit="1"/>
      <protection hidden="1"/>
    </xf>
    <xf numFmtId="3" fontId="13" fillId="0" borderId="310" xfId="3" applyNumberFormat="1" applyFont="1" applyBorder="1" applyAlignment="1" applyProtection="1">
      <alignment horizontal="center" vertical="center" shrinkToFit="1"/>
      <protection hidden="1"/>
    </xf>
    <xf numFmtId="3" fontId="13" fillId="0" borderId="2" xfId="3" applyNumberFormat="1" applyFont="1" applyBorder="1" applyAlignment="1" applyProtection="1">
      <alignment horizontal="center" vertical="center" shrinkToFit="1"/>
      <protection hidden="1"/>
    </xf>
    <xf numFmtId="175" fontId="33" fillId="0" borderId="848" xfId="0" applyNumberFormat="1" applyFont="1" applyBorder="1" applyAlignment="1" applyProtection="1">
      <alignment horizontal="center" shrinkToFit="1"/>
      <protection hidden="1"/>
    </xf>
    <xf numFmtId="3" fontId="13" fillId="0" borderId="849" xfId="3" applyNumberFormat="1" applyFont="1" applyBorder="1" applyAlignment="1" applyProtection="1">
      <alignment horizontal="center" vertical="center" shrinkToFit="1"/>
      <protection hidden="1"/>
    </xf>
    <xf numFmtId="0" fontId="17" fillId="0" borderId="0" xfId="8" applyFont="1" applyAlignment="1" applyProtection="1">
      <alignment horizontal="centerContinuous" shrinkToFit="1"/>
      <protection hidden="1"/>
    </xf>
    <xf numFmtId="0" fontId="20" fillId="0" borderId="0" xfId="8" applyFont="1" applyAlignment="1">
      <alignment horizontal="centerContinuous" shrinkToFit="1"/>
    </xf>
    <xf numFmtId="175" fontId="33" fillId="0" borderId="855" xfId="0" applyNumberFormat="1" applyFont="1" applyBorder="1" applyAlignment="1" applyProtection="1">
      <alignment horizontal="center" shrinkToFit="1"/>
      <protection hidden="1"/>
    </xf>
    <xf numFmtId="175" fontId="33" fillId="0" borderId="857" xfId="0" applyNumberFormat="1" applyFont="1" applyBorder="1" applyAlignment="1" applyProtection="1">
      <alignment horizontal="center" shrinkToFit="1"/>
      <protection hidden="1"/>
    </xf>
    <xf numFmtId="214" fontId="33" fillId="0" borderId="857" xfId="0" applyNumberFormat="1" applyFont="1" applyBorder="1" applyAlignment="1" applyProtection="1">
      <alignment horizontal="center" shrinkToFit="1"/>
      <protection hidden="1"/>
    </xf>
    <xf numFmtId="178" fontId="13" fillId="0" borderId="857" xfId="0" applyNumberFormat="1" applyFont="1" applyBorder="1" applyAlignment="1" applyProtection="1">
      <alignment horizontal="center" shrinkToFit="1"/>
      <protection hidden="1"/>
    </xf>
    <xf numFmtId="178" fontId="13" fillId="0" borderId="858" xfId="0" applyNumberFormat="1" applyFont="1" applyBorder="1" applyAlignment="1" applyProtection="1">
      <alignment horizontal="center" shrinkToFit="1"/>
      <protection hidden="1"/>
    </xf>
    <xf numFmtId="166" fontId="13" fillId="0" borderId="0" xfId="0" applyFont="1" applyAlignment="1">
      <alignment horizontal="left" shrinkToFit="1"/>
    </xf>
    <xf numFmtId="175" fontId="33" fillId="0" borderId="124" xfId="0" applyNumberFormat="1" applyFont="1" applyBorder="1" applyAlignment="1" applyProtection="1">
      <alignment horizontal="center" shrinkToFit="1"/>
      <protection hidden="1"/>
    </xf>
    <xf numFmtId="175" fontId="33" fillId="0" borderId="867" xfId="0" applyNumberFormat="1" applyFont="1" applyBorder="1" applyAlignment="1" applyProtection="1">
      <alignment horizontal="center" shrinkToFit="1"/>
      <protection hidden="1"/>
    </xf>
    <xf numFmtId="175" fontId="33" fillId="0" borderId="852" xfId="0" applyNumberFormat="1" applyFont="1" applyBorder="1" applyAlignment="1" applyProtection="1">
      <alignment horizontal="center" shrinkToFit="1"/>
      <protection hidden="1"/>
    </xf>
    <xf numFmtId="175" fontId="33" fillId="0" borderId="853" xfId="0" applyNumberFormat="1" applyFont="1" applyBorder="1" applyAlignment="1" applyProtection="1">
      <alignment horizontal="center" shrinkToFit="1"/>
      <protection hidden="1"/>
    </xf>
    <xf numFmtId="175" fontId="33" fillId="0" borderId="865" xfId="0" applyNumberFormat="1" applyFont="1" applyBorder="1" applyAlignment="1" applyProtection="1">
      <alignment horizontal="center" shrinkToFit="1"/>
      <protection hidden="1"/>
    </xf>
    <xf numFmtId="201" fontId="13" fillId="0" borderId="869" xfId="0" applyNumberFormat="1" applyFont="1" applyBorder="1" applyAlignment="1" applyProtection="1">
      <alignment horizontal="center" shrinkToFit="1"/>
      <protection hidden="1"/>
    </xf>
    <xf numFmtId="201" fontId="13" fillId="0" borderId="870" xfId="0" applyNumberFormat="1" applyFont="1" applyBorder="1" applyAlignment="1" applyProtection="1">
      <alignment horizontal="center" shrinkToFit="1"/>
      <protection hidden="1"/>
    </xf>
    <xf numFmtId="201" fontId="13" fillId="0" borderId="871" xfId="0" applyNumberFormat="1" applyFont="1" applyBorder="1" applyAlignment="1" applyProtection="1">
      <alignment horizontal="center" shrinkToFit="1"/>
      <protection hidden="1"/>
    </xf>
    <xf numFmtId="166" fontId="117" fillId="0" borderId="861" xfId="0" applyFont="1" applyBorder="1" applyAlignment="1" applyProtection="1">
      <alignment horizontal="center" vertical="center" wrapText="1" shrinkToFit="1"/>
      <protection hidden="1"/>
    </xf>
    <xf numFmtId="167" fontId="13" fillId="0" borderId="310" xfId="0" applyNumberFormat="1" applyFont="1" applyBorder="1" applyAlignment="1" applyProtection="1">
      <alignment horizontal="center" shrinkToFit="1"/>
      <protection hidden="1"/>
    </xf>
    <xf numFmtId="167" fontId="13" fillId="0" borderId="2" xfId="0" applyNumberFormat="1" applyFont="1" applyBorder="1" applyAlignment="1" applyProtection="1">
      <alignment horizontal="center" shrinkToFit="1"/>
      <protection hidden="1"/>
    </xf>
    <xf numFmtId="167" fontId="13" fillId="0" borderId="875" xfId="0" applyNumberFormat="1" applyFont="1" applyBorder="1" applyAlignment="1" applyProtection="1">
      <alignment horizontal="center" shrinkToFit="1"/>
      <protection hidden="1"/>
    </xf>
    <xf numFmtId="3" fontId="13" fillId="0" borderId="875" xfId="3" applyNumberFormat="1" applyFont="1" applyBorder="1" applyAlignment="1" applyProtection="1">
      <alignment horizontal="center" vertical="center" shrinkToFit="1"/>
      <protection hidden="1"/>
    </xf>
    <xf numFmtId="167" fontId="13" fillId="0" borderId="846" xfId="0" applyNumberFormat="1" applyFont="1" applyBorder="1" applyAlignment="1" applyProtection="1">
      <alignment horizontal="center" shrinkToFit="1"/>
      <protection hidden="1"/>
    </xf>
    <xf numFmtId="167" fontId="13" fillId="0" borderId="847" xfId="0" applyNumberFormat="1" applyFont="1" applyBorder="1" applyAlignment="1" applyProtection="1">
      <alignment horizontal="center" shrinkToFit="1"/>
      <protection hidden="1"/>
    </xf>
    <xf numFmtId="167" fontId="13" fillId="0" borderId="855" xfId="0" applyNumberFormat="1" applyFont="1" applyBorder="1" applyAlignment="1" applyProtection="1">
      <alignment horizontal="center" shrinkToFit="1"/>
      <protection hidden="1"/>
    </xf>
    <xf numFmtId="167" fontId="13" fillId="0" borderId="749" xfId="0" applyNumberFormat="1" applyFont="1" applyBorder="1" applyAlignment="1" applyProtection="1">
      <alignment horizontal="center" shrinkToFit="1"/>
      <protection hidden="1"/>
    </xf>
    <xf numFmtId="167" fontId="13" fillId="0" borderId="848" xfId="0" applyNumberFormat="1" applyFont="1" applyBorder="1" applyAlignment="1" applyProtection="1">
      <alignment horizontal="center" shrinkToFit="1"/>
      <protection hidden="1"/>
    </xf>
    <xf numFmtId="175" fontId="33" fillId="0" borderId="878" xfId="0" applyNumberFormat="1" applyFont="1" applyBorder="1" applyAlignment="1" applyProtection="1">
      <alignment horizontal="center" shrinkToFit="1"/>
      <protection hidden="1"/>
    </xf>
    <xf numFmtId="201" fontId="13" fillId="0" borderId="881" xfId="0" applyNumberFormat="1" applyFont="1" applyBorder="1" applyAlignment="1" applyProtection="1">
      <alignment horizontal="center" shrinkToFit="1"/>
      <protection hidden="1"/>
    </xf>
    <xf numFmtId="201" fontId="13" fillId="0" borderId="882" xfId="0" applyNumberFormat="1" applyFont="1" applyBorder="1" applyAlignment="1" applyProtection="1">
      <alignment horizontal="center" shrinkToFit="1"/>
      <protection hidden="1"/>
    </xf>
    <xf numFmtId="201" fontId="13" fillId="0" borderId="883" xfId="0" applyNumberFormat="1" applyFont="1" applyBorder="1" applyAlignment="1" applyProtection="1">
      <alignment horizontal="center" shrinkToFit="1"/>
      <protection hidden="1"/>
    </xf>
    <xf numFmtId="193" fontId="13" fillId="0" borderId="847" xfId="0" applyNumberFormat="1" applyFont="1" applyBorder="1" applyAlignment="1" applyProtection="1">
      <alignment horizontal="center" shrinkToFit="1"/>
      <protection hidden="1"/>
    </xf>
    <xf numFmtId="167" fontId="13" fillId="0" borderId="885" xfId="0" applyNumberFormat="1" applyFont="1" applyBorder="1" applyAlignment="1" applyProtection="1">
      <alignment horizontal="center" shrinkToFit="1"/>
      <protection hidden="1"/>
    </xf>
    <xf numFmtId="167" fontId="13" fillId="0" borderId="631" xfId="0" applyNumberFormat="1" applyFont="1" applyBorder="1" applyAlignment="1" applyProtection="1">
      <alignment horizontal="center" shrinkToFit="1"/>
      <protection hidden="1"/>
    </xf>
    <xf numFmtId="167" fontId="13" fillId="0" borderId="97" xfId="0" applyNumberFormat="1" applyFont="1" applyBorder="1" applyAlignment="1" applyProtection="1">
      <alignment horizontal="center" shrinkToFit="1"/>
      <protection hidden="1"/>
    </xf>
    <xf numFmtId="167" fontId="13" fillId="0" borderId="886" xfId="0" applyNumberFormat="1" applyFont="1" applyBorder="1" applyAlignment="1" applyProtection="1">
      <alignment horizontal="center" shrinkToFit="1"/>
      <protection hidden="1"/>
    </xf>
    <xf numFmtId="193" fontId="13" fillId="0" borderId="846" xfId="0" applyNumberFormat="1" applyFont="1" applyBorder="1" applyAlignment="1" applyProtection="1">
      <alignment horizontal="center" shrinkToFit="1"/>
      <protection hidden="1"/>
    </xf>
    <xf numFmtId="193" fontId="13" fillId="0" borderId="855" xfId="0" applyNumberFormat="1" applyFont="1" applyBorder="1" applyAlignment="1" applyProtection="1">
      <alignment horizontal="center" shrinkToFit="1"/>
      <protection hidden="1"/>
    </xf>
    <xf numFmtId="193" fontId="13" fillId="0" borderId="749" xfId="0" applyNumberFormat="1" applyFont="1" applyBorder="1" applyAlignment="1" applyProtection="1">
      <alignment horizontal="center" shrinkToFit="1"/>
      <protection hidden="1"/>
    </xf>
    <xf numFmtId="193" fontId="13" fillId="0" borderId="848" xfId="0" applyNumberFormat="1" applyFont="1" applyBorder="1" applyAlignment="1" applyProtection="1">
      <alignment horizontal="center" shrinkToFit="1"/>
      <protection hidden="1"/>
    </xf>
    <xf numFmtId="41" fontId="13" fillId="0" borderId="855" xfId="13" applyFont="1" applyBorder="1" applyAlignment="1" applyProtection="1">
      <alignment shrinkToFit="1"/>
      <protection hidden="1"/>
    </xf>
    <xf numFmtId="41" fontId="13" fillId="0" borderId="749" xfId="13" applyFont="1" applyBorder="1" applyAlignment="1" applyProtection="1">
      <alignment shrinkToFit="1"/>
      <protection hidden="1"/>
    </xf>
    <xf numFmtId="41" fontId="13" fillId="0" borderId="848" xfId="13" applyFont="1" applyBorder="1" applyAlignment="1" applyProtection="1">
      <alignment shrinkToFit="1"/>
      <protection hidden="1"/>
    </xf>
    <xf numFmtId="41" fontId="13" fillId="0" borderId="846" xfId="13" applyFont="1" applyBorder="1" applyAlignment="1" applyProtection="1">
      <alignment horizontal="center" shrinkToFit="1"/>
      <protection hidden="1"/>
    </xf>
    <xf numFmtId="166" fontId="13" fillId="0" borderId="860" xfId="0" applyFont="1" applyBorder="1" applyAlignment="1" applyProtection="1">
      <alignment horizontal="center" vertical="center" wrapText="1" shrinkToFit="1"/>
      <protection hidden="1"/>
    </xf>
    <xf numFmtId="0" fontId="15" fillId="0" borderId="861" xfId="8" applyFont="1" applyBorder="1" applyAlignment="1" applyProtection="1">
      <alignment horizontal="center" vertical="center" wrapText="1"/>
      <protection hidden="1"/>
    </xf>
    <xf numFmtId="166" fontId="15" fillId="0" borderId="859" xfId="0" applyFont="1" applyBorder="1" applyAlignment="1" applyProtection="1">
      <alignment horizontal="center" vertical="center" wrapText="1" shrinkToFit="1"/>
      <protection hidden="1"/>
    </xf>
    <xf numFmtId="166" fontId="15" fillId="0" borderId="860" xfId="0" applyFont="1" applyBorder="1" applyAlignment="1" applyProtection="1">
      <alignment horizontal="center" vertical="center" wrapText="1" shrinkToFit="1"/>
      <protection hidden="1"/>
    </xf>
    <xf numFmtId="166" fontId="15" fillId="0" borderId="862" xfId="0" applyFont="1" applyBorder="1" applyAlignment="1" applyProtection="1">
      <alignment horizontal="center" vertical="center" wrapText="1" shrinkToFit="1"/>
      <protection hidden="1"/>
    </xf>
    <xf numFmtId="166" fontId="15" fillId="0" borderId="863" xfId="0" applyFont="1" applyBorder="1" applyAlignment="1" applyProtection="1">
      <alignment horizontal="center" vertical="center" wrapText="1" shrinkToFit="1"/>
      <protection hidden="1"/>
    </xf>
    <xf numFmtId="166" fontId="15" fillId="0" borderId="866" xfId="0" applyFont="1" applyBorder="1" applyAlignment="1" applyProtection="1">
      <alignment horizontal="center" vertical="center" wrapText="1" shrinkToFit="1"/>
      <protection hidden="1"/>
    </xf>
    <xf numFmtId="166" fontId="15" fillId="0" borderId="868" xfId="0" applyFont="1" applyBorder="1" applyAlignment="1" applyProtection="1">
      <alignment horizontal="center" vertical="center" wrapText="1" shrinkToFit="1"/>
      <protection hidden="1"/>
    </xf>
    <xf numFmtId="166" fontId="15" fillId="0" borderId="879" xfId="0" applyFont="1" applyBorder="1" applyAlignment="1" applyProtection="1">
      <alignment horizontal="center" vertical="center" wrapText="1" shrinkToFit="1"/>
      <protection hidden="1"/>
    </xf>
    <xf numFmtId="166" fontId="15" fillId="0" borderId="872" xfId="0" applyFont="1" applyBorder="1" applyAlignment="1" applyProtection="1">
      <alignment horizontal="center" vertical="center" wrapText="1" shrinkToFit="1"/>
      <protection hidden="1"/>
    </xf>
    <xf numFmtId="166" fontId="15" fillId="0" borderId="864" xfId="0" applyFont="1" applyBorder="1" applyAlignment="1" applyProtection="1">
      <alignment horizontal="center" vertical="center" wrapText="1" shrinkToFit="1"/>
      <protection hidden="1"/>
    </xf>
    <xf numFmtId="166" fontId="15" fillId="0" borderId="0" xfId="0" applyFont="1" applyAlignment="1">
      <alignment horizontal="center" vertical="center" wrapText="1"/>
    </xf>
    <xf numFmtId="166" fontId="147" fillId="0" borderId="860" xfId="0" applyFont="1" applyBorder="1" applyAlignment="1" applyProtection="1">
      <alignment horizontal="center" vertical="center" wrapText="1" shrinkToFit="1"/>
      <protection hidden="1"/>
    </xf>
    <xf numFmtId="166" fontId="147" fillId="0" borderId="877" xfId="0" applyFont="1" applyBorder="1" applyAlignment="1" applyProtection="1">
      <alignment horizontal="center" vertical="center" wrapText="1" shrinkToFit="1"/>
      <protection hidden="1"/>
    </xf>
    <xf numFmtId="0" fontId="3" fillId="0" borderId="29" xfId="8" applyFont="1" applyBorder="1" applyAlignment="1" applyProtection="1">
      <alignment horizontal="center" vertical="center"/>
      <protection hidden="1"/>
    </xf>
    <xf numFmtId="175" fontId="13" fillId="0" borderId="830" xfId="8" applyNumberFormat="1" applyFont="1" applyBorder="1" applyAlignment="1" applyProtection="1">
      <alignment horizontal="center" vertical="center"/>
      <protection hidden="1"/>
    </xf>
    <xf numFmtId="175" fontId="13" fillId="0" borderId="31" xfId="8" applyNumberFormat="1" applyFont="1" applyBorder="1" applyAlignment="1" applyProtection="1">
      <alignment horizontal="center" vertical="center" shrinkToFit="1"/>
      <protection hidden="1"/>
    </xf>
    <xf numFmtId="0" fontId="3" fillId="0" borderId="32" xfId="8" applyFont="1" applyBorder="1" applyAlignment="1" applyProtection="1">
      <alignment horizontal="center" vertical="center"/>
      <protection hidden="1"/>
    </xf>
    <xf numFmtId="175" fontId="13" fillId="0" borderId="831" xfId="8" applyNumberFormat="1" applyFont="1" applyBorder="1" applyAlignment="1" applyProtection="1">
      <alignment horizontal="center" vertical="center"/>
      <protection hidden="1"/>
    </xf>
    <xf numFmtId="175" fontId="13" fillId="0" borderId="34" xfId="8" applyNumberFormat="1" applyFont="1" applyBorder="1" applyAlignment="1" applyProtection="1">
      <alignment horizontal="center" vertical="center" shrinkToFit="1"/>
      <protection hidden="1"/>
    </xf>
    <xf numFmtId="0" fontId="3" fillId="0" borderId="35" xfId="8" applyFont="1" applyBorder="1" applyAlignment="1" applyProtection="1">
      <alignment horizontal="center" vertical="center"/>
      <protection hidden="1"/>
    </xf>
    <xf numFmtId="175" fontId="13" fillId="0" borderId="832" xfId="8" applyNumberFormat="1" applyFont="1" applyBorder="1" applyAlignment="1" applyProtection="1">
      <alignment horizontal="center" vertical="center"/>
      <protection hidden="1"/>
    </xf>
    <xf numFmtId="175" fontId="13" fillId="0" borderId="37" xfId="8" applyNumberFormat="1" applyFont="1" applyBorder="1" applyAlignment="1" applyProtection="1">
      <alignment horizontal="center" vertical="center" shrinkToFit="1"/>
      <protection hidden="1"/>
    </xf>
    <xf numFmtId="0" fontId="17" fillId="0" borderId="139" xfId="3" applyFont="1" applyBorder="1" applyAlignment="1" applyProtection="1">
      <alignment horizontal="center" vertical="center"/>
      <protection hidden="1"/>
    </xf>
    <xf numFmtId="166" fontId="0" fillId="0" borderId="0" xfId="0" applyAlignment="1">
      <alignment vertical="center"/>
    </xf>
    <xf numFmtId="174" fontId="13" fillId="0" borderId="130" xfId="0" applyNumberFormat="1" applyFont="1" applyBorder="1" applyAlignment="1" applyProtection="1">
      <alignment horizontal="center" vertical="center" shrinkToFit="1"/>
      <protection hidden="1"/>
    </xf>
    <xf numFmtId="166" fontId="13" fillId="0" borderId="146" xfId="0" applyFont="1" applyBorder="1" applyAlignment="1" applyProtection="1">
      <alignment horizontal="center" vertical="center"/>
      <protection hidden="1"/>
    </xf>
    <xf numFmtId="177" fontId="15" fillId="0" borderId="356" xfId="5" applyNumberFormat="1" applyFont="1" applyBorder="1" applyAlignment="1" applyProtection="1">
      <alignment horizontal="center" vertical="center"/>
      <protection hidden="1"/>
    </xf>
    <xf numFmtId="177" fontId="15" fillId="0" borderId="752" xfId="5" applyNumberFormat="1" applyFont="1" applyBorder="1" applyAlignment="1" applyProtection="1">
      <alignment horizontal="center" vertical="center"/>
      <protection hidden="1"/>
    </xf>
    <xf numFmtId="177" fontId="15" fillId="0" borderId="147" xfId="5" applyNumberFormat="1" applyFont="1" applyBorder="1" applyAlignment="1" applyProtection="1">
      <alignment horizontal="center" vertical="center"/>
      <protection hidden="1"/>
    </xf>
    <xf numFmtId="177" fontId="15" fillId="0" borderId="357" xfId="5" applyNumberFormat="1" applyFont="1" applyBorder="1" applyAlignment="1" applyProtection="1">
      <alignment horizontal="center" vertical="center"/>
      <protection hidden="1"/>
    </xf>
    <xf numFmtId="177" fontId="15" fillId="0" borderId="365" xfId="5" applyNumberFormat="1" applyFont="1" applyBorder="1" applyAlignment="1" applyProtection="1">
      <alignment horizontal="center" vertical="center"/>
      <protection hidden="1"/>
    </xf>
    <xf numFmtId="177" fontId="15" fillId="0" borderId="2" xfId="5" applyNumberFormat="1" applyFont="1" applyBorder="1" applyAlignment="1" applyProtection="1">
      <alignment horizontal="center" vertical="center"/>
      <protection hidden="1"/>
    </xf>
    <xf numFmtId="177" fontId="15" fillId="0" borderId="364" xfId="5" applyNumberFormat="1" applyFont="1" applyBorder="1" applyAlignment="1" applyProtection="1">
      <alignment horizontal="center" vertical="center"/>
      <protection hidden="1"/>
    </xf>
    <xf numFmtId="0" fontId="13" fillId="0" borderId="0" xfId="3" applyFont="1" applyAlignment="1" applyProtection="1">
      <alignment horizontal="center" vertical="center"/>
      <protection hidden="1"/>
    </xf>
    <xf numFmtId="164" fontId="38" fillId="0" borderId="271" xfId="0" applyNumberFormat="1" applyFont="1" applyBorder="1" applyAlignment="1" applyProtection="1">
      <alignment horizontal="center" vertical="center" shrinkToFit="1"/>
      <protection hidden="1"/>
    </xf>
    <xf numFmtId="164" fontId="38" fillId="0" borderId="154" xfId="0" applyNumberFormat="1" applyFont="1" applyBorder="1" applyAlignment="1" applyProtection="1">
      <alignment horizontal="center" vertical="center" shrinkToFit="1"/>
      <protection hidden="1"/>
    </xf>
    <xf numFmtId="223" fontId="38" fillId="0" borderId="175" xfId="0" applyNumberFormat="1" applyFont="1" applyBorder="1" applyAlignment="1" applyProtection="1">
      <alignment horizontal="center" vertical="center" shrinkToFit="1"/>
      <protection hidden="1"/>
    </xf>
    <xf numFmtId="166" fontId="13" fillId="0" borderId="854" xfId="0" applyFont="1" applyBorder="1" applyAlignment="1" applyProtection="1">
      <alignment horizontal="center" shrinkToFit="1"/>
      <protection hidden="1"/>
    </xf>
    <xf numFmtId="182" fontId="13" fillId="0" borderId="856" xfId="0" applyNumberFormat="1" applyFont="1" applyBorder="1" applyAlignment="1" applyProtection="1">
      <alignment horizontal="center" vertical="center" shrinkToFit="1"/>
      <protection hidden="1"/>
    </xf>
    <xf numFmtId="182" fontId="13" fillId="0" borderId="857" xfId="0" applyNumberFormat="1" applyFont="1" applyBorder="1" applyAlignment="1" applyProtection="1">
      <alignment horizontal="center" vertical="center" shrinkToFit="1"/>
      <protection hidden="1"/>
    </xf>
    <xf numFmtId="182" fontId="13" fillId="0" borderId="112" xfId="0" applyNumberFormat="1" applyFont="1" applyBorder="1" applyAlignment="1" applyProtection="1">
      <alignment horizontal="center" vertical="center" shrinkToFit="1"/>
      <protection hidden="1"/>
    </xf>
    <xf numFmtId="182" fontId="13" fillId="0" borderId="873" xfId="0" applyNumberFormat="1" applyFont="1" applyBorder="1" applyAlignment="1" applyProtection="1">
      <alignment horizontal="center" vertical="center" shrinkToFit="1"/>
      <protection hidden="1"/>
    </xf>
    <xf numFmtId="166" fontId="13" fillId="0" borderId="833" xfId="0" applyFont="1" applyBorder="1" applyAlignment="1" applyProtection="1">
      <alignment horizontal="center" shrinkToFit="1"/>
      <protection hidden="1"/>
    </xf>
    <xf numFmtId="182" fontId="13" fillId="0" borderId="844" xfId="0" applyNumberFormat="1" applyFont="1" applyBorder="1" applyAlignment="1" applyProtection="1">
      <alignment horizontal="center" vertical="center" shrinkToFit="1"/>
      <protection hidden="1"/>
    </xf>
    <xf numFmtId="182" fontId="13" fillId="0" borderId="107" xfId="0" applyNumberFormat="1" applyFont="1" applyBorder="1" applyAlignment="1" applyProtection="1">
      <alignment horizontal="center" vertical="center" shrinkToFit="1"/>
      <protection hidden="1"/>
    </xf>
    <xf numFmtId="182" fontId="13" fillId="0" borderId="113" xfId="0" applyNumberFormat="1" applyFont="1" applyBorder="1" applyAlignment="1" applyProtection="1">
      <alignment horizontal="center" vertical="center" shrinkToFit="1"/>
      <protection hidden="1"/>
    </xf>
    <xf numFmtId="182" fontId="13" fillId="0" borderId="874" xfId="0" applyNumberFormat="1" applyFont="1" applyBorder="1" applyAlignment="1" applyProtection="1">
      <alignment horizontal="center" vertical="center" shrinkToFit="1"/>
      <protection hidden="1"/>
    </xf>
    <xf numFmtId="166" fontId="13" fillId="0" borderId="834" xfId="0" applyFont="1" applyBorder="1" applyAlignment="1" applyProtection="1">
      <alignment horizontal="center" shrinkToFit="1"/>
      <protection hidden="1"/>
    </xf>
    <xf numFmtId="182" fontId="13" fillId="0" borderId="845" xfId="0" applyNumberFormat="1" applyFont="1" applyBorder="1" applyAlignment="1" applyProtection="1">
      <alignment horizontal="center" vertical="center" shrinkToFit="1"/>
      <protection hidden="1"/>
    </xf>
    <xf numFmtId="182" fontId="13" fillId="0" borderId="109" xfId="0" applyNumberFormat="1" applyFont="1" applyBorder="1" applyAlignment="1" applyProtection="1">
      <alignment horizontal="center" vertical="center" shrinkToFit="1"/>
      <protection hidden="1"/>
    </xf>
    <xf numFmtId="182" fontId="13" fillId="0" borderId="880" xfId="0" applyNumberFormat="1" applyFont="1" applyBorder="1" applyAlignment="1" applyProtection="1">
      <alignment horizontal="center" vertical="center" shrinkToFit="1"/>
      <protection hidden="1"/>
    </xf>
    <xf numFmtId="182" fontId="13" fillId="0" borderId="876" xfId="0" applyNumberFormat="1" applyFont="1" applyBorder="1" applyAlignment="1" applyProtection="1">
      <alignment horizontal="center" vertical="center" shrinkToFit="1"/>
      <protection hidden="1"/>
    </xf>
    <xf numFmtId="182" fontId="13" fillId="0" borderId="843" xfId="0" applyNumberFormat="1" applyFont="1" applyBorder="1" applyAlignment="1" applyProtection="1">
      <alignment horizontal="center" vertical="center" shrinkToFit="1"/>
      <protection hidden="1"/>
    </xf>
    <xf numFmtId="182" fontId="13" fillId="0" borderId="123" xfId="0" applyNumberFormat="1" applyFont="1" applyBorder="1" applyAlignment="1" applyProtection="1">
      <alignment horizontal="center" vertical="center" shrinkToFit="1"/>
      <protection hidden="1"/>
    </xf>
    <xf numFmtId="182" fontId="13" fillId="0" borderId="878" xfId="0" applyNumberFormat="1" applyFont="1" applyBorder="1" applyAlignment="1" applyProtection="1">
      <alignment horizontal="center" vertical="center" shrinkToFit="1"/>
      <protection hidden="1"/>
    </xf>
    <xf numFmtId="182" fontId="13" fillId="0" borderId="884" xfId="0" applyNumberFormat="1" applyFont="1" applyBorder="1" applyAlignment="1" applyProtection="1">
      <alignment horizontal="center" vertical="center" shrinkToFit="1"/>
      <protection hidden="1"/>
    </xf>
    <xf numFmtId="166" fontId="148" fillId="0" borderId="0" xfId="0" applyFont="1" applyAlignment="1" applyProtection="1">
      <alignment horizontal="centerContinuous" shrinkToFit="1"/>
      <protection hidden="1"/>
    </xf>
    <xf numFmtId="166" fontId="91" fillId="28" borderId="789" xfId="0" applyFont="1" applyFill="1" applyBorder="1" applyAlignment="1" applyProtection="1">
      <alignment horizontal="center" vertical="center" wrapText="1" shrinkToFit="1"/>
      <protection hidden="1"/>
    </xf>
    <xf numFmtId="166" fontId="120" fillId="28" borderId="787" xfId="0" applyFont="1" applyFill="1" applyBorder="1" applyAlignment="1" applyProtection="1">
      <alignment horizontal="center" vertical="center" wrapText="1" shrinkToFit="1"/>
      <protection hidden="1"/>
    </xf>
    <xf numFmtId="166" fontId="91" fillId="28" borderId="761" xfId="0" applyFont="1" applyFill="1" applyBorder="1" applyAlignment="1" applyProtection="1">
      <alignment horizontal="center" shrinkToFit="1"/>
      <protection hidden="1"/>
    </xf>
    <xf numFmtId="175" fontId="49" fillId="0" borderId="417" xfId="0" applyNumberFormat="1" applyFont="1" applyBorder="1" applyAlignment="1" applyProtection="1">
      <alignment horizontal="center" shrinkToFit="1"/>
      <protection hidden="1"/>
    </xf>
    <xf numFmtId="175" fontId="49" fillId="0" borderId="900" xfId="0" applyNumberFormat="1" applyFont="1" applyBorder="1" applyAlignment="1" applyProtection="1">
      <alignment horizontal="center" shrinkToFit="1"/>
      <protection hidden="1"/>
    </xf>
    <xf numFmtId="175" fontId="49" fillId="0" borderId="57" xfId="0" applyNumberFormat="1" applyFont="1" applyBorder="1" applyAlignment="1" applyProtection="1">
      <alignment horizontal="center" shrinkToFit="1"/>
      <protection hidden="1"/>
    </xf>
    <xf numFmtId="175" fontId="49" fillId="0" borderId="106" xfId="0" applyNumberFormat="1" applyFont="1" applyBorder="1" applyAlignment="1" applyProtection="1">
      <alignment horizontal="center" shrinkToFit="1"/>
      <protection hidden="1"/>
    </xf>
    <xf numFmtId="180" fontId="49" fillId="0" borderId="57" xfId="0" applyNumberFormat="1" applyFont="1" applyBorder="1" applyAlignment="1" applyProtection="1">
      <alignment horizontal="center" shrinkToFit="1"/>
      <protection hidden="1"/>
    </xf>
    <xf numFmtId="180" fontId="49" fillId="0" borderId="61" xfId="0" applyNumberFormat="1" applyFont="1" applyBorder="1" applyAlignment="1" applyProtection="1">
      <alignment horizontal="center" shrinkToFit="1"/>
      <protection hidden="1"/>
    </xf>
    <xf numFmtId="232" fontId="43" fillId="10" borderId="0" xfId="0" applyNumberFormat="1" applyFont="1" applyFill="1" applyAlignment="1" applyProtection="1">
      <alignment shrinkToFit="1"/>
      <protection hidden="1"/>
    </xf>
    <xf numFmtId="166" fontId="13" fillId="0" borderId="903" xfId="0" applyFont="1" applyBorder="1" applyProtection="1">
      <protection hidden="1"/>
    </xf>
    <xf numFmtId="170" fontId="125" fillId="28" borderId="799" xfId="5" applyNumberFormat="1" applyFont="1" applyFill="1" applyBorder="1" applyAlignment="1" applyProtection="1">
      <alignment horizontal="center" vertical="center" wrapText="1" shrinkToFit="1"/>
      <protection hidden="1"/>
    </xf>
    <xf numFmtId="166" fontId="80" fillId="0" borderId="142" xfId="0" applyFont="1" applyBorder="1" applyAlignment="1" applyProtection="1">
      <alignment wrapText="1"/>
      <protection hidden="1"/>
    </xf>
    <xf numFmtId="0" fontId="18" fillId="0" borderId="904" xfId="5" applyFont="1" applyBorder="1" applyAlignment="1" applyProtection="1">
      <alignment horizontal="right" vertical="center" shrinkToFit="1"/>
      <protection hidden="1"/>
    </xf>
    <xf numFmtId="166" fontId="47" fillId="0" borderId="584" xfId="0" applyFont="1" applyBorder="1"/>
    <xf numFmtId="166" fontId="47" fillId="0" borderId="908" xfId="0" applyFont="1" applyBorder="1"/>
    <xf numFmtId="0" fontId="127" fillId="28" borderId="909" xfId="5" applyFont="1" applyFill="1" applyBorder="1" applyAlignment="1" applyProtection="1">
      <alignment horizontal="center" vertical="center" wrapText="1" shrinkToFit="1"/>
      <protection hidden="1"/>
    </xf>
    <xf numFmtId="0" fontId="127" fillId="28" borderId="910" xfId="5" applyFont="1" applyFill="1" applyBorder="1" applyAlignment="1" applyProtection="1">
      <alignment horizontal="center" vertical="center" wrapText="1" shrinkToFit="1"/>
      <protection hidden="1"/>
    </xf>
    <xf numFmtId="0" fontId="127" fillId="28" borderId="911" xfId="5" applyFont="1" applyFill="1" applyBorder="1" applyAlignment="1" applyProtection="1">
      <alignment horizontal="center" vertical="center" wrapText="1" shrinkToFit="1"/>
      <protection hidden="1"/>
    </xf>
    <xf numFmtId="0" fontId="127" fillId="28" borderId="912" xfId="5" applyFont="1" applyFill="1" applyBorder="1" applyAlignment="1" applyProtection="1">
      <alignment horizontal="center" vertical="center" wrapText="1" shrinkToFit="1"/>
      <protection hidden="1"/>
    </xf>
    <xf numFmtId="170" fontId="145" fillId="28" borderId="555" xfId="5" applyNumberFormat="1" applyFont="1" applyFill="1" applyBorder="1" applyAlignment="1" applyProtection="1">
      <alignment horizontal="center" vertical="center" wrapText="1" shrinkToFit="1"/>
      <protection hidden="1"/>
    </xf>
    <xf numFmtId="166" fontId="19" fillId="21" borderId="913" xfId="0" applyFont="1" applyFill="1" applyBorder="1" applyAlignment="1" applyProtection="1">
      <alignment horizontal="right" shrinkToFit="1"/>
      <protection hidden="1"/>
    </xf>
    <xf numFmtId="181" fontId="13" fillId="0" borderId="677" xfId="5" applyNumberFormat="1" applyFont="1" applyBorder="1" applyAlignment="1" applyProtection="1">
      <alignment shrinkToFit="1"/>
      <protection hidden="1"/>
    </xf>
    <xf numFmtId="181" fontId="13" fillId="0" borderId="678" xfId="5" applyNumberFormat="1" applyFont="1" applyBorder="1" applyAlignment="1" applyProtection="1">
      <alignment shrinkToFit="1"/>
      <protection hidden="1"/>
    </xf>
    <xf numFmtId="0" fontId="127" fillId="28" borderId="914" xfId="5" applyFont="1" applyFill="1" applyBorder="1" applyAlignment="1" applyProtection="1">
      <alignment horizontal="center" vertical="center" wrapText="1" shrinkToFit="1"/>
      <protection hidden="1"/>
    </xf>
    <xf numFmtId="0" fontId="127" fillId="28" borderId="915" xfId="5" applyFont="1" applyFill="1" applyBorder="1" applyAlignment="1" applyProtection="1">
      <alignment horizontal="center" vertical="center" wrapText="1" shrinkToFit="1"/>
      <protection hidden="1"/>
    </xf>
    <xf numFmtId="173" fontId="13" fillId="0" borderId="0" xfId="5" applyNumberFormat="1" applyFont="1" applyAlignment="1" applyProtection="1">
      <alignment vertical="center" shrinkToFit="1"/>
      <protection hidden="1"/>
    </xf>
    <xf numFmtId="200" fontId="87" fillId="0" borderId="484" xfId="5" applyNumberFormat="1" applyFont="1" applyBorder="1" applyAlignment="1" applyProtection="1">
      <alignment horizontal="center" vertical="center" shrinkToFit="1"/>
      <protection hidden="1"/>
    </xf>
    <xf numFmtId="200" fontId="87" fillId="0" borderId="528" xfId="5" applyNumberFormat="1" applyFont="1" applyBorder="1" applyAlignment="1" applyProtection="1">
      <alignment horizontal="center" vertical="center" shrinkToFit="1"/>
      <protection hidden="1"/>
    </xf>
    <xf numFmtId="233" fontId="43" fillId="10" borderId="0" xfId="5" applyNumberFormat="1" applyFont="1" applyFill="1" applyProtection="1">
      <protection hidden="1"/>
    </xf>
    <xf numFmtId="211" fontId="13" fillId="0" borderId="339" xfId="5" applyNumberFormat="1" applyFont="1" applyBorder="1" applyAlignment="1" applyProtection="1">
      <alignment horizontal="center" vertical="center" shrinkToFit="1"/>
      <protection hidden="1"/>
    </xf>
    <xf numFmtId="211" fontId="13" fillId="0" borderId="340" xfId="5" applyNumberFormat="1" applyFont="1" applyBorder="1" applyAlignment="1" applyProtection="1">
      <alignment horizontal="center" vertical="center" shrinkToFit="1"/>
      <protection hidden="1"/>
    </xf>
    <xf numFmtId="170" fontId="85" fillId="0" borderId="524" xfId="5" applyNumberFormat="1" applyFont="1" applyBorder="1" applyAlignment="1" applyProtection="1">
      <alignment horizontal="center" vertical="center" shrinkToFit="1"/>
      <protection hidden="1"/>
    </xf>
    <xf numFmtId="170" fontId="85" fillId="0" borderId="526" xfId="5" applyNumberFormat="1" applyFont="1" applyBorder="1" applyAlignment="1" applyProtection="1">
      <alignment horizontal="center" vertical="center" shrinkToFit="1"/>
      <protection hidden="1"/>
    </xf>
    <xf numFmtId="170" fontId="85" fillId="0" borderId="750" xfId="5" applyNumberFormat="1" applyFont="1" applyBorder="1" applyAlignment="1" applyProtection="1">
      <alignment horizontal="center" vertical="center" shrinkToFit="1"/>
      <protection hidden="1"/>
    </xf>
    <xf numFmtId="170" fontId="85" fillId="0" borderId="525" xfId="5" applyNumberFormat="1" applyFont="1" applyBorder="1" applyAlignment="1" applyProtection="1">
      <alignment horizontal="center" vertical="center" shrinkToFit="1"/>
      <protection hidden="1"/>
    </xf>
    <xf numFmtId="3" fontId="85" fillId="0" borderId="524" xfId="5" applyNumberFormat="1" applyFont="1" applyBorder="1" applyAlignment="1" applyProtection="1">
      <alignment vertical="center" shrinkToFit="1"/>
      <protection hidden="1"/>
    </xf>
    <xf numFmtId="3" fontId="85" fillId="0" borderId="526" xfId="5" applyNumberFormat="1" applyFont="1" applyBorder="1" applyAlignment="1" applyProtection="1">
      <alignment vertical="center" shrinkToFit="1"/>
      <protection hidden="1"/>
    </xf>
    <xf numFmtId="3" fontId="85" fillId="0" borderId="750" xfId="5" applyNumberFormat="1" applyFont="1" applyBorder="1" applyAlignment="1" applyProtection="1">
      <alignment vertical="center" shrinkToFit="1"/>
      <protection hidden="1"/>
    </xf>
    <xf numFmtId="3" fontId="85" fillId="0" borderId="525" xfId="5" applyNumberFormat="1" applyFont="1" applyBorder="1" applyAlignment="1" applyProtection="1">
      <alignment vertical="center" shrinkToFit="1"/>
      <protection hidden="1"/>
    </xf>
    <xf numFmtId="3" fontId="85" fillId="0" borderId="527" xfId="5" applyNumberFormat="1" applyFont="1" applyBorder="1" applyAlignment="1" applyProtection="1">
      <alignment horizontal="center" vertical="center" shrinkToFit="1"/>
      <protection hidden="1"/>
    </xf>
    <xf numFmtId="0" fontId="63" fillId="12" borderId="918" xfId="0" applyNumberFormat="1" applyFont="1" applyFill="1" applyBorder="1" applyAlignment="1" applyProtection="1">
      <alignment horizontal="center" vertical="center" shrinkToFit="1"/>
      <protection locked="0"/>
    </xf>
    <xf numFmtId="4" fontId="63" fillId="0" borderId="423" xfId="0" applyNumberFormat="1" applyFont="1" applyBorder="1" applyAlignment="1" applyProtection="1">
      <alignment horizontal="center" shrinkToFit="1"/>
      <protection hidden="1"/>
    </xf>
    <xf numFmtId="202" fontId="63" fillId="0" borderId="424" xfId="0" applyNumberFormat="1" applyFont="1" applyBorder="1" applyAlignment="1" applyProtection="1">
      <alignment horizontal="center" shrinkToFit="1"/>
      <protection hidden="1"/>
    </xf>
    <xf numFmtId="0" fontId="127" fillId="28" borderId="919" xfId="5" applyFont="1" applyFill="1" applyBorder="1" applyAlignment="1" applyProtection="1">
      <alignment horizontal="center" vertical="center" shrinkToFit="1"/>
      <protection hidden="1"/>
    </xf>
    <xf numFmtId="0" fontId="140" fillId="28" borderId="920" xfId="5" applyFont="1" applyFill="1" applyBorder="1" applyAlignment="1" applyProtection="1">
      <alignment horizontal="center" vertical="center" shrinkToFit="1"/>
      <protection hidden="1"/>
    </xf>
    <xf numFmtId="166" fontId="140" fillId="28" borderId="920" xfId="0" applyFont="1" applyFill="1" applyBorder="1" applyAlignment="1" applyProtection="1">
      <alignment horizontal="center" vertical="center" shrinkToFit="1"/>
      <protection hidden="1"/>
    </xf>
    <xf numFmtId="166" fontId="127" fillId="28" borderId="921" xfId="0" applyFont="1" applyFill="1" applyBorder="1" applyAlignment="1" applyProtection="1">
      <alignment horizontal="center" vertical="center" wrapText="1" shrinkToFit="1"/>
      <protection hidden="1"/>
    </xf>
    <xf numFmtId="166" fontId="126" fillId="28" borderId="922" xfId="0" applyFont="1" applyFill="1" applyBorder="1" applyAlignment="1" applyProtection="1">
      <alignment horizontal="center" vertical="center" shrinkToFit="1"/>
      <protection hidden="1"/>
    </xf>
    <xf numFmtId="166" fontId="63" fillId="0" borderId="924" xfId="0" applyFont="1" applyBorder="1" applyAlignment="1" applyProtection="1">
      <alignment horizontal="right" shrinkToFit="1"/>
      <protection hidden="1"/>
    </xf>
    <xf numFmtId="170" fontId="63" fillId="0" borderId="925" xfId="0" applyNumberFormat="1" applyFont="1" applyBorder="1" applyAlignment="1" applyProtection="1">
      <alignment horizontal="center" shrinkToFit="1"/>
      <protection hidden="1"/>
    </xf>
    <xf numFmtId="203" fontId="63" fillId="0" borderId="926" xfId="0" applyNumberFormat="1" applyFont="1" applyBorder="1" applyAlignment="1" applyProtection="1">
      <alignment horizontal="center" shrinkToFit="1"/>
      <protection hidden="1"/>
    </xf>
    <xf numFmtId="166" fontId="73" fillId="0" borderId="927" xfId="0" applyFont="1" applyBorder="1" applyAlignment="1" applyProtection="1">
      <alignment horizontal="right" shrinkToFit="1"/>
      <protection hidden="1"/>
    </xf>
    <xf numFmtId="170" fontId="63" fillId="0" borderId="99" xfId="0" applyNumberFormat="1" applyFont="1" applyBorder="1" applyAlignment="1" applyProtection="1">
      <alignment horizontal="center" shrinkToFit="1"/>
      <protection hidden="1"/>
    </xf>
    <xf numFmtId="182" fontId="63" fillId="0" borderId="928" xfId="0" applyNumberFormat="1" applyFont="1" applyBorder="1" applyAlignment="1" applyProtection="1">
      <alignment horizontal="center" shrinkToFit="1"/>
      <protection hidden="1"/>
    </xf>
    <xf numFmtId="0" fontId="64" fillId="0" borderId="546" xfId="0" applyNumberFormat="1" applyFont="1" applyBorder="1" applyAlignment="1" applyProtection="1">
      <alignment horizontal="left" shrinkToFit="1"/>
      <protection hidden="1"/>
    </xf>
    <xf numFmtId="166" fontId="64" fillId="0" borderId="568" xfId="0" applyFont="1" applyBorder="1" applyAlignment="1" applyProtection="1">
      <alignment shrinkToFit="1"/>
      <protection hidden="1"/>
    </xf>
    <xf numFmtId="0" fontId="64" fillId="0" borderId="569" xfId="0" applyNumberFormat="1" applyFont="1" applyBorder="1" applyAlignment="1" applyProtection="1">
      <alignment horizontal="left" shrinkToFit="1"/>
      <protection hidden="1"/>
    </xf>
    <xf numFmtId="0" fontId="140" fillId="28" borderId="675" xfId="5" applyFont="1" applyFill="1" applyBorder="1" applyAlignment="1" applyProtection="1">
      <alignment horizontal="center" vertical="center" shrinkToFit="1"/>
      <protection hidden="1"/>
    </xf>
    <xf numFmtId="0" fontId="126" fillId="28" borderId="694" xfId="5" applyFont="1" applyFill="1" applyBorder="1" applyAlignment="1" applyProtection="1">
      <alignment horizontal="center" vertical="center" shrinkToFit="1"/>
      <protection hidden="1"/>
    </xf>
    <xf numFmtId="166" fontId="126" fillId="28" borderId="694" xfId="0" applyFont="1" applyFill="1" applyBorder="1" applyAlignment="1" applyProtection="1">
      <alignment horizontal="center" vertical="center" shrinkToFit="1"/>
      <protection hidden="1"/>
    </xf>
    <xf numFmtId="166" fontId="127" fillId="28" borderId="761" xfId="0" applyFont="1" applyFill="1" applyBorder="1" applyAlignment="1" applyProtection="1">
      <alignment horizontal="center" vertical="center" wrapText="1" shrinkToFit="1"/>
      <protection hidden="1"/>
    </xf>
    <xf numFmtId="0" fontId="140" fillId="28" borderId="694" xfId="5" applyFont="1" applyFill="1" applyBorder="1" applyAlignment="1" applyProtection="1">
      <alignment horizontal="center" vertical="center" shrinkToFit="1"/>
      <protection hidden="1"/>
    </xf>
    <xf numFmtId="166" fontId="140" fillId="28" borderId="694" xfId="0" applyFont="1" applyFill="1" applyBorder="1" applyAlignment="1" applyProtection="1">
      <alignment horizontal="center" vertical="center" shrinkToFit="1"/>
      <protection hidden="1"/>
    </xf>
    <xf numFmtId="166" fontId="127" fillId="28" borderId="761" xfId="0" applyFont="1" applyFill="1" applyBorder="1" applyAlignment="1" applyProtection="1">
      <alignment horizontal="center" vertical="center" shrinkToFit="1"/>
      <protection hidden="1"/>
    </xf>
    <xf numFmtId="0" fontId="142" fillId="28" borderId="929" xfId="3" applyFont="1" applyFill="1" applyBorder="1" applyAlignment="1" applyProtection="1">
      <alignment horizontal="center" vertical="center" shrinkToFit="1"/>
      <protection locked="0"/>
    </xf>
    <xf numFmtId="178" fontId="143" fillId="28" borderId="930" xfId="3" applyNumberFormat="1" applyFont="1" applyFill="1" applyBorder="1" applyAlignment="1" applyProtection="1">
      <alignment horizontal="center" vertical="center" shrinkToFit="1"/>
      <protection locked="0"/>
    </xf>
    <xf numFmtId="178" fontId="144" fillId="28" borderId="930" xfId="3" applyNumberFormat="1" applyFont="1" applyFill="1" applyBorder="1" applyAlignment="1" applyProtection="1">
      <alignment horizontal="center" vertical="center" shrinkToFit="1"/>
      <protection locked="0"/>
    </xf>
    <xf numFmtId="178" fontId="144" fillId="28" borderId="930" xfId="3" applyNumberFormat="1" applyFont="1" applyFill="1" applyBorder="1" applyAlignment="1" applyProtection="1">
      <alignment horizontal="center" vertical="center" shrinkToFit="1"/>
      <protection hidden="1"/>
    </xf>
    <xf numFmtId="178" fontId="137" fillId="28" borderId="931" xfId="3" applyNumberFormat="1" applyFont="1" applyFill="1" applyBorder="1" applyAlignment="1" applyProtection="1">
      <alignment horizontal="center" vertical="center" shrinkToFit="1"/>
      <protection locked="0"/>
    </xf>
    <xf numFmtId="178" fontId="135" fillId="28" borderId="932" xfId="3" applyNumberFormat="1" applyFont="1" applyFill="1" applyBorder="1" applyAlignment="1" applyProtection="1">
      <alignment horizontal="center" vertical="center" wrapText="1" shrinkToFit="1"/>
      <protection locked="0"/>
    </xf>
    <xf numFmtId="178" fontId="135" fillId="28" borderId="933" xfId="3" applyNumberFormat="1" applyFont="1" applyFill="1" applyBorder="1" applyAlignment="1" applyProtection="1">
      <alignment horizontal="center" vertical="center" wrapText="1" shrinkToFit="1"/>
      <protection locked="0"/>
    </xf>
    <xf numFmtId="178" fontId="135" fillId="28" borderId="934" xfId="3" applyNumberFormat="1" applyFont="1" applyFill="1" applyBorder="1" applyAlignment="1" applyProtection="1">
      <alignment horizontal="center" vertical="center" wrapText="1" shrinkToFit="1"/>
      <protection locked="0"/>
    </xf>
    <xf numFmtId="178" fontId="145" fillId="28" borderId="935" xfId="3" applyNumberFormat="1" applyFont="1" applyFill="1" applyBorder="1" applyAlignment="1" applyProtection="1">
      <alignment horizontal="center" vertical="center" wrapText="1" shrinkToFit="1"/>
      <protection locked="0"/>
    </xf>
    <xf numFmtId="178" fontId="145" fillId="28" borderId="930" xfId="3" applyNumberFormat="1" applyFont="1" applyFill="1" applyBorder="1" applyAlignment="1" applyProtection="1">
      <alignment horizontal="center" vertical="center" wrapText="1" shrinkToFit="1"/>
      <protection locked="0"/>
    </xf>
    <xf numFmtId="178" fontId="145" fillId="28" borderId="931" xfId="3" applyNumberFormat="1" applyFont="1" applyFill="1" applyBorder="1" applyAlignment="1" applyProtection="1">
      <alignment horizontal="center" vertical="center" wrapText="1" shrinkToFit="1"/>
      <protection locked="0"/>
    </xf>
    <xf numFmtId="178" fontId="136" fillId="28" borderId="936" xfId="5" applyNumberFormat="1" applyFont="1" applyFill="1" applyBorder="1" applyAlignment="1" applyProtection="1">
      <alignment horizontal="center" vertical="center" wrapText="1"/>
      <protection hidden="1"/>
    </xf>
    <xf numFmtId="0" fontId="136" fillId="28" borderId="937" xfId="5" applyFont="1" applyFill="1" applyBorder="1" applyAlignment="1" applyProtection="1">
      <alignment horizontal="center" vertical="center"/>
      <protection hidden="1"/>
    </xf>
    <xf numFmtId="0" fontId="142" fillId="28" borderId="938" xfId="5" applyFont="1" applyFill="1" applyBorder="1" applyAlignment="1" applyProtection="1">
      <alignment horizontal="center" vertical="center"/>
      <protection hidden="1"/>
    </xf>
    <xf numFmtId="0" fontId="136" fillId="28" borderId="923" xfId="5" applyFont="1" applyFill="1" applyBorder="1" applyAlignment="1" applyProtection="1">
      <alignment horizontal="center" vertical="center" wrapText="1"/>
      <protection hidden="1"/>
    </xf>
    <xf numFmtId="166" fontId="146" fillId="28" borderId="939" xfId="0" applyFont="1" applyFill="1" applyBorder="1" applyAlignment="1" applyProtection="1">
      <alignment horizontal="center" vertical="center" wrapText="1"/>
      <protection hidden="1"/>
    </xf>
    <xf numFmtId="170" fontId="46" fillId="0" borderId="304" xfId="5" applyNumberFormat="1" applyFont="1" applyBorder="1" applyAlignment="1" applyProtection="1">
      <alignment horizontal="center" shrinkToFit="1"/>
      <protection hidden="1"/>
    </xf>
    <xf numFmtId="170" fontId="38" fillId="0" borderId="274" xfId="0" applyNumberFormat="1" applyFont="1" applyBorder="1" applyAlignment="1" applyProtection="1">
      <alignment horizontal="center" shrinkToFit="1"/>
      <protection hidden="1"/>
    </xf>
    <xf numFmtId="170" fontId="46" fillId="0" borderId="291" xfId="5" applyNumberFormat="1" applyFont="1" applyBorder="1" applyAlignment="1" applyProtection="1">
      <alignment horizontal="center" shrinkToFit="1"/>
      <protection hidden="1"/>
    </xf>
    <xf numFmtId="170" fontId="38" fillId="0" borderId="272" xfId="0" applyNumberFormat="1" applyFont="1" applyBorder="1" applyAlignment="1" applyProtection="1">
      <alignment horizontal="center" shrinkToFit="1"/>
      <protection hidden="1"/>
    </xf>
    <xf numFmtId="230" fontId="3" fillId="0" borderId="730" xfId="3" applyNumberFormat="1" applyFont="1" applyBorder="1" applyAlignment="1" applyProtection="1">
      <alignment horizontal="center" vertical="center" shrinkToFit="1"/>
      <protection hidden="1"/>
    </xf>
    <xf numFmtId="230" fontId="3" fillId="0" borderId="731" xfId="3" applyNumberFormat="1" applyFont="1" applyBorder="1" applyAlignment="1" applyProtection="1">
      <alignment horizontal="center" vertical="center" shrinkToFit="1"/>
      <protection hidden="1"/>
    </xf>
    <xf numFmtId="230" fontId="3" fillId="0" borderId="732" xfId="3" applyNumberFormat="1" applyFont="1" applyBorder="1" applyAlignment="1" applyProtection="1">
      <alignment horizontal="center" vertical="center" shrinkToFit="1"/>
      <protection hidden="1"/>
    </xf>
    <xf numFmtId="230" fontId="3" fillId="0" borderId="733" xfId="3" applyNumberFormat="1" applyFont="1" applyBorder="1" applyAlignment="1" applyProtection="1">
      <alignment horizontal="center" vertical="center" shrinkToFit="1"/>
      <protection hidden="1"/>
    </xf>
    <xf numFmtId="230" fontId="3" fillId="0" borderId="734" xfId="3" applyNumberFormat="1" applyFont="1" applyBorder="1" applyAlignment="1" applyProtection="1">
      <alignment horizontal="center" vertical="center" shrinkToFit="1"/>
      <protection hidden="1"/>
    </xf>
    <xf numFmtId="170" fontId="13" fillId="0" borderId="735" xfId="3" applyNumberFormat="1" applyFont="1" applyBorder="1" applyAlignment="1" applyProtection="1">
      <alignment horizontal="center" vertical="center" shrinkToFit="1"/>
      <protection hidden="1"/>
    </xf>
    <xf numFmtId="170" fontId="13" fillId="0" borderId="736" xfId="3" applyNumberFormat="1" applyFont="1" applyBorder="1" applyAlignment="1" applyProtection="1">
      <alignment horizontal="center" vertical="center" shrinkToFit="1"/>
      <protection hidden="1"/>
    </xf>
    <xf numFmtId="170" fontId="13" fillId="0" borderId="737" xfId="3" applyNumberFormat="1" applyFont="1" applyBorder="1" applyAlignment="1" applyProtection="1">
      <alignment horizontal="center" vertical="center" shrinkToFit="1"/>
      <protection hidden="1"/>
    </xf>
    <xf numFmtId="170" fontId="13" fillId="0" borderId="738" xfId="3" applyNumberFormat="1" applyFont="1" applyBorder="1" applyAlignment="1" applyProtection="1">
      <alignment horizontal="center" vertical="center" shrinkToFit="1"/>
      <protection hidden="1"/>
    </xf>
    <xf numFmtId="170" fontId="13" fillId="13" borderId="148" xfId="3" applyNumberFormat="1" applyFont="1" applyFill="1" applyBorder="1" applyAlignment="1" applyProtection="1">
      <alignment horizontal="center" vertical="center" shrinkToFit="1"/>
      <protection hidden="1"/>
    </xf>
    <xf numFmtId="230" fontId="13" fillId="13" borderId="127" xfId="3" applyNumberFormat="1" applyFont="1" applyFill="1" applyBorder="1" applyAlignment="1" applyProtection="1">
      <alignment horizontal="center" vertical="center" shrinkToFit="1"/>
      <protection hidden="1"/>
    </xf>
    <xf numFmtId="216" fontId="49" fillId="19" borderId="285" xfId="5" applyNumberFormat="1" applyFont="1" applyFill="1" applyBorder="1" applyAlignment="1" applyProtection="1">
      <alignment horizontal="center" shrinkToFit="1"/>
      <protection locked="0"/>
    </xf>
    <xf numFmtId="216" fontId="49" fillId="19" borderId="274" xfId="5" applyNumberFormat="1" applyFont="1" applyFill="1" applyBorder="1" applyAlignment="1" applyProtection="1">
      <alignment horizontal="center" shrinkToFit="1"/>
      <protection locked="0" hidden="1"/>
    </xf>
    <xf numFmtId="173" fontId="49" fillId="19" borderId="676" xfId="5" applyNumberFormat="1" applyFont="1" applyFill="1" applyBorder="1" applyAlignment="1" applyProtection="1">
      <alignment horizontal="center" shrinkToFit="1"/>
      <protection locked="0"/>
    </xf>
    <xf numFmtId="173" fontId="49" fillId="19" borderId="677" xfId="5" applyNumberFormat="1" applyFont="1" applyFill="1" applyBorder="1" applyAlignment="1" applyProtection="1">
      <alignment horizontal="center" shrinkToFit="1"/>
      <protection locked="0"/>
    </xf>
    <xf numFmtId="0" fontId="87" fillId="0" borderId="529" xfId="5" applyFont="1" applyBorder="1" applyAlignment="1" applyProtection="1">
      <alignment horizontal="right" vertical="center" shrinkToFit="1"/>
      <protection hidden="1"/>
    </xf>
    <xf numFmtId="0" fontId="87" fillId="0" borderId="530" xfId="5" applyFont="1" applyBorder="1" applyAlignment="1" applyProtection="1">
      <alignment horizontal="right" vertical="center" shrinkToFit="1"/>
      <protection hidden="1"/>
    </xf>
    <xf numFmtId="166" fontId="149" fillId="33" borderId="0" xfId="0" applyFont="1" applyFill="1" applyProtection="1">
      <protection hidden="1"/>
    </xf>
    <xf numFmtId="166" fontId="17" fillId="0" borderId="293" xfId="0" applyFont="1" applyBorder="1" applyAlignment="1" applyProtection="1">
      <alignment horizontal="center" vertical="center" wrapText="1"/>
      <protection hidden="1"/>
    </xf>
    <xf numFmtId="166" fontId="18" fillId="0" borderId="970" xfId="0" applyFont="1" applyBorder="1" applyAlignment="1" applyProtection="1">
      <alignment horizontal="center" vertical="center" wrapText="1" shrinkToFit="1"/>
      <protection hidden="1"/>
    </xf>
    <xf numFmtId="166" fontId="18" fillId="0" borderId="971" xfId="0" applyFont="1" applyBorder="1" applyAlignment="1" applyProtection="1">
      <alignment horizontal="center" vertical="center" wrapText="1" shrinkToFit="1"/>
      <protection hidden="1"/>
    </xf>
    <xf numFmtId="166" fontId="18" fillId="0" borderId="966" xfId="0" applyFont="1" applyBorder="1" applyAlignment="1" applyProtection="1">
      <alignment horizontal="center" vertical="center" wrapText="1" shrinkToFit="1"/>
      <protection hidden="1"/>
    </xf>
    <xf numFmtId="181" fontId="17" fillId="0" borderId="972" xfId="0" applyNumberFormat="1" applyFont="1" applyBorder="1" applyAlignment="1" applyProtection="1">
      <alignment horizontal="center" vertical="center" shrinkToFit="1"/>
      <protection locked="0" hidden="1"/>
    </xf>
    <xf numFmtId="166" fontId="0" fillId="0" borderId="0" xfId="0" applyProtection="1">
      <protection hidden="1"/>
    </xf>
    <xf numFmtId="166" fontId="149" fillId="0" borderId="0" xfId="0" applyFont="1" applyProtection="1">
      <protection hidden="1"/>
    </xf>
    <xf numFmtId="203" fontId="19" fillId="0" borderId="973" xfId="3" applyNumberFormat="1" applyFont="1" applyBorder="1" applyAlignment="1" applyProtection="1">
      <alignment horizontal="center" vertical="center" shrinkToFit="1"/>
      <protection hidden="1"/>
    </xf>
    <xf numFmtId="204" fontId="19" fillId="0" borderId="973" xfId="3" applyNumberFormat="1" applyFont="1" applyBorder="1" applyAlignment="1" applyProtection="1">
      <alignment horizontal="center" vertical="center" shrinkToFit="1"/>
      <protection hidden="1"/>
    </xf>
    <xf numFmtId="182" fontId="19" fillId="0" borderId="973" xfId="3" applyNumberFormat="1" applyFont="1" applyBorder="1" applyAlignment="1" applyProtection="1">
      <alignment horizontal="center" vertical="center" shrinkToFit="1"/>
      <protection hidden="1"/>
    </xf>
    <xf numFmtId="202" fontId="19" fillId="0" borderId="974" xfId="3" applyNumberFormat="1" applyFont="1" applyBorder="1" applyAlignment="1" applyProtection="1">
      <alignment horizontal="center" vertical="center" shrinkToFit="1"/>
      <protection hidden="1"/>
    </xf>
    <xf numFmtId="230" fontId="19" fillId="0" borderId="974" xfId="3" applyNumberFormat="1" applyFont="1" applyBorder="1" applyAlignment="1" applyProtection="1">
      <alignment horizontal="center" vertical="center" shrinkToFit="1"/>
      <protection hidden="1"/>
    </xf>
    <xf numFmtId="205" fontId="19" fillId="0" borderId="974" xfId="3" applyNumberFormat="1" applyFont="1" applyBorder="1" applyAlignment="1" applyProtection="1">
      <alignment horizontal="center" vertical="center" shrinkToFit="1"/>
      <protection hidden="1"/>
    </xf>
    <xf numFmtId="182" fontId="19" fillId="0" borderId="975" xfId="3" applyNumberFormat="1" applyFont="1" applyBorder="1" applyAlignment="1" applyProtection="1">
      <alignment horizontal="center" vertical="center" shrinkToFit="1"/>
      <protection hidden="1"/>
    </xf>
    <xf numFmtId="166" fontId="150" fillId="10" borderId="0" xfId="0" applyFont="1" applyFill="1" applyAlignment="1" applyProtection="1">
      <alignment shrinkToFit="1"/>
      <protection hidden="1"/>
    </xf>
    <xf numFmtId="234" fontId="150" fillId="10" borderId="0" xfId="0" applyNumberFormat="1" applyFont="1" applyFill="1" applyAlignment="1" applyProtection="1">
      <alignment horizontal="center"/>
      <protection hidden="1"/>
    </xf>
    <xf numFmtId="166" fontId="150" fillId="10" borderId="0" xfId="0" applyFont="1" applyFill="1" applyProtection="1">
      <protection hidden="1"/>
    </xf>
    <xf numFmtId="0" fontId="20" fillId="0" borderId="0" xfId="8" applyFont="1" applyProtection="1">
      <protection hidden="1"/>
    </xf>
    <xf numFmtId="166" fontId="37" fillId="0" borderId="0" xfId="0" applyFont="1" applyProtection="1">
      <protection hidden="1"/>
    </xf>
    <xf numFmtId="175" fontId="13" fillId="13" borderId="30" xfId="8" applyNumberFormat="1" applyFont="1" applyFill="1" applyBorder="1" applyAlignment="1" applyProtection="1">
      <alignment horizontal="center" vertical="center" shrinkToFit="1"/>
      <protection locked="0"/>
    </xf>
    <xf numFmtId="175" fontId="13" fillId="13" borderId="30" xfId="8" applyNumberFormat="1" applyFont="1" applyFill="1" applyBorder="1" applyAlignment="1" applyProtection="1">
      <alignment horizontal="center" vertical="center"/>
      <protection locked="0"/>
    </xf>
    <xf numFmtId="175" fontId="13" fillId="13" borderId="33" xfId="8" applyNumberFormat="1" applyFont="1" applyFill="1" applyBorder="1" applyAlignment="1" applyProtection="1">
      <alignment horizontal="center" vertical="center" shrinkToFit="1"/>
      <protection locked="0"/>
    </xf>
    <xf numFmtId="175" fontId="13" fillId="13" borderId="33" xfId="8" applyNumberFormat="1" applyFont="1" applyFill="1" applyBorder="1" applyAlignment="1" applyProtection="1">
      <alignment horizontal="center" vertical="center"/>
      <protection locked="0"/>
    </xf>
    <xf numFmtId="175" fontId="13" fillId="13" borderId="36" xfId="8" applyNumberFormat="1" applyFont="1" applyFill="1" applyBorder="1" applyAlignment="1" applyProtection="1">
      <alignment horizontal="center" vertical="center" shrinkToFit="1"/>
      <protection locked="0"/>
    </xf>
    <xf numFmtId="175" fontId="13" fillId="13" borderId="36" xfId="8" applyNumberFormat="1" applyFont="1" applyFill="1" applyBorder="1" applyAlignment="1" applyProtection="1">
      <alignment horizontal="center" vertical="center"/>
      <protection locked="0"/>
    </xf>
    <xf numFmtId="0" fontId="13" fillId="21" borderId="25" xfId="8" applyFont="1" applyFill="1" applyBorder="1" applyAlignment="1" applyProtection="1">
      <alignment horizontal="center" vertical="center" wrapText="1"/>
      <protection hidden="1"/>
    </xf>
    <xf numFmtId="0" fontId="15" fillId="21" borderId="26" xfId="8" applyFont="1" applyFill="1" applyBorder="1" applyAlignment="1" applyProtection="1">
      <alignment horizontal="center" vertical="center" wrapText="1"/>
      <protection hidden="1"/>
    </xf>
    <xf numFmtId="0" fontId="15" fillId="21" borderId="824" xfId="8" applyFont="1" applyFill="1" applyBorder="1" applyAlignment="1" applyProtection="1">
      <alignment horizontal="center" vertical="center" wrapText="1"/>
      <protection hidden="1"/>
    </xf>
    <xf numFmtId="0" fontId="15" fillId="21" borderId="27" xfId="8" applyFont="1" applyFill="1" applyBorder="1" applyAlignment="1" applyProtection="1">
      <alignment horizontal="center" vertical="center" wrapText="1"/>
      <protection hidden="1"/>
    </xf>
    <xf numFmtId="0" fontId="15" fillId="21" borderId="829" xfId="8" applyFont="1" applyFill="1" applyBorder="1" applyAlignment="1" applyProtection="1">
      <alignment horizontal="center" vertical="center" wrapText="1"/>
      <protection hidden="1"/>
    </xf>
    <xf numFmtId="0" fontId="15" fillId="21" borderId="28" xfId="8" applyFont="1" applyFill="1" applyBorder="1" applyAlignment="1" applyProtection="1">
      <alignment horizontal="center" vertical="center" wrapText="1"/>
      <protection hidden="1"/>
    </xf>
    <xf numFmtId="0" fontId="20" fillId="0" borderId="979" xfId="8" applyFont="1" applyBorder="1" applyAlignment="1" applyProtection="1">
      <alignment horizontal="center"/>
      <protection hidden="1"/>
    </xf>
    <xf numFmtId="0" fontId="20" fillId="0" borderId="982" xfId="8" applyFont="1" applyBorder="1" applyAlignment="1" applyProtection="1">
      <alignment horizontal="center"/>
      <protection hidden="1"/>
    </xf>
    <xf numFmtId="0" fontId="18" fillId="21" borderId="976" xfId="8" applyFont="1" applyFill="1" applyBorder="1" applyAlignment="1" applyProtection="1">
      <alignment horizontal="center" vertical="center" wrapText="1" shrinkToFit="1"/>
      <protection hidden="1"/>
    </xf>
    <xf numFmtId="0" fontId="25" fillId="21" borderId="977" xfId="8" applyFont="1" applyFill="1" applyBorder="1" applyAlignment="1" applyProtection="1">
      <alignment horizontal="center" vertical="center" wrapText="1" shrinkToFit="1"/>
      <protection hidden="1"/>
    </xf>
    <xf numFmtId="0" fontId="25" fillId="21" borderId="978" xfId="8" applyFont="1" applyFill="1" applyBorder="1" applyAlignment="1" applyProtection="1">
      <alignment horizontal="center" vertical="center" wrapText="1" shrinkToFit="1"/>
      <protection hidden="1"/>
    </xf>
    <xf numFmtId="170" fontId="13" fillId="13" borderId="980" xfId="3" applyNumberFormat="1" applyFont="1" applyFill="1" applyBorder="1" applyAlignment="1" applyProtection="1">
      <alignment horizontal="center"/>
      <protection locked="0"/>
    </xf>
    <xf numFmtId="170" fontId="13" fillId="13" borderId="981" xfId="3" applyNumberFormat="1" applyFont="1" applyFill="1" applyBorder="1" applyAlignment="1" applyProtection="1">
      <alignment horizontal="center"/>
      <protection locked="0"/>
    </xf>
    <xf numFmtId="170" fontId="13" fillId="13" borderId="983" xfId="3" applyNumberFormat="1" applyFont="1" applyFill="1" applyBorder="1" applyAlignment="1" applyProtection="1">
      <alignment horizontal="center"/>
      <protection locked="0"/>
    </xf>
    <xf numFmtId="170" fontId="13" fillId="13" borderId="984" xfId="3" applyNumberFormat="1" applyFont="1" applyFill="1" applyBorder="1" applyAlignment="1" applyProtection="1">
      <alignment horizontal="center"/>
      <protection locked="0"/>
    </xf>
    <xf numFmtId="170" fontId="13" fillId="0" borderId="986" xfId="3" applyNumberFormat="1" applyFont="1" applyBorder="1" applyAlignment="1" applyProtection="1">
      <alignment horizontal="center" vertical="center" shrinkToFit="1"/>
      <protection hidden="1"/>
    </xf>
    <xf numFmtId="203" fontId="15" fillId="13" borderId="987" xfId="3" applyNumberFormat="1" applyFont="1" applyFill="1" applyBorder="1" applyAlignment="1" applyProtection="1">
      <alignment horizontal="center" vertical="center" shrinkToFit="1"/>
      <protection hidden="1"/>
    </xf>
    <xf numFmtId="177" fontId="13" fillId="0" borderId="986" xfId="3" applyNumberFormat="1" applyFont="1" applyBorder="1" applyAlignment="1" applyProtection="1">
      <alignment horizontal="center" vertical="center" shrinkToFit="1"/>
      <protection hidden="1"/>
    </xf>
    <xf numFmtId="204" fontId="13" fillId="13" borderId="988" xfId="3" applyNumberFormat="1" applyFont="1" applyFill="1" applyBorder="1" applyAlignment="1" applyProtection="1">
      <alignment horizontal="center" vertical="center" shrinkToFit="1"/>
      <protection hidden="1"/>
    </xf>
    <xf numFmtId="174" fontId="13" fillId="13" borderId="989" xfId="3" applyNumberFormat="1" applyFont="1" applyFill="1" applyBorder="1" applyAlignment="1" applyProtection="1">
      <alignment horizontal="center" vertical="center" shrinkToFit="1"/>
      <protection hidden="1"/>
    </xf>
    <xf numFmtId="177" fontId="13" fillId="0" borderId="990" xfId="3" applyNumberFormat="1" applyFont="1" applyBorder="1" applyAlignment="1" applyProtection="1">
      <alignment horizontal="center" vertical="center" shrinkToFit="1"/>
      <protection hidden="1"/>
    </xf>
    <xf numFmtId="177" fontId="13" fillId="0" borderId="991" xfId="3" applyNumberFormat="1" applyFont="1" applyBorder="1" applyAlignment="1" applyProtection="1">
      <alignment horizontal="center" vertical="center" shrinkToFit="1"/>
      <protection hidden="1"/>
    </xf>
    <xf numFmtId="174" fontId="13" fillId="0" borderId="213" xfId="0" applyNumberFormat="1" applyFont="1" applyBorder="1" applyAlignment="1" applyProtection="1">
      <alignment horizontal="center" shrinkToFit="1"/>
      <protection hidden="1"/>
    </xf>
    <xf numFmtId="170" fontId="13" fillId="0" borderId="990" xfId="3" applyNumberFormat="1" applyFont="1" applyBorder="1" applyAlignment="1" applyProtection="1">
      <alignment horizontal="center" vertical="center" shrinkToFit="1"/>
      <protection hidden="1"/>
    </xf>
    <xf numFmtId="182" fontId="3" fillId="13" borderId="988" xfId="3" applyNumberFormat="1" applyFont="1" applyFill="1" applyBorder="1" applyAlignment="1" applyProtection="1">
      <alignment horizontal="center" vertical="center" shrinkToFit="1"/>
      <protection hidden="1"/>
    </xf>
    <xf numFmtId="230" fontId="3" fillId="0" borderId="992" xfId="3" applyNumberFormat="1" applyFont="1" applyBorder="1" applyAlignment="1" applyProtection="1">
      <alignment horizontal="center" vertical="center" shrinkToFit="1"/>
      <protection hidden="1"/>
    </xf>
    <xf numFmtId="168" fontId="13" fillId="0" borderId="986" xfId="3" applyNumberFormat="1" applyFont="1" applyBorder="1" applyAlignment="1" applyProtection="1">
      <alignment horizontal="center" vertical="center" shrinkToFit="1"/>
      <protection hidden="1"/>
    </xf>
    <xf numFmtId="205" fontId="13" fillId="13" borderId="987" xfId="3" applyNumberFormat="1" applyFont="1" applyFill="1" applyBorder="1" applyAlignment="1" applyProtection="1">
      <alignment horizontal="center" vertical="center" shrinkToFit="1"/>
      <protection hidden="1"/>
    </xf>
    <xf numFmtId="177" fontId="13" fillId="0" borderId="993" xfId="11" applyNumberFormat="1" applyFont="1" applyBorder="1" applyAlignment="1" applyProtection="1">
      <alignment horizontal="center" vertical="center" shrinkToFit="1"/>
      <protection hidden="1"/>
    </xf>
    <xf numFmtId="169" fontId="13" fillId="0" borderId="986" xfId="3" applyNumberFormat="1" applyFont="1" applyBorder="1" applyAlignment="1" applyProtection="1">
      <alignment horizontal="center" vertical="center" shrinkToFit="1"/>
      <protection hidden="1"/>
    </xf>
    <xf numFmtId="182" fontId="13" fillId="13" borderId="987" xfId="3" applyNumberFormat="1" applyFont="1" applyFill="1" applyBorder="1" applyAlignment="1" applyProtection="1">
      <alignment horizontal="center" vertical="center" shrinkToFit="1"/>
      <protection hidden="1"/>
    </xf>
    <xf numFmtId="169" fontId="13" fillId="0" borderId="994" xfId="3" applyNumberFormat="1" applyFont="1" applyBorder="1" applyAlignment="1" applyProtection="1">
      <alignment horizontal="center" vertical="center" shrinkToFit="1"/>
      <protection hidden="1"/>
    </xf>
    <xf numFmtId="182" fontId="13" fillId="13" borderId="988" xfId="3" applyNumberFormat="1" applyFont="1" applyFill="1" applyBorder="1" applyAlignment="1" applyProtection="1">
      <alignment horizontal="center" vertical="center" shrinkToFit="1"/>
      <protection hidden="1"/>
    </xf>
    <xf numFmtId="175" fontId="13" fillId="0" borderId="995" xfId="3" applyNumberFormat="1" applyFont="1" applyBorder="1" applyAlignment="1" applyProtection="1">
      <alignment horizontal="center" vertical="center"/>
      <protection hidden="1"/>
    </xf>
    <xf numFmtId="182" fontId="13" fillId="13" borderId="996" xfId="3" applyNumberFormat="1" applyFont="1" applyFill="1" applyBorder="1" applyAlignment="1" applyProtection="1">
      <alignment horizontal="center" vertical="center" shrinkToFit="1"/>
      <protection hidden="1"/>
    </xf>
    <xf numFmtId="4" fontId="13" fillId="0" borderId="986" xfId="3" applyNumberFormat="1" applyFont="1" applyBorder="1" applyAlignment="1" applyProtection="1">
      <alignment horizontal="center" vertical="center" shrinkToFit="1"/>
      <protection hidden="1"/>
    </xf>
    <xf numFmtId="4" fontId="13" fillId="0" borderId="991" xfId="3" applyNumberFormat="1" applyFont="1" applyBorder="1" applyAlignment="1" applyProtection="1">
      <alignment horizontal="center" vertical="center" shrinkToFit="1"/>
      <protection hidden="1"/>
    </xf>
    <xf numFmtId="166" fontId="13" fillId="0" borderId="997" xfId="0" applyFont="1" applyBorder="1" applyAlignment="1" applyProtection="1">
      <alignment horizontal="center"/>
      <protection hidden="1"/>
    </xf>
    <xf numFmtId="177" fontId="15" fillId="0" borderId="998" xfId="5" applyNumberFormat="1" applyFont="1" applyBorder="1" applyAlignment="1" applyProtection="1">
      <alignment horizontal="center"/>
      <protection hidden="1"/>
    </xf>
    <xf numFmtId="177" fontId="15" fillId="0" borderId="999" xfId="5" applyNumberFormat="1" applyFont="1" applyBorder="1" applyAlignment="1" applyProtection="1">
      <alignment horizontal="center"/>
      <protection hidden="1"/>
    </xf>
    <xf numFmtId="177" fontId="15" fillId="0" borderId="1000" xfId="5" applyNumberFormat="1" applyFont="1" applyBorder="1" applyAlignment="1" applyProtection="1">
      <alignment horizontal="center"/>
      <protection hidden="1"/>
    </xf>
    <xf numFmtId="177" fontId="15" fillId="0" borderId="1001" xfId="5" applyNumberFormat="1" applyFont="1" applyBorder="1" applyAlignment="1" applyProtection="1">
      <alignment horizontal="center"/>
      <protection hidden="1"/>
    </xf>
    <xf numFmtId="177" fontId="15" fillId="0" borderId="1002" xfId="5" applyNumberFormat="1" applyFont="1" applyBorder="1" applyAlignment="1" applyProtection="1">
      <alignment horizontal="center"/>
      <protection hidden="1"/>
    </xf>
    <xf numFmtId="177" fontId="15" fillId="0" borderId="1003" xfId="5" applyNumberFormat="1" applyFont="1" applyBorder="1" applyAlignment="1" applyProtection="1">
      <alignment horizontal="center"/>
      <protection hidden="1"/>
    </xf>
    <xf numFmtId="177" fontId="15" fillId="0" borderId="1004" xfId="5" applyNumberFormat="1" applyFont="1" applyBorder="1" applyAlignment="1" applyProtection="1">
      <alignment horizontal="center"/>
      <protection hidden="1"/>
    </xf>
    <xf numFmtId="164" fontId="38" fillId="0" borderId="280" xfId="0" applyNumberFormat="1" applyFont="1" applyBorder="1" applyAlignment="1" applyProtection="1">
      <alignment horizontal="center" shrinkToFit="1"/>
      <protection hidden="1"/>
    </xf>
    <xf numFmtId="164" fontId="38" fillId="0" borderId="220" xfId="0" applyNumberFormat="1" applyFont="1" applyBorder="1" applyAlignment="1" applyProtection="1">
      <alignment horizontal="center" shrinkToFit="1"/>
      <protection hidden="1"/>
    </xf>
    <xf numFmtId="223" fontId="38" fillId="0" borderId="221" xfId="0" applyNumberFormat="1" applyFont="1" applyBorder="1" applyAlignment="1" applyProtection="1">
      <alignment horizontal="center" shrinkToFit="1"/>
      <protection hidden="1"/>
    </xf>
    <xf numFmtId="0" fontId="13" fillId="0" borderId="985" xfId="3" applyFont="1" applyBorder="1" applyAlignment="1" applyProtection="1">
      <alignment horizontal="center" shrinkToFit="1"/>
      <protection hidden="1"/>
    </xf>
    <xf numFmtId="0" fontId="13" fillId="0" borderId="985" xfId="3" applyFont="1" applyBorder="1"/>
    <xf numFmtId="166" fontId="0" fillId="0" borderId="985" xfId="0" applyBorder="1"/>
    <xf numFmtId="0" fontId="13" fillId="0" borderId="985" xfId="3" applyFont="1" applyBorder="1" applyProtection="1">
      <protection hidden="1"/>
    </xf>
    <xf numFmtId="0" fontId="13" fillId="0" borderId="985" xfId="3" applyFont="1" applyBorder="1" applyAlignment="1" applyProtection="1">
      <alignment shrinkToFit="1"/>
      <protection hidden="1"/>
    </xf>
    <xf numFmtId="166" fontId="13" fillId="0" borderId="985" xfId="0" applyFont="1" applyBorder="1" applyProtection="1">
      <protection locked="0"/>
    </xf>
    <xf numFmtId="166" fontId="38" fillId="0" borderId="985" xfId="0" applyFont="1" applyBorder="1"/>
    <xf numFmtId="0" fontId="17" fillId="0" borderId="1005" xfId="3" applyFont="1" applyBorder="1" applyAlignment="1" applyProtection="1">
      <alignment horizontal="center"/>
      <protection hidden="1"/>
    </xf>
    <xf numFmtId="170" fontId="13" fillId="0" borderId="213" xfId="3" applyNumberFormat="1" applyFont="1" applyBorder="1" applyAlignment="1" applyProtection="1">
      <alignment horizontal="center" vertical="center"/>
      <protection hidden="1"/>
    </xf>
    <xf numFmtId="170" fontId="13" fillId="0" borderId="214" xfId="3" applyNumberFormat="1" applyFont="1" applyBorder="1" applyAlignment="1" applyProtection="1">
      <alignment horizontal="center" vertical="center"/>
      <protection hidden="1"/>
    </xf>
    <xf numFmtId="170" fontId="13" fillId="13" borderId="133" xfId="3" applyNumberFormat="1" applyFont="1" applyFill="1" applyBorder="1" applyAlignment="1" applyProtection="1">
      <alignment horizontal="center" vertical="center"/>
      <protection locked="0"/>
    </xf>
    <xf numFmtId="170" fontId="13" fillId="13" borderId="134" xfId="3" applyNumberFormat="1" applyFont="1" applyFill="1" applyBorder="1" applyAlignment="1" applyProtection="1">
      <alignment horizontal="center" vertical="center"/>
      <protection locked="0"/>
    </xf>
    <xf numFmtId="170" fontId="13" fillId="13" borderId="130" xfId="3" applyNumberFormat="1" applyFont="1" applyFill="1" applyBorder="1" applyAlignment="1" applyProtection="1">
      <alignment horizontal="center" vertical="center"/>
      <protection locked="0"/>
    </xf>
    <xf numFmtId="170" fontId="13" fillId="13" borderId="131" xfId="3" applyNumberFormat="1" applyFont="1" applyFill="1" applyBorder="1" applyAlignment="1" applyProtection="1">
      <alignment horizontal="center" vertical="center"/>
      <protection locked="0"/>
    </xf>
    <xf numFmtId="170" fontId="13" fillId="13" borderId="217" xfId="3" applyNumberFormat="1" applyFont="1" applyFill="1" applyBorder="1" applyAlignment="1" applyProtection="1">
      <alignment horizontal="center" vertical="center"/>
      <protection locked="0"/>
    </xf>
    <xf numFmtId="170" fontId="13" fillId="13" borderId="218" xfId="3" applyNumberFormat="1" applyFont="1" applyFill="1" applyBorder="1" applyAlignment="1" applyProtection="1">
      <alignment horizontal="center" vertical="center"/>
      <protection locked="0"/>
    </xf>
    <xf numFmtId="175" fontId="13" fillId="13" borderId="135" xfId="3" applyNumberFormat="1" applyFont="1" applyFill="1" applyBorder="1" applyAlignment="1" applyProtection="1">
      <alignment horizontal="center" vertical="center"/>
      <protection locked="0"/>
    </xf>
    <xf numFmtId="175" fontId="13" fillId="13" borderId="132" xfId="3" applyNumberFormat="1" applyFont="1" applyFill="1" applyBorder="1" applyAlignment="1" applyProtection="1">
      <alignment horizontal="center" vertical="center"/>
      <protection locked="0"/>
    </xf>
    <xf numFmtId="175" fontId="13" fillId="13" borderId="215" xfId="3" applyNumberFormat="1" applyFont="1" applyFill="1" applyBorder="1" applyAlignment="1" applyProtection="1">
      <alignment horizontal="center" vertical="center"/>
      <protection locked="0"/>
    </xf>
    <xf numFmtId="175" fontId="13" fillId="13" borderId="219" xfId="3" applyNumberFormat="1" applyFont="1" applyFill="1" applyBorder="1" applyAlignment="1" applyProtection="1">
      <alignment horizontal="center" vertical="center"/>
      <protection locked="0"/>
    </xf>
    <xf numFmtId="170" fontId="13" fillId="14" borderId="130" xfId="3" applyNumberFormat="1" applyFont="1" applyFill="1" applyBorder="1" applyAlignment="1" applyProtection="1">
      <alignment horizontal="center" vertical="center"/>
      <protection locked="0"/>
    </xf>
    <xf numFmtId="170" fontId="13" fillId="14" borderId="131" xfId="3" applyNumberFormat="1" applyFont="1" applyFill="1" applyBorder="1" applyAlignment="1" applyProtection="1">
      <alignment horizontal="center" vertical="center"/>
      <protection locked="0"/>
    </xf>
    <xf numFmtId="170" fontId="13" fillId="13" borderId="131" xfId="3" applyNumberFormat="1" applyFont="1" applyFill="1" applyBorder="1" applyAlignment="1" applyProtection="1">
      <alignment horizontal="center" vertical="center"/>
      <protection locked="0" hidden="1"/>
    </xf>
    <xf numFmtId="170" fontId="13" fillId="13" borderId="214" xfId="3" applyNumberFormat="1" applyFont="1" applyFill="1" applyBorder="1" applyAlignment="1" applyProtection="1">
      <alignment horizontal="center" vertical="center"/>
      <protection locked="0" hidden="1"/>
    </xf>
    <xf numFmtId="170" fontId="13" fillId="14" borderId="213" xfId="3" applyNumberFormat="1" applyFont="1" applyFill="1" applyBorder="1" applyAlignment="1" applyProtection="1">
      <alignment horizontal="center" vertical="center"/>
      <protection locked="0"/>
    </xf>
    <xf numFmtId="170" fontId="13" fillId="14" borderId="214" xfId="3" applyNumberFormat="1" applyFont="1" applyFill="1" applyBorder="1" applyAlignment="1" applyProtection="1">
      <alignment horizontal="center" vertical="center"/>
      <protection locked="0"/>
    </xf>
    <xf numFmtId="175" fontId="13" fillId="14" borderId="215" xfId="3" applyNumberFormat="1" applyFont="1" applyFill="1" applyBorder="1" applyAlignment="1" applyProtection="1">
      <alignment horizontal="center" vertical="center"/>
      <protection locked="0"/>
    </xf>
    <xf numFmtId="175" fontId="13" fillId="14" borderId="132" xfId="3" applyNumberFormat="1" applyFont="1" applyFill="1" applyBorder="1" applyAlignment="1" applyProtection="1">
      <alignment horizontal="center" vertical="center"/>
      <protection locked="0"/>
    </xf>
    <xf numFmtId="166" fontId="19" fillId="0" borderId="146" xfId="0" applyFont="1" applyBorder="1" applyAlignment="1" applyProtection="1">
      <alignment horizontal="center" shrinkToFit="1"/>
      <protection hidden="1"/>
    </xf>
    <xf numFmtId="166" fontId="19" fillId="0" borderId="146" xfId="0" applyFont="1" applyBorder="1" applyAlignment="1" applyProtection="1">
      <alignment horizontal="center" vertical="center" shrinkToFit="1"/>
      <protection hidden="1"/>
    </xf>
    <xf numFmtId="166" fontId="19" fillId="0" borderId="997" xfId="0" applyFont="1" applyBorder="1" applyAlignment="1" applyProtection="1">
      <alignment horizontal="center" shrinkToFit="1"/>
      <protection hidden="1"/>
    </xf>
    <xf numFmtId="231" fontId="13" fillId="0" borderId="673" xfId="3" applyNumberFormat="1" applyFont="1" applyBorder="1" applyAlignment="1">
      <alignment horizontal="center" vertical="center" shrinkToFit="1"/>
    </xf>
    <xf numFmtId="231" fontId="13" fillId="8" borderId="724" xfId="3" applyNumberFormat="1" applyFont="1" applyFill="1" applyBorder="1" applyAlignment="1" applyProtection="1">
      <alignment horizontal="center" vertical="center" shrinkToFit="1"/>
      <protection locked="0"/>
    </xf>
    <xf numFmtId="166" fontId="63" fillId="0" borderId="419" xfId="0" applyFont="1" applyBorder="1" applyAlignment="1" applyProtection="1">
      <alignment horizontal="center" shrinkToFit="1"/>
      <protection hidden="1"/>
    </xf>
    <xf numFmtId="166" fontId="63" fillId="0" borderId="438" xfId="0" applyFont="1" applyBorder="1" applyAlignment="1" applyProtection="1">
      <alignment horizontal="center" shrinkToFit="1"/>
      <protection hidden="1"/>
    </xf>
    <xf numFmtId="235" fontId="151" fillId="10" borderId="0" xfId="0" applyNumberFormat="1" applyFont="1" applyFill="1" applyAlignment="1" applyProtection="1">
      <alignment horizontal="center" vertical="center"/>
      <protection hidden="1"/>
    </xf>
    <xf numFmtId="236" fontId="151" fillId="10" borderId="0" xfId="0" applyNumberFormat="1" applyFont="1" applyFill="1" applyAlignment="1" applyProtection="1">
      <alignment horizontal="center" vertical="center"/>
      <protection hidden="1"/>
    </xf>
    <xf numFmtId="237" fontId="151" fillId="10" borderId="0" xfId="0" applyNumberFormat="1" applyFont="1" applyFill="1" applyAlignment="1" applyProtection="1">
      <alignment horizontal="center" vertical="center"/>
      <protection hidden="1"/>
    </xf>
    <xf numFmtId="170" fontId="151" fillId="10" borderId="0" xfId="0" applyNumberFormat="1" applyFont="1" applyFill="1" applyAlignment="1" applyProtection="1">
      <alignment horizontal="center" vertical="center"/>
      <protection hidden="1"/>
    </xf>
    <xf numFmtId="238" fontId="151" fillId="10" borderId="0" xfId="0" applyNumberFormat="1" applyFont="1" applyFill="1" applyAlignment="1" applyProtection="1">
      <alignment horizontal="center" vertical="center"/>
      <protection hidden="1"/>
    </xf>
    <xf numFmtId="239" fontId="151" fillId="10" borderId="0" xfId="0" applyNumberFormat="1" applyFont="1" applyFill="1" applyAlignment="1" applyProtection="1">
      <alignment horizontal="center" vertical="center"/>
      <protection hidden="1"/>
    </xf>
    <xf numFmtId="240" fontId="151" fillId="10" borderId="0" xfId="0" applyNumberFormat="1" applyFont="1" applyFill="1" applyAlignment="1" applyProtection="1">
      <alignment horizontal="center" vertical="center"/>
      <protection hidden="1"/>
    </xf>
    <xf numFmtId="173" fontId="57" fillId="0" borderId="1017" xfId="5" applyNumberFormat="1" applyFont="1" applyBorder="1" applyAlignment="1" applyProtection="1">
      <alignment horizontal="right" shrinkToFit="1"/>
      <protection hidden="1"/>
    </xf>
    <xf numFmtId="174" fontId="52" fillId="0" borderId="1018" xfId="5" applyNumberFormat="1" applyFont="1" applyBorder="1" applyAlignment="1" applyProtection="1">
      <alignment horizontal="center" vertical="center" shrinkToFit="1"/>
      <protection hidden="1"/>
    </xf>
    <xf numFmtId="170" fontId="49" fillId="0" borderId="284" xfId="5" applyNumberFormat="1" applyFont="1" applyBorder="1" applyAlignment="1" applyProtection="1">
      <alignment horizontal="center" shrinkToFit="1"/>
      <protection hidden="1"/>
    </xf>
    <xf numFmtId="173" fontId="57" fillId="0" borderId="1019" xfId="5" applyNumberFormat="1" applyFont="1" applyBorder="1" applyAlignment="1" applyProtection="1">
      <alignment horizontal="right" shrinkToFit="1"/>
      <protection hidden="1"/>
    </xf>
    <xf numFmtId="174" fontId="52" fillId="0" borderId="1020" xfId="5" applyNumberFormat="1" applyFont="1" applyBorder="1" applyAlignment="1" applyProtection="1">
      <alignment horizontal="center" vertical="center" shrinkToFit="1"/>
      <protection hidden="1"/>
    </xf>
    <xf numFmtId="170" fontId="49" fillId="0" borderId="272" xfId="5" applyNumberFormat="1" applyFont="1" applyBorder="1" applyAlignment="1" applyProtection="1">
      <alignment horizontal="center" shrinkToFit="1"/>
      <protection hidden="1"/>
    </xf>
    <xf numFmtId="168" fontId="59" fillId="22" borderId="1019" xfId="5" applyNumberFormat="1" applyFont="1" applyFill="1" applyBorder="1" applyAlignment="1" applyProtection="1">
      <alignment horizontal="right" vertical="center" shrinkToFit="1"/>
      <protection hidden="1"/>
    </xf>
    <xf numFmtId="174" fontId="60" fillId="22" borderId="1020" xfId="5" applyNumberFormat="1" applyFont="1" applyFill="1" applyBorder="1" applyAlignment="1" applyProtection="1">
      <alignment horizontal="center" vertical="center" shrinkToFit="1"/>
      <protection hidden="1"/>
    </xf>
    <xf numFmtId="168" fontId="49" fillId="0" borderId="1019" xfId="5" applyNumberFormat="1" applyFont="1" applyBorder="1" applyAlignment="1" applyProtection="1">
      <alignment horizontal="right" shrinkToFit="1"/>
      <protection hidden="1"/>
    </xf>
    <xf numFmtId="172" fontId="49" fillId="0" borderId="1020" xfId="5" applyNumberFormat="1" applyFont="1" applyBorder="1" applyAlignment="1" applyProtection="1">
      <alignment horizontal="center" vertical="center" shrinkToFit="1"/>
      <protection hidden="1"/>
    </xf>
    <xf numFmtId="168" fontId="57" fillId="0" borderId="1019" xfId="5" applyNumberFormat="1" applyFont="1" applyBorder="1" applyAlignment="1" applyProtection="1">
      <alignment horizontal="right" shrinkToFit="1"/>
      <protection hidden="1"/>
    </xf>
    <xf numFmtId="168" fontId="57" fillId="0" borderId="1021" xfId="5" applyNumberFormat="1" applyFont="1" applyBorder="1" applyAlignment="1" applyProtection="1">
      <alignment horizontal="right" shrinkToFit="1"/>
      <protection hidden="1"/>
    </xf>
    <xf numFmtId="180" fontId="49" fillId="0" borderId="1025" xfId="0" applyNumberFormat="1" applyFont="1" applyBorder="1" applyAlignment="1" applyProtection="1">
      <alignment horizontal="center" shrinkToFit="1"/>
      <protection hidden="1"/>
    </xf>
    <xf numFmtId="181" fontId="49" fillId="0" borderId="1030" xfId="5" applyNumberFormat="1" applyFont="1" applyBorder="1" applyAlignment="1" applyProtection="1">
      <alignment horizontal="center" shrinkToFit="1"/>
      <protection hidden="1"/>
    </xf>
    <xf numFmtId="0" fontId="49" fillId="19" borderId="1031" xfId="5" applyFont="1" applyFill="1" applyBorder="1" applyAlignment="1" applyProtection="1">
      <alignment horizontal="left" shrinkToFit="1"/>
      <protection locked="0"/>
    </xf>
    <xf numFmtId="0" fontId="49" fillId="19" borderId="1032" xfId="5" applyFont="1" applyFill="1" applyBorder="1" applyAlignment="1" applyProtection="1">
      <alignment horizontal="left" shrinkToFit="1"/>
      <protection locked="0"/>
    </xf>
    <xf numFmtId="211" fontId="63" fillId="0" borderId="285" xfId="0" applyNumberFormat="1" applyFont="1" applyBorder="1" applyAlignment="1" applyProtection="1">
      <alignment horizontal="center" vertical="center" shrinkToFit="1"/>
      <protection hidden="1"/>
    </xf>
    <xf numFmtId="212" fontId="63" fillId="0" borderId="279" xfId="0" applyNumberFormat="1" applyFont="1" applyBorder="1" applyAlignment="1" applyProtection="1">
      <alignment horizontal="center" vertical="center" shrinkToFit="1"/>
      <protection hidden="1"/>
    </xf>
    <xf numFmtId="173" fontId="63" fillId="0" borderId="1030" xfId="5" applyNumberFormat="1" applyFont="1" applyBorder="1" applyAlignment="1" applyProtection="1">
      <alignment shrinkToFit="1"/>
      <protection hidden="1"/>
    </xf>
    <xf numFmtId="173" fontId="63" fillId="0" borderId="278" xfId="5" applyNumberFormat="1" applyFont="1" applyBorder="1" applyAlignment="1" applyProtection="1">
      <alignment shrinkToFit="1"/>
      <protection hidden="1"/>
    </xf>
    <xf numFmtId="173" fontId="63" fillId="0" borderId="286" xfId="5" applyNumberFormat="1" applyFont="1" applyBorder="1" applyAlignment="1" applyProtection="1">
      <alignment shrinkToFit="1"/>
      <protection hidden="1"/>
    </xf>
    <xf numFmtId="197" fontId="63" fillId="19" borderId="1037" xfId="5" applyNumberFormat="1" applyFont="1" applyFill="1" applyBorder="1" applyAlignment="1" applyProtection="1">
      <alignment shrinkToFit="1"/>
      <protection locked="0"/>
    </xf>
    <xf numFmtId="0" fontId="63" fillId="19" borderId="284" xfId="5" applyFont="1" applyFill="1" applyBorder="1" applyAlignment="1" applyProtection="1">
      <alignment horizontal="left" shrinkToFit="1"/>
      <protection locked="0"/>
    </xf>
    <xf numFmtId="174" fontId="63" fillId="0" borderId="1016" xfId="5" applyNumberFormat="1" applyFont="1" applyBorder="1" applyAlignment="1" applyProtection="1">
      <alignment horizontal="center" shrinkToFit="1"/>
      <protection hidden="1"/>
    </xf>
    <xf numFmtId="172" fontId="63" fillId="0" borderId="1015" xfId="5" applyNumberFormat="1" applyFont="1" applyBorder="1" applyAlignment="1" applyProtection="1">
      <alignment horizontal="center" vertical="center" shrinkToFit="1"/>
      <protection hidden="1"/>
    </xf>
    <xf numFmtId="168" fontId="63" fillId="0" borderId="1038" xfId="5" applyNumberFormat="1" applyFont="1" applyBorder="1" applyAlignment="1" applyProtection="1">
      <alignment horizontal="right" shrinkToFit="1"/>
      <protection hidden="1"/>
    </xf>
    <xf numFmtId="172" fontId="63" fillId="0" borderId="1039" xfId="5" applyNumberFormat="1" applyFont="1" applyBorder="1" applyAlignment="1" applyProtection="1">
      <alignment horizontal="center" vertical="center" shrinkToFit="1"/>
      <protection hidden="1"/>
    </xf>
    <xf numFmtId="168" fontId="63" fillId="0" borderId="1040" xfId="5" applyNumberFormat="1" applyFont="1" applyBorder="1" applyAlignment="1" applyProtection="1">
      <alignment horizontal="right" shrinkToFit="1"/>
      <protection hidden="1"/>
    </xf>
    <xf numFmtId="168" fontId="63" fillId="0" borderId="1041" xfId="5" applyNumberFormat="1" applyFont="1" applyBorder="1" applyAlignment="1" applyProtection="1">
      <alignment horizontal="right" shrinkToFit="1"/>
      <protection hidden="1"/>
    </xf>
    <xf numFmtId="172" fontId="63" fillId="0" borderId="1042" xfId="5" applyNumberFormat="1" applyFont="1" applyBorder="1" applyAlignment="1" applyProtection="1">
      <alignment horizontal="center" vertical="center" shrinkToFit="1"/>
      <protection hidden="1"/>
    </xf>
    <xf numFmtId="168" fontId="63" fillId="0" borderId="1043" xfId="5" applyNumberFormat="1" applyFont="1" applyBorder="1" applyAlignment="1" applyProtection="1">
      <alignment horizontal="right" shrinkToFit="1"/>
      <protection hidden="1"/>
    </xf>
    <xf numFmtId="172" fontId="63" fillId="0" borderId="1044" xfId="5" applyNumberFormat="1" applyFont="1" applyBorder="1" applyAlignment="1" applyProtection="1">
      <alignment horizontal="center" vertical="center" shrinkToFit="1"/>
      <protection hidden="1"/>
    </xf>
    <xf numFmtId="168" fontId="63" fillId="0" borderId="1045" xfId="5" applyNumberFormat="1" applyFont="1" applyBorder="1" applyAlignment="1" applyProtection="1">
      <alignment horizontal="right" shrinkToFit="1"/>
      <protection hidden="1"/>
    </xf>
    <xf numFmtId="172" fontId="63" fillId="0" borderId="1046" xfId="5" applyNumberFormat="1" applyFont="1" applyBorder="1" applyAlignment="1" applyProtection="1">
      <alignment horizontal="center" vertical="center" shrinkToFit="1"/>
      <protection hidden="1"/>
    </xf>
    <xf numFmtId="174" fontId="63" fillId="19" borderId="1047" xfId="5" applyNumberFormat="1" applyFont="1" applyFill="1" applyBorder="1" applyAlignment="1" applyProtection="1">
      <alignment horizontal="center" shrinkToFit="1"/>
      <protection locked="0"/>
    </xf>
    <xf numFmtId="215" fontId="76" fillId="0" borderId="1048" xfId="5" applyNumberFormat="1" applyFont="1" applyBorder="1" applyAlignment="1" applyProtection="1">
      <alignment horizontal="center" shrinkToFit="1"/>
      <protection hidden="1"/>
    </xf>
    <xf numFmtId="166" fontId="63" fillId="0" borderId="1049" xfId="0" applyFont="1" applyBorder="1" applyAlignment="1" applyProtection="1">
      <alignment horizontal="right" shrinkToFit="1"/>
      <protection hidden="1"/>
    </xf>
    <xf numFmtId="170" fontId="63" fillId="0" borderId="1050" xfId="0" applyNumberFormat="1" applyFont="1" applyBorder="1" applyAlignment="1" applyProtection="1">
      <alignment horizontal="center" shrinkToFit="1"/>
      <protection hidden="1"/>
    </xf>
    <xf numFmtId="203" fontId="63" fillId="0" borderId="1051" xfId="0" applyNumberFormat="1" applyFont="1" applyBorder="1" applyAlignment="1" applyProtection="1">
      <alignment horizontal="center" shrinkToFit="1"/>
      <protection hidden="1"/>
    </xf>
    <xf numFmtId="174" fontId="63" fillId="19" borderId="1052" xfId="5" applyNumberFormat="1" applyFont="1" applyFill="1" applyBorder="1" applyAlignment="1" applyProtection="1">
      <alignment horizontal="center" shrinkToFit="1"/>
      <protection locked="0"/>
    </xf>
    <xf numFmtId="174" fontId="63" fillId="19" borderId="1053" xfId="5" applyNumberFormat="1" applyFont="1" applyFill="1" applyBorder="1" applyAlignment="1" applyProtection="1">
      <alignment horizontal="center" shrinkToFit="1"/>
      <protection locked="0"/>
    </xf>
    <xf numFmtId="215" fontId="76" fillId="0" borderId="1054" xfId="5" applyNumberFormat="1" applyFont="1" applyBorder="1" applyAlignment="1" applyProtection="1">
      <alignment horizontal="center" shrinkToFit="1"/>
      <protection hidden="1"/>
    </xf>
    <xf numFmtId="166" fontId="63" fillId="0" borderId="1055" xfId="0" applyFont="1" applyBorder="1" applyAlignment="1" applyProtection="1">
      <alignment horizontal="right" shrinkToFit="1"/>
      <protection hidden="1"/>
    </xf>
    <xf numFmtId="168" fontId="63" fillId="0" borderId="1056" xfId="0" applyNumberFormat="1" applyFont="1" applyBorder="1" applyAlignment="1" applyProtection="1">
      <alignment horizontal="center"/>
      <protection hidden="1"/>
    </xf>
    <xf numFmtId="168" fontId="63" fillId="0" borderId="1056" xfId="0" applyNumberFormat="1" applyFont="1" applyBorder="1" applyAlignment="1" applyProtection="1">
      <alignment horizontal="center" shrinkToFit="1"/>
      <protection hidden="1"/>
    </xf>
    <xf numFmtId="182" fontId="63" fillId="0" borderId="1057" xfId="0" applyNumberFormat="1" applyFont="1" applyBorder="1" applyAlignment="1" applyProtection="1">
      <alignment shrinkToFit="1"/>
      <protection hidden="1"/>
    </xf>
    <xf numFmtId="208" fontId="76" fillId="0" borderId="1036" xfId="5" applyNumberFormat="1" applyFont="1" applyBorder="1" applyAlignment="1" applyProtection="1">
      <alignment horizontal="center" shrinkToFit="1"/>
      <protection hidden="1"/>
    </xf>
    <xf numFmtId="0" fontId="76" fillId="0" borderId="1058" xfId="5" applyFont="1" applyBorder="1" applyAlignment="1" applyProtection="1">
      <alignment horizontal="center" shrinkToFit="1"/>
      <protection hidden="1"/>
    </xf>
    <xf numFmtId="228" fontId="76" fillId="0" borderId="1059" xfId="5" applyNumberFormat="1" applyFont="1" applyBorder="1" applyAlignment="1" applyProtection="1">
      <alignment horizontal="center" shrinkToFit="1"/>
      <protection hidden="1"/>
    </xf>
    <xf numFmtId="208" fontId="63" fillId="0" borderId="285" xfId="5" applyNumberFormat="1" applyFont="1" applyBorder="1" applyAlignment="1" applyProtection="1">
      <alignment horizontal="center" shrinkToFit="1"/>
      <protection hidden="1"/>
    </xf>
    <xf numFmtId="208" fontId="63" fillId="0" borderId="278" xfId="5" applyNumberFormat="1" applyFont="1" applyBorder="1" applyAlignment="1" applyProtection="1">
      <alignment horizontal="center" shrinkToFit="1"/>
      <protection hidden="1"/>
    </xf>
    <xf numFmtId="208" fontId="63" fillId="0" borderId="286" xfId="5" applyNumberFormat="1" applyFont="1" applyBorder="1" applyAlignment="1" applyProtection="1">
      <alignment horizontal="center" shrinkToFit="1"/>
      <protection hidden="1"/>
    </xf>
    <xf numFmtId="208" fontId="63" fillId="0" borderId="1016" xfId="5" applyNumberFormat="1" applyFont="1" applyBorder="1" applyAlignment="1" applyProtection="1">
      <alignment horizontal="center" shrinkToFit="1"/>
      <protection hidden="1"/>
    </xf>
    <xf numFmtId="170" fontId="63" fillId="0" borderId="1016" xfId="5" applyNumberFormat="1" applyFont="1" applyBorder="1" applyAlignment="1" applyProtection="1">
      <alignment horizontal="center" shrinkToFit="1"/>
      <protection hidden="1"/>
    </xf>
    <xf numFmtId="166" fontId="73" fillId="0" borderId="1060" xfId="0" applyFont="1" applyBorder="1" applyAlignment="1" applyProtection="1">
      <alignment horizontal="right" shrinkToFit="1"/>
      <protection hidden="1"/>
    </xf>
    <xf numFmtId="170" fontId="63" fillId="0" borderId="1025" xfId="0" applyNumberFormat="1" applyFont="1" applyBorder="1" applyAlignment="1" applyProtection="1">
      <alignment horizontal="center" shrinkToFit="1"/>
      <protection hidden="1"/>
    </xf>
    <xf numFmtId="182" fontId="63" fillId="0" borderId="1061" xfId="0" applyNumberFormat="1" applyFont="1" applyBorder="1" applyAlignment="1" applyProtection="1">
      <alignment horizontal="center" shrinkToFit="1"/>
      <protection hidden="1"/>
    </xf>
    <xf numFmtId="166" fontId="63" fillId="0" borderId="1062" xfId="0" applyFont="1" applyBorder="1" applyAlignment="1" applyProtection="1">
      <alignment horizontal="center" shrinkToFit="1"/>
      <protection hidden="1"/>
    </xf>
    <xf numFmtId="4" fontId="63" fillId="0" borderId="1063" xfId="0" applyNumberFormat="1" applyFont="1" applyBorder="1" applyAlignment="1" applyProtection="1">
      <alignment horizontal="center" shrinkToFit="1"/>
      <protection hidden="1"/>
    </xf>
    <xf numFmtId="202" fontId="63" fillId="0" borderId="1064" xfId="0" applyNumberFormat="1" applyFont="1" applyBorder="1" applyAlignment="1" applyProtection="1">
      <alignment horizontal="center" shrinkToFit="1"/>
      <protection hidden="1"/>
    </xf>
    <xf numFmtId="166" fontId="73" fillId="0" borderId="1065" xfId="0" applyFont="1" applyBorder="1" applyAlignment="1" applyProtection="1">
      <alignment horizontal="right" shrinkToFit="1"/>
      <protection hidden="1"/>
    </xf>
    <xf numFmtId="166" fontId="73" fillId="0" borderId="392" xfId="0" applyFont="1" applyBorder="1" applyAlignment="1" applyProtection="1">
      <alignment horizontal="right" shrinkToFit="1"/>
      <protection hidden="1"/>
    </xf>
    <xf numFmtId="166" fontId="63" fillId="0" borderId="1073" xfId="0" applyFont="1" applyBorder="1" applyAlignment="1" applyProtection="1">
      <alignment horizontal="right" shrinkToFit="1"/>
      <protection hidden="1"/>
    </xf>
    <xf numFmtId="206" fontId="63" fillId="0" borderId="1074" xfId="0" applyNumberFormat="1" applyFont="1" applyBorder="1" applyAlignment="1" applyProtection="1">
      <alignment horizontal="left" shrinkToFit="1"/>
      <protection hidden="1"/>
    </xf>
    <xf numFmtId="202" fontId="63" fillId="0" borderId="1075" xfId="0" applyNumberFormat="1" applyFont="1" applyBorder="1" applyAlignment="1" applyProtection="1">
      <alignment horizontal="center" shrinkToFit="1"/>
      <protection hidden="1"/>
    </xf>
    <xf numFmtId="174" fontId="101" fillId="0" borderId="1076" xfId="5" applyNumberFormat="1" applyFont="1" applyBorder="1" applyAlignment="1" applyProtection="1">
      <alignment horizontal="center" shrinkToFit="1"/>
      <protection hidden="1"/>
    </xf>
    <xf numFmtId="179" fontId="101" fillId="19" borderId="1077" xfId="5" applyNumberFormat="1" applyFont="1" applyFill="1" applyBorder="1" applyAlignment="1" applyProtection="1">
      <alignment horizontal="center" shrinkToFit="1"/>
      <protection locked="0"/>
    </xf>
    <xf numFmtId="179" fontId="101" fillId="19" borderId="1078" xfId="5" applyNumberFormat="1" applyFont="1" applyFill="1" applyBorder="1" applyAlignment="1" applyProtection="1">
      <alignment horizontal="center" shrinkToFit="1"/>
      <protection locked="0"/>
    </xf>
    <xf numFmtId="174" fontId="101" fillId="19" borderId="1079" xfId="5" applyNumberFormat="1" applyFont="1" applyFill="1" applyBorder="1" applyAlignment="1" applyProtection="1">
      <alignment horizontal="center" shrinkToFit="1"/>
      <protection locked="0"/>
    </xf>
    <xf numFmtId="174" fontId="101" fillId="19" borderId="1080" xfId="5" applyNumberFormat="1" applyFont="1" applyFill="1" applyBorder="1" applyAlignment="1" applyProtection="1">
      <alignment horizontal="center" shrinkToFit="1"/>
      <protection locked="0"/>
    </xf>
    <xf numFmtId="174" fontId="101" fillId="19" borderId="1081" xfId="5" applyNumberFormat="1" applyFont="1" applyFill="1" applyBorder="1" applyAlignment="1" applyProtection="1">
      <alignment horizontal="center" shrinkToFit="1"/>
      <protection locked="0"/>
    </xf>
    <xf numFmtId="173" fontId="101" fillId="19" borderId="1080" xfId="5" applyNumberFormat="1" applyFont="1" applyFill="1" applyBorder="1" applyAlignment="1" applyProtection="1">
      <alignment horizontal="center" shrinkToFit="1"/>
      <protection locked="0"/>
    </xf>
    <xf numFmtId="173" fontId="101" fillId="19" borderId="1083" xfId="5" applyNumberFormat="1" applyFont="1" applyFill="1" applyBorder="1" applyAlignment="1" applyProtection="1">
      <alignment horizontal="center" shrinkToFit="1"/>
      <protection locked="0"/>
    </xf>
    <xf numFmtId="179" fontId="101" fillId="19" borderId="1080" xfId="5" applyNumberFormat="1" applyFont="1" applyFill="1" applyBorder="1" applyAlignment="1" applyProtection="1">
      <alignment horizontal="center" shrinkToFit="1"/>
      <protection locked="0"/>
    </xf>
    <xf numFmtId="0" fontId="101" fillId="19" borderId="1080" xfId="5" applyFont="1" applyFill="1" applyBorder="1" applyAlignment="1" applyProtection="1">
      <alignment horizontal="center" shrinkToFit="1"/>
      <protection locked="0"/>
    </xf>
    <xf numFmtId="0" fontId="101" fillId="19" borderId="1081" xfId="5" applyFont="1" applyFill="1" applyBorder="1" applyAlignment="1" applyProtection="1">
      <alignment horizontal="center" shrinkToFit="1"/>
      <protection locked="0"/>
    </xf>
    <xf numFmtId="179" fontId="101" fillId="0" borderId="1084" xfId="5" applyNumberFormat="1" applyFont="1" applyBorder="1" applyAlignment="1" applyProtection="1">
      <alignment horizontal="center" shrinkToFit="1"/>
      <protection hidden="1"/>
    </xf>
    <xf numFmtId="174" fontId="101" fillId="0" borderId="1086" xfId="5" applyNumberFormat="1" applyFont="1" applyBorder="1" applyAlignment="1" applyProtection="1">
      <alignment horizontal="center" shrinkToFit="1"/>
      <protection hidden="1"/>
    </xf>
    <xf numFmtId="179" fontId="101" fillId="19" borderId="1087" xfId="5" applyNumberFormat="1" applyFont="1" applyFill="1" applyBorder="1" applyAlignment="1" applyProtection="1">
      <alignment horizontal="center" shrinkToFit="1"/>
      <protection locked="0"/>
    </xf>
    <xf numFmtId="179" fontId="101" fillId="19" borderId="1088" xfId="5" applyNumberFormat="1" applyFont="1" applyFill="1" applyBorder="1" applyAlignment="1" applyProtection="1">
      <alignment horizontal="center" shrinkToFit="1"/>
      <protection locked="0"/>
    </xf>
    <xf numFmtId="174" fontId="101" fillId="19" borderId="1089" xfId="5" applyNumberFormat="1" applyFont="1" applyFill="1" applyBorder="1" applyAlignment="1" applyProtection="1">
      <alignment horizontal="center" shrinkToFit="1"/>
      <protection locked="0"/>
    </xf>
    <xf numFmtId="174" fontId="101" fillId="19" borderId="1090" xfId="5" applyNumberFormat="1" applyFont="1" applyFill="1" applyBorder="1" applyAlignment="1" applyProtection="1">
      <alignment horizontal="center" shrinkToFit="1"/>
      <protection locked="0"/>
    </xf>
    <xf numFmtId="174" fontId="101" fillId="19" borderId="1091" xfId="5" applyNumberFormat="1" applyFont="1" applyFill="1" applyBorder="1" applyAlignment="1" applyProtection="1">
      <alignment horizontal="center" shrinkToFit="1"/>
      <protection locked="0"/>
    </xf>
    <xf numFmtId="173" fontId="101" fillId="19" borderId="1092" xfId="5" applyNumberFormat="1" applyFont="1" applyFill="1" applyBorder="1" applyAlignment="1" applyProtection="1">
      <alignment horizontal="center" shrinkToFit="1"/>
      <protection locked="0"/>
    </xf>
    <xf numFmtId="173" fontId="101" fillId="19" borderId="1090" xfId="5" applyNumberFormat="1" applyFont="1" applyFill="1" applyBorder="1" applyAlignment="1" applyProtection="1">
      <alignment horizontal="center" shrinkToFit="1"/>
      <protection locked="0"/>
    </xf>
    <xf numFmtId="173" fontId="101" fillId="19" borderId="1093" xfId="5" applyNumberFormat="1" applyFont="1" applyFill="1" applyBorder="1" applyAlignment="1" applyProtection="1">
      <alignment horizontal="center" shrinkToFit="1"/>
      <protection locked="0"/>
    </xf>
    <xf numFmtId="179" fontId="101" fillId="19" borderId="1090" xfId="5" applyNumberFormat="1" applyFont="1" applyFill="1" applyBorder="1" applyAlignment="1" applyProtection="1">
      <alignment horizontal="center" shrinkToFit="1"/>
      <protection locked="0"/>
    </xf>
    <xf numFmtId="0" fontId="101" fillId="19" borderId="1090" xfId="5" applyFont="1" applyFill="1" applyBorder="1" applyAlignment="1" applyProtection="1">
      <alignment horizontal="center" shrinkToFit="1"/>
      <protection locked="0"/>
    </xf>
    <xf numFmtId="0" fontId="101" fillId="19" borderId="1091" xfId="5" applyFont="1" applyFill="1" applyBorder="1" applyAlignment="1" applyProtection="1">
      <alignment horizontal="center" shrinkToFit="1"/>
      <protection locked="0"/>
    </xf>
    <xf numFmtId="179" fontId="101" fillId="0" borderId="1094" xfId="5" applyNumberFormat="1" applyFont="1" applyBorder="1" applyAlignment="1" applyProtection="1">
      <alignment horizontal="center" shrinkToFit="1"/>
      <protection hidden="1"/>
    </xf>
    <xf numFmtId="181" fontId="101" fillId="19" borderId="1091" xfId="5" applyNumberFormat="1" applyFont="1" applyFill="1" applyBorder="1" applyAlignment="1" applyProtection="1">
      <alignment horizontal="center" shrinkToFit="1"/>
      <protection locked="0"/>
    </xf>
    <xf numFmtId="3" fontId="85" fillId="0" borderId="1104" xfId="5" applyNumberFormat="1" applyFont="1" applyBorder="1" applyAlignment="1" applyProtection="1">
      <alignment vertical="center" shrinkToFit="1"/>
      <protection hidden="1"/>
    </xf>
    <xf numFmtId="179" fontId="85" fillId="0" borderId="1103" xfId="5" applyNumberFormat="1" applyFont="1" applyBorder="1" applyAlignment="1" applyProtection="1">
      <alignment vertical="center" shrinkToFit="1"/>
      <protection hidden="1"/>
    </xf>
    <xf numFmtId="170" fontId="85" fillId="0" borderId="1103" xfId="5" applyNumberFormat="1" applyFont="1" applyBorder="1" applyAlignment="1" applyProtection="1">
      <alignment horizontal="center" vertical="center" shrinkToFit="1"/>
      <protection hidden="1"/>
    </xf>
    <xf numFmtId="177" fontId="85" fillId="0" borderId="1104" xfId="5" applyNumberFormat="1" applyFont="1" applyBorder="1" applyAlignment="1" applyProtection="1">
      <alignment horizontal="center" vertical="center" shrinkToFit="1"/>
      <protection hidden="1"/>
    </xf>
    <xf numFmtId="177" fontId="85" fillId="0" borderId="524" xfId="5" applyNumberFormat="1" applyFont="1" applyBorder="1" applyAlignment="1" applyProtection="1">
      <alignment horizontal="center" vertical="center" shrinkToFit="1"/>
      <protection hidden="1"/>
    </xf>
    <xf numFmtId="177" fontId="85" fillId="0" borderId="526" xfId="5" applyNumberFormat="1" applyFont="1" applyBorder="1" applyAlignment="1" applyProtection="1">
      <alignment horizontal="center" vertical="center" shrinkToFit="1"/>
      <protection hidden="1"/>
    </xf>
    <xf numFmtId="200" fontId="104" fillId="20" borderId="1106" xfId="5" applyNumberFormat="1" applyFont="1" applyFill="1" applyBorder="1" applyAlignment="1" applyProtection="1">
      <alignment horizontal="center" shrinkToFit="1"/>
      <protection hidden="1"/>
    </xf>
    <xf numFmtId="173" fontId="101" fillId="19" borderId="1107" xfId="5" applyNumberFormat="1" applyFont="1" applyFill="1" applyBorder="1" applyAlignment="1" applyProtection="1">
      <alignment horizontal="center" shrinkToFit="1"/>
      <protection locked="0"/>
    </xf>
    <xf numFmtId="173" fontId="101" fillId="11" borderId="803" xfId="5" applyNumberFormat="1" applyFont="1" applyFill="1" applyBorder="1" applyAlignment="1" applyProtection="1">
      <alignment horizontal="center" shrinkToFit="1"/>
      <protection locked="0" hidden="1"/>
    </xf>
    <xf numFmtId="173" fontId="101" fillId="0" borderId="1108" xfId="5" applyNumberFormat="1" applyFont="1" applyBorder="1" applyAlignment="1" applyProtection="1">
      <alignment horizontal="center" shrinkToFit="1"/>
      <protection hidden="1"/>
    </xf>
    <xf numFmtId="173" fontId="101" fillId="0" borderId="1109" xfId="5" applyNumberFormat="1" applyFont="1" applyBorder="1" applyAlignment="1" applyProtection="1">
      <alignment horizontal="center" shrinkToFit="1"/>
      <protection hidden="1"/>
    </xf>
    <xf numFmtId="0" fontId="101" fillId="19" borderId="803" xfId="5" applyFont="1" applyFill="1" applyBorder="1" applyAlignment="1" applyProtection="1">
      <alignment horizontal="center" shrinkToFit="1"/>
      <protection locked="0"/>
    </xf>
    <xf numFmtId="0" fontId="101" fillId="19" borderId="1110" xfId="5" applyFont="1" applyFill="1" applyBorder="1" applyAlignment="1" applyProtection="1">
      <alignment horizontal="center" shrinkToFit="1"/>
      <protection locked="0"/>
    </xf>
    <xf numFmtId="173" fontId="101" fillId="0" borderId="1111" xfId="5" applyNumberFormat="1" applyFont="1" applyBorder="1" applyAlignment="1" applyProtection="1">
      <alignment horizontal="center" shrinkToFit="1"/>
      <protection hidden="1"/>
    </xf>
    <xf numFmtId="173" fontId="101" fillId="0" borderId="1110" xfId="5" applyNumberFormat="1" applyFont="1" applyBorder="1" applyAlignment="1" applyProtection="1">
      <alignment horizontal="center" shrinkToFit="1"/>
      <protection hidden="1"/>
    </xf>
    <xf numFmtId="200" fontId="104" fillId="20" borderId="1113" xfId="5" applyNumberFormat="1" applyFont="1" applyFill="1" applyBorder="1" applyAlignment="1" applyProtection="1">
      <alignment horizontal="center" shrinkToFit="1"/>
      <protection hidden="1"/>
    </xf>
    <xf numFmtId="173" fontId="101" fillId="19" borderId="1114" xfId="5" applyNumberFormat="1" applyFont="1" applyFill="1" applyBorder="1" applyAlignment="1" applyProtection="1">
      <alignment horizontal="center" shrinkToFit="1"/>
      <protection locked="0"/>
    </xf>
    <xf numFmtId="173" fontId="101" fillId="11" borderId="802" xfId="5" applyNumberFormat="1" applyFont="1" applyFill="1" applyBorder="1" applyAlignment="1" applyProtection="1">
      <alignment horizontal="center" shrinkToFit="1"/>
      <protection locked="0" hidden="1"/>
    </xf>
    <xf numFmtId="173" fontId="101" fillId="0" borderId="1115" xfId="5" applyNumberFormat="1" applyFont="1" applyBorder="1" applyAlignment="1" applyProtection="1">
      <alignment horizontal="center" shrinkToFit="1"/>
      <protection hidden="1"/>
    </xf>
    <xf numFmtId="173" fontId="101" fillId="0" borderId="1116" xfId="5" applyNumberFormat="1" applyFont="1" applyBorder="1" applyAlignment="1" applyProtection="1">
      <alignment horizontal="center" shrinkToFit="1"/>
      <protection hidden="1"/>
    </xf>
    <xf numFmtId="0" fontId="101" fillId="19" borderId="802" xfId="5" applyFont="1" applyFill="1" applyBorder="1" applyAlignment="1" applyProtection="1">
      <alignment horizontal="center" shrinkToFit="1"/>
      <protection locked="0"/>
    </xf>
    <xf numFmtId="0" fontId="101" fillId="19" borderId="1117" xfId="5" applyFont="1" applyFill="1" applyBorder="1" applyAlignment="1" applyProtection="1">
      <alignment horizontal="center" shrinkToFit="1"/>
      <protection locked="0"/>
    </xf>
    <xf numFmtId="173" fontId="101" fillId="0" borderId="1118" xfId="5" applyNumberFormat="1" applyFont="1" applyBorder="1" applyAlignment="1" applyProtection="1">
      <alignment horizontal="center" shrinkToFit="1"/>
      <protection hidden="1"/>
    </xf>
    <xf numFmtId="173" fontId="101" fillId="0" borderId="1117" xfId="5" applyNumberFormat="1" applyFont="1" applyBorder="1" applyAlignment="1" applyProtection="1">
      <alignment horizontal="center" shrinkToFit="1"/>
      <protection hidden="1"/>
    </xf>
    <xf numFmtId="0" fontId="13" fillId="0" borderId="1123" xfId="5" applyFont="1" applyBorder="1" applyAlignment="1" applyProtection="1">
      <alignment horizontal="center" vertical="center" wrapText="1" shrinkToFit="1"/>
      <protection hidden="1"/>
    </xf>
    <xf numFmtId="196" fontId="17" fillId="0" borderId="1127" xfId="0" applyNumberFormat="1" applyFont="1" applyBorder="1" applyAlignment="1" applyProtection="1">
      <alignment horizontal="center" vertical="center" shrinkToFit="1"/>
      <protection hidden="1"/>
    </xf>
    <xf numFmtId="166" fontId="13" fillId="0" borderId="611" xfId="0" applyFont="1" applyBorder="1" applyAlignment="1">
      <alignment vertical="center"/>
    </xf>
    <xf numFmtId="166" fontId="13" fillId="0" borderId="1128" xfId="0" applyFont="1" applyBorder="1" applyAlignment="1" applyProtection="1">
      <alignment horizontal="right" vertical="center" shrinkToFit="1"/>
      <protection hidden="1"/>
    </xf>
    <xf numFmtId="0" fontId="13" fillId="19" borderId="45" xfId="3" applyFont="1" applyFill="1" applyBorder="1" applyAlignment="1" applyProtection="1">
      <alignment horizontal="left" vertical="center" wrapText="1" shrinkToFit="1"/>
      <protection locked="0"/>
    </xf>
    <xf numFmtId="0" fontId="25" fillId="19" borderId="45" xfId="3" applyFont="1" applyFill="1" applyBorder="1" applyAlignment="1" applyProtection="1">
      <alignment horizontal="left" vertical="center" wrapText="1" shrinkToFit="1"/>
      <protection locked="0"/>
    </xf>
    <xf numFmtId="173" fontId="101" fillId="19" borderId="1082" xfId="5" quotePrefix="1" applyNumberFormat="1" applyFont="1" applyFill="1" applyBorder="1" applyAlignment="1" applyProtection="1">
      <alignment horizontal="center" shrinkToFit="1"/>
      <protection locked="0"/>
    </xf>
    <xf numFmtId="0" fontId="107" fillId="0" borderId="0" xfId="9" applyFont="1" applyAlignment="1">
      <alignment vertical="center"/>
    </xf>
    <xf numFmtId="0" fontId="3" fillId="0" borderId="1135" xfId="9" applyFont="1" applyBorder="1" applyAlignment="1" applyProtection="1">
      <alignment horizontal="right" vertical="center" shrinkToFit="1"/>
      <protection hidden="1"/>
    </xf>
    <xf numFmtId="0" fontId="16" fillId="32" borderId="69" xfId="9" applyFont="1" applyFill="1" applyBorder="1" applyAlignment="1" applyProtection="1">
      <alignment vertical="center" shrinkToFit="1"/>
      <protection locked="0" hidden="1"/>
    </xf>
    <xf numFmtId="0" fontId="111" fillId="0" borderId="1136" xfId="9" applyFont="1" applyBorder="1" applyAlignment="1" applyProtection="1">
      <alignment horizontal="right" vertical="center" shrinkToFit="1"/>
      <protection hidden="1"/>
    </xf>
    <xf numFmtId="0" fontId="112" fillId="32" borderId="1137" xfId="9" applyFont="1" applyFill="1" applyBorder="1" applyAlignment="1" applyProtection="1">
      <alignment horizontal="left" vertical="center" shrinkToFit="1"/>
      <protection locked="0"/>
    </xf>
    <xf numFmtId="187" fontId="110" fillId="32" borderId="1137" xfId="9" applyNumberFormat="1" applyFont="1" applyFill="1" applyBorder="1" applyAlignment="1" applyProtection="1">
      <alignment horizontal="left" vertical="center" shrinkToFit="1"/>
      <protection locked="0"/>
    </xf>
    <xf numFmtId="0" fontId="111" fillId="0" borderId="70" xfId="9" applyFont="1" applyBorder="1" applyAlignment="1" applyProtection="1">
      <alignment horizontal="right" vertical="center" shrinkToFit="1"/>
      <protection hidden="1"/>
    </xf>
    <xf numFmtId="188" fontId="114" fillId="32" borderId="1138" xfId="9" applyNumberFormat="1" applyFont="1" applyFill="1" applyBorder="1" applyAlignment="1" applyProtection="1">
      <alignment horizontal="left" vertical="center" shrinkToFit="1"/>
      <protection locked="0"/>
    </xf>
    <xf numFmtId="0" fontId="121" fillId="32" borderId="72" xfId="7" applyNumberFormat="1" applyFont="1" applyFill="1" applyBorder="1" applyAlignment="1" applyProtection="1">
      <alignment horizontal="left" vertical="center" shrinkToFit="1"/>
      <protection locked="0"/>
    </xf>
    <xf numFmtId="0" fontId="111" fillId="0" borderId="1139" xfId="9" applyFont="1" applyBorder="1" applyAlignment="1" applyProtection="1">
      <alignment horizontal="right" vertical="center" shrinkToFit="1"/>
      <protection locked="0" hidden="1"/>
    </xf>
    <xf numFmtId="0" fontId="110" fillId="32" borderId="1140" xfId="9" applyFont="1" applyFill="1" applyBorder="1" applyAlignment="1" applyProtection="1">
      <alignment horizontal="left" vertical="center" shrinkToFit="1"/>
      <protection locked="0"/>
    </xf>
    <xf numFmtId="0" fontId="111" fillId="0" borderId="70" xfId="9" applyFont="1" applyBorder="1" applyAlignment="1" applyProtection="1">
      <alignment horizontal="right" shrinkToFit="1"/>
      <protection hidden="1"/>
    </xf>
    <xf numFmtId="0" fontId="110" fillId="32" borderId="72" xfId="9" applyFont="1" applyFill="1" applyBorder="1" applyAlignment="1" applyProtection="1">
      <alignment horizontal="left" shrinkToFit="1"/>
      <protection locked="0" hidden="1"/>
    </xf>
    <xf numFmtId="0" fontId="111" fillId="0" borderId="1136" xfId="9" applyFont="1" applyBorder="1" applyAlignment="1" applyProtection="1">
      <alignment horizontal="right" shrinkToFit="1"/>
      <protection hidden="1"/>
    </xf>
    <xf numFmtId="174" fontId="110" fillId="0" borderId="1137" xfId="9" applyNumberFormat="1" applyFont="1" applyBorder="1" applyAlignment="1" applyProtection="1">
      <alignment horizontal="left" shrinkToFit="1"/>
      <protection hidden="1"/>
    </xf>
    <xf numFmtId="0" fontId="110" fillId="32" borderId="1137" xfId="9" applyFont="1" applyFill="1" applyBorder="1" applyAlignment="1" applyProtection="1">
      <alignment horizontal="left" shrinkToFit="1"/>
      <protection locked="0"/>
    </xf>
    <xf numFmtId="0" fontId="114" fillId="32" borderId="1137" xfId="9" applyFont="1" applyFill="1" applyBorder="1" applyAlignment="1" applyProtection="1">
      <alignment horizontal="left" shrinkToFit="1"/>
      <protection locked="0"/>
    </xf>
    <xf numFmtId="190" fontId="114" fillId="32" borderId="1137" xfId="9" applyNumberFormat="1" applyFont="1" applyFill="1" applyBorder="1" applyAlignment="1" applyProtection="1">
      <alignment horizontal="left" shrinkToFit="1"/>
      <protection locked="0" hidden="1"/>
    </xf>
    <xf numFmtId="0" fontId="110" fillId="0" borderId="1137" xfId="9" applyFont="1" applyBorder="1" applyAlignment="1" applyProtection="1">
      <alignment horizontal="left" shrinkToFit="1"/>
      <protection hidden="1"/>
    </xf>
    <xf numFmtId="0" fontId="114" fillId="32" borderId="1137" xfId="9" applyFont="1" applyFill="1" applyBorder="1" applyAlignment="1" applyProtection="1">
      <alignment horizontal="left" shrinkToFit="1"/>
      <protection locked="0" hidden="1"/>
    </xf>
    <xf numFmtId="0" fontId="111" fillId="0" borderId="1139" xfId="9" applyFont="1" applyBorder="1" applyAlignment="1" applyProtection="1">
      <alignment horizontal="right" shrinkToFit="1"/>
      <protection hidden="1"/>
    </xf>
    <xf numFmtId="189" fontId="110" fillId="32" borderId="1140" xfId="9" applyNumberFormat="1" applyFont="1" applyFill="1" applyBorder="1" applyAlignment="1" applyProtection="1">
      <alignment horizontal="left" shrinkToFit="1"/>
      <protection locked="0"/>
    </xf>
    <xf numFmtId="189" fontId="110" fillId="32" borderId="1137" xfId="9" applyNumberFormat="1" applyFont="1" applyFill="1" applyBorder="1" applyAlignment="1" applyProtection="1">
      <alignment horizontal="left" shrinkToFit="1"/>
      <protection locked="0"/>
    </xf>
    <xf numFmtId="188" fontId="110" fillId="0" borderId="1140" xfId="9" applyNumberFormat="1" applyFont="1" applyBorder="1" applyAlignment="1" applyProtection="1">
      <alignment horizontal="left" shrinkToFit="1"/>
      <protection hidden="1"/>
    </xf>
    <xf numFmtId="49" fontId="110" fillId="32" borderId="1137" xfId="9" quotePrefix="1" applyNumberFormat="1" applyFont="1" applyFill="1" applyBorder="1" applyAlignment="1" applyProtection="1">
      <alignment horizontal="left" shrinkToFit="1"/>
      <protection locked="0"/>
    </xf>
    <xf numFmtId="166" fontId="91" fillId="28" borderId="1129" xfId="0" applyFont="1" applyFill="1" applyBorder="1" applyAlignment="1" applyProtection="1">
      <alignment horizontal="center" vertical="center" wrapText="1" shrinkToFit="1"/>
      <protection hidden="1"/>
    </xf>
    <xf numFmtId="166" fontId="91" fillId="28" borderId="793" xfId="0" applyFont="1" applyFill="1" applyBorder="1" applyAlignment="1" applyProtection="1">
      <alignment horizontal="center" vertical="center" wrapText="1" shrinkToFit="1"/>
      <protection hidden="1"/>
    </xf>
    <xf numFmtId="174" fontId="91" fillId="28" borderId="790" xfId="0" applyNumberFormat="1" applyFont="1" applyFill="1" applyBorder="1" applyAlignment="1" applyProtection="1">
      <alignment horizontal="center" vertical="center" wrapText="1" shrinkToFit="1"/>
      <protection hidden="1"/>
    </xf>
    <xf numFmtId="166" fontId="153" fillId="28" borderId="842" xfId="0" applyFont="1" applyFill="1" applyBorder="1" applyAlignment="1" applyProtection="1">
      <alignment horizontal="center" vertical="center" wrapText="1" shrinkToFit="1"/>
      <protection hidden="1"/>
    </xf>
    <xf numFmtId="166" fontId="153" fillId="28" borderId="786" xfId="0" applyFont="1" applyFill="1" applyBorder="1" applyAlignment="1" applyProtection="1">
      <alignment horizontal="center" vertical="center" wrapText="1" shrinkToFit="1"/>
      <protection hidden="1"/>
    </xf>
    <xf numFmtId="166" fontId="91" fillId="28" borderId="788" xfId="0" applyFont="1" applyFill="1" applyBorder="1" applyAlignment="1" applyProtection="1">
      <alignment horizontal="center" vertical="center" wrapText="1" shrinkToFit="1"/>
      <protection hidden="1"/>
    </xf>
    <xf numFmtId="166" fontId="91" fillId="28" borderId="784" xfId="0" applyFont="1" applyFill="1" applyBorder="1" applyAlignment="1" applyProtection="1">
      <alignment horizontal="center" vertical="center" wrapText="1" shrinkToFit="1"/>
      <protection hidden="1"/>
    </xf>
    <xf numFmtId="166" fontId="124" fillId="28" borderId="82" xfId="0" applyFont="1" applyFill="1" applyBorder="1" applyAlignment="1" applyProtection="1">
      <alignment horizontal="center" vertical="center" wrapText="1" shrinkToFit="1"/>
      <protection hidden="1"/>
    </xf>
    <xf numFmtId="166" fontId="91" fillId="28" borderId="115" xfId="0" applyFont="1" applyFill="1" applyBorder="1" applyAlignment="1" applyProtection="1">
      <alignment horizontal="center" vertical="center" wrapText="1" shrinkToFit="1"/>
      <protection hidden="1"/>
    </xf>
    <xf numFmtId="166" fontId="91" fillId="28" borderId="82" xfId="0" applyFont="1" applyFill="1" applyBorder="1" applyAlignment="1" applyProtection="1">
      <alignment horizontal="center" vertical="center" wrapText="1" shrinkToFit="1"/>
      <protection hidden="1"/>
    </xf>
    <xf numFmtId="166" fontId="154" fillId="28" borderId="791" xfId="0" applyFont="1" applyFill="1" applyBorder="1" applyAlignment="1" applyProtection="1">
      <alignment horizontal="center" vertical="center" wrapText="1" shrinkToFit="1"/>
      <protection hidden="1"/>
    </xf>
    <xf numFmtId="166" fontId="91" fillId="28" borderId="76" xfId="0" applyFont="1" applyFill="1" applyBorder="1" applyAlignment="1" applyProtection="1">
      <alignment horizontal="center" vertical="center" wrapText="1" shrinkToFit="1"/>
      <protection hidden="1"/>
    </xf>
    <xf numFmtId="166" fontId="154" fillId="28" borderId="76" xfId="0" applyFont="1" applyFill="1" applyBorder="1" applyAlignment="1" applyProtection="1">
      <alignment horizontal="center" vertical="center" wrapText="1" shrinkToFit="1"/>
      <protection hidden="1"/>
    </xf>
    <xf numFmtId="166" fontId="157" fillId="28" borderId="684" xfId="0" applyFont="1" applyFill="1" applyBorder="1" applyAlignment="1" applyProtection="1">
      <alignment horizontal="center" vertical="center" wrapText="1" shrinkToFit="1"/>
      <protection hidden="1"/>
    </xf>
    <xf numFmtId="166" fontId="23" fillId="28" borderId="792" xfId="0" applyFont="1" applyFill="1" applyBorder="1" applyAlignment="1" applyProtection="1">
      <alignment horizontal="center" vertical="center" wrapText="1"/>
      <protection hidden="1"/>
    </xf>
    <xf numFmtId="166" fontId="91" fillId="34" borderId="1130" xfId="0" applyFont="1" applyFill="1" applyBorder="1" applyAlignment="1" applyProtection="1">
      <alignment horizontal="center" vertical="center" wrapText="1" shrinkToFit="1"/>
      <protection hidden="1"/>
    </xf>
    <xf numFmtId="166" fontId="91" fillId="34" borderId="1131" xfId="0" applyFont="1" applyFill="1" applyBorder="1" applyAlignment="1" applyProtection="1">
      <alignment horizontal="center" vertical="center" wrapText="1" shrinkToFit="1"/>
      <protection hidden="1"/>
    </xf>
    <xf numFmtId="166" fontId="124" fillId="34" borderId="839" xfId="0" applyFont="1" applyFill="1" applyBorder="1" applyAlignment="1" applyProtection="1">
      <alignment horizontal="center" vertical="center" wrapText="1" shrinkToFit="1"/>
      <protection hidden="1"/>
    </xf>
    <xf numFmtId="166" fontId="124" fillId="31" borderId="839" xfId="0" applyFont="1" applyFill="1" applyBorder="1" applyAlignment="1" applyProtection="1">
      <alignment horizontal="center" vertical="center" wrapText="1" shrinkToFit="1"/>
      <protection hidden="1"/>
    </xf>
    <xf numFmtId="166" fontId="124" fillId="34" borderId="887" xfId="0" applyFont="1" applyFill="1" applyBorder="1" applyAlignment="1" applyProtection="1">
      <alignment horizontal="center" vertical="center" wrapText="1" shrinkToFit="1"/>
      <protection hidden="1"/>
    </xf>
    <xf numFmtId="166" fontId="91" fillId="34" borderId="76" xfId="0" applyFont="1" applyFill="1" applyBorder="1" applyAlignment="1" applyProtection="1">
      <alignment horizontal="center" vertical="center" wrapText="1" shrinkToFit="1"/>
      <protection hidden="1"/>
    </xf>
    <xf numFmtId="166" fontId="91" fillId="31" borderId="76" xfId="0" applyFont="1" applyFill="1" applyBorder="1" applyAlignment="1" applyProtection="1">
      <alignment horizontal="center" vertical="center" wrapText="1" shrinkToFit="1"/>
      <protection hidden="1"/>
    </xf>
    <xf numFmtId="166" fontId="120" fillId="34" borderId="82" xfId="0" applyFont="1" applyFill="1" applyBorder="1" applyAlignment="1" applyProtection="1">
      <alignment horizontal="center" vertical="center" wrapText="1" shrinkToFit="1"/>
      <protection hidden="1"/>
    </xf>
    <xf numFmtId="166" fontId="124" fillId="31" borderId="76" xfId="0" applyFont="1" applyFill="1" applyBorder="1" applyAlignment="1" applyProtection="1">
      <alignment horizontal="center" vertical="center" wrapText="1" shrinkToFit="1"/>
      <protection hidden="1"/>
    </xf>
    <xf numFmtId="166" fontId="154" fillId="34" borderId="76" xfId="0" applyFont="1" applyFill="1" applyBorder="1" applyAlignment="1" applyProtection="1">
      <alignment horizontal="center" vertical="center" wrapText="1" shrinkToFit="1"/>
      <protection hidden="1"/>
    </xf>
    <xf numFmtId="166" fontId="23" fillId="28" borderId="571" xfId="0" applyFont="1" applyFill="1" applyBorder="1" applyAlignment="1" applyProtection="1">
      <alignment horizontal="center" vertical="center" wrapText="1"/>
      <protection hidden="1"/>
    </xf>
    <xf numFmtId="166" fontId="34" fillId="28" borderId="572" xfId="0" applyFont="1" applyFill="1" applyBorder="1" applyAlignment="1" applyProtection="1">
      <alignment horizontal="center" vertical="center" wrapText="1"/>
      <protection hidden="1"/>
    </xf>
    <xf numFmtId="166" fontId="91" fillId="28" borderId="570" xfId="0" applyFont="1" applyFill="1" applyBorder="1" applyAlignment="1" applyProtection="1">
      <alignment horizontal="center" vertical="center" wrapText="1"/>
      <protection hidden="1"/>
    </xf>
    <xf numFmtId="166" fontId="91" fillId="34" borderId="231" xfId="0" applyFont="1" applyFill="1" applyBorder="1" applyAlignment="1" applyProtection="1">
      <alignment horizontal="center" vertical="center" wrapText="1"/>
      <protection hidden="1"/>
    </xf>
    <xf numFmtId="166" fontId="34" fillId="28" borderId="753" xfId="0" applyFont="1" applyFill="1" applyBorder="1" applyAlignment="1" applyProtection="1">
      <alignment horizontal="center" vertical="center" wrapText="1"/>
      <protection hidden="1"/>
    </xf>
    <xf numFmtId="174" fontId="91" fillId="28" borderId="808" xfId="0" applyNumberFormat="1" applyFont="1" applyFill="1" applyBorder="1" applyAlignment="1" applyProtection="1">
      <alignment horizontal="center" vertical="center" wrapText="1" shrinkToFit="1"/>
      <protection hidden="1"/>
    </xf>
    <xf numFmtId="166" fontId="91" fillId="28" borderId="191" xfId="0" applyFont="1" applyFill="1" applyBorder="1" applyAlignment="1" applyProtection="1">
      <alignment horizontal="center" vertical="center" wrapText="1" shrinkToFit="1"/>
      <protection hidden="1"/>
    </xf>
    <xf numFmtId="166" fontId="91" fillId="34" borderId="192" xfId="0" applyFont="1" applyFill="1" applyBorder="1" applyAlignment="1" applyProtection="1">
      <alignment horizontal="center" vertical="center" wrapText="1" shrinkToFit="1"/>
      <protection hidden="1"/>
    </xf>
    <xf numFmtId="166" fontId="91" fillId="28" borderId="810" xfId="0" applyFont="1" applyFill="1" applyBorder="1" applyAlignment="1" applyProtection="1">
      <alignment horizontal="center" vertical="center" wrapText="1" shrinkToFit="1"/>
      <protection hidden="1"/>
    </xf>
    <xf numFmtId="166" fontId="34" fillId="28" borderId="811" xfId="0" applyFont="1" applyFill="1" applyBorder="1" applyAlignment="1" applyProtection="1">
      <alignment horizontal="center" vertical="center" wrapText="1" shrinkToFit="1"/>
      <protection hidden="1"/>
    </xf>
    <xf numFmtId="166" fontId="91" fillId="28" borderId="812" xfId="0" applyFont="1" applyFill="1" applyBorder="1" applyAlignment="1" applyProtection="1">
      <alignment horizontal="center" vertical="center" wrapText="1" shrinkToFit="1"/>
      <protection hidden="1"/>
    </xf>
    <xf numFmtId="166" fontId="91" fillId="28" borderId="813" xfId="0" applyFont="1" applyFill="1" applyBorder="1" applyAlignment="1" applyProtection="1">
      <alignment horizontal="center" vertical="center" wrapText="1" shrinkToFit="1"/>
      <protection hidden="1"/>
    </xf>
    <xf numFmtId="166" fontId="91" fillId="28" borderId="726" xfId="0" applyFont="1" applyFill="1" applyBorder="1" applyAlignment="1" applyProtection="1">
      <alignment horizontal="center" vertical="center" wrapText="1" shrinkToFit="1"/>
      <protection hidden="1"/>
    </xf>
    <xf numFmtId="181" fontId="91" fillId="28" borderId="729" xfId="0" applyNumberFormat="1" applyFont="1" applyFill="1" applyBorder="1" applyAlignment="1" applyProtection="1">
      <alignment horizontal="center" vertical="center" wrapText="1" shrinkToFit="1"/>
      <protection hidden="1"/>
    </xf>
    <xf numFmtId="166" fontId="91" fillId="28" borderId="814" xfId="0" applyFont="1" applyFill="1" applyBorder="1" applyAlignment="1" applyProtection="1">
      <alignment horizontal="center" vertical="center" wrapText="1" shrinkToFit="1"/>
      <protection hidden="1"/>
    </xf>
    <xf numFmtId="166" fontId="91" fillId="28" borderId="813" xfId="0" applyFont="1" applyFill="1" applyBorder="1" applyAlignment="1" applyProtection="1">
      <alignment horizontal="center" vertical="center" wrapText="1"/>
      <protection hidden="1"/>
    </xf>
    <xf numFmtId="166" fontId="91" fillId="34" borderId="192" xfId="0" applyFont="1" applyFill="1" applyBorder="1" applyAlignment="1" applyProtection="1">
      <alignment horizontal="center" vertical="center" wrapText="1"/>
      <protection hidden="1"/>
    </xf>
    <xf numFmtId="166" fontId="124" fillId="28" borderId="726" xfId="0" applyFont="1" applyFill="1" applyBorder="1" applyAlignment="1" applyProtection="1">
      <alignment horizontal="center" vertical="center" wrapText="1" shrinkToFit="1"/>
      <protection hidden="1"/>
    </xf>
    <xf numFmtId="166" fontId="124" fillId="28" borderId="813" xfId="0" applyFont="1" applyFill="1" applyBorder="1" applyAlignment="1" applyProtection="1">
      <alignment horizontal="center" vertical="center" wrapText="1"/>
      <protection hidden="1"/>
    </xf>
    <xf numFmtId="166" fontId="124" fillId="34" borderId="192" xfId="0" applyFont="1" applyFill="1" applyBorder="1" applyAlignment="1" applyProtection="1">
      <alignment horizontal="center" vertical="center" wrapText="1"/>
      <protection hidden="1"/>
    </xf>
    <xf numFmtId="166" fontId="120" fillId="28" borderId="726" xfId="0" applyFont="1" applyFill="1" applyBorder="1" applyAlignment="1" applyProtection="1">
      <alignment horizontal="center" vertical="center" wrapText="1" shrinkToFit="1"/>
      <protection hidden="1"/>
    </xf>
    <xf numFmtId="166" fontId="124" fillId="28" borderId="816" xfId="0" applyFont="1" applyFill="1" applyBorder="1" applyAlignment="1" applyProtection="1">
      <alignment horizontal="center" vertical="top" wrapText="1" shrinkToFit="1"/>
      <protection hidden="1"/>
    </xf>
    <xf numFmtId="166" fontId="124" fillId="34" borderId="661" xfId="0" applyFont="1" applyFill="1" applyBorder="1" applyAlignment="1" applyProtection="1">
      <alignment horizontal="center" vertical="center" wrapText="1" shrinkToFit="1"/>
      <protection hidden="1"/>
    </xf>
    <xf numFmtId="166" fontId="120" fillId="28" borderId="817" xfId="0" applyFont="1" applyFill="1" applyBorder="1" applyAlignment="1" applyProtection="1">
      <alignment horizontal="center" vertical="center" wrapText="1" shrinkToFit="1"/>
      <protection hidden="1"/>
    </xf>
    <xf numFmtId="166" fontId="155" fillId="28" borderId="815" xfId="0" applyFont="1" applyFill="1" applyBorder="1" applyAlignment="1" applyProtection="1">
      <alignment horizontal="center" vertical="center" wrapText="1" shrinkToFit="1"/>
      <protection hidden="1"/>
    </xf>
    <xf numFmtId="166" fontId="120" fillId="34" borderId="661" xfId="0" applyFont="1" applyFill="1" applyBorder="1" applyAlignment="1" applyProtection="1">
      <alignment horizontal="center" vertical="center" wrapText="1" shrinkToFit="1"/>
      <protection hidden="1"/>
    </xf>
    <xf numFmtId="0" fontId="120" fillId="28" borderId="739" xfId="3" applyFont="1" applyFill="1" applyBorder="1" applyAlignment="1" applyProtection="1">
      <alignment horizontal="center" vertical="center" wrapText="1"/>
      <protection hidden="1"/>
    </xf>
    <xf numFmtId="0" fontId="154" fillId="28" borderId="819" xfId="3" applyFont="1" applyFill="1" applyBorder="1" applyAlignment="1" applyProtection="1">
      <alignment horizontal="center" vertical="center" wrapText="1"/>
      <protection hidden="1"/>
    </xf>
    <xf numFmtId="0" fontId="154" fillId="28" borderId="231" xfId="3" applyFont="1" applyFill="1" applyBorder="1" applyAlignment="1" applyProtection="1">
      <alignment horizontal="center" vertical="center" wrapText="1"/>
      <protection hidden="1"/>
    </xf>
    <xf numFmtId="0" fontId="154" fillId="28" borderId="814" xfId="3" applyFont="1" applyFill="1" applyBorder="1" applyAlignment="1" applyProtection="1">
      <alignment horizontal="center" vertical="center" wrapText="1"/>
      <protection hidden="1"/>
    </xf>
    <xf numFmtId="0" fontId="120" fillId="28" borderId="818" xfId="3" applyFont="1" applyFill="1" applyBorder="1" applyAlignment="1" applyProtection="1">
      <alignment horizontal="center" vertical="top" wrapText="1"/>
      <protection hidden="1"/>
    </xf>
    <xf numFmtId="0" fontId="120" fillId="28" borderId="661" xfId="3" applyFont="1" applyFill="1" applyBorder="1" applyAlignment="1" applyProtection="1">
      <alignment horizontal="center" vertical="center" wrapText="1" shrinkToFit="1"/>
      <protection hidden="1"/>
    </xf>
    <xf numFmtId="0" fontId="124" fillId="28" borderId="816" xfId="3" applyFont="1" applyFill="1" applyBorder="1" applyAlignment="1" applyProtection="1">
      <alignment horizontal="center" vertical="center" wrapText="1"/>
      <protection hidden="1"/>
    </xf>
    <xf numFmtId="0" fontId="120" fillId="34" borderId="661" xfId="3" applyFont="1" applyFill="1" applyBorder="1" applyAlignment="1" applyProtection="1">
      <alignment horizontal="center" vertical="center" wrapText="1" shrinkToFit="1"/>
      <protection hidden="1"/>
    </xf>
    <xf numFmtId="0" fontId="120" fillId="28" borderId="817" xfId="3" applyFont="1" applyFill="1" applyBorder="1" applyAlignment="1" applyProtection="1">
      <alignment horizontal="center" vertical="center" wrapText="1"/>
      <protection hidden="1"/>
    </xf>
    <xf numFmtId="166" fontId="91" fillId="28" borderId="570" xfId="0" applyFont="1" applyFill="1" applyBorder="1" applyAlignment="1" applyProtection="1">
      <alignment horizontal="center" vertical="center" shrinkToFit="1"/>
      <protection hidden="1"/>
    </xf>
    <xf numFmtId="166" fontId="91" fillId="28" borderId="231" xfId="0" applyFont="1" applyFill="1" applyBorder="1" applyAlignment="1" applyProtection="1">
      <alignment horizontal="center" vertical="center" shrinkToFit="1"/>
      <protection hidden="1"/>
    </xf>
    <xf numFmtId="166" fontId="91" fillId="28" borderId="753" xfId="0" applyFont="1" applyFill="1" applyBorder="1" applyAlignment="1" applyProtection="1">
      <alignment horizontal="center" vertical="center" shrinkToFit="1"/>
      <protection hidden="1"/>
    </xf>
    <xf numFmtId="166" fontId="91" fillId="28" borderId="819" xfId="0" applyFont="1" applyFill="1" applyBorder="1" applyAlignment="1" applyProtection="1">
      <alignment horizontal="center" vertical="center" wrapText="1" shrinkToFit="1"/>
      <protection hidden="1"/>
    </xf>
    <xf numFmtId="166" fontId="91" fillId="28" borderId="231" xfId="0" applyFont="1" applyFill="1" applyBorder="1" applyAlignment="1" applyProtection="1">
      <alignment horizontal="center" vertical="center" wrapText="1" shrinkToFit="1"/>
      <protection hidden="1"/>
    </xf>
    <xf numFmtId="166" fontId="91" fillId="28" borderId="940" xfId="0" applyFont="1" applyFill="1" applyBorder="1" applyAlignment="1" applyProtection="1">
      <alignment horizontal="center" vertical="center" wrapText="1" shrinkToFit="1"/>
      <protection hidden="1"/>
    </xf>
    <xf numFmtId="166" fontId="91" fillId="28" borderId="570" xfId="0" applyFont="1" applyFill="1" applyBorder="1" applyAlignment="1" applyProtection="1">
      <alignment horizontal="center" vertical="center" wrapText="1" shrinkToFit="1"/>
      <protection hidden="1"/>
    </xf>
    <xf numFmtId="166" fontId="32" fillId="28" borderId="570" xfId="0" applyFont="1" applyFill="1" applyBorder="1" applyAlignment="1" applyProtection="1">
      <alignment horizontal="center" vertical="center" wrapText="1"/>
      <protection hidden="1"/>
    </xf>
    <xf numFmtId="166" fontId="32" fillId="28" borderId="231" xfId="0" applyFont="1" applyFill="1" applyBorder="1" applyAlignment="1" applyProtection="1">
      <alignment horizontal="center" vertical="center" wrapText="1"/>
      <protection hidden="1"/>
    </xf>
    <xf numFmtId="166" fontId="32" fillId="28" borderId="562" xfId="0" applyFont="1" applyFill="1" applyBorder="1" applyAlignment="1" applyProtection="1">
      <alignment horizontal="center" vertical="center" wrapText="1" shrinkToFit="1"/>
      <protection hidden="1"/>
    </xf>
    <xf numFmtId="0" fontId="159" fillId="0" borderId="245" xfId="9" applyFont="1" applyBorder="1" applyAlignment="1" applyProtection="1">
      <alignment horizontal="center" vertical="center" wrapText="1"/>
      <protection hidden="1"/>
    </xf>
    <xf numFmtId="166" fontId="129" fillId="28" borderId="1148" xfId="0" applyFont="1" applyFill="1" applyBorder="1" applyAlignment="1" applyProtection="1">
      <alignment horizontal="center" vertical="center" wrapText="1"/>
      <protection hidden="1"/>
    </xf>
    <xf numFmtId="166" fontId="130" fillId="28" borderId="1149" xfId="0" applyFont="1" applyFill="1" applyBorder="1" applyAlignment="1" applyProtection="1">
      <alignment horizontal="center" vertical="center" wrapText="1"/>
      <protection hidden="1"/>
    </xf>
    <xf numFmtId="166" fontId="158" fillId="28" borderId="1147" xfId="0" applyFont="1" applyFill="1" applyBorder="1" applyAlignment="1" applyProtection="1">
      <alignment horizontal="center" vertical="center" wrapText="1"/>
      <protection hidden="1"/>
    </xf>
    <xf numFmtId="166" fontId="130" fillId="28" borderId="1150" xfId="0" applyFont="1" applyFill="1" applyBorder="1" applyAlignment="1" applyProtection="1">
      <alignment horizontal="center" vertical="center" wrapText="1"/>
      <protection hidden="1"/>
    </xf>
    <xf numFmtId="166" fontId="130" fillId="28" borderId="1151" xfId="0" applyFont="1" applyFill="1" applyBorder="1" applyAlignment="1" applyProtection="1">
      <alignment horizontal="center" vertical="center" wrapText="1"/>
      <protection hidden="1"/>
    </xf>
    <xf numFmtId="166" fontId="129" fillId="28" borderId="1151" xfId="0" applyFont="1" applyFill="1" applyBorder="1" applyAlignment="1" applyProtection="1">
      <alignment horizontal="center" vertical="center" wrapText="1"/>
      <protection hidden="1"/>
    </xf>
    <xf numFmtId="166" fontId="128" fillId="28" borderId="1152" xfId="0" applyFont="1" applyFill="1" applyBorder="1" applyAlignment="1" applyProtection="1">
      <alignment horizontal="center" vertical="center" wrapText="1"/>
      <protection hidden="1"/>
    </xf>
    <xf numFmtId="166" fontId="131" fillId="28" borderId="1153" xfId="0" applyFont="1" applyFill="1" applyBorder="1" applyAlignment="1" applyProtection="1">
      <alignment horizontal="center" vertical="center" wrapText="1"/>
      <protection hidden="1"/>
    </xf>
    <xf numFmtId="166" fontId="131" fillId="28" borderId="1154" xfId="0" applyFont="1" applyFill="1" applyBorder="1" applyAlignment="1" applyProtection="1">
      <alignment horizontal="center" vertical="center" wrapText="1"/>
      <protection hidden="1"/>
    </xf>
    <xf numFmtId="166" fontId="131" fillId="28" borderId="1147" xfId="0" applyFont="1" applyFill="1" applyBorder="1" applyAlignment="1" applyProtection="1">
      <alignment horizontal="center" vertical="center" wrapText="1"/>
      <protection hidden="1"/>
    </xf>
    <xf numFmtId="166" fontId="131" fillId="28" borderId="1155" xfId="0" applyFont="1" applyFill="1" applyBorder="1" applyAlignment="1" applyProtection="1">
      <alignment horizontal="center" vertical="center" wrapText="1"/>
      <protection hidden="1"/>
    </xf>
    <xf numFmtId="166" fontId="129" fillId="28" borderId="1156" xfId="0" applyFont="1" applyFill="1" applyBorder="1" applyAlignment="1" applyProtection="1">
      <alignment horizontal="center" vertical="center" wrapText="1"/>
      <protection hidden="1"/>
    </xf>
    <xf numFmtId="166" fontId="129" fillId="28" borderId="1157" xfId="0" applyFont="1" applyFill="1" applyBorder="1" applyAlignment="1" applyProtection="1">
      <alignment horizontal="center" vertical="center" wrapText="1"/>
      <protection hidden="1"/>
    </xf>
    <xf numFmtId="166" fontId="129" fillId="28" borderId="1154" xfId="0" applyFont="1" applyFill="1" applyBorder="1" applyAlignment="1" applyProtection="1">
      <alignment horizontal="center" vertical="center" wrapText="1"/>
      <protection hidden="1"/>
    </xf>
    <xf numFmtId="166" fontId="128" fillId="28" borderId="1158" xfId="0" applyFont="1" applyFill="1" applyBorder="1" applyAlignment="1" applyProtection="1">
      <alignment horizontal="center" vertical="center" wrapText="1"/>
      <protection hidden="1"/>
    </xf>
    <xf numFmtId="166" fontId="130" fillId="28" borderId="1155" xfId="0" applyFont="1" applyFill="1" applyBorder="1" applyAlignment="1" applyProtection="1">
      <alignment horizontal="center" vertical="center" wrapText="1"/>
      <protection hidden="1"/>
    </xf>
    <xf numFmtId="166" fontId="128" fillId="28" borderId="1159" xfId="0" applyFont="1" applyFill="1" applyBorder="1" applyAlignment="1" applyProtection="1">
      <alignment horizontal="center" vertical="center" wrapText="1"/>
      <protection hidden="1"/>
    </xf>
    <xf numFmtId="166" fontId="19" fillId="0" borderId="1160" xfId="0" applyFont="1" applyBorder="1" applyAlignment="1" applyProtection="1">
      <alignment horizontal="center" vertical="center" wrapText="1"/>
      <protection hidden="1"/>
    </xf>
    <xf numFmtId="166" fontId="128" fillId="28" borderId="1147" xfId="0" applyFont="1" applyFill="1" applyBorder="1" applyAlignment="1" applyProtection="1">
      <alignment horizontal="center" vertical="center" shrinkToFit="1"/>
      <protection hidden="1"/>
    </xf>
    <xf numFmtId="166" fontId="2" fillId="0" borderId="401" xfId="0" applyFont="1" applyBorder="1" applyAlignment="1" applyProtection="1">
      <alignment horizontal="right" vertical="center" shrinkToFit="1"/>
      <protection hidden="1"/>
    </xf>
    <xf numFmtId="166" fontId="13" fillId="0" borderId="401" xfId="0" applyFont="1" applyBorder="1" applyAlignment="1" applyProtection="1">
      <alignment horizontal="right" vertical="center" wrapText="1" shrinkToFit="1"/>
      <protection hidden="1"/>
    </xf>
    <xf numFmtId="199" fontId="17" fillId="0" borderId="0" xfId="0" applyNumberFormat="1" applyFont="1" applyAlignment="1" applyProtection="1">
      <alignment horizontal="center" vertical="center" shrinkToFit="1"/>
      <protection hidden="1"/>
    </xf>
    <xf numFmtId="199" fontId="17" fillId="0" borderId="1161" xfId="0" applyNumberFormat="1" applyFont="1" applyBorder="1" applyAlignment="1" applyProtection="1">
      <alignment horizontal="center" vertical="center" shrinkToFit="1"/>
      <protection hidden="1"/>
    </xf>
    <xf numFmtId="195" fontId="3" fillId="0" borderId="1162" xfId="0" applyNumberFormat="1" applyFont="1" applyBorder="1" applyAlignment="1" applyProtection="1">
      <alignment horizontal="center" vertical="center" shrinkToFit="1"/>
      <protection hidden="1"/>
    </xf>
    <xf numFmtId="196" fontId="3" fillId="0" borderId="1162" xfId="0" applyNumberFormat="1" applyFont="1" applyBorder="1" applyAlignment="1" applyProtection="1">
      <alignment horizontal="center" vertical="center" shrinkToFit="1"/>
      <protection hidden="1"/>
    </xf>
    <xf numFmtId="199" fontId="17" fillId="0" borderId="1163" xfId="0" applyNumberFormat="1" applyFont="1" applyBorder="1" applyAlignment="1" applyProtection="1">
      <alignment horizontal="center" vertical="center" shrinkToFit="1"/>
      <protection hidden="1"/>
    </xf>
    <xf numFmtId="195" fontId="3" fillId="0" borderId="1164" xfId="0" applyNumberFormat="1" applyFont="1" applyBorder="1" applyAlignment="1" applyProtection="1">
      <alignment horizontal="center" vertical="center" shrinkToFit="1"/>
      <protection hidden="1"/>
    </xf>
    <xf numFmtId="196" fontId="3" fillId="0" borderId="1164" xfId="0" applyNumberFormat="1" applyFont="1" applyBorder="1" applyAlignment="1" applyProtection="1">
      <alignment horizontal="center" vertical="center" shrinkToFit="1"/>
      <protection hidden="1"/>
    </xf>
    <xf numFmtId="199" fontId="17" fillId="0" borderId="1165" xfId="0" applyNumberFormat="1" applyFont="1" applyBorder="1" applyAlignment="1" applyProtection="1">
      <alignment horizontal="center" vertical="center" shrinkToFit="1"/>
      <protection hidden="1"/>
    </xf>
    <xf numFmtId="195" fontId="3" fillId="0" borderId="1166" xfId="0" applyNumberFormat="1" applyFont="1" applyBorder="1" applyAlignment="1" applyProtection="1">
      <alignment horizontal="center" vertical="center" shrinkToFit="1"/>
      <protection hidden="1"/>
    </xf>
    <xf numFmtId="196" fontId="3" fillId="0" borderId="1166" xfId="0" applyNumberFormat="1" applyFont="1" applyBorder="1" applyAlignment="1" applyProtection="1">
      <alignment horizontal="center" vertical="center" shrinkToFit="1"/>
      <protection hidden="1"/>
    </xf>
    <xf numFmtId="166" fontId="128" fillId="28" borderId="1168" xfId="0" applyFont="1" applyFill="1" applyBorder="1" applyAlignment="1" applyProtection="1">
      <alignment horizontal="center" vertical="center" wrapText="1"/>
      <protection hidden="1"/>
    </xf>
    <xf numFmtId="166" fontId="128" fillId="28" borderId="1167" xfId="0" applyFont="1" applyFill="1" applyBorder="1" applyAlignment="1" applyProtection="1">
      <alignment horizontal="center" vertical="center" wrapText="1"/>
      <protection hidden="1"/>
    </xf>
    <xf numFmtId="166" fontId="134" fillId="28" borderId="1167" xfId="0" applyFont="1" applyFill="1" applyBorder="1" applyAlignment="1" applyProtection="1">
      <alignment horizontal="center" vertical="center" wrapText="1"/>
      <protection hidden="1"/>
    </xf>
    <xf numFmtId="166" fontId="23" fillId="28" borderId="1167" xfId="0" applyFont="1" applyFill="1" applyBorder="1" applyAlignment="1" applyProtection="1">
      <alignment horizontal="center" vertical="center" wrapText="1"/>
      <protection hidden="1"/>
    </xf>
    <xf numFmtId="195" fontId="3" fillId="0" borderId="0" xfId="0" applyNumberFormat="1" applyFont="1" applyAlignment="1" applyProtection="1">
      <alignment horizontal="center" vertical="center" shrinkToFit="1"/>
      <protection hidden="1"/>
    </xf>
    <xf numFmtId="196" fontId="17" fillId="0" borderId="0" xfId="0" applyNumberFormat="1" applyFont="1" applyAlignment="1" applyProtection="1">
      <alignment horizontal="center" vertical="center" shrinkToFit="1"/>
      <protection hidden="1"/>
    </xf>
    <xf numFmtId="197" fontId="13" fillId="19" borderId="1170" xfId="0" applyNumberFormat="1" applyFont="1" applyFill="1" applyBorder="1" applyAlignment="1" applyProtection="1">
      <alignment horizontal="center" vertical="center" shrinkToFit="1"/>
      <protection locked="0"/>
    </xf>
    <xf numFmtId="196" fontId="13" fillId="19" borderId="443" xfId="0" applyNumberFormat="1" applyFont="1" applyFill="1" applyBorder="1" applyAlignment="1" applyProtection="1">
      <alignment horizontal="center" vertical="center" shrinkToFit="1"/>
      <protection locked="0"/>
    </xf>
    <xf numFmtId="198" fontId="13" fillId="19" borderId="1172" xfId="0" applyNumberFormat="1" applyFont="1" applyFill="1" applyBorder="1" applyAlignment="1" applyProtection="1">
      <alignment horizontal="center" vertical="center" shrinkToFit="1"/>
      <protection locked="0"/>
    </xf>
    <xf numFmtId="198" fontId="13" fillId="19" borderId="1170" xfId="0" applyNumberFormat="1" applyFont="1" applyFill="1" applyBorder="1" applyAlignment="1" applyProtection="1">
      <alignment horizontal="center" vertical="center" shrinkToFit="1"/>
      <protection locked="0"/>
    </xf>
    <xf numFmtId="198" fontId="13" fillId="19" borderId="1171" xfId="0" applyNumberFormat="1" applyFont="1" applyFill="1" applyBorder="1" applyAlignment="1" applyProtection="1">
      <alignment horizontal="center" vertical="center" shrinkToFit="1"/>
      <protection locked="0"/>
    </xf>
    <xf numFmtId="0" fontId="13" fillId="19" borderId="443" xfId="0" applyNumberFormat="1" applyFont="1" applyFill="1" applyBorder="1" applyAlignment="1" applyProtection="1">
      <alignment horizontal="left" vertical="center" shrinkToFit="1"/>
      <protection locked="0"/>
    </xf>
    <xf numFmtId="198" fontId="13" fillId="19" borderId="1173" xfId="0" applyNumberFormat="1" applyFont="1" applyFill="1" applyBorder="1" applyAlignment="1" applyProtection="1">
      <alignment horizontal="center" vertical="center" shrinkToFit="1"/>
      <protection locked="0"/>
    </xf>
    <xf numFmtId="197" fontId="13" fillId="19" borderId="443" xfId="0" applyNumberFormat="1" applyFont="1" applyFill="1" applyBorder="1" applyAlignment="1" applyProtection="1">
      <alignment horizontal="center" vertical="center" shrinkToFit="1"/>
      <protection locked="0"/>
    </xf>
    <xf numFmtId="197" fontId="13" fillId="19" borderId="1171" xfId="0" applyNumberFormat="1" applyFont="1" applyFill="1" applyBorder="1" applyAlignment="1" applyProtection="1">
      <alignment horizontal="center" vertical="center" shrinkToFit="1"/>
      <protection locked="0"/>
    </xf>
    <xf numFmtId="197" fontId="13" fillId="19" borderId="1174" xfId="0" applyNumberFormat="1" applyFont="1" applyFill="1" applyBorder="1" applyAlignment="1" applyProtection="1">
      <alignment horizontal="center" vertical="center" shrinkToFit="1"/>
      <protection locked="0"/>
    </xf>
    <xf numFmtId="196" fontId="13" fillId="0" borderId="598" xfId="0" applyNumberFormat="1" applyFont="1" applyBorder="1" applyAlignment="1" applyProtection="1">
      <alignment horizontal="center" vertical="center" shrinkToFit="1"/>
      <protection hidden="1"/>
    </xf>
    <xf numFmtId="196" fontId="13" fillId="0" borderId="199" xfId="0" applyNumberFormat="1" applyFont="1" applyBorder="1" applyAlignment="1" applyProtection="1">
      <alignment horizontal="center" vertical="center" shrinkToFit="1"/>
      <protection hidden="1"/>
    </xf>
    <xf numFmtId="196" fontId="13" fillId="0" borderId="201" xfId="0" applyNumberFormat="1" applyFont="1" applyBorder="1" applyAlignment="1" applyProtection="1">
      <alignment horizontal="center" vertical="center" shrinkToFit="1"/>
      <protection hidden="1"/>
    </xf>
    <xf numFmtId="196" fontId="13" fillId="0" borderId="200" xfId="0" applyNumberFormat="1" applyFont="1" applyBorder="1" applyAlignment="1" applyProtection="1">
      <alignment horizontal="center" vertical="center" shrinkToFit="1"/>
      <protection hidden="1"/>
    </xf>
    <xf numFmtId="196" fontId="13" fillId="0" borderId="202" xfId="0" applyNumberFormat="1" applyFont="1" applyBorder="1" applyAlignment="1" applyProtection="1">
      <alignment horizontal="center" vertical="center" shrinkToFit="1"/>
      <protection hidden="1"/>
    </xf>
    <xf numFmtId="195" fontId="3" fillId="0" borderId="189" xfId="0" applyNumberFormat="1" applyFont="1" applyBorder="1" applyAlignment="1" applyProtection="1">
      <alignment horizontal="center" vertical="center" shrinkToFit="1"/>
      <protection hidden="1"/>
    </xf>
    <xf numFmtId="196" fontId="13" fillId="0" borderId="1175" xfId="0" applyNumberFormat="1" applyFont="1" applyBorder="1" applyAlignment="1" applyProtection="1">
      <alignment horizontal="center" vertical="center" shrinkToFit="1"/>
      <protection hidden="1"/>
    </xf>
    <xf numFmtId="196" fontId="13" fillId="0" borderId="189" xfId="0" applyNumberFormat="1" applyFont="1" applyBorder="1" applyAlignment="1" applyProtection="1">
      <alignment horizontal="center" vertical="center" shrinkToFit="1"/>
      <protection hidden="1"/>
    </xf>
    <xf numFmtId="196" fontId="13" fillId="0" borderId="1176" xfId="0" applyNumberFormat="1" applyFont="1" applyBorder="1" applyAlignment="1" applyProtection="1">
      <alignment horizontal="center" vertical="center" shrinkToFit="1"/>
      <protection hidden="1"/>
    </xf>
    <xf numFmtId="0" fontId="17" fillId="0" borderId="1177" xfId="0" applyNumberFormat="1" applyFont="1" applyBorder="1" applyAlignment="1" applyProtection="1">
      <alignment horizontal="center" vertical="center" shrinkToFit="1"/>
      <protection hidden="1"/>
    </xf>
    <xf numFmtId="199" fontId="17" fillId="0" borderId="1178" xfId="0" applyNumberFormat="1" applyFont="1" applyBorder="1" applyAlignment="1" applyProtection="1">
      <alignment horizontal="center" vertical="center" shrinkToFit="1"/>
      <protection hidden="1"/>
    </xf>
    <xf numFmtId="199" fontId="17" fillId="0" borderId="1177" xfId="0" applyNumberFormat="1" applyFont="1" applyBorder="1" applyAlignment="1" applyProtection="1">
      <alignment horizontal="center" vertical="center" shrinkToFit="1"/>
      <protection hidden="1"/>
    </xf>
    <xf numFmtId="199" fontId="17" fillId="0" borderId="1179" xfId="0" applyNumberFormat="1" applyFont="1" applyBorder="1" applyAlignment="1" applyProtection="1">
      <alignment horizontal="center" vertical="center" shrinkToFit="1"/>
      <protection hidden="1"/>
    </xf>
    <xf numFmtId="10" fontId="17" fillId="0" borderId="600" xfId="6" applyNumberFormat="1" applyFont="1" applyBorder="1" applyAlignment="1" applyProtection="1">
      <alignment horizontal="center" vertical="center" shrinkToFit="1"/>
      <protection hidden="1"/>
    </xf>
    <xf numFmtId="10" fontId="17" fillId="0" borderId="209" xfId="6" applyNumberFormat="1" applyFont="1" applyBorder="1" applyAlignment="1" applyProtection="1">
      <alignment horizontal="center" vertical="center" shrinkToFit="1"/>
      <protection hidden="1"/>
    </xf>
    <xf numFmtId="10" fontId="17" fillId="0" borderId="210" xfId="6" applyNumberFormat="1" applyFont="1" applyBorder="1" applyAlignment="1" applyProtection="1">
      <alignment horizontal="center" vertical="center" shrinkToFit="1"/>
      <protection hidden="1"/>
    </xf>
    <xf numFmtId="10" fontId="17" fillId="0" borderId="211" xfId="6" applyNumberFormat="1" applyFont="1" applyBorder="1" applyAlignment="1" applyProtection="1">
      <alignment horizontal="center" vertical="center" shrinkToFit="1"/>
      <protection hidden="1"/>
    </xf>
    <xf numFmtId="10" fontId="17" fillId="0" borderId="212" xfId="6" applyNumberFormat="1" applyFont="1" applyBorder="1" applyAlignment="1" applyProtection="1">
      <alignment horizontal="center" vertical="center" shrinkToFit="1"/>
      <protection hidden="1"/>
    </xf>
    <xf numFmtId="10" fontId="17" fillId="0" borderId="1181" xfId="6" applyNumberFormat="1" applyFont="1" applyBorder="1" applyAlignment="1" applyProtection="1">
      <alignment horizontal="center" vertical="center" shrinkToFit="1"/>
      <protection hidden="1"/>
    </xf>
    <xf numFmtId="10" fontId="17" fillId="0" borderId="1180" xfId="6" applyNumberFormat="1" applyFont="1" applyBorder="1" applyAlignment="1" applyProtection="1">
      <alignment horizontal="center" vertical="center" shrinkToFit="1"/>
      <protection hidden="1"/>
    </xf>
    <xf numFmtId="10" fontId="17" fillId="0" borderId="1182" xfId="6" applyNumberFormat="1" applyFont="1" applyBorder="1" applyAlignment="1" applyProtection="1">
      <alignment horizontal="center" vertical="center" shrinkToFit="1"/>
      <protection hidden="1"/>
    </xf>
    <xf numFmtId="0" fontId="1" fillId="0" borderId="0" xfId="15"/>
    <xf numFmtId="0" fontId="1" fillId="0" borderId="0" xfId="15" applyProtection="1">
      <protection hidden="1"/>
    </xf>
    <xf numFmtId="0" fontId="161" fillId="35" borderId="0" xfId="15" applyFont="1" applyFill="1" applyAlignment="1" applyProtection="1">
      <alignment horizontal="center" vertical="center"/>
      <protection hidden="1"/>
    </xf>
    <xf numFmtId="0" fontId="1" fillId="35" borderId="0" xfId="15" applyFill="1" applyAlignment="1" applyProtection="1">
      <alignment horizontal="center" vertical="center" wrapText="1"/>
      <protection hidden="1"/>
    </xf>
    <xf numFmtId="16" fontId="1" fillId="0" borderId="0" xfId="15" applyNumberFormat="1" applyAlignment="1" applyProtection="1">
      <alignment horizontal="center"/>
      <protection hidden="1"/>
    </xf>
    <xf numFmtId="241" fontId="1" fillId="0" borderId="1183" xfId="15" applyNumberFormat="1" applyBorder="1" applyAlignment="1" applyProtection="1">
      <alignment horizontal="center"/>
      <protection hidden="1"/>
    </xf>
    <xf numFmtId="241" fontId="1" fillId="0" borderId="0" xfId="15" applyNumberFormat="1" applyAlignment="1" applyProtection="1">
      <alignment horizontal="center"/>
      <protection hidden="1"/>
    </xf>
    <xf numFmtId="0" fontId="1" fillId="0" borderId="0" xfId="15" applyAlignment="1" applyProtection="1">
      <alignment horizontal="center"/>
      <protection hidden="1"/>
    </xf>
    <xf numFmtId="0" fontId="7" fillId="0" borderId="0" xfId="3"/>
    <xf numFmtId="241" fontId="7" fillId="0" borderId="1183" xfId="3" applyNumberFormat="1" applyBorder="1" applyAlignment="1" applyProtection="1">
      <alignment horizontal="center"/>
      <protection hidden="1"/>
    </xf>
    <xf numFmtId="241" fontId="1" fillId="0" borderId="1184" xfId="15" applyNumberFormat="1" applyBorder="1" applyAlignment="1" applyProtection="1">
      <alignment horizontal="center"/>
      <protection hidden="1"/>
    </xf>
    <xf numFmtId="241" fontId="1" fillId="0" borderId="1185" xfId="15" applyNumberFormat="1" applyBorder="1" applyAlignment="1" applyProtection="1">
      <alignment horizontal="center"/>
      <protection hidden="1"/>
    </xf>
    <xf numFmtId="241" fontId="1" fillId="0" borderId="1186" xfId="15" applyNumberFormat="1" applyBorder="1" applyAlignment="1" applyProtection="1">
      <alignment horizontal="center"/>
      <protection hidden="1"/>
    </xf>
    <xf numFmtId="242" fontId="1" fillId="0" borderId="0" xfId="15" applyNumberFormat="1" applyAlignment="1" applyProtection="1">
      <alignment horizontal="center"/>
      <protection hidden="1"/>
    </xf>
    <xf numFmtId="0" fontId="164" fillId="0" borderId="0" xfId="3" applyFont="1" applyAlignment="1">
      <alignment horizontal="center" vertical="center"/>
    </xf>
    <xf numFmtId="0" fontId="165" fillId="0" borderId="0" xfId="3" applyFont="1" applyAlignment="1" applyProtection="1">
      <alignment horizontal="center" vertical="center" shrinkToFit="1"/>
      <protection hidden="1"/>
    </xf>
    <xf numFmtId="0" fontId="166" fillId="0" borderId="0" xfId="3" applyFont="1" applyAlignment="1" applyProtection="1">
      <alignment horizontal="right" vertical="center"/>
      <protection hidden="1"/>
    </xf>
    <xf numFmtId="184" fontId="167" fillId="0" borderId="0" xfId="3" applyNumberFormat="1" applyFont="1" applyAlignment="1" applyProtection="1">
      <alignment horizontal="left" vertical="center"/>
      <protection locked="0" hidden="1"/>
    </xf>
    <xf numFmtId="166" fontId="163" fillId="0" borderId="0" xfId="16" applyFont="1"/>
    <xf numFmtId="0" fontId="169" fillId="0" borderId="0" xfId="17" applyFont="1" applyProtection="1">
      <protection hidden="1"/>
    </xf>
    <xf numFmtId="0" fontId="170" fillId="0" borderId="1222" xfId="17" applyFont="1" applyBorder="1" applyAlignment="1" applyProtection="1">
      <alignment vertical="center" shrinkToFit="1"/>
      <protection hidden="1"/>
    </xf>
    <xf numFmtId="0" fontId="169" fillId="0" borderId="0" xfId="17" applyFont="1"/>
    <xf numFmtId="0" fontId="172" fillId="0" borderId="0" xfId="17" applyFont="1"/>
    <xf numFmtId="20" fontId="169" fillId="0" borderId="0" xfId="17" applyNumberFormat="1" applyFont="1"/>
    <xf numFmtId="0" fontId="173" fillId="0" borderId="0" xfId="3" applyFont="1" applyProtection="1">
      <protection hidden="1"/>
    </xf>
    <xf numFmtId="0" fontId="173" fillId="0" borderId="1242" xfId="3" applyFont="1" applyBorder="1" applyProtection="1">
      <protection hidden="1"/>
    </xf>
    <xf numFmtId="0" fontId="169" fillId="0" borderId="1242" xfId="17" applyFont="1" applyBorder="1" applyProtection="1">
      <protection hidden="1"/>
    </xf>
    <xf numFmtId="0" fontId="163" fillId="0" borderId="0" xfId="3" applyFont="1"/>
    <xf numFmtId="247" fontId="169" fillId="0" borderId="0" xfId="17" applyNumberFormat="1" applyFont="1" applyAlignment="1" applyProtection="1">
      <alignment horizontal="center"/>
      <protection hidden="1"/>
    </xf>
    <xf numFmtId="0" fontId="173" fillId="0" borderId="0" xfId="3" applyFont="1"/>
    <xf numFmtId="180" fontId="17" fillId="0" borderId="616" xfId="0" applyNumberFormat="1" applyFont="1" applyBorder="1" applyAlignment="1" applyProtection="1">
      <alignment horizontal="center" vertical="center" shrinkToFit="1"/>
      <protection hidden="1"/>
    </xf>
    <xf numFmtId="180" fontId="17" fillId="0" borderId="617" xfId="0" applyNumberFormat="1" applyFont="1" applyBorder="1" applyAlignment="1" applyProtection="1">
      <alignment horizontal="center" vertical="center" shrinkToFit="1"/>
      <protection hidden="1"/>
    </xf>
    <xf numFmtId="180" fontId="17" fillId="0" borderId="618" xfId="0" applyNumberFormat="1" applyFont="1" applyBorder="1" applyAlignment="1" applyProtection="1">
      <alignment horizontal="center" vertical="center" shrinkToFit="1"/>
      <protection hidden="1"/>
    </xf>
    <xf numFmtId="178" fontId="13" fillId="0" borderId="606" xfId="0" applyNumberFormat="1" applyFont="1" applyBorder="1" applyAlignment="1">
      <alignment horizontal="center" vertical="center" shrinkToFit="1"/>
    </xf>
    <xf numFmtId="172" fontId="13" fillId="30" borderId="117" xfId="0" applyNumberFormat="1" applyFont="1" applyFill="1" applyBorder="1" applyAlignment="1" applyProtection="1">
      <alignment horizontal="center" vertical="center" shrinkToFit="1"/>
      <protection hidden="1"/>
    </xf>
    <xf numFmtId="178" fontId="13" fillId="0" borderId="116" xfId="0" applyNumberFormat="1" applyFont="1" applyBorder="1" applyAlignment="1">
      <alignment horizontal="center" vertical="center" shrinkToFit="1"/>
    </xf>
    <xf numFmtId="172" fontId="13" fillId="5" borderId="79" xfId="0" applyNumberFormat="1" applyFont="1" applyFill="1" applyBorder="1" applyAlignment="1" applyProtection="1">
      <alignment horizontal="center" vertical="center" shrinkToFit="1"/>
      <protection hidden="1"/>
    </xf>
    <xf numFmtId="174" fontId="13" fillId="0" borderId="114" xfId="0" applyNumberFormat="1" applyFont="1" applyBorder="1" applyAlignment="1" applyProtection="1">
      <alignment horizontal="center" vertical="center" shrinkToFit="1"/>
      <protection hidden="1"/>
    </xf>
    <xf numFmtId="194" fontId="13" fillId="0" borderId="639" xfId="0" applyNumberFormat="1" applyFont="1" applyBorder="1" applyAlignment="1">
      <alignment horizontal="center" vertical="center" shrinkToFit="1"/>
    </xf>
    <xf numFmtId="170" fontId="13" fillId="5" borderId="835" xfId="0" applyNumberFormat="1" applyFont="1" applyFill="1" applyBorder="1" applyAlignment="1" applyProtection="1">
      <alignment horizontal="center" vertical="center" shrinkToFit="1"/>
      <protection hidden="1"/>
    </xf>
    <xf numFmtId="170" fontId="13" fillId="0" borderId="838" xfId="0" applyNumberFormat="1" applyFont="1" applyBorder="1" applyAlignment="1">
      <alignment horizontal="center" vertical="center" shrinkToFit="1"/>
    </xf>
    <xf numFmtId="231" fontId="13" fillId="0" borderId="671" xfId="0" applyNumberFormat="1" applyFont="1" applyBorder="1" applyAlignment="1" applyProtection="1">
      <alignment horizontal="center" vertical="center" shrinkToFit="1"/>
      <protection hidden="1"/>
    </xf>
    <xf numFmtId="193" fontId="13" fillId="0" borderId="111" xfId="0" applyNumberFormat="1" applyFont="1" applyBorder="1" applyAlignment="1">
      <alignment horizontal="center" vertical="center" shrinkToFit="1"/>
    </xf>
    <xf numFmtId="175" fontId="15" fillId="5" borderId="310" xfId="0" applyNumberFormat="1" applyFont="1" applyFill="1" applyBorder="1" applyAlignment="1" applyProtection="1">
      <alignment horizontal="center" vertical="center" shrinkToFit="1"/>
      <protection hidden="1"/>
    </xf>
    <xf numFmtId="193" fontId="13" fillId="25" borderId="77" xfId="0" applyNumberFormat="1" applyFont="1" applyFill="1" applyBorder="1" applyAlignment="1" applyProtection="1">
      <alignment horizontal="center" vertical="center" shrinkToFit="1"/>
      <protection locked="0"/>
    </xf>
    <xf numFmtId="175" fontId="13" fillId="5" borderId="78" xfId="0" applyNumberFormat="1" applyFont="1" applyFill="1" applyBorder="1" applyAlignment="1" applyProtection="1">
      <alignment horizontal="center" vertical="center" shrinkToFit="1"/>
      <protection hidden="1"/>
    </xf>
    <xf numFmtId="193" fontId="13" fillId="5" borderId="83" xfId="0" applyNumberFormat="1" applyFont="1" applyFill="1" applyBorder="1" applyAlignment="1" applyProtection="1">
      <alignment horizontal="center" vertical="center" shrinkToFit="1"/>
      <protection hidden="1"/>
    </xf>
    <xf numFmtId="170" fontId="13" fillId="0" borderId="84" xfId="0" applyNumberFormat="1" applyFont="1" applyBorder="1" applyAlignment="1">
      <alignment horizontal="center" vertical="center" shrinkToFit="1"/>
    </xf>
    <xf numFmtId="170" fontId="13" fillId="5" borderId="83" xfId="0" applyNumberFormat="1" applyFont="1" applyFill="1" applyBorder="1" applyAlignment="1" applyProtection="1">
      <alignment horizontal="center" vertical="center" shrinkToFit="1"/>
      <protection hidden="1"/>
    </xf>
    <xf numFmtId="168" fontId="13" fillId="0" borderId="687" xfId="0" applyNumberFormat="1" applyFont="1" applyBorder="1" applyAlignment="1" applyProtection="1">
      <alignment horizontal="center" vertical="center" shrinkToFit="1"/>
      <protection hidden="1"/>
    </xf>
    <xf numFmtId="170" fontId="14" fillId="25" borderId="78" xfId="0" applyNumberFormat="1" applyFont="1" applyFill="1" applyBorder="1" applyAlignment="1" applyProtection="1">
      <alignment horizontal="center" vertical="center" shrinkToFit="1"/>
      <protection locked="0"/>
    </xf>
    <xf numFmtId="168" fontId="13" fillId="25" borderId="78" xfId="0" applyNumberFormat="1" applyFont="1" applyFill="1" applyBorder="1" applyAlignment="1" applyProtection="1">
      <alignment horizontal="center" vertical="center" shrinkToFit="1"/>
      <protection locked="0"/>
    </xf>
    <xf numFmtId="170" fontId="13" fillId="0" borderId="78" xfId="0" applyNumberFormat="1" applyFont="1" applyBorder="1" applyAlignment="1" applyProtection="1">
      <alignment horizontal="center" vertical="center" shrinkToFit="1"/>
      <protection locked="0" hidden="1"/>
    </xf>
    <xf numFmtId="172" fontId="13" fillId="5" borderId="118" xfId="0" applyNumberFormat="1" applyFont="1" applyFill="1" applyBorder="1" applyAlignment="1" applyProtection="1">
      <alignment horizontal="center" vertical="center" shrinkToFit="1"/>
      <protection hidden="1"/>
    </xf>
    <xf numFmtId="172" fontId="13" fillId="5" borderId="81" xfId="0" applyNumberFormat="1" applyFont="1" applyFill="1" applyBorder="1" applyAlignment="1" applyProtection="1">
      <alignment horizontal="center" vertical="center" shrinkToFit="1"/>
      <protection hidden="1"/>
    </xf>
    <xf numFmtId="170" fontId="13" fillId="5" borderId="836" xfId="0" applyNumberFormat="1" applyFont="1" applyFill="1" applyBorder="1" applyAlignment="1" applyProtection="1">
      <alignment horizontal="center" vertical="center" shrinkToFit="1"/>
      <protection hidden="1"/>
    </xf>
    <xf numFmtId="231" fontId="13" fillId="0" borderId="672" xfId="0" applyNumberFormat="1" applyFont="1" applyBorder="1" applyAlignment="1" applyProtection="1">
      <alignment horizontal="center" vertical="center" shrinkToFit="1"/>
      <protection hidden="1"/>
    </xf>
    <xf numFmtId="175" fontId="15" fillId="5" borderId="2" xfId="0" applyNumberFormat="1" applyFont="1" applyFill="1" applyBorder="1" applyAlignment="1" applyProtection="1">
      <alignment horizontal="center" vertical="center" shrinkToFit="1"/>
      <protection hidden="1"/>
    </xf>
    <xf numFmtId="175" fontId="13" fillId="5" borderId="80" xfId="0" applyNumberFormat="1" applyFont="1" applyFill="1" applyBorder="1" applyAlignment="1" applyProtection="1">
      <alignment horizontal="center" vertical="center" shrinkToFit="1"/>
      <protection hidden="1"/>
    </xf>
    <xf numFmtId="170" fontId="13" fillId="5" borderId="119" xfId="0" applyNumberFormat="1" applyFont="1" applyFill="1" applyBorder="1" applyAlignment="1" applyProtection="1">
      <alignment horizontal="center" vertical="center" shrinkToFit="1"/>
      <protection hidden="1"/>
    </xf>
    <xf numFmtId="172" fontId="13" fillId="5" borderId="389" xfId="0" applyNumberFormat="1" applyFont="1" applyFill="1" applyBorder="1" applyAlignment="1" applyProtection="1">
      <alignment horizontal="center" vertical="center" shrinkToFit="1"/>
      <protection hidden="1"/>
    </xf>
    <xf numFmtId="172" fontId="13" fillId="5" borderId="390" xfId="0" applyNumberFormat="1" applyFont="1" applyFill="1" applyBorder="1" applyAlignment="1" applyProtection="1">
      <alignment horizontal="center" vertical="center" shrinkToFit="1"/>
      <protection hidden="1"/>
    </xf>
    <xf numFmtId="174" fontId="13" fillId="0" borderId="640" xfId="0" applyNumberFormat="1" applyFont="1" applyBorder="1" applyAlignment="1" applyProtection="1">
      <alignment horizontal="center" vertical="center" shrinkToFit="1"/>
      <protection hidden="1"/>
    </xf>
    <xf numFmtId="170" fontId="13" fillId="5" borderId="837" xfId="0" applyNumberFormat="1" applyFont="1" applyFill="1" applyBorder="1" applyAlignment="1" applyProtection="1">
      <alignment horizontal="center" vertical="center" shrinkToFit="1"/>
      <protection hidden="1"/>
    </xf>
    <xf numFmtId="170" fontId="13" fillId="5" borderId="1009" xfId="0" applyNumberFormat="1" applyFont="1" applyFill="1" applyBorder="1" applyAlignment="1" applyProtection="1">
      <alignment horizontal="center" vertical="center" shrinkToFit="1"/>
      <protection hidden="1"/>
    </xf>
    <xf numFmtId="231" fontId="13" fillId="0" borderId="697" xfId="0" applyNumberFormat="1" applyFont="1" applyBorder="1" applyAlignment="1" applyProtection="1">
      <alignment horizontal="center" vertical="center" shrinkToFit="1"/>
      <protection hidden="1"/>
    </xf>
    <xf numFmtId="175" fontId="15" fillId="5" borderId="888" xfId="0" applyNumberFormat="1" applyFont="1" applyFill="1" applyBorder="1" applyAlignment="1" applyProtection="1">
      <alignment horizontal="center" vertical="center" shrinkToFit="1"/>
      <protection hidden="1"/>
    </xf>
    <xf numFmtId="175" fontId="13" fillId="5" borderId="387" xfId="0" applyNumberFormat="1" applyFont="1" applyFill="1" applyBorder="1" applyAlignment="1" applyProtection="1">
      <alignment horizontal="center" vertical="center" shrinkToFit="1"/>
      <protection hidden="1"/>
    </xf>
    <xf numFmtId="193" fontId="13" fillId="5" borderId="828" xfId="0" applyNumberFormat="1" applyFont="1" applyFill="1" applyBorder="1" applyAlignment="1" applyProtection="1">
      <alignment horizontal="center" vertical="center" shrinkToFit="1"/>
      <protection hidden="1"/>
    </xf>
    <xf numFmtId="170" fontId="13" fillId="5" borderId="388" xfId="0" applyNumberFormat="1" applyFont="1" applyFill="1" applyBorder="1" applyAlignment="1" applyProtection="1">
      <alignment horizontal="center" vertical="center" shrinkToFit="1"/>
      <protection hidden="1"/>
    </xf>
    <xf numFmtId="168" fontId="13" fillId="0" borderId="688" xfId="0" applyNumberFormat="1" applyFont="1" applyBorder="1" applyAlignment="1" applyProtection="1">
      <alignment horizontal="center" vertical="center" shrinkToFit="1"/>
      <protection hidden="1"/>
    </xf>
    <xf numFmtId="170" fontId="14" fillId="25" borderId="682" xfId="0" applyNumberFormat="1" applyFont="1" applyFill="1" applyBorder="1" applyAlignment="1" applyProtection="1">
      <alignment horizontal="center" vertical="center" shrinkToFit="1"/>
      <protection locked="0"/>
    </xf>
    <xf numFmtId="168" fontId="13" fillId="25" borderId="682" xfId="0" applyNumberFormat="1" applyFont="1" applyFill="1" applyBorder="1" applyAlignment="1" applyProtection="1">
      <alignment horizontal="center" vertical="center" shrinkToFit="1"/>
      <protection locked="0"/>
    </xf>
    <xf numFmtId="170" fontId="13" fillId="0" borderId="683" xfId="0" applyNumberFormat="1" applyFont="1" applyBorder="1" applyAlignment="1" applyProtection="1">
      <alignment horizontal="center" vertical="center" shrinkToFit="1"/>
      <protection locked="0" hidden="1"/>
    </xf>
    <xf numFmtId="180" fontId="17" fillId="0" borderId="597" xfId="0" applyNumberFormat="1" applyFont="1" applyBorder="1" applyAlignment="1" applyProtection="1">
      <alignment horizontal="center" vertical="center" shrinkToFit="1"/>
      <protection hidden="1"/>
    </xf>
    <xf numFmtId="180" fontId="17" fillId="0" borderId="695" xfId="0" applyNumberFormat="1" applyFont="1" applyBorder="1" applyAlignment="1" applyProtection="1">
      <alignment horizontal="center" vertical="center" shrinkToFit="1"/>
      <protection hidden="1"/>
    </xf>
    <xf numFmtId="180" fontId="17" fillId="0" borderId="601" xfId="0" applyNumberFormat="1" applyFont="1" applyBorder="1" applyAlignment="1" applyProtection="1">
      <alignment horizontal="center" vertical="center" shrinkToFit="1"/>
      <protection hidden="1"/>
    </xf>
    <xf numFmtId="180" fontId="17" fillId="0" borderId="1145" xfId="0" applyNumberFormat="1" applyFont="1" applyBorder="1" applyAlignment="1" applyProtection="1">
      <alignment horizontal="center" vertical="center" shrinkToFit="1"/>
      <protection hidden="1"/>
    </xf>
    <xf numFmtId="180" fontId="17" fillId="0" borderId="1169" xfId="0" applyNumberFormat="1" applyFont="1" applyBorder="1" applyAlignment="1" applyProtection="1">
      <alignment horizontal="center" vertical="center" shrinkToFit="1"/>
      <protection hidden="1"/>
    </xf>
    <xf numFmtId="180" fontId="17" fillId="0" borderId="1146" xfId="0" applyNumberFormat="1" applyFont="1" applyBorder="1" applyAlignment="1" applyProtection="1">
      <alignment horizontal="center" vertical="center" shrinkToFit="1"/>
      <protection hidden="1"/>
    </xf>
    <xf numFmtId="180" fontId="17" fillId="0" borderId="0" xfId="0" applyNumberFormat="1" applyFont="1" applyAlignment="1" applyProtection="1">
      <alignment horizontal="center" vertical="center" shrinkToFit="1"/>
      <protection hidden="1"/>
    </xf>
    <xf numFmtId="166" fontId="13" fillId="0" borderId="0" xfId="0" applyFont="1" applyAlignment="1">
      <alignment vertical="center"/>
    </xf>
    <xf numFmtId="166" fontId="13" fillId="0" borderId="0" xfId="0" applyFont="1" applyAlignment="1" applyProtection="1">
      <alignment vertical="center"/>
      <protection hidden="1"/>
    </xf>
    <xf numFmtId="166" fontId="13" fillId="0" borderId="1180" xfId="0" applyFont="1" applyBorder="1" applyAlignment="1">
      <alignment vertical="center"/>
    </xf>
    <xf numFmtId="196" fontId="2" fillId="0" borderId="695" xfId="0" applyNumberFormat="1" applyFont="1" applyBorder="1" applyAlignment="1" applyProtection="1">
      <alignment horizontal="center" vertical="center" shrinkToFit="1"/>
      <protection hidden="1"/>
    </xf>
    <xf numFmtId="196" fontId="2" fillId="0" borderId="696" xfId="0" applyNumberFormat="1" applyFont="1" applyBorder="1" applyAlignment="1" applyProtection="1">
      <alignment horizontal="center" vertical="center" shrinkToFit="1"/>
      <protection hidden="1"/>
    </xf>
    <xf numFmtId="196" fontId="2" fillId="0" borderId="1171" xfId="0" applyNumberFormat="1" applyFont="1" applyBorder="1" applyAlignment="1" applyProtection="1">
      <alignment horizontal="center" vertical="center" shrinkToFit="1"/>
      <protection hidden="1"/>
    </xf>
    <xf numFmtId="196" fontId="2" fillId="0" borderId="200" xfId="0" applyNumberFormat="1" applyFont="1" applyBorder="1" applyAlignment="1" applyProtection="1">
      <alignment horizontal="center" vertical="center" shrinkToFit="1"/>
      <protection hidden="1"/>
    </xf>
    <xf numFmtId="248" fontId="19" fillId="3" borderId="117" xfId="0" applyNumberFormat="1" applyFont="1" applyFill="1" applyBorder="1" applyAlignment="1">
      <alignment horizontal="center" vertical="center" shrinkToFit="1"/>
    </xf>
    <xf numFmtId="249" fontId="19" fillId="3" borderId="117" xfId="0" applyNumberFormat="1" applyFont="1" applyFill="1" applyBorder="1" applyAlignment="1">
      <alignment horizontal="center" vertical="center" shrinkToFit="1"/>
    </xf>
    <xf numFmtId="250" fontId="19" fillId="3" borderId="269" xfId="0" applyNumberFormat="1" applyFont="1" applyFill="1" applyBorder="1" applyAlignment="1">
      <alignment horizontal="center" vertical="center" shrinkToFit="1"/>
    </xf>
    <xf numFmtId="250" fontId="19" fillId="3" borderId="269" xfId="0" applyNumberFormat="1" applyFont="1" applyFill="1" applyBorder="1" applyAlignment="1" applyProtection="1">
      <alignment horizontal="center" vertical="center" shrinkToFit="1"/>
      <protection locked="0"/>
    </xf>
    <xf numFmtId="249" fontId="19" fillId="26" borderId="685" xfId="0" applyNumberFormat="1" applyFont="1" applyFill="1" applyBorder="1" applyAlignment="1" applyProtection="1">
      <alignment horizontal="center" vertical="center" shrinkToFit="1"/>
      <protection hidden="1"/>
    </xf>
    <xf numFmtId="249" fontId="19" fillId="26" borderId="686" xfId="0" applyNumberFormat="1" applyFont="1" applyFill="1" applyBorder="1" applyAlignment="1" applyProtection="1">
      <alignment horizontal="center" vertical="center" shrinkToFit="1"/>
      <protection hidden="1"/>
    </xf>
    <xf numFmtId="178" fontId="13" fillId="20" borderId="606" xfId="0" applyNumberFormat="1" applyFont="1" applyFill="1" applyBorder="1" applyAlignment="1" applyProtection="1">
      <alignment horizontal="center" vertical="center" shrinkToFit="1"/>
      <protection locked="0"/>
    </xf>
    <xf numFmtId="178" fontId="13" fillId="20" borderId="116" xfId="0" applyNumberFormat="1" applyFont="1" applyFill="1" applyBorder="1" applyAlignment="1" applyProtection="1">
      <alignment horizontal="center" vertical="center" shrinkToFit="1"/>
      <protection locked="0"/>
    </xf>
    <xf numFmtId="194" fontId="13" fillId="20" borderId="639" xfId="0" applyNumberFormat="1" applyFont="1" applyFill="1" applyBorder="1" applyAlignment="1" applyProtection="1">
      <alignment horizontal="center" vertical="center" shrinkToFit="1"/>
      <protection locked="0"/>
    </xf>
    <xf numFmtId="182" fontId="19" fillId="20" borderId="840" xfId="0" applyNumberFormat="1" applyFont="1" applyFill="1" applyBorder="1" applyAlignment="1" applyProtection="1">
      <alignment horizontal="center" vertical="center" shrinkToFit="1"/>
      <protection locked="0"/>
    </xf>
    <xf numFmtId="182" fontId="19" fillId="20" borderId="841" xfId="0" applyNumberFormat="1" applyFont="1" applyFill="1" applyBorder="1" applyAlignment="1" applyProtection="1">
      <alignment horizontal="center" vertical="center" shrinkToFit="1"/>
      <protection locked="0"/>
    </xf>
    <xf numFmtId="170" fontId="13" fillId="20" borderId="838" xfId="0" applyNumberFormat="1" applyFont="1" applyFill="1" applyBorder="1" applyAlignment="1" applyProtection="1">
      <alignment horizontal="center" vertical="center" shrinkToFit="1"/>
      <protection locked="0"/>
    </xf>
    <xf numFmtId="193" fontId="13" fillId="20" borderId="111" xfId="0" applyNumberFormat="1" applyFont="1" applyFill="1" applyBorder="1" applyAlignment="1" applyProtection="1">
      <alignment horizontal="center" vertical="center" shrinkToFit="1"/>
      <protection locked="0"/>
    </xf>
    <xf numFmtId="249" fontId="19" fillId="20" borderId="117" xfId="0" applyNumberFormat="1" applyFont="1" applyFill="1" applyBorder="1" applyAlignment="1" applyProtection="1">
      <alignment horizontal="center" vertical="center" shrinkToFit="1"/>
      <protection locked="0"/>
    </xf>
    <xf numFmtId="170" fontId="13" fillId="20" borderId="84" xfId="0" applyNumberFormat="1" applyFont="1" applyFill="1" applyBorder="1" applyAlignment="1" applyProtection="1">
      <alignment horizontal="center" vertical="center" shrinkToFit="1"/>
      <protection locked="0"/>
    </xf>
    <xf numFmtId="248" fontId="19" fillId="20" borderId="117" xfId="0" applyNumberFormat="1" applyFont="1" applyFill="1" applyBorder="1" applyAlignment="1" applyProtection="1">
      <alignment horizontal="center" vertical="center" shrinkToFit="1"/>
      <protection locked="0"/>
    </xf>
    <xf numFmtId="0" fontId="174" fillId="28" borderId="1231" xfId="17" applyFont="1" applyFill="1" applyBorder="1" applyAlignment="1" applyProtection="1">
      <alignment horizontal="center" vertical="center" wrapText="1"/>
      <protection hidden="1"/>
    </xf>
    <xf numFmtId="0" fontId="174" fillId="28" borderId="1232" xfId="17" applyFont="1" applyFill="1" applyBorder="1" applyAlignment="1" applyProtection="1">
      <alignment horizontal="center" vertical="center" wrapText="1"/>
      <protection hidden="1"/>
    </xf>
    <xf numFmtId="0" fontId="175" fillId="28" borderId="1232" xfId="17" applyFont="1" applyFill="1" applyBorder="1" applyAlignment="1" applyProtection="1">
      <alignment horizontal="center" wrapText="1"/>
      <protection hidden="1"/>
    </xf>
    <xf numFmtId="0" fontId="175" fillId="28" borderId="1232" xfId="17" applyFont="1" applyFill="1" applyBorder="1" applyAlignment="1" applyProtection="1">
      <alignment horizontal="center" vertical="center" wrapText="1"/>
      <protection hidden="1"/>
    </xf>
    <xf numFmtId="0" fontId="175" fillId="28" borderId="1233" xfId="17" applyFont="1" applyFill="1" applyBorder="1" applyAlignment="1" applyProtection="1">
      <alignment horizontal="center" vertical="center" wrapText="1"/>
      <protection hidden="1"/>
    </xf>
    <xf numFmtId="0" fontId="185" fillId="0" borderId="1234" xfId="17" applyFont="1" applyBorder="1" applyAlignment="1" applyProtection="1">
      <alignment horizontal="center" shrinkToFit="1"/>
      <protection hidden="1"/>
    </xf>
    <xf numFmtId="0" fontId="185" fillId="0" borderId="1237" xfId="17" applyFont="1" applyBorder="1" applyAlignment="1" applyProtection="1">
      <alignment horizontal="center" shrinkToFit="1"/>
      <protection hidden="1"/>
    </xf>
    <xf numFmtId="15" fontId="186" fillId="0" borderId="1235" xfId="17" applyNumberFormat="1" applyFont="1" applyBorder="1" applyAlignment="1" applyProtection="1">
      <alignment horizontal="center" shrinkToFit="1"/>
      <protection hidden="1"/>
    </xf>
    <xf numFmtId="168" fontId="187" fillId="19" borderId="1235" xfId="3" applyNumberFormat="1" applyFont="1" applyFill="1" applyBorder="1" applyAlignment="1" applyProtection="1">
      <alignment horizontal="center" shrinkToFit="1"/>
      <protection locked="0"/>
    </xf>
    <xf numFmtId="246" fontId="187" fillId="0" borderId="1235" xfId="3" applyNumberFormat="1" applyFont="1" applyBorder="1" applyAlignment="1" applyProtection="1">
      <alignment horizontal="center" shrinkToFit="1"/>
      <protection hidden="1"/>
    </xf>
    <xf numFmtId="246" fontId="187" fillId="19" borderId="1235" xfId="3" applyNumberFormat="1" applyFont="1" applyFill="1" applyBorder="1" applyAlignment="1" applyProtection="1">
      <alignment horizontal="center" shrinkToFit="1"/>
      <protection locked="0"/>
    </xf>
    <xf numFmtId="18" fontId="187" fillId="0" borderId="1235" xfId="3" applyNumberFormat="1" applyFont="1" applyBorder="1" applyAlignment="1" applyProtection="1">
      <alignment horizontal="center" shrinkToFit="1"/>
      <protection hidden="1"/>
    </xf>
    <xf numFmtId="18" fontId="187" fillId="37" borderId="1235" xfId="3" applyNumberFormat="1" applyFont="1" applyFill="1" applyBorder="1" applyAlignment="1" applyProtection="1">
      <alignment horizontal="center" shrinkToFit="1"/>
      <protection hidden="1"/>
    </xf>
    <xf numFmtId="18" fontId="187" fillId="36" borderId="1235" xfId="3" applyNumberFormat="1" applyFont="1" applyFill="1" applyBorder="1" applyAlignment="1" applyProtection="1">
      <alignment horizontal="center" shrinkToFit="1"/>
      <protection hidden="1"/>
    </xf>
    <xf numFmtId="241" fontId="187" fillId="0" borderId="1235" xfId="3" applyNumberFormat="1" applyFont="1" applyBorder="1" applyAlignment="1" applyProtection="1">
      <alignment horizontal="center" shrinkToFit="1"/>
      <protection hidden="1"/>
    </xf>
    <xf numFmtId="246" fontId="187" fillId="0" borderId="1236" xfId="3" applyNumberFormat="1" applyFont="1" applyBorder="1" applyAlignment="1" applyProtection="1">
      <alignment horizontal="center" shrinkToFit="1"/>
      <protection hidden="1"/>
    </xf>
    <xf numFmtId="15" fontId="186" fillId="0" borderId="1238" xfId="17" applyNumberFormat="1" applyFont="1" applyBorder="1" applyAlignment="1" applyProtection="1">
      <alignment horizontal="center" shrinkToFit="1"/>
      <protection hidden="1"/>
    </xf>
    <xf numFmtId="168" fontId="187" fillId="19" borderId="1238" xfId="3" applyNumberFormat="1" applyFont="1" applyFill="1" applyBorder="1" applyAlignment="1" applyProtection="1">
      <alignment horizontal="center" shrinkToFit="1"/>
      <protection locked="0"/>
    </xf>
    <xf numFmtId="246" fontId="187" fillId="0" borderId="1238" xfId="3" applyNumberFormat="1" applyFont="1" applyBorder="1" applyAlignment="1" applyProtection="1">
      <alignment horizontal="center" shrinkToFit="1"/>
      <protection hidden="1"/>
    </xf>
    <xf numFmtId="246" fontId="187" fillId="19" borderId="1238" xfId="3" applyNumberFormat="1" applyFont="1" applyFill="1" applyBorder="1" applyAlignment="1" applyProtection="1">
      <alignment horizontal="center" shrinkToFit="1"/>
      <protection locked="0"/>
    </xf>
    <xf numFmtId="246" fontId="187" fillId="0" borderId="1239" xfId="3" applyNumberFormat="1" applyFont="1" applyBorder="1" applyAlignment="1" applyProtection="1">
      <alignment horizontal="center" shrinkToFit="1"/>
      <protection hidden="1"/>
    </xf>
    <xf numFmtId="18" fontId="187" fillId="0" borderId="1239" xfId="3" applyNumberFormat="1" applyFont="1" applyBorder="1" applyAlignment="1" applyProtection="1">
      <alignment horizontal="center" shrinkToFit="1"/>
      <protection hidden="1"/>
    </xf>
    <xf numFmtId="18" fontId="187" fillId="37" borderId="1240" xfId="3" applyNumberFormat="1" applyFont="1" applyFill="1" applyBorder="1" applyAlignment="1" applyProtection="1">
      <alignment horizontal="center" shrinkToFit="1"/>
      <protection hidden="1"/>
    </xf>
    <xf numFmtId="18" fontId="187" fillId="36" borderId="1240" xfId="3" applyNumberFormat="1" applyFont="1" applyFill="1" applyBorder="1" applyAlignment="1" applyProtection="1">
      <alignment horizontal="center" shrinkToFit="1"/>
      <protection hidden="1"/>
    </xf>
    <xf numFmtId="241" fontId="187" fillId="0" borderId="1239" xfId="3" applyNumberFormat="1" applyFont="1" applyBorder="1" applyAlignment="1" applyProtection="1">
      <alignment horizontal="center" shrinkToFit="1"/>
      <protection hidden="1"/>
    </xf>
    <xf numFmtId="246" fontId="187" fillId="0" borderId="1241" xfId="3" applyNumberFormat="1" applyFont="1" applyBorder="1" applyAlignment="1" applyProtection="1">
      <alignment horizontal="center" shrinkToFit="1"/>
      <protection hidden="1"/>
    </xf>
    <xf numFmtId="0" fontId="176" fillId="0" borderId="1192" xfId="3" applyFont="1" applyBorder="1" applyAlignment="1" applyProtection="1">
      <alignment horizontal="right" vertical="center" shrinkToFit="1"/>
      <protection hidden="1"/>
    </xf>
    <xf numFmtId="49" fontId="176" fillId="0" borderId="245" xfId="3" applyNumberFormat="1" applyFont="1" applyBorder="1" applyAlignment="1" applyProtection="1">
      <alignment horizontal="left" vertical="center" shrinkToFit="1"/>
      <protection hidden="1"/>
    </xf>
    <xf numFmtId="0" fontId="184" fillId="36" borderId="1193" xfId="3" applyFont="1" applyFill="1" applyBorder="1" applyAlignment="1" applyProtection="1">
      <alignment horizontal="right" vertical="center" shrinkToFit="1"/>
      <protection hidden="1"/>
    </xf>
    <xf numFmtId="244" fontId="176" fillId="19" borderId="1213" xfId="3" applyNumberFormat="1" applyFont="1" applyFill="1" applyBorder="1" applyAlignment="1" applyProtection="1">
      <alignment horizontal="left" vertical="center" shrinkToFit="1"/>
      <protection locked="0"/>
    </xf>
    <xf numFmtId="0" fontId="189" fillId="28" borderId="1194" xfId="3" applyFont="1" applyFill="1" applyBorder="1" applyAlignment="1" applyProtection="1">
      <alignment horizontal="center" vertical="center" shrinkToFit="1"/>
      <protection hidden="1"/>
    </xf>
    <xf numFmtId="0" fontId="174" fillId="28" borderId="1195" xfId="3" applyFont="1" applyFill="1" applyBorder="1" applyAlignment="1" applyProtection="1">
      <alignment horizontal="center" vertical="center" shrinkToFit="1"/>
      <protection hidden="1"/>
    </xf>
    <xf numFmtId="0" fontId="189" fillId="28" borderId="1195" xfId="3" applyFont="1" applyFill="1" applyBorder="1" applyAlignment="1" applyProtection="1">
      <alignment horizontal="center" vertical="center" shrinkToFit="1"/>
      <protection hidden="1"/>
    </xf>
    <xf numFmtId="0" fontId="189" fillId="28" borderId="1195" xfId="3" applyFont="1" applyFill="1" applyBorder="1" applyAlignment="1" applyProtection="1">
      <alignment horizontal="center" vertical="center" wrapText="1" shrinkToFit="1"/>
      <protection hidden="1"/>
    </xf>
    <xf numFmtId="0" fontId="174" fillId="28" borderId="1195" xfId="3" applyFont="1" applyFill="1" applyBorder="1" applyAlignment="1" applyProtection="1">
      <alignment horizontal="center" vertical="center" wrapText="1" shrinkToFit="1"/>
      <protection hidden="1"/>
    </xf>
    <xf numFmtId="0" fontId="174" fillId="28" borderId="1196" xfId="3" applyFont="1" applyFill="1" applyBorder="1" applyAlignment="1" applyProtection="1">
      <alignment horizontal="center" vertical="center" wrapText="1" shrinkToFit="1"/>
      <protection hidden="1"/>
    </xf>
    <xf numFmtId="0" fontId="189" fillId="28" borderId="1196" xfId="3" applyFont="1" applyFill="1" applyBorder="1" applyAlignment="1" applyProtection="1">
      <alignment horizontal="center" vertical="center" wrapText="1" shrinkToFit="1"/>
      <protection hidden="1"/>
    </xf>
    <xf numFmtId="0" fontId="191" fillId="28" borderId="1197" xfId="3" applyFont="1" applyFill="1" applyBorder="1" applyAlignment="1" applyProtection="1">
      <alignment horizontal="center" vertical="center" wrapText="1" shrinkToFit="1"/>
      <protection hidden="1"/>
    </xf>
    <xf numFmtId="181" fontId="193" fillId="19" borderId="1198" xfId="3" applyNumberFormat="1" applyFont="1" applyFill="1" applyBorder="1" applyAlignment="1" applyProtection="1">
      <alignment horizontal="center" vertical="center" shrinkToFit="1"/>
      <protection locked="0"/>
    </xf>
    <xf numFmtId="181" fontId="193" fillId="19" borderId="1201" xfId="3" applyNumberFormat="1" applyFont="1" applyFill="1" applyBorder="1" applyAlignment="1" applyProtection="1">
      <alignment horizontal="center" vertical="center" shrinkToFit="1"/>
      <protection locked="0"/>
    </xf>
    <xf numFmtId="181" fontId="193" fillId="19" borderId="1204" xfId="3" applyNumberFormat="1" applyFont="1" applyFill="1" applyBorder="1" applyAlignment="1" applyProtection="1">
      <alignment horizontal="center" vertical="center" shrinkToFit="1"/>
      <protection locked="0"/>
    </xf>
    <xf numFmtId="180" fontId="192" fillId="0" borderId="1199" xfId="3" applyNumberFormat="1" applyFont="1" applyBorder="1" applyAlignment="1" applyProtection="1">
      <alignment horizontal="center" vertical="center" shrinkToFit="1"/>
      <protection hidden="1"/>
    </xf>
    <xf numFmtId="183" fontId="176" fillId="0" borderId="1199" xfId="3" applyNumberFormat="1" applyFont="1" applyBorder="1" applyAlignment="1" applyProtection="1">
      <alignment horizontal="center" vertical="center" shrinkToFit="1"/>
      <protection hidden="1"/>
    </xf>
    <xf numFmtId="173" fontId="176" fillId="0" borderId="1199" xfId="3" applyNumberFormat="1" applyFont="1" applyBorder="1" applyAlignment="1" applyProtection="1">
      <alignment horizontal="center" vertical="center" shrinkToFit="1"/>
      <protection hidden="1"/>
    </xf>
    <xf numFmtId="0" fontId="176" fillId="19" borderId="1199" xfId="3" applyFont="1" applyFill="1" applyBorder="1" applyAlignment="1" applyProtection="1">
      <alignment horizontal="center" vertical="center" shrinkToFit="1"/>
      <protection locked="0"/>
    </xf>
    <xf numFmtId="208" fontId="176" fillId="0" borderId="1199" xfId="3" applyNumberFormat="1" applyFont="1" applyBorder="1" applyAlignment="1" applyProtection="1">
      <alignment horizontal="center" vertical="center" shrinkToFit="1"/>
      <protection hidden="1"/>
    </xf>
    <xf numFmtId="245" fontId="176" fillId="19" borderId="1200" xfId="3" applyNumberFormat="1" applyFont="1" applyFill="1" applyBorder="1" applyAlignment="1" applyProtection="1">
      <alignment horizontal="center" vertical="center" shrinkToFit="1"/>
      <protection locked="0"/>
    </xf>
    <xf numFmtId="180" fontId="192" fillId="0" borderId="1202" xfId="3" applyNumberFormat="1" applyFont="1" applyBorder="1" applyAlignment="1" applyProtection="1">
      <alignment horizontal="center" vertical="center" shrinkToFit="1"/>
      <protection hidden="1"/>
    </xf>
    <xf numFmtId="183" fontId="176" fillId="0" borderId="1202" xfId="3" applyNumberFormat="1" applyFont="1" applyBorder="1" applyAlignment="1" applyProtection="1">
      <alignment horizontal="center" vertical="center" shrinkToFit="1"/>
      <protection hidden="1"/>
    </xf>
    <xf numFmtId="173" fontId="176" fillId="0" borderId="1202" xfId="3" applyNumberFormat="1" applyFont="1" applyBorder="1" applyAlignment="1" applyProtection="1">
      <alignment horizontal="center" vertical="center" shrinkToFit="1"/>
      <protection hidden="1"/>
    </xf>
    <xf numFmtId="0" fontId="176" fillId="19" borderId="1202" xfId="3" applyFont="1" applyFill="1" applyBorder="1" applyAlignment="1" applyProtection="1">
      <alignment horizontal="center" vertical="center" shrinkToFit="1"/>
      <protection locked="0"/>
    </xf>
    <xf numFmtId="208" fontId="176" fillId="0" borderId="1202" xfId="3" applyNumberFormat="1" applyFont="1" applyBorder="1" applyAlignment="1" applyProtection="1">
      <alignment horizontal="center" vertical="center" shrinkToFit="1"/>
      <protection hidden="1"/>
    </xf>
    <xf numFmtId="245" fontId="176" fillId="19" borderId="1203" xfId="3" applyNumberFormat="1" applyFont="1" applyFill="1" applyBorder="1" applyAlignment="1" applyProtection="1">
      <alignment horizontal="center" vertical="center" shrinkToFit="1"/>
      <protection locked="0"/>
    </xf>
    <xf numFmtId="180" fontId="192" fillId="0" borderId="1205" xfId="3" applyNumberFormat="1" applyFont="1" applyBorder="1" applyAlignment="1" applyProtection="1">
      <alignment horizontal="center" vertical="center" shrinkToFit="1"/>
      <protection hidden="1"/>
    </xf>
    <xf numFmtId="183" fontId="176" fillId="0" borderId="1205" xfId="3" applyNumberFormat="1" applyFont="1" applyBorder="1" applyAlignment="1" applyProtection="1">
      <alignment horizontal="center" vertical="center" shrinkToFit="1"/>
      <protection hidden="1"/>
    </xf>
    <xf numFmtId="173" fontId="176" fillId="0" borderId="1205" xfId="3" applyNumberFormat="1" applyFont="1" applyBorder="1" applyAlignment="1" applyProtection="1">
      <alignment horizontal="center" vertical="center" shrinkToFit="1"/>
      <protection hidden="1"/>
    </xf>
    <xf numFmtId="0" fontId="176" fillId="19" borderId="1205" xfId="3" applyFont="1" applyFill="1" applyBorder="1" applyAlignment="1" applyProtection="1">
      <alignment horizontal="center" vertical="center" shrinkToFit="1"/>
      <protection locked="0"/>
    </xf>
    <xf numFmtId="208" fontId="176" fillId="0" borderId="1205" xfId="3" applyNumberFormat="1" applyFont="1" applyBorder="1" applyAlignment="1" applyProtection="1">
      <alignment horizontal="center" vertical="center" shrinkToFit="1"/>
      <protection hidden="1"/>
    </xf>
    <xf numFmtId="245" fontId="176" fillId="19" borderId="1206" xfId="3" applyNumberFormat="1" applyFont="1" applyFill="1" applyBorder="1" applyAlignment="1" applyProtection="1">
      <alignment horizontal="center" vertical="center" shrinkToFit="1"/>
      <protection locked="0"/>
    </xf>
    <xf numFmtId="0" fontId="177" fillId="0" borderId="1210" xfId="3" applyFont="1" applyBorder="1" applyAlignment="1" applyProtection="1">
      <alignment horizontal="center" vertical="center" wrapText="1" shrinkToFit="1"/>
      <protection hidden="1"/>
    </xf>
    <xf numFmtId="0" fontId="176" fillId="0" borderId="1211" xfId="3" applyFont="1" applyBorder="1" applyAlignment="1" applyProtection="1">
      <alignment horizontal="center" vertical="center" shrinkToFit="1"/>
      <protection hidden="1"/>
    </xf>
    <xf numFmtId="174" fontId="177" fillId="0" borderId="1217" xfId="3" applyNumberFormat="1" applyFont="1" applyBorder="1" applyAlignment="1" applyProtection="1">
      <alignment horizontal="center" vertical="center" shrinkToFit="1"/>
      <protection hidden="1"/>
    </xf>
    <xf numFmtId="0" fontId="176" fillId="0" borderId="1212" xfId="3" applyFont="1" applyBorder="1" applyAlignment="1">
      <alignment horizontal="right" vertical="center" shrinkToFit="1"/>
    </xf>
    <xf numFmtId="0" fontId="176" fillId="0" borderId="1218" xfId="3" applyFont="1" applyBorder="1" applyAlignment="1">
      <alignment horizontal="right" vertical="center"/>
    </xf>
    <xf numFmtId="0" fontId="174" fillId="28" borderId="1194" xfId="3" applyFont="1" applyFill="1" applyBorder="1" applyAlignment="1" applyProtection="1">
      <alignment horizontal="center" vertical="center" wrapText="1" shrinkToFit="1"/>
      <protection hidden="1"/>
    </xf>
    <xf numFmtId="0" fontId="191" fillId="28" borderId="1195" xfId="3" applyFont="1" applyFill="1" applyBorder="1" applyAlignment="1" applyProtection="1">
      <alignment horizontal="center" vertical="center" wrapText="1" shrinkToFit="1"/>
      <protection hidden="1"/>
    </xf>
    <xf numFmtId="0" fontId="174" fillId="28" borderId="1243" xfId="3" applyFont="1" applyFill="1" applyBorder="1" applyAlignment="1" applyProtection="1">
      <alignment horizontal="center" vertical="top" wrapText="1" shrinkToFit="1"/>
      <protection hidden="1"/>
    </xf>
    <xf numFmtId="0" fontId="174" fillId="28" borderId="1244" xfId="3" applyFont="1" applyFill="1" applyBorder="1" applyAlignment="1" applyProtection="1">
      <alignment horizontal="center" vertical="top" wrapText="1" shrinkToFit="1"/>
      <protection hidden="1"/>
    </xf>
    <xf numFmtId="0" fontId="175" fillId="28" borderId="1243" xfId="3" applyFont="1" applyFill="1" applyBorder="1" applyAlignment="1" applyProtection="1">
      <alignment horizontal="center" vertical="top" wrapText="1" shrinkToFit="1"/>
      <protection hidden="1"/>
    </xf>
    <xf numFmtId="0" fontId="175" fillId="28" borderId="1244" xfId="3" applyFont="1" applyFill="1" applyBorder="1" applyAlignment="1" applyProtection="1">
      <alignment horizontal="center" vertical="top" wrapText="1" shrinkToFit="1"/>
      <protection hidden="1"/>
    </xf>
    <xf numFmtId="0" fontId="191" fillId="28" borderId="1221" xfId="3" applyFont="1" applyFill="1" applyBorder="1" applyAlignment="1" applyProtection="1">
      <alignment horizontal="center" vertical="center" wrapText="1" shrinkToFit="1"/>
      <protection hidden="1"/>
    </xf>
    <xf numFmtId="180" fontId="193" fillId="0" borderId="1198" xfId="3" applyNumberFormat="1" applyFont="1" applyBorder="1" applyAlignment="1" applyProtection="1">
      <alignment horizontal="center" vertical="center" shrinkToFit="1"/>
      <protection hidden="1"/>
    </xf>
    <xf numFmtId="180" fontId="193" fillId="0" borderId="1201" xfId="3" applyNumberFormat="1" applyFont="1" applyBorder="1" applyAlignment="1" applyProtection="1">
      <alignment horizontal="center" vertical="center" shrinkToFit="1"/>
      <protection hidden="1"/>
    </xf>
    <xf numFmtId="180" fontId="193" fillId="0" borderId="1204" xfId="3" applyNumberFormat="1" applyFont="1" applyBorder="1" applyAlignment="1" applyProtection="1">
      <alignment horizontal="center" vertical="center" shrinkToFit="1"/>
      <protection hidden="1"/>
    </xf>
    <xf numFmtId="0" fontId="180" fillId="19" borderId="1199" xfId="3" applyFont="1" applyFill="1" applyBorder="1" applyAlignment="1" applyProtection="1">
      <alignment horizontal="left" vertical="center" shrinkToFit="1"/>
      <protection locked="0"/>
    </xf>
    <xf numFmtId="170" fontId="176" fillId="0" borderId="1245" xfId="16" applyNumberFormat="1" applyFont="1" applyBorder="1" applyAlignment="1" applyProtection="1">
      <alignment horizontal="center" shrinkToFit="1"/>
      <protection hidden="1"/>
    </xf>
    <xf numFmtId="170" fontId="176" fillId="0" borderId="1246" xfId="16" applyNumberFormat="1" applyFont="1" applyBorder="1" applyAlignment="1" applyProtection="1">
      <alignment horizontal="center" shrinkToFit="1"/>
      <protection hidden="1"/>
    </xf>
    <xf numFmtId="171" fontId="176" fillId="0" borderId="1245" xfId="16" applyNumberFormat="1" applyFont="1" applyBorder="1" applyAlignment="1" applyProtection="1">
      <alignment horizontal="center" shrinkToFit="1"/>
      <protection hidden="1"/>
    </xf>
    <xf numFmtId="171" fontId="176" fillId="0" borderId="1246" xfId="16" applyNumberFormat="1" applyFont="1" applyBorder="1" applyAlignment="1" applyProtection="1">
      <alignment horizontal="center" shrinkToFit="1"/>
      <protection hidden="1"/>
    </xf>
    <xf numFmtId="0" fontId="180" fillId="19" borderId="1202" xfId="3" applyFont="1" applyFill="1" applyBorder="1" applyAlignment="1" applyProtection="1">
      <alignment horizontal="left" vertical="center" shrinkToFit="1"/>
      <protection locked="0"/>
    </xf>
    <xf numFmtId="170" fontId="176" fillId="0" borderId="1247" xfId="16" applyNumberFormat="1" applyFont="1" applyBorder="1" applyAlignment="1" applyProtection="1">
      <alignment horizontal="center" shrinkToFit="1"/>
      <protection hidden="1"/>
    </xf>
    <xf numFmtId="170" fontId="176" fillId="0" borderId="1248" xfId="16" applyNumberFormat="1" applyFont="1" applyBorder="1" applyAlignment="1" applyProtection="1">
      <alignment horizontal="center" shrinkToFit="1"/>
      <protection hidden="1"/>
    </xf>
    <xf numFmtId="171" fontId="176" fillId="0" borderId="1247" xfId="16" applyNumberFormat="1" applyFont="1" applyBorder="1" applyAlignment="1" applyProtection="1">
      <alignment horizontal="center" shrinkToFit="1"/>
      <protection hidden="1"/>
    </xf>
    <xf numFmtId="171" fontId="176" fillId="0" borderId="1248" xfId="16" applyNumberFormat="1" applyFont="1" applyBorder="1" applyAlignment="1" applyProtection="1">
      <alignment horizontal="center" shrinkToFit="1"/>
      <protection hidden="1"/>
    </xf>
    <xf numFmtId="0" fontId="180" fillId="19" borderId="1205" xfId="3" applyFont="1" applyFill="1" applyBorder="1" applyAlignment="1" applyProtection="1">
      <alignment horizontal="left" vertical="center" shrinkToFit="1"/>
      <protection locked="0"/>
    </xf>
    <xf numFmtId="170" fontId="176" fillId="0" borderId="1249" xfId="16" applyNumberFormat="1" applyFont="1" applyBorder="1" applyAlignment="1" applyProtection="1">
      <alignment horizontal="center" shrinkToFit="1"/>
      <protection hidden="1"/>
    </xf>
    <xf numFmtId="170" fontId="176" fillId="0" borderId="1250" xfId="16" applyNumberFormat="1" applyFont="1" applyBorder="1" applyAlignment="1" applyProtection="1">
      <alignment horizontal="center" shrinkToFit="1"/>
      <protection hidden="1"/>
    </xf>
    <xf numFmtId="171" fontId="176" fillId="0" borderId="1249" xfId="16" applyNumberFormat="1" applyFont="1" applyBorder="1" applyAlignment="1" applyProtection="1">
      <alignment horizontal="center" shrinkToFit="1"/>
      <protection hidden="1"/>
    </xf>
    <xf numFmtId="171" fontId="176" fillId="0" borderId="1250" xfId="16" applyNumberFormat="1" applyFont="1" applyBorder="1" applyAlignment="1" applyProtection="1">
      <alignment horizontal="center" shrinkToFit="1"/>
      <protection hidden="1"/>
    </xf>
    <xf numFmtId="0" fontId="152" fillId="0" borderId="0" xfId="7" applyNumberFormat="1" applyFont="1" applyAlignment="1" applyProtection="1">
      <alignment horizontal="center" vertical="center" wrapText="1"/>
      <protection hidden="1"/>
    </xf>
    <xf numFmtId="0" fontId="115" fillId="28" borderId="67" xfId="9" applyFont="1" applyFill="1" applyBorder="1" applyAlignment="1" applyProtection="1">
      <alignment horizontal="center" vertical="center" shrinkToFit="1"/>
      <protection hidden="1"/>
    </xf>
    <xf numFmtId="0" fontId="115" fillId="28" borderId="69" xfId="9" applyFont="1" applyFill="1" applyBorder="1" applyAlignment="1" applyProtection="1">
      <alignment horizontal="center" vertical="center" shrinkToFit="1"/>
      <protection hidden="1"/>
    </xf>
    <xf numFmtId="0" fontId="109" fillId="0" borderId="246" xfId="9" applyFont="1" applyBorder="1" applyAlignment="1">
      <alignment horizontal="center"/>
    </xf>
    <xf numFmtId="0" fontId="109" fillId="0" borderId="245" xfId="9" applyFont="1" applyBorder="1" applyAlignment="1">
      <alignment horizontal="center"/>
    </xf>
    <xf numFmtId="0" fontId="163" fillId="0" borderId="0" xfId="3" applyFont="1" applyAlignment="1">
      <alignment horizontal="center" vertical="center"/>
    </xf>
    <xf numFmtId="0" fontId="163" fillId="0" borderId="245" xfId="3" applyFont="1" applyBorder="1" applyAlignment="1">
      <alignment horizontal="center" vertical="center"/>
    </xf>
    <xf numFmtId="0" fontId="188" fillId="0" borderId="1187" xfId="3" applyFont="1" applyBorder="1" applyAlignment="1" applyProtection="1">
      <alignment horizontal="center" vertical="center" wrapText="1" shrinkToFit="1"/>
      <protection hidden="1"/>
    </xf>
    <xf numFmtId="0" fontId="188" fillId="0" borderId="0" xfId="3" applyFont="1" applyAlignment="1" applyProtection="1">
      <alignment horizontal="center" vertical="center" wrapText="1" shrinkToFit="1"/>
      <protection hidden="1"/>
    </xf>
    <xf numFmtId="0" fontId="188" fillId="0" borderId="245" xfId="3" applyFont="1" applyBorder="1" applyAlignment="1" applyProtection="1">
      <alignment horizontal="center" vertical="center" wrapText="1" shrinkToFit="1"/>
      <protection hidden="1"/>
    </xf>
    <xf numFmtId="0" fontId="176" fillId="0" borderId="1188" xfId="3" applyFont="1" applyBorder="1" applyAlignment="1" applyProtection="1">
      <alignment horizontal="center" vertical="center" shrinkToFit="1"/>
      <protection hidden="1"/>
    </xf>
    <xf numFmtId="0" fontId="176" fillId="0" borderId="1189" xfId="3" applyFont="1" applyBorder="1" applyAlignment="1" applyProtection="1">
      <alignment horizontal="center" vertical="center" shrinkToFit="1"/>
      <protection hidden="1"/>
    </xf>
    <xf numFmtId="0" fontId="176" fillId="0" borderId="1255" xfId="3" applyFont="1" applyBorder="1" applyAlignment="1" applyProtection="1">
      <alignment horizontal="right" vertical="center" shrinkToFit="1"/>
      <protection hidden="1"/>
    </xf>
    <xf numFmtId="0" fontId="176" fillId="0" borderId="1256" xfId="3" applyFont="1" applyBorder="1" applyAlignment="1" applyProtection="1">
      <alignment horizontal="right" vertical="center" shrinkToFit="1"/>
      <protection hidden="1"/>
    </xf>
    <xf numFmtId="243" fontId="176" fillId="0" borderId="1257" xfId="3" applyNumberFormat="1" applyFont="1" applyBorder="1" applyAlignment="1" applyProtection="1">
      <alignment horizontal="left" vertical="center" shrinkToFit="1"/>
      <protection hidden="1"/>
    </xf>
    <xf numFmtId="243" fontId="176" fillId="0" borderId="1255" xfId="3" applyNumberFormat="1" applyFont="1" applyBorder="1" applyAlignment="1" applyProtection="1">
      <alignment horizontal="left" vertical="center" shrinkToFit="1"/>
      <protection hidden="1"/>
    </xf>
    <xf numFmtId="0" fontId="176" fillId="0" borderId="1191" xfId="3" applyFont="1" applyBorder="1" applyAlignment="1" applyProtection="1">
      <alignment horizontal="center" vertical="center" shrinkToFit="1"/>
      <protection hidden="1"/>
    </xf>
    <xf numFmtId="0" fontId="176" fillId="0" borderId="1258" xfId="3" applyFont="1" applyBorder="1" applyAlignment="1" applyProtection="1">
      <alignment horizontal="right" vertical="center" shrinkToFit="1"/>
      <protection hidden="1"/>
    </xf>
    <xf numFmtId="0" fontId="176" fillId="0" borderId="1259" xfId="3" applyFont="1" applyBorder="1" applyAlignment="1" applyProtection="1">
      <alignment horizontal="right" vertical="center" shrinkToFit="1"/>
      <protection hidden="1"/>
    </xf>
    <xf numFmtId="0" fontId="176" fillId="0" borderId="1259" xfId="3" applyFont="1" applyBorder="1" applyAlignment="1" applyProtection="1">
      <alignment horizontal="left" vertical="center" shrinkToFit="1"/>
      <protection hidden="1"/>
    </xf>
    <xf numFmtId="0" fontId="176" fillId="0" borderId="1260" xfId="3" applyFont="1" applyBorder="1" applyAlignment="1" applyProtection="1">
      <alignment horizontal="left" vertical="center" shrinkToFit="1"/>
      <protection hidden="1"/>
    </xf>
    <xf numFmtId="0" fontId="176" fillId="0" borderId="1190" xfId="3" applyFont="1" applyBorder="1" applyAlignment="1" applyProtection="1">
      <alignment horizontal="center" vertical="center" shrinkToFit="1"/>
      <protection hidden="1"/>
    </xf>
    <xf numFmtId="0" fontId="163" fillId="0" borderId="1207" xfId="3" applyFont="1" applyBorder="1" applyAlignment="1">
      <alignment horizontal="center" vertical="center"/>
    </xf>
    <xf numFmtId="0" fontId="163" fillId="0" borderId="1216" xfId="3" applyFont="1" applyBorder="1" applyAlignment="1">
      <alignment horizontal="center" vertical="center"/>
    </xf>
    <xf numFmtId="0" fontId="194" fillId="0" borderId="1208" xfId="3" applyFont="1" applyBorder="1" applyAlignment="1" applyProtection="1">
      <alignment horizontal="center" vertical="center" wrapText="1" shrinkToFit="1"/>
      <protection hidden="1"/>
    </xf>
    <xf numFmtId="0" fontId="194" fillId="0" borderId="246" xfId="3" applyFont="1" applyBorder="1" applyAlignment="1" applyProtection="1">
      <alignment horizontal="center" vertical="center" wrapText="1" shrinkToFit="1"/>
      <protection hidden="1"/>
    </xf>
    <xf numFmtId="0" fontId="194" fillId="0" borderId="1209" xfId="3" applyFont="1" applyBorder="1" applyAlignment="1" applyProtection="1">
      <alignment horizontal="center" vertical="center" wrapText="1" shrinkToFit="1"/>
      <protection hidden="1"/>
    </xf>
    <xf numFmtId="174" fontId="177" fillId="0" borderId="1213" xfId="3" applyNumberFormat="1" applyFont="1" applyBorder="1" applyAlignment="1" applyProtection="1">
      <alignment horizontal="left" vertical="center" shrinkToFit="1"/>
      <protection hidden="1"/>
    </xf>
    <xf numFmtId="174" fontId="177" fillId="0" borderId="1214" xfId="3" applyNumberFormat="1" applyFont="1" applyBorder="1" applyAlignment="1" applyProtection="1">
      <alignment horizontal="left" vertical="center" shrinkToFit="1"/>
      <protection hidden="1"/>
    </xf>
    <xf numFmtId="0" fontId="178" fillId="0" borderId="1215" xfId="3" applyFont="1" applyBorder="1" applyAlignment="1">
      <alignment horizontal="center" vertical="center" shrinkToFit="1"/>
    </xf>
    <xf numFmtId="0" fontId="178" fillId="0" borderId="1220" xfId="3" applyFont="1" applyBorder="1" applyAlignment="1">
      <alignment horizontal="center" vertical="center" shrinkToFit="1"/>
    </xf>
    <xf numFmtId="0" fontId="177" fillId="0" borderId="0" xfId="3" applyFont="1" applyAlignment="1">
      <alignment horizontal="left" vertical="center"/>
    </xf>
    <xf numFmtId="0" fontId="177" fillId="0" borderId="1219" xfId="3" applyFont="1" applyBorder="1" applyAlignment="1">
      <alignment horizontal="left" vertical="center"/>
    </xf>
    <xf numFmtId="0" fontId="184" fillId="0" borderId="0" xfId="17" applyFont="1" applyAlignment="1" applyProtection="1">
      <alignment vertical="center" wrapText="1"/>
      <protection hidden="1"/>
    </xf>
    <xf numFmtId="0" fontId="184" fillId="27" borderId="0" xfId="17" applyFont="1" applyFill="1" applyAlignment="1" applyProtection="1">
      <alignment vertical="center" wrapText="1"/>
      <protection hidden="1"/>
    </xf>
    <xf numFmtId="0" fontId="178" fillId="0" borderId="1224" xfId="3" applyFont="1" applyBorder="1" applyAlignment="1" applyProtection="1">
      <alignment horizontal="right" vertical="center" shrinkToFit="1"/>
      <protection hidden="1"/>
    </xf>
    <xf numFmtId="0" fontId="178" fillId="0" borderId="1228" xfId="3" applyFont="1" applyBorder="1" applyAlignment="1" applyProtection="1">
      <alignment horizontal="right" vertical="center" shrinkToFit="1"/>
      <protection hidden="1"/>
    </xf>
    <xf numFmtId="187" fontId="182" fillId="0" borderId="1226" xfId="18" applyNumberFormat="1" applyFont="1" applyBorder="1" applyAlignment="1" applyProtection="1">
      <alignment horizontal="left" vertical="center" wrapText="1" shrinkToFit="1"/>
      <protection hidden="1"/>
    </xf>
    <xf numFmtId="187" fontId="182" fillId="0" borderId="1230" xfId="18" applyNumberFormat="1" applyFont="1" applyBorder="1" applyAlignment="1" applyProtection="1">
      <alignment horizontal="left" vertical="center" wrapText="1" shrinkToFit="1"/>
      <protection hidden="1"/>
    </xf>
    <xf numFmtId="188" fontId="179" fillId="0" borderId="1229" xfId="3" applyNumberFormat="1" applyFont="1" applyBorder="1" applyAlignment="1" applyProtection="1">
      <alignment horizontal="left" vertical="center" shrinkToFit="1"/>
      <protection hidden="1"/>
    </xf>
    <xf numFmtId="188" fontId="179" fillId="0" borderId="1227" xfId="3" applyNumberFormat="1" applyFont="1" applyBorder="1" applyAlignment="1" applyProtection="1">
      <alignment horizontal="left" vertical="center" shrinkToFit="1"/>
      <protection hidden="1"/>
    </xf>
    <xf numFmtId="0" fontId="183" fillId="0" borderId="0" xfId="17" applyFont="1" applyAlignment="1" applyProtection="1">
      <alignment horizontal="center" vertical="center" wrapText="1"/>
      <protection hidden="1"/>
    </xf>
    <xf numFmtId="0" fontId="185" fillId="27" borderId="0" xfId="17" applyFont="1" applyFill="1" applyAlignment="1" applyProtection="1">
      <alignment vertical="center" wrapText="1"/>
      <protection hidden="1"/>
    </xf>
    <xf numFmtId="0" fontId="171" fillId="0" borderId="1251" xfId="3" applyFont="1" applyBorder="1" applyAlignment="1" applyProtection="1">
      <alignment horizontal="right" vertical="center" shrinkToFit="1"/>
      <protection hidden="1"/>
    </xf>
    <xf numFmtId="0" fontId="171" fillId="0" borderId="1252" xfId="3" applyFont="1" applyBorder="1" applyAlignment="1" applyProtection="1">
      <alignment horizontal="right" vertical="center" shrinkToFit="1"/>
      <protection hidden="1"/>
    </xf>
    <xf numFmtId="0" fontId="168" fillId="0" borderId="1253" xfId="3" applyFont="1" applyBorder="1" applyAlignment="1" applyProtection="1">
      <alignment horizontal="right" vertical="center" shrinkToFit="1"/>
      <protection hidden="1"/>
    </xf>
    <xf numFmtId="0" fontId="168" fillId="0" borderId="1254" xfId="3" applyFont="1" applyBorder="1" applyAlignment="1" applyProtection="1">
      <alignment horizontal="right" vertical="center" shrinkToFit="1"/>
      <protection hidden="1"/>
    </xf>
    <xf numFmtId="0" fontId="169" fillId="0" borderId="0" xfId="17" applyFont="1" applyAlignment="1" applyProtection="1">
      <alignment horizontal="center" vertical="center"/>
      <protection hidden="1"/>
    </xf>
    <xf numFmtId="0" fontId="169" fillId="0" borderId="1222" xfId="17" applyFont="1" applyBorder="1" applyAlignment="1" applyProtection="1">
      <alignment horizontal="center" vertical="center"/>
      <protection hidden="1"/>
    </xf>
    <xf numFmtId="0" fontId="183" fillId="7" borderId="1222" xfId="17" applyFont="1" applyFill="1" applyBorder="1" applyAlignment="1" applyProtection="1">
      <alignment horizontal="left" vertical="center" shrinkToFit="1"/>
      <protection locked="0"/>
    </xf>
    <xf numFmtId="0" fontId="177" fillId="0" borderId="1225" xfId="3" applyFont="1" applyBorder="1" applyAlignment="1" applyProtection="1">
      <alignment horizontal="left" vertical="center" shrinkToFit="1"/>
      <protection hidden="1"/>
    </xf>
    <xf numFmtId="0" fontId="177" fillId="0" borderId="1223" xfId="3" applyFont="1" applyBorder="1" applyAlignment="1" applyProtection="1">
      <alignment horizontal="left" vertical="center" shrinkToFit="1"/>
      <protection hidden="1"/>
    </xf>
    <xf numFmtId="0" fontId="181" fillId="0" borderId="1225" xfId="3" applyFont="1" applyBorder="1" applyAlignment="1" applyProtection="1">
      <alignment horizontal="left" vertical="center" shrinkToFit="1"/>
      <protection hidden="1"/>
    </xf>
    <xf numFmtId="0" fontId="181" fillId="0" borderId="1223" xfId="3" applyFont="1" applyBorder="1" applyAlignment="1" applyProtection="1">
      <alignment horizontal="left" vertical="center" shrinkToFit="1"/>
      <protection hidden="1"/>
    </xf>
    <xf numFmtId="0" fontId="181" fillId="0" borderId="1229" xfId="3" applyFont="1" applyBorder="1" applyAlignment="1" applyProtection="1">
      <alignment horizontal="left" vertical="center" shrinkToFit="1"/>
      <protection hidden="1"/>
    </xf>
    <xf numFmtId="0" fontId="181" fillId="0" borderId="1227" xfId="3" applyFont="1" applyBorder="1" applyAlignment="1" applyProtection="1">
      <alignment horizontal="left" vertical="center" shrinkToFit="1"/>
      <protection hidden="1"/>
    </xf>
    <xf numFmtId="0" fontId="183" fillId="0" borderId="1222" xfId="17" applyFont="1" applyBorder="1" applyAlignment="1" applyProtection="1">
      <alignment horizontal="right" vertical="center" shrinkToFit="1"/>
      <protection hidden="1"/>
    </xf>
    <xf numFmtId="0" fontId="20" fillId="0" borderId="328" xfId="3" applyFont="1" applyBorder="1" applyAlignment="1" applyProtection="1">
      <alignment horizontal="left" vertical="center" shrinkToFit="1"/>
      <protection hidden="1"/>
    </xf>
    <xf numFmtId="0" fontId="20" fillId="0" borderId="329" xfId="3" applyFont="1" applyBorder="1" applyAlignment="1" applyProtection="1">
      <alignment horizontal="left" vertical="center" shrinkToFit="1"/>
      <protection hidden="1"/>
    </xf>
    <xf numFmtId="174" fontId="16" fillId="0" borderId="52" xfId="3" applyNumberFormat="1" applyFont="1" applyBorder="1" applyAlignment="1" applyProtection="1">
      <alignment horizontal="left" vertical="center" shrinkToFit="1"/>
      <protection hidden="1"/>
    </xf>
    <xf numFmtId="174" fontId="16" fillId="0" borderId="53" xfId="3" applyNumberFormat="1" applyFont="1" applyBorder="1" applyAlignment="1" applyProtection="1">
      <alignment horizontal="left" vertical="center" shrinkToFit="1"/>
      <protection hidden="1"/>
    </xf>
    <xf numFmtId="0" fontId="20" fillId="0" borderId="0" xfId="3" applyFont="1" applyAlignment="1">
      <alignment horizontal="center" vertical="center"/>
    </xf>
    <xf numFmtId="0" fontId="20" fillId="0" borderId="335" xfId="3" applyFont="1" applyBorder="1" applyAlignment="1" applyProtection="1">
      <alignment horizontal="right" vertical="center" shrinkToFit="1"/>
      <protection hidden="1"/>
    </xf>
    <xf numFmtId="0" fontId="20" fillId="0" borderId="336" xfId="3" applyFont="1" applyBorder="1" applyAlignment="1" applyProtection="1">
      <alignment horizontal="right" vertical="center" shrinkToFit="1"/>
      <protection hidden="1"/>
    </xf>
    <xf numFmtId="0" fontId="20" fillId="0" borderId="336" xfId="3" applyFont="1" applyBorder="1" applyAlignment="1" applyProtection="1">
      <alignment horizontal="left" vertical="center" shrinkToFit="1"/>
      <protection hidden="1"/>
    </xf>
    <xf numFmtId="0" fontId="20" fillId="0" borderId="337" xfId="3" applyFont="1" applyBorder="1" applyAlignment="1" applyProtection="1">
      <alignment horizontal="left" vertical="center" shrinkToFit="1"/>
      <protection hidden="1"/>
    </xf>
    <xf numFmtId="0" fontId="122" fillId="0" borderId="54" xfId="3" applyFont="1" applyBorder="1" applyAlignment="1" applyProtection="1">
      <alignment horizontal="center" vertical="center" shrinkToFit="1"/>
      <protection hidden="1"/>
    </xf>
    <xf numFmtId="0" fontId="122" fillId="0" borderId="55" xfId="3" applyFont="1" applyBorder="1" applyAlignment="1" applyProtection="1">
      <alignment horizontal="center" vertical="center" shrinkToFit="1"/>
      <protection hidden="1"/>
    </xf>
    <xf numFmtId="0" fontId="122" fillId="0" borderId="56" xfId="3" applyFont="1" applyBorder="1" applyAlignment="1" applyProtection="1">
      <alignment horizontal="center" vertical="center" shrinkToFit="1"/>
      <protection hidden="1"/>
    </xf>
    <xf numFmtId="0" fontId="122" fillId="0" borderId="0" xfId="3" applyFont="1" applyAlignment="1" applyProtection="1">
      <alignment horizontal="center" vertical="center" shrinkToFit="1"/>
      <protection hidden="1"/>
    </xf>
    <xf numFmtId="0" fontId="16" fillId="0" borderId="56" xfId="3" applyFont="1" applyBorder="1" applyAlignment="1" applyProtection="1">
      <alignment horizontal="center" vertical="center" shrinkToFit="1"/>
      <protection hidden="1"/>
    </xf>
    <xf numFmtId="0" fontId="16" fillId="0" borderId="0" xfId="3" applyFont="1" applyAlignment="1" applyProtection="1">
      <alignment horizontal="center" vertical="center" shrinkToFit="1"/>
      <protection hidden="1"/>
    </xf>
    <xf numFmtId="0" fontId="123" fillId="0" borderId="56" xfId="3" applyFont="1" applyBorder="1" applyAlignment="1" applyProtection="1">
      <alignment horizontal="center" vertical="center" wrapText="1" shrinkToFit="1"/>
      <protection hidden="1"/>
    </xf>
    <xf numFmtId="0" fontId="123" fillId="0" borderId="0" xfId="3" applyFont="1" applyAlignment="1" applyProtection="1">
      <alignment horizontal="center" vertical="center" wrapText="1" shrinkToFit="1"/>
      <protection hidden="1"/>
    </xf>
    <xf numFmtId="0" fontId="20" fillId="0" borderId="327" xfId="3" applyFont="1" applyBorder="1" applyAlignment="1" applyProtection="1">
      <alignment horizontal="right" vertical="center" shrinkToFit="1"/>
      <protection hidden="1"/>
    </xf>
    <xf numFmtId="0" fontId="20" fillId="0" borderId="328" xfId="3" applyFont="1" applyBorder="1" applyAlignment="1" applyProtection="1">
      <alignment horizontal="right" vertical="center" shrinkToFit="1"/>
      <protection hidden="1"/>
    </xf>
    <xf numFmtId="0" fontId="20" fillId="0" borderId="331" xfId="3" applyFont="1" applyBorder="1" applyAlignment="1" applyProtection="1">
      <alignment horizontal="right" vertical="center" shrinkToFit="1"/>
      <protection hidden="1"/>
    </xf>
    <xf numFmtId="0" fontId="20" fillId="0" borderId="332" xfId="3" applyFont="1" applyBorder="1" applyAlignment="1" applyProtection="1">
      <alignment horizontal="right" vertical="center" shrinkToFit="1"/>
      <protection hidden="1"/>
    </xf>
    <xf numFmtId="0" fontId="20" fillId="0" borderId="51" xfId="3" applyFont="1" applyBorder="1" applyAlignment="1" applyProtection="1">
      <alignment horizontal="right" vertical="center" shrinkToFit="1"/>
      <protection hidden="1"/>
    </xf>
    <xf numFmtId="0" fontId="20" fillId="0" borderId="52" xfId="3" applyFont="1" applyBorder="1" applyAlignment="1" applyProtection="1">
      <alignment horizontal="right" vertical="center" shrinkToFit="1"/>
      <protection hidden="1"/>
    </xf>
    <xf numFmtId="185" fontId="17" fillId="0" borderId="336" xfId="3" applyNumberFormat="1" applyFont="1" applyBorder="1" applyAlignment="1" applyProtection="1">
      <alignment horizontal="left" vertical="center" shrinkToFit="1"/>
      <protection hidden="1"/>
    </xf>
    <xf numFmtId="185" fontId="17" fillId="0" borderId="337" xfId="3" applyNumberFormat="1" applyFont="1" applyBorder="1" applyAlignment="1" applyProtection="1">
      <alignment horizontal="left" vertical="center" shrinkToFit="1"/>
      <protection hidden="1"/>
    </xf>
    <xf numFmtId="0" fontId="16" fillId="0" borderId="325" xfId="3" applyFont="1" applyBorder="1" applyAlignment="1" applyProtection="1">
      <alignment horizontal="left" vertical="center" shrinkToFit="1"/>
      <protection hidden="1"/>
    </xf>
    <xf numFmtId="0" fontId="16" fillId="0" borderId="326" xfId="3" applyFont="1" applyBorder="1" applyAlignment="1" applyProtection="1">
      <alignment horizontal="left" vertical="center" shrinkToFit="1"/>
      <protection hidden="1"/>
    </xf>
    <xf numFmtId="0" fontId="20" fillId="0" borderId="324" xfId="3" applyFont="1" applyBorder="1" applyAlignment="1" applyProtection="1">
      <alignment horizontal="right" vertical="center" shrinkToFit="1"/>
      <protection hidden="1"/>
    </xf>
    <xf numFmtId="0" fontId="20" fillId="0" borderId="325" xfId="3" applyFont="1" applyBorder="1" applyAlignment="1" applyProtection="1">
      <alignment horizontal="right" vertical="center" shrinkToFit="1"/>
      <protection hidden="1"/>
    </xf>
    <xf numFmtId="0" fontId="160" fillId="0" borderId="0" xfId="15" applyFont="1" applyAlignment="1" applyProtection="1">
      <alignment horizontal="center" shrinkToFit="1"/>
      <protection hidden="1"/>
    </xf>
    <xf numFmtId="0" fontId="7" fillId="0" borderId="0" xfId="3" applyAlignment="1">
      <alignment horizontal="center" shrinkToFit="1"/>
    </xf>
    <xf numFmtId="0" fontId="17" fillId="0" borderId="0" xfId="8" applyFont="1" applyAlignment="1" applyProtection="1">
      <alignment horizontal="center" shrinkToFit="1"/>
      <protection hidden="1"/>
    </xf>
    <xf numFmtId="193" fontId="49" fillId="0" borderId="417" xfId="0" applyNumberFormat="1" applyFont="1" applyBorder="1" applyAlignment="1" applyProtection="1">
      <alignment horizontal="center" vertical="center" shrinkToFit="1"/>
      <protection hidden="1"/>
    </xf>
    <xf numFmtId="193" fontId="49" fillId="0" borderId="900" xfId="0" applyNumberFormat="1" applyFont="1" applyBorder="1" applyAlignment="1" applyProtection="1">
      <alignment horizontal="center" vertical="center" shrinkToFit="1"/>
      <protection hidden="1"/>
    </xf>
    <xf numFmtId="182" fontId="49" fillId="0" borderId="894" xfId="0" applyNumberFormat="1" applyFont="1" applyBorder="1" applyAlignment="1" applyProtection="1">
      <alignment horizontal="center" vertical="center" shrinkToFit="1"/>
      <protection hidden="1"/>
    </xf>
    <xf numFmtId="182" fontId="49" fillId="0" borderId="895" xfId="0" applyNumberFormat="1" applyFont="1" applyBorder="1" applyAlignment="1" applyProtection="1">
      <alignment horizontal="center" vertical="center" shrinkToFit="1"/>
      <protection hidden="1"/>
    </xf>
    <xf numFmtId="166" fontId="57" fillId="0" borderId="432" xfId="0" applyFont="1" applyBorder="1" applyAlignment="1" applyProtection="1">
      <alignment horizontal="center" vertical="center" shrinkToFit="1"/>
      <protection hidden="1"/>
    </xf>
    <xf numFmtId="166" fontId="57" fillId="0" borderId="896" xfId="0" applyFont="1" applyBorder="1" applyAlignment="1" applyProtection="1">
      <alignment horizontal="center" vertical="center" shrinkToFit="1"/>
      <protection hidden="1"/>
    </xf>
    <xf numFmtId="168" fontId="49" fillId="0" borderId="433" xfId="0" applyNumberFormat="1" applyFont="1" applyBorder="1" applyAlignment="1" applyProtection="1">
      <alignment horizontal="center" vertical="center" shrinkToFit="1"/>
      <protection hidden="1"/>
    </xf>
    <xf numFmtId="168" fontId="49" fillId="0" borderId="897" xfId="0" applyNumberFormat="1" applyFont="1" applyBorder="1" applyAlignment="1" applyProtection="1">
      <alignment horizontal="center" vertical="center" shrinkToFit="1"/>
      <protection hidden="1"/>
    </xf>
    <xf numFmtId="182" fontId="49" fillId="0" borderId="434" xfId="0" applyNumberFormat="1" applyFont="1" applyBorder="1" applyAlignment="1" applyProtection="1">
      <alignment horizontal="center" vertical="center" shrinkToFit="1"/>
      <protection hidden="1"/>
    </xf>
    <xf numFmtId="182" fontId="49" fillId="0" borderId="898" xfId="0" applyNumberFormat="1" applyFont="1" applyBorder="1" applyAlignment="1" applyProtection="1">
      <alignment horizontal="center" vertical="center" shrinkToFit="1"/>
      <protection hidden="1"/>
    </xf>
    <xf numFmtId="166" fontId="57" fillId="0" borderId="416" xfId="0" applyFont="1" applyBorder="1" applyAlignment="1" applyProtection="1">
      <alignment horizontal="center" vertical="center" shrinkToFit="1"/>
      <protection hidden="1"/>
    </xf>
    <xf numFmtId="166" fontId="57" fillId="0" borderId="899" xfId="0" applyFont="1" applyBorder="1" applyAlignment="1" applyProtection="1">
      <alignment horizontal="center" vertical="center" shrinkToFit="1"/>
      <protection hidden="1"/>
    </xf>
    <xf numFmtId="201" fontId="49" fillId="0" borderId="690" xfId="1" applyNumberFormat="1" applyFont="1" applyBorder="1" applyAlignment="1" applyProtection="1">
      <alignment horizontal="left" shrinkToFit="1"/>
      <protection hidden="1"/>
    </xf>
    <xf numFmtId="201" fontId="49" fillId="0" borderId="691" xfId="1" applyNumberFormat="1" applyFont="1" applyBorder="1" applyAlignment="1" applyProtection="1">
      <alignment horizontal="left" shrinkToFit="1"/>
      <protection hidden="1"/>
    </xf>
    <xf numFmtId="170" fontId="49" fillId="0" borderId="62" xfId="1" applyNumberFormat="1" applyFont="1" applyBorder="1" applyAlignment="1" applyProtection="1">
      <alignment horizontal="left" shrinkToFit="1"/>
      <protection hidden="1"/>
    </xf>
    <xf numFmtId="170" fontId="49" fillId="0" borderId="692" xfId="1" applyNumberFormat="1" applyFont="1" applyBorder="1" applyAlignment="1" applyProtection="1">
      <alignment horizontal="left" shrinkToFit="1"/>
      <protection hidden="1"/>
    </xf>
    <xf numFmtId="227" fontId="52" fillId="0" borderId="1028" xfId="1" applyNumberFormat="1" applyFont="1" applyBorder="1" applyAlignment="1" applyProtection="1">
      <alignment horizontal="left" shrinkToFit="1"/>
      <protection hidden="1"/>
    </xf>
    <xf numFmtId="227" fontId="52" fillId="0" borderId="1029" xfId="1" applyNumberFormat="1" applyFont="1" applyBorder="1" applyAlignment="1" applyProtection="1">
      <alignment horizontal="left" shrinkToFit="1"/>
      <protection hidden="1"/>
    </xf>
    <xf numFmtId="166" fontId="57" fillId="0" borderId="393" xfId="0" applyFont="1" applyBorder="1" applyAlignment="1" applyProtection="1">
      <alignment horizontal="right" shrinkToFit="1"/>
      <protection hidden="1"/>
    </xf>
    <xf numFmtId="166" fontId="57" fillId="0" borderId="289" xfId="0" applyFont="1" applyBorder="1" applyAlignment="1" applyProtection="1">
      <alignment horizontal="right" shrinkToFit="1"/>
      <protection hidden="1"/>
    </xf>
    <xf numFmtId="166" fontId="57" fillId="0" borderId="394" xfId="0" applyFont="1" applyBorder="1" applyAlignment="1" applyProtection="1">
      <alignment horizontal="right" shrinkToFit="1"/>
      <protection hidden="1"/>
    </xf>
    <xf numFmtId="166" fontId="57" fillId="0" borderId="58" xfId="0" applyFont="1" applyBorder="1" applyAlignment="1" applyProtection="1">
      <alignment horizontal="right" shrinkToFit="1"/>
      <protection hidden="1"/>
    </xf>
    <xf numFmtId="166" fontId="14" fillId="21" borderId="189" xfId="0" applyFont="1" applyFill="1" applyBorder="1" applyAlignment="1" applyProtection="1">
      <alignment horizontal="center"/>
      <protection hidden="1"/>
    </xf>
    <xf numFmtId="173" fontId="13" fillId="0" borderId="276" xfId="0" applyNumberFormat="1" applyFont="1" applyBorder="1" applyAlignment="1" applyProtection="1">
      <alignment horizontal="center" vertical="center" shrinkToFit="1"/>
      <protection hidden="1"/>
    </xf>
    <xf numFmtId="173" fontId="13" fillId="0" borderId="299" xfId="0" applyNumberFormat="1" applyFont="1" applyBorder="1" applyAlignment="1" applyProtection="1">
      <alignment horizontal="center" vertical="center" shrinkToFit="1"/>
      <protection hidden="1"/>
    </xf>
    <xf numFmtId="0" fontId="49" fillId="0" borderId="698" xfId="5" applyFont="1" applyBorder="1" applyAlignment="1" applyProtection="1">
      <alignment horizontal="center" shrinkToFit="1"/>
      <protection hidden="1"/>
    </xf>
    <xf numFmtId="0" fontId="49" fillId="0" borderId="699" xfId="5" applyFont="1" applyBorder="1" applyAlignment="1" applyProtection="1">
      <alignment horizontal="center" shrinkToFit="1"/>
      <protection hidden="1"/>
    </xf>
    <xf numFmtId="0" fontId="49" fillId="0" borderId="398" xfId="5" applyFont="1" applyBorder="1" applyAlignment="1" applyProtection="1">
      <alignment horizontal="center" shrinkToFit="1"/>
      <protection hidden="1"/>
    </xf>
    <xf numFmtId="0" fontId="49" fillId="0" borderId="399" xfId="5" applyFont="1" applyBorder="1" applyAlignment="1" applyProtection="1">
      <alignment horizontal="center" shrinkToFit="1"/>
      <protection hidden="1"/>
    </xf>
    <xf numFmtId="192" fontId="50" fillId="0" borderId="380" xfId="0" applyNumberFormat="1" applyFont="1" applyBorder="1" applyAlignment="1" applyProtection="1">
      <alignment horizontal="left" shrinkToFit="1"/>
      <protection hidden="1"/>
    </xf>
    <xf numFmtId="192" fontId="50" fillId="0" borderId="386" xfId="0" applyNumberFormat="1" applyFont="1" applyBorder="1" applyAlignment="1" applyProtection="1">
      <alignment horizontal="left" shrinkToFit="1"/>
      <protection hidden="1"/>
    </xf>
    <xf numFmtId="166" fontId="49" fillId="0" borderId="301" xfId="0" applyFont="1" applyBorder="1" applyAlignment="1" applyProtection="1">
      <alignment horizontal="right" shrinkToFit="1"/>
      <protection hidden="1"/>
    </xf>
    <xf numFmtId="166" fontId="49" fillId="0" borderId="381" xfId="0" applyFont="1" applyBorder="1" applyAlignment="1" applyProtection="1">
      <alignment horizontal="right" shrinkToFit="1"/>
      <protection hidden="1"/>
    </xf>
    <xf numFmtId="0" fontId="13" fillId="0" borderId="302" xfId="9" applyFont="1" applyBorder="1" applyAlignment="1" applyProtection="1">
      <alignment horizontal="center" shrinkToFit="1"/>
      <protection hidden="1"/>
    </xf>
    <xf numFmtId="0" fontId="13" fillId="0" borderId="380" xfId="9" applyFont="1" applyBorder="1" applyAlignment="1" applyProtection="1">
      <alignment horizontal="center" shrinkToFit="1"/>
      <protection hidden="1"/>
    </xf>
    <xf numFmtId="0" fontId="13" fillId="0" borderId="386" xfId="9" applyFont="1" applyBorder="1" applyAlignment="1" applyProtection="1">
      <alignment horizontal="center" shrinkToFit="1"/>
      <protection hidden="1"/>
    </xf>
    <xf numFmtId="166" fontId="49" fillId="0" borderId="381" xfId="0" applyFont="1" applyBorder="1" applyAlignment="1" applyProtection="1">
      <alignment horizontal="left" shrinkToFit="1"/>
      <protection hidden="1"/>
    </xf>
    <xf numFmtId="166" fontId="49" fillId="0" borderId="385" xfId="0" applyFont="1" applyBorder="1" applyAlignment="1" applyProtection="1">
      <alignment horizontal="left" shrinkToFit="1"/>
      <protection hidden="1"/>
    </xf>
    <xf numFmtId="0" fontId="52" fillId="0" borderId="381" xfId="5" applyFont="1" applyBorder="1" applyAlignment="1" applyProtection="1">
      <alignment horizontal="left" shrinkToFit="1"/>
      <protection hidden="1"/>
    </xf>
    <xf numFmtId="0" fontId="52" fillId="0" borderId="385" xfId="5" applyFont="1" applyBorder="1" applyAlignment="1" applyProtection="1">
      <alignment horizontal="left" shrinkToFit="1"/>
      <protection hidden="1"/>
    </xf>
    <xf numFmtId="0" fontId="32" fillId="28" borderId="585" xfId="5" applyFont="1" applyFill="1" applyBorder="1" applyAlignment="1" applyProtection="1">
      <alignment horizontal="center" vertical="center" textRotation="255" shrinkToFit="1"/>
      <protection hidden="1"/>
    </xf>
    <xf numFmtId="0" fontId="32" fillId="28" borderId="250" xfId="5" applyFont="1" applyFill="1" applyBorder="1" applyAlignment="1" applyProtection="1">
      <alignment horizontal="center" vertical="center" textRotation="255" shrinkToFit="1"/>
      <protection hidden="1"/>
    </xf>
    <xf numFmtId="0" fontId="32" fillId="28" borderId="763" xfId="5" applyFont="1" applyFill="1" applyBorder="1" applyAlignment="1" applyProtection="1">
      <alignment horizontal="center" vertical="center" textRotation="255" shrinkToFit="1"/>
      <protection hidden="1"/>
    </xf>
    <xf numFmtId="0" fontId="23" fillId="28" borderId="781" xfId="5" applyFont="1" applyFill="1" applyBorder="1" applyAlignment="1" applyProtection="1">
      <alignment horizontal="center" vertical="center" shrinkToFit="1"/>
      <protection hidden="1"/>
    </xf>
    <xf numFmtId="0" fontId="23" fillId="28" borderId="782" xfId="5" applyFont="1" applyFill="1" applyBorder="1" applyAlignment="1" applyProtection="1">
      <alignment horizontal="center" vertical="center" shrinkToFit="1"/>
      <protection hidden="1"/>
    </xf>
    <xf numFmtId="0" fontId="23" fillId="28" borderId="783" xfId="5" applyFont="1" applyFill="1" applyBorder="1" applyAlignment="1" applyProtection="1">
      <alignment horizontal="center" vertical="center" shrinkToFit="1"/>
      <protection hidden="1"/>
    </xf>
    <xf numFmtId="180" fontId="51" fillId="0" borderId="1033" xfId="5" applyNumberFormat="1" applyFont="1" applyBorder="1" applyAlignment="1" applyProtection="1">
      <alignment horizontal="center" vertical="center" shrinkToFit="1"/>
      <protection hidden="1"/>
    </xf>
    <xf numFmtId="0" fontId="13" fillId="19" borderId="564" xfId="5" applyFont="1" applyFill="1" applyBorder="1" applyAlignment="1" applyProtection="1">
      <alignment horizontal="left" vertical="top" wrapText="1" shrinkToFit="1"/>
      <protection locked="0"/>
    </xf>
    <xf numFmtId="173" fontId="13" fillId="0" borderId="296" xfId="0" applyNumberFormat="1" applyFont="1" applyBorder="1" applyAlignment="1" applyProtection="1">
      <alignment horizontal="center" vertical="center" shrinkToFit="1"/>
      <protection hidden="1"/>
    </xf>
    <xf numFmtId="173" fontId="13" fillId="0" borderId="298" xfId="0" applyNumberFormat="1" applyFont="1" applyBorder="1" applyAlignment="1" applyProtection="1">
      <alignment horizontal="center" vertical="center" shrinkToFit="1"/>
      <protection hidden="1"/>
    </xf>
    <xf numFmtId="166" fontId="55" fillId="0" borderId="1026" xfId="0" applyFont="1" applyBorder="1" applyAlignment="1" applyProtection="1">
      <alignment horizontal="right" shrinkToFit="1"/>
      <protection hidden="1"/>
    </xf>
    <xf numFmtId="166" fontId="55" fillId="0" borderId="1027" xfId="0" applyFont="1" applyBorder="1" applyAlignment="1" applyProtection="1">
      <alignment horizontal="right" shrinkToFit="1"/>
      <protection hidden="1"/>
    </xf>
    <xf numFmtId="213" fontId="32" fillId="28" borderId="301" xfId="0" applyNumberFormat="1" applyFont="1" applyFill="1" applyBorder="1" applyAlignment="1" applyProtection="1">
      <alignment horizontal="right" shrinkToFit="1"/>
      <protection hidden="1"/>
    </xf>
    <xf numFmtId="213" fontId="32" fillId="28" borderId="273" xfId="0" applyNumberFormat="1" applyFont="1" applyFill="1" applyBorder="1" applyAlignment="1" applyProtection="1">
      <alignment horizontal="right" shrinkToFit="1"/>
      <protection hidden="1"/>
    </xf>
    <xf numFmtId="213" fontId="32" fillId="28" borderId="302" xfId="0" applyNumberFormat="1" applyFont="1" applyFill="1" applyBorder="1" applyAlignment="1" applyProtection="1">
      <alignment horizontal="right" shrinkToFit="1"/>
      <protection hidden="1"/>
    </xf>
    <xf numFmtId="213" fontId="32" fillId="28" borderId="288" xfId="0" applyNumberFormat="1" applyFont="1" applyFill="1" applyBorder="1" applyAlignment="1" applyProtection="1">
      <alignment horizontal="right" shrinkToFit="1"/>
      <protection hidden="1"/>
    </xf>
    <xf numFmtId="166" fontId="49" fillId="0" borderId="382" xfId="0" applyFont="1" applyBorder="1" applyAlignment="1" applyProtection="1">
      <alignment horizontal="right" shrinkToFit="1"/>
      <protection hidden="1"/>
    </xf>
    <xf numFmtId="166" fontId="49" fillId="0" borderId="383" xfId="0" applyFont="1" applyBorder="1" applyAlignment="1" applyProtection="1">
      <alignment horizontal="right" shrinkToFit="1"/>
      <protection hidden="1"/>
    </xf>
    <xf numFmtId="166" fontId="49" fillId="0" borderId="384" xfId="0" applyFont="1" applyBorder="1" applyAlignment="1" applyProtection="1">
      <alignment horizontal="right" shrinkToFit="1"/>
      <protection hidden="1"/>
    </xf>
    <xf numFmtId="166" fontId="49" fillId="0" borderId="338" xfId="0" applyFont="1" applyBorder="1" applyAlignment="1" applyProtection="1">
      <alignment horizontal="right" shrinkToFit="1"/>
      <protection hidden="1"/>
    </xf>
    <xf numFmtId="166" fontId="50" fillId="0" borderId="383" xfId="0" applyFont="1" applyBorder="1" applyAlignment="1" applyProtection="1">
      <alignment horizontal="left" shrinkToFit="1"/>
      <protection hidden="1"/>
    </xf>
    <xf numFmtId="166" fontId="52" fillId="0" borderId="338" xfId="0" applyFont="1" applyBorder="1" applyAlignment="1" applyProtection="1">
      <alignment horizontal="left" shrinkToFit="1"/>
      <protection hidden="1"/>
    </xf>
    <xf numFmtId="166" fontId="49" fillId="0" borderId="400" xfId="0" applyFont="1" applyBorder="1" applyAlignment="1" applyProtection="1">
      <alignment horizontal="right" shrinkToFit="1"/>
      <protection hidden="1"/>
    </xf>
    <xf numFmtId="180" fontId="51" fillId="0" borderId="1034" xfId="5" applyNumberFormat="1" applyFont="1" applyBorder="1" applyAlignment="1" applyProtection="1">
      <alignment horizontal="center" vertical="center" shrinkToFit="1"/>
      <protection hidden="1"/>
    </xf>
    <xf numFmtId="180" fontId="51" fillId="0" borderId="240" xfId="5" applyNumberFormat="1" applyFont="1" applyBorder="1" applyAlignment="1" applyProtection="1">
      <alignment horizontal="center" vertical="center" shrinkToFit="1"/>
      <protection hidden="1"/>
    </xf>
    <xf numFmtId="180" fontId="51" fillId="0" borderId="1035" xfId="5" applyNumberFormat="1" applyFont="1" applyBorder="1" applyAlignment="1" applyProtection="1">
      <alignment horizontal="center" vertical="center" shrinkToFit="1"/>
      <protection hidden="1"/>
    </xf>
    <xf numFmtId="170" fontId="124" fillId="28" borderId="674" xfId="5" applyNumberFormat="1" applyFont="1" applyFill="1" applyBorder="1" applyAlignment="1" applyProtection="1">
      <alignment horizontal="center" vertical="center" wrapText="1" shrinkToFit="1"/>
      <protection hidden="1"/>
    </xf>
    <xf numFmtId="170" fontId="124" fillId="28" borderId="675" xfId="5" applyNumberFormat="1" applyFont="1" applyFill="1" applyBorder="1" applyAlignment="1" applyProtection="1">
      <alignment horizontal="center" vertical="center" wrapText="1" shrinkToFit="1"/>
      <protection hidden="1"/>
    </xf>
    <xf numFmtId="0" fontId="19" fillId="9" borderId="189" xfId="5" applyFont="1" applyFill="1" applyBorder="1" applyAlignment="1">
      <alignment horizontal="center"/>
    </xf>
    <xf numFmtId="0" fontId="19" fillId="9" borderId="190" xfId="5" applyFont="1" applyFill="1" applyBorder="1" applyAlignment="1">
      <alignment horizontal="center"/>
    </xf>
    <xf numFmtId="166" fontId="91" fillId="28" borderId="777" xfId="0" applyFont="1" applyFill="1" applyBorder="1" applyAlignment="1" applyProtection="1">
      <alignment horizontal="center" shrinkToFit="1"/>
      <protection hidden="1"/>
    </xf>
    <xf numFmtId="166" fontId="91" fillId="28" borderId="778" xfId="0" applyFont="1" applyFill="1" applyBorder="1" applyAlignment="1" applyProtection="1">
      <alignment horizontal="center" shrinkToFit="1"/>
      <protection hidden="1"/>
    </xf>
    <xf numFmtId="0" fontId="32" fillId="28" borderId="769" xfId="5" applyFont="1" applyFill="1" applyBorder="1" applyAlignment="1" applyProtection="1">
      <alignment horizontal="center" vertical="center" wrapText="1" shrinkToFit="1"/>
      <protection hidden="1"/>
    </xf>
    <xf numFmtId="0" fontId="32" fillId="28" borderId="762" xfId="5" applyFont="1" applyFill="1" applyBorder="1" applyAlignment="1" applyProtection="1">
      <alignment horizontal="center" vertical="center" wrapText="1" shrinkToFit="1"/>
      <protection hidden="1"/>
    </xf>
    <xf numFmtId="0" fontId="32" fillId="28" borderId="770" xfId="5" applyFont="1" applyFill="1" applyBorder="1" applyAlignment="1" applyProtection="1">
      <alignment horizontal="center" vertical="center" wrapText="1" shrinkToFit="1"/>
      <protection hidden="1"/>
    </xf>
    <xf numFmtId="0" fontId="32" fillId="28" borderId="772" xfId="5" applyFont="1" applyFill="1" applyBorder="1" applyAlignment="1" applyProtection="1">
      <alignment horizontal="center" vertical="center" wrapText="1" shrinkToFit="1"/>
      <protection hidden="1"/>
    </xf>
    <xf numFmtId="0" fontId="32" fillId="28" borderId="304" xfId="5" applyFont="1" applyFill="1" applyBorder="1" applyAlignment="1" applyProtection="1">
      <alignment horizontal="center" vertical="center" wrapText="1" shrinkToFit="1"/>
      <protection hidden="1"/>
    </xf>
    <xf numFmtId="0" fontId="32" fillId="28" borderId="281" xfId="5" applyFont="1" applyFill="1" applyBorder="1" applyAlignment="1" applyProtection="1">
      <alignment horizontal="center" vertical="center" wrapText="1" shrinkToFit="1"/>
      <protection hidden="1"/>
    </xf>
    <xf numFmtId="0" fontId="32" fillId="28" borderId="283" xfId="5" applyFont="1" applyFill="1" applyBorder="1" applyAlignment="1" applyProtection="1">
      <alignment horizontal="center" vertical="center" wrapText="1" shrinkToFit="1"/>
      <protection hidden="1"/>
    </xf>
    <xf numFmtId="0" fontId="32" fillId="28" borderId="268" xfId="5" applyFont="1" applyFill="1" applyBorder="1" applyAlignment="1" applyProtection="1">
      <alignment horizontal="center" vertical="center" wrapText="1" shrinkToFit="1"/>
      <protection hidden="1"/>
    </xf>
    <xf numFmtId="0" fontId="32" fillId="28" borderId="282" xfId="5" applyFont="1" applyFill="1" applyBorder="1" applyAlignment="1" applyProtection="1">
      <alignment horizontal="center" vertical="center" wrapText="1" shrinkToFit="1"/>
      <protection hidden="1"/>
    </xf>
    <xf numFmtId="180" fontId="51" fillId="0" borderId="765" xfId="5" applyNumberFormat="1" applyFont="1" applyBorder="1" applyAlignment="1" applyProtection="1">
      <alignment horizontal="center" vertical="center" shrinkToFit="1"/>
      <protection hidden="1"/>
    </xf>
    <xf numFmtId="180" fontId="51" fillId="0" borderId="766" xfId="5" applyNumberFormat="1" applyFont="1" applyBorder="1" applyAlignment="1" applyProtection="1">
      <alignment horizontal="center" vertical="center" shrinkToFit="1"/>
      <protection hidden="1"/>
    </xf>
    <xf numFmtId="173" fontId="49" fillId="0" borderId="297" xfId="0" applyNumberFormat="1" applyFont="1" applyBorder="1" applyAlignment="1" applyProtection="1">
      <alignment horizontal="center" vertical="center" shrinkToFit="1"/>
      <protection hidden="1"/>
    </xf>
    <xf numFmtId="173" fontId="49" fillId="0" borderId="300" xfId="0" applyNumberFormat="1" applyFont="1" applyBorder="1" applyAlignment="1" applyProtection="1">
      <alignment horizontal="center" vertical="center" shrinkToFit="1"/>
      <protection hidden="1"/>
    </xf>
    <xf numFmtId="193" fontId="13" fillId="0" borderId="276" xfId="0" applyNumberFormat="1" applyFont="1" applyBorder="1" applyAlignment="1" applyProtection="1">
      <alignment horizontal="center" vertical="center" shrinkToFit="1"/>
      <protection hidden="1"/>
    </xf>
    <xf numFmtId="193" fontId="13" fillId="0" borderId="299" xfId="0" applyNumberFormat="1" applyFont="1" applyBorder="1" applyAlignment="1" applyProtection="1">
      <alignment horizontal="center" vertical="center" shrinkToFit="1"/>
      <protection hidden="1"/>
    </xf>
    <xf numFmtId="0" fontId="32" fillId="28" borderId="768" xfId="5" applyFont="1" applyFill="1" applyBorder="1" applyAlignment="1" applyProtection="1">
      <alignment horizontal="center" vertical="center" wrapText="1" shrinkToFit="1"/>
      <protection hidden="1"/>
    </xf>
    <xf numFmtId="0" fontId="32" fillId="28" borderId="771" xfId="5" applyFont="1" applyFill="1" applyBorder="1" applyAlignment="1" applyProtection="1">
      <alignment horizontal="center" vertical="center" wrapText="1" shrinkToFit="1"/>
      <protection hidden="1"/>
    </xf>
    <xf numFmtId="0" fontId="13" fillId="19" borderId="764" xfId="5" applyFont="1" applyFill="1" applyBorder="1" applyAlignment="1" applyProtection="1">
      <alignment horizontal="left" vertical="top" wrapText="1" shrinkToFit="1"/>
      <protection locked="0"/>
    </xf>
    <xf numFmtId="0" fontId="13" fillId="19" borderId="249" xfId="5" applyFont="1" applyFill="1" applyBorder="1" applyAlignment="1" applyProtection="1">
      <alignment horizontal="left" vertical="top" wrapText="1" shrinkToFit="1"/>
      <protection locked="0"/>
    </xf>
    <xf numFmtId="166" fontId="55" fillId="0" borderId="1022" xfId="0" applyFont="1" applyBorder="1" applyAlignment="1" applyProtection="1">
      <alignment horizontal="right" shrinkToFit="1"/>
      <protection hidden="1"/>
    </xf>
    <xf numFmtId="166" fontId="55" fillId="0" borderId="405" xfId="0" applyFont="1" applyBorder="1" applyAlignment="1" applyProtection="1">
      <alignment horizontal="right" shrinkToFit="1"/>
      <protection hidden="1"/>
    </xf>
    <xf numFmtId="0" fontId="91" fillId="28" borderId="152" xfId="5" applyFont="1" applyFill="1" applyBorder="1" applyAlignment="1" applyProtection="1">
      <alignment horizontal="center" vertical="center" wrapText="1" shrinkToFit="1"/>
      <protection hidden="1"/>
    </xf>
    <xf numFmtId="0" fontId="91" fillId="28" borderId="220" xfId="5" applyFont="1" applyFill="1" applyBorder="1" applyAlignment="1" applyProtection="1">
      <alignment horizontal="center" vertical="center" wrapText="1" shrinkToFit="1"/>
      <protection hidden="1"/>
    </xf>
    <xf numFmtId="0" fontId="91" fillId="28" borderId="268" xfId="5" applyFont="1" applyFill="1" applyBorder="1" applyAlignment="1" applyProtection="1">
      <alignment horizontal="center" vertical="center" wrapText="1" shrinkToFit="1"/>
      <protection hidden="1"/>
    </xf>
    <xf numFmtId="0" fontId="91" fillId="28" borderId="282" xfId="5" applyFont="1" applyFill="1" applyBorder="1" applyAlignment="1" applyProtection="1">
      <alignment horizontal="center" vertical="center" wrapText="1" shrinkToFit="1"/>
      <protection hidden="1"/>
    </xf>
    <xf numFmtId="0" fontId="91" fillId="28" borderId="775" xfId="5" applyFont="1" applyFill="1" applyBorder="1" applyAlignment="1" applyProtection="1">
      <alignment horizontal="center"/>
      <protection hidden="1"/>
    </xf>
    <xf numFmtId="0" fontId="91" fillId="28" borderId="776" xfId="5" applyFont="1" applyFill="1" applyBorder="1" applyAlignment="1" applyProtection="1">
      <alignment horizontal="center"/>
      <protection hidden="1"/>
    </xf>
    <xf numFmtId="0" fontId="32" fillId="28" borderId="152" xfId="5" applyFont="1" applyFill="1" applyBorder="1" applyAlignment="1" applyProtection="1">
      <alignment horizontal="center" vertical="center" wrapText="1" shrinkToFit="1"/>
      <protection hidden="1"/>
    </xf>
    <xf numFmtId="0" fontId="32" fillId="28" borderId="220" xfId="5" applyFont="1" applyFill="1" applyBorder="1" applyAlignment="1" applyProtection="1">
      <alignment horizontal="center" vertical="center" wrapText="1" shrinkToFit="1"/>
      <protection hidden="1"/>
    </xf>
    <xf numFmtId="170" fontId="124" fillId="28" borderId="773" xfId="5" applyNumberFormat="1" applyFont="1" applyFill="1" applyBorder="1" applyAlignment="1" applyProtection="1">
      <alignment horizontal="center" vertical="center" wrapText="1" shrinkToFit="1"/>
      <protection hidden="1"/>
    </xf>
    <xf numFmtId="170" fontId="124" fillId="28" borderId="774" xfId="5" applyNumberFormat="1" applyFont="1" applyFill="1" applyBorder="1" applyAlignment="1" applyProtection="1">
      <alignment horizontal="center" vertical="center" wrapText="1" shrinkToFit="1"/>
      <protection hidden="1"/>
    </xf>
    <xf numFmtId="227" fontId="52" fillId="0" borderId="1023" xfId="1" applyNumberFormat="1" applyFont="1" applyBorder="1" applyAlignment="1" applyProtection="1">
      <alignment horizontal="left" shrinkToFit="1"/>
      <protection hidden="1"/>
    </xf>
    <xf numFmtId="227" fontId="52" fillId="0" borderId="1024" xfId="1" applyNumberFormat="1" applyFont="1" applyBorder="1" applyAlignment="1" applyProtection="1">
      <alignment horizontal="left" shrinkToFit="1"/>
      <protection hidden="1"/>
    </xf>
    <xf numFmtId="166" fontId="57" fillId="0" borderId="889" xfId="0" applyFont="1" applyBorder="1" applyAlignment="1" applyProtection="1">
      <alignment horizontal="center" vertical="center" shrinkToFit="1"/>
      <protection hidden="1"/>
    </xf>
    <xf numFmtId="166" fontId="57" fillId="0" borderId="693" xfId="0" applyFont="1" applyBorder="1" applyAlignment="1" applyProtection="1">
      <alignment horizontal="center" vertical="center" shrinkToFit="1"/>
      <protection hidden="1"/>
    </xf>
    <xf numFmtId="168" fontId="49" fillId="0" borderId="890" xfId="0" applyNumberFormat="1" applyFont="1" applyBorder="1" applyAlignment="1" applyProtection="1">
      <alignment horizontal="center" vertical="center" shrinkToFit="1"/>
      <protection hidden="1"/>
    </xf>
    <xf numFmtId="168" fontId="49" fillId="0" borderId="99" xfId="0" applyNumberFormat="1" applyFont="1" applyBorder="1" applyAlignment="1" applyProtection="1">
      <alignment horizontal="center" vertical="center" shrinkToFit="1"/>
      <protection hidden="1"/>
    </xf>
    <xf numFmtId="166" fontId="57" fillId="0" borderId="392" xfId="0" applyFont="1" applyBorder="1" applyAlignment="1" applyProtection="1">
      <alignment horizontal="center" vertical="center" shrinkToFit="1"/>
      <protection hidden="1"/>
    </xf>
    <xf numFmtId="166" fontId="57" fillId="0" borderId="891" xfId="0" applyFont="1" applyBorder="1" applyAlignment="1" applyProtection="1">
      <alignment horizontal="center" vertical="center" shrinkToFit="1"/>
      <protection hidden="1"/>
    </xf>
    <xf numFmtId="193" fontId="49" fillId="0" borderId="61" xfId="0" applyNumberFormat="1" applyFont="1" applyBorder="1" applyAlignment="1" applyProtection="1">
      <alignment horizontal="center" vertical="center" shrinkToFit="1"/>
      <protection hidden="1"/>
    </xf>
    <xf numFmtId="193" fontId="49" fillId="0" borderId="892" xfId="0" applyNumberFormat="1" applyFont="1" applyBorder="1" applyAlignment="1" applyProtection="1">
      <alignment horizontal="center" vertical="center" shrinkToFit="1"/>
      <protection hidden="1"/>
    </xf>
    <xf numFmtId="173" fontId="49" fillId="0" borderId="276" xfId="0" applyNumberFormat="1" applyFont="1" applyBorder="1" applyAlignment="1" applyProtection="1">
      <alignment horizontal="center" vertical="center" shrinkToFit="1"/>
      <protection hidden="1"/>
    </xf>
    <xf numFmtId="173" fontId="49" fillId="0" borderId="299" xfId="0" applyNumberFormat="1" applyFont="1" applyBorder="1" applyAlignment="1" applyProtection="1">
      <alignment horizontal="center" vertical="center" shrinkToFit="1"/>
      <protection hidden="1"/>
    </xf>
    <xf numFmtId="170" fontId="32" fillId="28" borderId="396" xfId="5" applyNumberFormat="1" applyFont="1" applyFill="1" applyBorder="1" applyAlignment="1" applyProtection="1">
      <alignment horizontal="center" vertical="center" wrapText="1" shrinkToFit="1"/>
      <protection hidden="1"/>
    </xf>
    <xf numFmtId="170" fontId="32" fillId="28" borderId="397" xfId="5" applyNumberFormat="1" applyFont="1" applyFill="1" applyBorder="1" applyAlignment="1" applyProtection="1">
      <alignment horizontal="center" vertical="center" wrapText="1" shrinkToFit="1"/>
      <protection hidden="1"/>
    </xf>
    <xf numFmtId="180" fontId="51" fillId="0" borderId="305" xfId="5" applyNumberFormat="1" applyFont="1" applyBorder="1" applyAlignment="1" applyProtection="1">
      <alignment horizontal="center" vertical="center" shrinkToFit="1"/>
      <protection hidden="1"/>
    </xf>
    <xf numFmtId="0" fontId="32" fillId="28" borderId="779" xfId="5" applyFont="1" applyFill="1" applyBorder="1" applyAlignment="1" applyProtection="1">
      <alignment horizontal="center" vertical="center" wrapText="1" shrinkToFit="1"/>
      <protection hidden="1"/>
    </xf>
    <xf numFmtId="0" fontId="32" fillId="28" borderId="780" xfId="5" applyFont="1" applyFill="1" applyBorder="1" applyAlignment="1" applyProtection="1">
      <alignment horizontal="center" vertical="center" wrapText="1" shrinkToFit="1"/>
      <protection hidden="1"/>
    </xf>
    <xf numFmtId="0" fontId="91" fillId="28" borderId="304" xfId="5" applyFont="1" applyFill="1" applyBorder="1" applyAlignment="1" applyProtection="1">
      <alignment horizontal="center" vertical="center" wrapText="1" shrinkToFit="1"/>
      <protection hidden="1"/>
    </xf>
    <xf numFmtId="0" fontId="91" fillId="28" borderId="281" xfId="5" applyFont="1" applyFill="1" applyBorder="1" applyAlignment="1" applyProtection="1">
      <alignment horizontal="center" vertical="center" wrapText="1" shrinkToFit="1"/>
      <protection hidden="1"/>
    </xf>
    <xf numFmtId="0" fontId="19" fillId="11" borderId="198" xfId="5" applyFont="1" applyFill="1" applyBorder="1" applyAlignment="1">
      <alignment horizontal="center"/>
    </xf>
    <xf numFmtId="0" fontId="19" fillId="11" borderId="189" xfId="5" applyFont="1" applyFill="1" applyBorder="1" applyAlignment="1">
      <alignment horizontal="center"/>
    </xf>
    <xf numFmtId="0" fontId="19" fillId="11" borderId="190" xfId="5" applyFont="1" applyFill="1" applyBorder="1" applyAlignment="1">
      <alignment horizontal="center"/>
    </xf>
    <xf numFmtId="166" fontId="49" fillId="0" borderId="302" xfId="0" applyFont="1" applyBorder="1" applyAlignment="1" applyProtection="1">
      <alignment horizontal="right" shrinkToFit="1"/>
      <protection hidden="1"/>
    </xf>
    <xf numFmtId="166" fontId="49" fillId="0" borderId="380" xfId="0" applyFont="1" applyBorder="1" applyAlignment="1" applyProtection="1">
      <alignment horizontal="right" shrinkToFit="1"/>
      <protection hidden="1"/>
    </xf>
    <xf numFmtId="174" fontId="13" fillId="0" borderId="901" xfId="0" applyNumberFormat="1" applyFont="1" applyBorder="1" applyAlignment="1" applyProtection="1">
      <alignment horizontal="center" vertical="center" shrinkToFit="1"/>
      <protection hidden="1"/>
    </xf>
    <xf numFmtId="174" fontId="13" fillId="0" borderId="902" xfId="0" applyNumberFormat="1" applyFont="1" applyBorder="1" applyAlignment="1" applyProtection="1">
      <alignment horizontal="center" vertical="center" shrinkToFit="1"/>
      <protection hidden="1"/>
    </xf>
    <xf numFmtId="216" fontId="13" fillId="0" borderId="296" xfId="0" applyNumberFormat="1" applyFont="1" applyBorder="1" applyAlignment="1" applyProtection="1">
      <alignment horizontal="center" vertical="center" shrinkToFit="1"/>
      <protection hidden="1"/>
    </xf>
    <xf numFmtId="216" fontId="13" fillId="0" borderId="298" xfId="0" applyNumberFormat="1" applyFont="1" applyBorder="1" applyAlignment="1" applyProtection="1">
      <alignment horizontal="center" vertical="center" shrinkToFit="1"/>
      <protection hidden="1"/>
    </xf>
    <xf numFmtId="166" fontId="49" fillId="0" borderId="263" xfId="0" applyFont="1" applyBorder="1" applyAlignment="1" applyProtection="1">
      <alignment horizontal="right" shrinkToFit="1"/>
      <protection hidden="1"/>
    </xf>
    <xf numFmtId="166" fontId="49" fillId="0" borderId="673" xfId="0" applyFont="1" applyBorder="1" applyAlignment="1" applyProtection="1">
      <alignment horizontal="right" shrinkToFit="1"/>
      <protection hidden="1"/>
    </xf>
    <xf numFmtId="174" fontId="51" fillId="0" borderId="381" xfId="0" applyNumberFormat="1" applyFont="1" applyBorder="1" applyAlignment="1" applyProtection="1">
      <alignment horizontal="left" shrinkToFit="1"/>
      <protection hidden="1"/>
    </xf>
    <xf numFmtId="174" fontId="51" fillId="0" borderId="385" xfId="0" applyNumberFormat="1" applyFont="1" applyBorder="1" applyAlignment="1" applyProtection="1">
      <alignment horizontal="left" shrinkToFit="1"/>
      <protection hidden="1"/>
    </xf>
    <xf numFmtId="166" fontId="51" fillId="0" borderId="380" xfId="0" applyFont="1" applyBorder="1" applyAlignment="1" applyProtection="1">
      <alignment horizontal="left" shrinkToFit="1"/>
      <protection hidden="1"/>
    </xf>
    <xf numFmtId="166" fontId="51" fillId="0" borderId="386" xfId="0" applyFont="1" applyBorder="1" applyAlignment="1" applyProtection="1">
      <alignment horizontal="left" shrinkToFit="1"/>
      <protection hidden="1"/>
    </xf>
    <xf numFmtId="182" fontId="49" fillId="0" borderId="893" xfId="0" applyNumberFormat="1" applyFont="1" applyBorder="1" applyAlignment="1" applyProtection="1">
      <alignment horizontal="center" vertical="center" shrinkToFit="1"/>
      <protection hidden="1"/>
    </xf>
    <xf numFmtId="182" fontId="49" fillId="0" borderId="395" xfId="0" applyNumberFormat="1" applyFont="1" applyBorder="1" applyAlignment="1" applyProtection="1">
      <alignment horizontal="center" vertical="center" shrinkToFit="1"/>
      <protection hidden="1"/>
    </xf>
    <xf numFmtId="0" fontId="18" fillId="0" borderId="1128" xfId="0" applyNumberFormat="1" applyFont="1" applyBorder="1" applyAlignment="1" applyProtection="1">
      <alignment horizontal="left" vertical="center" shrinkToFit="1"/>
      <protection hidden="1"/>
    </xf>
    <xf numFmtId="0" fontId="18" fillId="0" borderId="806" xfId="0" applyNumberFormat="1" applyFont="1" applyBorder="1" applyAlignment="1" applyProtection="1">
      <alignment horizontal="left" vertical="center" shrinkToFit="1"/>
      <protection hidden="1"/>
    </xf>
    <xf numFmtId="166" fontId="13" fillId="0" borderId="545" xfId="0" applyFont="1" applyBorder="1" applyAlignment="1" applyProtection="1">
      <alignment horizontal="right" vertical="center" shrinkToFit="1"/>
      <protection hidden="1"/>
    </xf>
    <xf numFmtId="166" fontId="13" fillId="0" borderId="63" xfId="0" applyFont="1" applyBorder="1" applyAlignment="1" applyProtection="1">
      <alignment horizontal="right" vertical="center" shrinkToFit="1"/>
      <protection hidden="1"/>
    </xf>
    <xf numFmtId="166" fontId="13" fillId="0" borderId="565" xfId="0" applyFont="1" applyBorder="1" applyAlignment="1" applyProtection="1">
      <alignment horizontal="right" vertical="center" shrinkToFit="1"/>
      <protection hidden="1"/>
    </xf>
    <xf numFmtId="166" fontId="13" fillId="0" borderId="104" xfId="0" applyFont="1" applyBorder="1" applyAlignment="1" applyProtection="1">
      <alignment horizontal="right" vertical="center" shrinkToFit="1"/>
      <protection hidden="1"/>
    </xf>
    <xf numFmtId="166" fontId="13" fillId="0" borderId="349" xfId="0" applyFont="1" applyBorder="1" applyAlignment="1" applyProtection="1">
      <alignment horizontal="right" vertical="center" shrinkToFit="1"/>
      <protection hidden="1"/>
    </xf>
    <xf numFmtId="0" fontId="18" fillId="0" borderId="105" xfId="0" applyNumberFormat="1" applyFont="1" applyBorder="1" applyAlignment="1" applyProtection="1">
      <alignment horizontal="left" vertical="center" shrinkToFit="1"/>
      <protection hidden="1"/>
    </xf>
    <xf numFmtId="0" fontId="18" fillId="0" borderId="568" xfId="0" applyNumberFormat="1" applyFont="1" applyBorder="1" applyAlignment="1" applyProtection="1">
      <alignment horizontal="left" vertical="center" shrinkToFit="1"/>
      <protection hidden="1"/>
    </xf>
    <xf numFmtId="0" fontId="18" fillId="0" borderId="103" xfId="0" applyNumberFormat="1" applyFont="1" applyBorder="1" applyAlignment="1" applyProtection="1">
      <alignment horizontal="left" vertical="center" shrinkToFit="1"/>
      <protection hidden="1"/>
    </xf>
    <xf numFmtId="166" fontId="13" fillId="0" borderId="567" xfId="0" applyFont="1" applyBorder="1" applyAlignment="1" applyProtection="1">
      <alignment horizontal="right" vertical="center" shrinkToFit="1"/>
      <protection hidden="1"/>
    </xf>
    <xf numFmtId="166" fontId="13" fillId="0" borderId="568" xfId="0" applyFont="1" applyBorder="1" applyAlignment="1" applyProtection="1">
      <alignment horizontal="right" vertical="center" shrinkToFit="1"/>
      <protection hidden="1"/>
    </xf>
    <xf numFmtId="166" fontId="13" fillId="0" borderId="563" xfId="0" applyFont="1" applyBorder="1" applyAlignment="1" applyProtection="1">
      <alignment horizontal="right" vertical="center" shrinkToFit="1"/>
      <protection hidden="1"/>
    </xf>
    <xf numFmtId="166" fontId="17" fillId="0" borderId="689" xfId="0" applyFont="1" applyBorder="1" applyAlignment="1" applyProtection="1">
      <alignment horizontal="center" vertical="center" shrinkToFit="1"/>
      <protection hidden="1"/>
    </xf>
    <xf numFmtId="166" fontId="17" fillId="0" borderId="636" xfId="0" applyFont="1" applyBorder="1" applyAlignment="1" applyProtection="1">
      <alignment horizontal="center" vertical="center" shrinkToFit="1"/>
      <protection hidden="1"/>
    </xf>
    <xf numFmtId="166" fontId="17" fillId="0" borderId="637" xfId="0" applyFont="1" applyBorder="1" applyAlignment="1" applyProtection="1">
      <alignment horizontal="center" vertical="center" shrinkToFit="1"/>
      <protection hidden="1"/>
    </xf>
    <xf numFmtId="166" fontId="17" fillId="0" borderId="1132" xfId="0" applyFont="1" applyBorder="1" applyAlignment="1">
      <alignment horizontal="center" vertical="center" shrinkToFit="1"/>
    </xf>
    <xf numFmtId="166" fontId="17" fillId="0" borderId="1133" xfId="0" applyFont="1" applyBorder="1" applyAlignment="1">
      <alignment horizontal="center" vertical="center" shrinkToFit="1"/>
    </xf>
    <xf numFmtId="166" fontId="17" fillId="0" borderId="1134" xfId="0" applyFont="1" applyBorder="1" applyAlignment="1">
      <alignment horizontal="center" vertical="center" shrinkToFit="1"/>
    </xf>
    <xf numFmtId="166" fontId="17" fillId="0" borderId="635" xfId="0" applyFont="1" applyBorder="1" applyAlignment="1" applyProtection="1">
      <alignment horizontal="center" vertical="center" shrinkToFit="1"/>
      <protection hidden="1"/>
    </xf>
    <xf numFmtId="166" fontId="17" fillId="0" borderId="544" xfId="0" applyFont="1" applyBorder="1" applyAlignment="1" applyProtection="1">
      <alignment horizontal="left" vertical="center" shrinkToFit="1"/>
      <protection hidden="1"/>
    </xf>
    <xf numFmtId="166" fontId="17" fillId="0" borderId="545" xfId="0" applyFont="1" applyBorder="1" applyAlignment="1" applyProtection="1">
      <alignment horizontal="left" vertical="center" shrinkToFit="1"/>
      <protection hidden="1"/>
    </xf>
    <xf numFmtId="166" fontId="17" fillId="0" borderId="546" xfId="0" applyFont="1" applyBorder="1" applyAlignment="1" applyProtection="1">
      <alignment horizontal="left" vertical="center" shrinkToFit="1"/>
      <protection hidden="1"/>
    </xf>
    <xf numFmtId="192" fontId="19" fillId="0" borderId="581" xfId="0" applyNumberFormat="1" applyFont="1" applyBorder="1" applyAlignment="1" applyProtection="1">
      <alignment horizontal="left" vertical="center" shrinkToFit="1"/>
      <protection hidden="1"/>
    </xf>
    <xf numFmtId="192" fontId="19" fillId="0" borderId="565" xfId="0" applyNumberFormat="1" applyFont="1" applyBorder="1" applyAlignment="1" applyProtection="1">
      <alignment horizontal="left" vertical="center" shrinkToFit="1"/>
      <protection hidden="1"/>
    </xf>
    <xf numFmtId="192" fontId="19" fillId="0" borderId="566" xfId="0" applyNumberFormat="1" applyFont="1" applyBorder="1" applyAlignment="1" applyProtection="1">
      <alignment horizontal="left" vertical="center" shrinkToFit="1"/>
      <protection hidden="1"/>
    </xf>
    <xf numFmtId="0" fontId="3" fillId="0" borderId="403" xfId="5" applyFont="1" applyBorder="1" applyAlignment="1" applyProtection="1">
      <alignment horizontal="center" vertical="center" wrapText="1" shrinkToFit="1"/>
      <protection hidden="1"/>
    </xf>
    <xf numFmtId="0" fontId="3" fillId="0" borderId="584" xfId="5" applyFont="1" applyBorder="1" applyAlignment="1" applyProtection="1">
      <alignment horizontal="center" vertical="center" wrapText="1" shrinkToFit="1"/>
      <protection hidden="1"/>
    </xf>
    <xf numFmtId="0" fontId="3" fillId="0" borderId="585" xfId="5" applyFont="1" applyBorder="1" applyAlignment="1" applyProtection="1">
      <alignment horizontal="center" vertical="center" wrapText="1" shrinkToFit="1"/>
      <protection hidden="1"/>
    </xf>
    <xf numFmtId="0" fontId="3" fillId="0" borderId="404" xfId="5" applyFont="1" applyBorder="1" applyAlignment="1" applyProtection="1">
      <alignment horizontal="center" vertical="center" wrapText="1" shrinkToFit="1"/>
      <protection hidden="1"/>
    </xf>
    <xf numFmtId="0" fontId="3" fillId="0" borderId="253" xfId="5" applyFont="1" applyBorder="1" applyAlignment="1" applyProtection="1">
      <alignment horizontal="center" vertical="center" wrapText="1" shrinkToFit="1"/>
      <protection hidden="1"/>
    </xf>
    <xf numFmtId="0" fontId="3" fillId="0" borderId="252" xfId="5" applyFont="1" applyBorder="1" applyAlignment="1" applyProtection="1">
      <alignment horizontal="center" vertical="center" wrapText="1" shrinkToFit="1"/>
      <protection hidden="1"/>
    </xf>
    <xf numFmtId="166" fontId="13" fillId="0" borderId="0" xfId="0" applyFont="1" applyAlignment="1">
      <alignment horizontal="center" vertical="center"/>
    </xf>
    <xf numFmtId="166" fontId="13" fillId="0" borderId="610" xfId="0" applyFont="1" applyBorder="1" applyAlignment="1">
      <alignment horizontal="center" vertical="center"/>
    </xf>
    <xf numFmtId="3" fontId="17" fillId="0" borderId="582" xfId="0" applyNumberFormat="1" applyFont="1" applyBorder="1" applyAlignment="1" applyProtection="1">
      <alignment horizontal="left" vertical="center" shrinkToFit="1"/>
      <protection hidden="1"/>
    </xf>
    <xf numFmtId="3" fontId="17" fillId="0" borderId="568" xfId="0" applyNumberFormat="1" applyFont="1" applyBorder="1" applyAlignment="1" applyProtection="1">
      <alignment horizontal="left" vertical="center" shrinkToFit="1"/>
      <protection hidden="1"/>
    </xf>
    <xf numFmtId="3" fontId="17" fillId="0" borderId="569" xfId="0" applyNumberFormat="1" applyFont="1" applyBorder="1" applyAlignment="1" applyProtection="1">
      <alignment horizontal="left" vertical="center" shrinkToFit="1"/>
      <protection hidden="1"/>
    </xf>
    <xf numFmtId="0" fontId="13" fillId="0" borderId="65" xfId="9" applyFont="1" applyBorder="1" applyAlignment="1" applyProtection="1">
      <alignment horizontal="center" vertical="center" shrinkToFit="1"/>
      <protection hidden="1"/>
    </xf>
    <xf numFmtId="0" fontId="13" fillId="0" borderId="826" xfId="9" applyFont="1" applyBorder="1" applyAlignment="1" applyProtection="1">
      <alignment horizontal="center" vertical="center" shrinkToFit="1"/>
      <protection hidden="1"/>
    </xf>
    <xf numFmtId="0" fontId="13" fillId="0" borderId="66" xfId="9" applyFont="1" applyBorder="1" applyAlignment="1" applyProtection="1">
      <alignment horizontal="center" vertical="center" shrinkToFit="1"/>
      <protection hidden="1"/>
    </xf>
    <xf numFmtId="0" fontId="13" fillId="0" borderId="366" xfId="9" applyFont="1" applyBorder="1" applyAlignment="1" applyProtection="1">
      <alignment horizontal="center" vertical="center" shrinkToFit="1"/>
      <protection hidden="1"/>
    </xf>
    <xf numFmtId="0" fontId="13" fillId="0" borderId="402" xfId="9" applyFont="1" applyBorder="1" applyAlignment="1" applyProtection="1">
      <alignment horizontal="center" vertical="center" shrinkToFit="1"/>
      <protection hidden="1"/>
    </xf>
    <xf numFmtId="0" fontId="13" fillId="0" borderId="64" xfId="9" applyFont="1" applyBorder="1" applyAlignment="1" applyProtection="1">
      <alignment horizontal="center" vertical="center" shrinkToFit="1"/>
      <protection hidden="1"/>
    </xf>
    <xf numFmtId="0" fontId="13" fillId="0" borderId="367" xfId="9" applyFont="1" applyBorder="1" applyAlignment="1" applyProtection="1">
      <alignment horizontal="center" vertical="center" shrinkToFit="1"/>
      <protection hidden="1"/>
    </xf>
    <xf numFmtId="0" fontId="14" fillId="0" borderId="122" xfId="5" applyFont="1" applyBorder="1" applyAlignment="1" applyProtection="1">
      <alignment horizontal="left" vertical="center" shrinkToFit="1"/>
      <protection hidden="1"/>
    </xf>
    <xf numFmtId="0" fontId="14" fillId="0" borderId="825" xfId="5" applyFont="1" applyBorder="1" applyAlignment="1" applyProtection="1">
      <alignment horizontal="left" vertical="center" shrinkToFit="1"/>
      <protection hidden="1"/>
    </xf>
    <xf numFmtId="0" fontId="14" fillId="0" borderId="120" xfId="5" applyFont="1" applyBorder="1" applyAlignment="1" applyProtection="1">
      <alignment horizontal="left" vertical="center" shrinkToFit="1"/>
      <protection hidden="1"/>
    </xf>
    <xf numFmtId="166" fontId="13" fillId="0" borderId="401" xfId="0" applyFont="1" applyBorder="1" applyAlignment="1" applyProtection="1">
      <alignment horizontal="right" vertical="center" shrinkToFit="1"/>
      <protection hidden="1"/>
    </xf>
    <xf numFmtId="166" fontId="13" fillId="0" borderId="825" xfId="0" applyFont="1" applyBorder="1" applyAlignment="1" applyProtection="1">
      <alignment horizontal="right" vertical="center" shrinkToFit="1"/>
      <protection hidden="1"/>
    </xf>
    <xf numFmtId="166" fontId="19" fillId="0" borderId="545" xfId="0" applyFont="1" applyBorder="1" applyAlignment="1" applyProtection="1">
      <alignment horizontal="left" vertical="center" shrinkToFit="1"/>
      <protection hidden="1"/>
    </xf>
    <xf numFmtId="166" fontId="19" fillId="0" borderId="546" xfId="0" applyFont="1" applyBorder="1" applyAlignment="1" applyProtection="1">
      <alignment horizontal="left" vertical="center" shrinkToFit="1"/>
      <protection hidden="1"/>
    </xf>
    <xf numFmtId="166" fontId="18" fillId="0" borderId="565" xfId="0" applyFont="1" applyBorder="1" applyAlignment="1" applyProtection="1">
      <alignment horizontal="left" vertical="center" shrinkToFit="1"/>
      <protection hidden="1"/>
    </xf>
    <xf numFmtId="166" fontId="18" fillId="0" borderId="566" xfId="0" applyFont="1" applyBorder="1" applyAlignment="1" applyProtection="1">
      <alignment horizontal="left" vertical="center" shrinkToFit="1"/>
      <protection hidden="1"/>
    </xf>
    <xf numFmtId="166" fontId="13" fillId="0" borderId="582" xfId="0" applyFont="1" applyBorder="1" applyAlignment="1" applyProtection="1">
      <alignment horizontal="right" vertical="center" shrinkToFit="1"/>
      <protection hidden="1"/>
    </xf>
    <xf numFmtId="166" fontId="13" fillId="0" borderId="564" xfId="0" applyFont="1" applyBorder="1" applyAlignment="1" applyProtection="1">
      <alignment horizontal="right" vertical="center" shrinkToFit="1"/>
      <protection hidden="1"/>
    </xf>
    <xf numFmtId="166" fontId="17" fillId="0" borderId="208" xfId="0" applyFont="1" applyBorder="1" applyAlignment="1" applyProtection="1">
      <alignment horizontal="center" vertical="center" shrinkToFit="1"/>
      <protection hidden="1"/>
    </xf>
    <xf numFmtId="166" fontId="17" fillId="0" borderId="1143" xfId="0" applyFont="1" applyBorder="1" applyAlignment="1" applyProtection="1">
      <alignment horizontal="center" vertical="center" shrinkToFit="1"/>
      <protection hidden="1"/>
    </xf>
    <xf numFmtId="166" fontId="17" fillId="0" borderId="203" xfId="0" applyFont="1" applyBorder="1" applyAlignment="1" applyProtection="1">
      <alignment horizontal="center" vertical="center" shrinkToFit="1"/>
      <protection hidden="1"/>
    </xf>
    <xf numFmtId="166" fontId="17" fillId="0" borderId="1142" xfId="0" applyFont="1" applyBorder="1" applyAlignment="1" applyProtection="1">
      <alignment horizontal="center" vertical="center" shrinkToFit="1"/>
      <protection hidden="1"/>
    </xf>
    <xf numFmtId="166" fontId="2" fillId="0" borderId="401" xfId="0" applyFont="1" applyBorder="1" applyAlignment="1" applyProtection="1">
      <alignment horizontal="right" vertical="center" shrinkToFit="1"/>
      <protection hidden="1"/>
    </xf>
    <xf numFmtId="166" fontId="2" fillId="0" borderId="825" xfId="0" applyFont="1" applyBorder="1" applyAlignment="1" applyProtection="1">
      <alignment horizontal="right" vertical="center" shrinkToFit="1"/>
      <protection hidden="1"/>
    </xf>
    <xf numFmtId="166" fontId="13" fillId="0" borderId="0" xfId="0" applyFont="1" applyAlignment="1" applyProtection="1">
      <alignment horizontal="center" vertical="center" wrapText="1"/>
      <protection hidden="1"/>
    </xf>
    <xf numFmtId="166" fontId="13" fillId="0" borderId="245" xfId="0" applyFont="1" applyBorder="1" applyAlignment="1" applyProtection="1">
      <alignment horizontal="center" vertical="center" wrapText="1"/>
      <protection hidden="1"/>
    </xf>
    <xf numFmtId="166" fontId="17" fillId="0" borderId="198" xfId="0" applyFont="1" applyBorder="1" applyAlignment="1" applyProtection="1">
      <alignment horizontal="center" vertical="center" shrinkToFit="1"/>
      <protection hidden="1"/>
    </xf>
    <xf numFmtId="166" fontId="17" fillId="0" borderId="1141" xfId="0" applyFont="1" applyBorder="1" applyAlignment="1" applyProtection="1">
      <alignment horizontal="center" vertical="center" shrinkToFit="1"/>
      <protection hidden="1"/>
    </xf>
    <xf numFmtId="166" fontId="17" fillId="0" borderId="73" xfId="0" applyFont="1" applyBorder="1" applyAlignment="1" applyProtection="1">
      <alignment horizontal="left" vertical="center" shrinkToFit="1"/>
      <protection hidden="1"/>
    </xf>
    <xf numFmtId="166" fontId="17" fillId="0" borderId="74" xfId="0" applyFont="1" applyBorder="1" applyAlignment="1" applyProtection="1">
      <alignment horizontal="left" vertical="center" shrinkToFit="1"/>
      <protection hidden="1"/>
    </xf>
    <xf numFmtId="199" fontId="19" fillId="0" borderId="74" xfId="0" applyNumberFormat="1" applyFont="1" applyBorder="1" applyAlignment="1" applyProtection="1">
      <alignment horizontal="left" vertical="center" wrapText="1"/>
      <protection hidden="1"/>
    </xf>
    <xf numFmtId="166" fontId="17" fillId="0" borderId="70" xfId="0" applyFont="1" applyBorder="1" applyAlignment="1" applyProtection="1">
      <alignment horizontal="left" vertical="center" shrinkToFit="1"/>
      <protection hidden="1"/>
    </xf>
    <xf numFmtId="166" fontId="17" fillId="0" borderId="71" xfId="0" applyFont="1" applyBorder="1" applyAlignment="1" applyProtection="1">
      <alignment horizontal="left" vertical="center" shrinkToFit="1"/>
      <protection hidden="1"/>
    </xf>
    <xf numFmtId="199" fontId="19" fillId="0" borderId="71" xfId="0" applyNumberFormat="1" applyFont="1" applyBorder="1" applyAlignment="1" applyProtection="1">
      <alignment horizontal="left" vertical="center" wrapText="1"/>
      <protection hidden="1"/>
    </xf>
    <xf numFmtId="199" fontId="19" fillId="0" borderId="68" xfId="0" applyNumberFormat="1" applyFont="1" applyBorder="1" applyAlignment="1" applyProtection="1">
      <alignment horizontal="left" vertical="center" wrapText="1"/>
      <protection hidden="1"/>
    </xf>
    <xf numFmtId="166" fontId="17" fillId="0" borderId="67" xfId="0" applyFont="1" applyBorder="1" applyAlignment="1" applyProtection="1">
      <alignment horizontal="left" vertical="center" shrinkToFit="1"/>
      <protection hidden="1"/>
    </xf>
    <xf numFmtId="166" fontId="17" fillId="0" borderId="68" xfId="0" applyFont="1" applyBorder="1" applyAlignment="1" applyProtection="1">
      <alignment horizontal="left" vertical="center" shrinkToFit="1"/>
      <protection hidden="1"/>
    </xf>
    <xf numFmtId="166" fontId="0" fillId="0" borderId="401" xfId="0" applyBorder="1" applyAlignment="1" applyProtection="1">
      <alignment horizontal="center"/>
      <protection hidden="1"/>
    </xf>
    <xf numFmtId="166" fontId="0" fillId="0" borderId="1144" xfId="0" applyBorder="1" applyAlignment="1" applyProtection="1">
      <alignment horizontal="center"/>
      <protection hidden="1"/>
    </xf>
    <xf numFmtId="192" fontId="17" fillId="0" borderId="825" xfId="0" applyNumberFormat="1" applyFont="1" applyBorder="1" applyAlignment="1" applyProtection="1">
      <alignment horizontal="left" vertical="center" shrinkToFit="1"/>
      <protection hidden="1"/>
    </xf>
    <xf numFmtId="192" fontId="17" fillId="0" borderId="1144" xfId="0" applyNumberFormat="1" applyFont="1" applyBorder="1" applyAlignment="1" applyProtection="1">
      <alignment horizontal="left" vertical="center" shrinkToFit="1"/>
      <protection hidden="1"/>
    </xf>
    <xf numFmtId="0" fontId="19" fillId="0" borderId="825" xfId="0" applyNumberFormat="1" applyFont="1" applyBorder="1" applyAlignment="1" applyProtection="1">
      <alignment horizontal="left" vertical="center" shrinkToFit="1"/>
      <protection hidden="1"/>
    </xf>
    <xf numFmtId="0" fontId="19" fillId="0" borderId="1144" xfId="0" applyNumberFormat="1" applyFont="1" applyBorder="1" applyAlignment="1" applyProtection="1">
      <alignment horizontal="left" vertical="center" shrinkToFit="1"/>
      <protection hidden="1"/>
    </xf>
    <xf numFmtId="0" fontId="17" fillId="0" borderId="825" xfId="0" applyNumberFormat="1" applyFont="1" applyBorder="1" applyAlignment="1" applyProtection="1">
      <alignment horizontal="left" vertical="center" shrinkToFit="1"/>
      <protection hidden="1"/>
    </xf>
    <xf numFmtId="0" fontId="17" fillId="0" borderId="1144" xfId="0" applyNumberFormat="1" applyFont="1" applyBorder="1" applyAlignment="1" applyProtection="1">
      <alignment horizontal="left" vertical="center" shrinkToFit="1"/>
      <protection hidden="1"/>
    </xf>
    <xf numFmtId="166" fontId="17" fillId="0" borderId="825" xfId="0" applyFont="1" applyBorder="1" applyAlignment="1" applyProtection="1">
      <alignment horizontal="left" vertical="center" shrinkToFit="1"/>
      <protection hidden="1"/>
    </xf>
    <xf numFmtId="166" fontId="17" fillId="0" borderId="1144" xfId="0" applyFont="1" applyBorder="1" applyAlignment="1" applyProtection="1">
      <alignment horizontal="left" vertical="center" shrinkToFit="1"/>
      <protection hidden="1"/>
    </xf>
    <xf numFmtId="0" fontId="17" fillId="0" borderId="136" xfId="3" applyFont="1" applyBorder="1" applyAlignment="1" applyProtection="1">
      <alignment horizontal="center" vertical="center" wrapText="1"/>
      <protection hidden="1"/>
    </xf>
    <xf numFmtId="0" fontId="17" fillId="0" borderId="127" xfId="3" applyFont="1" applyBorder="1" applyAlignment="1" applyProtection="1">
      <alignment horizontal="center" vertical="center" wrapText="1"/>
      <protection hidden="1"/>
    </xf>
    <xf numFmtId="0" fontId="17" fillId="0" borderId="137" xfId="3" applyFont="1" applyBorder="1" applyAlignment="1" applyProtection="1">
      <alignment horizontal="center" vertical="center" wrapText="1"/>
      <protection hidden="1"/>
    </xf>
    <xf numFmtId="166" fontId="13" fillId="0" borderId="0" xfId="0" applyFont="1" applyAlignment="1">
      <alignment shrinkToFit="1"/>
    </xf>
    <xf numFmtId="166" fontId="13" fillId="0" borderId="0" xfId="0" applyFont="1" applyAlignment="1">
      <alignment horizontal="center" shrinkToFit="1"/>
    </xf>
    <xf numFmtId="166" fontId="13" fillId="0" borderId="850" xfId="0" applyFont="1" applyBorder="1" applyAlignment="1">
      <alignment horizontal="center" shrinkToFit="1"/>
    </xf>
    <xf numFmtId="166" fontId="13" fillId="0" borderId="0" xfId="0" applyFont="1" applyAlignment="1">
      <alignment horizontal="left" shrinkToFit="1"/>
    </xf>
    <xf numFmtId="166" fontId="18" fillId="0" borderId="558" xfId="0" applyFont="1" applyBorder="1" applyAlignment="1" applyProtection="1">
      <alignment horizontal="center" vertical="center" wrapText="1"/>
      <protection hidden="1"/>
    </xf>
    <xf numFmtId="166" fontId="18" fillId="0" borderId="559" xfId="0" applyFont="1" applyBorder="1" applyAlignment="1" applyProtection="1">
      <alignment horizontal="center" vertical="center" wrapText="1"/>
      <protection hidden="1"/>
    </xf>
    <xf numFmtId="166" fontId="18" fillId="0" borderId="560" xfId="0" applyFont="1" applyBorder="1" applyAlignment="1" applyProtection="1">
      <alignment horizontal="center" vertical="center" wrapText="1"/>
      <protection hidden="1"/>
    </xf>
    <xf numFmtId="166" fontId="13" fillId="0" borderId="247" xfId="0" applyFont="1" applyBorder="1" applyAlignment="1">
      <alignment shrinkToFit="1"/>
    </xf>
    <xf numFmtId="166" fontId="31" fillId="4" borderId="358" xfId="0" applyFont="1" applyFill="1" applyBorder="1" applyAlignment="1" applyProtection="1">
      <alignment horizontal="center" vertical="center"/>
      <protection hidden="1"/>
    </xf>
    <xf numFmtId="166" fontId="31" fillId="4" borderId="144" xfId="0" applyFont="1" applyFill="1" applyBorder="1" applyAlignment="1" applyProtection="1">
      <alignment horizontal="center" vertical="center"/>
      <protection hidden="1"/>
    </xf>
    <xf numFmtId="166" fontId="31" fillId="4" borderId="359" xfId="0" applyFont="1" applyFill="1" applyBorder="1" applyAlignment="1" applyProtection="1">
      <alignment horizontal="center" vertical="center"/>
      <protection hidden="1"/>
    </xf>
    <xf numFmtId="166" fontId="13" fillId="0" borderId="142" xfId="0" applyFont="1" applyBorder="1" applyAlignment="1" applyProtection="1">
      <alignment horizontal="center" vertical="center" wrapText="1"/>
      <protection hidden="1"/>
    </xf>
    <xf numFmtId="166" fontId="13" fillId="0" borderId="143" xfId="0" applyFont="1" applyBorder="1" applyAlignment="1" applyProtection="1">
      <alignment horizontal="center" vertical="center" wrapText="1"/>
      <protection hidden="1"/>
    </xf>
    <xf numFmtId="166" fontId="19" fillId="0" borderId="142" xfId="0" applyFont="1" applyBorder="1" applyAlignment="1" applyProtection="1">
      <alignment horizontal="center" vertical="center" shrinkToFit="1"/>
      <protection hidden="1"/>
    </xf>
    <xf numFmtId="166" fontId="19" fillId="0" borderId="143" xfId="0" applyFont="1" applyBorder="1" applyAlignment="1" applyProtection="1">
      <alignment horizontal="center" vertical="center" shrinkToFit="1"/>
      <protection hidden="1"/>
    </xf>
    <xf numFmtId="0" fontId="13" fillId="0" borderId="0" xfId="3" applyFont="1" applyAlignment="1" applyProtection="1">
      <alignment horizontal="center"/>
      <protection hidden="1"/>
    </xf>
    <xf numFmtId="203" fontId="13" fillId="0" borderId="985" xfId="3" applyNumberFormat="1" applyFont="1" applyBorder="1" applyAlignment="1" applyProtection="1">
      <alignment horizontal="center" shrinkToFit="1"/>
      <protection hidden="1"/>
    </xf>
    <xf numFmtId="0" fontId="13" fillId="0" borderId="0" xfId="3" applyFont="1" applyAlignment="1" applyProtection="1">
      <alignment horizontal="center" shrinkToFit="1"/>
      <protection hidden="1"/>
    </xf>
    <xf numFmtId="0" fontId="13" fillId="0" borderId="985" xfId="3" applyFont="1" applyBorder="1" applyAlignment="1" applyProtection="1">
      <alignment horizontal="center" shrinkToFit="1"/>
      <protection hidden="1"/>
    </xf>
    <xf numFmtId="203" fontId="13" fillId="0" borderId="0" xfId="3" applyNumberFormat="1" applyFont="1" applyAlignment="1" applyProtection="1">
      <alignment horizontal="center" shrinkToFit="1"/>
      <protection hidden="1"/>
    </xf>
    <xf numFmtId="166" fontId="13" fillId="0" borderId="170" xfId="0" applyFont="1" applyBorder="1" applyAlignment="1" applyProtection="1">
      <alignment horizontal="center" shrinkToFit="1"/>
      <protection hidden="1"/>
    </xf>
    <xf numFmtId="166" fontId="31" fillId="4" borderId="351" xfId="0" applyFont="1" applyFill="1" applyBorder="1" applyAlignment="1" applyProtection="1">
      <alignment horizontal="center" vertical="center" shrinkToFit="1"/>
      <protection hidden="1"/>
    </xf>
    <xf numFmtId="166" fontId="31" fillId="4" borderId="350" xfId="0" applyFont="1" applyFill="1" applyBorder="1" applyAlignment="1" applyProtection="1">
      <alignment horizontal="center" vertical="center" shrinkToFit="1"/>
      <protection hidden="1"/>
    </xf>
    <xf numFmtId="166" fontId="31" fillId="4" borderId="352" xfId="0" applyFont="1" applyFill="1" applyBorder="1" applyAlignment="1" applyProtection="1">
      <alignment horizontal="center" vertical="center" shrinkToFit="1"/>
      <protection hidden="1"/>
    </xf>
    <xf numFmtId="0" fontId="17" fillId="0" borderId="851" xfId="8" applyFont="1" applyBorder="1" applyAlignment="1" applyProtection="1">
      <alignment horizontal="center" shrinkToFit="1"/>
      <protection hidden="1"/>
    </xf>
    <xf numFmtId="175" fontId="76" fillId="19" borderId="1098" xfId="5" applyNumberFormat="1" applyFont="1" applyFill="1" applyBorder="1" applyAlignment="1" applyProtection="1">
      <alignment horizontal="left" vertical="top" wrapText="1" shrinkToFit="1"/>
      <protection locked="0"/>
    </xf>
    <xf numFmtId="175" fontId="76" fillId="19" borderId="5" xfId="5" applyNumberFormat="1" applyFont="1" applyFill="1" applyBorder="1" applyAlignment="1" applyProtection="1">
      <alignment horizontal="left" vertical="top" wrapText="1" shrinkToFit="1"/>
      <protection locked="0"/>
    </xf>
    <xf numFmtId="175" fontId="76" fillId="19" borderId="1099" xfId="5" applyNumberFormat="1" applyFont="1" applyFill="1" applyBorder="1" applyAlignment="1" applyProtection="1">
      <alignment horizontal="left" vertical="top" wrapText="1" shrinkToFit="1"/>
      <protection locked="0"/>
    </xf>
    <xf numFmtId="0" fontId="17" fillId="0" borderId="1124" xfId="5" applyFont="1" applyBorder="1" applyAlignment="1" applyProtection="1">
      <alignment horizontal="center" vertical="center" shrinkToFit="1"/>
      <protection hidden="1"/>
    </xf>
    <xf numFmtId="0" fontId="17" fillId="0" borderId="1125" xfId="5" applyFont="1" applyBorder="1" applyAlignment="1" applyProtection="1">
      <alignment horizontal="center" vertical="center" shrinkToFit="1"/>
      <protection hidden="1"/>
    </xf>
    <xf numFmtId="0" fontId="17" fillId="0" borderId="1126" xfId="5" applyFont="1" applyBorder="1" applyAlignment="1" applyProtection="1">
      <alignment horizontal="center" vertical="center" shrinkToFit="1"/>
      <protection hidden="1"/>
    </xf>
    <xf numFmtId="0" fontId="65" fillId="0" borderId="1097" xfId="5" applyFont="1" applyBorder="1" applyAlignment="1" applyProtection="1">
      <alignment horizontal="center" vertical="center" shrinkToFit="1"/>
      <protection hidden="1"/>
    </xf>
    <xf numFmtId="0" fontId="65" fillId="0" borderId="130" xfId="5" applyFont="1" applyBorder="1" applyAlignment="1" applyProtection="1">
      <alignment horizontal="center" vertical="center" shrinkToFit="1"/>
      <protection hidden="1"/>
    </xf>
    <xf numFmtId="0" fontId="65" fillId="0" borderId="1096" xfId="5" applyFont="1" applyBorder="1" applyAlignment="1" applyProtection="1">
      <alignment horizontal="center" vertical="center" shrinkToFit="1"/>
      <protection hidden="1"/>
    </xf>
    <xf numFmtId="166" fontId="25" fillId="0" borderId="704" xfId="0" applyFont="1" applyBorder="1" applyAlignment="1" applyProtection="1">
      <alignment horizontal="right" shrinkToFit="1"/>
      <protection hidden="1"/>
    </xf>
    <xf numFmtId="166" fontId="25" fillId="0" borderId="705" xfId="0" applyFont="1" applyBorder="1" applyAlignment="1" applyProtection="1">
      <alignment horizontal="right" shrinkToFit="1"/>
      <protection hidden="1"/>
    </xf>
    <xf numFmtId="166" fontId="25" fillId="0" borderId="1066" xfId="0" applyFont="1" applyBorder="1" applyAlignment="1" applyProtection="1">
      <alignment horizontal="right" shrinkToFit="1"/>
      <protection hidden="1"/>
    </xf>
    <xf numFmtId="166" fontId="25" fillId="0" borderId="1067" xfId="0" applyFont="1" applyBorder="1" applyAlignment="1" applyProtection="1">
      <alignment horizontal="right" shrinkToFit="1"/>
      <protection hidden="1"/>
    </xf>
    <xf numFmtId="166" fontId="45" fillId="0" borderId="1048" xfId="0" applyFont="1" applyBorder="1" applyAlignment="1" applyProtection="1">
      <alignment horizontal="right" shrinkToFit="1"/>
      <protection hidden="1"/>
    </xf>
    <xf numFmtId="166" fontId="45" fillId="0" borderId="1070" xfId="0" applyFont="1" applyBorder="1" applyAlignment="1" applyProtection="1">
      <alignment horizontal="right" shrinkToFit="1"/>
      <protection hidden="1"/>
    </xf>
    <xf numFmtId="0" fontId="65" fillId="0" borderId="1036" xfId="5" applyFont="1" applyBorder="1" applyAlignment="1" applyProtection="1">
      <alignment horizontal="center" vertical="center" shrinkToFit="1"/>
      <protection hidden="1"/>
    </xf>
    <xf numFmtId="0" fontId="65" fillId="0" borderId="213" xfId="5" applyFont="1" applyBorder="1" applyAlignment="1" applyProtection="1">
      <alignment horizontal="center" vertical="center" shrinkToFit="1"/>
      <protection hidden="1"/>
    </xf>
    <xf numFmtId="165" fontId="63" fillId="18" borderId="431" xfId="0" applyNumberFormat="1" applyFont="1" applyFill="1" applyBorder="1" applyAlignment="1" applyProtection="1">
      <alignment horizontal="left" shrinkToFit="1"/>
      <protection locked="0" hidden="1"/>
    </xf>
    <xf numFmtId="0" fontId="67" fillId="11" borderId="923" xfId="5" applyFont="1" applyFill="1" applyBorder="1" applyAlignment="1">
      <alignment horizontal="center" vertical="center"/>
    </xf>
    <xf numFmtId="0" fontId="67" fillId="11" borderId="763" xfId="5" applyFont="1" applyFill="1" applyBorder="1" applyAlignment="1">
      <alignment horizontal="center" vertical="center"/>
    </xf>
    <xf numFmtId="166" fontId="25" fillId="0" borderId="706" xfId="0" applyFont="1" applyBorder="1" applyAlignment="1" applyProtection="1">
      <alignment horizontal="right" shrinkToFit="1"/>
      <protection hidden="1"/>
    </xf>
    <xf numFmtId="166" fontId="25" fillId="0" borderId="707" xfId="0" applyFont="1" applyBorder="1" applyAlignment="1" applyProtection="1">
      <alignment horizontal="right" shrinkToFit="1"/>
      <protection hidden="1"/>
    </xf>
    <xf numFmtId="166" fontId="45" fillId="0" borderId="716" xfId="0" applyFont="1" applyBorder="1" applyAlignment="1" applyProtection="1">
      <alignment horizontal="right" shrinkToFit="1"/>
      <protection hidden="1"/>
    </xf>
    <xf numFmtId="166" fontId="45" fillId="0" borderId="717" xfId="0" applyFont="1" applyBorder="1" applyAlignment="1" applyProtection="1">
      <alignment horizontal="right" shrinkToFit="1"/>
      <protection hidden="1"/>
    </xf>
    <xf numFmtId="201" fontId="13" fillId="0" borderId="708" xfId="1" applyNumberFormat="1" applyFont="1" applyBorder="1" applyAlignment="1" applyProtection="1">
      <alignment horizontal="center" shrinkToFit="1"/>
      <protection hidden="1"/>
    </xf>
    <xf numFmtId="201" fontId="13" fillId="0" borderId="709" xfId="1" applyNumberFormat="1" applyFont="1" applyBorder="1" applyAlignment="1" applyProtection="1">
      <alignment horizontal="center" shrinkToFit="1"/>
      <protection hidden="1"/>
    </xf>
    <xf numFmtId="201" fontId="18" fillId="0" borderId="710" xfId="1" applyNumberFormat="1" applyFont="1" applyBorder="1" applyAlignment="1" applyProtection="1">
      <alignment horizontal="center" shrinkToFit="1"/>
      <protection hidden="1"/>
    </xf>
    <xf numFmtId="201" fontId="18" fillId="0" borderId="711" xfId="1" applyNumberFormat="1" applyFont="1" applyBorder="1" applyAlignment="1" applyProtection="1">
      <alignment horizontal="center" shrinkToFit="1"/>
      <protection hidden="1"/>
    </xf>
    <xf numFmtId="227" fontId="18" fillId="0" borderId="718" xfId="1" applyNumberFormat="1" applyFont="1" applyBorder="1" applyAlignment="1" applyProtection="1">
      <alignment horizontal="center" shrinkToFit="1"/>
      <protection hidden="1"/>
    </xf>
    <xf numFmtId="227" fontId="18" fillId="0" borderId="719" xfId="1" applyNumberFormat="1" applyFont="1" applyBorder="1" applyAlignment="1" applyProtection="1">
      <alignment horizontal="center" shrinkToFit="1"/>
      <protection hidden="1"/>
    </xf>
    <xf numFmtId="201" fontId="18" fillId="0" borderId="1068" xfId="1" applyNumberFormat="1" applyFont="1" applyBorder="1" applyAlignment="1" applyProtection="1">
      <alignment horizontal="center" shrinkToFit="1"/>
      <protection hidden="1"/>
    </xf>
    <xf numFmtId="201" fontId="18" fillId="0" borderId="1069" xfId="1" applyNumberFormat="1" applyFont="1" applyBorder="1" applyAlignment="1" applyProtection="1">
      <alignment horizontal="center" shrinkToFit="1"/>
      <protection hidden="1"/>
    </xf>
    <xf numFmtId="227" fontId="18" fillId="0" borderId="1071" xfId="1" applyNumberFormat="1" applyFont="1" applyBorder="1" applyAlignment="1" applyProtection="1">
      <alignment horizontal="center" shrinkToFit="1"/>
      <protection hidden="1"/>
    </xf>
    <xf numFmtId="227" fontId="18" fillId="0" borderId="1072" xfId="1" applyNumberFormat="1" applyFont="1" applyBorder="1" applyAlignment="1" applyProtection="1">
      <alignment horizontal="center" shrinkToFit="1"/>
      <protection hidden="1"/>
    </xf>
    <xf numFmtId="0" fontId="85" fillId="0" borderId="474" xfId="5" applyFont="1" applyBorder="1" applyAlignment="1" applyProtection="1">
      <alignment horizontal="center" vertical="center" shrinkToFit="1"/>
      <protection hidden="1"/>
    </xf>
    <xf numFmtId="0" fontId="85" fillId="0" borderId="473" xfId="5" applyFont="1" applyBorder="1" applyAlignment="1" applyProtection="1">
      <alignment horizontal="center" vertical="center" shrinkToFit="1"/>
      <protection hidden="1"/>
    </xf>
    <xf numFmtId="0" fontId="85" fillId="0" borderId="475" xfId="5" applyFont="1" applyBorder="1" applyAlignment="1" applyProtection="1">
      <alignment horizontal="center" vertical="center" shrinkToFit="1"/>
      <protection hidden="1"/>
    </xf>
    <xf numFmtId="166" fontId="63" fillId="0" borderId="563" xfId="0" applyFont="1" applyBorder="1" applyAlignment="1" applyProtection="1">
      <alignment horizontal="right" shrinkToFit="1"/>
      <protection hidden="1"/>
    </xf>
    <xf numFmtId="166" fontId="63" fillId="0" borderId="545" xfId="0" applyFont="1" applyBorder="1" applyAlignment="1" applyProtection="1">
      <alignment horizontal="right" shrinkToFit="1"/>
      <protection hidden="1"/>
    </xf>
    <xf numFmtId="0" fontId="64" fillId="0" borderId="545" xfId="5" applyFont="1" applyBorder="1" applyAlignment="1" applyProtection="1">
      <alignment horizontal="left" shrinkToFit="1"/>
      <protection hidden="1"/>
    </xf>
    <xf numFmtId="0" fontId="64" fillId="0" borderId="546" xfId="5" applyFont="1" applyBorder="1" applyAlignment="1" applyProtection="1">
      <alignment horizontal="left" shrinkToFit="1"/>
      <protection hidden="1"/>
    </xf>
    <xf numFmtId="166" fontId="63" fillId="0" borderId="567" xfId="0" applyFont="1" applyBorder="1" applyAlignment="1" applyProtection="1">
      <alignment horizontal="right" shrinkToFit="1"/>
      <protection hidden="1"/>
    </xf>
    <xf numFmtId="166" fontId="63" fillId="0" borderId="568" xfId="0" applyFont="1" applyBorder="1" applyAlignment="1" applyProtection="1">
      <alignment horizontal="right" shrinkToFit="1"/>
      <protection hidden="1"/>
    </xf>
    <xf numFmtId="229" fontId="64" fillId="0" borderId="568" xfId="0" applyNumberFormat="1" applyFont="1" applyBorder="1" applyAlignment="1" applyProtection="1">
      <alignment horizontal="left" shrinkToFit="1"/>
      <protection hidden="1"/>
    </xf>
    <xf numFmtId="229" fontId="64" fillId="0" borderId="569" xfId="0" applyNumberFormat="1" applyFont="1" applyBorder="1" applyAlignment="1" applyProtection="1">
      <alignment horizontal="left" shrinkToFit="1"/>
      <protection hidden="1"/>
    </xf>
    <xf numFmtId="166" fontId="71" fillId="23" borderId="411" xfId="0" applyFont="1" applyFill="1" applyBorder="1" applyAlignment="1" applyProtection="1">
      <alignment horizontal="center"/>
      <protection hidden="1"/>
    </xf>
    <xf numFmtId="166" fontId="71" fillId="23" borderId="545" xfId="0" applyFont="1" applyFill="1" applyBorder="1" applyAlignment="1" applyProtection="1">
      <alignment horizontal="center"/>
      <protection hidden="1"/>
    </xf>
    <xf numFmtId="166" fontId="64" fillId="0" borderId="563" xfId="0" applyFont="1" applyBorder="1" applyAlignment="1" applyProtection="1">
      <alignment horizontal="center" shrinkToFit="1"/>
      <protection hidden="1"/>
    </xf>
    <xf numFmtId="166" fontId="64" fillId="0" borderId="545" xfId="0" applyFont="1" applyBorder="1" applyAlignment="1" applyProtection="1">
      <alignment horizontal="center" shrinkToFit="1"/>
      <protection hidden="1"/>
    </xf>
    <xf numFmtId="166" fontId="64" fillId="0" borderId="378" xfId="0" applyFont="1" applyBorder="1" applyAlignment="1" applyProtection="1">
      <alignment horizontal="center" shrinkToFit="1"/>
      <protection hidden="1"/>
    </xf>
    <xf numFmtId="166" fontId="65" fillId="0" borderId="545" xfId="0" applyFont="1" applyBorder="1" applyAlignment="1" applyProtection="1">
      <alignment horizontal="left" shrinkToFit="1"/>
      <protection hidden="1"/>
    </xf>
    <xf numFmtId="166" fontId="65" fillId="0" borderId="546" xfId="0" applyFont="1" applyBorder="1" applyAlignment="1" applyProtection="1">
      <alignment horizontal="left" shrinkToFit="1"/>
      <protection hidden="1"/>
    </xf>
    <xf numFmtId="3" fontId="65" fillId="0" borderId="568" xfId="0" applyNumberFormat="1" applyFont="1" applyBorder="1" applyAlignment="1" applyProtection="1">
      <alignment horizontal="left" shrinkToFit="1"/>
      <protection locked="0" hidden="1"/>
    </xf>
    <xf numFmtId="3" fontId="65" fillId="0" borderId="569" xfId="0" applyNumberFormat="1" applyFont="1" applyBorder="1" applyAlignment="1" applyProtection="1">
      <alignment horizontal="left" shrinkToFit="1"/>
      <protection locked="0" hidden="1"/>
    </xf>
    <xf numFmtId="0" fontId="66" fillId="0" borderId="248" xfId="5" applyFont="1" applyBorder="1" applyAlignment="1" applyProtection="1">
      <alignment horizontal="center" vertical="center" wrapText="1" shrinkToFit="1"/>
      <protection hidden="1"/>
    </xf>
    <xf numFmtId="0" fontId="66" fillId="0" borderId="584" xfId="5" applyFont="1" applyBorder="1" applyAlignment="1" applyProtection="1">
      <alignment horizontal="center" vertical="center" wrapText="1" shrinkToFit="1"/>
      <protection hidden="1"/>
    </xf>
    <xf numFmtId="0" fontId="66" fillId="0" borderId="585" xfId="5" applyFont="1" applyBorder="1" applyAlignment="1" applyProtection="1">
      <alignment horizontal="center" vertical="center" wrapText="1" shrinkToFit="1"/>
      <protection hidden="1"/>
    </xf>
    <xf numFmtId="0" fontId="66" fillId="0" borderId="251" xfId="5" applyFont="1" applyBorder="1" applyAlignment="1" applyProtection="1">
      <alignment horizontal="center" vertical="center" wrapText="1" shrinkToFit="1"/>
      <protection hidden="1"/>
    </xf>
    <xf numFmtId="0" fontId="66" fillId="0" borderId="253" xfId="5" applyFont="1" applyBorder="1" applyAlignment="1" applyProtection="1">
      <alignment horizontal="center" vertical="center" wrapText="1" shrinkToFit="1"/>
      <protection hidden="1"/>
    </xf>
    <xf numFmtId="0" fontId="66" fillId="0" borderId="252" xfId="5" applyFont="1" applyBorder="1" applyAlignment="1" applyProtection="1">
      <alignment horizontal="center" vertical="center" wrapText="1" shrinkToFit="1"/>
      <protection hidden="1"/>
    </xf>
    <xf numFmtId="173" fontId="62" fillId="0" borderId="0" xfId="5" applyNumberFormat="1" applyFont="1" applyAlignment="1" applyProtection="1">
      <alignment horizontal="center" vertical="center" shrinkToFit="1"/>
      <protection hidden="1"/>
    </xf>
    <xf numFmtId="173" fontId="62" fillId="0" borderId="170" xfId="5" applyNumberFormat="1" applyFont="1" applyBorder="1" applyAlignment="1" applyProtection="1">
      <alignment horizontal="center" vertical="center" shrinkToFit="1"/>
      <protection hidden="1"/>
    </xf>
    <xf numFmtId="166" fontId="67" fillId="9" borderId="563" xfId="0" applyFont="1" applyFill="1" applyBorder="1" applyAlignment="1" applyProtection="1">
      <alignment horizontal="center"/>
      <protection hidden="1"/>
    </xf>
    <xf numFmtId="166" fontId="67" fillId="9" borderId="545" xfId="0" applyFont="1" applyFill="1" applyBorder="1" applyAlignment="1" applyProtection="1">
      <alignment horizontal="center"/>
      <protection hidden="1"/>
    </xf>
    <xf numFmtId="166" fontId="67" fillId="9" borderId="546" xfId="0" applyFont="1" applyFill="1" applyBorder="1" applyAlignment="1" applyProtection="1">
      <alignment horizontal="center"/>
      <protection hidden="1"/>
    </xf>
    <xf numFmtId="174" fontId="13" fillId="0" borderId="916" xfId="5" applyNumberFormat="1" applyFont="1" applyBorder="1" applyAlignment="1" applyProtection="1">
      <alignment horizontal="center" vertical="center" shrinkToFit="1"/>
      <protection hidden="1"/>
    </xf>
    <xf numFmtId="174" fontId="13" fillId="0" borderId="917" xfId="5" applyNumberFormat="1" applyFont="1" applyBorder="1" applyAlignment="1" applyProtection="1">
      <alignment horizontal="center" vertical="center" shrinkToFit="1"/>
      <protection hidden="1"/>
    </xf>
    <xf numFmtId="174" fontId="63" fillId="0" borderId="345" xfId="5" applyNumberFormat="1" applyFont="1" applyBorder="1" applyAlignment="1" applyProtection="1">
      <alignment horizontal="center" vertical="center" shrinkToFit="1"/>
      <protection hidden="1"/>
    </xf>
    <xf numFmtId="174" fontId="63" fillId="0" borderId="346" xfId="5" applyNumberFormat="1" applyFont="1" applyBorder="1" applyAlignment="1" applyProtection="1">
      <alignment horizontal="center" vertical="center" shrinkToFit="1"/>
      <protection hidden="1"/>
    </xf>
    <xf numFmtId="174" fontId="63" fillId="0" borderId="347" xfId="5" applyNumberFormat="1" applyFont="1" applyBorder="1" applyAlignment="1" applyProtection="1">
      <alignment horizontal="center" vertical="center" shrinkToFit="1"/>
      <protection hidden="1"/>
    </xf>
    <xf numFmtId="174" fontId="63" fillId="0" borderId="348" xfId="5" applyNumberFormat="1" applyFont="1" applyBorder="1" applyAlignment="1" applyProtection="1">
      <alignment horizontal="center" vertical="center" shrinkToFit="1"/>
      <protection hidden="1"/>
    </xf>
    <xf numFmtId="173" fontId="63" fillId="0" borderId="343" xfId="5" applyNumberFormat="1" applyFont="1" applyBorder="1" applyAlignment="1" applyProtection="1">
      <alignment horizontal="center" vertical="center" shrinkToFit="1"/>
      <protection hidden="1"/>
    </xf>
    <xf numFmtId="173" fontId="63" fillId="0" borderId="344" xfId="5" applyNumberFormat="1" applyFont="1" applyBorder="1" applyAlignment="1" applyProtection="1">
      <alignment horizontal="center" vertical="center" shrinkToFit="1"/>
      <protection hidden="1"/>
    </xf>
    <xf numFmtId="173" fontId="63" fillId="0" borderId="345" xfId="5" applyNumberFormat="1" applyFont="1" applyBorder="1" applyAlignment="1" applyProtection="1">
      <alignment horizontal="center" vertical="center" shrinkToFit="1"/>
      <protection hidden="1"/>
    </xf>
    <xf numFmtId="173" fontId="63" fillId="0" borderId="346" xfId="5" applyNumberFormat="1" applyFont="1" applyBorder="1" applyAlignment="1" applyProtection="1">
      <alignment horizontal="center" vertical="center" shrinkToFit="1"/>
      <protection hidden="1"/>
    </xf>
    <xf numFmtId="173" fontId="63" fillId="0" borderId="368" xfId="5" applyNumberFormat="1" applyFont="1" applyBorder="1" applyAlignment="1" applyProtection="1">
      <alignment horizontal="center" vertical="center" shrinkToFit="1"/>
      <protection hidden="1"/>
    </xf>
    <xf numFmtId="173" fontId="63" fillId="0" borderId="369" xfId="5" applyNumberFormat="1" applyFont="1" applyBorder="1" applyAlignment="1" applyProtection="1">
      <alignment horizontal="center" vertical="center" shrinkToFit="1"/>
      <protection hidden="1"/>
    </xf>
    <xf numFmtId="0" fontId="70" fillId="21" borderId="563" xfId="5" applyFont="1" applyFill="1" applyBorder="1" applyAlignment="1" applyProtection="1">
      <alignment horizontal="center"/>
      <protection hidden="1"/>
    </xf>
    <xf numFmtId="0" fontId="70" fillId="21" borderId="545" xfId="5" applyFont="1" applyFill="1" applyBorder="1" applyAlignment="1" applyProtection="1">
      <alignment horizontal="center"/>
      <protection hidden="1"/>
    </xf>
    <xf numFmtId="174" fontId="63" fillId="0" borderId="371" xfId="5" applyNumberFormat="1" applyFont="1" applyBorder="1" applyAlignment="1" applyProtection="1">
      <alignment horizontal="center" vertical="center" shrinkToFit="1"/>
      <protection hidden="1"/>
    </xf>
    <xf numFmtId="174" fontId="63" fillId="0" borderId="372" xfId="5" applyNumberFormat="1" applyFont="1" applyBorder="1" applyAlignment="1" applyProtection="1">
      <alignment horizontal="center" vertical="center" shrinkToFit="1"/>
      <protection hidden="1"/>
    </xf>
    <xf numFmtId="173" fontId="63" fillId="0" borderId="377" xfId="5" applyNumberFormat="1" applyFont="1" applyBorder="1" applyAlignment="1" applyProtection="1">
      <alignment horizontal="center" vertical="center" shrinkToFit="1"/>
      <protection hidden="1"/>
    </xf>
    <xf numFmtId="173" fontId="63" fillId="0" borderId="373" xfId="5" applyNumberFormat="1" applyFont="1" applyBorder="1" applyAlignment="1" applyProtection="1">
      <alignment horizontal="center" vertical="center" shrinkToFit="1"/>
      <protection hidden="1"/>
    </xf>
    <xf numFmtId="0" fontId="69" fillId="0" borderId="0" xfId="5" applyFont="1" applyAlignment="1" applyProtection="1">
      <alignment horizontal="center"/>
      <protection hidden="1"/>
    </xf>
    <xf numFmtId="0" fontId="69" fillId="0" borderId="253" xfId="5" applyFont="1" applyBorder="1" applyAlignment="1" applyProtection="1">
      <alignment horizontal="center"/>
      <protection hidden="1"/>
    </xf>
    <xf numFmtId="0" fontId="63" fillId="0" borderId="564" xfId="5" applyFont="1" applyBorder="1" applyAlignment="1" applyProtection="1">
      <alignment horizontal="center" shrinkToFit="1"/>
      <protection hidden="1"/>
    </xf>
    <xf numFmtId="0" fontId="63" fillId="0" borderId="565" xfId="5" applyFont="1" applyBorder="1" applyAlignment="1" applyProtection="1">
      <alignment horizontal="center" shrinkToFit="1"/>
      <protection hidden="1"/>
    </xf>
    <xf numFmtId="0" fontId="63" fillId="0" borderId="379" xfId="5" applyFont="1" applyBorder="1" applyAlignment="1" applyProtection="1">
      <alignment horizontal="center" shrinkToFit="1"/>
      <protection hidden="1"/>
    </xf>
    <xf numFmtId="0" fontId="67" fillId="0" borderId="567" xfId="5" applyFont="1" applyBorder="1" applyAlignment="1" applyProtection="1">
      <alignment horizontal="center" shrinkToFit="1"/>
      <protection hidden="1"/>
    </xf>
    <xf numFmtId="0" fontId="67" fillId="0" borderId="568" xfId="5" applyFont="1" applyBorder="1" applyAlignment="1" applyProtection="1">
      <alignment horizontal="center" shrinkToFit="1"/>
      <protection hidden="1"/>
    </xf>
    <xf numFmtId="0" fontId="67" fillId="0" borderId="569" xfId="5" applyFont="1" applyBorder="1" applyAlignment="1" applyProtection="1">
      <alignment horizontal="center" shrinkToFit="1"/>
      <protection hidden="1"/>
    </xf>
    <xf numFmtId="0" fontId="68" fillId="0" borderId="545" xfId="9" applyFont="1" applyBorder="1" applyAlignment="1" applyProtection="1">
      <alignment horizontal="left" shrinkToFit="1"/>
      <protection hidden="1"/>
    </xf>
    <xf numFmtId="0" fontId="68" fillId="0" borderId="546" xfId="9" applyFont="1" applyBorder="1" applyAlignment="1" applyProtection="1">
      <alignment horizontal="left" shrinkToFit="1"/>
      <protection hidden="1"/>
    </xf>
    <xf numFmtId="0" fontId="67" fillId="0" borderId="563" xfId="9" applyFont="1" applyBorder="1" applyAlignment="1" applyProtection="1">
      <alignment horizontal="right" shrinkToFit="1"/>
      <protection hidden="1"/>
    </xf>
    <xf numFmtId="0" fontId="67" fillId="0" borderId="545" xfId="9" applyFont="1" applyBorder="1" applyAlignment="1" applyProtection="1">
      <alignment horizontal="right" shrinkToFit="1"/>
      <protection hidden="1"/>
    </xf>
    <xf numFmtId="0" fontId="63" fillId="0" borderId="567" xfId="5" applyFont="1" applyBorder="1" applyAlignment="1" applyProtection="1">
      <alignment horizontal="center" shrinkToFit="1"/>
      <protection hidden="1"/>
    </xf>
    <xf numFmtId="0" fontId="63" fillId="0" borderId="568" xfId="5" applyFont="1" applyBorder="1" applyAlignment="1" applyProtection="1">
      <alignment horizontal="center" shrinkToFit="1"/>
      <protection hidden="1"/>
    </xf>
    <xf numFmtId="0" fontId="63" fillId="0" borderId="569" xfId="5" applyFont="1" applyBorder="1" applyAlignment="1" applyProtection="1">
      <alignment horizontal="center" shrinkToFit="1"/>
      <protection hidden="1"/>
    </xf>
    <xf numFmtId="0" fontId="72" fillId="18" borderId="411" xfId="5" applyFont="1" applyFill="1" applyBorder="1" applyAlignment="1" applyProtection="1">
      <alignment horizontal="center"/>
      <protection hidden="1"/>
    </xf>
    <xf numFmtId="0" fontId="72" fillId="18" borderId="545" xfId="5" applyFont="1" applyFill="1" applyBorder="1" applyAlignment="1" applyProtection="1">
      <alignment horizontal="center"/>
      <protection hidden="1"/>
    </xf>
    <xf numFmtId="0" fontId="72" fillId="18" borderId="378" xfId="5" applyFont="1" applyFill="1" applyBorder="1" applyAlignment="1" applyProtection="1">
      <alignment horizontal="center"/>
      <protection hidden="1"/>
    </xf>
    <xf numFmtId="0" fontId="67" fillId="11" borderId="412" xfId="5" applyFont="1" applyFill="1" applyBorder="1" applyAlignment="1" applyProtection="1">
      <alignment horizontal="center"/>
      <protection hidden="1"/>
    </xf>
    <xf numFmtId="0" fontId="67" fillId="11" borderId="545" xfId="5" applyFont="1" applyFill="1" applyBorder="1" applyAlignment="1" applyProtection="1">
      <alignment horizontal="center"/>
      <protection hidden="1"/>
    </xf>
    <xf numFmtId="0" fontId="67" fillId="11" borderId="378" xfId="5" applyFont="1" applyFill="1" applyBorder="1" applyAlignment="1" applyProtection="1">
      <alignment horizontal="center"/>
      <protection hidden="1"/>
    </xf>
    <xf numFmtId="176" fontId="13" fillId="0" borderId="341" xfId="5" applyNumberFormat="1" applyFont="1" applyBorder="1" applyAlignment="1" applyProtection="1">
      <alignment horizontal="center" vertical="center" shrinkToFit="1"/>
      <protection hidden="1"/>
    </xf>
    <xf numFmtId="176" fontId="13" fillId="0" borderId="342" xfId="5" applyNumberFormat="1" applyFont="1" applyBorder="1" applyAlignment="1" applyProtection="1">
      <alignment horizontal="center" vertical="center" shrinkToFit="1"/>
      <protection hidden="1"/>
    </xf>
    <xf numFmtId="169" fontId="82" fillId="0" borderId="1101" xfId="5" applyNumberFormat="1" applyFont="1" applyBorder="1" applyAlignment="1" applyProtection="1">
      <alignment horizontal="center" vertical="center" shrinkToFit="1"/>
      <protection hidden="1"/>
    </xf>
    <xf numFmtId="169" fontId="82" fillId="0" borderId="1095" xfId="5" applyNumberFormat="1" applyFont="1" applyBorder="1" applyAlignment="1" applyProtection="1">
      <alignment horizontal="center" vertical="center" shrinkToFit="1"/>
      <protection hidden="1"/>
    </xf>
    <xf numFmtId="169" fontId="82" fillId="0" borderId="1102" xfId="5" applyNumberFormat="1" applyFont="1" applyBorder="1" applyAlignment="1" applyProtection="1">
      <alignment horizontal="center" vertical="center" shrinkToFit="1"/>
      <protection hidden="1"/>
    </xf>
    <xf numFmtId="174" fontId="63" fillId="0" borderId="341" xfId="5" applyNumberFormat="1" applyFont="1" applyBorder="1" applyAlignment="1" applyProtection="1">
      <alignment horizontal="center" vertical="center" shrinkToFit="1"/>
      <protection hidden="1"/>
    </xf>
    <xf numFmtId="174" fontId="63" fillId="0" borderId="342" xfId="5" applyNumberFormat="1" applyFont="1" applyBorder="1" applyAlignment="1" applyProtection="1">
      <alignment horizontal="center" vertical="center" shrinkToFit="1"/>
      <protection hidden="1"/>
    </xf>
    <xf numFmtId="0" fontId="14" fillId="0" borderId="905" xfId="5" applyFont="1" applyBorder="1" applyAlignment="1" applyProtection="1">
      <alignment horizontal="center" shrinkToFit="1"/>
      <protection hidden="1"/>
    </xf>
    <xf numFmtId="0" fontId="14" fillId="0" borderId="906" xfId="5" applyFont="1" applyBorder="1" applyAlignment="1" applyProtection="1">
      <alignment horizontal="center" shrinkToFit="1"/>
      <protection hidden="1"/>
    </xf>
    <xf numFmtId="0" fontId="14" fillId="0" borderId="907" xfId="9" applyFont="1" applyBorder="1" applyAlignment="1" applyProtection="1">
      <alignment horizontal="right" shrinkToFit="1"/>
      <protection hidden="1"/>
    </xf>
    <xf numFmtId="0" fontId="14" fillId="0" borderId="533" xfId="9" applyFont="1" applyBorder="1" applyAlignment="1" applyProtection="1">
      <alignment horizontal="right" shrinkToFit="1"/>
      <protection hidden="1"/>
    </xf>
    <xf numFmtId="0" fontId="19" fillId="0" borderId="533" xfId="9" applyFont="1" applyBorder="1" applyAlignment="1" applyProtection="1">
      <alignment horizontal="center" shrinkToFit="1"/>
      <protection hidden="1"/>
    </xf>
    <xf numFmtId="0" fontId="19" fillId="0" borderId="527" xfId="9" applyFont="1" applyBorder="1" applyAlignment="1" applyProtection="1">
      <alignment horizontal="center" shrinkToFit="1"/>
      <protection hidden="1"/>
    </xf>
    <xf numFmtId="0" fontId="118" fillId="0" borderId="619" xfId="5" applyFont="1" applyBorder="1" applyAlignment="1" applyProtection="1">
      <alignment horizontal="left" vertical="center" shrinkToFit="1"/>
      <protection hidden="1"/>
    </xf>
    <xf numFmtId="0" fontId="118" fillId="0" borderId="0" xfId="5" applyFont="1" applyAlignment="1" applyProtection="1">
      <alignment horizontal="left" vertical="center" shrinkToFit="1"/>
      <protection hidden="1"/>
    </xf>
    <xf numFmtId="0" fontId="118" fillId="0" borderId="476" xfId="5" applyFont="1" applyBorder="1" applyAlignment="1" applyProtection="1">
      <alignment horizontal="left" vertical="center" shrinkToFit="1"/>
      <protection hidden="1"/>
    </xf>
    <xf numFmtId="0" fontId="118" fillId="0" borderId="516" xfId="5" applyFont="1" applyBorder="1" applyAlignment="1" applyProtection="1">
      <alignment horizontal="left" vertical="center" shrinkToFit="1"/>
      <protection hidden="1"/>
    </xf>
    <xf numFmtId="0" fontId="118" fillId="0" borderId="517" xfId="5" applyFont="1" applyBorder="1" applyAlignment="1" applyProtection="1">
      <alignment horizontal="left" vertical="center" shrinkToFit="1"/>
      <protection hidden="1"/>
    </xf>
    <xf numFmtId="0" fontId="118" fillId="0" borderId="518" xfId="5" applyFont="1" applyBorder="1" applyAlignment="1" applyProtection="1">
      <alignment horizontal="left" vertical="center" shrinkToFit="1"/>
      <protection hidden="1"/>
    </xf>
    <xf numFmtId="233" fontId="13" fillId="0" borderId="343" xfId="5" applyNumberFormat="1" applyFont="1" applyBorder="1" applyAlignment="1" applyProtection="1">
      <alignment horizontal="center" vertical="center" shrinkToFit="1"/>
      <protection hidden="1"/>
    </xf>
    <xf numFmtId="233" fontId="13" fillId="0" borderId="344" xfId="5" applyNumberFormat="1" applyFont="1" applyBorder="1" applyAlignment="1" applyProtection="1">
      <alignment horizontal="center" vertical="center" shrinkToFit="1"/>
      <protection hidden="1"/>
    </xf>
    <xf numFmtId="169" fontId="82" fillId="0" borderId="1085" xfId="5" applyNumberFormat="1" applyFont="1" applyBorder="1" applyAlignment="1" applyProtection="1">
      <alignment horizontal="center" vertical="center" shrinkToFit="1"/>
      <protection hidden="1"/>
    </xf>
    <xf numFmtId="169" fontId="82" fillId="0" borderId="1100" xfId="5" applyNumberFormat="1" applyFont="1" applyBorder="1" applyAlignment="1" applyProtection="1">
      <alignment horizontal="center" vertical="center" shrinkToFit="1"/>
      <protection hidden="1"/>
    </xf>
    <xf numFmtId="166" fontId="92" fillId="20" borderId="548" xfId="0" applyFont="1" applyFill="1" applyBorder="1" applyAlignment="1" applyProtection="1">
      <alignment horizontal="center" vertical="center"/>
      <protection locked="0"/>
    </xf>
    <xf numFmtId="166" fontId="92" fillId="20" borderId="549" xfId="0" applyFont="1" applyFill="1" applyBorder="1" applyAlignment="1" applyProtection="1">
      <alignment horizontal="center" vertical="center"/>
      <protection locked="0"/>
    </xf>
    <xf numFmtId="166" fontId="92" fillId="20" borderId="550" xfId="0" applyFont="1" applyFill="1" applyBorder="1" applyAlignment="1" applyProtection="1">
      <alignment horizontal="center" vertical="center"/>
      <protection locked="0"/>
    </xf>
    <xf numFmtId="0" fontId="91" fillId="20" borderId="519" xfId="5" applyFont="1" applyFill="1" applyBorder="1" applyAlignment="1" applyProtection="1">
      <alignment horizontal="center" vertical="center" shrinkToFit="1"/>
      <protection hidden="1"/>
    </xf>
    <xf numFmtId="166" fontId="19" fillId="0" borderId="968" xfId="0" applyFont="1" applyBorder="1" applyAlignment="1">
      <alignment horizontal="center" vertical="center"/>
    </xf>
    <xf numFmtId="166" fontId="19" fillId="0" borderId="253" xfId="0" applyFont="1" applyBorder="1" applyAlignment="1">
      <alignment horizontal="center" vertical="center"/>
    </xf>
    <xf numFmtId="166" fontId="19" fillId="0" borderId="969" xfId="0" applyFont="1" applyBorder="1" applyAlignment="1">
      <alignment horizontal="center" vertical="center"/>
    </xf>
    <xf numFmtId="0" fontId="97" fillId="0" borderId="1120" xfId="5" applyFont="1" applyBorder="1" applyAlignment="1" applyProtection="1">
      <alignment horizontal="center" vertical="center" shrinkToFit="1"/>
      <protection hidden="1"/>
    </xf>
    <xf numFmtId="0" fontId="97" fillId="0" borderId="1121" xfId="5" applyFont="1" applyBorder="1" applyAlignment="1" applyProtection="1">
      <alignment horizontal="center" vertical="center" shrinkToFit="1"/>
      <protection hidden="1"/>
    </xf>
    <xf numFmtId="0" fontId="97" fillId="0" borderId="1122" xfId="5" applyFont="1" applyBorder="1" applyAlignment="1" applyProtection="1">
      <alignment horizontal="center" vertical="center" shrinkToFit="1"/>
      <protection hidden="1"/>
    </xf>
    <xf numFmtId="166" fontId="88" fillId="0" borderId="482" xfId="0" applyFont="1" applyBorder="1" applyAlignment="1" applyProtection="1">
      <alignment horizontal="right" shrinkToFit="1"/>
      <protection locked="0" hidden="1"/>
    </xf>
    <xf numFmtId="166" fontId="88" fillId="0" borderId="483" xfId="0" applyFont="1" applyBorder="1" applyAlignment="1" applyProtection="1">
      <alignment horizontal="right" shrinkToFit="1"/>
      <protection locked="0" hidden="1"/>
    </xf>
    <xf numFmtId="166" fontId="88" fillId="0" borderId="485" xfId="0" applyFont="1" applyBorder="1" applyAlignment="1" applyProtection="1">
      <alignment horizontal="right" shrinkToFit="1"/>
      <protection hidden="1"/>
    </xf>
    <xf numFmtId="166" fontId="88" fillId="0" borderId="481" xfId="0" applyFont="1" applyBorder="1" applyAlignment="1" applyProtection="1">
      <alignment horizontal="right" shrinkToFit="1"/>
      <protection hidden="1"/>
    </xf>
    <xf numFmtId="166" fontId="88" fillId="0" borderId="487" xfId="0" applyFont="1" applyBorder="1" applyAlignment="1" applyProtection="1">
      <alignment horizontal="right" shrinkToFit="1"/>
      <protection locked="0" hidden="1"/>
    </xf>
    <xf numFmtId="166" fontId="88" fillId="0" borderId="443" xfId="0" applyFont="1" applyBorder="1" applyAlignment="1" applyProtection="1">
      <alignment horizontal="right" shrinkToFit="1"/>
      <protection locked="0" hidden="1"/>
    </xf>
    <xf numFmtId="166" fontId="88" fillId="0" borderId="487" xfId="0" applyFont="1" applyBorder="1" applyAlignment="1" applyProtection="1">
      <alignment horizontal="right" shrinkToFit="1"/>
      <protection hidden="1"/>
    </xf>
    <xf numFmtId="166" fontId="88" fillId="0" borderId="443" xfId="0" applyFont="1" applyBorder="1" applyAlignment="1" applyProtection="1">
      <alignment horizontal="right" shrinkToFit="1"/>
      <protection hidden="1"/>
    </xf>
    <xf numFmtId="0" fontId="97" fillId="0" borderId="1105" xfId="5" applyFont="1" applyBorder="1" applyAlignment="1" applyProtection="1">
      <alignment horizontal="center" vertical="center" shrinkToFit="1"/>
      <protection hidden="1"/>
    </xf>
    <xf numFmtId="0" fontId="97" fillId="0" borderId="1112" xfId="5" applyFont="1" applyBorder="1" applyAlignment="1" applyProtection="1">
      <alignment horizontal="center" vertical="center" shrinkToFit="1"/>
      <protection hidden="1"/>
    </xf>
    <xf numFmtId="0" fontId="97" fillId="0" borderId="1119" xfId="5" applyFont="1" applyBorder="1" applyAlignment="1" applyProtection="1">
      <alignment horizontal="center" vertical="center" shrinkToFit="1"/>
      <protection hidden="1"/>
    </xf>
    <xf numFmtId="0" fontId="84" fillId="0" borderId="0" xfId="5" applyFont="1" applyAlignment="1" applyProtection="1">
      <alignment horizontal="center" vertical="center" wrapText="1" shrinkToFit="1"/>
      <protection hidden="1"/>
    </xf>
    <xf numFmtId="166" fontId="19" fillId="21" borderId="545" xfId="0" applyFont="1" applyFill="1" applyBorder="1" applyAlignment="1" applyProtection="1">
      <alignment horizontal="center"/>
      <protection hidden="1"/>
    </xf>
    <xf numFmtId="166" fontId="19" fillId="21" borderId="546" xfId="0" applyFont="1" applyFill="1" applyBorder="1" applyAlignment="1" applyProtection="1">
      <alignment horizontal="center"/>
      <protection hidden="1"/>
    </xf>
    <xf numFmtId="173" fontId="13" fillId="0" borderId="956" xfId="5" applyNumberFormat="1" applyFont="1" applyBorder="1" applyAlignment="1" applyProtection="1">
      <alignment horizontal="center" vertical="center" shrinkToFit="1"/>
      <protection hidden="1"/>
    </xf>
    <xf numFmtId="173" fontId="13" fillId="0" borderId="957" xfId="5" applyNumberFormat="1" applyFont="1" applyBorder="1" applyAlignment="1" applyProtection="1">
      <alignment horizontal="center" vertical="center" shrinkToFit="1"/>
      <protection hidden="1"/>
    </xf>
    <xf numFmtId="173" fontId="13" fillId="0" borderId="958" xfId="5" applyNumberFormat="1" applyFont="1" applyBorder="1" applyAlignment="1" applyProtection="1">
      <alignment horizontal="center" vertical="center" shrinkToFit="1"/>
      <protection hidden="1"/>
    </xf>
    <xf numFmtId="173" fontId="13" fillId="0" borderId="959" xfId="5" applyNumberFormat="1" applyFont="1" applyBorder="1" applyAlignment="1" applyProtection="1">
      <alignment horizontal="center" vertical="center" shrinkToFit="1"/>
      <protection hidden="1"/>
    </xf>
    <xf numFmtId="174" fontId="13" fillId="0" borderId="960" xfId="5" applyNumberFormat="1" applyFont="1" applyBorder="1" applyAlignment="1" applyProtection="1">
      <alignment horizontal="center" vertical="center" shrinkToFit="1"/>
      <protection hidden="1"/>
    </xf>
    <xf numFmtId="174" fontId="13" fillId="0" borderId="961" xfId="5" applyNumberFormat="1" applyFont="1" applyBorder="1" applyAlignment="1" applyProtection="1">
      <alignment horizontal="center" vertical="center" shrinkToFit="1"/>
      <protection hidden="1"/>
    </xf>
    <xf numFmtId="208" fontId="18" fillId="0" borderId="941" xfId="5" applyNumberFormat="1" applyFont="1" applyBorder="1" applyAlignment="1" applyProtection="1">
      <alignment horizontal="center" vertical="center" shrinkToFit="1"/>
      <protection hidden="1"/>
    </xf>
    <xf numFmtId="208" fontId="18" fillId="0" borderId="942" xfId="5" applyNumberFormat="1" applyFont="1" applyBorder="1" applyAlignment="1" applyProtection="1">
      <alignment horizontal="center" vertical="center" shrinkToFit="1"/>
      <protection hidden="1"/>
    </xf>
    <xf numFmtId="208" fontId="18" fillId="0" borderId="508" xfId="5" applyNumberFormat="1" applyFont="1" applyBorder="1" applyAlignment="1" applyProtection="1">
      <alignment horizontal="center" vertical="center" shrinkToFit="1"/>
      <protection hidden="1"/>
    </xf>
    <xf numFmtId="208" fontId="18" fillId="0" borderId="943" xfId="5" applyNumberFormat="1" applyFont="1" applyBorder="1" applyAlignment="1" applyProtection="1">
      <alignment horizontal="center" vertical="center" shrinkToFit="1"/>
      <protection hidden="1"/>
    </xf>
    <xf numFmtId="208" fontId="18" fillId="0" borderId="944" xfId="5" applyNumberFormat="1" applyFont="1" applyBorder="1" applyAlignment="1" applyProtection="1">
      <alignment horizontal="center" vertical="center" shrinkToFit="1"/>
      <protection hidden="1"/>
    </xf>
    <xf numFmtId="208" fontId="18" fillId="0" borderId="945" xfId="5" applyNumberFormat="1" applyFont="1" applyBorder="1" applyAlignment="1" applyProtection="1">
      <alignment horizontal="center" vertical="center" shrinkToFit="1"/>
      <protection hidden="1"/>
    </xf>
    <xf numFmtId="173" fontId="18" fillId="0" borderId="508" xfId="5" applyNumberFormat="1" applyFont="1" applyBorder="1" applyAlignment="1" applyProtection="1">
      <alignment horizontal="center" vertical="center" shrinkToFit="1"/>
      <protection hidden="1"/>
    </xf>
    <xf numFmtId="173" fontId="18" fillId="0" borderId="943" xfId="5" applyNumberFormat="1" applyFont="1" applyBorder="1" applyAlignment="1" applyProtection="1">
      <alignment horizontal="center" vertical="center" shrinkToFit="1"/>
      <protection hidden="1"/>
    </xf>
    <xf numFmtId="173" fontId="18" fillId="0" borderId="944" xfId="5" applyNumberFormat="1" applyFont="1" applyBorder="1" applyAlignment="1" applyProtection="1">
      <alignment horizontal="center" vertical="center" shrinkToFit="1"/>
      <protection hidden="1"/>
    </xf>
    <xf numFmtId="173" fontId="18" fillId="0" borderId="945" xfId="5" applyNumberFormat="1" applyFont="1" applyBorder="1" applyAlignment="1" applyProtection="1">
      <alignment horizontal="center" vertical="center" shrinkToFit="1"/>
      <protection hidden="1"/>
    </xf>
    <xf numFmtId="208" fontId="18" fillId="0" borderId="946" xfId="5" applyNumberFormat="1" applyFont="1" applyBorder="1" applyAlignment="1" applyProtection="1">
      <alignment horizontal="center" vertical="center" shrinkToFit="1"/>
      <protection hidden="1"/>
    </xf>
    <xf numFmtId="208" fontId="18" fillId="0" borderId="947" xfId="5" applyNumberFormat="1" applyFont="1" applyBorder="1" applyAlignment="1" applyProtection="1">
      <alignment horizontal="center" vertical="center" shrinkToFit="1"/>
      <protection hidden="1"/>
    </xf>
    <xf numFmtId="173" fontId="18" fillId="0" borderId="948" xfId="5" applyNumberFormat="1" applyFont="1" applyBorder="1" applyAlignment="1" applyProtection="1">
      <alignment horizontal="center" vertical="center" shrinkToFit="1"/>
      <protection hidden="1"/>
    </xf>
    <xf numFmtId="173" fontId="18" fillId="0" borderId="949" xfId="5" applyNumberFormat="1" applyFont="1" applyBorder="1" applyAlignment="1" applyProtection="1">
      <alignment horizontal="center" vertical="center" shrinkToFit="1"/>
      <protection hidden="1"/>
    </xf>
    <xf numFmtId="173" fontId="18" fillId="0" borderId="950" xfId="5" applyNumberFormat="1" applyFont="1" applyBorder="1" applyAlignment="1" applyProtection="1">
      <alignment horizontal="center" vertical="center" shrinkToFit="1"/>
      <protection hidden="1"/>
    </xf>
    <xf numFmtId="173" fontId="18" fillId="0" borderId="951" xfId="5" applyNumberFormat="1" applyFont="1" applyBorder="1" applyAlignment="1" applyProtection="1">
      <alignment horizontal="center" vertical="center" shrinkToFit="1"/>
      <protection hidden="1"/>
    </xf>
    <xf numFmtId="0" fontId="3" fillId="0" borderId="952" xfId="5" applyFont="1" applyBorder="1" applyAlignment="1" applyProtection="1">
      <alignment horizontal="center" vertical="center" shrinkToFit="1"/>
      <protection hidden="1"/>
    </xf>
    <xf numFmtId="0" fontId="3" fillId="0" borderId="953" xfId="5" applyFont="1" applyBorder="1" applyAlignment="1" applyProtection="1">
      <alignment horizontal="center" vertical="center" shrinkToFit="1"/>
      <protection hidden="1"/>
    </xf>
    <xf numFmtId="0" fontId="3" fillId="0" borderId="954" xfId="5" applyFont="1" applyBorder="1" applyAlignment="1" applyProtection="1">
      <alignment horizontal="center" vertical="center" shrinkToFit="1"/>
      <protection hidden="1"/>
    </xf>
    <xf numFmtId="0" fontId="3" fillId="0" borderId="955" xfId="5" applyFont="1" applyBorder="1" applyAlignment="1" applyProtection="1">
      <alignment horizontal="center" vertical="center" shrinkToFit="1"/>
      <protection hidden="1"/>
    </xf>
    <xf numFmtId="166" fontId="13" fillId="0" borderId="292" xfId="0" applyFont="1" applyBorder="1" applyAlignment="1">
      <alignment horizontal="right" vertical="center" shrinkToFit="1"/>
    </xf>
    <xf numFmtId="208" fontId="18" fillId="0" borderId="962" xfId="5" applyNumberFormat="1" applyFont="1" applyBorder="1" applyAlignment="1" applyProtection="1">
      <alignment horizontal="center" vertical="center" shrinkToFit="1"/>
      <protection hidden="1"/>
    </xf>
    <xf numFmtId="208" fontId="18" fillId="0" borderId="963" xfId="5" applyNumberFormat="1" applyFont="1" applyBorder="1" applyAlignment="1" applyProtection="1">
      <alignment horizontal="center" vertical="center" shrinkToFit="1"/>
      <protection hidden="1"/>
    </xf>
    <xf numFmtId="208" fontId="18" fillId="0" borderId="964" xfId="5" applyNumberFormat="1" applyFont="1" applyBorder="1" applyAlignment="1" applyProtection="1">
      <alignment horizontal="center" vertical="center" shrinkToFit="1"/>
      <protection hidden="1"/>
    </xf>
    <xf numFmtId="208" fontId="18" fillId="0" borderId="965" xfId="5" applyNumberFormat="1" applyFont="1" applyBorder="1" applyAlignment="1" applyProtection="1">
      <alignment horizontal="center" vertical="center" shrinkToFit="1"/>
      <protection hidden="1"/>
    </xf>
    <xf numFmtId="208" fontId="18" fillId="0" borderId="966" xfId="5" applyNumberFormat="1" applyFont="1" applyBorder="1" applyAlignment="1" applyProtection="1">
      <alignment horizontal="center" vertical="center" shrinkToFit="1"/>
      <protection hidden="1"/>
    </xf>
    <xf numFmtId="208" fontId="18" fillId="0" borderId="967" xfId="5" applyNumberFormat="1" applyFont="1" applyBorder="1" applyAlignment="1" applyProtection="1">
      <alignment horizontal="center" vertical="center" shrinkToFit="1"/>
      <protection hidden="1"/>
    </xf>
    <xf numFmtId="0" fontId="41" fillId="0" borderId="563" xfId="5" applyFont="1" applyBorder="1" applyAlignment="1">
      <alignment horizontal="center" shrinkToFit="1"/>
    </xf>
    <xf numFmtId="0" fontId="41" fillId="0" borderId="545" xfId="5" applyFont="1" applyBorder="1" applyAlignment="1">
      <alignment horizontal="center" shrinkToFit="1"/>
    </xf>
    <xf numFmtId="0" fontId="41" fillId="0" borderId="546" xfId="5" applyFont="1" applyBorder="1" applyAlignment="1">
      <alignment horizontal="center" shrinkToFit="1"/>
    </xf>
    <xf numFmtId="0" fontId="41" fillId="0" borderId="564" xfId="5" applyFont="1" applyBorder="1" applyAlignment="1">
      <alignment horizontal="center" shrinkToFit="1"/>
    </xf>
    <xf numFmtId="0" fontId="41" fillId="0" borderId="565" xfId="5" applyFont="1" applyBorder="1" applyAlignment="1">
      <alignment horizontal="center" shrinkToFit="1"/>
    </xf>
    <xf numFmtId="0" fontId="41" fillId="0" borderId="566" xfId="5" applyFont="1" applyBorder="1" applyAlignment="1">
      <alignment horizontal="center" shrinkToFit="1"/>
    </xf>
    <xf numFmtId="0" fontId="38" fillId="0" borderId="567" xfId="5" applyFont="1" applyBorder="1" applyAlignment="1">
      <alignment horizontal="center" shrinkToFit="1"/>
    </xf>
    <xf numFmtId="0" fontId="38" fillId="0" borderId="568" xfId="5" applyFont="1" applyBorder="1" applyAlignment="1">
      <alignment horizontal="center" shrinkToFit="1"/>
    </xf>
    <xf numFmtId="0" fontId="38" fillId="0" borderId="569" xfId="5" applyFont="1" applyBorder="1" applyAlignment="1">
      <alignment horizontal="center" shrinkToFit="1"/>
    </xf>
    <xf numFmtId="166" fontId="42" fillId="0" borderId="581" xfId="0" applyFont="1" applyBorder="1" applyAlignment="1" applyProtection="1">
      <alignment horizontal="left" shrinkToFit="1"/>
      <protection hidden="1"/>
    </xf>
    <xf numFmtId="166" fontId="42" fillId="0" borderId="565" xfId="0" applyFont="1" applyBorder="1" applyAlignment="1" applyProtection="1">
      <alignment horizontal="left" shrinkToFit="1"/>
      <protection hidden="1"/>
    </xf>
    <xf numFmtId="166" fontId="42" fillId="0" borderId="566" xfId="0" applyFont="1" applyBorder="1" applyAlignment="1" applyProtection="1">
      <alignment horizontal="left" shrinkToFit="1"/>
      <protection hidden="1"/>
    </xf>
    <xf numFmtId="166" fontId="38" fillId="0" borderId="582" xfId="0" applyFont="1" applyBorder="1" applyAlignment="1" applyProtection="1">
      <alignment horizontal="right" shrinkToFit="1"/>
      <protection hidden="1"/>
    </xf>
    <xf numFmtId="166" fontId="38" fillId="0" borderId="583" xfId="0" applyFont="1" applyBorder="1" applyAlignment="1" applyProtection="1">
      <alignment horizontal="right" shrinkToFit="1"/>
      <protection hidden="1"/>
    </xf>
    <xf numFmtId="166" fontId="2" fillId="0" borderId="563" xfId="0" applyFont="1" applyBorder="1" applyAlignment="1" applyProtection="1">
      <alignment horizontal="right" shrinkToFit="1"/>
      <protection hidden="1"/>
    </xf>
    <xf numFmtId="166" fontId="2" fillId="0" borderId="545" xfId="0" applyFont="1" applyBorder="1" applyAlignment="1" applyProtection="1">
      <alignment horizontal="right" shrinkToFit="1"/>
      <protection hidden="1"/>
    </xf>
    <xf numFmtId="166" fontId="2" fillId="0" borderId="579" xfId="0" applyFont="1" applyBorder="1" applyAlignment="1" applyProtection="1">
      <alignment horizontal="right" shrinkToFit="1"/>
      <protection hidden="1"/>
    </xf>
    <xf numFmtId="166" fontId="2" fillId="0" borderId="564" xfId="0" applyFont="1" applyBorder="1" applyAlignment="1" applyProtection="1">
      <alignment horizontal="right" shrinkToFit="1"/>
      <protection hidden="1"/>
    </xf>
    <xf numFmtId="166" fontId="2" fillId="0" borderId="565" xfId="0" applyFont="1" applyBorder="1" applyAlignment="1" applyProtection="1">
      <alignment horizontal="right" shrinkToFit="1"/>
      <protection hidden="1"/>
    </xf>
    <xf numFmtId="166" fontId="2" fillId="0" borderId="580" xfId="0" applyFont="1" applyBorder="1" applyAlignment="1" applyProtection="1">
      <alignment horizontal="right" shrinkToFit="1"/>
      <protection hidden="1"/>
    </xf>
    <xf numFmtId="166" fontId="2" fillId="0" borderId="567" xfId="0" applyFont="1" applyBorder="1" applyAlignment="1" applyProtection="1">
      <alignment horizontal="right" shrinkToFit="1"/>
      <protection hidden="1"/>
    </xf>
    <xf numFmtId="166" fontId="2" fillId="0" borderId="568" xfId="0" applyFont="1" applyBorder="1" applyAlignment="1" applyProtection="1">
      <alignment horizontal="right" shrinkToFit="1"/>
      <protection hidden="1"/>
    </xf>
    <xf numFmtId="166" fontId="2" fillId="0" borderId="583" xfId="0" applyFont="1" applyBorder="1" applyAlignment="1" applyProtection="1">
      <alignment horizontal="right" shrinkToFit="1"/>
      <protection hidden="1"/>
    </xf>
    <xf numFmtId="166" fontId="39" fillId="0" borderId="544" xfId="0" applyFont="1" applyBorder="1" applyAlignment="1" applyProtection="1">
      <alignment horizontal="left" shrinkToFit="1"/>
      <protection hidden="1"/>
    </xf>
    <xf numFmtId="166" fontId="39" fillId="0" borderId="545" xfId="0" applyFont="1" applyBorder="1" applyAlignment="1" applyProtection="1">
      <alignment horizontal="left" shrinkToFit="1"/>
      <protection hidden="1"/>
    </xf>
    <xf numFmtId="166" fontId="39" fillId="0" borderId="546" xfId="0" applyFont="1" applyBorder="1" applyAlignment="1" applyProtection="1">
      <alignment horizontal="left" shrinkToFit="1"/>
      <protection hidden="1"/>
    </xf>
    <xf numFmtId="3" fontId="39" fillId="0" borderId="581" xfId="0" applyNumberFormat="1" applyFont="1" applyBorder="1" applyAlignment="1" applyProtection="1">
      <alignment horizontal="left" shrinkToFit="1"/>
      <protection hidden="1"/>
    </xf>
    <xf numFmtId="3" fontId="39" fillId="0" borderId="565" xfId="0" applyNumberFormat="1" applyFont="1" applyBorder="1" applyAlignment="1" applyProtection="1">
      <alignment horizontal="left" shrinkToFit="1"/>
      <protection hidden="1"/>
    </xf>
    <xf numFmtId="3" fontId="39" fillId="0" borderId="566" xfId="0" applyNumberFormat="1" applyFont="1" applyBorder="1" applyAlignment="1" applyProtection="1">
      <alignment horizontal="left" shrinkToFit="1"/>
      <protection hidden="1"/>
    </xf>
    <xf numFmtId="192" fontId="40" fillId="0" borderId="582" xfId="0" applyNumberFormat="1" applyFont="1" applyBorder="1" applyAlignment="1" applyProtection="1">
      <alignment horizontal="left" shrinkToFit="1"/>
      <protection hidden="1"/>
    </xf>
    <xf numFmtId="192" fontId="40" fillId="0" borderId="568" xfId="0" applyNumberFormat="1" applyFont="1" applyBorder="1" applyAlignment="1" applyProtection="1">
      <alignment horizontal="left" shrinkToFit="1"/>
      <protection hidden="1"/>
    </xf>
    <xf numFmtId="192" fontId="40" fillId="0" borderId="569" xfId="0" applyNumberFormat="1" applyFont="1" applyBorder="1" applyAlignment="1" applyProtection="1">
      <alignment horizontal="left" shrinkToFit="1"/>
      <protection hidden="1"/>
    </xf>
    <xf numFmtId="166" fontId="40" fillId="0" borderId="667" xfId="0" applyFont="1" applyBorder="1" applyAlignment="1" applyProtection="1">
      <alignment horizontal="center" vertical="center" shrinkToFit="1"/>
      <protection hidden="1"/>
    </xf>
    <xf numFmtId="166" fontId="40" fillId="0" borderId="660" xfId="0" applyFont="1" applyBorder="1" applyAlignment="1" applyProtection="1">
      <alignment horizontal="center" vertical="center" shrinkToFit="1"/>
      <protection hidden="1"/>
    </xf>
    <xf numFmtId="166" fontId="40" fillId="0" borderId="743" xfId="0" applyFont="1" applyBorder="1" applyAlignment="1" applyProtection="1">
      <alignment horizontal="center" vertical="center" shrinkToFit="1"/>
      <protection hidden="1"/>
    </xf>
    <xf numFmtId="166" fontId="38" fillId="0" borderId="564" xfId="0" applyFont="1" applyBorder="1" applyAlignment="1" applyProtection="1">
      <alignment horizontal="right" shrinkToFit="1"/>
      <protection hidden="1"/>
    </xf>
    <xf numFmtId="166" fontId="38" fillId="0" borderId="565" xfId="0" applyFont="1" applyBorder="1" applyAlignment="1" applyProtection="1">
      <alignment horizontal="right" shrinkToFit="1"/>
      <protection hidden="1"/>
    </xf>
    <xf numFmtId="166" fontId="38" fillId="0" borderId="580" xfId="0" applyFont="1" applyBorder="1" applyAlignment="1" applyProtection="1">
      <alignment horizontal="right" shrinkToFit="1"/>
      <protection hidden="1"/>
    </xf>
    <xf numFmtId="166" fontId="39" fillId="0" borderId="563" xfId="0" applyFont="1" applyBorder="1" applyAlignment="1" applyProtection="1">
      <alignment horizontal="center" shrinkToFit="1"/>
      <protection hidden="1"/>
    </xf>
    <xf numFmtId="166" fontId="39" fillId="0" borderId="545" xfId="0" applyFont="1" applyBorder="1" applyAlignment="1" applyProtection="1">
      <alignment horizontal="center" shrinkToFit="1"/>
      <protection hidden="1"/>
    </xf>
    <xf numFmtId="166" fontId="39" fillId="0" borderId="546" xfId="0" applyFont="1" applyBorder="1" applyAlignment="1" applyProtection="1">
      <alignment horizontal="center" shrinkToFit="1"/>
      <protection hidden="1"/>
    </xf>
    <xf numFmtId="166" fontId="18" fillId="0" borderId="142" xfId="0" applyFont="1" applyBorder="1" applyAlignment="1" applyProtection="1">
      <alignment horizontal="center" vertical="center" shrinkToFit="1"/>
      <protection hidden="1"/>
    </xf>
    <xf numFmtId="166" fontId="18" fillId="0" borderId="169" xfId="0" applyFont="1" applyBorder="1" applyAlignment="1" applyProtection="1">
      <alignment horizontal="center" vertical="center" shrinkToFit="1"/>
      <protection hidden="1"/>
    </xf>
    <xf numFmtId="166" fontId="18" fillId="0" borderId="809" xfId="0" applyFont="1" applyBorder="1" applyAlignment="1" applyProtection="1">
      <alignment horizontal="center" vertical="center" shrinkToFit="1"/>
      <protection hidden="1"/>
    </xf>
    <xf numFmtId="0" fontId="42" fillId="0" borderId="582" xfId="0" applyNumberFormat="1" applyFont="1" applyBorder="1" applyAlignment="1" applyProtection="1">
      <alignment horizontal="left" shrinkToFit="1"/>
      <protection hidden="1"/>
    </xf>
    <xf numFmtId="0" fontId="42" fillId="0" borderId="583" xfId="0" applyNumberFormat="1" applyFont="1" applyBorder="1" applyAlignment="1" applyProtection="1">
      <alignment horizontal="left" shrinkToFit="1"/>
      <protection hidden="1"/>
    </xf>
    <xf numFmtId="166" fontId="38" fillId="0" borderId="563" xfId="0" applyFont="1" applyBorder="1" applyAlignment="1" applyProtection="1">
      <alignment horizontal="right" shrinkToFit="1"/>
      <protection hidden="1"/>
    </xf>
    <xf numFmtId="166" fontId="38" fillId="0" borderId="545" xfId="0" applyFont="1" applyBorder="1" applyAlignment="1" applyProtection="1">
      <alignment horizontal="right" shrinkToFit="1"/>
      <protection hidden="1"/>
    </xf>
    <xf numFmtId="166" fontId="38" fillId="0" borderId="579" xfId="0" applyFont="1" applyBorder="1" applyAlignment="1" applyProtection="1">
      <alignment horizontal="right" shrinkToFit="1"/>
      <protection hidden="1"/>
    </xf>
    <xf numFmtId="0" fontId="38" fillId="0" borderId="564" xfId="9" applyFont="1" applyBorder="1" applyAlignment="1" applyProtection="1">
      <alignment horizontal="right" shrinkToFit="1"/>
      <protection hidden="1"/>
    </xf>
    <xf numFmtId="0" fontId="38" fillId="0" borderId="565" xfId="9" applyFont="1" applyBorder="1" applyAlignment="1" applyProtection="1">
      <alignment horizontal="right" shrinkToFit="1"/>
      <protection hidden="1"/>
    </xf>
    <xf numFmtId="0" fontId="38" fillId="0" borderId="580" xfId="9" applyFont="1" applyBorder="1" applyAlignment="1" applyProtection="1">
      <alignment horizontal="right" shrinkToFit="1"/>
      <protection hidden="1"/>
    </xf>
    <xf numFmtId="0" fontId="40" fillId="0" borderId="544" xfId="5" applyFont="1" applyBorder="1" applyAlignment="1" applyProtection="1">
      <alignment horizontal="left" shrinkToFit="1"/>
      <protection hidden="1"/>
    </xf>
    <xf numFmtId="0" fontId="40" fillId="0" borderId="545" xfId="5" applyFont="1" applyBorder="1" applyAlignment="1" applyProtection="1">
      <alignment horizontal="left" shrinkToFit="1"/>
      <protection hidden="1"/>
    </xf>
    <xf numFmtId="166" fontId="39" fillId="0" borderId="667" xfId="0" applyFont="1" applyBorder="1" applyAlignment="1" applyProtection="1">
      <alignment horizontal="center" vertical="center" wrapText="1"/>
      <protection hidden="1"/>
    </xf>
    <xf numFmtId="166" fontId="39" fillId="0" borderId="660" xfId="0" applyFont="1" applyBorder="1" applyAlignment="1" applyProtection="1">
      <alignment horizontal="center" vertical="center" wrapText="1"/>
      <protection hidden="1"/>
    </xf>
    <xf numFmtId="166" fontId="39" fillId="0" borderId="743" xfId="0" applyFont="1" applyBorder="1" applyAlignment="1" applyProtection="1">
      <alignment horizontal="center" vertical="center" wrapText="1"/>
      <protection hidden="1"/>
    </xf>
    <xf numFmtId="0" fontId="38" fillId="0" borderId="567" xfId="9" applyFont="1" applyBorder="1" applyAlignment="1" applyProtection="1">
      <alignment horizontal="right" shrinkToFit="1"/>
      <protection hidden="1"/>
    </xf>
    <xf numFmtId="0" fontId="38" fillId="0" borderId="568" xfId="9" applyFont="1" applyBorder="1" applyAlignment="1" applyProtection="1">
      <alignment horizontal="right" shrinkToFit="1"/>
      <protection hidden="1"/>
    </xf>
    <xf numFmtId="0" fontId="38" fillId="0" borderId="583" xfId="9" applyFont="1" applyBorder="1" applyAlignment="1" applyProtection="1">
      <alignment horizontal="right" shrinkToFit="1"/>
      <protection hidden="1"/>
    </xf>
    <xf numFmtId="0" fontId="40" fillId="0" borderId="581" xfId="9" applyFont="1" applyBorder="1" applyAlignment="1" applyProtection="1">
      <alignment horizontal="left" shrinkToFit="1"/>
      <protection hidden="1"/>
    </xf>
    <xf numFmtId="0" fontId="40" fillId="0" borderId="565" xfId="9" applyFont="1" applyBorder="1" applyAlignment="1" applyProtection="1">
      <alignment horizontal="left" shrinkToFit="1"/>
      <protection hidden="1"/>
    </xf>
    <xf numFmtId="0" fontId="40" fillId="0" borderId="582" xfId="9" applyFont="1" applyBorder="1" applyAlignment="1" applyProtection="1">
      <alignment horizontal="left" shrinkToFit="1"/>
      <protection hidden="1"/>
    </xf>
    <xf numFmtId="0" fontId="40" fillId="0" borderId="568" xfId="9" applyFont="1" applyBorder="1" applyAlignment="1" applyProtection="1">
      <alignment horizontal="left" shrinkToFit="1"/>
      <protection hidden="1"/>
    </xf>
    <xf numFmtId="166" fontId="40" fillId="0" borderId="589" xfId="0" applyFont="1" applyBorder="1" applyAlignment="1" applyProtection="1">
      <alignment horizontal="center" vertical="center" wrapText="1"/>
      <protection hidden="1"/>
    </xf>
    <xf numFmtId="166" fontId="40" fillId="0" borderId="588" xfId="0" applyFont="1" applyBorder="1" applyAlignment="1" applyProtection="1">
      <alignment horizontal="center" vertical="center" wrapText="1"/>
      <protection hidden="1"/>
    </xf>
    <xf numFmtId="166" fontId="40" fillId="0" borderId="590" xfId="0" applyFont="1" applyBorder="1" applyAlignment="1" applyProtection="1">
      <alignment horizontal="center" vertical="center" wrapText="1"/>
      <protection hidden="1"/>
    </xf>
    <xf numFmtId="0" fontId="119" fillId="0" borderId="248" xfId="5" applyFont="1" applyBorder="1" applyAlignment="1" applyProtection="1">
      <alignment horizontal="center" vertical="center" wrapText="1" shrinkToFit="1"/>
      <protection hidden="1"/>
    </xf>
    <xf numFmtId="0" fontId="119" fillId="0" borderId="584" xfId="5" applyFont="1" applyBorder="1" applyAlignment="1" applyProtection="1">
      <alignment horizontal="center" vertical="center" wrapText="1" shrinkToFit="1"/>
      <protection hidden="1"/>
    </xf>
    <xf numFmtId="0" fontId="119" fillId="0" borderId="585" xfId="5" applyFont="1" applyBorder="1" applyAlignment="1" applyProtection="1">
      <alignment horizontal="center" vertical="center" wrapText="1" shrinkToFit="1"/>
      <protection hidden="1"/>
    </xf>
    <xf numFmtId="0" fontId="119" fillId="0" borderId="1006" xfId="5" applyFont="1" applyBorder="1" applyAlignment="1" applyProtection="1">
      <alignment horizontal="center" vertical="center" wrapText="1" shrinkToFit="1"/>
      <protection hidden="1"/>
    </xf>
    <xf numFmtId="0" fontId="119" fillId="0" borderId="1007" xfId="5" applyFont="1" applyBorder="1" applyAlignment="1" applyProtection="1">
      <alignment horizontal="center" vertical="center" wrapText="1" shrinkToFit="1"/>
      <protection hidden="1"/>
    </xf>
    <xf numFmtId="0" fontId="119" fillId="0" borderId="1008" xfId="5" applyFont="1" applyBorder="1" applyAlignment="1" applyProtection="1">
      <alignment horizontal="center" vertical="center" wrapText="1" shrinkToFit="1"/>
      <protection hidden="1"/>
    </xf>
    <xf numFmtId="0" fontId="66" fillId="0" borderId="567" xfId="5" applyFont="1" applyBorder="1" applyAlignment="1" applyProtection="1">
      <alignment horizontal="center" vertical="center" shrinkToFit="1"/>
      <protection hidden="1"/>
    </xf>
    <xf numFmtId="0" fontId="66" fillId="0" borderId="568" xfId="5" applyFont="1" applyBorder="1" applyAlignment="1" applyProtection="1">
      <alignment horizontal="center" vertical="center" shrinkToFit="1"/>
      <protection hidden="1"/>
    </xf>
    <xf numFmtId="0" fontId="66" fillId="0" borderId="569" xfId="5" applyFont="1" applyBorder="1" applyAlignment="1" applyProtection="1">
      <alignment horizontal="center" vertical="center" shrinkToFit="1"/>
      <protection hidden="1"/>
    </xf>
    <xf numFmtId="166" fontId="42" fillId="0" borderId="230" xfId="0" applyFont="1" applyBorder="1" applyAlignment="1" applyProtection="1">
      <alignment horizontal="center" vertical="center" wrapText="1"/>
      <protection hidden="1"/>
    </xf>
    <xf numFmtId="166" fontId="42" fillId="0" borderId="194" xfId="0" applyFont="1" applyBorder="1" applyAlignment="1" applyProtection="1">
      <alignment horizontal="center" vertical="center" wrapText="1"/>
      <protection hidden="1"/>
    </xf>
    <xf numFmtId="166" fontId="42" fillId="0" borderId="195" xfId="0" applyFont="1" applyBorder="1" applyAlignment="1" applyProtection="1">
      <alignment horizontal="center" vertical="center" wrapText="1"/>
      <protection hidden="1"/>
    </xf>
    <xf numFmtId="166" fontId="40" fillId="0" borderId="667" xfId="0" applyFont="1" applyBorder="1" applyAlignment="1" applyProtection="1">
      <alignment horizontal="center" vertical="center" wrapText="1"/>
      <protection hidden="1"/>
    </xf>
    <xf numFmtId="166" fontId="40" fillId="0" borderId="660" xfId="0" applyFont="1" applyBorder="1" applyAlignment="1" applyProtection="1">
      <alignment horizontal="center" vertical="center" wrapText="1"/>
      <protection hidden="1"/>
    </xf>
    <xf numFmtId="166" fontId="40" fillId="0" borderId="743" xfId="0" applyFont="1" applyBorder="1" applyAlignment="1" applyProtection="1">
      <alignment horizontal="center" vertical="center" wrapText="1"/>
      <protection hidden="1"/>
    </xf>
    <xf numFmtId="166" fontId="18" fillId="0" borderId="593" xfId="0" applyFont="1" applyBorder="1" applyAlignment="1" applyProtection="1">
      <alignment horizontal="center" vertical="center" wrapText="1"/>
      <protection hidden="1"/>
    </xf>
    <xf numFmtId="166" fontId="18" fillId="0" borderId="594" xfId="0" applyFont="1" applyBorder="1" applyAlignment="1" applyProtection="1">
      <alignment horizontal="center" vertical="center" wrapText="1"/>
      <protection hidden="1"/>
    </xf>
    <xf numFmtId="166" fontId="18" fillId="0" borderId="595" xfId="0" applyFont="1" applyBorder="1" applyAlignment="1" applyProtection="1">
      <alignment horizontal="center" vertical="center" wrapText="1"/>
      <protection hidden="1"/>
    </xf>
    <xf numFmtId="166" fontId="18" fillId="0" borderId="589" xfId="0" applyFont="1" applyBorder="1" applyAlignment="1" applyProtection="1">
      <alignment horizontal="center" vertical="center" shrinkToFit="1"/>
      <protection hidden="1"/>
    </xf>
    <xf numFmtId="166" fontId="18" fillId="0" borderId="588" xfId="0" applyFont="1" applyBorder="1" applyAlignment="1" applyProtection="1">
      <alignment horizontal="center" vertical="center" shrinkToFit="1"/>
      <protection hidden="1"/>
    </xf>
    <xf numFmtId="166" fontId="42" fillId="0" borderId="588" xfId="0" applyFont="1" applyBorder="1" applyAlignment="1" applyProtection="1">
      <alignment horizontal="center" vertical="center" shrinkToFit="1"/>
      <protection hidden="1"/>
    </xf>
    <xf numFmtId="166" fontId="42" fillId="0" borderId="754" xfId="0" applyFont="1" applyBorder="1" applyAlignment="1" applyProtection="1">
      <alignment horizontal="center" vertical="center" shrinkToFit="1"/>
      <protection hidden="1"/>
    </xf>
    <xf numFmtId="166" fontId="42" fillId="0" borderId="590" xfId="0" applyFont="1" applyBorder="1" applyAlignment="1" applyProtection="1">
      <alignment horizontal="center" vertical="center" shrinkToFit="1"/>
      <protection hidden="1"/>
    </xf>
    <xf numFmtId="0" fontId="97" fillId="0" borderId="470" xfId="5" applyFont="1" applyBorder="1" applyAlignment="1" applyProtection="1">
      <alignment horizontal="center" vertical="center" shrinkToFit="1"/>
      <protection hidden="1"/>
    </xf>
    <xf numFmtId="0" fontId="97" fillId="0" borderId="471" xfId="5" applyFont="1" applyBorder="1" applyAlignment="1" applyProtection="1">
      <alignment horizontal="center" vertical="center" shrinkToFit="1"/>
      <protection hidden="1"/>
    </xf>
    <xf numFmtId="0" fontId="97" fillId="0" borderId="472" xfId="5" applyFont="1" applyBorder="1" applyAlignment="1" applyProtection="1">
      <alignment horizontal="center" vertical="center" shrinkToFit="1"/>
      <protection hidden="1"/>
    </xf>
    <xf numFmtId="0" fontId="103" fillId="16" borderId="448" xfId="5" applyFont="1" applyFill="1" applyBorder="1" applyAlignment="1" applyProtection="1">
      <alignment horizontal="center" vertical="center" shrinkToFit="1"/>
      <protection hidden="1"/>
    </xf>
    <xf numFmtId="0" fontId="103" fillId="16" borderId="499" xfId="5" applyFont="1" applyFill="1" applyBorder="1" applyAlignment="1" applyProtection="1">
      <alignment horizontal="center" vertical="center" shrinkToFit="1"/>
      <protection hidden="1"/>
    </xf>
    <xf numFmtId="222" fontId="80" fillId="16" borderId="310" xfId="5" applyNumberFormat="1" applyFont="1" applyFill="1" applyBorder="1" applyAlignment="1" applyProtection="1">
      <alignment horizontal="center" vertical="center" shrinkToFit="1"/>
      <protection hidden="1"/>
    </xf>
    <xf numFmtId="222" fontId="80" fillId="16" borderId="633" xfId="5" applyNumberFormat="1" applyFont="1" applyFill="1" applyBorder="1" applyAlignment="1" applyProtection="1">
      <alignment horizontal="center" vertical="center" shrinkToFit="1"/>
      <protection hidden="1"/>
    </xf>
    <xf numFmtId="174" fontId="80" fillId="16" borderId="631" xfId="5" applyNumberFormat="1" applyFont="1" applyFill="1" applyBorder="1" applyAlignment="1" applyProtection="1">
      <alignment horizontal="center" vertical="center" shrinkToFit="1"/>
      <protection hidden="1"/>
    </xf>
    <xf numFmtId="174" fontId="80" fillId="16" borderId="632" xfId="5" applyNumberFormat="1" applyFont="1" applyFill="1" applyBorder="1" applyAlignment="1" applyProtection="1">
      <alignment horizontal="center" vertical="center" shrinkToFit="1"/>
      <protection hidden="1"/>
    </xf>
    <xf numFmtId="174" fontId="80" fillId="16" borderId="489" xfId="5" applyNumberFormat="1" applyFont="1" applyFill="1" applyBorder="1" applyAlignment="1" applyProtection="1">
      <alignment horizontal="center" vertical="center" shrinkToFit="1"/>
      <protection hidden="1"/>
    </xf>
    <xf numFmtId="174" fontId="80" fillId="16" borderId="634" xfId="5" applyNumberFormat="1" applyFont="1" applyFill="1" applyBorder="1" applyAlignment="1" applyProtection="1">
      <alignment horizontal="center" vertical="center" shrinkToFit="1"/>
      <protection hidden="1"/>
    </xf>
    <xf numFmtId="0" fontId="98" fillId="17" borderId="465" xfId="5" applyFont="1" applyFill="1" applyBorder="1" applyAlignment="1" applyProtection="1">
      <alignment horizontal="center" vertical="center" shrinkToFit="1"/>
      <protection hidden="1"/>
    </xf>
    <xf numFmtId="0" fontId="98" fillId="17" borderId="466" xfId="5" applyFont="1" applyFill="1" applyBorder="1" applyAlignment="1" applyProtection="1">
      <alignment horizontal="center" vertical="center" shrinkToFit="1"/>
      <protection hidden="1"/>
    </xf>
    <xf numFmtId="166" fontId="80" fillId="0" borderId="0" xfId="0" applyFont="1" applyAlignment="1" applyProtection="1">
      <alignment horizontal="center" wrapText="1"/>
      <protection hidden="1"/>
    </xf>
    <xf numFmtId="166" fontId="80" fillId="0" borderId="170" xfId="0" applyFont="1" applyBorder="1" applyAlignment="1" applyProtection="1">
      <alignment horizontal="center" wrapText="1"/>
      <protection hidden="1"/>
    </xf>
    <xf numFmtId="166" fontId="82" fillId="0" borderId="444" xfId="0" applyFont="1" applyBorder="1" applyAlignment="1" applyProtection="1">
      <alignment horizontal="center" vertical="center" shrinkToFit="1"/>
      <protection hidden="1"/>
    </xf>
    <xf numFmtId="166" fontId="82" fillId="0" borderId="0" xfId="0" applyFont="1" applyAlignment="1" applyProtection="1">
      <alignment horizontal="center" vertical="center" shrinkToFit="1"/>
      <protection hidden="1"/>
    </xf>
    <xf numFmtId="166" fontId="82" fillId="0" borderId="476" xfId="0" applyFont="1" applyBorder="1" applyAlignment="1" applyProtection="1">
      <alignment horizontal="center" vertical="center" shrinkToFit="1"/>
      <protection hidden="1"/>
    </xf>
    <xf numFmtId="166" fontId="82" fillId="0" borderId="542" xfId="0" applyFont="1" applyBorder="1" applyAlignment="1" applyProtection="1">
      <alignment horizontal="center" vertical="center" shrinkToFit="1"/>
      <protection hidden="1"/>
    </xf>
    <xf numFmtId="166" fontId="82" fillId="0" borderId="442" xfId="0" applyFont="1" applyBorder="1" applyAlignment="1" applyProtection="1">
      <alignment horizontal="center" vertical="center" shrinkToFit="1"/>
      <protection hidden="1"/>
    </xf>
    <xf numFmtId="166" fontId="82" fillId="0" borderId="543" xfId="0" applyFont="1" applyBorder="1" applyAlignment="1" applyProtection="1">
      <alignment horizontal="center" vertical="center" shrinkToFit="1"/>
      <protection hidden="1"/>
    </xf>
    <xf numFmtId="0" fontId="83" fillId="0" borderId="538" xfId="5" applyFont="1" applyBorder="1" applyAlignment="1" applyProtection="1">
      <alignment horizontal="center" shrinkToFit="1"/>
      <protection hidden="1"/>
    </xf>
    <xf numFmtId="0" fontId="83" fillId="0" borderId="539" xfId="5" applyFont="1" applyBorder="1" applyAlignment="1" applyProtection="1">
      <alignment horizontal="center" shrinkToFit="1"/>
      <protection hidden="1"/>
    </xf>
    <xf numFmtId="0" fontId="83" fillId="0" borderId="621" xfId="5" applyFont="1" applyBorder="1" applyAlignment="1" applyProtection="1">
      <alignment horizontal="center" shrinkToFit="1"/>
      <protection hidden="1"/>
    </xf>
    <xf numFmtId="0" fontId="85" fillId="0" borderId="534" xfId="5" applyFont="1" applyBorder="1" applyAlignment="1" applyProtection="1">
      <alignment horizontal="center" shrinkToFit="1"/>
      <protection hidden="1"/>
    </xf>
    <xf numFmtId="0" fontId="85" fillId="0" borderId="535" xfId="5" applyFont="1" applyBorder="1" applyAlignment="1" applyProtection="1">
      <alignment horizontal="center" shrinkToFit="1"/>
      <protection hidden="1"/>
    </xf>
    <xf numFmtId="0" fontId="85" fillId="0" borderId="536" xfId="5" applyFont="1" applyBorder="1" applyAlignment="1" applyProtection="1">
      <alignment horizontal="center" shrinkToFit="1"/>
      <protection hidden="1"/>
    </xf>
    <xf numFmtId="0" fontId="85" fillId="0" borderId="537" xfId="5" applyFont="1" applyBorder="1" applyAlignment="1" applyProtection="1">
      <alignment horizontal="center" shrinkToFit="1"/>
      <protection hidden="1"/>
    </xf>
    <xf numFmtId="0" fontId="85" fillId="0" borderId="540" xfId="5" applyFont="1" applyBorder="1" applyAlignment="1" applyProtection="1">
      <alignment horizontal="center" shrinkToFit="1"/>
      <protection hidden="1"/>
    </xf>
    <xf numFmtId="0" fontId="85" fillId="0" borderId="541" xfId="5" applyFont="1" applyBorder="1" applyAlignment="1" applyProtection="1">
      <alignment horizontal="center" shrinkToFit="1"/>
      <protection hidden="1"/>
    </xf>
    <xf numFmtId="0" fontId="85" fillId="0" borderId="622" xfId="5" applyFont="1" applyBorder="1" applyAlignment="1" applyProtection="1">
      <alignment horizontal="center" shrinkToFit="1"/>
      <protection hidden="1"/>
    </xf>
    <xf numFmtId="0" fontId="98" fillId="17" borderId="495" xfId="5" applyFont="1" applyFill="1" applyBorder="1" applyAlignment="1" applyProtection="1">
      <alignment horizontal="center" vertical="center" shrinkToFit="1"/>
      <protection hidden="1"/>
    </xf>
    <xf numFmtId="0" fontId="98" fillId="17" borderId="496" xfId="5" applyFont="1" applyFill="1" applyBorder="1" applyAlignment="1" applyProtection="1">
      <alignment horizontal="center" vertical="center" shrinkToFit="1"/>
      <protection hidden="1"/>
    </xf>
    <xf numFmtId="0" fontId="97" fillId="0" borderId="490" xfId="5" applyFont="1" applyBorder="1" applyAlignment="1" applyProtection="1">
      <alignment horizontal="center" vertical="center" shrinkToFit="1"/>
      <protection hidden="1"/>
    </xf>
    <xf numFmtId="222" fontId="80" fillId="16" borderId="1014" xfId="5" applyNumberFormat="1" applyFont="1" applyFill="1" applyBorder="1" applyAlignment="1" applyProtection="1">
      <alignment horizontal="center" vertical="center" shrinkToFit="1"/>
      <protection hidden="1"/>
    </xf>
    <xf numFmtId="222" fontId="80" fillId="16" borderId="943" xfId="5" applyNumberFormat="1" applyFont="1" applyFill="1" applyBorder="1" applyAlignment="1" applyProtection="1">
      <alignment horizontal="center" vertical="center" shrinkToFit="1"/>
      <protection hidden="1"/>
    </xf>
    <xf numFmtId="174" fontId="80" fillId="16" borderId="1010" xfId="5" applyNumberFormat="1" applyFont="1" applyFill="1" applyBorder="1" applyAlignment="1" applyProtection="1">
      <alignment horizontal="center" vertical="center" shrinkToFit="1"/>
      <protection hidden="1"/>
    </xf>
    <xf numFmtId="174" fontId="80" fillId="16" borderId="1011" xfId="5" applyNumberFormat="1" applyFont="1" applyFill="1" applyBorder="1" applyAlignment="1" applyProtection="1">
      <alignment horizontal="center" vertical="center" shrinkToFit="1"/>
      <protection hidden="1"/>
    </xf>
    <xf numFmtId="174" fontId="80" fillId="16" borderId="1012" xfId="5" applyNumberFormat="1" applyFont="1" applyFill="1" applyBorder="1" applyAlignment="1" applyProtection="1">
      <alignment horizontal="center" vertical="center" shrinkToFit="1"/>
      <protection hidden="1"/>
    </xf>
    <xf numFmtId="174" fontId="80" fillId="16" borderId="1013" xfId="5" applyNumberFormat="1" applyFont="1" applyFill="1" applyBorder="1" applyAlignment="1" applyProtection="1">
      <alignment horizontal="center" vertical="center" shrinkToFit="1"/>
      <protection hidden="1"/>
    </xf>
  </cellXfs>
  <cellStyles count="19">
    <cellStyle name="Hipervínculo" xfId="7" builtinId="8"/>
    <cellStyle name="Hipervínculo 2" xfId="10" xr:uid="{00000000-0005-0000-0000-000001000000}"/>
    <cellStyle name="Millares" xfId="1" builtinId="3"/>
    <cellStyle name="Millares [0]" xfId="13" builtinId="6"/>
    <cellStyle name="Millares 2" xfId="11" xr:uid="{00000000-0005-0000-0000-000003000000}"/>
    <cellStyle name="Moneda" xfId="2" builtinId="4"/>
    <cellStyle name="Moneda [0]" xfId="14" builtinId="7"/>
    <cellStyle name="Normal" xfId="0" builtinId="0"/>
    <cellStyle name="Normal 2" xfId="3" xr:uid="{00000000-0005-0000-0000-000006000000}"/>
    <cellStyle name="Normal 2 2" xfId="17" xr:uid="{8D775225-A206-45D7-997E-078C0F2508DF}"/>
    <cellStyle name="Normal 3" xfId="9" xr:uid="{00000000-0005-0000-0000-000007000000}"/>
    <cellStyle name="Normal 3 2" xfId="18" xr:uid="{740811AB-7084-4BDE-87C1-6954E8ED08BC}"/>
    <cellStyle name="Normal 4" xfId="12" xr:uid="{00000000-0005-0000-0000-000008000000}"/>
    <cellStyle name="Normal 4 2" xfId="16" xr:uid="{41693F76-506F-4940-AA0A-E2D0541E9736}"/>
    <cellStyle name="Normal 5" xfId="15" xr:uid="{0E3CFCAF-EFF7-4106-85E5-538DF845EE44}"/>
    <cellStyle name="Normal Victor" xfId="4" xr:uid="{00000000-0005-0000-0000-000009000000}"/>
    <cellStyle name="Normal_CONSOLIDADOR LEVANTES" xfId="8" xr:uid="{00000000-0005-0000-0000-00000A000000}"/>
    <cellStyle name="Normal_Hoja1" xfId="5" xr:uid="{00000000-0005-0000-0000-00000B000000}"/>
    <cellStyle name="Porcentaje" xfId="6" builtinId="5"/>
  </cellStyles>
  <dxfs count="41">
    <dxf>
      <font>
        <strike val="0"/>
      </font>
      <fill>
        <patternFill>
          <bgColor rgb="FFFFFFCC"/>
        </patternFill>
      </fill>
    </dxf>
    <dxf>
      <font>
        <b/>
        <i val="0"/>
        <strike val="0"/>
        <color theme="0"/>
      </font>
      <fill>
        <patternFill>
          <bgColor theme="4" tint="-0.24994659260841701"/>
        </patternFill>
      </fill>
    </dxf>
    <dxf>
      <font>
        <color rgb="FF9C0006"/>
      </font>
      <fill>
        <patternFill>
          <bgColor rgb="FFFFC7CE"/>
        </patternFill>
      </fill>
    </dxf>
    <dxf>
      <font>
        <b/>
        <i val="0"/>
        <strike val="0"/>
        <color rgb="FFC00000"/>
      </font>
    </dxf>
    <dxf>
      <font>
        <b/>
        <i val="0"/>
        <strike val="0"/>
        <color rgb="FF222E9E"/>
      </font>
      <fill>
        <patternFill patternType="none">
          <bgColor auto="1"/>
        </patternFill>
      </fill>
    </dxf>
    <dxf>
      <font>
        <strike val="0"/>
      </font>
      <fill>
        <patternFill>
          <bgColor rgb="FFFFFFCC"/>
        </patternFill>
      </fill>
    </dxf>
    <dxf>
      <font>
        <b/>
        <i val="0"/>
        <strike val="0"/>
        <color theme="0"/>
      </font>
      <fill>
        <patternFill>
          <bgColor theme="4" tint="-0.24994659260841701"/>
        </patternFill>
      </fill>
    </dxf>
    <dxf>
      <fill>
        <patternFill>
          <bgColor rgb="FFC00000"/>
        </patternFill>
      </fill>
    </dxf>
    <dxf>
      <font>
        <strike val="0"/>
        <color theme="0"/>
      </font>
      <fill>
        <patternFill>
          <bgColor theme="1" tint="0.499984740745262"/>
        </patternFill>
      </fill>
    </dxf>
    <dxf>
      <font>
        <b/>
        <i val="0"/>
        <strike val="0"/>
        <condense val="0"/>
        <extend val="0"/>
        <color indexed="10"/>
      </font>
    </dxf>
    <dxf>
      <font>
        <b/>
        <i val="0"/>
        <strike val="0"/>
        <color rgb="FF222E9E"/>
      </font>
      <fill>
        <patternFill patternType="none">
          <bgColor auto="1"/>
        </patternFill>
      </fill>
    </dxf>
    <dxf>
      <fill>
        <patternFill>
          <bgColor theme="9" tint="0.39994506668294322"/>
        </patternFill>
      </fill>
    </dxf>
    <dxf>
      <border>
        <bottom style="thin">
          <color auto="1"/>
        </bottom>
        <vertical/>
        <horizontal/>
      </border>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i val="0"/>
        <strike val="0"/>
        <color rgb="FF222E9E"/>
      </font>
      <fill>
        <patternFill patternType="none">
          <bgColor auto="1"/>
        </patternFill>
      </fill>
    </dxf>
    <dxf>
      <font>
        <b/>
        <i val="0"/>
        <strike val="0"/>
        <color rgb="FF222E9E"/>
      </font>
      <fill>
        <patternFill patternType="none">
          <bgColor auto="1"/>
        </patternFill>
      </fill>
    </dxf>
    <dxf>
      <font>
        <b/>
        <i val="0"/>
        <color rgb="FFFF0000"/>
      </font>
    </dxf>
    <dxf>
      <font>
        <b/>
        <i val="0"/>
        <strike val="0"/>
        <color rgb="FFC00000"/>
      </font>
    </dxf>
    <dxf>
      <font>
        <b/>
        <i val="0"/>
        <strike val="0"/>
        <color rgb="FF222E9E"/>
      </font>
      <fill>
        <patternFill patternType="none">
          <bgColor auto="1"/>
        </patternFill>
      </fill>
    </dxf>
    <dxf>
      <font>
        <b/>
        <i val="0"/>
        <strike val="0"/>
        <color rgb="FF222E9E"/>
      </font>
      <fill>
        <patternFill patternType="none">
          <bgColor auto="1"/>
        </patternFill>
      </fill>
    </dxf>
    <dxf>
      <font>
        <b/>
        <i val="0"/>
        <strike val="0"/>
        <color rgb="FFFF0000"/>
      </font>
    </dxf>
    <dxf>
      <font>
        <strike val="0"/>
      </font>
      <fill>
        <patternFill>
          <bgColor theme="8" tint="0.59996337778862885"/>
        </patternFill>
      </fill>
      <border>
        <top style="hair">
          <color rgb="FFC00000"/>
        </top>
        <bottom style="hair">
          <color rgb="FFC00000"/>
        </bottom>
      </border>
    </dxf>
    <dxf>
      <border>
        <bottom style="thin">
          <color auto="1"/>
        </bottom>
        <vertical/>
        <horizontal/>
      </border>
    </dxf>
    <dxf>
      <font>
        <color theme="0"/>
      </font>
    </dxf>
    <dxf>
      <font>
        <b/>
        <i val="0"/>
        <strike val="0"/>
        <color rgb="FF222E9E"/>
      </font>
    </dxf>
    <dxf>
      <numFmt numFmtId="0" formatCode="General"/>
      <alignment horizontal="center" vertical="bottom" textRotation="0" wrapText="0" indent="0" justifyLastLine="0" shrinkToFit="0" readingOrder="0"/>
      <protection locked="1" hidden="1"/>
    </dxf>
    <dxf>
      <numFmt numFmtId="241" formatCode="[h]:mm"/>
      <alignment horizontal="center" vertical="bottom" textRotation="0" wrapText="0" indent="0" justifyLastLine="0" shrinkToFit="0" readingOrder="0"/>
      <protection locked="1" hidden="1"/>
    </dxf>
    <dxf>
      <numFmt numFmtId="241" formatCode="[h]:mm"/>
      <alignment horizontal="center" vertical="bottom" textRotation="0" wrapText="0"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protection locked="1" hidden="1"/>
    </dxf>
    <dxf>
      <numFmt numFmtId="241" formatCode="[h]:mm"/>
      <alignment horizontal="center" vertical="bottom" textRotation="0" wrapText="0"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protection locked="1" hidden="1"/>
    </dxf>
    <dxf>
      <numFmt numFmtId="242" formatCode="dd/mmm"/>
      <alignment horizontal="center" vertical="bottom" textRotation="0" wrapText="0" indent="0" justifyLastLine="0" shrinkToFit="0" readingOrder="0"/>
      <protection locked="1" hidden="1"/>
    </dxf>
    <dxf>
      <alignment horizontal="center" vertical="bottom" textRotation="0" wrapText="0" indent="0" justifyLastLine="0" shrinkToFit="0" readingOrder="0"/>
      <protection locked="1" hidden="1"/>
    </dxf>
    <dxf>
      <fill>
        <patternFill patternType="solid">
          <fgColor indexed="64"/>
          <bgColor rgb="FFFFFF00"/>
        </patternFill>
      </fill>
      <alignment horizontal="center" vertical="center" textRotation="0" wrapText="1" indent="0" justifyLastLine="0" shrinkToFit="0" readingOrder="0"/>
      <protection locked="1" hidden="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00000"/>
      <color rgb="FF993300"/>
      <color rgb="FFFFDA3F"/>
      <color rgb="FFFFFFCC"/>
      <color rgb="FFFFCC00"/>
      <color rgb="FFDADFFE"/>
      <color rgb="FFFFFF99"/>
      <color rgb="FFDBDAA2"/>
      <color rgb="FFFFE579"/>
      <color rgb="FFFCE7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3.xml"/><Relationship Id="rId18" Type="http://schemas.openxmlformats.org/officeDocument/2006/relationships/worksheet" Target="worksheets/sheet13.xml"/><Relationship Id="rId26" Type="http://schemas.openxmlformats.org/officeDocument/2006/relationships/worksheet" Target="worksheets/sheet16.xml"/><Relationship Id="rId3" Type="http://schemas.openxmlformats.org/officeDocument/2006/relationships/worksheet" Target="worksheets/sheet3.xml"/><Relationship Id="rId21" Type="http://schemas.openxmlformats.org/officeDocument/2006/relationships/chartsheet" Target="chartsheets/sheet6.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chartsheet" Target="chartsheets/sheet2.xml"/><Relationship Id="rId17" Type="http://schemas.openxmlformats.org/officeDocument/2006/relationships/worksheet" Target="worksheets/sheet12.xml"/><Relationship Id="rId25" Type="http://schemas.openxmlformats.org/officeDocument/2006/relationships/chartsheet" Target="chartsheets/sheet10.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1.xml"/><Relationship Id="rId20" Type="http://schemas.openxmlformats.org/officeDocument/2006/relationships/worksheet" Target="worksheets/sheet15.xml"/><Relationship Id="rId29" Type="http://schemas.openxmlformats.org/officeDocument/2006/relationships/chartsheet" Target="chartsheets/sheet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chartsheet" Target="chartsheets/sheet9.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hartsheet" Target="chartsheets/sheet5.xml"/><Relationship Id="rId23" Type="http://schemas.openxmlformats.org/officeDocument/2006/relationships/chartsheet" Target="chartsheets/sheet8.xml"/><Relationship Id="rId28" Type="http://schemas.openxmlformats.org/officeDocument/2006/relationships/chartsheet" Target="chartsheets/sheet12.xml"/><Relationship Id="rId10" Type="http://schemas.openxmlformats.org/officeDocument/2006/relationships/worksheet" Target="worksheets/sheet10.xml"/><Relationship Id="rId19" Type="http://schemas.openxmlformats.org/officeDocument/2006/relationships/worksheet" Target="worksheets/sheet14.xml"/><Relationship Id="rId31"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4.xml"/><Relationship Id="rId22" Type="http://schemas.openxmlformats.org/officeDocument/2006/relationships/chartsheet" Target="chartsheets/sheet7.xml"/><Relationship Id="rId27" Type="http://schemas.openxmlformats.org/officeDocument/2006/relationships/chartsheet" Target="chartsheets/sheet11.xml"/><Relationship Id="rId30" Type="http://schemas.openxmlformats.org/officeDocument/2006/relationships/worksheet" Target="worksheets/sheet17.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image" Target="../media/image2.png"/></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image" Target="../media/image2.png"/></Relationships>
</file>

<file path=xl/charts/_rels/chart1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3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image" Target="../media/image2.png"/></Relationships>
</file>

<file path=xl/charts/_rels/chart1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image" Target="../media/image2.png"/></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image" Target="../media/image2.png"/></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image" Target="../media/image2.png"/></Relationships>
</file>

<file path=xl/charts/_rels/chart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image" Target="../media/image2.png"/></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image" Target="../media/image2.png"/></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1815701255159E-2"/>
          <c:y val="9.0713299016569229E-2"/>
          <c:w val="0.89479891931756572"/>
          <c:h val="0.83881816546936183"/>
        </c:manualLayout>
      </c:layout>
      <c:barChart>
        <c:barDir val="col"/>
        <c:grouping val="clustered"/>
        <c:varyColors val="0"/>
        <c:ser>
          <c:idx val="1"/>
          <c:order val="0"/>
          <c:tx>
            <c:strRef>
              <c:f>'PROGR-ILUM'!$I$4</c:f>
              <c:strCache>
                <c:ptCount val="1"/>
                <c:pt idx="0">
                  <c:v>Encender las luces</c:v>
                </c:pt>
              </c:strCache>
            </c:strRef>
          </c:tx>
          <c:spPr>
            <a:solidFill>
              <a:srgbClr val="FBD626"/>
            </a:solidFill>
            <a:ln w="6350">
              <a:solidFill>
                <a:schemeClr val="bg1">
                  <a:lumMod val="65000"/>
                </a:schemeClr>
              </a:solidFill>
            </a:ln>
          </c:spPr>
          <c:invertIfNegative val="0"/>
          <c:dPt>
            <c:idx val="17"/>
            <c:invertIfNegative val="0"/>
            <c:bubble3D val="0"/>
            <c:extLst>
              <c:ext xmlns:c16="http://schemas.microsoft.com/office/drawing/2014/chart" uri="{C3380CC4-5D6E-409C-BE32-E72D297353CC}">
                <c16:uniqueId val="{00000000-7350-4C75-8D51-24D72FA336AA}"/>
              </c:ext>
            </c:extLst>
          </c:dPt>
          <c:dPt>
            <c:idx val="18"/>
            <c:invertIfNegative val="0"/>
            <c:bubble3D val="0"/>
            <c:extLst>
              <c:ext xmlns:c16="http://schemas.microsoft.com/office/drawing/2014/chart" uri="{C3380CC4-5D6E-409C-BE32-E72D297353CC}">
                <c16:uniqueId val="{00000001-7350-4C75-8D51-24D72FA336AA}"/>
              </c:ext>
            </c:extLst>
          </c:dPt>
          <c:dPt>
            <c:idx val="19"/>
            <c:invertIfNegative val="0"/>
            <c:bubble3D val="0"/>
            <c:extLst>
              <c:ext xmlns:c16="http://schemas.microsoft.com/office/drawing/2014/chart" uri="{C3380CC4-5D6E-409C-BE32-E72D297353CC}">
                <c16:uniqueId val="{00000002-7350-4C75-8D51-24D72FA336AA}"/>
              </c:ext>
            </c:extLst>
          </c:dPt>
          <c:dPt>
            <c:idx val="20"/>
            <c:invertIfNegative val="0"/>
            <c:bubble3D val="0"/>
            <c:extLst>
              <c:ext xmlns:c16="http://schemas.microsoft.com/office/drawing/2014/chart" uri="{C3380CC4-5D6E-409C-BE32-E72D297353CC}">
                <c16:uniqueId val="{00000003-7350-4C75-8D51-24D72FA336AA}"/>
              </c:ext>
            </c:extLst>
          </c:dPt>
          <c:dPt>
            <c:idx val="21"/>
            <c:invertIfNegative val="0"/>
            <c:bubble3D val="0"/>
            <c:extLst>
              <c:ext xmlns:c16="http://schemas.microsoft.com/office/drawing/2014/chart" uri="{C3380CC4-5D6E-409C-BE32-E72D297353CC}">
                <c16:uniqueId val="{00000004-7350-4C75-8D51-24D72FA336AA}"/>
              </c:ext>
            </c:extLst>
          </c:dPt>
          <c:dPt>
            <c:idx val="22"/>
            <c:invertIfNegative val="0"/>
            <c:bubble3D val="0"/>
            <c:extLst>
              <c:ext xmlns:c16="http://schemas.microsoft.com/office/drawing/2014/chart" uri="{C3380CC4-5D6E-409C-BE32-E72D297353CC}">
                <c16:uniqueId val="{00000005-7350-4C75-8D51-24D72FA336AA}"/>
              </c:ext>
            </c:extLst>
          </c:dPt>
          <c:dPt>
            <c:idx val="23"/>
            <c:invertIfNegative val="0"/>
            <c:bubble3D val="0"/>
            <c:extLst>
              <c:ext xmlns:c16="http://schemas.microsoft.com/office/drawing/2014/chart" uri="{C3380CC4-5D6E-409C-BE32-E72D297353CC}">
                <c16:uniqueId val="{00000006-7350-4C75-8D51-24D72FA336AA}"/>
              </c:ext>
            </c:extLst>
          </c:dPt>
          <c:dPt>
            <c:idx val="24"/>
            <c:invertIfNegative val="0"/>
            <c:bubble3D val="0"/>
            <c:extLst>
              <c:ext xmlns:c16="http://schemas.microsoft.com/office/drawing/2014/chart" uri="{C3380CC4-5D6E-409C-BE32-E72D297353CC}">
                <c16:uniqueId val="{00000007-7350-4C75-8D51-24D72FA336AA}"/>
              </c:ext>
            </c:extLst>
          </c:dPt>
          <c:dPt>
            <c:idx val="25"/>
            <c:invertIfNegative val="0"/>
            <c:bubble3D val="0"/>
            <c:extLst>
              <c:ext xmlns:c16="http://schemas.microsoft.com/office/drawing/2014/chart" uri="{C3380CC4-5D6E-409C-BE32-E72D297353CC}">
                <c16:uniqueId val="{00000008-7350-4C75-8D51-24D72FA336AA}"/>
              </c:ext>
            </c:extLst>
          </c:dPt>
          <c:dPt>
            <c:idx val="26"/>
            <c:invertIfNegative val="0"/>
            <c:bubble3D val="0"/>
            <c:extLst>
              <c:ext xmlns:c16="http://schemas.microsoft.com/office/drawing/2014/chart" uri="{C3380CC4-5D6E-409C-BE32-E72D297353CC}">
                <c16:uniqueId val="{00000009-7350-4C75-8D51-24D72FA336AA}"/>
              </c:ext>
            </c:extLst>
          </c:dPt>
          <c:dPt>
            <c:idx val="27"/>
            <c:invertIfNegative val="0"/>
            <c:bubble3D val="0"/>
            <c:extLst>
              <c:ext xmlns:c16="http://schemas.microsoft.com/office/drawing/2014/chart" uri="{C3380CC4-5D6E-409C-BE32-E72D297353CC}">
                <c16:uniqueId val="{0000000A-7350-4C75-8D51-24D72FA336AA}"/>
              </c:ext>
            </c:extLst>
          </c:dPt>
          <c:dPt>
            <c:idx val="28"/>
            <c:invertIfNegative val="0"/>
            <c:bubble3D val="0"/>
            <c:extLst>
              <c:ext xmlns:c16="http://schemas.microsoft.com/office/drawing/2014/chart" uri="{C3380CC4-5D6E-409C-BE32-E72D297353CC}">
                <c16:uniqueId val="{0000000B-7350-4C75-8D51-24D72FA336AA}"/>
              </c:ext>
            </c:extLst>
          </c:dPt>
          <c:dPt>
            <c:idx val="29"/>
            <c:invertIfNegative val="0"/>
            <c:bubble3D val="0"/>
            <c:extLst>
              <c:ext xmlns:c16="http://schemas.microsoft.com/office/drawing/2014/chart" uri="{C3380CC4-5D6E-409C-BE32-E72D297353CC}">
                <c16:uniqueId val="{0000000C-7350-4C75-8D51-24D72FA336AA}"/>
              </c:ext>
            </c:extLst>
          </c:dPt>
          <c:dPt>
            <c:idx val="30"/>
            <c:invertIfNegative val="0"/>
            <c:bubble3D val="0"/>
            <c:extLst>
              <c:ext xmlns:c16="http://schemas.microsoft.com/office/drawing/2014/chart" uri="{C3380CC4-5D6E-409C-BE32-E72D297353CC}">
                <c16:uniqueId val="{0000000D-7350-4C75-8D51-24D72FA336AA}"/>
              </c:ext>
            </c:extLst>
          </c:dPt>
          <c:dPt>
            <c:idx val="31"/>
            <c:invertIfNegative val="0"/>
            <c:bubble3D val="0"/>
            <c:extLst>
              <c:ext xmlns:c16="http://schemas.microsoft.com/office/drawing/2014/chart" uri="{C3380CC4-5D6E-409C-BE32-E72D297353CC}">
                <c16:uniqueId val="{0000000E-7350-4C75-8D51-24D72FA336AA}"/>
              </c:ext>
            </c:extLst>
          </c:dPt>
          <c:dPt>
            <c:idx val="32"/>
            <c:invertIfNegative val="0"/>
            <c:bubble3D val="0"/>
            <c:extLst>
              <c:ext xmlns:c16="http://schemas.microsoft.com/office/drawing/2014/chart" uri="{C3380CC4-5D6E-409C-BE32-E72D297353CC}">
                <c16:uniqueId val="{0000000F-7350-4C75-8D51-24D72FA336AA}"/>
              </c:ext>
            </c:extLst>
          </c:dPt>
          <c:dPt>
            <c:idx val="33"/>
            <c:invertIfNegative val="0"/>
            <c:bubble3D val="0"/>
            <c:extLst>
              <c:ext xmlns:c16="http://schemas.microsoft.com/office/drawing/2014/chart" uri="{C3380CC4-5D6E-409C-BE32-E72D297353CC}">
                <c16:uniqueId val="{00000010-7350-4C75-8D51-24D72FA336AA}"/>
              </c:ext>
            </c:extLst>
          </c:dPt>
          <c:dPt>
            <c:idx val="34"/>
            <c:invertIfNegative val="0"/>
            <c:bubble3D val="0"/>
            <c:extLst>
              <c:ext xmlns:c16="http://schemas.microsoft.com/office/drawing/2014/chart" uri="{C3380CC4-5D6E-409C-BE32-E72D297353CC}">
                <c16:uniqueId val="{00000011-7350-4C75-8D51-24D72FA336AA}"/>
              </c:ext>
            </c:extLst>
          </c:dPt>
          <c:dPt>
            <c:idx val="35"/>
            <c:invertIfNegative val="0"/>
            <c:bubble3D val="0"/>
            <c:extLst>
              <c:ext xmlns:c16="http://schemas.microsoft.com/office/drawing/2014/chart" uri="{C3380CC4-5D6E-409C-BE32-E72D297353CC}">
                <c16:uniqueId val="{00000012-7350-4C75-8D51-24D72FA336AA}"/>
              </c:ext>
            </c:extLst>
          </c:dPt>
          <c:dPt>
            <c:idx val="36"/>
            <c:invertIfNegative val="0"/>
            <c:bubble3D val="0"/>
            <c:extLst>
              <c:ext xmlns:c16="http://schemas.microsoft.com/office/drawing/2014/chart" uri="{C3380CC4-5D6E-409C-BE32-E72D297353CC}">
                <c16:uniqueId val="{00000013-7350-4C75-8D51-24D72FA336AA}"/>
              </c:ext>
            </c:extLst>
          </c:dPt>
          <c:dPt>
            <c:idx val="37"/>
            <c:invertIfNegative val="0"/>
            <c:bubble3D val="0"/>
            <c:extLst>
              <c:ext xmlns:c16="http://schemas.microsoft.com/office/drawing/2014/chart" uri="{C3380CC4-5D6E-409C-BE32-E72D297353CC}">
                <c16:uniqueId val="{00000014-7350-4C75-8D51-24D72FA336AA}"/>
              </c:ext>
            </c:extLst>
          </c:dPt>
          <c:dLbls>
            <c:spPr>
              <a:solidFill>
                <a:srgbClr val="FBD626"/>
              </a:solidFill>
              <a:ln>
                <a:noFill/>
              </a:ln>
              <a:effectLst/>
            </c:spPr>
            <c:txPr>
              <a:bodyPr rot="-5400000" vert="horz" wrap="square" lIns="38100" tIns="19050" rIns="38100" bIns="19050" anchor="ctr">
                <a:spAutoFit/>
              </a:bodyPr>
              <a:lstStyle/>
              <a:p>
                <a:pPr>
                  <a:defRPr sz="800" b="1"/>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'PROGR-ILUM'!$A$5:$A$28</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'PROGR-ILUM'!$L$5:$L$28</c:f>
              <c:numCache>
                <c:formatCode>h:mm\ AM/PM</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15-7350-4C75-8D51-24D72FA336AA}"/>
            </c:ext>
          </c:extLst>
        </c:ser>
        <c:ser>
          <c:idx val="0"/>
          <c:order val="1"/>
          <c:tx>
            <c:strRef>
              <c:f>'PROGR-ILUM'!$L$4</c:f>
              <c:strCache>
                <c:ptCount val="1"/>
                <c:pt idx="0">
                  <c:v>Apagar las luces</c:v>
                </c:pt>
              </c:strCache>
            </c:strRef>
          </c:tx>
          <c:spPr>
            <a:solidFill>
              <a:schemeClr val="tx1">
                <a:lumMod val="75000"/>
                <a:lumOff val="25000"/>
              </a:schemeClr>
            </a:solidFill>
            <a:ln w="6350">
              <a:solidFill>
                <a:schemeClr val="bg1">
                  <a:lumMod val="65000"/>
                </a:schemeClr>
              </a:solidFill>
            </a:ln>
          </c:spPr>
          <c:invertIfNegative val="0"/>
          <c:dLbls>
            <c:spPr>
              <a:solidFill>
                <a:srgbClr val="FBD626"/>
              </a:solidFill>
              <a:ln>
                <a:noFill/>
              </a:ln>
              <a:effectLst/>
            </c:spPr>
            <c:txPr>
              <a:bodyPr rot="-5400000" vert="horz" wrap="square" lIns="38100" tIns="19050" rIns="38100" bIns="19050" anchor="ctr">
                <a:spAutoFit/>
              </a:bodyPr>
              <a:lstStyle/>
              <a:p>
                <a:pPr>
                  <a:defRPr sz="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'PROGR-ILUM'!$A$5:$A$28</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'PROGR-ILUM'!$I$5:$I$28</c:f>
              <c:numCache>
                <c:formatCode>h:mm\ AM/PM</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16-7350-4C75-8D51-24D72FA336AA}"/>
            </c:ext>
          </c:extLst>
        </c:ser>
        <c:dLbls>
          <c:showLegendKey val="0"/>
          <c:showVal val="0"/>
          <c:showCatName val="0"/>
          <c:showSerName val="0"/>
          <c:showPercent val="0"/>
          <c:showBubbleSize val="0"/>
        </c:dLbls>
        <c:gapWidth val="10"/>
        <c:overlap val="100"/>
        <c:axId val="43981056"/>
        <c:axId val="45556096"/>
      </c:barChart>
      <c:lineChart>
        <c:grouping val="standard"/>
        <c:varyColors val="0"/>
        <c:ser>
          <c:idx val="2"/>
          <c:order val="2"/>
          <c:tx>
            <c:strRef>
              <c:f>'PROGR-ILUM'!$J$4</c:f>
              <c:strCache>
                <c:ptCount val="1"/>
                <c:pt idx="0">
                  <c:v>Hora Amanecer</c:v>
                </c:pt>
              </c:strCache>
            </c:strRef>
          </c:tx>
          <c:spPr>
            <a:ln w="63500">
              <a:solidFill>
                <a:srgbClr val="00B050"/>
              </a:solidFill>
            </a:ln>
          </c:spPr>
          <c:marker>
            <c:symbol val="none"/>
          </c:marker>
          <c:val>
            <c:numRef>
              <c:f>'PROGR-ILUM'!$J$5:$J$28</c:f>
              <c:numCache>
                <c:formatCode>h:mm\ AM/PM</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17-7350-4C75-8D51-24D72FA336AA}"/>
            </c:ext>
          </c:extLst>
        </c:ser>
        <c:ser>
          <c:idx val="3"/>
          <c:order val="3"/>
          <c:tx>
            <c:strRef>
              <c:f>'PROGR-ILUM'!$K$4</c:f>
              <c:strCache>
                <c:ptCount val="1"/>
                <c:pt idx="0">
                  <c:v>Hora Atardecer</c:v>
                </c:pt>
              </c:strCache>
            </c:strRef>
          </c:tx>
          <c:spPr>
            <a:ln w="63500">
              <a:solidFill>
                <a:srgbClr val="C00000"/>
              </a:solidFill>
            </a:ln>
          </c:spPr>
          <c:marker>
            <c:symbol val="none"/>
          </c:marker>
          <c:val>
            <c:numRef>
              <c:f>'PROGR-ILUM'!$K$5:$K$28</c:f>
              <c:numCache>
                <c:formatCode>h:mm\ AM/PM</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18-7350-4C75-8D51-24D72FA336AA}"/>
            </c:ext>
          </c:extLst>
        </c:ser>
        <c:ser>
          <c:idx val="4"/>
          <c:order val="4"/>
          <c:tx>
            <c:strRef>
              <c:f>'PROGR-ILUM'!$M$4</c:f>
              <c:strCache>
                <c:ptCount val="1"/>
                <c:pt idx="0">
                  <c:v>Total de Horas de Luz</c:v>
                </c:pt>
              </c:strCache>
            </c:strRef>
          </c:tx>
          <c:spPr>
            <a:ln>
              <a:noFill/>
            </a:ln>
          </c:spPr>
          <c:marker>
            <c:symbol val="circle"/>
            <c:size val="5"/>
            <c:spPr>
              <a:solidFill>
                <a:schemeClr val="bg1"/>
              </a:solidFill>
              <a:ln>
                <a:solidFill>
                  <a:srgbClr val="0070C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9-7350-4C75-8D51-24D72FA336AA}"/>
                </c:ext>
              </c:extLst>
            </c:dLbl>
            <c:spPr>
              <a:solidFill>
                <a:sysClr val="window" lastClr="FFFFFF"/>
              </a:solidFill>
              <a:ln>
                <a:solidFill>
                  <a:sysClr val="windowText" lastClr="000000">
                    <a:lumMod val="65000"/>
                    <a:lumOff val="35000"/>
                  </a:sysClr>
                </a:solidFill>
              </a:ln>
              <a:effectLst/>
            </c:spPr>
            <c:txPr>
              <a:bodyPr rot="-5400000" vertOverflow="clip" horzOverflow="clip" vert="horz" lIns="72000" rIns="108000" anchor="ctr" anchorCtr="1"/>
              <a:lstStyle/>
              <a:p>
                <a:pPr>
                  <a:defRPr sz="1000">
                    <a:solidFill>
                      <a:sysClr val="windowText" lastClr="000000"/>
                    </a:solidFill>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c15:spPr>
                <c15:showLeaderLines val="0"/>
              </c:ext>
            </c:extLst>
          </c:dLbls>
          <c:val>
            <c:numRef>
              <c:f>'PROGR-ILUM'!$M$5:$M$28</c:f>
              <c:numCache>
                <c:formatCode>[h]:mm</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1A-7350-4C75-8D51-24D72FA336AA}"/>
            </c:ext>
          </c:extLst>
        </c:ser>
        <c:dLbls>
          <c:showLegendKey val="0"/>
          <c:showVal val="0"/>
          <c:showCatName val="0"/>
          <c:showSerName val="0"/>
          <c:showPercent val="0"/>
          <c:showBubbleSize val="0"/>
        </c:dLbls>
        <c:marker val="1"/>
        <c:smooth val="0"/>
        <c:axId val="43981056"/>
        <c:axId val="45556096"/>
      </c:lineChart>
      <c:catAx>
        <c:axId val="43981056"/>
        <c:scaling>
          <c:orientation val="minMax"/>
        </c:scaling>
        <c:delete val="0"/>
        <c:axPos val="b"/>
        <c:majorGridlines>
          <c:spPr>
            <a:ln w="6350">
              <a:solidFill>
                <a:schemeClr val="bg1">
                  <a:lumMod val="65000"/>
                </a:schemeClr>
              </a:solidFill>
            </a:ln>
          </c:spPr>
        </c:majorGridlines>
        <c:title>
          <c:tx>
            <c:rich>
              <a:bodyPr/>
              <a:lstStyle/>
              <a:p>
                <a:pPr>
                  <a:defRPr sz="1200">
                    <a:solidFill>
                      <a:schemeClr val="dk1"/>
                    </a:solidFill>
                    <a:latin typeface="Spartan MB" pitchFamily="50" charset="0"/>
                    <a:ea typeface="+mn-ea"/>
                    <a:cs typeface="+mn-cs"/>
                  </a:defRPr>
                </a:pPr>
                <a:r>
                  <a:rPr lang="en-US" sz="1200">
                    <a:solidFill>
                      <a:schemeClr val="dk1"/>
                    </a:solidFill>
                    <a:latin typeface="Spartan MB" pitchFamily="50" charset="0"/>
                    <a:ea typeface="+mn-ea"/>
                    <a:cs typeface="+mn-cs"/>
                  </a:rPr>
                  <a:t> Edad (Sem). </a:t>
                </a:r>
                <a:endParaRPr lang="en-US" sz="1200">
                  <a:latin typeface="Spartan MB" pitchFamily="50" charset="0"/>
                </a:endParaRPr>
              </a:p>
            </c:rich>
          </c:tx>
          <c:layout>
            <c:manualLayout>
              <c:xMode val="edge"/>
              <c:yMode val="edge"/>
              <c:x val="0.46345158058182406"/>
              <c:y val="0.86963628208923738"/>
            </c:manualLayout>
          </c:layout>
          <c:overlay val="0"/>
          <c:spPr>
            <a:solidFill>
              <a:schemeClr val="lt1"/>
            </a:solidFill>
            <a:ln w="25400" cap="flat" cmpd="sng" algn="ctr">
              <a:solidFill>
                <a:srgbClr val="E46434"/>
              </a:solidFill>
              <a:prstDash val="solid"/>
            </a:ln>
            <a:effectLst/>
          </c:spPr>
        </c:title>
        <c:numFmt formatCode="General" sourceLinked="1"/>
        <c:majorTickMark val="out"/>
        <c:minorTickMark val="none"/>
        <c:tickLblPos val="nextTo"/>
        <c:spPr>
          <a:ln w="22225">
            <a:solidFill>
              <a:srgbClr val="C00000"/>
            </a:solidFill>
          </a:ln>
        </c:spPr>
        <c:txPr>
          <a:bodyPr/>
          <a:lstStyle/>
          <a:p>
            <a:pPr>
              <a:defRPr sz="1400" b="1">
                <a:latin typeface="Century Gothic" panose="020B0502020202020204" pitchFamily="34" charset="0"/>
              </a:defRPr>
            </a:pPr>
            <a:endParaRPr lang="es-CO"/>
          </a:p>
        </c:txPr>
        <c:crossAx val="45556096"/>
        <c:crosses val="autoZero"/>
        <c:auto val="1"/>
        <c:lblAlgn val="ctr"/>
        <c:lblOffset val="1"/>
        <c:tickLblSkip val="1"/>
        <c:noMultiLvlLbl val="0"/>
      </c:catAx>
      <c:valAx>
        <c:axId val="45556096"/>
        <c:scaling>
          <c:orientation val="minMax"/>
          <c:max val="1"/>
          <c:min val="0"/>
        </c:scaling>
        <c:delete val="0"/>
        <c:axPos val="l"/>
        <c:title>
          <c:tx>
            <c:rich>
              <a:bodyPr rot="-5400000" vert="horz"/>
              <a:lstStyle/>
              <a:p>
                <a:pPr>
                  <a:defRPr sz="1200">
                    <a:latin typeface="Spartan MB" pitchFamily="50" charset="0"/>
                  </a:defRPr>
                </a:pPr>
                <a:r>
                  <a:rPr lang="en-US" sz="1200">
                    <a:latin typeface="Spartan MB" pitchFamily="50" charset="0"/>
                  </a:rPr>
                  <a:t>Hora</a:t>
                </a:r>
                <a:r>
                  <a:rPr lang="en-US" sz="1200" baseline="0">
                    <a:latin typeface="Spartan MB" pitchFamily="50" charset="0"/>
                  </a:rPr>
                  <a:t> del día</a:t>
                </a:r>
                <a:endParaRPr lang="en-US" sz="1200">
                  <a:latin typeface="Spartan MB" pitchFamily="50" charset="0"/>
                </a:endParaRPr>
              </a:p>
            </c:rich>
          </c:tx>
          <c:layout>
            <c:manualLayout>
              <c:xMode val="edge"/>
              <c:yMode val="edge"/>
              <c:x val="8.6199351010782174E-3"/>
              <c:y val="0.39543797011475101"/>
            </c:manualLayout>
          </c:layout>
          <c:overlay val="0"/>
        </c:title>
        <c:numFmt formatCode="[h]:mm;@" sourceLinked="0"/>
        <c:majorTickMark val="out"/>
        <c:minorTickMark val="none"/>
        <c:tickLblPos val="nextTo"/>
        <c:txPr>
          <a:bodyPr/>
          <a:lstStyle/>
          <a:p>
            <a:pPr>
              <a:defRPr sz="1400" b="1">
                <a:latin typeface="+mn-lt"/>
              </a:defRPr>
            </a:pPr>
            <a:endParaRPr lang="es-CO"/>
          </a:p>
        </c:txPr>
        <c:crossAx val="43981056"/>
        <c:crosses val="autoZero"/>
        <c:crossBetween val="between"/>
        <c:majorUnit val="4.1666666000000012E-2"/>
      </c:valAx>
      <c:spPr>
        <a:solidFill>
          <a:schemeClr val="tx1">
            <a:lumMod val="75000"/>
            <a:lumOff val="25000"/>
          </a:schemeClr>
        </a:solidFill>
        <a:ln>
          <a:solidFill>
            <a:schemeClr val="tx1"/>
          </a:solidFill>
        </a:ln>
      </c:spPr>
    </c:plotArea>
    <c:legend>
      <c:legendPos val="r"/>
      <c:legendEntry>
        <c:idx val="0"/>
        <c:delete val="1"/>
      </c:legendEntry>
      <c:legendEntry>
        <c:idx val="1"/>
        <c:delete val="1"/>
      </c:legendEntry>
      <c:layout>
        <c:manualLayout>
          <c:xMode val="edge"/>
          <c:yMode val="edge"/>
          <c:x val="0.22854451396301864"/>
          <c:y val="0.10958318584924931"/>
          <c:w val="0.61233813181653063"/>
          <c:h val="5.6877150830076863E-2"/>
        </c:manualLayout>
      </c:layout>
      <c:overlay val="0"/>
      <c:spPr>
        <a:solidFill>
          <a:schemeClr val="bg1"/>
        </a:solidFill>
        <a:ln>
          <a:solidFill>
            <a:schemeClr val="tx1"/>
          </a:solidFill>
        </a:ln>
      </c:spPr>
      <c:txPr>
        <a:bodyPr/>
        <a:lstStyle/>
        <a:p>
          <a:pPr>
            <a:defRPr sz="1400" b="1">
              <a:latin typeface="Spartan MB" pitchFamily="50" charset="0"/>
            </a:defRPr>
          </a:pPr>
          <a:endParaRPr lang="es-CO"/>
        </a:p>
      </c:txPr>
    </c:legend>
    <c:plotVisOnly val="1"/>
    <c:dispBlanksAs val="gap"/>
    <c:showDLblsOverMax val="0"/>
  </c:chart>
  <c:spPr>
    <a:ln>
      <a:solidFill>
        <a:schemeClr val="tx1"/>
      </a:solidFill>
    </a:ln>
  </c:spPr>
  <c:txPr>
    <a:bodyPr/>
    <a:lstStyle/>
    <a:p>
      <a:pPr>
        <a:defRPr sz="10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50119193816381E-2"/>
          <c:y val="8.0419953441121489E-2"/>
          <c:w val="0.8608941812841332"/>
          <c:h val="0.844468978457103"/>
        </c:manualLayout>
      </c:layout>
      <c:areaChart>
        <c:grouping val="stacked"/>
        <c:varyColors val="0"/>
        <c:ser>
          <c:idx val="1"/>
          <c:order val="4"/>
          <c:tx>
            <c:strRef>
              <c:f>'Pr-Sem'!$BK$5</c:f>
              <c:strCache>
                <c:ptCount val="1"/>
                <c:pt idx="0">
                  <c:v>H.A.A. T Min</c:v>
                </c:pt>
              </c:strCache>
            </c:strRef>
          </c:tx>
          <c:spPr>
            <a:noFill/>
            <a:ln w="88900">
              <a:noFill/>
            </a:ln>
            <a:effectLst/>
          </c:spP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'Pr-Sem'!$BK$6:$BK$108</c:f>
              <c:numCache>
                <c:formatCode>General_)</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0-7FCD-4C9E-AEAA-E91BF00918D4}"/>
            </c:ext>
          </c:extLst>
        </c:ser>
        <c:ser>
          <c:idx val="8"/>
          <c:order val="5"/>
          <c:tx>
            <c:strRef>
              <c:f>'Pr-Sem'!$L$5</c:f>
              <c:strCache>
                <c:ptCount val="1"/>
                <c:pt idx="0">
                  <c:v>H.A.A. Tab.</c:v>
                </c:pt>
              </c:strCache>
            </c:strRef>
          </c:tx>
          <c:spPr>
            <a:solidFill>
              <a:srgbClr val="003E6E">
                <a:alpha val="20000"/>
              </a:srgbClr>
            </a:solidFill>
            <a:ln>
              <a:noFill/>
            </a:ln>
            <a:effectLst/>
          </c:spP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'Pr-Sem'!$BL$6:$BL$108</c:f>
              <c:numCache>
                <c:formatCode>General_)</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1-7FCD-4C9E-AEAA-E91BF00918D4}"/>
            </c:ext>
          </c:extLst>
        </c:ser>
        <c:dLbls>
          <c:showLegendKey val="0"/>
          <c:showVal val="0"/>
          <c:showCatName val="0"/>
          <c:showSerName val="0"/>
          <c:showPercent val="0"/>
          <c:showBubbleSize val="0"/>
        </c:dLbls>
        <c:axId val="803302312"/>
        <c:axId val="803298000"/>
      </c:areaChart>
      <c:barChart>
        <c:barDir val="col"/>
        <c:grouping val="clustered"/>
        <c:varyColors val="0"/>
        <c:ser>
          <c:idx val="6"/>
          <c:order val="6"/>
          <c:tx>
            <c:strRef>
              <c:f>'Pr-Sem'!$D$5</c:f>
              <c:strCache>
                <c:ptCount val="1"/>
                <c:pt idx="0">
                  <c:v>% M. Ac.</c:v>
                </c:pt>
              </c:strCache>
            </c:strRef>
          </c:tx>
          <c:spPr>
            <a:solidFill>
              <a:srgbClr val="C00000">
                <a:alpha val="30000"/>
              </a:srgbClr>
            </a:solidFill>
            <a:ln>
              <a:noFill/>
            </a:ln>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'Pr-Sem'!$D$6:$D$108</c:f>
              <c:numCache>
                <c:formatCode>?0.00</c:formatCode>
                <c:ptCount val="83"/>
                <c:pt idx="0">
                  <c:v>0</c:v>
                </c:pt>
              </c:numCache>
            </c:numRef>
          </c:val>
          <c:extLst>
            <c:ext xmlns:c16="http://schemas.microsoft.com/office/drawing/2014/chart" uri="{C3380CC4-5D6E-409C-BE32-E72D297353CC}">
              <c16:uniqueId val="{00000002-7FCD-4C9E-AEAA-E91BF00918D4}"/>
            </c:ext>
          </c:extLst>
        </c:ser>
        <c:dLbls>
          <c:showLegendKey val="0"/>
          <c:showVal val="0"/>
          <c:showCatName val="0"/>
          <c:showSerName val="0"/>
          <c:showPercent val="0"/>
          <c:showBubbleSize val="0"/>
        </c:dLbls>
        <c:gapWidth val="40"/>
        <c:axId val="803296824"/>
        <c:axId val="803304272"/>
      </c:barChart>
      <c:lineChart>
        <c:grouping val="standard"/>
        <c:varyColors val="0"/>
        <c:ser>
          <c:idx val="0"/>
          <c:order val="3"/>
          <c:tx>
            <c:strRef>
              <c:f>'Pr-Sem'!$K$5</c:f>
              <c:strCache>
                <c:ptCount val="1"/>
                <c:pt idx="0">
                  <c:v>H.A.A. Real</c:v>
                </c:pt>
              </c:strCache>
            </c:strRef>
          </c:tx>
          <c:spPr>
            <a:ln w="50800" cap="rnd">
              <a:noFill/>
              <a:round/>
            </a:ln>
            <a:effectLst/>
          </c:spPr>
          <c:marker>
            <c:symbol val="diamond"/>
            <c:size val="9"/>
            <c:spPr>
              <a:solidFill>
                <a:srgbClr val="0070C0"/>
              </a:solidFill>
              <a:ln w="9525">
                <a:solidFill>
                  <a:srgbClr val="0070C0"/>
                </a:solidFill>
              </a:ln>
              <a:effectLst/>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'Pr-Sem'!$K$6:$K$108</c:f>
              <c:numCache>
                <c:formatCode>??0.0</c:formatCode>
                <c:ptCount val="83"/>
                <c:pt idx="0">
                  <c:v>0</c:v>
                </c:pt>
              </c:numCache>
            </c:numRef>
          </c:val>
          <c:smooth val="0"/>
          <c:extLst>
            <c:ext xmlns:c16="http://schemas.microsoft.com/office/drawing/2014/chart" uri="{C3380CC4-5D6E-409C-BE32-E72D297353CC}">
              <c16:uniqueId val="{00000003-7FCD-4C9E-AEAA-E91BF00918D4}"/>
            </c:ext>
          </c:extLst>
        </c:ser>
        <c:dLbls>
          <c:showLegendKey val="0"/>
          <c:showVal val="0"/>
          <c:showCatName val="0"/>
          <c:showSerName val="0"/>
          <c:showPercent val="0"/>
          <c:showBubbleSize val="0"/>
        </c:dLbls>
        <c:marker val="1"/>
        <c:smooth val="0"/>
        <c:axId val="803302312"/>
        <c:axId val="803298000"/>
      </c:lineChart>
      <c:lineChart>
        <c:grouping val="standard"/>
        <c:varyColors val="0"/>
        <c:ser>
          <c:idx val="7"/>
          <c:order val="0"/>
          <c:tx>
            <c:strRef>
              <c:f>'Pr-Sem'!$E$5</c:f>
              <c:strCache>
                <c:ptCount val="1"/>
                <c:pt idx="0">
                  <c:v>% Mort Ac Tab.</c:v>
                </c:pt>
              </c:strCache>
            </c:strRef>
          </c:tx>
          <c:spPr>
            <a:ln w="63500" cap="rnd">
              <a:solidFill>
                <a:srgbClr val="C00000">
                  <a:alpha val="50000"/>
                </a:srgbClr>
              </a:solidFill>
              <a:round/>
            </a:ln>
            <a:effectLst/>
          </c:spPr>
          <c:marker>
            <c:symbol val="none"/>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'Pr-Sem'!$E$6:$E$108</c:f>
              <c:numCache>
                <c:formatCode>?0.00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7-7FCD-4C9E-AEAA-E91BF00918D4}"/>
            </c:ext>
          </c:extLst>
        </c:ser>
        <c:ser>
          <c:idx val="4"/>
          <c:order val="1"/>
          <c:tx>
            <c:strRef>
              <c:f>'Pr-Sem'!$AL$5</c:f>
              <c:strCache>
                <c:ptCount val="1"/>
                <c:pt idx="0">
                  <c:v>Masa H. Ac A. Alj</c:v>
                </c:pt>
              </c:strCache>
            </c:strRef>
          </c:tx>
          <c:spPr>
            <a:ln w="25400" cap="rnd">
              <a:noFill/>
              <a:prstDash val="sysDot"/>
              <a:round/>
            </a:ln>
            <a:effectLst/>
          </c:spPr>
          <c:marker>
            <c:symbol val="circle"/>
            <c:size val="7"/>
            <c:spPr>
              <a:solidFill>
                <a:srgbClr val="336535"/>
              </a:solidFill>
              <a:ln w="9525">
                <a:solidFill>
                  <a:srgbClr val="336535"/>
                </a:solidFill>
              </a:ln>
              <a:effectLst/>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'Pr-Sem'!$AL$6:$AL$108</c:f>
              <c:numCache>
                <c:formatCode>?0.00</c:formatCode>
                <c:ptCount val="83"/>
                <c:pt idx="0">
                  <c:v>0</c:v>
                </c:pt>
              </c:numCache>
            </c:numRef>
          </c:val>
          <c:smooth val="1"/>
          <c:extLst>
            <c:ext xmlns:c16="http://schemas.microsoft.com/office/drawing/2014/chart" uri="{C3380CC4-5D6E-409C-BE32-E72D297353CC}">
              <c16:uniqueId val="{00000004-7FCD-4C9E-AEAA-E91BF00918D4}"/>
            </c:ext>
          </c:extLst>
        </c:ser>
        <c:ser>
          <c:idx val="5"/>
          <c:order val="2"/>
          <c:tx>
            <c:strRef>
              <c:f>'Pr-Sem'!$AM$5</c:f>
              <c:strCache>
                <c:ptCount val="1"/>
                <c:pt idx="0">
                  <c:v>Masa Ac Ave Aloj Tab</c:v>
                </c:pt>
              </c:strCache>
            </c:strRef>
          </c:tx>
          <c:spPr>
            <a:ln w="76200" cap="rnd">
              <a:solidFill>
                <a:srgbClr val="336535">
                  <a:alpha val="40000"/>
                </a:srgbClr>
              </a:solidFill>
              <a:round/>
            </a:ln>
            <a:effectLst/>
          </c:spPr>
          <c:marker>
            <c:symbol val="none"/>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'Pr-Sem'!$AM$6:$AM$108</c:f>
              <c:numCache>
                <c:formatCode>?0.00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5-7FCD-4C9E-AEAA-E91BF00918D4}"/>
            </c:ext>
          </c:extLst>
        </c:ser>
        <c:dLbls>
          <c:showLegendKey val="0"/>
          <c:showVal val="0"/>
          <c:showCatName val="0"/>
          <c:showSerName val="0"/>
          <c:showPercent val="0"/>
          <c:showBubbleSize val="0"/>
        </c:dLbls>
        <c:marker val="1"/>
        <c:smooth val="0"/>
        <c:axId val="803296824"/>
        <c:axId val="803304272"/>
      </c:lineChart>
      <c:catAx>
        <c:axId val="803302312"/>
        <c:scaling>
          <c:orientation val="minMax"/>
        </c:scaling>
        <c:delete val="0"/>
        <c:axPos val="b"/>
        <c:numFmt formatCode="??0" sourceLinked="1"/>
        <c:majorTickMark val="none"/>
        <c:minorTickMark val="none"/>
        <c:tickLblPos val="nextTo"/>
        <c:spPr>
          <a:noFill/>
          <a:ln w="19050" cap="flat" cmpd="sng" algn="ctr">
            <a:solidFill>
              <a:schemeClr val="tx1"/>
            </a:solidFill>
            <a:round/>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crossAx val="803298000"/>
        <c:crosses val="autoZero"/>
        <c:auto val="1"/>
        <c:lblAlgn val="ctr"/>
        <c:lblOffset val="1"/>
        <c:noMultiLvlLbl val="0"/>
      </c:catAx>
      <c:valAx>
        <c:axId val="803298000"/>
        <c:scaling>
          <c:orientation val="minMax"/>
          <c:max val="500"/>
          <c:min val="0"/>
        </c:scaling>
        <c:delete val="0"/>
        <c:axPos val="l"/>
        <c:majorGridlines>
          <c:spPr>
            <a:ln w="9525" cap="flat" cmpd="sng" algn="ctr">
              <a:solidFill>
                <a:schemeClr val="bg1">
                  <a:lumMod val="50000"/>
                </a:schemeClr>
              </a:solidFill>
              <a:prstDash val="sysDot"/>
              <a:round/>
            </a:ln>
            <a:effectLst/>
          </c:spPr>
        </c:majorGridlines>
        <c:numFmt formatCode="General_)"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rgbClr val="003E6E"/>
                </a:solidFill>
                <a:latin typeface="+mn-lt"/>
                <a:ea typeface="+mn-ea"/>
                <a:cs typeface="+mn-cs"/>
              </a:defRPr>
            </a:pPr>
            <a:endParaRPr lang="es-CO"/>
          </a:p>
        </c:txPr>
        <c:crossAx val="803302312"/>
        <c:crosses val="autoZero"/>
        <c:crossBetween val="between"/>
      </c:valAx>
      <c:valAx>
        <c:axId val="803304272"/>
        <c:scaling>
          <c:orientation val="minMax"/>
          <c:max val="50"/>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rgbClr val="FF0000"/>
                </a:solidFill>
                <a:latin typeface="+mn-lt"/>
                <a:ea typeface="+mn-ea"/>
                <a:cs typeface="+mn-cs"/>
              </a:defRPr>
            </a:pPr>
            <a:endParaRPr lang="es-CO"/>
          </a:p>
        </c:txPr>
        <c:crossAx val="803296824"/>
        <c:crosses val="max"/>
        <c:crossBetween val="between"/>
      </c:valAx>
      <c:catAx>
        <c:axId val="803296824"/>
        <c:scaling>
          <c:orientation val="minMax"/>
        </c:scaling>
        <c:delete val="1"/>
        <c:axPos val="b"/>
        <c:numFmt formatCode="??0" sourceLinked="1"/>
        <c:majorTickMark val="out"/>
        <c:minorTickMark val="none"/>
        <c:tickLblPos val="nextTo"/>
        <c:crossAx val="803304272"/>
        <c:crosses val="autoZero"/>
        <c:auto val="1"/>
        <c:lblAlgn val="ctr"/>
        <c:lblOffset val="100"/>
        <c:noMultiLvlLbl val="0"/>
      </c:catAx>
      <c:spPr>
        <a:noFill/>
        <a:ln>
          <a:noFill/>
        </a:ln>
        <a:effectLst/>
      </c:spPr>
    </c:plotArea>
    <c:legend>
      <c:legendPos val="t"/>
      <c:legendEntry>
        <c:idx val="0"/>
        <c:delete val="1"/>
      </c:legendEntry>
      <c:layout>
        <c:manualLayout>
          <c:xMode val="edge"/>
          <c:yMode val="edge"/>
          <c:x val="5.8641374712426524E-2"/>
          <c:y val="0.17571474083652741"/>
          <c:w val="0.50883100778130175"/>
          <c:h val="0.17554510436462228"/>
        </c:manualLayout>
      </c:layout>
      <c:overlay val="0"/>
      <c:spPr>
        <a:solidFill>
          <a:schemeClr val="bg2">
            <a:alpha val="40000"/>
          </a:schemeClr>
        </a:solid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Century Gothic" panose="020B0502020202020204" pitchFamily="34" charset="0"/>
              <a:ea typeface="+mn-ea"/>
              <a:cs typeface="+mn-cs"/>
            </a:defRPr>
          </a:pPr>
          <a:endParaRPr lang="es-CO"/>
        </a:p>
      </c:txPr>
    </c:legend>
    <c:plotVisOnly val="1"/>
    <c:dispBlanksAs val="gap"/>
    <c:showDLblsOverMax val="0"/>
  </c:chart>
  <c:spPr>
    <a:blipFill dpi="0" rotWithShape="1">
      <a:blip xmlns:r="http://schemas.openxmlformats.org/officeDocument/2006/relationships" r:embed="rId1">
        <a:alphaModFix amt="19000"/>
      </a:blip>
      <a:srcRect/>
      <a:tile tx="355600" ty="0" sx="100000" sy="100000" flip="none" algn="tl"/>
    </a:blipFill>
    <a:ln w="9525" cap="flat" cmpd="sng" algn="ctr">
      <a:solidFill>
        <a:schemeClr val="tx1">
          <a:lumMod val="15000"/>
          <a:lumOff val="85000"/>
        </a:schemeClr>
      </a:solidFill>
      <a:round/>
    </a:ln>
    <a:effectLst/>
  </c:spPr>
  <c:txPr>
    <a:bodyPr/>
    <a:lstStyle/>
    <a:p>
      <a:pPr>
        <a:defRPr/>
      </a:pPr>
      <a:endParaRPr lang="es-CO"/>
    </a:p>
  </c:txPr>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50119193816381E-2"/>
          <c:y val="5.7784894256831094E-2"/>
          <c:w val="0.90357440521181731"/>
          <c:h val="0.87845685198441104"/>
        </c:manualLayout>
      </c:layout>
      <c:barChart>
        <c:barDir val="col"/>
        <c:grouping val="clustered"/>
        <c:varyColors val="0"/>
        <c:ser>
          <c:idx val="0"/>
          <c:order val="2"/>
          <c:tx>
            <c:strRef>
              <c:f>'Pr-Sem'!$BC$5</c:f>
              <c:strCache>
                <c:ptCount val="1"/>
                <c:pt idx="0">
                  <c:v>Costo Prod $</c:v>
                </c:pt>
              </c:strCache>
            </c:strRef>
          </c:tx>
          <c:spPr>
            <a:solidFill>
              <a:srgbClr val="C00000">
                <a:alpha val="30000"/>
              </a:srgbClr>
            </a:solidFill>
            <a:ln w="6350">
              <a:solidFill>
                <a:srgbClr val="FF0000">
                  <a:alpha val="50000"/>
                </a:srgbClr>
              </a:solidFill>
            </a:ln>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'Pr-Sem'!$BC$6:$BC$108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0-16D8-4B5D-8F9F-7154EF86D581}"/>
            </c:ext>
          </c:extLst>
        </c:ser>
        <c:dLbls>
          <c:showLegendKey val="0"/>
          <c:showVal val="0"/>
          <c:showCatName val="0"/>
          <c:showSerName val="0"/>
          <c:showPercent val="0"/>
          <c:showBubbleSize val="0"/>
        </c:dLbls>
        <c:gapWidth val="0"/>
        <c:axId val="803294472"/>
        <c:axId val="803303880"/>
      </c:barChart>
      <c:lineChart>
        <c:grouping val="standard"/>
        <c:varyColors val="0"/>
        <c:ser>
          <c:idx val="4"/>
          <c:order val="0"/>
          <c:tx>
            <c:strRef>
              <c:f>'Pr-Sem'!$T$5</c:f>
              <c:strCache>
                <c:ptCount val="1"/>
                <c:pt idx="0">
                  <c:v>Gr X H</c:v>
                </c:pt>
              </c:strCache>
            </c:strRef>
          </c:tx>
          <c:spPr>
            <a:ln w="25400" cap="rnd">
              <a:noFill/>
              <a:prstDash val="sysDot"/>
              <a:round/>
            </a:ln>
            <a:effectLst/>
          </c:spPr>
          <c:marker>
            <c:symbol val="circle"/>
            <c:size val="8"/>
            <c:spPr>
              <a:solidFill>
                <a:srgbClr val="336535"/>
              </a:solidFill>
              <a:ln w="9525">
                <a:solidFill>
                  <a:srgbClr val="336535"/>
                </a:solidFill>
              </a:ln>
              <a:effectLst/>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'Pr-Sem'!$T$6:$T$108</c:f>
              <c:numCache>
                <c:formatCode>0"."00</c:formatCode>
                <c:ptCount val="83"/>
                <c:pt idx="0">
                  <c:v>0</c:v>
                </c:pt>
              </c:numCache>
            </c:numRef>
          </c:val>
          <c:smooth val="1"/>
          <c:extLst>
            <c:ext xmlns:c16="http://schemas.microsoft.com/office/drawing/2014/chart" uri="{C3380CC4-5D6E-409C-BE32-E72D297353CC}">
              <c16:uniqueId val="{00000000-5E6C-405E-9802-765C1EAA8987}"/>
            </c:ext>
          </c:extLst>
        </c:ser>
        <c:ser>
          <c:idx val="5"/>
          <c:order val="1"/>
          <c:tx>
            <c:strRef>
              <c:f>'Pr-Sem'!$U$5</c:f>
              <c:strCache>
                <c:ptCount val="1"/>
                <c:pt idx="0">
                  <c:v>Gr X H Tab</c:v>
                </c:pt>
              </c:strCache>
            </c:strRef>
          </c:tx>
          <c:spPr>
            <a:ln w="85725" cap="rnd">
              <a:solidFill>
                <a:srgbClr val="336535">
                  <a:alpha val="49000"/>
                </a:srgbClr>
              </a:solidFill>
              <a:round/>
            </a:ln>
            <a:effectLst/>
          </c:spPr>
          <c:marker>
            <c:symbol val="none"/>
          </c:marker>
          <c:dPt>
            <c:idx val="1"/>
            <c:bubble3D val="0"/>
            <c:spPr>
              <a:ln w="85725" cap="rnd">
                <a:noFill/>
                <a:round/>
              </a:ln>
              <a:effectLst/>
            </c:spPr>
            <c:extLst>
              <c:ext xmlns:c16="http://schemas.microsoft.com/office/drawing/2014/chart" uri="{C3380CC4-5D6E-409C-BE32-E72D297353CC}">
                <c16:uniqueId val="{00000000-FAD7-4410-AEF7-96C1A842C1E8}"/>
              </c:ext>
            </c:extLst>
          </c:dPt>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'Pr-Sem'!$U$6:$U$108</c:f>
              <c:numCache>
                <c:formatCode>0"."00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1-5E6C-405E-9802-765C1EAA8987}"/>
            </c:ext>
          </c:extLst>
        </c:ser>
        <c:ser>
          <c:idx val="1"/>
          <c:order val="3"/>
          <c:tx>
            <c:strRef>
              <c:f>'Pr-Sem'!$BD$5</c:f>
              <c:strCache>
                <c:ptCount val="1"/>
                <c:pt idx="0">
                  <c:v>$ Venta Sem</c:v>
                </c:pt>
              </c:strCache>
            </c:strRef>
          </c:tx>
          <c:spPr>
            <a:ln w="28575">
              <a:noFill/>
            </a:ln>
          </c:spPr>
          <c:marker>
            <c:symbol val="diamond"/>
            <c:size val="9"/>
            <c:spPr>
              <a:solidFill>
                <a:srgbClr val="FFC000"/>
              </a:solidFill>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'Pr-Sem'!$BD$6:$BD$108</c:f>
              <c:numCache>
                <c:formatCode>"$"#,##0.0;[Red]"$"\-#,##0.0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1-16D8-4B5D-8F9F-7154EF86D581}"/>
            </c:ext>
          </c:extLst>
        </c:ser>
        <c:dLbls>
          <c:showLegendKey val="0"/>
          <c:showVal val="0"/>
          <c:showCatName val="0"/>
          <c:showSerName val="0"/>
          <c:showPercent val="0"/>
          <c:showBubbleSize val="0"/>
        </c:dLbls>
        <c:marker val="1"/>
        <c:smooth val="0"/>
        <c:axId val="803294472"/>
        <c:axId val="803303880"/>
      </c:lineChart>
      <c:catAx>
        <c:axId val="803294472"/>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crossAx val="803303880"/>
        <c:crosses val="autoZero"/>
        <c:auto val="1"/>
        <c:lblAlgn val="ctr"/>
        <c:lblOffset val="1"/>
        <c:noMultiLvlLbl val="0"/>
      </c:catAx>
      <c:valAx>
        <c:axId val="803303880"/>
        <c:scaling>
          <c:orientation val="minMax"/>
          <c:max val="500"/>
          <c:min val="0"/>
        </c:scaling>
        <c:delete val="0"/>
        <c:axPos val="l"/>
        <c:majorGridlines>
          <c:spPr>
            <a:ln w="9525" cap="flat" cmpd="sng" algn="ctr">
              <a:solidFill>
                <a:schemeClr val="bg1">
                  <a:lumMod val="50000"/>
                </a:schemeClr>
              </a:solidFill>
              <a:prstDash val="sysDot"/>
              <a:round/>
            </a:ln>
            <a:effectLst/>
          </c:spPr>
        </c:majorGridlines>
        <c:numFmt formatCode="#,##0.0" sourceLinked="0"/>
        <c:majorTickMark val="none"/>
        <c:minorTickMark val="none"/>
        <c:tickLblPos val="nextTo"/>
        <c:spPr>
          <a:noFill/>
          <a:ln>
            <a:solidFill>
              <a:schemeClr val="tx2">
                <a:lumMod val="75000"/>
              </a:schemeClr>
            </a:solidFill>
          </a:ln>
          <a:effectLst/>
        </c:spPr>
        <c:txPr>
          <a:bodyPr rot="-60000000" spcFirstLastPara="1" vertOverflow="ellipsis" vert="horz" wrap="square" anchor="ctr" anchorCtr="1"/>
          <a:lstStyle/>
          <a:p>
            <a:pPr>
              <a:defRPr sz="1600" b="1" i="0" u="none" strike="noStrike" kern="1200" baseline="0">
                <a:solidFill>
                  <a:srgbClr val="003E6E"/>
                </a:solidFill>
                <a:latin typeface="+mn-lt"/>
                <a:ea typeface="+mn-ea"/>
                <a:cs typeface="+mn-cs"/>
              </a:defRPr>
            </a:pPr>
            <a:endParaRPr lang="es-CO"/>
          </a:p>
        </c:txPr>
        <c:crossAx val="803294472"/>
        <c:crosses val="autoZero"/>
        <c:crossBetween val="between"/>
      </c:valAx>
      <c:spPr>
        <a:noFill/>
        <a:ln>
          <a:noFill/>
        </a:ln>
        <a:effectLst/>
      </c:spPr>
    </c:plotArea>
    <c:legend>
      <c:legendPos val="t"/>
      <c:layout>
        <c:manualLayout>
          <c:xMode val="edge"/>
          <c:yMode val="edge"/>
          <c:x val="3.472279095459288E-2"/>
          <c:y val="0.85855006760518571"/>
          <c:w val="0.89999995379053899"/>
          <c:h val="5.1232281671661183E-2"/>
        </c:manualLayout>
      </c:layout>
      <c:overlay val="0"/>
      <c:spPr>
        <a:solidFill>
          <a:schemeClr val="bg1">
            <a:alpha val="56000"/>
          </a:schemeClr>
        </a:solid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blipFill dpi="0" rotWithShape="1">
      <a:blip xmlns:r="http://schemas.openxmlformats.org/officeDocument/2006/relationships" r:embed="rId1">
        <a:alphaModFix amt="16000"/>
      </a:blip>
      <a:srcRect/>
      <a:tile tx="355600" ty="0" sx="100000" sy="100000" flip="none" algn="tl"/>
    </a:blipFill>
    <a:ln w="9525" cap="flat" cmpd="sng" algn="ctr">
      <a:solidFill>
        <a:schemeClr val="tx1">
          <a:lumMod val="15000"/>
          <a:lumOff val="85000"/>
        </a:schemeClr>
      </a:solidFill>
      <a:round/>
    </a:ln>
    <a:effectLst/>
  </c:spPr>
  <c:txPr>
    <a:bodyPr/>
    <a:lstStyle/>
    <a:p>
      <a:pPr>
        <a:defRPr/>
      </a:pPr>
      <a:endParaRPr lang="es-CO"/>
    </a:p>
  </c:txPr>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29575813761941"/>
          <c:y val="0.13932596142431061"/>
          <c:w val="0.87547201955346343"/>
          <c:h val="0.83375821204167666"/>
        </c:manualLayout>
      </c:layout>
      <c:barChart>
        <c:barDir val="col"/>
        <c:grouping val="clustered"/>
        <c:varyColors val="0"/>
        <c:ser>
          <c:idx val="1"/>
          <c:order val="2"/>
          <c:tx>
            <c:strRef>
              <c:f>'Pr-Sem'!$M$5</c:f>
              <c:strCache>
                <c:ptCount val="1"/>
                <c:pt idx="0">
                  <c:v>H.A.A.  (R-T)</c:v>
                </c:pt>
              </c:strCache>
            </c:strRef>
          </c:tx>
          <c:spPr>
            <a:solidFill>
              <a:srgbClr val="C00000">
                <a:alpha val="30000"/>
              </a:srgbClr>
            </a:solidFill>
            <a:ln w="9525" cap="rnd">
              <a:solidFill>
                <a:srgbClr val="C00000">
                  <a:alpha val="40000"/>
                </a:srgbClr>
              </a:solidFill>
              <a:prstDash val="solid"/>
              <a:round/>
            </a:ln>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'Pr-Sem'!$M$6:$M$108</c:f>
              <c:numCache>
                <c:formatCode>[Blue]\+\ ?0.0\ \ "H";[Red]\-\ ?0.0\ "H"</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2-1A2D-4247-94B0-FA10C3F3FB98}"/>
            </c:ext>
          </c:extLst>
        </c:ser>
        <c:dLbls>
          <c:showLegendKey val="0"/>
          <c:showVal val="0"/>
          <c:showCatName val="0"/>
          <c:showSerName val="0"/>
          <c:showPercent val="0"/>
          <c:showBubbleSize val="0"/>
        </c:dLbls>
        <c:gapWidth val="0"/>
        <c:axId val="803298392"/>
        <c:axId val="803298784"/>
      </c:barChart>
      <c:lineChart>
        <c:grouping val="standard"/>
        <c:varyColors val="0"/>
        <c:ser>
          <c:idx val="0"/>
          <c:order val="0"/>
          <c:tx>
            <c:strRef>
              <c:f>'Pr-Sem'!$J$5</c:f>
              <c:strCache>
                <c:ptCount val="1"/>
                <c:pt idx="0">
                  <c:v>Cumpl Pdn.</c:v>
                </c:pt>
              </c:strCache>
            </c:strRef>
          </c:tx>
          <c:spPr>
            <a:ln w="63500" cap="rnd">
              <a:solidFill>
                <a:srgbClr val="003E6E">
                  <a:alpha val="70000"/>
                </a:srgbClr>
              </a:solidFill>
              <a:round/>
            </a:ln>
            <a:effectLst/>
          </c:spPr>
          <c:marker>
            <c:symbol val="none"/>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'Pr-Sem'!$J$6:$J$108</c:f>
              <c:numCache>
                <c:formatCode>[Blue]\+\ ?0.0\ \ "Ptos";[Red]\-\ ?0.0\ "Ptos"</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1"/>
          <c:extLst>
            <c:ext xmlns:c16="http://schemas.microsoft.com/office/drawing/2014/chart" uri="{C3380CC4-5D6E-409C-BE32-E72D297353CC}">
              <c16:uniqueId val="{00000000-1A2D-4247-94B0-FA10C3F3FB98}"/>
            </c:ext>
          </c:extLst>
        </c:ser>
        <c:ser>
          <c:idx val="2"/>
          <c:order val="1"/>
          <c:tx>
            <c:strRef>
              <c:f>'Pr-Sem'!$Q$5</c:f>
              <c:strCache>
                <c:ptCount val="1"/>
                <c:pt idx="0">
                  <c:v>% Cumpl Gr.A.D</c:v>
                </c:pt>
              </c:strCache>
            </c:strRef>
          </c:tx>
          <c:spPr>
            <a:ln w="25400" cap="rnd">
              <a:solidFill>
                <a:srgbClr val="FFC000"/>
              </a:solidFill>
              <a:prstDash val="sysDot"/>
              <a:round/>
            </a:ln>
            <a:effectLst/>
          </c:spPr>
          <c:marker>
            <c:symbol val="circle"/>
            <c:size val="6"/>
            <c:spPr>
              <a:solidFill>
                <a:srgbClr val="FFCC00"/>
              </a:solidFill>
              <a:ln w="25400">
                <a:solidFill>
                  <a:srgbClr val="00B050"/>
                </a:solidFill>
              </a:ln>
              <a:effectLst/>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'Pr-Sem'!$Q$6:$Q$108</c:f>
              <c:numCache>
                <c:formatCode>[Blue]\+\ ??0.0\ ;[Red]\-\ ??0.0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1"/>
          <c:extLst>
            <c:ext xmlns:c16="http://schemas.microsoft.com/office/drawing/2014/chart" uri="{C3380CC4-5D6E-409C-BE32-E72D297353CC}">
              <c16:uniqueId val="{00000001-1A2D-4247-94B0-FA10C3F3FB98}"/>
            </c:ext>
          </c:extLst>
        </c:ser>
        <c:dLbls>
          <c:showLegendKey val="0"/>
          <c:showVal val="0"/>
          <c:showCatName val="0"/>
          <c:showSerName val="0"/>
          <c:showPercent val="0"/>
          <c:showBubbleSize val="0"/>
        </c:dLbls>
        <c:marker val="1"/>
        <c:smooth val="0"/>
        <c:axId val="803298392"/>
        <c:axId val="803298784"/>
      </c:lineChart>
      <c:catAx>
        <c:axId val="803298392"/>
        <c:scaling>
          <c:orientation val="minMax"/>
        </c:scaling>
        <c:delete val="0"/>
        <c:axPos val="b"/>
        <c:numFmt formatCode="??0" sourceLinked="1"/>
        <c:majorTickMark val="none"/>
        <c:minorTickMark val="none"/>
        <c:tickLblPos val="nextTo"/>
        <c:spPr>
          <a:noFill/>
          <a:ln w="50800" cap="flat" cmpd="sng" algn="ctr">
            <a:solidFill>
              <a:srgbClr val="003E6E"/>
            </a:solidFill>
            <a:round/>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crossAx val="803298784"/>
        <c:crosses val="autoZero"/>
        <c:auto val="1"/>
        <c:lblAlgn val="ctr"/>
        <c:lblOffset val="1"/>
        <c:tickMarkSkip val="1"/>
        <c:noMultiLvlLbl val="0"/>
      </c:catAx>
      <c:valAx>
        <c:axId val="803298784"/>
        <c:scaling>
          <c:orientation val="minMax"/>
        </c:scaling>
        <c:delete val="0"/>
        <c:axPos val="l"/>
        <c:majorGridlines>
          <c:spPr>
            <a:ln w="9525" cap="flat" cmpd="sng" algn="ctr">
              <a:solidFill>
                <a:schemeClr val="bg1">
                  <a:lumMod val="50000"/>
                </a:schemeClr>
              </a:solidFill>
              <a:prstDash val="sysDot"/>
              <a:round/>
            </a:ln>
            <a:effectLst/>
          </c:spPr>
        </c:majorGridlines>
        <c:numFmt formatCode="[Blue]\+\ ?0.0;[Red]\-\ ?0.0" sourceLinked="0"/>
        <c:majorTickMark val="cross"/>
        <c:minorTickMark val="none"/>
        <c:tickLblPos val="nextTo"/>
        <c:spPr>
          <a:noFill/>
          <a:ln w="12700">
            <a:solidFill>
              <a:srgbClr val="003E6E"/>
            </a:solidFil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crossAx val="803298392"/>
        <c:crosses val="autoZero"/>
        <c:crossBetween val="between"/>
      </c:valAx>
      <c:spPr>
        <a:noFill/>
        <a:ln>
          <a:noFill/>
        </a:ln>
        <a:effectLst/>
      </c:spPr>
    </c:plotArea>
    <c:legend>
      <c:legendPos val="t"/>
      <c:layout>
        <c:manualLayout>
          <c:xMode val="edge"/>
          <c:yMode val="edge"/>
          <c:x val="0.10184752125031202"/>
          <c:y val="8.1179988865028238E-2"/>
          <c:w val="0.86846643068698992"/>
          <c:h val="5.1159862047253112E-2"/>
        </c:manualLayout>
      </c:layout>
      <c:overlay val="0"/>
      <c:spPr>
        <a:solidFill>
          <a:schemeClr val="bg1">
            <a:lumMod val="95000"/>
          </a:schemeClr>
        </a:solid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blipFill dpi="0" rotWithShape="1">
      <a:blip xmlns:r="http://schemas.openxmlformats.org/officeDocument/2006/relationships" r:embed="rId1">
        <a:alphaModFix amt="17000"/>
      </a:blip>
      <a:srcRect/>
      <a:tile tx="355600" ty="0" sx="100000" sy="100000" flip="none" algn="tl"/>
    </a:blipFill>
    <a:ln w="9525" cap="flat" cmpd="sng" algn="ctr">
      <a:solidFill>
        <a:schemeClr val="tx1">
          <a:lumMod val="15000"/>
          <a:lumOff val="85000"/>
        </a:schemeClr>
      </a:solidFill>
      <a:round/>
    </a:ln>
    <a:effectLst/>
  </c:spPr>
  <c:txPr>
    <a:bodyPr/>
    <a:lstStyle/>
    <a:p>
      <a:pPr>
        <a:defRPr/>
      </a:pPr>
      <a:endParaRPr lang="es-CO"/>
    </a:p>
  </c:txPr>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3559490465881E-2"/>
          <c:y val="2.4534409430064383E-2"/>
          <c:w val="0.92986586216237999"/>
          <c:h val="0.95380613262448288"/>
        </c:manualLayout>
      </c:layout>
      <c:barChart>
        <c:barDir val="col"/>
        <c:grouping val="clustered"/>
        <c:varyColors val="1"/>
        <c:ser>
          <c:idx val="0"/>
          <c:order val="0"/>
          <c:spPr>
            <a:effectLst>
              <a:outerShdw blurRad="50800" dist="50800" dir="8100000" algn="tr" rotWithShape="0">
                <a:prstClr val="black">
                  <a:alpha val="40000"/>
                </a:prstClr>
              </a:outerShdw>
            </a:effectLst>
          </c:spPr>
          <c:invertIfNegative val="0"/>
          <c:dPt>
            <c:idx val="0"/>
            <c:invertIfNegative val="0"/>
            <c:bubble3D val="0"/>
            <c:spPr>
              <a:solidFill>
                <a:schemeClr val="accent1"/>
              </a:solidFill>
              <a:ln>
                <a:noFill/>
              </a:ln>
              <a:effectLst>
                <a:outerShdw blurRad="50800" dist="50800" dir="8100000" algn="tr" rotWithShape="0">
                  <a:prstClr val="black">
                    <a:alpha val="40000"/>
                  </a:prstClr>
                </a:outerShdw>
              </a:effectLst>
            </c:spPr>
            <c:extLst>
              <c:ext xmlns:c16="http://schemas.microsoft.com/office/drawing/2014/chart" uri="{C3380CC4-5D6E-409C-BE32-E72D297353CC}">
                <c16:uniqueId val="{00000001-CDCD-47E8-9A80-C5FB5DAB28F5}"/>
              </c:ext>
            </c:extLst>
          </c:dPt>
          <c:dPt>
            <c:idx val="1"/>
            <c:invertIfNegative val="0"/>
            <c:bubble3D val="0"/>
            <c:spPr>
              <a:solidFill>
                <a:schemeClr val="accent2"/>
              </a:solidFill>
              <a:ln>
                <a:noFill/>
              </a:ln>
              <a:effectLst>
                <a:outerShdw blurRad="50800" dist="50800" dir="8100000" algn="tr" rotWithShape="0">
                  <a:prstClr val="black">
                    <a:alpha val="40000"/>
                  </a:prstClr>
                </a:outerShdw>
              </a:effectLst>
            </c:spPr>
            <c:extLst>
              <c:ext xmlns:c16="http://schemas.microsoft.com/office/drawing/2014/chart" uri="{C3380CC4-5D6E-409C-BE32-E72D297353CC}">
                <c16:uniqueId val="{00000003-CDCD-47E8-9A80-C5FB5DAB28F5}"/>
              </c:ext>
            </c:extLst>
          </c:dPt>
          <c:dPt>
            <c:idx val="2"/>
            <c:invertIfNegative val="0"/>
            <c:bubble3D val="0"/>
            <c:spPr>
              <a:solidFill>
                <a:schemeClr val="accent3"/>
              </a:solidFill>
              <a:ln>
                <a:noFill/>
              </a:ln>
              <a:effectLst>
                <a:outerShdw blurRad="50800" dist="50800" dir="8100000" algn="tr" rotWithShape="0">
                  <a:prstClr val="black">
                    <a:alpha val="40000"/>
                  </a:prstClr>
                </a:outerShdw>
              </a:effectLst>
            </c:spPr>
            <c:extLst>
              <c:ext xmlns:c16="http://schemas.microsoft.com/office/drawing/2014/chart" uri="{C3380CC4-5D6E-409C-BE32-E72D297353CC}">
                <c16:uniqueId val="{00000005-CDCD-47E8-9A80-C5FB5DAB28F5}"/>
              </c:ext>
            </c:extLst>
          </c:dPt>
          <c:dPt>
            <c:idx val="3"/>
            <c:invertIfNegative val="0"/>
            <c:bubble3D val="0"/>
            <c:spPr>
              <a:solidFill>
                <a:schemeClr val="accent4"/>
              </a:solidFill>
              <a:ln>
                <a:noFill/>
              </a:ln>
              <a:effectLst>
                <a:outerShdw blurRad="50800" dist="50800" dir="8100000" algn="tr" rotWithShape="0">
                  <a:prstClr val="black">
                    <a:alpha val="40000"/>
                  </a:prstClr>
                </a:outerShdw>
              </a:effectLst>
            </c:spPr>
            <c:extLst>
              <c:ext xmlns:c16="http://schemas.microsoft.com/office/drawing/2014/chart" uri="{C3380CC4-5D6E-409C-BE32-E72D297353CC}">
                <c16:uniqueId val="{00000007-CDCD-47E8-9A80-C5FB5DAB28F5}"/>
              </c:ext>
            </c:extLst>
          </c:dPt>
          <c:dPt>
            <c:idx val="4"/>
            <c:invertIfNegative val="0"/>
            <c:bubble3D val="0"/>
            <c:spPr>
              <a:solidFill>
                <a:schemeClr val="accent5"/>
              </a:solidFill>
              <a:ln>
                <a:noFill/>
              </a:ln>
              <a:effectLst>
                <a:outerShdw blurRad="50800" dist="50800" dir="8100000" algn="tr" rotWithShape="0">
                  <a:prstClr val="black">
                    <a:alpha val="40000"/>
                  </a:prstClr>
                </a:outerShdw>
              </a:effectLst>
            </c:spPr>
            <c:extLst>
              <c:ext xmlns:c16="http://schemas.microsoft.com/office/drawing/2014/chart" uri="{C3380CC4-5D6E-409C-BE32-E72D297353CC}">
                <c16:uniqueId val="{00000009-CDCD-47E8-9A80-C5FB5DAB28F5}"/>
              </c:ext>
            </c:extLst>
          </c:dPt>
          <c:dPt>
            <c:idx val="5"/>
            <c:invertIfNegative val="0"/>
            <c:bubble3D val="0"/>
            <c:spPr>
              <a:solidFill>
                <a:schemeClr val="accent6"/>
              </a:solidFill>
              <a:ln>
                <a:noFill/>
              </a:ln>
              <a:effectLst>
                <a:outerShdw blurRad="50800" dist="50800" dir="8100000" algn="tr" rotWithShape="0">
                  <a:prstClr val="black">
                    <a:alpha val="40000"/>
                  </a:prstClr>
                </a:outerShdw>
              </a:effectLst>
            </c:spPr>
            <c:extLst>
              <c:ext xmlns:c16="http://schemas.microsoft.com/office/drawing/2014/chart" uri="{C3380CC4-5D6E-409C-BE32-E72D297353CC}">
                <c16:uniqueId val="{0000000B-CDCD-47E8-9A80-C5FB5DAB28F5}"/>
              </c:ext>
            </c:extLst>
          </c:dPt>
          <c:dPt>
            <c:idx val="6"/>
            <c:invertIfNegative val="0"/>
            <c:bubble3D val="0"/>
            <c:spPr>
              <a:solidFill>
                <a:schemeClr val="accent1">
                  <a:lumMod val="60000"/>
                </a:schemeClr>
              </a:solidFill>
              <a:ln>
                <a:noFill/>
              </a:ln>
              <a:effectLst>
                <a:outerShdw blurRad="50800" dist="50800" dir="8100000" algn="tr" rotWithShape="0">
                  <a:prstClr val="black">
                    <a:alpha val="40000"/>
                  </a:prstClr>
                </a:outerShdw>
              </a:effectLst>
            </c:spPr>
            <c:extLst>
              <c:ext xmlns:c16="http://schemas.microsoft.com/office/drawing/2014/chart" uri="{C3380CC4-5D6E-409C-BE32-E72D297353CC}">
                <c16:uniqueId val="{0000000D-CDCD-47E8-9A80-C5FB5DAB28F5}"/>
              </c:ext>
            </c:extLst>
          </c:dPt>
          <c:dPt>
            <c:idx val="7"/>
            <c:invertIfNegative val="0"/>
            <c:bubble3D val="0"/>
            <c:spPr>
              <a:solidFill>
                <a:schemeClr val="accent2">
                  <a:lumMod val="60000"/>
                </a:schemeClr>
              </a:solidFill>
              <a:ln>
                <a:noFill/>
              </a:ln>
              <a:effectLst>
                <a:outerShdw blurRad="50800" dist="50800" dir="8100000" algn="tr" rotWithShape="0">
                  <a:prstClr val="black">
                    <a:alpha val="40000"/>
                  </a:prstClr>
                </a:outerShdw>
              </a:effectLst>
            </c:spPr>
            <c:extLst>
              <c:ext xmlns:c16="http://schemas.microsoft.com/office/drawing/2014/chart" uri="{C3380CC4-5D6E-409C-BE32-E72D297353CC}">
                <c16:uniqueId val="{0000000F-CDCD-47E8-9A80-C5FB5DAB28F5}"/>
              </c:ext>
            </c:extLst>
          </c:dPt>
          <c:dLbls>
            <c:dLbl>
              <c:idx val="0"/>
              <c:tx>
                <c:rich>
                  <a:bodyPr/>
                  <a:lstStyle/>
                  <a:p>
                    <a:fld id="{4AB0F0BC-0583-4D5D-A664-0FF4655CBEB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DCD-47E8-9A80-C5FB5DAB28F5}"/>
                </c:ext>
              </c:extLst>
            </c:dLbl>
            <c:dLbl>
              <c:idx val="1"/>
              <c:tx>
                <c:rich>
                  <a:bodyPr/>
                  <a:lstStyle/>
                  <a:p>
                    <a:endParaRPr lang="es-CO"/>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CDCD-47E8-9A80-C5FB5DAB28F5}"/>
                </c:ext>
              </c:extLst>
            </c:dLbl>
            <c:dLbl>
              <c:idx val="2"/>
              <c:tx>
                <c:rich>
                  <a:bodyPr/>
                  <a:lstStyle/>
                  <a:p>
                    <a:endParaRPr lang="es-CO"/>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D-47E8-9A80-C5FB5DAB28F5}"/>
                </c:ext>
              </c:extLst>
            </c:dLbl>
            <c:dLbl>
              <c:idx val="3"/>
              <c:tx>
                <c:rich>
                  <a:bodyPr/>
                  <a:lstStyle/>
                  <a:p>
                    <a:endParaRPr lang="es-CO"/>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D-47E8-9A80-C5FB5DAB28F5}"/>
                </c:ext>
              </c:extLst>
            </c:dLbl>
            <c:dLbl>
              <c:idx val="4"/>
              <c:tx>
                <c:rich>
                  <a:bodyPr/>
                  <a:lstStyle/>
                  <a:p>
                    <a:endParaRPr lang="es-CO"/>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DCD-47E8-9A80-C5FB5DAB28F5}"/>
                </c:ext>
              </c:extLst>
            </c:dLbl>
            <c:dLbl>
              <c:idx val="5"/>
              <c:tx>
                <c:rich>
                  <a:bodyPr/>
                  <a:lstStyle/>
                  <a:p>
                    <a:endParaRPr lang="es-CO"/>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DCD-47E8-9A80-C5FB5DAB28F5}"/>
                </c:ext>
              </c:extLst>
            </c:dLbl>
            <c:dLbl>
              <c:idx val="6"/>
              <c:tx>
                <c:rich>
                  <a:bodyPr/>
                  <a:lstStyle/>
                  <a:p>
                    <a:endParaRPr lang="es-CO"/>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DCD-47E8-9A80-C5FB5DAB28F5}"/>
                </c:ext>
              </c:extLst>
            </c:dLbl>
            <c:dLbl>
              <c:idx val="7"/>
              <c:tx>
                <c:rich>
                  <a:bodyPr/>
                  <a:lstStyle/>
                  <a:p>
                    <a:endParaRPr lang="es-CO"/>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DCD-47E8-9A80-C5FB5DAB28F5}"/>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Cumpl!$C$4:$J$4</c:f>
              <c:strCache>
                <c:ptCount val="8"/>
                <c:pt idx="0">
                  <c:v>Cumpl Pdn.</c:v>
                </c:pt>
                <c:pt idx="1">
                  <c:v>H.A.A. (R-T)</c:v>
                </c:pt>
                <c:pt idx="2">
                  <c:v>% Cumpl Gr.A.D</c:v>
                </c:pt>
                <c:pt idx="3">
                  <c:v>% Cumpl  Gr X H</c:v>
                </c:pt>
                <c:pt idx="4">
                  <c:v>Relación Agua /Alimto</c:v>
                </c:pt>
                <c:pt idx="5">
                  <c:v>Cumpl Peso Huevo</c:v>
                </c:pt>
                <c:pt idx="6">
                  <c:v>% Cumpl  Masa Sem Huevo</c:v>
                </c:pt>
                <c:pt idx="7">
                  <c:v>% Cumpl  Peso Ave Real</c:v>
                </c:pt>
              </c:strCache>
            </c:strRef>
          </c:cat>
          <c:val>
            <c:numRef>
              <c:f>Cumpl!$C$5:$J$5</c:f>
              <c:numCache>
                <c:formatCode>[Blue]\+\ ?0.0\ \ "H";[Red]\-\ ?0.0\ "H"</c:formatCode>
                <c:ptCount val="8"/>
                <c:pt idx="0" formatCode="[Blue]\+\ ?0.0\ \ &quot;Ptos&quot;;[Red]\-\ ?0.0\ &quot;Ptos&quot;">
                  <c:v>#N/A</c:v>
                </c:pt>
                <c:pt idx="1">
                  <c:v>#N/A</c:v>
                </c:pt>
                <c:pt idx="2" formatCode="[Blue]\+\ ??0.0\ ;[Red]\-\ ??0.0">
                  <c:v>#N/A</c:v>
                </c:pt>
                <c:pt idx="3" formatCode="[Red]\+\ ??0.0\ ;[Blue]\-\ ??0.0">
                  <c:v>#N/A</c:v>
                </c:pt>
                <c:pt idx="4" formatCode="?0.0&quot; ml :1 Gr.&quot;">
                  <c:v>#N/A</c:v>
                </c:pt>
                <c:pt idx="5" formatCode="[Blue]\+\ ?0.0\ \ &quot;Gr&quot;;[Red]\-\ ?0.0\ &quot;Gr&quot;">
                  <c:v>#N/A</c:v>
                </c:pt>
                <c:pt idx="6" formatCode="[Blue]\+\ ??0.0\ ;[Red]\-\ ??0.0">
                  <c:v>#N/A</c:v>
                </c:pt>
                <c:pt idx="7" formatCode="[Blue]\+\ ??0.0\ ;[Red]\-\ ??0.0">
                  <c:v>#N/A</c:v>
                </c:pt>
              </c:numCache>
            </c:numRef>
          </c:val>
          <c:extLst>
            <c:ext xmlns:c15="http://schemas.microsoft.com/office/drawing/2012/chart" uri="{02D57815-91ED-43cb-92C2-25804820EDAC}">
              <c15:datalabelsRange>
                <c15:f>Cumpl!$C$6:$J$6</c15:f>
                <c15:dlblRangeCache>
                  <c:ptCount val="8"/>
                  <c:pt idx="0">
                    <c:v>#N/D</c:v>
                  </c:pt>
                  <c:pt idx="1">
                    <c:v>#N/D</c:v>
                  </c:pt>
                  <c:pt idx="2">
                    <c:v>#N/D</c:v>
                  </c:pt>
                  <c:pt idx="3">
                    <c:v>#N/D</c:v>
                  </c:pt>
                  <c:pt idx="4">
                    <c:v>#N/D</c:v>
                  </c:pt>
                  <c:pt idx="5">
                    <c:v>#N/D</c:v>
                  </c:pt>
                  <c:pt idx="6">
                    <c:v>#N/D</c:v>
                  </c:pt>
                  <c:pt idx="7">
                    <c:v>#N/D</c:v>
                  </c:pt>
                </c15:dlblRangeCache>
              </c15:datalabelsRange>
            </c:ext>
            <c:ext xmlns:c16="http://schemas.microsoft.com/office/drawing/2014/chart" uri="{C3380CC4-5D6E-409C-BE32-E72D297353CC}">
              <c16:uniqueId val="{00000010-CDCD-47E8-9A80-C5FB5DAB28F5}"/>
            </c:ext>
          </c:extLst>
        </c:ser>
        <c:dLbls>
          <c:showLegendKey val="0"/>
          <c:showVal val="0"/>
          <c:showCatName val="0"/>
          <c:showSerName val="0"/>
          <c:showPercent val="0"/>
          <c:showBubbleSize val="0"/>
        </c:dLbls>
        <c:gapWidth val="10"/>
        <c:overlap val="100"/>
        <c:axId val="688833064"/>
        <c:axId val="688830440"/>
      </c:barChart>
      <c:catAx>
        <c:axId val="688833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solidFill>
            <a:srgbClr val="FFFFFF">
              <a:alpha val="40000"/>
            </a:srgbClr>
          </a:solidFill>
          <a:ln w="38100" cap="flat" cmpd="sng" algn="ctr">
            <a:solidFill>
              <a:schemeClr val="accent6"/>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688830440"/>
        <c:crosses val="autoZero"/>
        <c:auto val="1"/>
        <c:lblAlgn val="ctr"/>
        <c:lblOffset val="1"/>
        <c:noMultiLvlLbl val="0"/>
      </c:catAx>
      <c:valAx>
        <c:axId val="688830440"/>
        <c:scaling>
          <c:orientation val="minMax"/>
        </c:scaling>
        <c:delete val="0"/>
        <c:axPos val="l"/>
        <c:majorGridlines>
          <c:spPr>
            <a:ln w="9525" cap="flat" cmpd="sng" algn="ctr">
              <a:solidFill>
                <a:schemeClr val="tx1">
                  <a:lumMod val="15000"/>
                  <a:lumOff val="85000"/>
                </a:schemeClr>
              </a:solidFill>
              <a:round/>
            </a:ln>
            <a:effectLst/>
          </c:spPr>
        </c:majorGridlines>
        <c:numFmt formatCode="[Blue]\+\ ??0.0\ ;[Red]\-\ ??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688833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3">
        <a:alphaModFix amt="10000"/>
      </a:blip>
      <a:tile tx="0" ty="0" sx="100000" sy="100000" flip="none" algn="tl"/>
    </a:blip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443202351623481E-3"/>
          <c:y val="1.3586215233463596E-2"/>
          <c:w val="0.99551135952967529"/>
          <c:h val="0.98641378476653618"/>
        </c:manualLayout>
      </c:layout>
      <c:barChart>
        <c:barDir val="bar"/>
        <c:grouping val="percentStacked"/>
        <c:varyColors val="0"/>
        <c:ser>
          <c:idx val="1"/>
          <c:order val="0"/>
          <c:spPr>
            <a:gradFill flip="none" rotWithShape="1">
              <a:gsLst>
                <a:gs pos="0">
                  <a:schemeClr val="accent2">
                    <a:lumMod val="20000"/>
                    <a:lumOff val="80000"/>
                  </a:schemeClr>
                </a:gs>
                <a:gs pos="47000">
                  <a:schemeClr val="accent2">
                    <a:lumMod val="40000"/>
                    <a:lumOff val="60000"/>
                  </a:schemeClr>
                </a:gs>
                <a:gs pos="100000">
                  <a:schemeClr val="accent2">
                    <a:lumMod val="100000"/>
                  </a:schemeClr>
                </a:gs>
              </a:gsLst>
              <a:lin ang="0" scaled="1"/>
              <a:tileRect/>
            </a:gradFill>
            <a:ln w="9525" cap="flat" cmpd="sng" algn="ctr">
              <a:solidFill>
                <a:schemeClr val="lt1">
                  <a:alpha val="50000"/>
                </a:schemeClr>
              </a:solidFill>
              <a:round/>
            </a:ln>
            <a:effectLst/>
          </c:spPr>
          <c:invertIfNegative val="0"/>
          <c:dPt>
            <c:idx val="0"/>
            <c:invertIfNegative val="0"/>
            <c:bubble3D val="0"/>
            <c:spPr>
              <a:gradFill flip="none" rotWithShape="1">
                <a:gsLst>
                  <a:gs pos="0">
                    <a:schemeClr val="accent2">
                      <a:lumMod val="20000"/>
                      <a:lumOff val="80000"/>
                      <a:alpha val="40000"/>
                    </a:schemeClr>
                  </a:gs>
                  <a:gs pos="47000">
                    <a:schemeClr val="accent2">
                      <a:lumMod val="40000"/>
                      <a:lumOff val="60000"/>
                      <a:alpha val="40000"/>
                    </a:schemeClr>
                  </a:gs>
                  <a:gs pos="100000">
                    <a:schemeClr val="accent2">
                      <a:lumMod val="100000"/>
                      <a:alpha val="40000"/>
                    </a:schemeClr>
                  </a:gs>
                </a:gsLst>
                <a:lin ang="0" scaled="1"/>
                <a:tileRect/>
              </a:gradFill>
              <a:ln w="9525" cap="flat" cmpd="sng" algn="ctr">
                <a:solidFill>
                  <a:schemeClr val="lt1">
                    <a:alpha val="50000"/>
                  </a:schemeClr>
                </a:solidFill>
                <a:round/>
              </a:ln>
              <a:effectLst>
                <a:innerShdw blurRad="63500" dist="50800" dir="13500000">
                  <a:prstClr val="black">
                    <a:alpha val="50000"/>
                  </a:prstClr>
                </a:innerShdw>
              </a:effectLst>
            </c:spPr>
            <c:extLst>
              <c:ext xmlns:c16="http://schemas.microsoft.com/office/drawing/2014/chart" uri="{C3380CC4-5D6E-409C-BE32-E72D297353CC}">
                <c16:uniqueId val="{00000001-8012-4084-8830-8B710706C26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solidFill>
                    <a:effectLst>
                      <a:outerShdw blurRad="50800" dist="38100" dir="2700000" algn="tl" rotWithShape="0">
                        <a:prstClr val="black">
                          <a:alpha val="40000"/>
                        </a:prstClr>
                      </a:outerShdw>
                    </a:effectLst>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Cumpl!$C$32</c:f>
              <c:numCache>
                <c:formatCode>??0" Sem"</c:formatCode>
                <c:ptCount val="1"/>
                <c:pt idx="0">
                  <c:v>100</c:v>
                </c:pt>
              </c:numCache>
            </c:numRef>
          </c:val>
          <c:extLst>
            <c:ext xmlns:c16="http://schemas.microsoft.com/office/drawing/2014/chart" uri="{C3380CC4-5D6E-409C-BE32-E72D297353CC}">
              <c16:uniqueId val="{00000002-8012-4084-8830-8B710706C268}"/>
            </c:ext>
          </c:extLst>
        </c:ser>
        <c:dLbls>
          <c:showLegendKey val="0"/>
          <c:showVal val="0"/>
          <c:showCatName val="0"/>
          <c:showSerName val="0"/>
          <c:showPercent val="0"/>
          <c:showBubbleSize val="0"/>
        </c:dLbls>
        <c:gapWidth val="30"/>
        <c:overlap val="100"/>
        <c:axId val="427480568"/>
        <c:axId val="646543528"/>
      </c:barChart>
      <c:barChart>
        <c:barDir val="bar"/>
        <c:grouping val="percentStacked"/>
        <c:varyColors val="0"/>
        <c:ser>
          <c:idx val="2"/>
          <c:order val="1"/>
          <c:spPr>
            <a:noFill/>
            <a:ln w="9525" cap="flat" cmpd="sng" algn="ctr">
              <a:noFill/>
              <a:round/>
            </a:ln>
            <a:effectLst/>
          </c:spPr>
          <c:invertIfNegative val="0"/>
          <c:dLbls>
            <c:numFmt formatCode="??0&quot; Sem&quot;" sourceLinked="0"/>
            <c:spPr>
              <a:noFill/>
              <a:ln>
                <a:noFill/>
              </a:ln>
              <a:effectLst/>
            </c:spPr>
            <c:txPr>
              <a:bodyPr rot="0" spcFirstLastPara="1" vertOverflow="ellipsis" horzOverflow="clip" vert="horz" wrap="square" lIns="36000" tIns="36000" rIns="36000" bIns="36000" anchor="ctr" anchorCtr="1">
                <a:spAutoFit/>
              </a:bodyPr>
              <a:lstStyle/>
              <a:p>
                <a:pPr>
                  <a:defRPr sz="1400" b="1" i="0" u="none" strike="noStrike" kern="1200" baseline="0">
                    <a:solidFill>
                      <a:srgbClr val="C00000"/>
                    </a:solidFill>
                    <a:effectLst>
                      <a:outerShdw blurRad="50800" dist="38100" dir="2700000" algn="tl" rotWithShape="0">
                        <a:prstClr val="black">
                          <a:alpha val="40000"/>
                        </a:prstClr>
                      </a:outerShdw>
                    </a:effectLst>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dk1">
                          <a:lumMod val="50000"/>
                          <a:lumOff val="50000"/>
                        </a:schemeClr>
                      </a:solidFill>
                    </a:ln>
                    <a:effectLst/>
                  </c:spPr>
                </c15:leaderLines>
              </c:ext>
            </c:extLst>
          </c:dLbls>
          <c:val>
            <c:numRef>
              <c:f>Cumpl!$B$5</c:f>
              <c:numCache>
                <c:formatCode>??0</c:formatCode>
                <c:ptCount val="1"/>
                <c:pt idx="0">
                  <c:v>0</c:v>
                </c:pt>
              </c:numCache>
            </c:numRef>
          </c:val>
          <c:extLst>
            <c:ext xmlns:c16="http://schemas.microsoft.com/office/drawing/2014/chart" uri="{C3380CC4-5D6E-409C-BE32-E72D297353CC}">
              <c16:uniqueId val="{00000003-8012-4084-8830-8B710706C268}"/>
            </c:ext>
          </c:extLst>
        </c:ser>
        <c:ser>
          <c:idx val="4"/>
          <c:order val="2"/>
          <c:spPr>
            <a:solidFill>
              <a:schemeClr val="accent1">
                <a:alpha val="50000"/>
              </a:schemeClr>
            </a:solidFill>
            <a:ln w="57150" cap="flat" cmpd="sng" algn="ctr">
              <a:solidFill>
                <a:srgbClr val="0070C0">
                  <a:alpha val="49804"/>
                </a:srgbClr>
              </a:solidFill>
              <a:round/>
            </a:ln>
            <a:effectLst/>
          </c:spPr>
          <c:invertIfNegative val="0"/>
          <c:val>
            <c:numRef>
              <c:f>Cumpl!$C$34</c:f>
              <c:numCache>
                <c:formatCode>General_)</c:formatCode>
                <c:ptCount val="1"/>
                <c:pt idx="0">
                  <c:v>0.1</c:v>
                </c:pt>
              </c:numCache>
            </c:numRef>
          </c:val>
          <c:extLst>
            <c:ext xmlns:c16="http://schemas.microsoft.com/office/drawing/2014/chart" uri="{C3380CC4-5D6E-409C-BE32-E72D297353CC}">
              <c16:uniqueId val="{00000004-8012-4084-8830-8B710706C268}"/>
            </c:ext>
          </c:extLst>
        </c:ser>
        <c:ser>
          <c:idx val="3"/>
          <c:order val="3"/>
          <c:spPr>
            <a:noFill/>
            <a:ln w="9525" cap="flat" cmpd="sng" algn="ctr">
              <a:noFill/>
              <a:round/>
            </a:ln>
            <a:effectLst/>
          </c:spPr>
          <c:invertIfNegative val="0"/>
          <c:val>
            <c:numRef>
              <c:f>Cumpl!$C$33</c:f>
              <c:numCache>
                <c:formatCode>General_)</c:formatCode>
                <c:ptCount val="1"/>
                <c:pt idx="0">
                  <c:v>99.9</c:v>
                </c:pt>
              </c:numCache>
            </c:numRef>
          </c:val>
          <c:extLst>
            <c:ext xmlns:c16="http://schemas.microsoft.com/office/drawing/2014/chart" uri="{C3380CC4-5D6E-409C-BE32-E72D297353CC}">
              <c16:uniqueId val="{00000005-8012-4084-8830-8B710706C268}"/>
            </c:ext>
          </c:extLst>
        </c:ser>
        <c:dLbls>
          <c:showLegendKey val="0"/>
          <c:showVal val="0"/>
          <c:showCatName val="0"/>
          <c:showSerName val="0"/>
          <c:showPercent val="0"/>
          <c:showBubbleSize val="0"/>
        </c:dLbls>
        <c:gapWidth val="1"/>
        <c:overlap val="65"/>
        <c:axId val="636119896"/>
        <c:axId val="636118584"/>
      </c:barChart>
      <c:catAx>
        <c:axId val="427480568"/>
        <c:scaling>
          <c:orientation val="minMax"/>
        </c:scaling>
        <c:delete val="1"/>
        <c:axPos val="l"/>
        <c:majorTickMark val="none"/>
        <c:minorTickMark val="none"/>
        <c:tickLblPos val="nextTo"/>
        <c:crossAx val="646543528"/>
        <c:crosses val="autoZero"/>
        <c:auto val="1"/>
        <c:lblAlgn val="ctr"/>
        <c:lblOffset val="100"/>
        <c:noMultiLvlLbl val="0"/>
      </c:catAx>
      <c:valAx>
        <c:axId val="646543528"/>
        <c:scaling>
          <c:orientation val="minMax"/>
          <c:min val="0"/>
        </c:scaling>
        <c:delete val="1"/>
        <c:axPos val="b"/>
        <c:numFmt formatCode="0%" sourceLinked="1"/>
        <c:majorTickMark val="out"/>
        <c:minorTickMark val="none"/>
        <c:tickLblPos val="nextTo"/>
        <c:crossAx val="427480568"/>
        <c:crosses val="autoZero"/>
        <c:crossBetween val="between"/>
      </c:valAx>
      <c:valAx>
        <c:axId val="636118584"/>
        <c:scaling>
          <c:orientation val="minMax"/>
        </c:scaling>
        <c:delete val="1"/>
        <c:axPos val="t"/>
        <c:numFmt formatCode="0%" sourceLinked="1"/>
        <c:majorTickMark val="out"/>
        <c:minorTickMark val="none"/>
        <c:tickLblPos val="nextTo"/>
        <c:crossAx val="636119896"/>
        <c:crosses val="max"/>
        <c:crossBetween val="between"/>
      </c:valAx>
      <c:catAx>
        <c:axId val="636119896"/>
        <c:scaling>
          <c:orientation val="minMax"/>
        </c:scaling>
        <c:delete val="1"/>
        <c:axPos val="l"/>
        <c:majorTickMark val="out"/>
        <c:minorTickMark val="none"/>
        <c:tickLblPos val="nextTo"/>
        <c:crossAx val="636118584"/>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3502131040961E-2"/>
          <c:y val="0.11472597344441286"/>
          <c:w val="0.90565744419562222"/>
          <c:h val="0.77000079248558173"/>
        </c:manualLayout>
      </c:layout>
      <c:barChart>
        <c:barDir val="col"/>
        <c:grouping val="stacked"/>
        <c:varyColors val="0"/>
        <c:ser>
          <c:idx val="6"/>
          <c:order val="0"/>
          <c:tx>
            <c:strRef>
              <c:f>'Pr-Sem'!$AO$5</c:f>
              <c:strCache>
                <c:ptCount val="1"/>
                <c:pt idx="0">
                  <c:v>AAAA</c:v>
                </c:pt>
              </c:strCache>
            </c:strRef>
          </c:tx>
          <c:spPr>
            <a:solidFill>
              <a:srgbClr val="002060">
                <a:alpha val="70000"/>
              </a:srgbClr>
            </a:solidFill>
            <a:ln w="6350">
              <a:solidFill>
                <a:srgbClr val="FFDA3F"/>
              </a:solidFill>
            </a:ln>
            <a:effectLst>
              <a:outerShdw blurRad="40000" dist="23000" dir="5400000" rotWithShape="0">
                <a:srgbClr val="000000">
                  <a:alpha val="35000"/>
                </a:srgbClr>
              </a:outerShdw>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'Pr-Sem'!$AO$6:$AO$108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1-2931-44CB-A444-A05ED681BB5B}"/>
            </c:ext>
          </c:extLst>
        </c:ser>
        <c:ser>
          <c:idx val="5"/>
          <c:order val="1"/>
          <c:tx>
            <c:strRef>
              <c:f>'Pr-Sem'!$AP$5</c:f>
              <c:strCache>
                <c:ptCount val="1"/>
                <c:pt idx="0">
                  <c:v>AAA</c:v>
                </c:pt>
              </c:strCache>
            </c:strRef>
          </c:tx>
          <c:spPr>
            <a:solidFill>
              <a:srgbClr val="00B050">
                <a:alpha val="50000"/>
              </a:srgbClr>
            </a:solidFill>
            <a:ln w="6350">
              <a:solidFill>
                <a:schemeClr val="accent3">
                  <a:lumMod val="75000"/>
                </a:schemeClr>
              </a:solidFill>
            </a:ln>
            <a:effectLst>
              <a:outerShdw blurRad="40000" dist="23000" dir="5400000" rotWithShape="0">
                <a:srgbClr val="000000">
                  <a:alpha val="35000"/>
                </a:srgbClr>
              </a:outerShdw>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'Pr-Sem'!$AP$6:$AP$108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2-2931-44CB-A444-A05ED681BB5B}"/>
            </c:ext>
          </c:extLst>
        </c:ser>
        <c:ser>
          <c:idx val="4"/>
          <c:order val="2"/>
          <c:tx>
            <c:strRef>
              <c:f>'Pr-Sem'!$AQ$5</c:f>
              <c:strCache>
                <c:ptCount val="1"/>
                <c:pt idx="0">
                  <c:v>AA</c:v>
                </c:pt>
              </c:strCache>
            </c:strRef>
          </c:tx>
          <c:spPr>
            <a:solidFill>
              <a:srgbClr val="C00000">
                <a:alpha val="40000"/>
              </a:srgbClr>
            </a:solidFill>
            <a:ln w="6350">
              <a:solidFill>
                <a:srgbClr val="C00000"/>
              </a:solidFill>
            </a:ln>
            <a:effectLst>
              <a:outerShdw blurRad="40000" dist="23000" dir="5400000" rotWithShape="0">
                <a:srgbClr val="000000">
                  <a:alpha val="35000"/>
                </a:srgbClr>
              </a:outerShdw>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'Pr-Sem'!$AQ$6:$AQ$108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3-2931-44CB-A444-A05ED681BB5B}"/>
            </c:ext>
          </c:extLst>
        </c:ser>
        <c:ser>
          <c:idx val="3"/>
          <c:order val="3"/>
          <c:tx>
            <c:strRef>
              <c:f>'Pr-Sem'!$AR$5</c:f>
              <c:strCache>
                <c:ptCount val="1"/>
                <c:pt idx="0">
                  <c:v>A</c:v>
                </c:pt>
              </c:strCache>
            </c:strRef>
          </c:tx>
          <c:spPr>
            <a:solidFill>
              <a:srgbClr val="0070C0">
                <a:alpha val="32000"/>
              </a:srgbClr>
            </a:solidFill>
            <a:ln w="6350">
              <a:solidFill>
                <a:srgbClr val="002060"/>
              </a:solidFill>
            </a:ln>
            <a:effectLst>
              <a:outerShdw blurRad="40000" dist="23000" dir="5400000" rotWithShape="0">
                <a:srgbClr val="000000">
                  <a:alpha val="35000"/>
                </a:srgbClr>
              </a:outerShdw>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'Pr-Sem'!$AR$6:$AR$108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4-2931-44CB-A444-A05ED681BB5B}"/>
            </c:ext>
          </c:extLst>
        </c:ser>
        <c:ser>
          <c:idx val="1"/>
          <c:order val="4"/>
          <c:tx>
            <c:strRef>
              <c:f>'Pr-Sem'!$AT$5</c:f>
              <c:strCache>
                <c:ptCount val="1"/>
                <c:pt idx="0">
                  <c:v>C</c:v>
                </c:pt>
              </c:strCache>
            </c:strRef>
          </c:tx>
          <c:spPr>
            <a:solidFill>
              <a:srgbClr val="FFC000">
                <a:alpha val="60000"/>
              </a:srgbClr>
            </a:solidFill>
            <a:ln w="6350">
              <a:solidFill>
                <a:schemeClr val="accent2">
                  <a:alpha val="70000"/>
                </a:schemeClr>
              </a:solidFill>
            </a:ln>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'Pr-Sem'!$AT$6:$AT$108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1-08ED-4042-801C-C88E6E7BF434}"/>
            </c:ext>
          </c:extLst>
        </c:ser>
        <c:ser>
          <c:idx val="0"/>
          <c:order val="5"/>
          <c:tx>
            <c:strRef>
              <c:f>'Pr-Sem'!$AS$5</c:f>
              <c:strCache>
                <c:ptCount val="1"/>
                <c:pt idx="0">
                  <c:v>B</c:v>
                </c:pt>
              </c:strCache>
            </c:strRef>
          </c:tx>
          <c:spPr>
            <a:solidFill>
              <a:srgbClr val="993300">
                <a:alpha val="38000"/>
              </a:srgbClr>
            </a:solidFill>
            <a:ln w="6350">
              <a:solidFill>
                <a:srgbClr val="002060"/>
              </a:solidFill>
            </a:ln>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'Pr-Sem'!$AS$6:$AS$108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0-08ED-4042-801C-C88E6E7BF434}"/>
            </c:ext>
          </c:extLst>
        </c:ser>
        <c:ser>
          <c:idx val="2"/>
          <c:order val="6"/>
          <c:tx>
            <c:strRef>
              <c:f>'Pr-Sem'!$AU$5</c:f>
              <c:strCache>
                <c:ptCount val="1"/>
                <c:pt idx="0">
                  <c:v>Congolo</c:v>
                </c:pt>
              </c:strCache>
            </c:strRef>
          </c:tx>
          <c:spPr>
            <a:solidFill>
              <a:schemeClr val="accent3">
                <a:alpha val="60000"/>
              </a:schemeClr>
            </a:solidFill>
            <a:ln w="6350">
              <a:solidFill>
                <a:schemeClr val="accent3">
                  <a:lumMod val="50000"/>
                  <a:alpha val="60000"/>
                </a:schemeClr>
              </a:solidFill>
            </a:ln>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'Pr-Sem'!$AU$6:$AU$108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2-08ED-4042-801C-C88E6E7BF434}"/>
            </c:ext>
          </c:extLst>
        </c:ser>
        <c:dLbls>
          <c:showLegendKey val="0"/>
          <c:showVal val="0"/>
          <c:showCatName val="0"/>
          <c:showSerName val="0"/>
          <c:showPercent val="0"/>
          <c:showBubbleSize val="0"/>
        </c:dLbls>
        <c:gapWidth val="0"/>
        <c:overlap val="100"/>
        <c:axId val="803299960"/>
        <c:axId val="803300352"/>
      </c:barChart>
      <c:catAx>
        <c:axId val="803299960"/>
        <c:scaling>
          <c:orientation val="minMax"/>
        </c:scaling>
        <c:delete val="0"/>
        <c:axPos val="b"/>
        <c:numFmt formatCode="??0" sourceLinked="1"/>
        <c:majorTickMark val="out"/>
        <c:minorTickMark val="none"/>
        <c:tickLblPos val="nextTo"/>
        <c:spPr>
          <a:noFill/>
          <a:ln w="9525" cap="flat" cmpd="sng" algn="ctr">
            <a:solidFill>
              <a:schemeClr val="tx2">
                <a:lumMod val="15000"/>
                <a:lumOff val="85000"/>
              </a:schemeClr>
            </a:solidFill>
            <a:prstDash val="solid"/>
            <a:round/>
          </a:ln>
          <a:effectLst/>
        </c:spPr>
        <c:txPr>
          <a:bodyPr rot="-5400000" spcFirstLastPara="1" vertOverflow="ellipsis" wrap="square" anchor="ctr" anchorCtr="1"/>
          <a:lstStyle/>
          <a:p>
            <a:pPr>
              <a:defRPr sz="1600" b="1" i="0" u="none" strike="noStrike" kern="1200" baseline="0">
                <a:solidFill>
                  <a:schemeClr val="tx2"/>
                </a:solidFill>
                <a:latin typeface="Century Gothic" panose="020B0502020202020204" pitchFamily="34" charset="0"/>
                <a:ea typeface="+mn-ea"/>
                <a:cs typeface="+mn-cs"/>
              </a:defRPr>
            </a:pPr>
            <a:endParaRPr lang="es-CO"/>
          </a:p>
        </c:txPr>
        <c:crossAx val="803300352"/>
        <c:crosses val="autoZero"/>
        <c:auto val="1"/>
        <c:lblAlgn val="ctr"/>
        <c:lblOffset val="1"/>
        <c:noMultiLvlLbl val="0"/>
      </c:catAx>
      <c:valAx>
        <c:axId val="803300352"/>
        <c:scaling>
          <c:orientation val="minMax"/>
          <c:max val="100"/>
          <c:min val="0"/>
        </c:scaling>
        <c:delete val="0"/>
        <c:axPos val="l"/>
        <c:majorGridlines>
          <c:spPr>
            <a:ln w="9525" cap="flat" cmpd="sng" algn="ctr">
              <a:solidFill>
                <a:schemeClr val="tx2">
                  <a:lumMod val="15000"/>
                  <a:lumOff val="85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600" b="1" i="0" u="none" strike="noStrike" kern="1200" baseline="0">
                <a:solidFill>
                  <a:schemeClr val="tx2"/>
                </a:solidFill>
                <a:latin typeface="Century Gothic" panose="020B0502020202020204" pitchFamily="34" charset="0"/>
                <a:ea typeface="+mn-ea"/>
                <a:cs typeface="+mn-cs"/>
              </a:defRPr>
            </a:pPr>
            <a:endParaRPr lang="es-CO"/>
          </a:p>
        </c:txPr>
        <c:crossAx val="803299960"/>
        <c:crosses val="autoZero"/>
        <c:crossBetween val="between"/>
        <c:majorUnit val="10"/>
      </c:valAx>
      <c:spPr>
        <a:noFill/>
        <a:ln>
          <a:noFill/>
        </a:ln>
        <a:effectLst/>
      </c:spPr>
    </c:plotArea>
    <c:legend>
      <c:legendPos val="b"/>
      <c:layout>
        <c:manualLayout>
          <c:xMode val="edge"/>
          <c:yMode val="edge"/>
          <c:x val="6.6869311559385108E-2"/>
          <c:y val="0.93823498753595891"/>
          <c:w val="0.90296445441370055"/>
          <c:h val="5.571095882226569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Century Gothic" panose="020B0502020202020204" pitchFamily="34" charset="0"/>
              <a:ea typeface="+mn-ea"/>
              <a:cs typeface="+mn-cs"/>
            </a:defRPr>
          </a:pPr>
          <a:endParaRPr lang="es-CO"/>
        </a:p>
      </c:txPr>
    </c:legend>
    <c:plotVisOnly val="1"/>
    <c:dispBlanksAs val="gap"/>
    <c:showDLblsOverMax val="0"/>
  </c:chart>
  <c:spPr>
    <a:blipFill dpi="0" rotWithShape="1">
      <a:blip xmlns:r="http://schemas.openxmlformats.org/officeDocument/2006/relationships" r:embed="rId3">
        <a:alphaModFix amt="13000"/>
      </a:blip>
      <a:srcRect/>
      <a:tile tx="355600" ty="0" sx="100000" sy="100000" flip="none" algn="tl"/>
    </a:blipFill>
    <a:ln w="9525" cap="flat" cmpd="sng" algn="ctr">
      <a:solidFill>
        <a:schemeClr val="tx2">
          <a:lumMod val="15000"/>
          <a:lumOff val="85000"/>
        </a:schemeClr>
      </a:solidFill>
      <a:prstDash val="solid"/>
      <a:round/>
    </a:ln>
    <a:effectLst/>
  </c:spPr>
  <c:txPr>
    <a:bodyPr/>
    <a:lstStyle/>
    <a:p>
      <a:pPr>
        <a:defRPr/>
      </a:pPr>
      <a:endParaRPr lang="es-CO"/>
    </a:p>
  </c:txPr>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a:solidFill>
                  <a:schemeClr val="dk1"/>
                </a:solidFill>
                <a:latin typeface="Century Gothic" panose="020B0502020202020204" pitchFamily="34" charset="0"/>
                <a:ea typeface="+mn-ea"/>
                <a:cs typeface="+mn-cs"/>
              </a:defRPr>
            </a:pPr>
            <a:r>
              <a:rPr lang="es-CO" sz="1600" b="0">
                <a:solidFill>
                  <a:schemeClr val="dk1"/>
                </a:solidFill>
                <a:latin typeface="Century Gothic" panose="020B0502020202020204" pitchFamily="34" charset="0"/>
                <a:ea typeface="+mn-ea"/>
                <a:cs typeface="+mn-cs"/>
              </a:rPr>
              <a:t>Huevo</a:t>
            </a:r>
            <a:r>
              <a:rPr lang="es-CO" sz="1600" b="0" baseline="0">
                <a:solidFill>
                  <a:schemeClr val="dk1"/>
                </a:solidFill>
                <a:latin typeface="Century Gothic" panose="020B0502020202020204" pitchFamily="34" charset="0"/>
                <a:ea typeface="+mn-ea"/>
                <a:cs typeface="+mn-cs"/>
              </a:rPr>
              <a:t> de segunda  -  Distribución %</a:t>
            </a:r>
            <a:endParaRPr lang="es-CO" sz="1600" b="0">
              <a:latin typeface="Century Gothic" panose="020B0502020202020204" pitchFamily="34" charset="0"/>
            </a:endParaRPr>
          </a:p>
        </c:rich>
      </c:tx>
      <c:layout>
        <c:manualLayout>
          <c:xMode val="edge"/>
          <c:yMode val="edge"/>
          <c:x val="0.31430443700577798"/>
          <c:y val="0.12323232323232323"/>
        </c:manualLayout>
      </c:layout>
      <c:overlay val="1"/>
      <c:spPr>
        <a:solidFill>
          <a:schemeClr val="lt1"/>
        </a:solidFill>
        <a:ln w="25400" cap="flat" cmpd="sng" algn="ctr">
          <a:solidFill>
            <a:schemeClr val="accent2"/>
          </a:solidFill>
          <a:prstDash val="solid"/>
        </a:ln>
        <a:effectLst/>
      </c:spPr>
    </c:title>
    <c:autoTitleDeleted val="0"/>
    <c:plotArea>
      <c:layout>
        <c:manualLayout>
          <c:layoutTarget val="inner"/>
          <c:xMode val="edge"/>
          <c:yMode val="edge"/>
          <c:x val="6.7043502131040961E-2"/>
          <c:y val="8.2437619412632862E-2"/>
          <c:w val="0.90565744419562222"/>
          <c:h val="0.79421699635040677"/>
        </c:manualLayout>
      </c:layout>
      <c:barChart>
        <c:barDir val="col"/>
        <c:grouping val="stacked"/>
        <c:varyColors val="0"/>
        <c:ser>
          <c:idx val="0"/>
          <c:order val="0"/>
          <c:tx>
            <c:strRef>
              <c:f>'Pr-Sem'!$BB$5</c:f>
              <c:strCache>
                <c:ptCount val="1"/>
                <c:pt idx="0">
                  <c:v>Roto</c:v>
                </c:pt>
              </c:strCache>
            </c:strRef>
          </c:tx>
          <c:spPr>
            <a:solidFill>
              <a:schemeClr val="accent2">
                <a:lumMod val="75000"/>
              </a:schemeClr>
            </a:solidFill>
            <a:ln w="9525">
              <a:solidFill>
                <a:schemeClr val="tx2">
                  <a:lumMod val="15000"/>
                  <a:lumOff val="85000"/>
                </a:schemeClr>
              </a:solidFill>
            </a:ln>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'Pr-Sem'!$BB$6:$BB$108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4-20F2-42D0-ADBC-7CB3F73D88B5}"/>
            </c:ext>
          </c:extLst>
        </c:ser>
        <c:ser>
          <c:idx val="3"/>
          <c:order val="1"/>
          <c:tx>
            <c:strRef>
              <c:f>'Pr-Sem'!$BA$5</c:f>
              <c:strCache>
                <c:ptCount val="1"/>
                <c:pt idx="0">
                  <c:v>Vencido</c:v>
                </c:pt>
              </c:strCache>
            </c:strRef>
          </c:tx>
          <c:spPr>
            <a:solidFill>
              <a:schemeClr val="tx2">
                <a:lumMod val="60000"/>
                <a:lumOff val="40000"/>
              </a:schemeClr>
            </a:solidFill>
            <a:ln>
              <a:solidFill>
                <a:schemeClr val="tx2">
                  <a:lumMod val="15000"/>
                  <a:lumOff val="85000"/>
                </a:schemeClr>
              </a:solidFill>
            </a:ln>
            <a:effectLst>
              <a:outerShdw blurRad="40000" dist="23000" dir="5400000" rotWithShape="0">
                <a:srgbClr val="000000">
                  <a:alpha val="35000"/>
                </a:srgbClr>
              </a:outerShdw>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'Pr-Sem'!$BA$6:$BA$108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3-20F2-42D0-ADBC-7CB3F73D88B5}"/>
            </c:ext>
          </c:extLst>
        </c:ser>
        <c:ser>
          <c:idx val="4"/>
          <c:order val="2"/>
          <c:tx>
            <c:strRef>
              <c:f>'Pr-Sem'!$AZ$5</c:f>
              <c:strCache>
                <c:ptCount val="1"/>
                <c:pt idx="0">
                  <c:v>Prob Cásc</c:v>
                </c:pt>
              </c:strCache>
            </c:strRef>
          </c:tx>
          <c:spPr>
            <a:solidFill>
              <a:srgbClr val="00B050"/>
            </a:solidFill>
            <a:ln>
              <a:solidFill>
                <a:schemeClr val="tx2">
                  <a:lumMod val="15000"/>
                  <a:lumOff val="85000"/>
                </a:schemeClr>
              </a:solidFill>
            </a:ln>
            <a:effectLst>
              <a:outerShdw blurRad="40000" dist="23000" dir="5400000" rotWithShape="0">
                <a:srgbClr val="000000">
                  <a:alpha val="35000"/>
                </a:srgbClr>
              </a:outerShdw>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'Pr-Sem'!$AZ$6:$AZ$108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2-20F2-42D0-ADBC-7CB3F73D88B5}"/>
            </c:ext>
          </c:extLst>
        </c:ser>
        <c:ser>
          <c:idx val="5"/>
          <c:order val="3"/>
          <c:tx>
            <c:strRef>
              <c:f>'Pr-Sem'!$AY$5</c:f>
              <c:strCache>
                <c:ptCount val="1"/>
                <c:pt idx="0">
                  <c:v>Prob Color</c:v>
                </c:pt>
              </c:strCache>
            </c:strRef>
          </c:tx>
          <c:spPr>
            <a:solidFill>
              <a:schemeClr val="bg2">
                <a:lumMod val="50000"/>
              </a:schemeClr>
            </a:solidFill>
            <a:ln>
              <a:solidFill>
                <a:schemeClr val="tx2">
                  <a:lumMod val="15000"/>
                  <a:lumOff val="85000"/>
                </a:schemeClr>
              </a:solidFill>
            </a:ln>
            <a:effectLst>
              <a:outerShdw blurRad="40000" dist="23000" dir="5400000" rotWithShape="0">
                <a:srgbClr val="000000">
                  <a:alpha val="35000"/>
                </a:srgbClr>
              </a:outerShdw>
            </a:effectLst>
          </c:spPr>
          <c:invertIfNegative val="0"/>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'Pr-Sem'!$AY$6:$AY$108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1-20F2-42D0-ADBC-7CB3F73D88B5}"/>
            </c:ext>
          </c:extLst>
        </c:ser>
        <c:dLbls>
          <c:showLegendKey val="0"/>
          <c:showVal val="0"/>
          <c:showCatName val="0"/>
          <c:showSerName val="0"/>
          <c:showPercent val="0"/>
          <c:showBubbleSize val="0"/>
        </c:dLbls>
        <c:gapWidth val="0"/>
        <c:overlap val="100"/>
        <c:axId val="803299960"/>
        <c:axId val="803300352"/>
      </c:barChart>
      <c:catAx>
        <c:axId val="803299960"/>
        <c:scaling>
          <c:orientation val="minMax"/>
        </c:scaling>
        <c:delete val="0"/>
        <c:axPos val="b"/>
        <c:numFmt formatCode="??0"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vert="horz" wrap="square" anchor="ctr" anchorCtr="1"/>
          <a:lstStyle/>
          <a:p>
            <a:pPr>
              <a:defRPr sz="1600" b="1" i="0" u="none" strike="noStrike" kern="1200" baseline="0">
                <a:solidFill>
                  <a:schemeClr val="tx2"/>
                </a:solidFill>
                <a:latin typeface="Century Gothic" panose="020B0502020202020204" pitchFamily="34" charset="0"/>
                <a:ea typeface="+mn-ea"/>
                <a:cs typeface="+mn-cs"/>
              </a:defRPr>
            </a:pPr>
            <a:endParaRPr lang="es-CO"/>
          </a:p>
        </c:txPr>
        <c:crossAx val="803300352"/>
        <c:crosses val="autoZero"/>
        <c:auto val="1"/>
        <c:lblAlgn val="ctr"/>
        <c:lblOffset val="1"/>
        <c:noMultiLvlLbl val="0"/>
      </c:catAx>
      <c:valAx>
        <c:axId val="803300352"/>
        <c:scaling>
          <c:orientation val="minMax"/>
          <c:min val="0"/>
        </c:scaling>
        <c:delete val="0"/>
        <c:axPos val="l"/>
        <c:majorGridlines>
          <c:spPr>
            <a:ln w="9525" cap="flat" cmpd="sng" algn="ctr">
              <a:solidFill>
                <a:schemeClr val="bg2">
                  <a:lumMod val="75000"/>
                </a:schemeClr>
              </a:solidFill>
              <a:prstDash val="sysDot"/>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2"/>
                </a:solidFill>
                <a:latin typeface="Century Gothic" panose="020B0502020202020204" pitchFamily="34" charset="0"/>
                <a:ea typeface="+mn-ea"/>
                <a:cs typeface="+mn-cs"/>
              </a:defRPr>
            </a:pPr>
            <a:endParaRPr lang="es-CO"/>
          </a:p>
        </c:txPr>
        <c:crossAx val="803299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Century Gothic" panose="020B0502020202020204" pitchFamily="34" charset="0"/>
              <a:ea typeface="+mn-ea"/>
              <a:cs typeface="+mn-cs"/>
            </a:defRPr>
          </a:pPr>
          <a:endParaRPr lang="es-CO"/>
        </a:p>
      </c:txPr>
    </c:legend>
    <c:plotVisOnly val="1"/>
    <c:dispBlanksAs val="gap"/>
    <c:showDLblsOverMax val="0"/>
  </c:chart>
  <c:spPr>
    <a:blipFill dpi="0" rotWithShape="1">
      <a:blip xmlns:r="http://schemas.openxmlformats.org/officeDocument/2006/relationships" r:embed="rId1">
        <a:alphaModFix amt="16000"/>
      </a:blip>
      <a:srcRect/>
      <a:tile tx="355600" ty="0" sx="100000" sy="100000" flip="none" algn="tl"/>
    </a:blipFill>
    <a:ln w="9525" cap="flat" cmpd="sng" algn="ctr">
      <a:solidFill>
        <a:schemeClr val="tx2">
          <a:lumMod val="15000"/>
          <a:lumOff val="85000"/>
        </a:schemeClr>
      </a:solidFill>
      <a:round/>
    </a:ln>
    <a:effectLst/>
  </c:spPr>
  <c:txPr>
    <a:bodyPr/>
    <a:lstStyle/>
    <a:p>
      <a:pPr>
        <a:defRPr/>
      </a:pPr>
      <a:endParaRPr lang="es-CO"/>
    </a:p>
  </c:txPr>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chemeClr val="lt1"/>
                </a:solidFill>
                <a:latin typeface="Century Gothic" panose="020B0502020202020204" pitchFamily="34" charset="0"/>
                <a:ea typeface="+mn-ea"/>
                <a:cs typeface="+mn-cs"/>
              </a:defRPr>
            </a:pPr>
            <a:r>
              <a:rPr lang="en-US"/>
              <a:t>ClasifIcación Acum Huevo</a:t>
            </a:r>
          </a:p>
        </c:rich>
      </c:tx>
      <c:layout>
        <c:manualLayout>
          <c:xMode val="edge"/>
          <c:yMode val="edge"/>
          <c:x val="1.9087338382285133E-2"/>
          <c:y val="2.0209973669746115E-2"/>
        </c:manualLayout>
      </c:layout>
      <c:overlay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txPr>
        <a:bodyPr rot="0" spcFirstLastPara="1" vertOverflow="ellipsis" vert="horz" wrap="square" anchor="ctr" anchorCtr="1"/>
        <a:lstStyle/>
        <a:p>
          <a:pPr algn="ctr">
            <a:defRPr sz="1400" b="1" i="0" u="none" strike="noStrike" kern="1200" spc="0" baseline="0">
              <a:solidFill>
                <a:schemeClr val="lt1"/>
              </a:solidFill>
              <a:latin typeface="Century Gothic" panose="020B0502020202020204" pitchFamily="34" charset="0"/>
              <a:ea typeface="+mn-ea"/>
              <a:cs typeface="+mn-cs"/>
            </a:defRPr>
          </a:pPr>
          <a:endParaRPr lang="es-CO"/>
        </a:p>
      </c:txPr>
    </c:title>
    <c:autoTitleDeleted val="0"/>
    <c:plotArea>
      <c:layout>
        <c:manualLayout>
          <c:layoutTarget val="inner"/>
          <c:xMode val="edge"/>
          <c:yMode val="edge"/>
          <c:x val="0.16055122400078256"/>
          <c:y val="0.17436512834288082"/>
          <c:w val="0.80298372987866096"/>
          <c:h val="0.80340390062039846"/>
        </c:manualLayout>
      </c:layout>
      <c:barChart>
        <c:barDir val="bar"/>
        <c:grouping val="clustered"/>
        <c:varyColors val="1"/>
        <c:ser>
          <c:idx val="0"/>
          <c:order val="0"/>
          <c:tx>
            <c:v>Clasif Acum Huevo</c:v>
          </c:tx>
          <c:spPr>
            <a:ln>
              <a:noFill/>
            </a:ln>
            <a:effectLst>
              <a:outerShdw blurRad="50800" dist="38100" dir="2700000" algn="tl" rotWithShape="0">
                <a:prstClr val="black">
                  <a:alpha val="40000"/>
                </a:prstClr>
              </a:outerShdw>
            </a:effectLst>
          </c:spPr>
          <c:invertIfNegative val="0"/>
          <c:dPt>
            <c:idx val="0"/>
            <c:invertIfNegative val="0"/>
            <c:bubble3D val="0"/>
            <c:spPr>
              <a:solidFill>
                <a:schemeClr val="accent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DF8F-4111-9193-E7545087B8A7}"/>
              </c:ext>
            </c:extLst>
          </c:dPt>
          <c:dPt>
            <c:idx val="1"/>
            <c:invertIfNegative val="0"/>
            <c:bubble3D val="0"/>
            <c:spPr>
              <a:solidFill>
                <a:schemeClr val="accent2"/>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DF8F-4111-9193-E7545087B8A7}"/>
              </c:ext>
            </c:extLst>
          </c:dPt>
          <c:dPt>
            <c:idx val="2"/>
            <c:invertIfNegative val="0"/>
            <c:bubble3D val="0"/>
            <c:spPr>
              <a:solidFill>
                <a:schemeClr val="accent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DF8F-4111-9193-E7545087B8A7}"/>
              </c:ext>
            </c:extLst>
          </c:dPt>
          <c:dPt>
            <c:idx val="3"/>
            <c:invertIfNegative val="0"/>
            <c:bubble3D val="0"/>
            <c:spPr>
              <a:solidFill>
                <a:schemeClr val="accent4"/>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7-DF8F-4111-9193-E7545087B8A7}"/>
              </c:ext>
            </c:extLst>
          </c:dPt>
          <c:dPt>
            <c:idx val="4"/>
            <c:invertIfNegative val="0"/>
            <c:bubble3D val="0"/>
            <c:spPr>
              <a:solidFill>
                <a:schemeClr val="accent5"/>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9-DF8F-4111-9193-E7545087B8A7}"/>
              </c:ext>
            </c:extLst>
          </c:dPt>
          <c:dPt>
            <c:idx val="5"/>
            <c:invertIfNegative val="0"/>
            <c:bubble3D val="0"/>
            <c:spPr>
              <a:solidFill>
                <a:schemeClr val="accent6"/>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B-DF8F-4111-9193-E7545087B8A7}"/>
              </c:ext>
            </c:extLst>
          </c:dPt>
          <c:dPt>
            <c:idx val="6"/>
            <c:invertIfNegative val="0"/>
            <c:bubble3D val="0"/>
            <c:spPr>
              <a:solidFill>
                <a:schemeClr val="accent1">
                  <a:lumMod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D-DF8F-4111-9193-E7545087B8A7}"/>
              </c:ext>
            </c:extLst>
          </c:dPt>
          <c:dPt>
            <c:idx val="7"/>
            <c:invertIfNegative val="0"/>
            <c:bubble3D val="0"/>
            <c:spPr>
              <a:solidFill>
                <a:schemeClr val="accent2">
                  <a:lumMod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F-DF8F-4111-9193-E7545087B8A7}"/>
              </c:ext>
            </c:extLst>
          </c:dPt>
          <c:dPt>
            <c:idx val="8"/>
            <c:invertIfNegative val="0"/>
            <c:bubble3D val="0"/>
            <c:spPr>
              <a:solidFill>
                <a:schemeClr val="accent3">
                  <a:lumMod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1-DF8F-4111-9193-E7545087B8A7}"/>
              </c:ext>
            </c:extLst>
          </c:dPt>
          <c:dPt>
            <c:idx val="9"/>
            <c:invertIfNegative val="0"/>
            <c:bubble3D val="0"/>
            <c:spPr>
              <a:solidFill>
                <a:schemeClr val="accent4">
                  <a:lumMod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3-DF8F-4111-9193-E7545087B8A7}"/>
              </c:ext>
            </c:extLst>
          </c:dPt>
          <c:dPt>
            <c:idx val="10"/>
            <c:invertIfNegative val="0"/>
            <c:bubble3D val="0"/>
            <c:spPr>
              <a:solidFill>
                <a:schemeClr val="accent5">
                  <a:lumMod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5-DF8F-4111-9193-E7545087B8A7}"/>
              </c:ext>
            </c:extLst>
          </c:dPt>
          <c:dPt>
            <c:idx val="11"/>
            <c:invertIfNegative val="0"/>
            <c:bubble3D val="0"/>
            <c:spPr>
              <a:solidFill>
                <a:schemeClr val="accent6">
                  <a:lumMod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7-DF8F-4111-9193-E7545087B8A7}"/>
              </c:ext>
            </c:extLst>
          </c:dPt>
          <c:dPt>
            <c:idx val="12"/>
            <c:invertIfNegative val="0"/>
            <c:bubble3D val="0"/>
            <c:spPr>
              <a:solidFill>
                <a:schemeClr val="accent1">
                  <a:lumMod val="80000"/>
                  <a:lumOff val="2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9-DF8F-4111-9193-E7545087B8A7}"/>
              </c:ext>
            </c:extLst>
          </c:dPt>
          <c:dPt>
            <c:idx val="13"/>
            <c:invertIfNegative val="0"/>
            <c:bubble3D val="0"/>
            <c:spPr>
              <a:solidFill>
                <a:schemeClr val="accent2">
                  <a:lumMod val="80000"/>
                  <a:lumOff val="2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B-DF8F-4111-9193-E7545087B8A7}"/>
              </c:ext>
            </c:extLst>
          </c:dPt>
          <c:dPt>
            <c:idx val="14"/>
            <c:invertIfNegative val="0"/>
            <c:bubble3D val="0"/>
            <c:spPr>
              <a:solidFill>
                <a:schemeClr val="accent3">
                  <a:lumMod val="80000"/>
                  <a:lumOff val="2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D-BF80-44F5-BD05-EAD298929B5A}"/>
              </c:ext>
            </c:extLst>
          </c:dPt>
          <c:dLbls>
            <c:spPr>
              <a:solidFill>
                <a:schemeClr val="bg1"/>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50" b="0" i="0" u="none" strike="noStrike" kern="1200" baseline="0">
                    <a:solidFill>
                      <a:srgbClr val="C00000"/>
                    </a:solidFill>
                    <a:latin typeface="Century Gothic" panose="020B050202020202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PROD!$AL$4:$AZ$4</c:f>
              <c:strCache>
                <c:ptCount val="15"/>
                <c:pt idx="0">
                  <c:v>Huevo sin Clasificar</c:v>
                </c:pt>
                <c:pt idx="1">
                  <c:v>AAAA</c:v>
                </c:pt>
                <c:pt idx="2">
                  <c:v>AAA</c:v>
                </c:pt>
                <c:pt idx="3">
                  <c:v>AA</c:v>
                </c:pt>
                <c:pt idx="4">
                  <c:v>A</c:v>
                </c:pt>
                <c:pt idx="5">
                  <c:v>B</c:v>
                </c:pt>
                <c:pt idx="6">
                  <c:v>C</c:v>
                </c:pt>
                <c:pt idx="7">
                  <c:v>Congolo</c:v>
                </c:pt>
                <c:pt idx="8">
                  <c:v>Rev. Gr.</c:v>
                </c:pt>
                <c:pt idx="9">
                  <c:v>Rev. Med</c:v>
                </c:pt>
                <c:pt idx="10">
                  <c:v>Rev. Peq</c:v>
                </c:pt>
                <c:pt idx="11">
                  <c:v>Prob Color</c:v>
                </c:pt>
                <c:pt idx="12">
                  <c:v>Prob Cásc</c:v>
                </c:pt>
                <c:pt idx="13">
                  <c:v>Vencido</c:v>
                </c:pt>
                <c:pt idx="14">
                  <c:v>Roto</c:v>
                </c:pt>
              </c:strCache>
            </c:strRef>
          </c:cat>
          <c:val>
            <c:numRef>
              <c:f>PROD!$AL$728:$AZ$728</c:f>
              <c:numCache>
                <c:formatCode>??0.00</c:formatCode>
                <c:ptCount val="15"/>
                <c:pt idx="0" formatCode="??0.0">
                  <c:v>0</c:v>
                </c:pt>
                <c:pt idx="1">
                  <c:v>0</c:v>
                </c:pt>
                <c:pt idx="2">
                  <c:v>0</c:v>
                </c:pt>
                <c:pt idx="3">
                  <c:v>0</c:v>
                </c:pt>
                <c:pt idx="4">
                  <c:v>0</c:v>
                </c:pt>
                <c:pt idx="5">
                  <c:v>0</c:v>
                </c:pt>
                <c:pt idx="6">
                  <c:v>0</c:v>
                </c:pt>
                <c:pt idx="7">
                  <c:v>0</c:v>
                </c:pt>
                <c:pt idx="8" formatCode="??0.0">
                  <c:v>0</c:v>
                </c:pt>
                <c:pt idx="9" formatCode="??0.0">
                  <c:v>0</c:v>
                </c:pt>
                <c:pt idx="10" formatCode="??0.0">
                  <c:v>0</c:v>
                </c:pt>
                <c:pt idx="11" formatCode="??0.0">
                  <c:v>0</c:v>
                </c:pt>
                <c:pt idx="12" formatCode="??0.0">
                  <c:v>0</c:v>
                </c:pt>
                <c:pt idx="13" formatCode="??0.0">
                  <c:v>0</c:v>
                </c:pt>
                <c:pt idx="14" formatCode="??0.0">
                  <c:v>0</c:v>
                </c:pt>
              </c:numCache>
            </c:numRef>
          </c:val>
          <c:extLst>
            <c:ext xmlns:c16="http://schemas.microsoft.com/office/drawing/2014/chart" uri="{C3380CC4-5D6E-409C-BE32-E72D297353CC}">
              <c16:uniqueId val="{00000000-0281-4901-BEDF-5482BC860229}"/>
            </c:ext>
          </c:extLst>
        </c:ser>
        <c:dLbls>
          <c:showLegendKey val="0"/>
          <c:showVal val="0"/>
          <c:showCatName val="0"/>
          <c:showSerName val="0"/>
          <c:showPercent val="0"/>
          <c:showBubbleSize val="0"/>
        </c:dLbls>
        <c:gapWidth val="30"/>
        <c:axId val="1068693024"/>
        <c:axId val="1068690728"/>
      </c:barChart>
      <c:catAx>
        <c:axId val="10686930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CO"/>
          </a:p>
        </c:txPr>
        <c:crossAx val="1068690728"/>
        <c:crosses val="autoZero"/>
        <c:auto val="1"/>
        <c:lblAlgn val="ctr"/>
        <c:lblOffset val="100"/>
        <c:noMultiLvlLbl val="0"/>
      </c:catAx>
      <c:valAx>
        <c:axId val="1068690728"/>
        <c:scaling>
          <c:orientation val="minMax"/>
        </c:scaling>
        <c:delete val="0"/>
        <c:axPos val="t"/>
        <c:majorGridlines>
          <c:spPr>
            <a:ln w="9525" cap="flat" cmpd="sng" algn="ctr">
              <a:solidFill>
                <a:schemeClr val="bg1">
                  <a:lumMod val="50000"/>
                </a:schemeClr>
              </a:solidFill>
              <a:prstDash val="sysDot"/>
              <a:round/>
            </a:ln>
            <a:effectLst/>
          </c:spPr>
        </c:majorGridlines>
        <c:numFmt formatCode="??0.0" sourceLinked="1"/>
        <c:majorTickMark val="out"/>
        <c:minorTickMark val="none"/>
        <c:tickLblPos val="nextTo"/>
        <c:spPr>
          <a:noFill/>
          <a:ln>
            <a:solidFill>
              <a:srgbClr val="FF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1068693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dpi="0" rotWithShape="1">
      <a:blip xmlns:r="http://schemas.openxmlformats.org/officeDocument/2006/relationships" r:embed="rId3">
        <a:alphaModFix amt="17000"/>
      </a:blip>
      <a:srcRect/>
      <a:tile tx="355600" ty="0" sx="100000" sy="100000" flip="none" algn="tl"/>
    </a:blipFill>
    <a:ln w="9525" cap="flat" cmpd="sng" algn="ctr">
      <a:solidFill>
        <a:schemeClr val="tx1">
          <a:lumMod val="15000"/>
          <a:lumOff val="85000"/>
        </a:schemeClr>
      </a:solidFill>
      <a:round/>
    </a:ln>
    <a:effectLst/>
  </c:spPr>
  <c:txPr>
    <a:bodyPr/>
    <a:lstStyle/>
    <a:p>
      <a:pPr>
        <a:defRPr/>
      </a:pPr>
      <a:endParaRPr lang="es-CO"/>
    </a:p>
  </c:txPr>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FBD626"/>
              </a:solidFill>
              <a:ln>
                <a:noFill/>
              </a:ln>
              <a:effectLst/>
            </c:spPr>
            <c:extLst>
              <c:ext xmlns:c16="http://schemas.microsoft.com/office/drawing/2014/chart" uri="{C3380CC4-5D6E-409C-BE32-E72D297353CC}">
                <c16:uniqueId val="{00000001-852C-4DBE-ACFD-DFA10585F9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'PROGR-ILUM'!$B$31</c:f>
              <c:numCache>
                <c:formatCode>0" h"</c:formatCode>
                <c:ptCount val="1"/>
                <c:pt idx="0">
                  <c:v>4</c:v>
                </c:pt>
              </c:numCache>
            </c:numRef>
          </c:val>
          <c:extLst>
            <c:ext xmlns:c16="http://schemas.microsoft.com/office/drawing/2014/chart" uri="{C3380CC4-5D6E-409C-BE32-E72D297353CC}">
              <c16:uniqueId val="{00000002-852C-4DBE-ACFD-DFA10585F9FF}"/>
            </c:ext>
          </c:extLst>
        </c:ser>
        <c:ser>
          <c:idx val="1"/>
          <c:order val="1"/>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'PROGR-ILUM'!$B$32</c:f>
              <c:numCache>
                <c:formatCode>0" h"</c:formatCode>
                <c:ptCount val="1"/>
                <c:pt idx="0">
                  <c:v>2</c:v>
                </c:pt>
              </c:numCache>
            </c:numRef>
          </c:val>
          <c:extLst>
            <c:ext xmlns:c16="http://schemas.microsoft.com/office/drawing/2014/chart" uri="{C3380CC4-5D6E-409C-BE32-E72D297353CC}">
              <c16:uniqueId val="{00000003-852C-4DBE-ACFD-DFA10585F9FF}"/>
            </c:ext>
          </c:extLst>
        </c:ser>
        <c:ser>
          <c:idx val="2"/>
          <c:order val="2"/>
          <c:spPr>
            <a:solidFill>
              <a:srgbClr val="FBD62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'PROGR-ILUM'!$B$33</c:f>
              <c:numCache>
                <c:formatCode>0" h"</c:formatCode>
                <c:ptCount val="1"/>
                <c:pt idx="0">
                  <c:v>4</c:v>
                </c:pt>
              </c:numCache>
            </c:numRef>
          </c:val>
          <c:extLst>
            <c:ext xmlns:c16="http://schemas.microsoft.com/office/drawing/2014/chart" uri="{C3380CC4-5D6E-409C-BE32-E72D297353CC}">
              <c16:uniqueId val="{00000004-852C-4DBE-ACFD-DFA10585F9FF}"/>
            </c:ext>
          </c:extLst>
        </c:ser>
        <c:ser>
          <c:idx val="3"/>
          <c:order val="3"/>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'PROGR-ILUM'!$B$34</c:f>
              <c:numCache>
                <c:formatCode>0" h"</c:formatCode>
                <c:ptCount val="1"/>
                <c:pt idx="0">
                  <c:v>2</c:v>
                </c:pt>
              </c:numCache>
            </c:numRef>
          </c:val>
          <c:extLst>
            <c:ext xmlns:c16="http://schemas.microsoft.com/office/drawing/2014/chart" uri="{C3380CC4-5D6E-409C-BE32-E72D297353CC}">
              <c16:uniqueId val="{00000005-852C-4DBE-ACFD-DFA10585F9FF}"/>
            </c:ext>
          </c:extLst>
        </c:ser>
        <c:ser>
          <c:idx val="4"/>
          <c:order val="4"/>
          <c:spPr>
            <a:solidFill>
              <a:srgbClr val="FBD62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'PROGR-ILUM'!$B$35</c:f>
              <c:numCache>
                <c:formatCode>0" h"</c:formatCode>
                <c:ptCount val="1"/>
                <c:pt idx="0">
                  <c:v>4</c:v>
                </c:pt>
              </c:numCache>
            </c:numRef>
          </c:val>
          <c:extLst>
            <c:ext xmlns:c16="http://schemas.microsoft.com/office/drawing/2014/chart" uri="{C3380CC4-5D6E-409C-BE32-E72D297353CC}">
              <c16:uniqueId val="{00000006-852C-4DBE-ACFD-DFA10585F9FF}"/>
            </c:ext>
          </c:extLst>
        </c:ser>
        <c:ser>
          <c:idx val="5"/>
          <c:order val="5"/>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'PROGR-ILUM'!$B$36</c:f>
              <c:numCache>
                <c:formatCode>0" h"</c:formatCode>
                <c:ptCount val="1"/>
                <c:pt idx="0">
                  <c:v>2</c:v>
                </c:pt>
              </c:numCache>
            </c:numRef>
          </c:val>
          <c:extLst>
            <c:ext xmlns:c16="http://schemas.microsoft.com/office/drawing/2014/chart" uri="{C3380CC4-5D6E-409C-BE32-E72D297353CC}">
              <c16:uniqueId val="{00000007-852C-4DBE-ACFD-DFA10585F9FF}"/>
            </c:ext>
          </c:extLst>
        </c:ser>
        <c:ser>
          <c:idx val="6"/>
          <c:order val="6"/>
          <c:spPr>
            <a:solidFill>
              <a:srgbClr val="FBD62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'PROGR-ILUM'!$B$37</c:f>
              <c:numCache>
                <c:formatCode>0" h"</c:formatCode>
                <c:ptCount val="1"/>
                <c:pt idx="0">
                  <c:v>4</c:v>
                </c:pt>
              </c:numCache>
            </c:numRef>
          </c:val>
          <c:extLst>
            <c:ext xmlns:c16="http://schemas.microsoft.com/office/drawing/2014/chart" uri="{C3380CC4-5D6E-409C-BE32-E72D297353CC}">
              <c16:uniqueId val="{00000008-852C-4DBE-ACFD-DFA10585F9FF}"/>
            </c:ext>
          </c:extLst>
        </c:ser>
        <c:ser>
          <c:idx val="7"/>
          <c:order val="7"/>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'PROGR-ILUM'!$B$38</c:f>
              <c:numCache>
                <c:formatCode>0" h"</c:formatCode>
                <c:ptCount val="1"/>
                <c:pt idx="0">
                  <c:v>2</c:v>
                </c:pt>
              </c:numCache>
            </c:numRef>
          </c:val>
          <c:extLst>
            <c:ext xmlns:c16="http://schemas.microsoft.com/office/drawing/2014/chart" uri="{C3380CC4-5D6E-409C-BE32-E72D297353CC}">
              <c16:uniqueId val="{00000009-852C-4DBE-ACFD-DFA10585F9FF}"/>
            </c:ext>
          </c:extLst>
        </c:ser>
        <c:dLbls>
          <c:showLegendKey val="0"/>
          <c:showVal val="0"/>
          <c:showCatName val="0"/>
          <c:showSerName val="0"/>
          <c:showPercent val="0"/>
          <c:showBubbleSize val="0"/>
        </c:dLbls>
        <c:gapWidth val="150"/>
        <c:overlap val="100"/>
        <c:axId val="831300575"/>
        <c:axId val="831280607"/>
      </c:barChart>
      <c:catAx>
        <c:axId val="831300575"/>
        <c:scaling>
          <c:orientation val="minMax"/>
        </c:scaling>
        <c:delete val="1"/>
        <c:axPos val="b"/>
        <c:majorTickMark val="none"/>
        <c:minorTickMark val="none"/>
        <c:tickLblPos val="nextTo"/>
        <c:crossAx val="831280607"/>
        <c:crosses val="autoZero"/>
        <c:auto val="1"/>
        <c:lblAlgn val="ctr"/>
        <c:lblOffset val="100"/>
        <c:noMultiLvlLbl val="0"/>
      </c:catAx>
      <c:valAx>
        <c:axId val="831280607"/>
        <c:scaling>
          <c:orientation val="minMax"/>
          <c:max val="24"/>
          <c:min val="0"/>
        </c:scaling>
        <c:delete val="1"/>
        <c:axPos val="l"/>
        <c:majorGridlines>
          <c:spPr>
            <a:ln w="9525" cap="flat" cmpd="sng" algn="ctr">
              <a:noFill/>
              <a:round/>
            </a:ln>
            <a:effectLst/>
          </c:spPr>
        </c:majorGridlines>
        <c:numFmt formatCode="0&quot; h&quot;" sourceLinked="1"/>
        <c:majorTickMark val="out"/>
        <c:minorTickMark val="none"/>
        <c:tickLblPos val="nextTo"/>
        <c:crossAx val="831300575"/>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50006414937798E-2"/>
          <c:y val="9.2399346006447614E-2"/>
          <c:w val="0.8661561981741992"/>
          <c:h val="0.83328315318873603"/>
        </c:manualLayout>
      </c:layout>
      <c:areaChart>
        <c:grouping val="stacked"/>
        <c:varyColors val="0"/>
        <c:ser>
          <c:idx val="2"/>
          <c:order val="1"/>
          <c:tx>
            <c:v>Peso Ave Tab min</c:v>
          </c:tx>
          <c:spPr>
            <a:noFill/>
            <a:ln w="76200" cap="rnd">
              <a:noFill/>
              <a:round/>
            </a:ln>
            <a:effectLst/>
          </c:spP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'Sem-L'!$V$6:$V$23</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9FAE-438F-AFD3-3AF02BC5A616}"/>
            </c:ext>
          </c:extLst>
        </c:ser>
        <c:ser>
          <c:idx val="4"/>
          <c:order val="2"/>
          <c:tx>
            <c:v>Peso Ave Tab</c:v>
          </c:tx>
          <c:spPr>
            <a:solidFill>
              <a:srgbClr val="0070C0">
                <a:alpha val="40000"/>
              </a:srgbClr>
            </a:solidFill>
          </c:spP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'Sem-L'!$X$6:$X$23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2FD3-49E0-8142-C030C1413C8C}"/>
            </c:ext>
          </c:extLst>
        </c:ser>
        <c:dLbls>
          <c:showLegendKey val="0"/>
          <c:showVal val="0"/>
          <c:showCatName val="0"/>
          <c:showSerName val="0"/>
          <c:showPercent val="0"/>
          <c:showBubbleSize val="0"/>
        </c:dLbls>
        <c:axId val="554858304"/>
        <c:axId val="553664512"/>
      </c:areaChart>
      <c:barChart>
        <c:barDir val="col"/>
        <c:grouping val="clustered"/>
        <c:varyColors val="0"/>
        <c:ser>
          <c:idx val="3"/>
          <c:order val="3"/>
          <c:tx>
            <c:v>Alim Ac Tab</c:v>
          </c:tx>
          <c:spPr>
            <a:solidFill>
              <a:srgbClr val="92D050">
                <a:alpha val="20000"/>
              </a:srgbClr>
            </a:solidFill>
            <a:effectLst>
              <a:innerShdw blurRad="114300">
                <a:schemeClr val="accent4"/>
              </a:innerShdw>
            </a:effectLst>
          </c:spPr>
          <c:invertIfNegative val="0"/>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'Sem-L'!$R$6:$R$23</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9FAE-438F-AFD3-3AF02BC5A616}"/>
            </c:ext>
          </c:extLst>
        </c:ser>
        <c:dLbls>
          <c:showLegendKey val="0"/>
          <c:showVal val="0"/>
          <c:showCatName val="0"/>
          <c:showSerName val="0"/>
          <c:showPercent val="0"/>
          <c:showBubbleSize val="0"/>
        </c:dLbls>
        <c:gapWidth val="50"/>
        <c:axId val="631365528"/>
        <c:axId val="631366184"/>
      </c:barChart>
      <c:lineChart>
        <c:grouping val="standard"/>
        <c:varyColors val="0"/>
        <c:ser>
          <c:idx val="1"/>
          <c:order val="0"/>
          <c:tx>
            <c:v>Peso Ave Real</c:v>
          </c:tx>
          <c:spPr>
            <a:ln w="31750" cap="rnd">
              <a:solidFill>
                <a:srgbClr val="FF0000"/>
              </a:solidFill>
              <a:round/>
            </a:ln>
            <a:effectLst>
              <a:outerShdw blurRad="50800" dist="38100" dir="5400000" algn="t" rotWithShape="0">
                <a:prstClr val="black">
                  <a:alpha val="40000"/>
                </a:prstClr>
              </a:outerShdw>
            </a:effectLst>
          </c:spPr>
          <c:marker>
            <c:symbol val="circle"/>
            <c:size val="7"/>
            <c:spPr>
              <a:solidFill>
                <a:srgbClr val="0070C0"/>
              </a:solidFill>
              <a:ln>
                <a:noFill/>
              </a:ln>
              <a:effectLst>
                <a:outerShdw blurRad="50800" dist="38100" dir="5400000" algn="t" rotWithShape="0">
                  <a:prstClr val="black">
                    <a:alpha val="40000"/>
                  </a:prstClr>
                </a:outerShdw>
              </a:effectLst>
            </c:spPr>
          </c:marke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'Sem-L'!$U$6:$U$23</c:f>
              <c:numCache>
                <c:formatCode>?,??0.0</c:formatCode>
                <c:ptCount val="18"/>
              </c:numCache>
            </c:numRef>
          </c:val>
          <c:smooth val="1"/>
          <c:extLst>
            <c:ext xmlns:c16="http://schemas.microsoft.com/office/drawing/2014/chart" uri="{C3380CC4-5D6E-409C-BE32-E72D297353CC}">
              <c16:uniqueId val="{00000002-9FAE-438F-AFD3-3AF02BC5A616}"/>
            </c:ext>
          </c:extLst>
        </c:ser>
        <c:dLbls>
          <c:showLegendKey val="0"/>
          <c:showVal val="0"/>
          <c:showCatName val="0"/>
          <c:showSerName val="0"/>
          <c:showPercent val="0"/>
          <c:showBubbleSize val="0"/>
        </c:dLbls>
        <c:marker val="1"/>
        <c:smooth val="0"/>
        <c:axId val="554858304"/>
        <c:axId val="553664512"/>
      </c:lineChart>
      <c:lineChart>
        <c:grouping val="standard"/>
        <c:varyColors val="0"/>
        <c:ser>
          <c:idx val="0"/>
          <c:order val="4"/>
          <c:tx>
            <c:v>Alim Ac Real</c:v>
          </c:tx>
          <c:spPr>
            <a:ln w="57150">
              <a:solidFill>
                <a:srgbClr val="00B050">
                  <a:alpha val="60000"/>
                </a:srgbClr>
              </a:solidFill>
            </a:ln>
            <a:effectLst>
              <a:outerShdw blurRad="50800" dist="38100" dir="5400000" algn="t" rotWithShape="0">
                <a:prstClr val="black">
                  <a:alpha val="40000"/>
                </a:prstClr>
              </a:outerShdw>
            </a:effectLst>
          </c:spPr>
          <c:marker>
            <c:symbol val="diamond"/>
            <c:size val="8"/>
            <c:spPr>
              <a:solidFill>
                <a:srgbClr val="FF0000"/>
              </a:solidFill>
              <a:effectLst>
                <a:outerShdw blurRad="50800" dist="38100" dir="5400000" algn="t" rotWithShape="0">
                  <a:prstClr val="black">
                    <a:alpha val="40000"/>
                  </a:prstClr>
                </a:outerShdw>
              </a:effectLst>
              <a:scene3d>
                <a:camera prst="orthographicFront"/>
                <a:lightRig rig="threePt" dir="t"/>
              </a:scene3d>
              <a:sp3d>
                <a:bevelT/>
              </a:sp3d>
            </c:spPr>
          </c:marke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'Sem-L'!$Q$6:$Q$23</c:f>
              <c:numCache>
                <c:formatCode>?,??0.0</c:formatCode>
                <c:ptCount val="18"/>
                <c:pt idx="0">
                  <c:v>0</c:v>
                </c:pt>
              </c:numCache>
            </c:numRef>
          </c:val>
          <c:smooth val="1"/>
          <c:extLst>
            <c:ext xmlns:c16="http://schemas.microsoft.com/office/drawing/2014/chart" uri="{C3380CC4-5D6E-409C-BE32-E72D297353CC}">
              <c16:uniqueId val="{00000001-9FAE-438F-AFD3-3AF02BC5A616}"/>
            </c:ext>
          </c:extLst>
        </c:ser>
        <c:dLbls>
          <c:showLegendKey val="0"/>
          <c:showVal val="0"/>
          <c:showCatName val="0"/>
          <c:showSerName val="0"/>
          <c:showPercent val="0"/>
          <c:showBubbleSize val="0"/>
        </c:dLbls>
        <c:marker val="1"/>
        <c:smooth val="0"/>
        <c:axId val="631365528"/>
        <c:axId val="631366184"/>
      </c:lineChart>
      <c:valAx>
        <c:axId val="553664512"/>
        <c:scaling>
          <c:orientation val="minMax"/>
        </c:scaling>
        <c:delete val="0"/>
        <c:axPos val="l"/>
        <c:majorGridlines>
          <c:spPr>
            <a:ln>
              <a:solidFill>
                <a:schemeClr val="bg1">
                  <a:lumMod val="75000"/>
                </a:schemeClr>
              </a:solidFill>
              <a:prstDash val="sysDot"/>
            </a:ln>
          </c:spPr>
        </c:majorGridlines>
        <c:numFmt formatCode="?,??0" sourceLinked="0"/>
        <c:majorTickMark val="out"/>
        <c:minorTickMark val="none"/>
        <c:tickLblPos val="nextTo"/>
        <c:spPr>
          <a:noFill/>
          <a:ln>
            <a:solidFill>
              <a:srgbClr val="C00000"/>
            </a:solidFill>
          </a:ln>
          <a:effectLst/>
        </c:spPr>
        <c:txPr>
          <a:bodyPr rot="-60000000" spcFirstLastPara="1" vertOverflow="ellipsis" vert="horz" wrap="square" anchor="ctr" anchorCtr="1"/>
          <a:lstStyle/>
          <a:p>
            <a:pPr>
              <a:defRPr sz="1400" b="1" i="0" u="none" strike="noStrike" kern="1200" baseline="0">
                <a:solidFill>
                  <a:srgbClr val="C00000"/>
                </a:solidFill>
                <a:latin typeface="+mn-lt"/>
                <a:ea typeface="+mn-ea"/>
                <a:cs typeface="+mn-cs"/>
              </a:defRPr>
            </a:pPr>
            <a:endParaRPr lang="es-CO"/>
          </a:p>
        </c:txPr>
        <c:crossAx val="554858304"/>
        <c:crosses val="autoZero"/>
        <c:crossBetween val="between"/>
      </c:valAx>
      <c:catAx>
        <c:axId val="554858304"/>
        <c:scaling>
          <c:orientation val="minMax"/>
        </c:scaling>
        <c:delete val="0"/>
        <c:axPos val="b"/>
        <c:majorGridlines>
          <c:spPr>
            <a:ln>
              <a:solidFill>
                <a:schemeClr val="bg1">
                  <a:lumMod val="75000"/>
                </a:schemeClr>
              </a:solidFill>
              <a:prstDash val="sysDot"/>
            </a:ln>
          </c:spPr>
        </c:majorGridlines>
        <c:numFmt formatCode="?0" sourceLinked="1"/>
        <c:majorTickMark val="out"/>
        <c:minorTickMark val="none"/>
        <c:tickLblPos val="nextTo"/>
        <c:txPr>
          <a:bodyPr/>
          <a:lstStyle/>
          <a:p>
            <a:pPr>
              <a:defRPr sz="1800" b="1"/>
            </a:pPr>
            <a:endParaRPr lang="es-CO"/>
          </a:p>
        </c:txPr>
        <c:crossAx val="553664512"/>
        <c:crosses val="autoZero"/>
        <c:auto val="1"/>
        <c:lblAlgn val="ctr"/>
        <c:lblOffset val="1"/>
        <c:noMultiLvlLbl val="0"/>
      </c:catAx>
      <c:valAx>
        <c:axId val="631366184"/>
        <c:scaling>
          <c:orientation val="minMax"/>
          <c:max val="8000"/>
        </c:scaling>
        <c:delete val="0"/>
        <c:axPos val="r"/>
        <c:numFmt formatCode="?,??0" sourceLinked="1"/>
        <c:majorTickMark val="out"/>
        <c:minorTickMark val="none"/>
        <c:tickLblPos val="nextTo"/>
        <c:txPr>
          <a:bodyPr/>
          <a:lstStyle/>
          <a:p>
            <a:pPr>
              <a:defRPr sz="1400" b="1">
                <a:solidFill>
                  <a:schemeClr val="accent3">
                    <a:lumMod val="75000"/>
                  </a:schemeClr>
                </a:solidFill>
              </a:defRPr>
            </a:pPr>
            <a:endParaRPr lang="es-CO"/>
          </a:p>
        </c:txPr>
        <c:crossAx val="631365528"/>
        <c:crosses val="max"/>
        <c:crossBetween val="between"/>
      </c:valAx>
      <c:catAx>
        <c:axId val="631365528"/>
        <c:scaling>
          <c:orientation val="minMax"/>
        </c:scaling>
        <c:delete val="1"/>
        <c:axPos val="b"/>
        <c:numFmt formatCode="?0" sourceLinked="1"/>
        <c:majorTickMark val="out"/>
        <c:minorTickMark val="none"/>
        <c:tickLblPos val="nextTo"/>
        <c:crossAx val="631366184"/>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9.9866718111635486E-2"/>
          <c:y val="0.19782779383789947"/>
          <c:w val="0.17546657033630897"/>
          <c:h val="0.45658165640944198"/>
        </c:manualLayout>
      </c:layout>
      <c:overlay val="0"/>
      <c:spPr>
        <a:noFill/>
        <a:ln w="25400" cap="flat" cmpd="sng" algn="ctr">
          <a:solidFill>
            <a:schemeClr val="accent2"/>
          </a:solidFill>
          <a:prstDash val="solid"/>
        </a:ln>
        <a:effectLst/>
      </c:spPr>
      <c:txPr>
        <a:bodyPr/>
        <a:lstStyle/>
        <a:p>
          <a:pPr>
            <a:defRPr sz="1400" b="1">
              <a:solidFill>
                <a:schemeClr val="dk1"/>
              </a:solidFill>
              <a:latin typeface="+mn-lt"/>
              <a:ea typeface="+mn-ea"/>
              <a:cs typeface="+mn-cs"/>
            </a:defRPr>
          </a:pPr>
          <a:endParaRPr lang="es-CO"/>
        </a:p>
      </c:txPr>
    </c:legend>
    <c:plotVisOnly val="0"/>
    <c:dispBlanksAs val="span"/>
    <c:showDLblsOverMax val="0"/>
  </c:chart>
  <c:spPr>
    <a:blipFill dpi="0" rotWithShape="1">
      <a:blip xmlns:r="http://schemas.openxmlformats.org/officeDocument/2006/relationships" r:embed="rId1">
        <a:alphaModFix amt="10000"/>
      </a:blip>
      <a:srcRect/>
      <a:tile tx="355600" ty="0" sx="85000" sy="83000" flip="none" algn="tl"/>
    </a:blipFill>
    <a:ln w="9525" cap="flat" cmpd="sng" algn="ctr">
      <a:solidFill>
        <a:schemeClr val="tx1">
          <a:lumMod val="15000"/>
          <a:lumOff val="85000"/>
        </a:schemeClr>
      </a:solidFill>
      <a:round/>
    </a:ln>
    <a:effectLst/>
  </c:spPr>
  <c:txPr>
    <a:bodyPr/>
    <a:lstStyle/>
    <a:p>
      <a:pPr>
        <a:defRPr/>
      </a:pPr>
      <a:endParaRPr lang="es-CO"/>
    </a:p>
  </c:txPr>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861177418262978E-2"/>
          <c:y val="0.12660609615555377"/>
          <c:w val="0.89601434003514069"/>
          <c:h val="0.84134088560422893"/>
        </c:manualLayout>
      </c:layout>
      <c:barChart>
        <c:barDir val="col"/>
        <c:grouping val="clustered"/>
        <c:varyColors val="0"/>
        <c:ser>
          <c:idx val="1"/>
          <c:order val="1"/>
          <c:tx>
            <c:strRef>
              <c:f>'Sem-L'!$T$5</c:f>
              <c:strCache>
                <c:ptCount val="1"/>
                <c:pt idx="0">
                  <c:v>% Cumpl Cons. Acm</c:v>
                </c:pt>
              </c:strCache>
            </c:strRef>
          </c:tx>
          <c:spPr>
            <a:solidFill>
              <a:schemeClr val="accent3">
                <a:lumMod val="50000"/>
                <a:alpha val="70000"/>
              </a:schemeClr>
            </a:solidFill>
            <a:ln>
              <a:noFill/>
            </a:ln>
            <a:effectLst>
              <a:innerShdw blurRad="63500" dist="50800" dir="13500000">
                <a:prstClr val="black">
                  <a:alpha val="40000"/>
                </a:prstClr>
              </a:innerShdw>
            </a:effectLst>
          </c:spPr>
          <c:invertIfNegative val="0"/>
          <c:val>
            <c:numRef>
              <c:f>'Sem-L'!$T$6:$T$23</c:f>
              <c:numCache>
                <c:formatCode>[Blue]\+\ #0.0"%"\ ;[Red]\-\ #0.0"%"</c:formatCode>
                <c:ptCount val="18"/>
                <c:pt idx="0">
                  <c:v>0</c:v>
                </c:pt>
              </c:numCache>
            </c:numRef>
          </c:val>
          <c:extLst>
            <c:ext xmlns:c16="http://schemas.microsoft.com/office/drawing/2014/chart" uri="{C3380CC4-5D6E-409C-BE32-E72D297353CC}">
              <c16:uniqueId val="{00000000-8A69-4136-BDD5-6A837263ACB4}"/>
            </c:ext>
          </c:extLst>
        </c:ser>
        <c:dLbls>
          <c:showLegendKey val="0"/>
          <c:showVal val="0"/>
          <c:showCatName val="0"/>
          <c:showSerName val="0"/>
          <c:showPercent val="0"/>
          <c:showBubbleSize val="0"/>
        </c:dLbls>
        <c:gapWidth val="30"/>
        <c:axId val="554857912"/>
        <c:axId val="554855952"/>
      </c:barChart>
      <c:lineChart>
        <c:grouping val="standard"/>
        <c:varyColors val="0"/>
        <c:ser>
          <c:idx val="0"/>
          <c:order val="0"/>
          <c:tx>
            <c:strRef>
              <c:f>'Sem-L'!$Y$5</c:f>
              <c:strCache>
                <c:ptCount val="1"/>
                <c:pt idx="0">
                  <c:v>% Cumpl Peso</c:v>
                </c:pt>
              </c:strCache>
            </c:strRef>
          </c:tx>
          <c:spPr>
            <a:ln w="76200" cap="rnd">
              <a:solidFill>
                <a:schemeClr val="accent1"/>
              </a:solidFill>
              <a:round/>
            </a:ln>
            <a:effectLst/>
          </c:spPr>
          <c:marker>
            <c:symbol val="circle"/>
            <c:size val="30"/>
            <c:spPr>
              <a:solidFill>
                <a:schemeClr val="accent1">
                  <a:lumMod val="20000"/>
                  <a:lumOff val="80000"/>
                  <a:alpha val="58000"/>
                </a:schemeClr>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'Sem-L'!$Y$6:$Y$23</c:f>
              <c:numCache>
                <c:formatCode>[Blue]\+\ #0.0"%"\ ;[Red]\-\ #0.0"%"</c:formatCode>
                <c:ptCount val="18"/>
                <c:pt idx="0">
                  <c:v>0</c:v>
                </c:pt>
              </c:numCache>
            </c:numRef>
          </c:val>
          <c:smooth val="1"/>
          <c:extLst>
            <c:ext xmlns:c16="http://schemas.microsoft.com/office/drawing/2014/chart" uri="{C3380CC4-5D6E-409C-BE32-E72D297353CC}">
              <c16:uniqueId val="{00000001-8A69-4136-BDD5-6A837263ACB4}"/>
            </c:ext>
          </c:extLst>
        </c:ser>
        <c:dLbls>
          <c:showLegendKey val="0"/>
          <c:showVal val="1"/>
          <c:showCatName val="0"/>
          <c:showSerName val="0"/>
          <c:showPercent val="0"/>
          <c:showBubbleSize val="0"/>
        </c:dLbls>
        <c:marker val="1"/>
        <c:smooth val="0"/>
        <c:axId val="554857912"/>
        <c:axId val="554855952"/>
      </c:lineChart>
      <c:catAx>
        <c:axId val="554857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nextTo"/>
        <c:spPr>
          <a:noFill/>
          <a:ln w="53975" cap="flat" cmpd="sng" algn="ctr">
            <a:solidFill>
              <a:srgbClr val="FF0000"/>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Century Gothic" panose="020B0502020202020204" pitchFamily="34" charset="0"/>
                <a:ea typeface="+mn-ea"/>
                <a:cs typeface="+mn-cs"/>
              </a:defRPr>
            </a:pPr>
            <a:endParaRPr lang="es-CO"/>
          </a:p>
        </c:txPr>
        <c:crossAx val="554855952"/>
        <c:crosses val="autoZero"/>
        <c:auto val="1"/>
        <c:lblAlgn val="ctr"/>
        <c:lblOffset val="1"/>
        <c:noMultiLvlLbl val="0"/>
      </c:catAx>
      <c:valAx>
        <c:axId val="554855952"/>
        <c:scaling>
          <c:orientation val="minMax"/>
        </c:scaling>
        <c:delete val="0"/>
        <c:axPos val="l"/>
        <c:majorGridlines>
          <c:spPr>
            <a:ln w="9525" cap="flat" cmpd="sng" algn="ctr">
              <a:solidFill>
                <a:schemeClr val="tx1">
                  <a:lumMod val="15000"/>
                  <a:lumOff val="85000"/>
                </a:schemeClr>
              </a:solidFill>
              <a:round/>
            </a:ln>
            <a:effectLst/>
          </c:spPr>
        </c:majorGridlines>
        <c:numFmt formatCode="[Blue]\+\ #0.0&quot;%&quot;\ ;[Red]\-\ #0.0&quot;%&quot;" sourceLinked="1"/>
        <c:majorTickMark val="out"/>
        <c:minorTickMark val="none"/>
        <c:tickLblPos val="nextTo"/>
        <c:spPr>
          <a:noFill/>
          <a:ln>
            <a:solidFill>
              <a:srgbClr val="FF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Century Gothic" panose="020B0502020202020204" pitchFamily="34" charset="0"/>
                <a:ea typeface="+mn-ea"/>
                <a:cs typeface="+mn-cs"/>
              </a:defRPr>
            </a:pPr>
            <a:endParaRPr lang="es-CO"/>
          </a:p>
        </c:txPr>
        <c:crossAx val="554857912"/>
        <c:crosses val="autoZero"/>
        <c:crossBetween val="between"/>
      </c:valAx>
      <c:spPr>
        <a:noFill/>
        <a:ln>
          <a:noFill/>
        </a:ln>
        <a:effectLst/>
      </c:spPr>
    </c:plotArea>
    <c:legend>
      <c:legendPos val="b"/>
      <c:layout>
        <c:manualLayout>
          <c:xMode val="edge"/>
          <c:yMode val="edge"/>
          <c:x val="0.41345148122360642"/>
          <c:y val="0.89651284065342818"/>
          <c:w val="0.5602969180021321"/>
          <c:h val="5.0941227805231866E-2"/>
        </c:manualLayout>
      </c:layout>
      <c:overlay val="0"/>
      <c:spPr>
        <a:solidFill>
          <a:schemeClr val="lt1"/>
        </a:solidFill>
        <a:ln w="25400" cap="flat" cmpd="sng" algn="ctr">
          <a:solidFill>
            <a:schemeClr val="accent1"/>
          </a:solidFill>
          <a:prstDash val="solid"/>
        </a:ln>
        <a:effectLst/>
      </c:spPr>
      <c:txPr>
        <a:bodyPr rot="0" spcFirstLastPara="1" vertOverflow="ellipsis" vert="horz" wrap="square" anchor="ctr" anchorCtr="1"/>
        <a:lstStyle/>
        <a:p>
          <a:pPr>
            <a:defRPr sz="1600" b="1">
              <a:solidFill>
                <a:schemeClr val="dk1"/>
              </a:solidFill>
              <a:latin typeface="Century Gothic" panose="020B0502020202020204" pitchFamily="34" charset="0"/>
              <a:ea typeface="+mn-ea"/>
              <a:cs typeface="+mn-cs"/>
            </a:defRPr>
          </a:pPr>
          <a:endParaRPr lang="es-CO"/>
        </a:p>
      </c:txPr>
    </c:legend>
    <c:plotVisOnly val="1"/>
    <c:dispBlanksAs val="gap"/>
    <c:showDLblsOverMax val="0"/>
  </c:chart>
  <c:spPr>
    <a:blipFill dpi="0" rotWithShape="1">
      <a:blip xmlns:r="http://schemas.openxmlformats.org/officeDocument/2006/relationships" r:embed="rId1">
        <a:alphaModFix amt="10000"/>
      </a:blip>
      <a:srcRect/>
      <a:tile tx="355600" ty="0" sx="85000" sy="83000" flip="none" algn="tl"/>
    </a:blipFill>
    <a:ln w="9525" cap="flat" cmpd="sng" algn="ctr">
      <a:solidFill>
        <a:schemeClr val="tx1">
          <a:lumMod val="15000"/>
          <a:lumOff val="85000"/>
        </a:schemeClr>
      </a:solidFill>
      <a:round/>
    </a:ln>
    <a:effectLst/>
  </c:spPr>
  <c:txPr>
    <a:bodyPr/>
    <a:lstStyle/>
    <a:p>
      <a:pPr>
        <a:defRPr/>
      </a:pPr>
      <a:endParaRPr lang="es-CO"/>
    </a:p>
  </c:txPr>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25420790291125E-2"/>
          <c:y val="0.12874105604617805"/>
          <c:w val="0.89312779021888322"/>
          <c:h val="0.73507982204445066"/>
        </c:manualLayout>
      </c:layout>
      <c:areaChart>
        <c:grouping val="stacked"/>
        <c:varyColors val="0"/>
        <c:ser>
          <c:idx val="4"/>
          <c:order val="7"/>
          <c:tx>
            <c:v>Gr. Ave D. Tab</c:v>
          </c:tx>
          <c:spPr>
            <a:noFill/>
            <a:ln w="95250" cap="rnd">
              <a:noFill/>
              <a:round/>
            </a:ln>
            <a:effectLst/>
          </c:spP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'Sem-L'!$K$6:$K$23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DFB4-44B0-B825-71191AB6C3D7}"/>
            </c:ext>
          </c:extLst>
        </c:ser>
        <c:ser>
          <c:idx val="8"/>
          <c:order val="8"/>
          <c:tx>
            <c:v>Gr.A.D. Tab</c:v>
          </c:tx>
          <c:spPr>
            <a:solidFill>
              <a:srgbClr val="993300">
                <a:alpha val="50000"/>
              </a:srgbClr>
            </a:solidFill>
            <a:ln w="38100">
              <a:solidFill>
                <a:srgbClr val="993300">
                  <a:alpha val="40000"/>
                </a:srgbClr>
              </a:solidFill>
            </a:ln>
          </c:spP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'Sem-L'!$L$6:$L$23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B459-4495-B3A4-75D8B629B5B0}"/>
            </c:ext>
          </c:extLst>
        </c:ser>
        <c:dLbls>
          <c:showLegendKey val="0"/>
          <c:showVal val="0"/>
          <c:showCatName val="0"/>
          <c:showSerName val="0"/>
          <c:showPercent val="0"/>
          <c:showBubbleSize val="0"/>
        </c:dLbls>
        <c:axId val="554858696"/>
        <c:axId val="554856736"/>
      </c:areaChart>
      <c:barChart>
        <c:barDir val="col"/>
        <c:grouping val="stacked"/>
        <c:varyColors val="0"/>
        <c:ser>
          <c:idx val="6"/>
          <c:order val="1"/>
          <c:tx>
            <c:strRef>
              <c:f>'Sem-L'!$AF$5</c:f>
              <c:strCache>
                <c:ptCount val="1"/>
                <c:pt idx="0">
                  <c:v>10 % (-)</c:v>
                </c:pt>
              </c:strCache>
            </c:strRef>
          </c:tx>
          <c:spPr>
            <a:solidFill>
              <a:srgbClr val="C00000">
                <a:alpha val="40000"/>
              </a:srgbClr>
            </a:solidFill>
          </c:spPr>
          <c:invertIfNegative val="0"/>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'Sem-L'!$AF$6:$AF$23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CABB-4F3E-B229-91F5E7660902}"/>
            </c:ext>
          </c:extLst>
        </c:ser>
        <c:ser>
          <c:idx val="2"/>
          <c:order val="2"/>
          <c:tx>
            <c:v>Uniformidad</c:v>
          </c:tx>
          <c:spPr>
            <a:solidFill>
              <a:srgbClr val="00B050">
                <a:alpha val="30000"/>
              </a:srgbClr>
            </a:solidFill>
            <a:ln>
              <a:noFill/>
            </a:ln>
            <a:effectLst/>
          </c:spPr>
          <c:invertIfNegative val="0"/>
          <c:dLbls>
            <c:spPr>
              <a:noFill/>
              <a:ln>
                <a:noFill/>
              </a:ln>
              <a:effectLst/>
            </c:spPr>
            <c:txPr>
              <a:bodyPr wrap="square" lIns="38100" tIns="19050" rIns="38100" bIns="19050" anchor="ctr">
                <a:spAutoFit/>
              </a:bodyPr>
              <a:lstStyle/>
              <a:p>
                <a:pPr>
                  <a:defRPr sz="1200"/>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'Sem-L'!$AG$6:$AG$23</c:f>
              <c:numCache>
                <c:formatCode>??0.0</c:formatCode>
                <c:ptCount val="18"/>
              </c:numCache>
            </c:numRef>
          </c:val>
          <c:extLst>
            <c:ext xmlns:c16="http://schemas.microsoft.com/office/drawing/2014/chart" uri="{C3380CC4-5D6E-409C-BE32-E72D297353CC}">
              <c16:uniqueId val="{00000000-DFB4-44B0-B825-71191AB6C3D7}"/>
            </c:ext>
          </c:extLst>
        </c:ser>
        <c:ser>
          <c:idx val="7"/>
          <c:order val="3"/>
          <c:tx>
            <c:strRef>
              <c:f>'Sem-L'!$AH$5</c:f>
              <c:strCache>
                <c:ptCount val="1"/>
                <c:pt idx="0">
                  <c:v>10 % (+)</c:v>
                </c:pt>
              </c:strCache>
            </c:strRef>
          </c:tx>
          <c:spPr>
            <a:solidFill>
              <a:srgbClr val="0070C0">
                <a:alpha val="40000"/>
              </a:srgbClr>
            </a:solidFill>
          </c:spPr>
          <c:invertIfNegative val="0"/>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'Sem-L'!$AH$6:$AH$23</c:f>
              <c:numCache>
                <c:formatCode>?0.0</c:formatCode>
                <c:ptCount val="18"/>
              </c:numCache>
            </c:numRef>
          </c:val>
          <c:extLst>
            <c:ext xmlns:c16="http://schemas.microsoft.com/office/drawing/2014/chart" uri="{C3380CC4-5D6E-409C-BE32-E72D297353CC}">
              <c16:uniqueId val="{00000001-CABB-4F3E-B229-91F5E7660902}"/>
            </c:ext>
          </c:extLst>
        </c:ser>
        <c:dLbls>
          <c:showLegendKey val="0"/>
          <c:showVal val="0"/>
          <c:showCatName val="0"/>
          <c:showSerName val="0"/>
          <c:showPercent val="0"/>
          <c:showBubbleSize val="0"/>
        </c:dLbls>
        <c:gapWidth val="35"/>
        <c:overlap val="100"/>
        <c:axId val="554858696"/>
        <c:axId val="554856736"/>
      </c:barChart>
      <c:lineChart>
        <c:grouping val="standard"/>
        <c:varyColors val="0"/>
        <c:ser>
          <c:idx val="5"/>
          <c:order val="0"/>
          <c:tx>
            <c:strRef>
              <c:f>'Sem-L'!$AI$5</c:f>
              <c:strCache>
                <c:ptCount val="1"/>
                <c:pt idx="0">
                  <c:v>Unif Tab</c:v>
                </c:pt>
              </c:strCache>
            </c:strRef>
          </c:tx>
          <c:spPr>
            <a:ln w="63500">
              <a:solidFill>
                <a:srgbClr val="00B050">
                  <a:alpha val="70000"/>
                </a:srgbClr>
              </a:solidFill>
            </a:ln>
          </c:spPr>
          <c:marker>
            <c:symbol val="none"/>
          </c:marke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'Sem-L'!$AI$6:$AI$23</c:f>
              <c:numCache>
                <c:formatCode>??0.0</c:formatCode>
                <c:ptCount val="18"/>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numCache>
            </c:numRef>
          </c:val>
          <c:smooth val="0"/>
          <c:extLst>
            <c:ext xmlns:c16="http://schemas.microsoft.com/office/drawing/2014/chart" uri="{C3380CC4-5D6E-409C-BE32-E72D297353CC}">
              <c16:uniqueId val="{00000000-F318-4233-B65D-3A147E6B5B3B}"/>
            </c:ext>
          </c:extLst>
        </c:ser>
        <c:ser>
          <c:idx val="0"/>
          <c:order val="4"/>
          <c:tx>
            <c:strRef>
              <c:f>'Sem-L'!$O$5</c:f>
              <c:strCache>
                <c:ptCount val="1"/>
                <c:pt idx="0">
                  <c:v>ml Ave día ▼</c:v>
                </c:pt>
              </c:strCache>
            </c:strRef>
          </c:tx>
          <c:spPr>
            <a:ln w="44450" cap="rnd">
              <a:solidFill>
                <a:schemeClr val="tx2">
                  <a:lumMod val="75000"/>
                </a:schemeClr>
              </a:solidFill>
              <a:round/>
            </a:ln>
            <a:effectLst/>
          </c:spPr>
          <c:marker>
            <c:symbol val="circle"/>
            <c:size val="27"/>
            <c:spPr>
              <a:solidFill>
                <a:srgbClr val="C00000"/>
              </a:solidFill>
              <a:ln w="9525">
                <a:solidFill>
                  <a:schemeClr val="accent1"/>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'Sem-L'!$O$6:$O$23</c:f>
              <c:numCache>
                <c:formatCode>??0.0</c:formatCode>
                <c:ptCount val="18"/>
                <c:pt idx="0">
                  <c:v>0</c:v>
                </c:pt>
              </c:numCache>
            </c:numRef>
          </c:val>
          <c:smooth val="1"/>
          <c:extLst>
            <c:ext xmlns:c16="http://schemas.microsoft.com/office/drawing/2014/chart" uri="{C3380CC4-5D6E-409C-BE32-E72D297353CC}">
              <c16:uniqueId val="{00000001-DFB4-44B0-B825-71191AB6C3D7}"/>
            </c:ext>
          </c:extLst>
        </c:ser>
        <c:ser>
          <c:idx val="3"/>
          <c:order val="6"/>
          <c:tx>
            <c:v>Gr. Ave Día</c:v>
          </c:tx>
          <c:spPr>
            <a:ln w="38100" cap="rnd">
              <a:solidFill>
                <a:srgbClr val="993300"/>
              </a:solidFill>
              <a:round/>
            </a:ln>
            <a:effectLst/>
          </c:spPr>
          <c:marker>
            <c:symbol val="diamond"/>
            <c:size val="8"/>
            <c:spPr>
              <a:solidFill>
                <a:srgbClr val="FF0000"/>
              </a:solidFill>
              <a:ln w="9525">
                <a:solidFill>
                  <a:schemeClr val="accent4"/>
                </a:solidFill>
              </a:ln>
              <a:effectLst/>
            </c:spPr>
          </c:marke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'Sem-L'!$J$6:$J$23</c:f>
              <c:numCache>
                <c:formatCode>?00.0</c:formatCode>
                <c:ptCount val="18"/>
                <c:pt idx="0">
                  <c:v>0</c:v>
                </c:pt>
              </c:numCache>
            </c:numRef>
          </c:val>
          <c:smooth val="1"/>
          <c:extLst>
            <c:ext xmlns:c16="http://schemas.microsoft.com/office/drawing/2014/chart" uri="{C3380CC4-5D6E-409C-BE32-E72D297353CC}">
              <c16:uniqueId val="{00000003-DFB4-44B0-B825-71191AB6C3D7}"/>
            </c:ext>
          </c:extLst>
        </c:ser>
        <c:dLbls>
          <c:showLegendKey val="0"/>
          <c:showVal val="0"/>
          <c:showCatName val="0"/>
          <c:showSerName val="0"/>
          <c:showPercent val="0"/>
          <c:showBubbleSize val="0"/>
        </c:dLbls>
        <c:marker val="1"/>
        <c:smooth val="0"/>
        <c:axId val="554858696"/>
        <c:axId val="554856736"/>
      </c:lineChart>
      <c:lineChart>
        <c:grouping val="standard"/>
        <c:varyColors val="0"/>
        <c:ser>
          <c:idx val="1"/>
          <c:order val="5"/>
          <c:tx>
            <c:strRef>
              <c:f>'Sem-L'!$P$5</c:f>
              <c:strCache>
                <c:ptCount val="1"/>
                <c:pt idx="0">
                  <c:v>Rel Agua / Alimto</c:v>
                </c:pt>
              </c:strCache>
            </c:strRef>
          </c:tx>
          <c:spPr>
            <a:ln w="63500" cap="rnd">
              <a:solidFill>
                <a:schemeClr val="tx2">
                  <a:lumMod val="75000"/>
                  <a:alpha val="40000"/>
                </a:schemeClr>
              </a:solidFill>
              <a:round/>
            </a:ln>
            <a:effectLst/>
          </c:spPr>
          <c:marker>
            <c:symbol val="diamond"/>
            <c:size val="6"/>
            <c:spPr>
              <a:solidFill>
                <a:schemeClr val="accent2"/>
              </a:solidFill>
              <a:ln w="9525">
                <a:solidFill>
                  <a:schemeClr val="accent2"/>
                </a:solidFill>
              </a:ln>
              <a:effectLst/>
            </c:spPr>
          </c:marke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'Sem-L'!$P$6:$P$23</c:f>
              <c:numCache>
                <c:formatCode>?0.0" ml/Gr."</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1"/>
          <c:extLst>
            <c:ext xmlns:c16="http://schemas.microsoft.com/office/drawing/2014/chart" uri="{C3380CC4-5D6E-409C-BE32-E72D297353CC}">
              <c16:uniqueId val="{00000002-DFB4-44B0-B825-71191AB6C3D7}"/>
            </c:ext>
          </c:extLst>
        </c:ser>
        <c:dLbls>
          <c:showLegendKey val="0"/>
          <c:showVal val="0"/>
          <c:showCatName val="0"/>
          <c:showSerName val="0"/>
          <c:showPercent val="0"/>
          <c:showBubbleSize val="0"/>
        </c:dLbls>
        <c:marker val="1"/>
        <c:smooth val="0"/>
        <c:axId val="599616280"/>
        <c:axId val="635456760"/>
      </c:lineChart>
      <c:catAx>
        <c:axId val="5548586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Century Gothic" panose="020B0502020202020204" pitchFamily="34" charset="0"/>
                <a:ea typeface="+mn-ea"/>
                <a:cs typeface="+mn-cs"/>
              </a:defRPr>
            </a:pPr>
            <a:endParaRPr lang="es-CO"/>
          </a:p>
        </c:txPr>
        <c:crossAx val="554856736"/>
        <c:crosses val="autoZero"/>
        <c:auto val="1"/>
        <c:lblAlgn val="ctr"/>
        <c:lblOffset val="1"/>
        <c:noMultiLvlLbl val="0"/>
      </c:catAx>
      <c:valAx>
        <c:axId val="554856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2">
                    <a:lumMod val="75000"/>
                  </a:schemeClr>
                </a:solidFill>
                <a:latin typeface="Century Gothic" panose="020B0502020202020204" pitchFamily="34" charset="0"/>
                <a:ea typeface="+mn-ea"/>
                <a:cs typeface="+mn-cs"/>
              </a:defRPr>
            </a:pPr>
            <a:endParaRPr lang="es-CO"/>
          </a:p>
        </c:txPr>
        <c:crossAx val="554858696"/>
        <c:crosses val="autoZero"/>
        <c:crossBetween val="between"/>
      </c:valAx>
      <c:valAx>
        <c:axId val="635456760"/>
        <c:scaling>
          <c:orientation val="minMax"/>
        </c:scaling>
        <c:delete val="0"/>
        <c:axPos val="r"/>
        <c:numFmt formatCode="?0.0&quot; ml/Gr.&quot;" sourceLinked="1"/>
        <c:majorTickMark val="out"/>
        <c:minorTickMark val="none"/>
        <c:tickLblPos val="nextTo"/>
        <c:txPr>
          <a:bodyPr/>
          <a:lstStyle/>
          <a:p>
            <a:pPr>
              <a:defRPr sz="1400" b="1">
                <a:solidFill>
                  <a:srgbClr val="0070C0"/>
                </a:solidFill>
                <a:latin typeface="Arial Narrow" panose="020B0606020202030204" pitchFamily="34" charset="0"/>
              </a:defRPr>
            </a:pPr>
            <a:endParaRPr lang="es-CO"/>
          </a:p>
        </c:txPr>
        <c:crossAx val="599616280"/>
        <c:crosses val="max"/>
        <c:crossBetween val="between"/>
      </c:valAx>
      <c:catAx>
        <c:axId val="599616280"/>
        <c:scaling>
          <c:orientation val="minMax"/>
        </c:scaling>
        <c:delete val="1"/>
        <c:axPos val="b"/>
        <c:numFmt formatCode="?0" sourceLinked="1"/>
        <c:majorTickMark val="out"/>
        <c:minorTickMark val="none"/>
        <c:tickLblPos val="nextTo"/>
        <c:crossAx val="635456760"/>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2.6009792216442881E-2"/>
          <c:y val="0.91530956067324365"/>
          <c:w val="0.94082511075510522"/>
          <c:h val="8.469043932675653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legend>
    <c:plotVisOnly val="0"/>
    <c:dispBlanksAs val="gap"/>
    <c:showDLblsOverMax val="0"/>
  </c:chart>
  <c:spPr>
    <a:blipFill dpi="0" rotWithShape="1">
      <a:blip xmlns:r="http://schemas.openxmlformats.org/officeDocument/2006/relationships" r:embed="rId1">
        <a:alphaModFix amt="10000"/>
      </a:blip>
      <a:srcRect/>
      <a:tile tx="355600" ty="0" sx="85000" sy="83000" flip="none" algn="tl"/>
    </a:blipFill>
    <a:ln w="9525" cap="flat" cmpd="sng" algn="ctr">
      <a:solidFill>
        <a:schemeClr val="tx1">
          <a:lumMod val="15000"/>
          <a:lumOff val="85000"/>
        </a:schemeClr>
      </a:solidFill>
      <a:round/>
    </a:ln>
    <a:effectLst/>
  </c:spPr>
  <c:txPr>
    <a:bodyPr/>
    <a:lstStyle/>
    <a:p>
      <a:pPr>
        <a:defRPr/>
      </a:pPr>
      <a:endParaRPr lang="es-CO"/>
    </a:p>
  </c:txPr>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819812840409261E-2"/>
          <c:y val="6.480137889144888E-2"/>
          <c:w val="0.9420556898814797"/>
          <c:h val="0.76569366425012997"/>
        </c:manualLayout>
      </c:layout>
      <c:areaChart>
        <c:grouping val="stacked"/>
        <c:varyColors val="0"/>
        <c:ser>
          <c:idx val="3"/>
          <c:order val="3"/>
          <c:tx>
            <c:v>Gan Peso Min</c:v>
          </c:tx>
          <c:spPr>
            <a:noFill/>
            <a:ln w="88900">
              <a:noFill/>
            </a:ln>
            <a:effectLst/>
          </c:spP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'Sem-L'!$AB$6:$AB$23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B0F8-420A-B91D-2FB068FFBAA0}"/>
            </c:ext>
          </c:extLst>
        </c:ser>
        <c:ser>
          <c:idx val="4"/>
          <c:order val="4"/>
          <c:tx>
            <c:v>Gan Peso Tab</c:v>
          </c:tx>
          <c:spPr>
            <a:solidFill>
              <a:srgbClr val="0070C0">
                <a:alpha val="40000"/>
              </a:srgbClr>
            </a:solidFill>
            <a:ln>
              <a:noFill/>
            </a:ln>
            <a:effectLst/>
          </c:spP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'Sem-L'!$AD$6:$AD$23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B0F8-420A-B91D-2FB068FFBAA0}"/>
            </c:ext>
          </c:extLst>
        </c:ser>
        <c:dLbls>
          <c:showLegendKey val="0"/>
          <c:showVal val="0"/>
          <c:showCatName val="0"/>
          <c:showSerName val="0"/>
          <c:showPercent val="0"/>
          <c:showBubbleSize val="0"/>
        </c:dLbls>
        <c:axId val="805865232"/>
        <c:axId val="805862880"/>
      </c:areaChart>
      <c:barChart>
        <c:barDir val="col"/>
        <c:grouping val="clustered"/>
        <c:varyColors val="0"/>
        <c:ser>
          <c:idx val="0"/>
          <c:order val="1"/>
          <c:tx>
            <c:strRef>
              <c:f>Levante!$S$4</c:f>
              <c:strCache>
                <c:ptCount val="1"/>
                <c:pt idx="0">
                  <c:v>Gr. Ave Dia</c:v>
                </c:pt>
              </c:strCache>
            </c:strRef>
          </c:tx>
          <c:spPr>
            <a:solidFill>
              <a:srgbClr val="FFC000">
                <a:alpha val="28000"/>
              </a:srgbClr>
            </a:solidFill>
            <a:ln w="3175">
              <a:solidFill>
                <a:srgbClr val="C00000">
                  <a:alpha val="60000"/>
                </a:srgbClr>
              </a:solidFill>
            </a:ln>
            <a:effectLst/>
          </c:spPr>
          <c:invertIfNegative val="0"/>
          <c:cat>
            <c:multiLvlStrRef>
              <c:f>Levante!$C$6:$C$131</c:f>
            </c:multiLvlStrRef>
          </c:cat>
          <c:val>
            <c:numRef>
              <c:f>Levante!$S$5:$S$131</c:f>
              <c:numCache>
                <c:formatCode>??0.0</c:formatCode>
                <c:ptCount val="12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numCache>
            </c:numRef>
          </c:val>
          <c:extLst>
            <c:ext xmlns:c16="http://schemas.microsoft.com/office/drawing/2014/chart" uri="{C3380CC4-5D6E-409C-BE32-E72D297353CC}">
              <c16:uniqueId val="{00000002-B0F8-420A-B91D-2FB068FFBAA0}"/>
            </c:ext>
          </c:extLst>
        </c:ser>
        <c:dLbls>
          <c:showLegendKey val="0"/>
          <c:showVal val="0"/>
          <c:showCatName val="0"/>
          <c:showSerName val="0"/>
          <c:showPercent val="0"/>
          <c:showBubbleSize val="0"/>
        </c:dLbls>
        <c:gapWidth val="0"/>
        <c:axId val="805864448"/>
        <c:axId val="805864840"/>
      </c:barChart>
      <c:lineChart>
        <c:grouping val="standard"/>
        <c:varyColors val="0"/>
        <c:ser>
          <c:idx val="1"/>
          <c:order val="0"/>
          <c:tx>
            <c:strRef>
              <c:f>Levante!$V$4</c:f>
              <c:strCache>
                <c:ptCount val="1"/>
                <c:pt idx="0">
                  <c:v>Gr. Ave Dia Tab</c:v>
                </c:pt>
              </c:strCache>
            </c:strRef>
          </c:tx>
          <c:spPr>
            <a:ln w="53975" cap="rnd">
              <a:solidFill>
                <a:srgbClr val="C00000">
                  <a:alpha val="65000"/>
                </a:srgbClr>
              </a:solidFill>
              <a:round/>
            </a:ln>
            <a:effectLst>
              <a:outerShdw blurRad="50800" dist="38100" dir="5400000" algn="t" rotWithShape="0">
                <a:prstClr val="black">
                  <a:alpha val="40000"/>
                </a:prstClr>
              </a:outerShdw>
            </a:effectLst>
          </c:spPr>
          <c:marker>
            <c:symbol val="none"/>
          </c:marker>
          <c:cat>
            <c:multiLvlStrRef>
              <c:f>Levante!$C$6:$C$131</c:f>
            </c:multiLvlStrRef>
          </c:cat>
          <c:val>
            <c:numRef>
              <c:f>Levante!$V$5:$V$131</c:f>
              <c:numCache>
                <c:formatCode>??0.0</c:formatCode>
                <c:ptCount val="12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numCache>
            </c:numRef>
          </c:val>
          <c:smooth val="0"/>
          <c:extLst>
            <c:ext xmlns:c16="http://schemas.microsoft.com/office/drawing/2014/chart" uri="{C3380CC4-5D6E-409C-BE32-E72D297353CC}">
              <c16:uniqueId val="{00000003-B0F8-420A-B91D-2FB068FFBAA0}"/>
            </c:ext>
          </c:extLst>
        </c:ser>
        <c:dLbls>
          <c:showLegendKey val="0"/>
          <c:showVal val="0"/>
          <c:showCatName val="0"/>
          <c:showSerName val="0"/>
          <c:showPercent val="0"/>
          <c:showBubbleSize val="0"/>
        </c:dLbls>
        <c:marker val="1"/>
        <c:smooth val="0"/>
        <c:axId val="805864448"/>
        <c:axId val="805864840"/>
      </c:lineChart>
      <c:lineChart>
        <c:grouping val="standard"/>
        <c:varyColors val="0"/>
        <c:ser>
          <c:idx val="2"/>
          <c:order val="2"/>
          <c:tx>
            <c:v>Gan Sem Peso Real</c:v>
          </c:tx>
          <c:spPr>
            <a:ln w="50800" cap="rnd">
              <a:solidFill>
                <a:srgbClr val="222E9E">
                  <a:alpha val="80000"/>
                </a:srgbClr>
              </a:solidFill>
              <a:round/>
            </a:ln>
            <a:effectLst/>
          </c:spPr>
          <c:marker>
            <c:symbol val="circle"/>
            <c:size val="34"/>
            <c:spPr>
              <a:solidFill>
                <a:srgbClr val="C00000">
                  <a:alpha val="70000"/>
                </a:srgbClr>
              </a:solidFill>
              <a:ln w="9525">
                <a:solidFill>
                  <a:srgbClr val="222E9E"/>
                </a:solidFill>
              </a:ln>
              <a:effectLst/>
            </c:spPr>
          </c:marker>
          <c:dLbls>
            <c:dLbl>
              <c:idx val="0"/>
              <c:tx>
                <c:rich>
                  <a:bodyPr/>
                  <a:lstStyle/>
                  <a:p>
                    <a:fld id="{EE2359FE-2A91-412E-8B97-E980A9FCC9A8}" type="CELLRANGE">
                      <a:rPr lang="en-US"/>
                      <a:pPr/>
                      <a:t>[CELLRANGE]</a:t>
                    </a:fld>
                    <a:endParaRPr lang="es-C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0F8-420A-B91D-2FB068FFBAA0}"/>
                </c:ext>
              </c:extLst>
            </c:dLbl>
            <c:dLbl>
              <c:idx val="1"/>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0F8-420A-B91D-2FB068FFBAA0}"/>
                </c:ext>
              </c:extLst>
            </c:dLbl>
            <c:dLbl>
              <c:idx val="2"/>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0F8-420A-B91D-2FB068FFBAA0}"/>
                </c:ext>
              </c:extLst>
            </c:dLbl>
            <c:dLbl>
              <c:idx val="3"/>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0F8-420A-B91D-2FB068FFBAA0}"/>
                </c:ext>
              </c:extLst>
            </c:dLbl>
            <c:dLbl>
              <c:idx val="4"/>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0F8-420A-B91D-2FB068FFBAA0}"/>
                </c:ext>
              </c:extLst>
            </c:dLbl>
            <c:dLbl>
              <c:idx val="5"/>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0F8-420A-B91D-2FB068FFBAA0}"/>
                </c:ext>
              </c:extLst>
            </c:dLbl>
            <c:dLbl>
              <c:idx val="6"/>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0F8-420A-B91D-2FB068FFBAA0}"/>
                </c:ext>
              </c:extLst>
            </c:dLbl>
            <c:dLbl>
              <c:idx val="7"/>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0F8-420A-B91D-2FB068FFBAA0}"/>
                </c:ext>
              </c:extLst>
            </c:dLbl>
            <c:dLbl>
              <c:idx val="8"/>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0F8-420A-B91D-2FB068FFBAA0}"/>
                </c:ext>
              </c:extLst>
            </c:dLbl>
            <c:dLbl>
              <c:idx val="9"/>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0F8-420A-B91D-2FB068FFBAA0}"/>
                </c:ext>
              </c:extLst>
            </c:dLbl>
            <c:dLbl>
              <c:idx val="10"/>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0F8-420A-B91D-2FB068FFBAA0}"/>
                </c:ext>
              </c:extLst>
            </c:dLbl>
            <c:dLbl>
              <c:idx val="11"/>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0F8-420A-B91D-2FB068FFBAA0}"/>
                </c:ext>
              </c:extLst>
            </c:dLbl>
            <c:dLbl>
              <c:idx val="12"/>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0F8-420A-B91D-2FB068FFBAA0}"/>
                </c:ext>
              </c:extLst>
            </c:dLbl>
            <c:dLbl>
              <c:idx val="13"/>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0F8-420A-B91D-2FB068FFBAA0}"/>
                </c:ext>
              </c:extLst>
            </c:dLbl>
            <c:dLbl>
              <c:idx val="14"/>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0F8-420A-B91D-2FB068FFBAA0}"/>
                </c:ext>
              </c:extLst>
            </c:dLbl>
            <c:dLbl>
              <c:idx val="15"/>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0F8-420A-B91D-2FB068FFBAA0}"/>
                </c:ext>
              </c:extLst>
            </c:dLbl>
            <c:dLbl>
              <c:idx val="16"/>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0F8-420A-B91D-2FB068FFBAA0}"/>
                </c:ext>
              </c:extLst>
            </c:dLbl>
            <c:dLbl>
              <c:idx val="17"/>
              <c:tx>
                <c:rich>
                  <a:bodyPr/>
                  <a:lstStyle/>
                  <a:p>
                    <a:endParaRPr lang="es-CO"/>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0F8-420A-B91D-2FB068FFBAA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'Sem-L'!$AA$6:$AA$23</c:f>
              <c:numCache>
                <c:formatCode>??0.0</c:formatCode>
                <c:ptCount val="18"/>
                <c:pt idx="0">
                  <c:v>0</c:v>
                </c:pt>
              </c:numCache>
            </c:numRef>
          </c:val>
          <c:smooth val="1"/>
          <c:extLst>
            <c:ext xmlns:c15="http://schemas.microsoft.com/office/drawing/2012/chart" uri="{02D57815-91ED-43cb-92C2-25804820EDAC}">
              <c15:datalabelsRange>
                <c15:f>'Sem-L'!$AE$6:$AE$23</c15:f>
                <c15:dlblRangeCache>
                  <c:ptCount val="18"/>
                  <c:pt idx="0">
                    <c:v>+0.0% </c:v>
                  </c:pt>
                </c15:dlblRangeCache>
              </c15:datalabelsRange>
            </c:ext>
            <c:ext xmlns:c16="http://schemas.microsoft.com/office/drawing/2014/chart" uri="{C3380CC4-5D6E-409C-BE32-E72D297353CC}">
              <c16:uniqueId val="{00000004-B0F8-420A-B91D-2FB068FFBAA0}"/>
            </c:ext>
          </c:extLst>
        </c:ser>
        <c:dLbls>
          <c:showLegendKey val="0"/>
          <c:showVal val="0"/>
          <c:showCatName val="0"/>
          <c:showSerName val="0"/>
          <c:showPercent val="0"/>
          <c:showBubbleSize val="0"/>
        </c:dLbls>
        <c:marker val="1"/>
        <c:smooth val="0"/>
        <c:axId val="805865232"/>
        <c:axId val="805862880"/>
      </c:lineChart>
      <c:catAx>
        <c:axId val="80586444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mmm\-dd\-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805864840"/>
        <c:crosses val="autoZero"/>
        <c:auto val="1"/>
        <c:lblAlgn val="ctr"/>
        <c:lblOffset val="1"/>
        <c:noMultiLvlLbl val="1"/>
      </c:catAx>
      <c:valAx>
        <c:axId val="805864840"/>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805864448"/>
        <c:crosses val="autoZero"/>
        <c:crossBetween val="between"/>
      </c:valAx>
      <c:valAx>
        <c:axId val="805862880"/>
        <c:scaling>
          <c:orientation val="minMax"/>
        </c:scaling>
        <c:delete val="1"/>
        <c:axPos val="r"/>
        <c:numFmt formatCode="??0.0" sourceLinked="1"/>
        <c:majorTickMark val="out"/>
        <c:minorTickMark val="none"/>
        <c:tickLblPos val="nextTo"/>
        <c:crossAx val="805865232"/>
        <c:crosses val="max"/>
        <c:crossBetween val="between"/>
      </c:valAx>
      <c:catAx>
        <c:axId val="805865232"/>
        <c:scaling>
          <c:orientation val="minMax"/>
        </c:scaling>
        <c:delete val="0"/>
        <c:axPos val="t"/>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crossAx val="805862880"/>
        <c:crosses val="max"/>
        <c:auto val="1"/>
        <c:lblAlgn val="ctr"/>
        <c:lblOffset val="1"/>
        <c:noMultiLvlLbl val="0"/>
      </c:catAx>
      <c:spPr>
        <a:noFill/>
        <a:ln>
          <a:noFill/>
        </a:ln>
        <a:effectLst/>
      </c:spPr>
    </c:plotArea>
    <c:legend>
      <c:legendPos val="b"/>
      <c:legendEntry>
        <c:idx val="0"/>
        <c:delete val="1"/>
      </c:legendEntry>
      <c:layout>
        <c:manualLayout>
          <c:xMode val="edge"/>
          <c:yMode val="edge"/>
          <c:x val="6.0005180080580055E-2"/>
          <c:y val="0.93965991637235635"/>
          <c:w val="0.89011170675106377"/>
          <c:h val="5.848059462885058E-2"/>
        </c:manualLayout>
      </c:layout>
      <c:overlay val="0"/>
      <c:spPr>
        <a:solidFill>
          <a:schemeClr val="lt1"/>
        </a:solidFill>
        <a:ln w="25400" cap="flat" cmpd="sng" algn="ctr">
          <a:solidFill>
            <a:schemeClr val="accent1"/>
          </a:solidFill>
          <a:prstDash val="solid"/>
        </a:ln>
        <a:effectLst/>
      </c:spPr>
      <c:txPr>
        <a:bodyPr rot="0" spcFirstLastPara="1" vertOverflow="ellipsis" vert="horz" wrap="square" anchor="ctr" anchorCtr="1"/>
        <a:lstStyle/>
        <a:p>
          <a:pPr>
            <a:defRPr sz="1400" b="0" i="0" u="none" strike="noStrike" kern="1200" baseline="0">
              <a:solidFill>
                <a:schemeClr val="dk1"/>
              </a:solidFill>
              <a:latin typeface="+mn-lt"/>
              <a:ea typeface="+mn-ea"/>
              <a:cs typeface="+mn-cs"/>
            </a:defRPr>
          </a:pPr>
          <a:endParaRPr lang="es-C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blipFill dpi="0" rotWithShape="1">
      <a:blip xmlns:r="http://schemas.openxmlformats.org/officeDocument/2006/relationships" r:embed="rId3">
        <a:alphaModFix amt="10000"/>
      </a:blip>
      <a:srcRect/>
      <a:tile tx="355600" ty="0" sx="85000" sy="83000" flip="none" algn="tl"/>
    </a:blipFill>
    <a:ln w="9525" cap="flat" cmpd="sng" algn="ctr">
      <a:solidFill>
        <a:schemeClr val="tx1">
          <a:lumMod val="15000"/>
          <a:lumOff val="85000"/>
        </a:schemeClr>
      </a:solidFill>
      <a:round/>
    </a:ln>
    <a:effectLst/>
  </c:spPr>
  <c:txPr>
    <a:bodyPr/>
    <a:lstStyle/>
    <a:p>
      <a:pPr>
        <a:defRPr/>
      </a:pPr>
      <a:endParaRPr lang="es-CO"/>
    </a:p>
  </c:txPr>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437180796731403E-2"/>
          <c:y val="0.12704048906826934"/>
          <c:w val="0.8794688457609805"/>
          <c:h val="0.80813389858357632"/>
        </c:manualLayout>
      </c:layout>
      <c:barChart>
        <c:barDir val="col"/>
        <c:grouping val="clustered"/>
        <c:varyColors val="0"/>
        <c:ser>
          <c:idx val="2"/>
          <c:order val="0"/>
          <c:tx>
            <c:v>% Sem Mort + Sel</c:v>
          </c:tx>
          <c:spPr>
            <a:solidFill>
              <a:srgbClr val="FF0000">
                <a:alpha val="31000"/>
              </a:srgbClr>
            </a:solidFill>
            <a:ln>
              <a:noFill/>
            </a:ln>
            <a:effectLst>
              <a:innerShdw blurRad="114300">
                <a:schemeClr val="accent3"/>
              </a:innerShdw>
            </a:effectLst>
          </c:spPr>
          <c:invertIfNegative val="0"/>
          <c:dLbls>
            <c:spPr>
              <a:noFill/>
              <a:ln>
                <a:noFill/>
              </a:ln>
              <a:effectLst/>
            </c:spPr>
            <c:txPr>
              <a:bodyPr wrap="square" lIns="38100" tIns="19050" rIns="38100" bIns="19050" anchor="ctr">
                <a:spAutoFit/>
              </a:bodyPr>
              <a:lstStyle/>
              <a:p>
                <a:pPr>
                  <a:defRPr sz="12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'Sem-L'!$E$6:$E$23</c:f>
              <c:numCache>
                <c:formatCode>??0.00\ %</c:formatCode>
                <c:ptCount val="18"/>
                <c:pt idx="0">
                  <c:v>0</c:v>
                </c:pt>
              </c:numCache>
            </c:numRef>
          </c:val>
          <c:extLst>
            <c:ext xmlns:c16="http://schemas.microsoft.com/office/drawing/2014/chart" uri="{C3380CC4-5D6E-409C-BE32-E72D297353CC}">
              <c16:uniqueId val="{00000000-716F-4B57-925A-83B6F5412460}"/>
            </c:ext>
          </c:extLst>
        </c:ser>
        <c:dLbls>
          <c:showLegendKey val="0"/>
          <c:showVal val="0"/>
          <c:showCatName val="0"/>
          <c:showSerName val="0"/>
          <c:showPercent val="0"/>
          <c:showBubbleSize val="0"/>
        </c:dLbls>
        <c:gapWidth val="20"/>
        <c:axId val="553495896"/>
        <c:axId val="553492368"/>
      </c:barChart>
      <c:lineChart>
        <c:grouping val="standard"/>
        <c:varyColors val="0"/>
        <c:ser>
          <c:idx val="3"/>
          <c:order val="1"/>
          <c:tx>
            <c:v>% Ac Mort + Sel</c:v>
          </c:tx>
          <c:spPr>
            <a:ln w="57150" cap="rnd">
              <a:solidFill>
                <a:schemeClr val="accent4"/>
              </a:solidFill>
              <a:round/>
            </a:ln>
            <a:effectLst>
              <a:outerShdw blurRad="152400" dist="317500" dir="5400000" sx="90000" sy="-19000" rotWithShape="0">
                <a:prstClr val="black">
                  <a:alpha val="15000"/>
                </a:prstClr>
              </a:outerShdw>
            </a:effectLst>
          </c:spPr>
          <c:marker>
            <c:symbol val="circle"/>
            <c:size val="4"/>
            <c:spPr>
              <a:solidFill>
                <a:srgbClr val="FF0000"/>
              </a:solidFill>
              <a:ln>
                <a:noFill/>
              </a:ln>
              <a:effectLst>
                <a:outerShdw blurRad="152400" dist="317500" dir="5400000" sx="90000" sy="-19000" rotWithShape="0">
                  <a:prstClr val="black">
                    <a:alpha val="15000"/>
                  </a:prstClr>
                </a:outerShdw>
              </a:effectLst>
            </c:spPr>
          </c:marker>
          <c:cat>
            <c:numRef>
              <c:f>'Sem-L'!$A$6:$A$23</c:f>
              <c:numCache>
                <c:formatCode>?0</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'Sem-L'!$G$6:$G$23</c:f>
              <c:numCache>
                <c:formatCode>??0.00\ %</c:formatCode>
                <c:ptCount val="18"/>
                <c:pt idx="0">
                  <c:v>0</c:v>
                </c:pt>
              </c:numCache>
            </c:numRef>
          </c:val>
          <c:smooth val="1"/>
          <c:extLst>
            <c:ext xmlns:c16="http://schemas.microsoft.com/office/drawing/2014/chart" uri="{C3380CC4-5D6E-409C-BE32-E72D297353CC}">
              <c16:uniqueId val="{00000001-716F-4B57-925A-83B6F5412460}"/>
            </c:ext>
          </c:extLst>
        </c:ser>
        <c:dLbls>
          <c:showLegendKey val="0"/>
          <c:showVal val="0"/>
          <c:showCatName val="0"/>
          <c:showSerName val="0"/>
          <c:showPercent val="0"/>
          <c:showBubbleSize val="0"/>
        </c:dLbls>
        <c:marker val="1"/>
        <c:smooth val="0"/>
        <c:axId val="553494328"/>
        <c:axId val="553494720"/>
      </c:lineChart>
      <c:catAx>
        <c:axId val="553495896"/>
        <c:scaling>
          <c:orientation val="minMax"/>
        </c:scaling>
        <c:delete val="0"/>
        <c:axPos val="b"/>
        <c:numFmt formatCode="?0" sourceLinked="1"/>
        <c:majorTickMark val="none"/>
        <c:minorTickMark val="none"/>
        <c:tickLblPos val="nextTo"/>
        <c:spPr>
          <a:noFill/>
          <a:ln w="19050" cap="flat" cmpd="sng" algn="ctr">
            <a:solidFill>
              <a:schemeClr val="tx1">
                <a:lumMod val="25000"/>
                <a:lumOff val="75000"/>
              </a:schemeClr>
            </a:solidFill>
            <a:round/>
          </a:ln>
          <a:effectLst/>
        </c:spPr>
        <c:txPr>
          <a:bodyPr rot="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crossAx val="553492368"/>
        <c:crosses val="autoZero"/>
        <c:auto val="0"/>
        <c:lblAlgn val="ctr"/>
        <c:lblOffset val="1"/>
        <c:tickMarkSkip val="1"/>
        <c:noMultiLvlLbl val="0"/>
      </c:catAx>
      <c:valAx>
        <c:axId val="553492368"/>
        <c:scaling>
          <c:orientation val="minMax"/>
        </c:scaling>
        <c:delete val="0"/>
        <c:axPos val="l"/>
        <c:majorGridlines>
          <c:spPr>
            <a:ln>
              <a:solidFill>
                <a:schemeClr val="tx1">
                  <a:lumMod val="15000"/>
                  <a:lumOff val="85000"/>
                </a:schemeClr>
              </a:solidFill>
            </a:ln>
            <a:effectLst/>
          </c:spPr>
        </c:majorGridlines>
        <c:numFmt formatCode="??0.00\ %" sourceLinked="0"/>
        <c:majorTickMark val="none"/>
        <c:minorTickMark val="none"/>
        <c:tickLblPos val="nextTo"/>
        <c:spPr>
          <a:noFill/>
          <a:ln>
            <a:noFill/>
          </a:ln>
          <a:effectLst/>
        </c:spPr>
        <c:txPr>
          <a:bodyPr rot="0" spcFirstLastPara="1" vertOverflow="ellipsis" wrap="square" anchor="ctr" anchorCtr="1"/>
          <a:lstStyle/>
          <a:p>
            <a:pPr>
              <a:defRPr sz="1600" b="1" i="0" u="none" strike="noStrike" kern="1200" baseline="0">
                <a:solidFill>
                  <a:srgbClr val="FF0000"/>
                </a:solidFill>
                <a:latin typeface="+mn-lt"/>
                <a:ea typeface="+mn-ea"/>
                <a:cs typeface="+mn-cs"/>
              </a:defRPr>
            </a:pPr>
            <a:endParaRPr lang="es-CO"/>
          </a:p>
        </c:txPr>
        <c:crossAx val="553495896"/>
        <c:crosses val="autoZero"/>
        <c:crossBetween val="between"/>
      </c:valAx>
      <c:valAx>
        <c:axId val="553494720"/>
        <c:scaling>
          <c:orientation val="minMax"/>
          <c:min val="0"/>
        </c:scaling>
        <c:delete val="0"/>
        <c:axPos val="r"/>
        <c:numFmt formatCode="0.0\ %" sourceLinked="0"/>
        <c:majorTickMark val="none"/>
        <c:minorTickMark val="none"/>
        <c:tickLblPos val="nextTo"/>
        <c:spPr>
          <a:noFill/>
          <a:ln>
            <a:noFill/>
          </a:ln>
          <a:effectLst/>
        </c:spPr>
        <c:txPr>
          <a:bodyPr rot="-6000000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endParaRPr lang="es-CO"/>
          </a:p>
        </c:txPr>
        <c:crossAx val="553494328"/>
        <c:crosses val="max"/>
        <c:crossBetween val="between"/>
      </c:valAx>
      <c:catAx>
        <c:axId val="553494328"/>
        <c:scaling>
          <c:orientation val="minMax"/>
        </c:scaling>
        <c:delete val="1"/>
        <c:axPos val="b"/>
        <c:numFmt formatCode="?0" sourceLinked="1"/>
        <c:majorTickMark val="none"/>
        <c:minorTickMark val="none"/>
        <c:tickLblPos val="nextTo"/>
        <c:crossAx val="553494720"/>
        <c:crosses val="autoZero"/>
        <c:auto val="0"/>
        <c:lblAlgn val="ctr"/>
        <c:lblOffset val="100"/>
        <c:noMultiLvlLbl val="0"/>
      </c:catAx>
      <c:spPr>
        <a:noFill/>
        <a:ln>
          <a:noFill/>
        </a:ln>
        <a:effectLst/>
      </c:spPr>
    </c:plotArea>
    <c:legend>
      <c:legendPos val="b"/>
      <c:layout>
        <c:manualLayout>
          <c:xMode val="edge"/>
          <c:yMode val="edge"/>
          <c:x val="0.275615017768363"/>
          <c:y val="0.1302074085252303"/>
          <c:w val="0.43389485233763303"/>
          <c:h val="7.576208705835682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Century Gothic" panose="020B0502020202020204" pitchFamily="34" charset="0"/>
              <a:ea typeface="+mn-ea"/>
              <a:cs typeface="+mn-cs"/>
            </a:defRPr>
          </a:pPr>
          <a:endParaRPr lang="es-CO"/>
        </a:p>
      </c:txPr>
    </c:legend>
    <c:plotVisOnly val="1"/>
    <c:dispBlanksAs val="gap"/>
    <c:showDLblsOverMax val="0"/>
  </c:chart>
  <c:spPr>
    <a:blipFill dpi="0" rotWithShape="1">
      <a:blip xmlns:r="http://schemas.openxmlformats.org/officeDocument/2006/relationships" r:embed="rId1">
        <a:alphaModFix amt="10000"/>
      </a:blip>
      <a:srcRect/>
      <a:tile tx="355600" ty="0" sx="85000" sy="83000" flip="none" algn="tl"/>
    </a:blipFill>
    <a:ln w="9525" cap="flat" cmpd="sng" algn="ctr">
      <a:solidFill>
        <a:schemeClr val="tx1">
          <a:lumMod val="15000"/>
          <a:lumOff val="85000"/>
        </a:schemeClr>
      </a:solidFill>
      <a:round/>
    </a:ln>
    <a:effectLst/>
  </c:spPr>
  <c:txPr>
    <a:bodyPr/>
    <a:lstStyle/>
    <a:p>
      <a:pPr>
        <a:defRPr/>
      </a:pPr>
      <a:endParaRPr lang="es-CO"/>
    </a:p>
  </c:txPr>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52349281583897E-2"/>
          <c:y val="0.12086908958501284"/>
          <c:w val="0.8710066793295641"/>
          <c:h val="0.80604115103926322"/>
        </c:manualLayout>
      </c:layout>
      <c:areaChart>
        <c:grouping val="stacked"/>
        <c:varyColors val="0"/>
        <c:ser>
          <c:idx val="1"/>
          <c:order val="1"/>
          <c:tx>
            <c:strRef>
              <c:f>'Pr-Sem'!$I$5</c:f>
              <c:strCache>
                <c:ptCount val="1"/>
                <c:pt idx="0">
                  <c:v>% Prod. Tab.</c:v>
                </c:pt>
              </c:strCache>
            </c:strRef>
          </c:tx>
          <c:spPr>
            <a:noFill/>
            <a:ln w="88900">
              <a:noFill/>
            </a:ln>
            <a:effectLst/>
          </c:spP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'Pr-Sem'!$BI$6:$BI$108</c:f>
              <c:numCache>
                <c:formatCode>General_)</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0-BAB2-4F3D-8927-026889B7FF51}"/>
            </c:ext>
          </c:extLst>
        </c:ser>
        <c:ser>
          <c:idx val="8"/>
          <c:order val="2"/>
          <c:tx>
            <c:v>% Pr Tab</c:v>
          </c:tx>
          <c:spPr>
            <a:solidFill>
              <a:srgbClr val="003E6E">
                <a:alpha val="40000"/>
              </a:srgbClr>
            </a:solidFill>
            <a:ln>
              <a:noFill/>
            </a:ln>
            <a:effectLst/>
          </c:spPr>
          <c:val>
            <c:numRef>
              <c:f>'Pr-Sem'!$BJ$6:$BJ$108</c:f>
              <c:numCache>
                <c:formatCode>General_)</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1-BAB2-4F3D-8927-026889B7FF51}"/>
            </c:ext>
          </c:extLst>
        </c:ser>
        <c:dLbls>
          <c:showLegendKey val="0"/>
          <c:showVal val="0"/>
          <c:showCatName val="0"/>
          <c:showSerName val="0"/>
          <c:showPercent val="0"/>
          <c:showBubbleSize val="0"/>
        </c:dLbls>
        <c:axId val="803303488"/>
        <c:axId val="803297608"/>
      </c:areaChart>
      <c:lineChart>
        <c:grouping val="standard"/>
        <c:varyColors val="0"/>
        <c:ser>
          <c:idx val="0"/>
          <c:order val="0"/>
          <c:tx>
            <c:strRef>
              <c:f>'Pr-Sem'!$H$5</c:f>
              <c:strCache>
                <c:ptCount val="1"/>
                <c:pt idx="0">
                  <c:v>% Prod.</c:v>
                </c:pt>
              </c:strCache>
            </c:strRef>
          </c:tx>
          <c:spPr>
            <a:ln w="50800" cap="rnd">
              <a:solidFill>
                <a:srgbClr val="003E6E"/>
              </a:solidFill>
              <a:round/>
            </a:ln>
            <a:effectLst/>
          </c:spPr>
          <c:marker>
            <c:symbol val="none"/>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'Pr-Sem'!$H$6:$H$108</c:f>
              <c:numCache>
                <c:formatCode>?0.0</c:formatCode>
                <c:ptCount val="83"/>
                <c:pt idx="0">
                  <c:v>0</c:v>
                </c:pt>
              </c:numCache>
            </c:numRef>
          </c:val>
          <c:smooth val="0"/>
          <c:extLst>
            <c:ext xmlns:c16="http://schemas.microsoft.com/office/drawing/2014/chart" uri="{C3380CC4-5D6E-409C-BE32-E72D297353CC}">
              <c16:uniqueId val="{00000002-BAB2-4F3D-8927-026889B7FF51}"/>
            </c:ext>
          </c:extLst>
        </c:ser>
        <c:ser>
          <c:idx val="3"/>
          <c:order val="3"/>
          <c:tx>
            <c:strRef>
              <c:f>'Pr-Sem'!$Z$5</c:f>
              <c:strCache>
                <c:ptCount val="1"/>
                <c:pt idx="0">
                  <c:v>Peso Huevo (Gr)</c:v>
                </c:pt>
              </c:strCache>
            </c:strRef>
          </c:tx>
          <c:spPr>
            <a:ln w="28575" cap="rnd">
              <a:noFill/>
              <a:round/>
            </a:ln>
            <a:effectLst/>
          </c:spPr>
          <c:marker>
            <c:symbol val="diamond"/>
            <c:size val="7"/>
            <c:spPr>
              <a:solidFill>
                <a:schemeClr val="accent6">
                  <a:lumMod val="75000"/>
                  <a:alpha val="84000"/>
                </a:schemeClr>
              </a:solidFill>
              <a:ln w="9525">
                <a:solidFill>
                  <a:schemeClr val="accent4"/>
                </a:solidFill>
              </a:ln>
              <a:effectLst/>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'Pr-Sem'!$Z$6:$Z$108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3-BAB2-4F3D-8927-026889B7FF51}"/>
            </c:ext>
          </c:extLst>
        </c:ser>
        <c:ser>
          <c:idx val="2"/>
          <c:order val="4"/>
          <c:tx>
            <c:strRef>
              <c:f>'Pr-Sem'!$AA$5</c:f>
              <c:strCache>
                <c:ptCount val="1"/>
                <c:pt idx="0">
                  <c:v>Peso H Sem Tab</c:v>
                </c:pt>
              </c:strCache>
            </c:strRef>
          </c:tx>
          <c:spPr>
            <a:ln w="76200" cap="rnd">
              <a:solidFill>
                <a:schemeClr val="accent6">
                  <a:lumMod val="75000"/>
                  <a:alpha val="30000"/>
                </a:schemeClr>
              </a:solidFill>
              <a:round/>
            </a:ln>
            <a:effectLst/>
          </c:spPr>
          <c:marker>
            <c:symbol val="none"/>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'Pr-Sem'!$AA$6:$AA$108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4-BAB2-4F3D-8927-026889B7FF51}"/>
            </c:ext>
          </c:extLst>
        </c:ser>
        <c:ser>
          <c:idx val="9"/>
          <c:order val="8"/>
          <c:tx>
            <c:strRef>
              <c:f>'Pr-Sem'!$F$5</c:f>
              <c:strCache>
                <c:ptCount val="1"/>
                <c:pt idx="0">
                  <c:v>% Supv</c:v>
                </c:pt>
              </c:strCache>
            </c:strRef>
          </c:tx>
          <c:spPr>
            <a:ln w="50800">
              <a:solidFill>
                <a:srgbClr val="FF0000">
                  <a:alpha val="50000"/>
                </a:srgbClr>
              </a:solidFill>
            </a:ln>
          </c:spPr>
          <c:marker>
            <c:symbol val="plus"/>
            <c:size val="3"/>
            <c:spPr>
              <a:ln>
                <a:solidFill>
                  <a:srgbClr val="0070C0"/>
                </a:solidFill>
              </a:ln>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'Pr-Sem'!$F$6:$F$108</c:f>
              <c:numCache>
                <c:formatCode>?0.00</c:formatCode>
                <c:ptCount val="83"/>
                <c:pt idx="0">
                  <c:v>100</c:v>
                </c:pt>
              </c:numCache>
            </c:numRef>
          </c:val>
          <c:smooth val="0"/>
          <c:extLst>
            <c:ext xmlns:c16="http://schemas.microsoft.com/office/drawing/2014/chart" uri="{C3380CC4-5D6E-409C-BE32-E72D297353CC}">
              <c16:uniqueId val="{00000000-76C1-49FE-9E47-74C591234D54}"/>
            </c:ext>
          </c:extLst>
        </c:ser>
        <c:dLbls>
          <c:showLegendKey val="0"/>
          <c:showVal val="0"/>
          <c:showCatName val="0"/>
          <c:showSerName val="0"/>
          <c:showPercent val="0"/>
          <c:showBubbleSize val="0"/>
        </c:dLbls>
        <c:marker val="1"/>
        <c:smooth val="0"/>
        <c:axId val="803303488"/>
        <c:axId val="803297608"/>
      </c:lineChart>
      <c:lineChart>
        <c:grouping val="standard"/>
        <c:varyColors val="0"/>
        <c:ser>
          <c:idx val="4"/>
          <c:order val="5"/>
          <c:tx>
            <c:strRef>
              <c:f>'Pr-Sem'!$O$5</c:f>
              <c:strCache>
                <c:ptCount val="1"/>
                <c:pt idx="0">
                  <c:v>Gr.A.D Real</c:v>
                </c:pt>
              </c:strCache>
            </c:strRef>
          </c:tx>
          <c:spPr>
            <a:ln w="28575" cap="rnd">
              <a:noFill/>
              <a:round/>
            </a:ln>
            <a:effectLst/>
          </c:spPr>
          <c:marker>
            <c:symbol val="circle"/>
            <c:size val="7"/>
            <c:spPr>
              <a:solidFill>
                <a:srgbClr val="336535"/>
              </a:solidFill>
              <a:ln w="9525">
                <a:solidFill>
                  <a:srgbClr val="336535"/>
                </a:solidFill>
              </a:ln>
              <a:effectLst/>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'Pr-Sem'!$O$6:$O$108</c:f>
              <c:numCache>
                <c:formatCode>??0.0</c:formatCode>
                <c:ptCount val="83"/>
                <c:pt idx="0">
                  <c:v>0</c:v>
                </c:pt>
              </c:numCache>
            </c:numRef>
          </c:val>
          <c:smooth val="0"/>
          <c:extLst>
            <c:ext xmlns:c16="http://schemas.microsoft.com/office/drawing/2014/chart" uri="{C3380CC4-5D6E-409C-BE32-E72D297353CC}">
              <c16:uniqueId val="{00000005-BAB2-4F3D-8927-026889B7FF51}"/>
            </c:ext>
          </c:extLst>
        </c:ser>
        <c:ser>
          <c:idx val="5"/>
          <c:order val="6"/>
          <c:tx>
            <c:strRef>
              <c:f>'Pr-Sem'!$P$5</c:f>
              <c:strCache>
                <c:ptCount val="1"/>
                <c:pt idx="0">
                  <c:v>Gr.A.D. Tab.</c:v>
                </c:pt>
              </c:strCache>
            </c:strRef>
          </c:tx>
          <c:spPr>
            <a:ln w="76200" cap="rnd">
              <a:solidFill>
                <a:srgbClr val="336535">
                  <a:alpha val="40000"/>
                </a:srgbClr>
              </a:solidFill>
              <a:round/>
            </a:ln>
            <a:effectLst/>
          </c:spPr>
          <c:marker>
            <c:symbol val="none"/>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'Pr-Sem'!$P$6:$P$108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6-BAB2-4F3D-8927-026889B7FF51}"/>
            </c:ext>
          </c:extLst>
        </c:ser>
        <c:ser>
          <c:idx val="7"/>
          <c:order val="7"/>
          <c:tx>
            <c:strRef>
              <c:f>'Pr-Sem'!$R$5</c:f>
              <c:strCache>
                <c:ptCount val="1"/>
                <c:pt idx="0">
                  <c:v>Cons ml /ave día</c:v>
                </c:pt>
              </c:strCache>
            </c:strRef>
          </c:tx>
          <c:spPr>
            <a:ln w="76200" cap="rnd">
              <a:solidFill>
                <a:srgbClr val="00B050">
                  <a:alpha val="30000"/>
                </a:srgbClr>
              </a:solidFill>
              <a:round/>
            </a:ln>
            <a:effectLst/>
          </c:spPr>
          <c:marker>
            <c:symbol val="diamond"/>
            <c:size val="4"/>
            <c:spPr>
              <a:ln>
                <a:solidFill>
                  <a:srgbClr val="C00000"/>
                </a:solidFill>
              </a:ln>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'Pr-Sem'!$R$6:$R$108</c:f>
              <c:numCache>
                <c:formatCode>??0</c:formatCode>
                <c:ptCount val="83"/>
                <c:pt idx="0">
                  <c:v>0</c:v>
                </c:pt>
              </c:numCache>
            </c:numRef>
          </c:val>
          <c:smooth val="1"/>
          <c:extLst>
            <c:ext xmlns:c16="http://schemas.microsoft.com/office/drawing/2014/chart" uri="{C3380CC4-5D6E-409C-BE32-E72D297353CC}">
              <c16:uniqueId val="{00000008-BAB2-4F3D-8927-026889B7FF51}"/>
            </c:ext>
          </c:extLst>
        </c:ser>
        <c:dLbls>
          <c:showLegendKey val="0"/>
          <c:showVal val="0"/>
          <c:showCatName val="0"/>
          <c:showSerName val="0"/>
          <c:showPercent val="0"/>
          <c:showBubbleSize val="0"/>
        </c:dLbls>
        <c:marker val="1"/>
        <c:smooth val="0"/>
        <c:axId val="803296432"/>
        <c:axId val="803301528"/>
      </c:lineChart>
      <c:catAx>
        <c:axId val="803303488"/>
        <c:scaling>
          <c:orientation val="minMax"/>
        </c:scaling>
        <c:delete val="0"/>
        <c:axPos val="b"/>
        <c:numFmt formatCode="??0" sourceLinked="1"/>
        <c:majorTickMark val="none"/>
        <c:minorTickMark val="none"/>
        <c:tickLblPos val="nextTo"/>
        <c:spPr>
          <a:noFill/>
          <a:ln w="19050" cap="flat" cmpd="sng" algn="ctr">
            <a:solidFill>
              <a:schemeClr val="tx1"/>
            </a:solidFill>
            <a:round/>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crossAx val="803297608"/>
        <c:crosses val="autoZero"/>
        <c:auto val="1"/>
        <c:lblAlgn val="ctr"/>
        <c:lblOffset val="1"/>
        <c:noMultiLvlLbl val="0"/>
      </c:catAx>
      <c:valAx>
        <c:axId val="803297608"/>
        <c:scaling>
          <c:orientation val="minMax"/>
          <c:max val="100"/>
          <c:min val="0"/>
        </c:scaling>
        <c:delete val="0"/>
        <c:axPos val="l"/>
        <c:majorGridlines>
          <c:spPr>
            <a:ln w="9525" cap="flat" cmpd="sng" algn="ctr">
              <a:solidFill>
                <a:schemeClr val="bg1">
                  <a:lumMod val="65000"/>
                </a:schemeClr>
              </a:solidFill>
              <a:prstDash val="sysDot"/>
              <a:round/>
            </a:ln>
            <a:effectLst/>
          </c:spPr>
        </c:majorGridlines>
        <c:numFmt formatCode="General_)"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rgbClr val="003E6E"/>
                </a:solidFill>
                <a:latin typeface="+mn-lt"/>
                <a:ea typeface="+mn-ea"/>
                <a:cs typeface="+mn-cs"/>
              </a:defRPr>
            </a:pPr>
            <a:endParaRPr lang="es-CO"/>
          </a:p>
        </c:txPr>
        <c:crossAx val="803303488"/>
        <c:crosses val="autoZero"/>
        <c:crossBetween val="between"/>
      </c:valAx>
      <c:valAx>
        <c:axId val="803301528"/>
        <c:scaling>
          <c:orientation val="minMax"/>
          <c:max val="450"/>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accent3">
                    <a:lumMod val="75000"/>
                  </a:schemeClr>
                </a:solidFill>
                <a:latin typeface="+mn-lt"/>
                <a:ea typeface="+mn-ea"/>
                <a:cs typeface="+mn-cs"/>
              </a:defRPr>
            </a:pPr>
            <a:endParaRPr lang="es-CO"/>
          </a:p>
        </c:txPr>
        <c:crossAx val="803296432"/>
        <c:crosses val="max"/>
        <c:crossBetween val="between"/>
        <c:majorUnit val="50"/>
      </c:valAx>
      <c:catAx>
        <c:axId val="803296432"/>
        <c:scaling>
          <c:orientation val="minMax"/>
        </c:scaling>
        <c:delete val="1"/>
        <c:axPos val="b"/>
        <c:numFmt formatCode="??0" sourceLinked="1"/>
        <c:majorTickMark val="out"/>
        <c:minorTickMark val="none"/>
        <c:tickLblPos val="nextTo"/>
        <c:crossAx val="803301528"/>
        <c:crosses val="autoZero"/>
        <c:auto val="1"/>
        <c:lblAlgn val="ctr"/>
        <c:lblOffset val="100"/>
        <c:noMultiLvlLbl val="0"/>
      </c:catAx>
      <c:spPr>
        <a:noFill/>
        <a:ln>
          <a:noFill/>
        </a:ln>
        <a:effectLst/>
      </c:spPr>
    </c:plotArea>
    <c:legend>
      <c:legendPos val="t"/>
      <c:legendEntry>
        <c:idx val="0"/>
        <c:delete val="1"/>
      </c:legendEntry>
      <c:layout>
        <c:manualLayout>
          <c:xMode val="edge"/>
          <c:yMode val="edge"/>
          <c:x val="0.1877451108898151"/>
          <c:y val="0.77766928399086832"/>
          <c:w val="0.75214361415072317"/>
          <c:h val="0.14194196523057034"/>
        </c:manualLayout>
      </c:layout>
      <c:overlay val="0"/>
      <c:spPr>
        <a:solidFill>
          <a:schemeClr val="bg1">
            <a:lumMod val="95000"/>
          </a:schemeClr>
        </a:solid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blipFill dpi="0" rotWithShape="1">
      <a:blip xmlns:r="http://schemas.openxmlformats.org/officeDocument/2006/relationships" r:embed="rId1">
        <a:alphaModFix amt="18000"/>
      </a:blip>
      <a:srcRect/>
      <a:tile tx="355600" ty="0" sx="100000" sy="100000" flip="none" algn="tl"/>
    </a:blipFill>
    <a:ln w="9525" cap="flat" cmpd="sng" algn="ctr">
      <a:solidFill>
        <a:schemeClr val="tx1">
          <a:lumMod val="15000"/>
          <a:lumOff val="85000"/>
        </a:schemeClr>
      </a:solidFill>
      <a:round/>
    </a:ln>
    <a:effectLst/>
  </c:spPr>
  <c:txPr>
    <a:bodyPr/>
    <a:lstStyle/>
    <a:p>
      <a:pPr>
        <a:defRPr/>
      </a:pPr>
      <a:endParaRPr lang="es-CO"/>
    </a:p>
  </c:txPr>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20965191380939E-2"/>
          <c:y val="8.0419953441121489E-2"/>
          <c:w val="0.84678256058219081"/>
          <c:h val="0.84792741618710932"/>
        </c:manualLayout>
      </c:layout>
      <c:lineChart>
        <c:grouping val="standard"/>
        <c:varyColors val="0"/>
        <c:ser>
          <c:idx val="0"/>
          <c:order val="0"/>
          <c:tx>
            <c:strRef>
              <c:f>'Pr-Sem'!$AC$5</c:f>
              <c:strCache>
                <c:ptCount val="1"/>
                <c:pt idx="0">
                  <c:v>Peso Ave Real</c:v>
                </c:pt>
              </c:strCache>
            </c:strRef>
          </c:tx>
          <c:spPr>
            <a:ln w="50800" cap="rnd">
              <a:noFill/>
              <a:round/>
            </a:ln>
            <a:effectLst/>
          </c:spPr>
          <c:marker>
            <c:symbol val="diamond"/>
            <c:size val="8"/>
            <c:spPr>
              <a:solidFill>
                <a:srgbClr val="C00000"/>
              </a:solidFill>
              <a:ln w="9525">
                <a:solidFill>
                  <a:srgbClr val="0070C0"/>
                </a:solidFill>
              </a:ln>
              <a:effectLst/>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'Pr-Sem'!$AC$6:$AC$108</c:f>
              <c:numCache>
                <c:formatCode>??0"."00\ "Kg"</c:formatCode>
                <c:ptCount val="83"/>
              </c:numCache>
            </c:numRef>
          </c:val>
          <c:smooth val="0"/>
          <c:extLst>
            <c:ext xmlns:c16="http://schemas.microsoft.com/office/drawing/2014/chart" uri="{C3380CC4-5D6E-409C-BE32-E72D297353CC}">
              <c16:uniqueId val="{00000003-0AD7-4F81-BC85-73DB852D6C70}"/>
            </c:ext>
          </c:extLst>
        </c:ser>
        <c:ser>
          <c:idx val="2"/>
          <c:order val="1"/>
          <c:tx>
            <c:strRef>
              <c:f>'Pr-Sem'!$AD$5</c:f>
              <c:strCache>
                <c:ptCount val="1"/>
                <c:pt idx="0">
                  <c:v>Peso Ave Tab</c:v>
                </c:pt>
              </c:strCache>
            </c:strRef>
          </c:tx>
          <c:spPr>
            <a:ln w="63500">
              <a:solidFill>
                <a:srgbClr val="0070C0">
                  <a:alpha val="60000"/>
                </a:srgbClr>
              </a:solidFill>
            </a:ln>
          </c:spPr>
          <c:marker>
            <c:symbol val="none"/>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'Pr-Sem'!$AD$6:$AD$108</c:f>
              <c:numCache>
                <c:formatCode>??0"."00\ "Kg"</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1"/>
          <c:extLst>
            <c:ext xmlns:c16="http://schemas.microsoft.com/office/drawing/2014/chart" uri="{C3380CC4-5D6E-409C-BE32-E72D297353CC}">
              <c16:uniqueId val="{00000000-6C8E-4148-B65C-7638A0A14A8F}"/>
            </c:ext>
          </c:extLst>
        </c:ser>
        <c:ser>
          <c:idx val="4"/>
          <c:order val="2"/>
          <c:tx>
            <c:strRef>
              <c:f>'Pr-Sem'!$AI$5</c:f>
              <c:strCache>
                <c:ptCount val="1"/>
                <c:pt idx="0">
                  <c:v>Masa Sem Huevo</c:v>
                </c:pt>
              </c:strCache>
            </c:strRef>
          </c:tx>
          <c:spPr>
            <a:ln w="15875" cap="rnd">
              <a:solidFill>
                <a:srgbClr val="336535"/>
              </a:solidFill>
              <a:prstDash val="sysDot"/>
              <a:round/>
            </a:ln>
            <a:effectLst/>
          </c:spPr>
          <c:marker>
            <c:symbol val="circle"/>
            <c:size val="7"/>
            <c:spPr>
              <a:solidFill>
                <a:srgbClr val="336535"/>
              </a:solidFill>
              <a:ln w="9525">
                <a:solidFill>
                  <a:srgbClr val="336535"/>
                </a:solidFill>
              </a:ln>
              <a:effectLst/>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'Pr-Sem'!$AI$6:$AI$108</c:f>
              <c:numCache>
                <c:formatCode>??0.0</c:formatCode>
                <c:ptCount val="83"/>
                <c:pt idx="0">
                  <c:v>0</c:v>
                </c:pt>
              </c:numCache>
            </c:numRef>
          </c:val>
          <c:smooth val="1"/>
          <c:extLst>
            <c:ext xmlns:c16="http://schemas.microsoft.com/office/drawing/2014/chart" uri="{C3380CC4-5D6E-409C-BE32-E72D297353CC}">
              <c16:uniqueId val="{00000004-0AD7-4F81-BC85-73DB852D6C70}"/>
            </c:ext>
          </c:extLst>
        </c:ser>
        <c:ser>
          <c:idx val="5"/>
          <c:order val="3"/>
          <c:tx>
            <c:v>Masa sem Tab</c:v>
          </c:tx>
          <c:spPr>
            <a:ln w="76200" cap="rnd">
              <a:solidFill>
                <a:srgbClr val="336535">
                  <a:alpha val="40000"/>
                </a:srgbClr>
              </a:solidFill>
              <a:round/>
            </a:ln>
            <a:effectLst/>
          </c:spPr>
          <c:marker>
            <c:symbol val="none"/>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'Pr-Sem'!$AJ$6:$AJ$108</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5-0AD7-4F81-BC85-73DB852D6C70}"/>
            </c:ext>
          </c:extLst>
        </c:ser>
        <c:dLbls>
          <c:showLegendKey val="0"/>
          <c:showVal val="0"/>
          <c:showCatName val="0"/>
          <c:showSerName val="0"/>
          <c:showPercent val="0"/>
          <c:showBubbleSize val="0"/>
        </c:dLbls>
        <c:marker val="1"/>
        <c:smooth val="0"/>
        <c:axId val="803302312"/>
        <c:axId val="803298000"/>
      </c:lineChart>
      <c:lineChart>
        <c:grouping val="standard"/>
        <c:varyColors val="0"/>
        <c:ser>
          <c:idx val="1"/>
          <c:order val="4"/>
          <c:tx>
            <c:strRef>
              <c:f>'Pr-Sem'!$S$5</c:f>
              <c:strCache>
                <c:ptCount val="1"/>
                <c:pt idx="0">
                  <c:v>Relación Agua /Alimto</c:v>
                </c:pt>
              </c:strCache>
            </c:strRef>
          </c:tx>
          <c:spPr>
            <a:ln w="19050">
              <a:solidFill>
                <a:srgbClr val="0070C0"/>
              </a:solidFill>
              <a:prstDash val="sysDot"/>
            </a:ln>
          </c:spPr>
          <c:marker>
            <c:symbol val="diamond"/>
            <c:size val="7"/>
            <c:spPr>
              <a:solidFill>
                <a:srgbClr val="0070C0"/>
              </a:solidFill>
              <a:ln>
                <a:solidFill>
                  <a:srgbClr val="0070C0"/>
                </a:solidFill>
              </a:ln>
            </c:spPr>
          </c:marker>
          <c:cat>
            <c:numRef>
              <c:f>'Pr-Sem'!$A$6:$A$108</c:f>
              <c:numCache>
                <c:formatCode>??0</c:formatCode>
                <c:ptCount val="8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numCache>
            </c:numRef>
          </c:cat>
          <c:val>
            <c:numRef>
              <c:f>'Pr-Sem'!$S$6:$S$108</c:f>
              <c:numCache>
                <c:formatCode>?0.0" ml/Gr."</c:formatCode>
                <c:ptCount val="83"/>
                <c:pt idx="0">
                  <c:v>0</c:v>
                </c:pt>
              </c:numCache>
            </c:numRef>
          </c:val>
          <c:smooth val="0"/>
          <c:extLst>
            <c:ext xmlns:c16="http://schemas.microsoft.com/office/drawing/2014/chart" uri="{C3380CC4-5D6E-409C-BE32-E72D297353CC}">
              <c16:uniqueId val="{00000000-8344-4DB0-AE11-0927B1BAA3A6}"/>
            </c:ext>
          </c:extLst>
        </c:ser>
        <c:dLbls>
          <c:showLegendKey val="0"/>
          <c:showVal val="0"/>
          <c:showCatName val="0"/>
          <c:showSerName val="0"/>
          <c:showPercent val="0"/>
          <c:showBubbleSize val="0"/>
        </c:dLbls>
        <c:marker val="1"/>
        <c:smooth val="0"/>
        <c:axId val="1005737664"/>
        <c:axId val="1005735696"/>
      </c:lineChart>
      <c:catAx>
        <c:axId val="80330231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crossAx val="803298000"/>
        <c:crosses val="autoZero"/>
        <c:auto val="1"/>
        <c:lblAlgn val="ctr"/>
        <c:lblOffset val="1"/>
        <c:noMultiLvlLbl val="0"/>
      </c:catAx>
      <c:valAx>
        <c:axId val="803298000"/>
        <c:scaling>
          <c:orientation val="minMax"/>
          <c:max val="450"/>
          <c:min val="0"/>
        </c:scaling>
        <c:delete val="0"/>
        <c:axPos val="l"/>
        <c:majorGridlines>
          <c:spPr>
            <a:ln w="9525" cap="flat" cmpd="sng" algn="ctr">
              <a:solidFill>
                <a:schemeClr val="bg1">
                  <a:lumMod val="50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rgbClr val="003E6E"/>
                </a:solidFill>
                <a:latin typeface="+mn-lt"/>
                <a:ea typeface="+mn-ea"/>
                <a:cs typeface="+mn-cs"/>
              </a:defRPr>
            </a:pPr>
            <a:endParaRPr lang="es-CO"/>
          </a:p>
        </c:txPr>
        <c:crossAx val="803302312"/>
        <c:crosses val="autoZero"/>
        <c:crossBetween val="between"/>
      </c:valAx>
      <c:valAx>
        <c:axId val="1005735696"/>
        <c:scaling>
          <c:orientation val="minMax"/>
          <c:max val="3"/>
          <c:min val="0"/>
        </c:scaling>
        <c:delete val="0"/>
        <c:axPos val="r"/>
        <c:numFmt formatCode="?0.0&quot; ml/Gr.&quot;" sourceLinked="1"/>
        <c:majorTickMark val="out"/>
        <c:minorTickMark val="none"/>
        <c:tickLblPos val="nextTo"/>
        <c:txPr>
          <a:bodyPr/>
          <a:lstStyle/>
          <a:p>
            <a:pPr>
              <a:defRPr sz="1400" b="1">
                <a:solidFill>
                  <a:schemeClr val="tx2">
                    <a:lumMod val="60000"/>
                    <a:lumOff val="40000"/>
                  </a:schemeClr>
                </a:solidFill>
                <a:latin typeface="Arial Narrow" panose="020B0606020202030204" pitchFamily="34" charset="0"/>
              </a:defRPr>
            </a:pPr>
            <a:endParaRPr lang="es-CO"/>
          </a:p>
        </c:txPr>
        <c:crossAx val="1005737664"/>
        <c:crosses val="max"/>
        <c:crossBetween val="between"/>
      </c:valAx>
      <c:catAx>
        <c:axId val="1005737664"/>
        <c:scaling>
          <c:orientation val="minMax"/>
        </c:scaling>
        <c:delete val="1"/>
        <c:axPos val="b"/>
        <c:numFmt formatCode="??0" sourceLinked="1"/>
        <c:majorTickMark val="out"/>
        <c:minorTickMark val="none"/>
        <c:tickLblPos val="nextTo"/>
        <c:crossAx val="1005735696"/>
        <c:crosses val="autoZero"/>
        <c:auto val="1"/>
        <c:lblAlgn val="ctr"/>
        <c:lblOffset val="100"/>
        <c:noMultiLvlLbl val="0"/>
      </c:catAx>
      <c:spPr>
        <a:noFill/>
        <a:ln>
          <a:noFill/>
        </a:ln>
        <a:effectLst/>
      </c:spPr>
    </c:plotArea>
    <c:legend>
      <c:legendPos val="t"/>
      <c:layout>
        <c:manualLayout>
          <c:xMode val="edge"/>
          <c:yMode val="edge"/>
          <c:x val="0.20824137314182287"/>
          <c:y val="0.75773218646358098"/>
          <c:w val="0.67600479080309928"/>
          <c:h val="0.17355382800513053"/>
        </c:manualLayout>
      </c:layout>
      <c:overlay val="0"/>
      <c:spPr>
        <a:solidFill>
          <a:schemeClr val="bg2">
            <a:alpha val="40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entury Gothic" panose="020B0502020202020204" pitchFamily="34" charset="0"/>
              <a:ea typeface="+mn-ea"/>
              <a:cs typeface="+mn-cs"/>
            </a:defRPr>
          </a:pPr>
          <a:endParaRPr lang="es-CO"/>
        </a:p>
      </c:txPr>
    </c:legend>
    <c:plotVisOnly val="1"/>
    <c:dispBlanksAs val="gap"/>
    <c:showDLblsOverMax val="0"/>
  </c:chart>
  <c:spPr>
    <a:blipFill dpi="0" rotWithShape="1">
      <a:blip xmlns:r="http://schemas.openxmlformats.org/officeDocument/2006/relationships" r:embed="rId1">
        <a:alphaModFix amt="17000"/>
      </a:blip>
      <a:srcRect/>
      <a:tile tx="355600" ty="0" sx="100000" sy="100000" flip="none" algn="tl"/>
    </a:blipFill>
    <a:ln w="9525" cap="flat" cmpd="sng" algn="ctr">
      <a:solidFill>
        <a:schemeClr val="tx1">
          <a:lumMod val="15000"/>
          <a:lumOff val="85000"/>
        </a:schemeClr>
      </a:solidFill>
      <a:round/>
    </a:ln>
    <a:effectLst/>
  </c:spPr>
  <c:txPr>
    <a:bodyPr/>
    <a:lstStyle/>
    <a:p>
      <a:pPr>
        <a:defRPr/>
      </a:pPr>
      <a:endParaRPr lang="es-CO"/>
    </a:p>
  </c:txPr>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chartsheets/_rels/sheet5.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Gráfico1"/>
  <sheetViews>
    <sheetView zoomScale="94" workbookViewId="0" zoomToFit="1"/>
  </sheetViews>
  <sheetProtection algorithmName="SHA-512" hashValue="6a9NbkMZpCFUaRAaIjbHYYQRg83YRUIQZffJfALD0Q/gXlIge75c0UIgr1mXhXOO2eaM0TgclW7HS0FLeEznvg==" saltValue="HjwDynSVHIif5VYZyTLVmw==" spinCount="100000"/>
  <customSheetViews>
    <customSheetView guid="{2AFB78BD-0AA0-48F7-9FB9-7ECB21AAFE3F}" scale="72" zoomToFit="1">
      <pageMargins left="0.7" right="0.7" top="0.75" bottom="0.75" header="0.3" footer="0.3"/>
    </customSheetView>
  </customSheetViews>
  <pageMargins left="0.7" right="0.7" top="0.75" bottom="0.75" header="0.3" footer="0.3"/>
  <pageSetup paperSize="5" orientation="landscape"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Gráfico6"/>
  <sheetViews>
    <sheetView zoomScale="94" workbookViewId="0" zoomToFit="1"/>
  </sheetViews>
  <sheetProtection algorithmName="SHA-512" hashValue="TpQYxSEmWTg0e5rclXmPEeGdfgSl/Hyv7kkUVwPb+vcuvSKS9K+/VvIbe3wlKQyd9XRGGgy60dodK0j0CAcbRw==" saltValue="7BSmhV48b3y8vDecRGaFPA==" spinCount="100000"/>
  <customSheetViews>
    <customSheetView guid="{2AFB78BD-0AA0-48F7-9FB9-7ECB21AAFE3F}" scale="72" zoomToFit="1">
      <pageMargins left="0.7" right="0.7" top="0.75" bottom="0.75" header="0.3" footer="0.3"/>
    </customSheetView>
  </customSheetViews>
  <pageMargins left="0.7" right="0.7" top="0.75" bottom="0.75" header="0.3" footer="0.3"/>
  <pageSetup paperSize="5"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Gráfico8"/>
  <sheetViews>
    <sheetView zoomScale="94" workbookViewId="0" zoomToFit="1"/>
  </sheetViews>
  <sheetProtection algorithmName="SHA-512" hashValue="jSG4mj+jiu5IT17Xr9DY5k362noTif9rdhTYlRw1Uny68ozAHt3k5u7QAvPwyVzjZVHa0xSpUbwvnK/bBP93dw==" saltValue="oQ26Snf2z1WUbeB+m3L6wA==" spinCount="100000"/>
  <customSheetViews>
    <customSheetView guid="{2AFB78BD-0AA0-48F7-9FB9-7ECB21AAFE3F}" scale="72" zoomToFit="1">
      <pageMargins left="0.7" right="0.7" top="0.75" bottom="0.75" header="0.3" footer="0.3"/>
    </customSheetView>
  </customSheetViews>
  <pageMargins left="0.7" right="0.7" top="0.75" bottom="0.75" header="0.3" footer="0.3"/>
  <pageSetup paperSize="5"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26B6939-ECC1-4BC9-873B-54457B359770}">
  <sheetPr codeName="Gráfico12"/>
  <sheetViews>
    <sheetView zoomScale="94" workbookViewId="0" zoomToFit="1"/>
  </sheetViews>
  <sheetProtection algorithmName="SHA-512" hashValue="l97/A7nUYf203aRVdLpoAEL4GpwNYymNix6y4GX8rKUJDA/CoTs3lmI7HvDTrDs/FG3X4IBJ5g6/DFeqacd3pA==" saltValue="KAIE1vhFwV3qG0GJGvv6uw==" spinCount="100000"/>
  <pageMargins left="0.7" right="0.7" top="0.75" bottom="0.75" header="0.3" footer="0.3"/>
  <pageSetup paperSize="5"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4BE817F-46D6-4232-810F-6A9E0C62C043}">
  <sheetPr codeName="Gráfico11"/>
  <sheetViews>
    <sheetView zoomScale="94" workbookViewId="0" zoomToFit="1"/>
  </sheetViews>
  <sheetProtection algorithmName="SHA-512" hashValue="FE63xt3RwFQJVSHvhbpD69VMU3hgWc+W48nqtPL8fcpR/jOhDm+JwVbBVIcRxTXeMtzSmEmYiFL/mYeCrvkdGA==" saltValue="Z+aGuvf5O4OaOIqb4ZqBTA==" spinCount="100000"/>
  <pageMargins left="0.7" right="0.7" top="0.75" bottom="0.75" header="0.3" footer="0.3"/>
  <pageSetup paperSize="5"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Gráfico2"/>
  <sheetViews>
    <sheetView zoomScale="94" workbookViewId="0" zoomToFit="1"/>
  </sheetViews>
  <sheetProtection algorithmName="SHA-512" hashValue="Arg7NkPY2SQiwyJln1QFLLoDEuvEKTcpxiyWyfjC/aSe7uI0l6qwye5bnMKRXdM6VWGi8uPTNNyIwerusMt1Cw==" saltValue="S3MMVMvkAWRFnw/K3CJd0w==" spinCount="100000"/>
  <customSheetViews>
    <customSheetView guid="{2AFB78BD-0AA0-48F7-9FB9-7ECB21AAFE3F}" scale="72" zoomToFit="1">
      <pageMargins left="0.7" right="0.7" top="0.75" bottom="0.75" header="0.3" footer="0.3"/>
    </customSheetView>
  </customSheetViews>
  <pageMargins left="0.7" right="0.7" top="0.75" bottom="0.75" header="0.3" footer="0.3"/>
  <pageSetup paperSize="5"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Gráfico3"/>
  <sheetViews>
    <sheetView zoomScale="94" workbookViewId="0" zoomToFit="1"/>
  </sheetViews>
  <sheetProtection algorithmName="SHA-512" hashValue="kQKuY4ss6/IcQCKsBatjeBq8t/JykE3CmAA50M+/JxUswc8Luntcf5i2tJFgdVGHYwERyNhKspTMowLj4r/zcw==" saltValue="mn+G5QMnqs4s0LqkBzMfGg==" spinCount="100000"/>
  <customSheetViews>
    <customSheetView guid="{2AFB78BD-0AA0-48F7-9FB9-7ECB21AAFE3F}" scale="72" zoomToFit="1">
      <pageMargins left="0.7" right="0.7" top="0.75" bottom="0.75" header="0.3" footer="0.3"/>
    </customSheetView>
  </customSheetViews>
  <pageMargins left="0.7" right="0.7" top="0.75" bottom="0.75" header="0.3" footer="0.3"/>
  <pageSetup paperSize="5"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C64FF7A-228C-45A1-8CEA-D042BD234E0D}">
  <sheetPr codeName="Gráfico18"/>
  <sheetViews>
    <sheetView zoomScale="94" workbookViewId="0" zoomToFit="1"/>
  </sheetViews>
  <sheetProtection algorithmName="SHA-512" hashValue="LWRcxd1GFWfacfnxFhUBPpMpXOHBfRa5Qm7HWLJnYnAE96ksY+aMUjfDIks1HSZmS9FKN/63JODOO/1yrqALxA==" saltValue="cB9GGyEIjytJvWtrnAR75Q==" spinCount="100000"/>
  <pageMargins left="0.7" right="0.7" top="0.75" bottom="0.75" header="0.3" footer="0.3"/>
  <pageSetup paperSize="5"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Gráfico7"/>
  <sheetViews>
    <sheetView zoomScale="90" workbookViewId="0" zoomToFit="1"/>
  </sheetViews>
  <sheetProtection algorithmName="SHA-512" hashValue="fiMhBW654h2aNNG/rw+Ghm6BisohUIpVwlfPuKtRjF62F0VV8OhpKjLCbcOzcS+zJ8gvNiCJKiASMSSOdNzN5g==" saltValue="XdCpxLfAXWc7tEHmU8h37Q==" spinCount="100000"/>
  <customSheetViews>
    <customSheetView guid="{2AFB78BD-0AA0-48F7-9FB9-7ECB21AAFE3F}" scale="68" zoomToFit="1">
      <pageMargins left="0.35" right="0.33" top="0.70866141732283472" bottom="0.43307086614173229" header="0.51181102362204722" footer="0.23622047244094491"/>
      <pageSetup orientation="landscape" verticalDpi="300" r:id="rId1"/>
      <headerFooter alignWithMargins="0">
        <oddHeader>&amp;R&amp;"Arial,Normal"&amp;8&amp;F;  &amp;A &amp;D;  &amp;T</oddHeader>
      </headerFooter>
    </customSheetView>
  </customSheetViews>
  <pageMargins left="0.35" right="0.33" top="0.70866141732283472" bottom="0.43307086614173229" header="0.51181102362204722" footer="0.23622047244094491"/>
  <pageSetup paperSize="5" orientation="landscape" verticalDpi="300" r:id="rId2"/>
  <headerFooter alignWithMargins="0">
    <oddHeader>&amp;R&amp;"Arial,Normal"&amp;8&amp;F;  &amp;A &amp;D;  &amp;T</oddHeader>
  </headerFooter>
  <drawing r:id="rId3"/>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Gráfico4"/>
  <sheetViews>
    <sheetView zoomScale="94" workbookViewId="0" zoomToFit="1"/>
  </sheetViews>
  <sheetProtection algorithmName="SHA-512" hashValue="CCTLO00ksvbDDweVX14/2gssBAfx9pQa0zB2fk+utVbkZwE5n6ddsJzTIe5tt3oo4qFzrLtNRH+c3PPqJaafjw==" saltValue="1XpgGCm02xVPYhQV81iWAw==" spinCount="100000"/>
  <customSheetViews>
    <customSheetView guid="{2AFB78BD-0AA0-48F7-9FB9-7ECB21AAFE3F}" scale="72" zoomToFit="1">
      <pageMargins left="0.7" right="0.7" top="0.75" bottom="0.75" header="0.3" footer="0.3"/>
    </customSheetView>
  </customSheetViews>
  <pageMargins left="0.7" right="0.7" top="0.75" bottom="0.75" header="0.3" footer="0.3"/>
  <pageSetup paperSize="5"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codeName="Gráfico5"/>
  <sheetViews>
    <sheetView zoomScale="94" workbookViewId="0" zoomToFit="1"/>
  </sheetViews>
  <sheetProtection algorithmName="SHA-512" hashValue="nSNJXELhCnZJrMWsBCViUwfczDDJZwVECpVESko8BmPMsddd/Hez7KHOrJ3yUEEXRC02F6BsOJ4OY8zbSwKsXw==" saltValue="pXBRVcTCNtcgzsC1GSAo/g==" spinCount="100000"/>
  <customSheetViews>
    <customSheetView guid="{2AFB78BD-0AA0-48F7-9FB9-7ECB21AAFE3F}" scale="72" zoomToFit="1">
      <pageMargins left="0.7" right="0.7" top="0.75" bottom="0.75" header="0.3" footer="0.3"/>
    </customSheetView>
  </customSheetViews>
  <pageMargins left="0.7" right="0.7" top="0.75" bottom="0.75" header="0.3" footer="0.3"/>
  <pageSetup paperSize="5"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319342B-91BC-490D-A6D2-8C49146F45BB}">
  <sheetPr codeName="Gráfico13"/>
  <sheetViews>
    <sheetView zoomScale="94" workbookViewId="0" zoomToFit="1"/>
  </sheetViews>
  <sheetProtection algorithmName="SHA-512" hashValue="kbGaeF+s7BGdnmAv3KIyXsqOd6vRPhPcajiTr4WFE8Z4AEv7ki2OFBgSIfICE7GT2K0hEEanpzMlXwc+4PbT6g==" saltValue="aiDAA4/krvKNvB+vLcm/gQ==" spinCount="100000"/>
  <pageMargins left="0.7" right="0.7" top="0.75" bottom="0.75" header="0.3" footer="0.3"/>
  <pageSetup paperSize="5" orientation="landscape" r:id="rId1"/>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Gráfico9"/>
  <sheetViews>
    <sheetView zoomScale="94" workbookViewId="0" zoomToFit="1"/>
  </sheetViews>
  <sheetProtection algorithmName="SHA-512" hashValue="C5RvriYbxgiciSz7vat5b1teGPExkORKi0e9CEviRCxUaMOlIQWO3GGhS5iCnOcQJLCiC0acCkmcsUTzgc4IjA==" saltValue="xTR6WE2wQnnbziEOOCrKpQ==" spinCount="100000"/>
  <customSheetViews>
    <customSheetView guid="{2AFB78BD-0AA0-48F7-9FB9-7ECB21AAFE3F}" scale="72" zoomToFit="1">
      <pageMargins left="0.7" right="0.7" top="0.75" bottom="0.75" header="0.3" footer="0.3"/>
    </customSheetView>
  </customSheetViews>
  <pageMargins left="0.7" right="0.7" top="0.75" bottom="0.75" header="0.3" footer="0.3"/>
  <pageSetup paperSize="5" orientation="landscape" r:id="rId1"/>
  <drawing r:id="rId2"/>
</chartsheet>
</file>

<file path=xl/ctrlProps/ctrlProp1.xml><?xml version="1.0" encoding="utf-8"?>
<formControlPr xmlns="http://schemas.microsoft.com/office/spreadsheetml/2009/9/main" objectType="Scroll" dx="22" fmlaLink="$B$5" horiz="1" max="120" min="18" page="10" val="18"/>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1736462</xdr:colOff>
      <xdr:row>2</xdr:row>
      <xdr:rowOff>39159</xdr:rowOff>
    </xdr:from>
    <xdr:to>
      <xdr:col>2</xdr:col>
      <xdr:colOff>4213487</xdr:colOff>
      <xdr:row>2</xdr:row>
      <xdr:rowOff>242358</xdr:rowOff>
    </xdr:to>
    <xdr:sp macro="" textlink="Var!M4">
      <xdr:nvSpPr>
        <xdr:cNvPr id="3" name="8 CuadroTexto">
          <a:extLst>
            <a:ext uri="{FF2B5EF4-FFF2-40B4-BE49-F238E27FC236}">
              <a16:creationId xmlns:a16="http://schemas.microsoft.com/office/drawing/2014/main" id="{00000000-0008-0000-0000-000003000000}"/>
            </a:ext>
          </a:extLst>
        </xdr:cNvPr>
        <xdr:cNvSpPr txBox="1"/>
      </xdr:nvSpPr>
      <xdr:spPr>
        <a:xfrm>
          <a:off x="5327387" y="1096434"/>
          <a:ext cx="2477025" cy="203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118363DE-5CC0-4591-8FDD-4896EBD0ECC6}" type="TxLink">
            <a:rPr lang="en-US" sz="1000" b="0" i="0" u="none" strike="noStrike">
              <a:solidFill>
                <a:sysClr val="windowText" lastClr="000000"/>
              </a:solidFill>
              <a:latin typeface="Century Gothic"/>
              <a:cs typeface="Arial"/>
            </a:rPr>
            <a:pPr algn="ctr"/>
            <a:t> </a:t>
          </a:fld>
          <a:endParaRPr lang="es-CO"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308201</xdr:colOff>
      <xdr:row>0</xdr:row>
      <xdr:rowOff>28689</xdr:rowOff>
    </xdr:from>
    <xdr:to>
      <xdr:col>1</xdr:col>
      <xdr:colOff>3016024</xdr:colOff>
      <xdr:row>0</xdr:row>
      <xdr:rowOff>810599</xdr:rowOff>
    </xdr:to>
    <xdr:pic>
      <xdr:nvPicPr>
        <xdr:cNvPr id="5" name="3 Imagen" descr="logoSanMarino_18.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51076" y="28689"/>
          <a:ext cx="2707823" cy="78191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11415993" cy="6303309"/>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0.08366</cdr:x>
      <cdr:y>0.02244</cdr:y>
    </cdr:from>
    <cdr:to>
      <cdr:x>0.45349</cdr:x>
      <cdr:y>0.0735</cdr:y>
    </cdr:to>
    <cdr:sp macro="" textlink="Iniciar!$C$2">
      <cdr:nvSpPr>
        <cdr:cNvPr id="2" name="CuadroTexto 1"/>
        <cdr:cNvSpPr txBox="1"/>
      </cdr:nvSpPr>
      <cdr:spPr>
        <a:xfrm xmlns:a="http://schemas.openxmlformats.org/drawingml/2006/main">
          <a:off x="724457" y="141014"/>
          <a:ext cx="3202391" cy="320862"/>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none" lIns="72000" rIns="72000" rtlCol="0" anchor="ctr" anchorCtr="1">
          <a:spAutoFit/>
        </a:bodyPr>
        <a:lstStyle xmlns:a="http://schemas.openxmlformats.org/drawingml/2006/main"/>
        <a:p xmlns:a="http://schemas.openxmlformats.org/drawingml/2006/main">
          <a:fld id="{841638AC-ED47-4345-8AAD-939332B70CA2}" type="TxLink">
            <a:rPr lang="en-US" sz="1400" b="1" i="0" u="none" strike="noStrike">
              <a:solidFill>
                <a:srgbClr val="000000"/>
              </a:solidFill>
              <a:latin typeface="Century Gothic"/>
            </a:rPr>
            <a:pPr/>
            <a:t> </a:t>
          </a:fld>
          <a:endParaRPr lang="es-CO" sz="1200"/>
        </a:p>
      </cdr:txBody>
    </cdr:sp>
  </cdr:relSizeAnchor>
  <cdr:relSizeAnchor xmlns:cdr="http://schemas.openxmlformats.org/drawingml/2006/chartDrawing">
    <cdr:from>
      <cdr:x>0.54523</cdr:x>
      <cdr:y>0.02108</cdr:y>
    </cdr:from>
    <cdr:to>
      <cdr:x>0.89609</cdr:x>
      <cdr:y>0.06699</cdr:y>
    </cdr:to>
    <cdr:sp macro="" textlink="Manejos!$G$3">
      <cdr:nvSpPr>
        <cdr:cNvPr id="4" name="CuadroTexto 3"/>
        <cdr:cNvSpPr txBox="1"/>
      </cdr:nvSpPr>
      <cdr:spPr>
        <a:xfrm xmlns:a="http://schemas.openxmlformats.org/drawingml/2006/main">
          <a:off x="4720167" y="132519"/>
          <a:ext cx="3037415" cy="288614"/>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p xmlns:a="http://schemas.openxmlformats.org/drawingml/2006/main">
          <a:fld id="{2AFECE38-0CFF-44F4-B3B0-EA60420B321C}" type="TxLink">
            <a:rPr lang="en-US" sz="1200" b="1" i="0" u="none" strike="noStrike">
              <a:solidFill>
                <a:srgbClr val="000000"/>
              </a:solidFill>
              <a:latin typeface="Century Gothic"/>
            </a:rPr>
            <a:pPr/>
            <a:t>Línea :     Lote : </a:t>
          </a:fld>
          <a:endParaRPr lang="es-CO" sz="1050" b="1"/>
        </a:p>
      </cdr:txBody>
    </cdr:sp>
  </cdr:relSizeAnchor>
  <cdr:relSizeAnchor xmlns:cdr="http://schemas.openxmlformats.org/drawingml/2006/chartDrawing">
    <cdr:from>
      <cdr:x>0.60039</cdr:x>
      <cdr:y>0.81276</cdr:y>
    </cdr:from>
    <cdr:to>
      <cdr:x>0.88047</cdr:x>
      <cdr:y>0.85867</cdr:y>
    </cdr:to>
    <cdr:sp macro="" textlink="Var!$M$3">
      <cdr:nvSpPr>
        <cdr:cNvPr id="5" name="CuadroTexto 4"/>
        <cdr:cNvSpPr txBox="1"/>
      </cdr:nvSpPr>
      <cdr:spPr>
        <a:xfrm xmlns:a="http://schemas.openxmlformats.org/drawingml/2006/main">
          <a:off x="5198831" y="5107435"/>
          <a:ext cx="2425261" cy="288477"/>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none" lIns="72000" rIns="72000" rtlCol="0" anchor="ctr" anchorCtr="1">
          <a:spAutoFit/>
        </a:bodyPr>
        <a:lstStyle xmlns:a="http://schemas.openxmlformats.org/drawingml/2006/main"/>
        <a:p xmlns:a="http://schemas.openxmlformats.org/drawingml/2006/main">
          <a:fld id="{8C17FD1F-2728-4040-B35E-9EE8690F6704}" type="TxLink">
            <a:rPr lang="en-US" sz="1200" b="1" i="0" u="none" strike="noStrike">
              <a:solidFill>
                <a:srgbClr val="000000"/>
              </a:solidFill>
              <a:latin typeface="Century Gothic"/>
            </a:rPr>
            <a:pPr/>
            <a:t>Total Pollitas Recibidas : 0</a:t>
          </a:fld>
          <a:endParaRPr lang="es-CO" sz="1600" b="1"/>
        </a:p>
      </cdr:txBody>
    </cdr:sp>
  </cdr:relSizeAnchor>
  <cdr:relSizeAnchor xmlns:cdr="http://schemas.openxmlformats.org/drawingml/2006/chartDrawing">
    <cdr:from>
      <cdr:x>0.38491</cdr:x>
      <cdr:y>0.20246</cdr:y>
    </cdr:from>
    <cdr:to>
      <cdr:x>0.57074</cdr:x>
      <cdr:y>0.24833</cdr:y>
    </cdr:to>
    <cdr:sp macro="" textlink="GSh!$B$24">
      <cdr:nvSpPr>
        <cdr:cNvPr id="6" name="CuadroTexto 5"/>
        <cdr:cNvSpPr txBox="1">
          <a:spLocks xmlns:a="http://schemas.openxmlformats.org/drawingml/2006/main"/>
        </cdr:cNvSpPr>
      </cdr:nvSpPr>
      <cdr:spPr>
        <a:xfrm xmlns:a="http://schemas.openxmlformats.org/drawingml/2006/main">
          <a:off x="3332995" y="1272287"/>
          <a:ext cx="1609119" cy="288248"/>
        </a:xfrm>
        <a:prstGeom xmlns:a="http://schemas.openxmlformats.org/drawingml/2006/main" prst="rect">
          <a:avLst/>
        </a:prstGeom>
        <a:solidFill xmlns:a="http://schemas.openxmlformats.org/drawingml/2006/main">
          <a:srgbClr val="222E9E">
            <a:alpha val="40000"/>
          </a:srgbClr>
        </a:solidFill>
      </cdr:spPr>
      <cdr:txBody>
        <a:bodyPr xmlns:a="http://schemas.openxmlformats.org/drawingml/2006/main" vertOverflow="clip" horzOverflow="clip" wrap="square" lIns="36000" rIns="36000" rtlCol="0" anchor="ctr" anchorCtr="1">
          <a:spAutoFit/>
        </a:bodyPr>
        <a:lstStyle xmlns:a="http://schemas.openxmlformats.org/drawingml/2006/main"/>
        <a:p xmlns:a="http://schemas.openxmlformats.org/drawingml/2006/main">
          <a:fld id="{D7260DF2-1D29-45F0-8268-0BF5E80907E0}" type="TxLink">
            <a:rPr lang="en-US" sz="1200" b="1" i="0" u="none" strike="noStrike">
              <a:solidFill>
                <a:srgbClr val="000000"/>
              </a:solidFill>
              <a:latin typeface="Century Gothic"/>
            </a:rPr>
            <a:pPr/>
            <a:t>#¡VALOR!</a:t>
          </a:fld>
          <a:endParaRPr lang="es-CO" sz="1600" b="1"/>
        </a:p>
      </cdr:txBody>
    </cdr:sp>
  </cdr:relSizeAnchor>
  <cdr:relSizeAnchor xmlns:cdr="http://schemas.openxmlformats.org/drawingml/2006/chartDrawing">
    <cdr:from>
      <cdr:x>0.38491</cdr:x>
      <cdr:y>0.25366</cdr:y>
    </cdr:from>
    <cdr:to>
      <cdr:x>0.57001</cdr:x>
      <cdr:y>0.29953</cdr:y>
    </cdr:to>
    <cdr:sp macro="" textlink="GSh!$U$24">
      <cdr:nvSpPr>
        <cdr:cNvPr id="7" name="CuadroTexto 6"/>
        <cdr:cNvSpPr txBox="1">
          <a:spLocks xmlns:a="http://schemas.openxmlformats.org/drawingml/2006/main"/>
        </cdr:cNvSpPr>
      </cdr:nvSpPr>
      <cdr:spPr>
        <a:xfrm xmlns:a="http://schemas.openxmlformats.org/drawingml/2006/main">
          <a:off x="3332995" y="1594029"/>
          <a:ext cx="1602798" cy="288248"/>
        </a:xfrm>
        <a:prstGeom xmlns:a="http://schemas.openxmlformats.org/drawingml/2006/main" prst="rect">
          <a:avLst/>
        </a:prstGeom>
        <a:solidFill xmlns:a="http://schemas.openxmlformats.org/drawingml/2006/main">
          <a:srgbClr val="222E9E">
            <a:alpha val="40000"/>
          </a:srgbClr>
        </a:solidFill>
      </cdr:spPr>
      <cdr:txBody>
        <a:bodyPr xmlns:a="http://schemas.openxmlformats.org/drawingml/2006/main" vertOverflow="clip" horzOverflow="clip" wrap="square" lIns="36000" rIns="36000" rtlCol="0" anchor="ctr" anchorCtr="1">
          <a:spAutoFit/>
        </a:bodyPr>
        <a:lstStyle xmlns:a="http://schemas.openxmlformats.org/drawingml/2006/main"/>
        <a:p xmlns:a="http://schemas.openxmlformats.org/drawingml/2006/main">
          <a:fld id="{F4BD7614-7C81-4EC5-B59F-C6FA96186F87}" type="TxLink">
            <a:rPr lang="en-US" sz="1200" b="1" i="0" u="none" strike="noStrike">
              <a:solidFill>
                <a:srgbClr val="000000"/>
              </a:solidFill>
              <a:latin typeface="Century Gothic"/>
            </a:rPr>
            <a:pPr/>
            <a:t>#¡VALOR!</a:t>
          </a:fld>
          <a:endParaRPr lang="es-CO" sz="2400" b="1"/>
        </a:p>
      </cdr:txBody>
    </cdr:sp>
  </cdr:relSizeAnchor>
  <cdr:relSizeAnchor xmlns:cdr="http://schemas.openxmlformats.org/drawingml/2006/chartDrawing">
    <cdr:from>
      <cdr:x>0.38491</cdr:x>
      <cdr:y>0.30688</cdr:y>
    </cdr:from>
    <cdr:to>
      <cdr:x>0.45546</cdr:x>
      <cdr:y>0.35274</cdr:y>
    </cdr:to>
    <cdr:sp macro="" textlink="GSh!$AA$4">
      <cdr:nvSpPr>
        <cdr:cNvPr id="9" name="CuadroTexto 8"/>
        <cdr:cNvSpPr txBox="1">
          <a:spLocks xmlns:a="http://schemas.openxmlformats.org/drawingml/2006/main"/>
        </cdr:cNvSpPr>
      </cdr:nvSpPr>
      <cdr:spPr>
        <a:xfrm xmlns:a="http://schemas.openxmlformats.org/drawingml/2006/main">
          <a:off x="3332995" y="1928465"/>
          <a:ext cx="610899" cy="288185"/>
        </a:xfrm>
        <a:prstGeom xmlns:a="http://schemas.openxmlformats.org/drawingml/2006/main" prst="rect">
          <a:avLst/>
        </a:prstGeom>
        <a:solidFill xmlns:a="http://schemas.openxmlformats.org/drawingml/2006/main">
          <a:srgbClr val="222E9E">
            <a:alpha val="40000"/>
          </a:srgbClr>
        </a:solidFill>
      </cdr:spPr>
      <cdr:txBody>
        <a:bodyPr xmlns:a="http://schemas.openxmlformats.org/drawingml/2006/main" vertOverflow="clip" horzOverflow="clip" wrap="none" lIns="36000" rIns="36000" rtlCol="0" anchor="ctr" anchorCtr="1">
          <a:spAutoFit/>
        </a:bodyPr>
        <a:lstStyle xmlns:a="http://schemas.openxmlformats.org/drawingml/2006/main"/>
        <a:p xmlns:a="http://schemas.openxmlformats.org/drawingml/2006/main">
          <a:fld id="{16A636B0-EAED-4468-8CC4-C02CD596E01A}" type="TxLink">
            <a:rPr lang="en-US" sz="1200" b="1" i="0" u="none" strike="noStrike">
              <a:solidFill>
                <a:srgbClr val="000000"/>
              </a:solidFill>
              <a:latin typeface="Century Gothic"/>
            </a:rPr>
            <a:pPr/>
            <a:t>0 Sem</a:t>
          </a:fld>
          <a:endParaRPr lang="es-CO" sz="1600" b="1"/>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11409734" cy="6282447"/>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0.10641</cdr:x>
      <cdr:y>0.00738</cdr:y>
    </cdr:from>
    <cdr:to>
      <cdr:x>0.90432</cdr:x>
      <cdr:y>0.1115</cdr:y>
    </cdr:to>
    <cdr:grpSp>
      <cdr:nvGrpSpPr>
        <cdr:cNvPr id="5" name="Grupo 4">
          <a:extLst xmlns:a="http://schemas.openxmlformats.org/drawingml/2006/main">
            <a:ext uri="{FF2B5EF4-FFF2-40B4-BE49-F238E27FC236}">
              <a16:creationId xmlns:a16="http://schemas.microsoft.com/office/drawing/2014/main" id="{B11B9D05-A11E-4806-BB11-D19A94F0E0E7}"/>
            </a:ext>
          </a:extLst>
        </cdr:cNvPr>
        <cdr:cNvGrpSpPr/>
      </cdr:nvGrpSpPr>
      <cdr:grpSpPr>
        <a:xfrm xmlns:a="http://schemas.openxmlformats.org/drawingml/2006/main">
          <a:off x="1214110" y="46364"/>
          <a:ext cx="9103941" cy="654129"/>
          <a:chOff x="751845" y="53416"/>
          <a:chExt cx="6809268" cy="654245"/>
        </a:xfrm>
      </cdr:grpSpPr>
      <cdr:sp macro="" textlink="Manejos!$G$1">
        <cdr:nvSpPr>
          <cdr:cNvPr id="2" name="CuadroTexto 1"/>
          <cdr:cNvSpPr txBox="1">
            <a:spLocks xmlns:a="http://schemas.openxmlformats.org/drawingml/2006/main"/>
          </cdr:cNvSpPr>
        </cdr:nvSpPr>
        <cdr:spPr>
          <a:xfrm xmlns:a="http://schemas.openxmlformats.org/drawingml/2006/main">
            <a:off x="5469866" y="53416"/>
            <a:ext cx="2084707" cy="320819"/>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36000" rIns="36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1316B6C-5728-459C-8DD2-204ED410AC20}" type="TxLink">
              <a:rPr lang="en-US" sz="1400" b="1" i="0" u="none" strike="noStrike">
                <a:solidFill>
                  <a:srgbClr val="000000"/>
                </a:solidFill>
                <a:latin typeface="Century Gothic"/>
              </a:rPr>
              <a:pPr/>
              <a:t> </a:t>
            </a:fld>
            <a:endParaRPr lang="es-CO" sz="1000"/>
          </a:p>
        </cdr:txBody>
      </cdr:sp>
      <cdr:sp macro="" textlink="Manejos!$G$3">
        <cdr:nvSpPr>
          <cdr:cNvPr id="3" name="CuadroTexto 2"/>
          <cdr:cNvSpPr txBox="1">
            <a:spLocks xmlns:a="http://schemas.openxmlformats.org/drawingml/2006/main"/>
          </cdr:cNvSpPr>
        </cdr:nvSpPr>
        <cdr:spPr>
          <a:xfrm xmlns:a="http://schemas.openxmlformats.org/drawingml/2006/main">
            <a:off x="3546946" y="419449"/>
            <a:ext cx="2959586" cy="288212"/>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none" lIns="36000" rIns="36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5CEC69A-2F20-4BE8-8655-6493418BBA3F}" type="TxLink">
              <a:rPr lang="en-US" sz="1200" b="1" i="0" u="none" strike="noStrike">
                <a:solidFill>
                  <a:srgbClr val="000000"/>
                </a:solidFill>
                <a:latin typeface="Century Gothic"/>
              </a:rPr>
              <a:pPr/>
              <a:t>Línea :     Lote : </a:t>
            </a:fld>
            <a:endParaRPr lang="es-CO" sz="1050" b="0"/>
          </a:p>
        </cdr:txBody>
      </cdr:sp>
      <cdr:sp macro="" textlink="Var!$M$3">
        <cdr:nvSpPr>
          <cdr:cNvPr id="4" name="CuadroTexto 3"/>
          <cdr:cNvSpPr txBox="1">
            <a:spLocks xmlns:a="http://schemas.openxmlformats.org/drawingml/2006/main"/>
          </cdr:cNvSpPr>
        </cdr:nvSpPr>
        <cdr:spPr>
          <a:xfrm xmlns:a="http://schemas.openxmlformats.org/drawingml/2006/main">
            <a:off x="751845" y="407083"/>
            <a:ext cx="2572357" cy="297981"/>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36000" rIns="36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E0C5891-337A-4B23-BBB6-3E7361506C47}" type="TxLink">
              <a:rPr lang="en-US" sz="1200" b="1" i="0" u="none" strike="noStrike">
                <a:solidFill>
                  <a:srgbClr val="000000"/>
                </a:solidFill>
                <a:latin typeface="Century Gothic"/>
              </a:rPr>
              <a:pPr/>
              <a:t>Total Pollitas Recibidas : 0</a:t>
            </a:fld>
            <a:endParaRPr lang="es-CO" sz="1050" b="1"/>
          </a:p>
        </cdr:txBody>
      </cdr:sp>
      <cdr:sp macro="" textlink="GSh!$D$24">
        <cdr:nvSpPr>
          <cdr:cNvPr id="8" name="CuadroTexto 7"/>
          <cdr:cNvSpPr txBox="1">
            <a:spLocks xmlns:a="http://schemas.openxmlformats.org/drawingml/2006/main"/>
          </cdr:cNvSpPr>
        </cdr:nvSpPr>
        <cdr:spPr>
          <a:xfrm xmlns:a="http://schemas.openxmlformats.org/drawingml/2006/main">
            <a:off x="754611" y="57653"/>
            <a:ext cx="1752776" cy="288434"/>
          </a:xfrm>
          <a:prstGeom xmlns:a="http://schemas.openxmlformats.org/drawingml/2006/main" prst="rect">
            <a:avLst/>
          </a:prstGeom>
          <a:solidFill xmlns:a="http://schemas.openxmlformats.org/drawingml/2006/main">
            <a:srgbClr val="222E9E">
              <a:alpha val="40000"/>
            </a:srgbClr>
          </a:solidFill>
        </cdr:spPr>
        <cdr:txBody>
          <a:bodyPr xmlns:a="http://schemas.openxmlformats.org/drawingml/2006/main" vertOverflow="clip" horzOverflow="clip" wrap="square" lIns="36000" rIns="36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0DC9093-2BBF-4260-8BBE-21811CA24BBD}" type="TxLink">
              <a:rPr lang="en-US" sz="1200" b="1" i="0" u="none" strike="noStrike">
                <a:solidFill>
                  <a:srgbClr val="000000"/>
                </a:solidFill>
                <a:latin typeface="Century Gothic"/>
              </a:rPr>
              <a:pPr/>
              <a:t>% Cumpl Peso: +</a:t>
            </a:fld>
            <a:endParaRPr lang="es-CO" sz="1200" b="1"/>
          </a:p>
        </cdr:txBody>
      </cdr:sp>
      <cdr:sp macro="" textlink="GSh!$U$25">
        <cdr:nvSpPr>
          <cdr:cNvPr id="9" name="CuadroTexto 8"/>
          <cdr:cNvSpPr txBox="1">
            <a:spLocks xmlns:a="http://schemas.openxmlformats.org/drawingml/2006/main"/>
          </cdr:cNvSpPr>
        </cdr:nvSpPr>
        <cdr:spPr>
          <a:xfrm xmlns:a="http://schemas.openxmlformats.org/drawingml/2006/main">
            <a:off x="2738267" y="63837"/>
            <a:ext cx="2231757" cy="288434"/>
          </a:xfrm>
          <a:prstGeom xmlns:a="http://schemas.openxmlformats.org/drawingml/2006/main" prst="rect">
            <a:avLst/>
          </a:prstGeom>
          <a:solidFill xmlns:a="http://schemas.openxmlformats.org/drawingml/2006/main">
            <a:srgbClr val="222E9E">
              <a:alpha val="40000"/>
            </a:srgbClr>
          </a:solidFill>
        </cdr:spPr>
        <cdr:txBody>
          <a:bodyPr xmlns:a="http://schemas.openxmlformats.org/drawingml/2006/main" vertOverflow="clip" horzOverflow="clip" wrap="square" lIns="36000" rIns="36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B07D1BF-281E-4012-862B-EA83695B7524}" type="TxLink">
              <a:rPr lang="en-US" sz="1200" b="1" i="0" u="none" strike="noStrike">
                <a:solidFill>
                  <a:srgbClr val="000000"/>
                </a:solidFill>
                <a:latin typeface="Century Gothic"/>
              </a:rPr>
              <a:pPr/>
              <a:t>% Cumpl Cons Ac: +</a:t>
            </a:fld>
            <a:endParaRPr lang="es-CO" sz="1200" b="1"/>
          </a:p>
        </cdr:txBody>
      </cdr:sp>
      <cdr:sp macro="" textlink="GSh!$AA$4">
        <cdr:nvSpPr>
          <cdr:cNvPr id="7" name="CuadroTexto 6"/>
          <cdr:cNvSpPr txBox="1">
            <a:spLocks xmlns:a="http://schemas.openxmlformats.org/drawingml/2006/main"/>
          </cdr:cNvSpPr>
        </cdr:nvSpPr>
        <cdr:spPr>
          <a:xfrm xmlns:a="http://schemas.openxmlformats.org/drawingml/2006/main">
            <a:off x="6749950" y="424115"/>
            <a:ext cx="811163" cy="272085"/>
          </a:xfrm>
          <a:prstGeom xmlns:a="http://schemas.openxmlformats.org/drawingml/2006/main" prst="rect">
            <a:avLst/>
          </a:prstGeom>
          <a:solidFill xmlns:a="http://schemas.openxmlformats.org/drawingml/2006/main">
            <a:srgbClr val="222E9E">
              <a:alpha val="40000"/>
            </a:srgbClr>
          </a:solidFill>
        </cdr:spPr>
        <cdr:txBody>
          <a:bodyPr xmlns:a="http://schemas.openxmlformats.org/drawingml/2006/main" vertOverflow="clip" horzOverflow="clip" wrap="square" lIns="36000" rIns="36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E72E12-16BE-427D-AB63-1BB5C6732DEE}" type="TxLink">
              <a:rPr lang="en-US" sz="1100" b="0" i="0" u="none" strike="noStrike">
                <a:solidFill>
                  <a:srgbClr val="000000"/>
                </a:solidFill>
                <a:latin typeface="Century Gothic"/>
              </a:rPr>
              <a:pPr/>
              <a:t>0 Sem</a:t>
            </a:fld>
            <a:endParaRPr lang="es-CO" sz="1100" b="1"/>
          </a:p>
        </cdr:txBody>
      </cdr:sp>
    </cdr:grpSp>
  </cdr:relSizeAnchor>
</c:userShapes>
</file>

<file path=xl/drawings/drawing14.xml><?xml version="1.0" encoding="utf-8"?>
<xdr:wsDr xmlns:xdr="http://schemas.openxmlformats.org/drawingml/2006/spreadsheetDrawing" xmlns:a="http://schemas.openxmlformats.org/drawingml/2006/main">
  <xdr:absoluteAnchor>
    <xdr:pos x="0" y="0"/>
    <xdr:ext cx="11409734" cy="6282447"/>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0.88519</cdr:x>
      <cdr:y>0.01867</cdr:y>
    </cdr:from>
    <cdr:to>
      <cdr:x>0.96815</cdr:x>
      <cdr:y>0.06455</cdr:y>
    </cdr:to>
    <cdr:sp macro="" textlink="GSh!$AA$4">
      <cdr:nvSpPr>
        <cdr:cNvPr id="3" name="CuadroTexto 1"/>
        <cdr:cNvSpPr txBox="1"/>
      </cdr:nvSpPr>
      <cdr:spPr>
        <a:xfrm xmlns:a="http://schemas.openxmlformats.org/drawingml/2006/main">
          <a:off x="7664953" y="117354"/>
          <a:ext cx="718358" cy="288249"/>
        </a:xfrm>
        <a:prstGeom xmlns:a="http://schemas.openxmlformats.org/drawingml/2006/main" prst="rect">
          <a:avLst/>
        </a:prstGeom>
        <a:solidFill xmlns:a="http://schemas.openxmlformats.org/drawingml/2006/main">
          <a:srgbClr val="222E9E">
            <a:alpha val="40000"/>
          </a:srgbClr>
        </a:solidFill>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8171B6-F567-494B-8F80-6C14D8593304}" type="TxLink">
            <a:rPr lang="en-US" sz="1200" b="1" i="0" u="none" strike="noStrike">
              <a:solidFill>
                <a:srgbClr val="000000"/>
              </a:solidFill>
              <a:latin typeface="Century Gothic"/>
            </a:rPr>
            <a:pPr/>
            <a:t>0 Sem</a:t>
          </a:fld>
          <a:endParaRPr lang="es-CO" sz="4800" b="1"/>
        </a:p>
      </cdr:txBody>
    </cdr:sp>
  </cdr:relSizeAnchor>
  <cdr:relSizeAnchor xmlns:cdr="http://schemas.openxmlformats.org/drawingml/2006/chartDrawing">
    <cdr:from>
      <cdr:x>0.0291</cdr:x>
      <cdr:y>0.01348</cdr:y>
    </cdr:from>
    <cdr:to>
      <cdr:x>0.28292</cdr:x>
      <cdr:y>0.06974</cdr:y>
    </cdr:to>
    <cdr:sp macro="" textlink="Manejos!$G$1">
      <cdr:nvSpPr>
        <cdr:cNvPr id="4" name="CuadroTexto 1"/>
        <cdr:cNvSpPr txBox="1"/>
      </cdr:nvSpPr>
      <cdr:spPr>
        <a:xfrm xmlns:a="http://schemas.openxmlformats.org/drawingml/2006/main">
          <a:off x="251924" y="84742"/>
          <a:ext cx="2197362" cy="353679"/>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7F29FE-1607-4717-9009-3B2AF8F2CC04}" type="TxLink">
            <a:rPr lang="en-US" sz="1600" b="1" i="0" u="none" strike="noStrike">
              <a:solidFill>
                <a:srgbClr val="000000"/>
              </a:solidFill>
              <a:latin typeface="Century Gothic"/>
            </a:rPr>
            <a:pPr/>
            <a:t> </a:t>
          </a:fld>
          <a:endParaRPr lang="es-CO" sz="700"/>
        </a:p>
      </cdr:txBody>
    </cdr:sp>
  </cdr:relSizeAnchor>
  <cdr:relSizeAnchor xmlns:cdr="http://schemas.openxmlformats.org/drawingml/2006/chartDrawing">
    <cdr:from>
      <cdr:x>0.33736</cdr:x>
      <cdr:y>0.01814</cdr:y>
    </cdr:from>
    <cdr:to>
      <cdr:x>0.56128</cdr:x>
      <cdr:y>0.06508</cdr:y>
    </cdr:to>
    <cdr:sp macro="" textlink="GSh!$N$24">
      <cdr:nvSpPr>
        <cdr:cNvPr id="6" name="CuadroTexto 1"/>
        <cdr:cNvSpPr txBox="1">
          <a:spLocks xmlns:a="http://schemas.openxmlformats.org/drawingml/2006/main"/>
        </cdr:cNvSpPr>
      </cdr:nvSpPr>
      <cdr:spPr>
        <a:xfrm xmlns:a="http://schemas.openxmlformats.org/drawingml/2006/main">
          <a:off x="2921235" y="113963"/>
          <a:ext cx="1938964" cy="295030"/>
        </a:xfrm>
        <a:prstGeom xmlns:a="http://schemas.openxmlformats.org/drawingml/2006/main" prst="rect">
          <a:avLst/>
        </a:prstGeom>
        <a:solidFill xmlns:a="http://schemas.openxmlformats.org/drawingml/2006/main">
          <a:srgbClr val="222E9E">
            <a:alpha val="40000"/>
          </a:srgb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0F61B6-2664-4771-9D34-53A0DA260042}" type="TxLink">
            <a:rPr lang="en-US" sz="1200" b="1" i="0" u="none" strike="noStrike">
              <a:solidFill>
                <a:srgbClr val="000000"/>
              </a:solidFill>
              <a:latin typeface="Century Gothic"/>
            </a:rPr>
            <a:pPr/>
            <a:t>Gr. A. D. Real: </a:t>
          </a:fld>
          <a:endParaRPr lang="es-CO" sz="4800" b="1"/>
        </a:p>
      </cdr:txBody>
    </cdr:sp>
  </cdr:relSizeAnchor>
  <cdr:relSizeAnchor xmlns:cdr="http://schemas.openxmlformats.org/drawingml/2006/chartDrawing">
    <cdr:from>
      <cdr:x>0.10758</cdr:x>
      <cdr:y>0.08851</cdr:y>
    </cdr:from>
    <cdr:to>
      <cdr:x>0.46088</cdr:x>
      <cdr:y>0.1344</cdr:y>
    </cdr:to>
    <cdr:sp macro="" textlink="Manejos!$G$3">
      <cdr:nvSpPr>
        <cdr:cNvPr id="5" name="CuadroTexto 1"/>
        <cdr:cNvSpPr txBox="1"/>
      </cdr:nvSpPr>
      <cdr:spPr>
        <a:xfrm xmlns:a="http://schemas.openxmlformats.org/drawingml/2006/main">
          <a:off x="931333" y="556423"/>
          <a:ext cx="3058584" cy="288477"/>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972B98C-C082-40CF-8833-10BFFB901E77}" type="TxLink">
            <a:rPr lang="en-US" sz="1200" b="1" i="0" u="none" strike="noStrike">
              <a:solidFill>
                <a:srgbClr val="000000"/>
              </a:solidFill>
              <a:latin typeface="Century Gothic"/>
            </a:rPr>
            <a:pPr/>
            <a:t>Línea :     Lote : </a:t>
          </a:fld>
          <a:endParaRPr lang="es-CO" sz="1050" b="0"/>
        </a:p>
      </cdr:txBody>
    </cdr:sp>
  </cdr:relSizeAnchor>
  <cdr:relSizeAnchor xmlns:cdr="http://schemas.openxmlformats.org/drawingml/2006/chartDrawing">
    <cdr:from>
      <cdr:x>0.65099</cdr:x>
      <cdr:y>0.01866</cdr:y>
    </cdr:from>
    <cdr:to>
      <cdr:x>0.79548</cdr:x>
      <cdr:y>0.06456</cdr:y>
    </cdr:to>
    <cdr:sp macro="" textlink="GSh!$K$24">
      <cdr:nvSpPr>
        <cdr:cNvPr id="8" name="CuadroTexto 1"/>
        <cdr:cNvSpPr txBox="1">
          <a:spLocks xmlns:a="http://schemas.openxmlformats.org/drawingml/2006/main" noChangeAspect="1"/>
        </cdr:cNvSpPr>
      </cdr:nvSpPr>
      <cdr:spPr>
        <a:xfrm xmlns:a="http://schemas.openxmlformats.org/drawingml/2006/main">
          <a:off x="5636997" y="117240"/>
          <a:ext cx="1251158" cy="288477"/>
        </a:xfrm>
        <a:prstGeom xmlns:a="http://schemas.openxmlformats.org/drawingml/2006/main" prst="rect">
          <a:avLst/>
        </a:prstGeom>
        <a:solidFill xmlns:a="http://schemas.openxmlformats.org/drawingml/2006/main">
          <a:srgbClr val="222E9E">
            <a:alpha val="40000"/>
          </a:srgbClr>
        </a:solidFill>
      </cdr:spPr>
      <cdr:txBody>
        <a:bodyPr xmlns:a="http://schemas.openxmlformats.org/drawingml/2006/main" vertOverflow="clip" horzOverflow="clip" wrap="non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2DA2F8-0796-470F-9924-D95B1D371FF2}" type="TxLink">
            <a:rPr lang="en-US" sz="1200" b="0" i="0" u="none" strike="noStrike">
              <a:solidFill>
                <a:srgbClr val="000000"/>
              </a:solidFill>
              <a:latin typeface="Century Gothic"/>
            </a:rPr>
            <a:pPr/>
            <a:t>Unif. Real:  %</a:t>
          </a:fld>
          <a:endParaRPr lang="es-CO" sz="4400" b="0"/>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11409734" cy="6282447"/>
    <xdr:graphicFrame macro="">
      <xdr:nvGraphicFramePr>
        <xdr:cNvPr id="2" name="Gráfico 1">
          <a:extLst>
            <a:ext uri="{FF2B5EF4-FFF2-40B4-BE49-F238E27FC236}">
              <a16:creationId xmlns:a16="http://schemas.microsoft.com/office/drawing/2014/main" id="{40894FF7-CDE5-F461-2CE0-C5CD8A1791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0.07213</cdr:x>
      <cdr:y>0.07575</cdr:y>
    </cdr:from>
    <cdr:to>
      <cdr:x>0.4323</cdr:x>
      <cdr:y>0.12162</cdr:y>
    </cdr:to>
    <cdr:sp macro="" textlink="Manejos!$G$3">
      <cdr:nvSpPr>
        <cdr:cNvPr id="3" name="CuadroTexto 1"/>
        <cdr:cNvSpPr txBox="1"/>
      </cdr:nvSpPr>
      <cdr:spPr>
        <a:xfrm xmlns:a="http://schemas.openxmlformats.org/drawingml/2006/main">
          <a:off x="624910" y="476394"/>
          <a:ext cx="3120451" cy="288477"/>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wrap="non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0E74C43-CE53-458B-AF66-680002D48A24}" type="TxLink">
            <a:rPr lang="en-US" sz="1200" b="1" i="0" u="none" strike="noStrike">
              <a:solidFill>
                <a:srgbClr val="000000"/>
              </a:solidFill>
              <a:latin typeface="Century Gothic"/>
            </a:rPr>
            <a:pPr/>
            <a:t>Línea :     Lote : </a:t>
          </a:fld>
          <a:endParaRPr lang="es-CO" sz="1050" b="0"/>
        </a:p>
      </cdr:txBody>
    </cdr:sp>
  </cdr:relSizeAnchor>
  <cdr:relSizeAnchor xmlns:cdr="http://schemas.openxmlformats.org/drawingml/2006/chartDrawing">
    <cdr:from>
      <cdr:x>0.56229</cdr:x>
      <cdr:y>0.0746</cdr:y>
    </cdr:from>
    <cdr:to>
      <cdr:x>0.93229</cdr:x>
      <cdr:y>0.12566</cdr:y>
    </cdr:to>
    <cdr:sp macro="" textlink="Manejos!$G$1">
      <cdr:nvSpPr>
        <cdr:cNvPr id="5" name="CuadroTexto 1"/>
        <cdr:cNvSpPr txBox="1"/>
      </cdr:nvSpPr>
      <cdr:spPr>
        <a:xfrm xmlns:a="http://schemas.openxmlformats.org/drawingml/2006/main">
          <a:off x="4867353" y="468474"/>
          <a:ext cx="3202807" cy="320668"/>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2CC11D6-F992-4038-ABC9-D90ED411EE9B}" type="TxLink">
            <a:rPr lang="en-US" sz="1400" b="1" i="0" u="none" strike="noStrike">
              <a:solidFill>
                <a:srgbClr val="000000"/>
              </a:solidFill>
              <a:latin typeface="Century Gothic"/>
            </a:rPr>
            <a:pPr/>
            <a:t> </a:t>
          </a:fld>
          <a:endParaRPr lang="es-CO" sz="600"/>
        </a:p>
      </cdr:txBody>
    </cdr:sp>
  </cdr:relSizeAnchor>
  <cdr:relSizeAnchor xmlns:cdr="http://schemas.openxmlformats.org/drawingml/2006/chartDrawing">
    <cdr:from>
      <cdr:x>0.87231</cdr:x>
      <cdr:y>0.7583</cdr:y>
    </cdr:from>
    <cdr:to>
      <cdr:x>0.95579</cdr:x>
      <cdr:y>0.80417</cdr:y>
    </cdr:to>
    <cdr:sp macro="" textlink="GSh!$AA$4">
      <cdr:nvSpPr>
        <cdr:cNvPr id="7" name="CuadroTexto 1"/>
        <cdr:cNvSpPr txBox="1"/>
      </cdr:nvSpPr>
      <cdr:spPr>
        <a:xfrm xmlns:a="http://schemas.openxmlformats.org/drawingml/2006/main">
          <a:off x="9960567" y="4772185"/>
          <a:ext cx="953230" cy="288674"/>
        </a:xfrm>
        <a:prstGeom xmlns:a="http://schemas.openxmlformats.org/drawingml/2006/main" prst="rect">
          <a:avLst/>
        </a:prstGeom>
        <a:solidFill xmlns:a="http://schemas.openxmlformats.org/drawingml/2006/main">
          <a:srgbClr val="222E9E">
            <a:alpha val="60000"/>
          </a:srgbClr>
        </a:solidFill>
      </cdr:spPr>
      <cdr:txBody>
        <a:bodyPr xmlns:a="http://schemas.openxmlformats.org/drawingml/2006/main"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82348BB-D35D-4A5A-A334-BD68B287F865}" type="TxLink">
            <a:rPr lang="en-US" sz="1200" b="1" i="0" u="none" strike="noStrike">
              <a:solidFill>
                <a:schemeClr val="bg1"/>
              </a:solidFill>
              <a:latin typeface="Century Gothic"/>
            </a:rPr>
            <a:pPr/>
            <a:t>0 Sem</a:t>
          </a:fld>
          <a:endParaRPr lang="es-CO" sz="4800" b="1">
            <a:solidFill>
              <a:schemeClr val="bg1"/>
            </a:solidFill>
          </a:endParaRPr>
        </a:p>
      </cdr:txBody>
    </cdr:sp>
  </cdr:relSizeAnchor>
  <cdr:relSizeAnchor xmlns:cdr="http://schemas.openxmlformats.org/drawingml/2006/chartDrawing">
    <cdr:from>
      <cdr:x>0.59435</cdr:x>
      <cdr:y>0.75907</cdr:y>
    </cdr:from>
    <cdr:to>
      <cdr:x>0.86992</cdr:x>
      <cdr:y>0.80494</cdr:y>
    </cdr:to>
    <cdr:sp macro="" textlink="[0]!GPR">
      <cdr:nvSpPr>
        <cdr:cNvPr id="8" name="CuadroTexto 2"/>
        <cdr:cNvSpPr txBox="1">
          <a:spLocks xmlns:a="http://schemas.openxmlformats.org/drawingml/2006/main" noChangeAspect="1"/>
        </cdr:cNvSpPr>
      </cdr:nvSpPr>
      <cdr:spPr>
        <a:xfrm xmlns:a="http://schemas.openxmlformats.org/drawingml/2006/main">
          <a:off x="6786636" y="4777031"/>
          <a:ext cx="3146640" cy="288674"/>
        </a:xfrm>
        <a:prstGeom xmlns:a="http://schemas.openxmlformats.org/drawingml/2006/main" prst="rect">
          <a:avLst/>
        </a:prstGeom>
        <a:solidFill xmlns:a="http://schemas.openxmlformats.org/drawingml/2006/main">
          <a:srgbClr val="222E9E">
            <a:alpha val="60000"/>
          </a:srgbClr>
        </a:solidFill>
      </cdr:spPr>
      <cdr:txBody>
        <a:bodyPr xmlns:a="http://schemas.openxmlformats.org/drawingml/2006/main"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E844F75-963B-4291-98FE-C70E056AA644}" type="TxLink">
            <a:rPr lang="en-US" sz="1200" b="1" i="0" u="none" strike="noStrike">
              <a:solidFill>
                <a:schemeClr val="bg1"/>
              </a:solidFill>
              <a:latin typeface="Century Gothic"/>
            </a:rPr>
            <a:pPr/>
            <a:t>Ganancia P Real:  Gr</a:t>
          </a:fld>
          <a:endParaRPr lang="es-CO" sz="8000" b="1">
            <a:solidFill>
              <a:schemeClr val="bg1"/>
            </a:solidFill>
          </a:endParaRP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12065000" cy="6614583"/>
    <xdr:graphicFrame macro="">
      <xdr:nvGraphicFramePr>
        <xdr:cNvPr id="2" name="1 Gráfico">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0.26141</cdr:x>
      <cdr:y>0.84851</cdr:y>
    </cdr:from>
    <cdr:to>
      <cdr:x>0.76987</cdr:x>
      <cdr:y>0.89475</cdr:y>
    </cdr:to>
    <cdr:sp macro="" textlink="PROD!$D$1">
      <cdr:nvSpPr>
        <cdr:cNvPr id="13323" name="Texto 2"/>
        <cdr:cNvSpPr txBox="1">
          <a:spLocks xmlns:a="http://schemas.openxmlformats.org/drawingml/2006/main" noChangeArrowheads="1" noTextEdit="1"/>
        </cdr:cNvSpPr>
      </cdr:nvSpPr>
      <cdr:spPr bwMode="auto">
        <a:xfrm xmlns:a="http://schemas.openxmlformats.org/drawingml/2006/main">
          <a:off x="2381718" y="5634024"/>
          <a:ext cx="4632423" cy="307007"/>
        </a:xfrm>
        <a:prstGeom xmlns:a="http://schemas.openxmlformats.org/drawingml/2006/main" prst="rect">
          <a:avLst/>
        </a:prstGeom>
        <a:noFill xmlns:a="http://schemas.openxmlformats.org/drawingml/2006/main"/>
        <a:ln xmlns:a="http://schemas.openxmlformats.org/drawingml/2006/main" w="38100" cmpd="thinThick">
          <a:solidFill>
            <a:srgbClr val="800000"/>
          </a:solidFill>
          <a:miter lim="800000"/>
          <a:headEnd/>
          <a:tailEnd/>
        </a:ln>
      </cdr:spPr>
      <cdr:txBody>
        <a:bodyPr xmlns:a="http://schemas.openxmlformats.org/drawingml/2006/main" vertOverflow="clip" horzOverflow="clip" wrap="none" lIns="36576" tIns="27432" rIns="36576" bIns="27432" anchor="ctr" anchorCtr="1" upright="1">
          <a:spAutoFit/>
        </a:bodyPr>
        <a:lstStyle xmlns:a="http://schemas.openxmlformats.org/drawingml/2006/main"/>
        <a:p xmlns:a="http://schemas.openxmlformats.org/drawingml/2006/main">
          <a:pPr algn="ctr" rtl="0">
            <a:defRPr sz="1000"/>
          </a:pPr>
          <a:fld id="{9826C28F-16AA-4B05-9D43-AC9592543E8A}" type="TxLink">
            <a:rPr lang="es-CO" sz="1600" b="1" i="0" u="none" strike="noStrike">
              <a:solidFill>
                <a:srgbClr val="000000"/>
              </a:solidFill>
              <a:latin typeface="Century Gothic" panose="020B0502020202020204" pitchFamily="34" charset="0"/>
              <a:cs typeface="Arial"/>
            </a:rPr>
            <a:pPr algn="ctr" rtl="0">
              <a:defRPr sz="1000"/>
            </a:pPr>
            <a:t>EMPRESA :  </a:t>
          </a:fld>
          <a:endParaRPr lang="es-CO" sz="1600" b="1" i="0" strike="noStrike">
            <a:solidFill>
              <a:srgbClr val="000000"/>
            </a:solidFill>
            <a:latin typeface="Century Gothic" panose="020B0502020202020204" pitchFamily="34" charset="0"/>
            <a:cs typeface="Arial"/>
          </a:endParaRPr>
        </a:p>
      </cdr:txBody>
    </cdr:sp>
  </cdr:relSizeAnchor>
  <cdr:relSizeAnchor xmlns:cdr="http://schemas.openxmlformats.org/drawingml/2006/chartDrawing">
    <cdr:from>
      <cdr:x>0.09659</cdr:x>
      <cdr:y>0.02469</cdr:y>
    </cdr:from>
    <cdr:to>
      <cdr:x>0.39778</cdr:x>
      <cdr:y>0.07221</cdr:y>
    </cdr:to>
    <cdr:sp macro="" textlink="'Sem-L'!$I$2">
      <cdr:nvSpPr>
        <cdr:cNvPr id="49" name="1 CuadroTexto"/>
        <cdr:cNvSpPr txBox="1"/>
      </cdr:nvSpPr>
      <cdr:spPr>
        <a:xfrm xmlns:a="http://schemas.openxmlformats.org/drawingml/2006/main">
          <a:off x="899894" y="163360"/>
          <a:ext cx="2805919" cy="314326"/>
        </a:xfrm>
        <a:prstGeom xmlns:a="http://schemas.openxmlformats.org/drawingml/2006/main" prst="rect">
          <a:avLst/>
        </a:prstGeom>
        <a:solidFill xmlns:a="http://schemas.openxmlformats.org/drawingml/2006/main">
          <a:srgbClr val="4F81BD"/>
        </a:solidFill>
        <a:ln xmlns:a="http://schemas.openxmlformats.org/drawingml/2006/main">
          <a:solidFill>
            <a:srgbClr val="800000"/>
          </a:solidFill>
        </a:ln>
      </cdr:spPr>
      <cdr:txBody>
        <a:bodyPr xmlns:a="http://schemas.openxmlformats.org/drawingml/2006/main" vertOverflow="clip" horzOverflow="clip" wrap="square" rtlCol="0" anchor="ctr" anchorCtr="1">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C83DDB3-FE40-4474-BB41-118B1603D82A}" type="TxLink">
            <a:rPr lang="en-US" sz="1200" b="1" i="0" u="none" strike="noStrike">
              <a:solidFill>
                <a:schemeClr val="bg1"/>
              </a:solidFill>
              <a:latin typeface="Century Gothic"/>
            </a:rPr>
            <a:pPr/>
            <a:t>0 </a:t>
          </a:fld>
          <a:endParaRPr lang="es-CO" sz="2000" b="1">
            <a:solidFill>
              <a:schemeClr val="bg1"/>
            </a:solidFill>
          </a:endParaRPr>
        </a:p>
      </cdr:txBody>
    </cdr:sp>
  </cdr:relSizeAnchor>
  <cdr:relSizeAnchor xmlns:cdr="http://schemas.openxmlformats.org/drawingml/2006/chartDrawing">
    <cdr:from>
      <cdr:x>0.51731</cdr:x>
      <cdr:y>0.03227</cdr:y>
    </cdr:from>
    <cdr:to>
      <cdr:x>0.90872</cdr:x>
      <cdr:y>0.08063</cdr:y>
    </cdr:to>
    <cdr:sp macro="" textlink="Manejos!$G$3">
      <cdr:nvSpPr>
        <cdr:cNvPr id="7" name="CuadroTexto 1"/>
        <cdr:cNvSpPr txBox="1"/>
      </cdr:nvSpPr>
      <cdr:spPr>
        <a:xfrm xmlns:a="http://schemas.openxmlformats.org/drawingml/2006/main">
          <a:off x="4819369" y="213460"/>
          <a:ext cx="3646466" cy="319916"/>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non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5BB97FF-C81A-4AEA-A930-E5CA804CAED2}" type="TxLink">
            <a:rPr lang="en-US" sz="1400" b="1" i="0" u="none" strike="noStrike">
              <a:solidFill>
                <a:srgbClr val="000000"/>
              </a:solidFill>
              <a:latin typeface="Century Gothic"/>
            </a:rPr>
            <a:pPr/>
            <a:t>Línea :     Lote : </a:t>
          </a:fld>
          <a:endParaRPr lang="es-CO" sz="1100" b="0"/>
        </a:p>
      </cdr:txBody>
    </cdr:sp>
  </cdr:relSizeAnchor>
  <cdr:relSizeAnchor xmlns:cdr="http://schemas.openxmlformats.org/drawingml/2006/chartDrawing">
    <cdr:from>
      <cdr:x>0.85469</cdr:x>
      <cdr:y>0.75675</cdr:y>
    </cdr:from>
    <cdr:to>
      <cdr:x>0.92948</cdr:x>
      <cdr:y>0.81021</cdr:y>
    </cdr:to>
    <cdr:sp macro="" textlink="GSh!$AA$4">
      <cdr:nvSpPr>
        <cdr:cNvPr id="8" name="CuadroTexto 1"/>
        <cdr:cNvSpPr txBox="1"/>
      </cdr:nvSpPr>
      <cdr:spPr>
        <a:xfrm xmlns:a="http://schemas.openxmlformats.org/drawingml/2006/main">
          <a:off x="10315221" y="5009153"/>
          <a:ext cx="902748" cy="353815"/>
        </a:xfrm>
        <a:prstGeom xmlns:a="http://schemas.openxmlformats.org/drawingml/2006/main" prst="rect">
          <a:avLst/>
        </a:prstGeom>
        <a:solidFill xmlns:a="http://schemas.openxmlformats.org/drawingml/2006/main">
          <a:srgbClr val="222E9E">
            <a:alpha val="40000"/>
          </a:srgbClr>
        </a:solidFill>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5EB6AFD-B87A-4622-BC7A-9CBCB0A77FF5}" type="TxLink">
            <a:rPr lang="en-US" sz="1600" b="1" i="0" u="none" strike="noStrike">
              <a:solidFill>
                <a:srgbClr val="000000"/>
              </a:solidFill>
              <a:latin typeface="Century Gothic"/>
            </a:rPr>
            <a:pPr/>
            <a:t>0 Sem</a:t>
          </a:fld>
          <a:endParaRPr lang="es-CO" sz="5400" b="1"/>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94139</xdr:colOff>
      <xdr:row>0</xdr:row>
      <xdr:rowOff>205353</xdr:rowOff>
    </xdr:from>
    <xdr:to>
      <xdr:col>2</xdr:col>
      <xdr:colOff>927759</xdr:colOff>
      <xdr:row>2</xdr:row>
      <xdr:rowOff>90783</xdr:rowOff>
    </xdr:to>
    <xdr:pic>
      <xdr:nvPicPr>
        <xdr:cNvPr id="3" name="3 Imagen" descr="Logotipo, nombre de la empresa&#10;&#10;Descripción generada automáticamente">
          <a:extLst>
            <a:ext uri="{FF2B5EF4-FFF2-40B4-BE49-F238E27FC236}">
              <a16:creationId xmlns:a16="http://schemas.microsoft.com/office/drawing/2014/main" id="{0B06B2C4-BBD3-46F0-A847-FF14C7BA3B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4139" y="205353"/>
          <a:ext cx="1681345" cy="48550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3</xdr:col>
      <xdr:colOff>258134</xdr:colOff>
      <xdr:row>3</xdr:row>
      <xdr:rowOff>0</xdr:rowOff>
    </xdr:to>
    <xdr:pic>
      <xdr:nvPicPr>
        <xdr:cNvPr id="5" name="3 Imagen" descr="logoSanMarino_18.jpg">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25" y="19050"/>
          <a:ext cx="2144084" cy="619125"/>
        </a:xfrm>
        <a:prstGeom prst="rect">
          <a:avLst/>
        </a:prstGeom>
        <a:ln w="9525">
          <a:solidFill>
            <a:srgbClr val="000000"/>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1009650</xdr:colOff>
      <xdr:row>0</xdr:row>
      <xdr:rowOff>28575</xdr:rowOff>
    </xdr:from>
    <xdr:to>
      <xdr:col>56</xdr:col>
      <xdr:colOff>504825</xdr:colOff>
      <xdr:row>2</xdr:row>
      <xdr:rowOff>181566</xdr:rowOff>
    </xdr:to>
    <xdr:pic>
      <xdr:nvPicPr>
        <xdr:cNvPr id="6" name="3 Imagen" descr="logoSanMarino_18.jpg">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719375" y="28575"/>
          <a:ext cx="1981200" cy="572091"/>
        </a:xfrm>
        <a:prstGeom prst="rect">
          <a:avLst/>
        </a:prstGeom>
        <a:ln w="9525">
          <a:no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523875</xdr:colOff>
      <xdr:row>0</xdr:row>
      <xdr:rowOff>28575</xdr:rowOff>
    </xdr:from>
    <xdr:to>
      <xdr:col>36</xdr:col>
      <xdr:colOff>2571750</xdr:colOff>
      <xdr:row>2</xdr:row>
      <xdr:rowOff>200819</xdr:rowOff>
    </xdr:to>
    <xdr:pic>
      <xdr:nvPicPr>
        <xdr:cNvPr id="4" name="3 Imagen" descr="logoSanMarino_18.jp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584025" y="28575"/>
          <a:ext cx="2047875" cy="591344"/>
        </a:xfrm>
        <a:prstGeom prst="rect">
          <a:avLst/>
        </a:prstGeom>
        <a:ln w="9525">
          <a:no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161925</xdr:colOff>
      <xdr:row>0</xdr:row>
      <xdr:rowOff>0</xdr:rowOff>
    </xdr:from>
    <xdr:to>
      <xdr:col>1</xdr:col>
      <xdr:colOff>1076325</xdr:colOff>
      <xdr:row>1</xdr:row>
      <xdr:rowOff>172964</xdr:rowOff>
    </xdr:to>
    <xdr:pic>
      <xdr:nvPicPr>
        <xdr:cNvPr id="3" name="3 Imagen" descr="logoSanMarino_18.jp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bwMode="auto">
        <a:xfrm>
          <a:off x="161925" y="0"/>
          <a:ext cx="1390650" cy="401564"/>
        </a:xfrm>
        <a:prstGeom prst="rect">
          <a:avLst/>
        </a:prstGeom>
        <a:ln w="9525">
          <a:no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247650</xdr:colOff>
      <xdr:row>4</xdr:row>
      <xdr:rowOff>473169</xdr:rowOff>
    </xdr:from>
    <xdr:to>
      <xdr:col>7</xdr:col>
      <xdr:colOff>342900</xdr:colOff>
      <xdr:row>4</xdr:row>
      <xdr:rowOff>604086</xdr:rowOff>
    </xdr:to>
    <xdr:sp macro="" textlink="">
      <xdr:nvSpPr>
        <xdr:cNvPr id="4" name="Flecha: hacia abajo 3">
          <a:extLst>
            <a:ext uri="{FF2B5EF4-FFF2-40B4-BE49-F238E27FC236}">
              <a16:creationId xmlns:a16="http://schemas.microsoft.com/office/drawing/2014/main" id="{00000000-0008-0000-0E00-000004000000}"/>
            </a:ext>
          </a:extLst>
        </xdr:cNvPr>
        <xdr:cNvSpPr>
          <a:spLocks noChangeAspect="1"/>
        </xdr:cNvSpPr>
      </xdr:nvSpPr>
      <xdr:spPr bwMode="auto">
        <a:xfrm>
          <a:off x="3686175" y="1387569"/>
          <a:ext cx="95250" cy="130917"/>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twoCellAnchor>
    <xdr:from>
      <xdr:col>10</xdr:col>
      <xdr:colOff>514350</xdr:colOff>
      <xdr:row>4</xdr:row>
      <xdr:rowOff>470844</xdr:rowOff>
    </xdr:from>
    <xdr:to>
      <xdr:col>10</xdr:col>
      <xdr:colOff>609600</xdr:colOff>
      <xdr:row>4</xdr:row>
      <xdr:rowOff>594060</xdr:rowOff>
    </xdr:to>
    <xdr:sp macro="" textlink="">
      <xdr:nvSpPr>
        <xdr:cNvPr id="5" name="Flecha: hacia abajo 4">
          <a:extLst>
            <a:ext uri="{FF2B5EF4-FFF2-40B4-BE49-F238E27FC236}">
              <a16:creationId xmlns:a16="http://schemas.microsoft.com/office/drawing/2014/main" id="{00000000-0008-0000-0E00-000005000000}"/>
            </a:ext>
          </a:extLst>
        </xdr:cNvPr>
        <xdr:cNvSpPr>
          <a:spLocks noChangeAspect="1"/>
        </xdr:cNvSpPr>
      </xdr:nvSpPr>
      <xdr:spPr bwMode="auto">
        <a:xfrm>
          <a:off x="6267450" y="1385244"/>
          <a:ext cx="95250" cy="123216"/>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twoCellAnchor>
    <xdr:from>
      <xdr:col>14</xdr:col>
      <xdr:colOff>409073</xdr:colOff>
      <xdr:row>4</xdr:row>
      <xdr:rowOff>484060</xdr:rowOff>
    </xdr:from>
    <xdr:to>
      <xdr:col>14</xdr:col>
      <xdr:colOff>504323</xdr:colOff>
      <xdr:row>4</xdr:row>
      <xdr:rowOff>599575</xdr:rowOff>
    </xdr:to>
    <xdr:sp macro="" textlink="">
      <xdr:nvSpPr>
        <xdr:cNvPr id="6" name="Flecha: hacia abajo 5">
          <a:extLst>
            <a:ext uri="{FF2B5EF4-FFF2-40B4-BE49-F238E27FC236}">
              <a16:creationId xmlns:a16="http://schemas.microsoft.com/office/drawing/2014/main" id="{00000000-0008-0000-0E00-000006000000}"/>
            </a:ext>
          </a:extLst>
        </xdr:cNvPr>
        <xdr:cNvSpPr>
          <a:spLocks noChangeAspect="1"/>
        </xdr:cNvSpPr>
      </xdr:nvSpPr>
      <xdr:spPr bwMode="auto">
        <a:xfrm>
          <a:off x="8581523" y="1398460"/>
          <a:ext cx="95250" cy="115515"/>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twoCellAnchor>
    <xdr:from>
      <xdr:col>19</xdr:col>
      <xdr:colOff>235618</xdr:colOff>
      <xdr:row>4</xdr:row>
      <xdr:rowOff>466225</xdr:rowOff>
    </xdr:from>
    <xdr:to>
      <xdr:col>19</xdr:col>
      <xdr:colOff>353428</xdr:colOff>
      <xdr:row>4</xdr:row>
      <xdr:rowOff>609100</xdr:rowOff>
    </xdr:to>
    <xdr:sp macro="" textlink="">
      <xdr:nvSpPr>
        <xdr:cNvPr id="7" name="Flecha: hacia abajo 6">
          <a:extLst>
            <a:ext uri="{FF2B5EF4-FFF2-40B4-BE49-F238E27FC236}">
              <a16:creationId xmlns:a16="http://schemas.microsoft.com/office/drawing/2014/main" id="{00000000-0008-0000-0E00-000007000000}"/>
            </a:ext>
          </a:extLst>
        </xdr:cNvPr>
        <xdr:cNvSpPr>
          <a:spLocks noChangeAspect="1"/>
        </xdr:cNvSpPr>
      </xdr:nvSpPr>
      <xdr:spPr bwMode="auto">
        <a:xfrm>
          <a:off x="9309434" y="1388646"/>
          <a:ext cx="117810" cy="142875"/>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twoCellAnchor>
    <xdr:from>
      <xdr:col>34</xdr:col>
      <xdr:colOff>225592</xdr:colOff>
      <xdr:row>4</xdr:row>
      <xdr:rowOff>478438</xdr:rowOff>
    </xdr:from>
    <xdr:to>
      <xdr:col>34</xdr:col>
      <xdr:colOff>330868</xdr:colOff>
      <xdr:row>4</xdr:row>
      <xdr:rowOff>623136</xdr:rowOff>
    </xdr:to>
    <xdr:sp macro="" textlink="">
      <xdr:nvSpPr>
        <xdr:cNvPr id="10" name="Flecha: hacia abajo 9">
          <a:extLst>
            <a:ext uri="{FF2B5EF4-FFF2-40B4-BE49-F238E27FC236}">
              <a16:creationId xmlns:a16="http://schemas.microsoft.com/office/drawing/2014/main" id="{00000000-0008-0000-0E00-00000A000000}"/>
            </a:ext>
          </a:extLst>
        </xdr:cNvPr>
        <xdr:cNvSpPr>
          <a:spLocks noChangeAspect="1"/>
        </xdr:cNvSpPr>
      </xdr:nvSpPr>
      <xdr:spPr bwMode="auto">
        <a:xfrm>
          <a:off x="14392776" y="1400859"/>
          <a:ext cx="105276" cy="144698"/>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twoCellAnchor>
    <xdr:from>
      <xdr:col>37</xdr:col>
      <xdr:colOff>275723</xdr:colOff>
      <xdr:row>4</xdr:row>
      <xdr:rowOff>466535</xdr:rowOff>
    </xdr:from>
    <xdr:to>
      <xdr:col>37</xdr:col>
      <xdr:colOff>386012</xdr:colOff>
      <xdr:row>4</xdr:row>
      <xdr:rowOff>618123</xdr:rowOff>
    </xdr:to>
    <xdr:sp macro="" textlink="">
      <xdr:nvSpPr>
        <xdr:cNvPr id="11" name="Flecha: hacia abajo 10">
          <a:extLst>
            <a:ext uri="{FF2B5EF4-FFF2-40B4-BE49-F238E27FC236}">
              <a16:creationId xmlns:a16="http://schemas.microsoft.com/office/drawing/2014/main" id="{00000000-0008-0000-0E00-00000B000000}"/>
            </a:ext>
          </a:extLst>
        </xdr:cNvPr>
        <xdr:cNvSpPr>
          <a:spLocks noChangeAspect="1"/>
        </xdr:cNvSpPr>
      </xdr:nvSpPr>
      <xdr:spPr bwMode="auto">
        <a:xfrm>
          <a:off x="16202526" y="1388956"/>
          <a:ext cx="110289" cy="151588"/>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twoCellAnchor>
    <xdr:from>
      <xdr:col>3</xdr:col>
      <xdr:colOff>240631</xdr:colOff>
      <xdr:row>4</xdr:row>
      <xdr:rowOff>480623</xdr:rowOff>
    </xdr:from>
    <xdr:to>
      <xdr:col>3</xdr:col>
      <xdr:colOff>333375</xdr:colOff>
      <xdr:row>4</xdr:row>
      <xdr:rowOff>608096</xdr:rowOff>
    </xdr:to>
    <xdr:sp macro="" textlink="">
      <xdr:nvSpPr>
        <xdr:cNvPr id="12" name="Flecha: hacia abajo 11">
          <a:extLst>
            <a:ext uri="{FF2B5EF4-FFF2-40B4-BE49-F238E27FC236}">
              <a16:creationId xmlns:a16="http://schemas.microsoft.com/office/drawing/2014/main" id="{00000000-0008-0000-0E00-00000C000000}"/>
            </a:ext>
          </a:extLst>
        </xdr:cNvPr>
        <xdr:cNvSpPr>
          <a:spLocks noChangeAspect="1"/>
        </xdr:cNvSpPr>
      </xdr:nvSpPr>
      <xdr:spPr bwMode="auto">
        <a:xfrm>
          <a:off x="1383631" y="1395023"/>
          <a:ext cx="92744" cy="127473"/>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twoCellAnchor>
    <xdr:from>
      <xdr:col>2</xdr:col>
      <xdr:colOff>240631</xdr:colOff>
      <xdr:row>4</xdr:row>
      <xdr:rowOff>480623</xdr:rowOff>
    </xdr:from>
    <xdr:to>
      <xdr:col>2</xdr:col>
      <xdr:colOff>333375</xdr:colOff>
      <xdr:row>4</xdr:row>
      <xdr:rowOff>608096</xdr:rowOff>
    </xdr:to>
    <xdr:sp macro="" textlink="">
      <xdr:nvSpPr>
        <xdr:cNvPr id="15" name="Flecha: hacia abajo 14">
          <a:extLst>
            <a:ext uri="{FF2B5EF4-FFF2-40B4-BE49-F238E27FC236}">
              <a16:creationId xmlns:a16="http://schemas.microsoft.com/office/drawing/2014/main" id="{00000000-0008-0000-0E00-00000F000000}"/>
            </a:ext>
          </a:extLst>
        </xdr:cNvPr>
        <xdr:cNvSpPr>
          <a:spLocks noChangeAspect="1"/>
        </xdr:cNvSpPr>
      </xdr:nvSpPr>
      <xdr:spPr bwMode="auto">
        <a:xfrm>
          <a:off x="1955131" y="1395023"/>
          <a:ext cx="92744" cy="127473"/>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twoCellAnchor>
    <xdr:from>
      <xdr:col>17</xdr:col>
      <xdr:colOff>400050</xdr:colOff>
      <xdr:row>4</xdr:row>
      <xdr:rowOff>466725</xdr:rowOff>
    </xdr:from>
    <xdr:to>
      <xdr:col>17</xdr:col>
      <xdr:colOff>495300</xdr:colOff>
      <xdr:row>4</xdr:row>
      <xdr:rowOff>582240</xdr:rowOff>
    </xdr:to>
    <xdr:sp macro="" textlink="">
      <xdr:nvSpPr>
        <xdr:cNvPr id="16" name="Flecha: hacia abajo 15">
          <a:extLst>
            <a:ext uri="{FF2B5EF4-FFF2-40B4-BE49-F238E27FC236}">
              <a16:creationId xmlns:a16="http://schemas.microsoft.com/office/drawing/2014/main" id="{00000000-0008-0000-0E00-000010000000}"/>
            </a:ext>
          </a:extLst>
        </xdr:cNvPr>
        <xdr:cNvSpPr>
          <a:spLocks noChangeAspect="1"/>
        </xdr:cNvSpPr>
      </xdr:nvSpPr>
      <xdr:spPr bwMode="auto">
        <a:xfrm>
          <a:off x="10182225" y="1381125"/>
          <a:ext cx="95250" cy="115515"/>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twoCellAnchor editAs="oneCell">
    <xdr:from>
      <xdr:col>0</xdr:col>
      <xdr:colOff>0</xdr:colOff>
      <xdr:row>0</xdr:row>
      <xdr:rowOff>120023</xdr:rowOff>
    </xdr:from>
    <xdr:to>
      <xdr:col>2</xdr:col>
      <xdr:colOff>552450</xdr:colOff>
      <xdr:row>2</xdr:row>
      <xdr:rowOff>152401</xdr:rowOff>
    </xdr:to>
    <xdr:pic>
      <xdr:nvPicPr>
        <xdr:cNvPr id="13" name="3 Imagen" descr="logoSanMarino_18.jpg">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20023"/>
          <a:ext cx="1695450" cy="489578"/>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53</xdr:col>
      <xdr:colOff>114300</xdr:colOff>
      <xdr:row>0</xdr:row>
      <xdr:rowOff>0</xdr:rowOff>
    </xdr:from>
    <xdr:to>
      <xdr:col>60</xdr:col>
      <xdr:colOff>11810</xdr:colOff>
      <xdr:row>2</xdr:row>
      <xdr:rowOff>220067</xdr:rowOff>
    </xdr:to>
    <xdr:pic>
      <xdr:nvPicPr>
        <xdr:cNvPr id="14" name="3 Imagen" descr="logoSanMarino_18.jpg">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bwMode="auto">
        <a:xfrm>
          <a:off x="29975175" y="0"/>
          <a:ext cx="2345435" cy="67726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426118</xdr:colOff>
      <xdr:row>4</xdr:row>
      <xdr:rowOff>466225</xdr:rowOff>
    </xdr:from>
    <xdr:to>
      <xdr:col>22</xdr:col>
      <xdr:colOff>543928</xdr:colOff>
      <xdr:row>4</xdr:row>
      <xdr:rowOff>609100</xdr:rowOff>
    </xdr:to>
    <xdr:sp macro="" textlink="">
      <xdr:nvSpPr>
        <xdr:cNvPr id="17" name="Flecha: hacia abajo 16">
          <a:extLst>
            <a:ext uri="{FF2B5EF4-FFF2-40B4-BE49-F238E27FC236}">
              <a16:creationId xmlns:a16="http://schemas.microsoft.com/office/drawing/2014/main" id="{00000000-0008-0000-0E00-000011000000}"/>
            </a:ext>
          </a:extLst>
        </xdr:cNvPr>
        <xdr:cNvSpPr>
          <a:spLocks noChangeAspect="1"/>
        </xdr:cNvSpPr>
      </xdr:nvSpPr>
      <xdr:spPr bwMode="auto">
        <a:xfrm>
          <a:off x="13132468" y="1380625"/>
          <a:ext cx="117810" cy="142875"/>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twoCellAnchor>
    <xdr:from>
      <xdr:col>5</xdr:col>
      <xdr:colOff>240631</xdr:colOff>
      <xdr:row>4</xdr:row>
      <xdr:rowOff>471098</xdr:rowOff>
    </xdr:from>
    <xdr:to>
      <xdr:col>5</xdr:col>
      <xdr:colOff>333375</xdr:colOff>
      <xdr:row>4</xdr:row>
      <xdr:rowOff>598571</xdr:rowOff>
    </xdr:to>
    <xdr:sp macro="" textlink="">
      <xdr:nvSpPr>
        <xdr:cNvPr id="2" name="Flecha: hacia abajo 1">
          <a:extLst>
            <a:ext uri="{FF2B5EF4-FFF2-40B4-BE49-F238E27FC236}">
              <a16:creationId xmlns:a16="http://schemas.microsoft.com/office/drawing/2014/main" id="{E87A65BD-FF1C-47A3-B73D-0A77245C313C}"/>
            </a:ext>
          </a:extLst>
        </xdr:cNvPr>
        <xdr:cNvSpPr>
          <a:spLocks noChangeAspect="1"/>
        </xdr:cNvSpPr>
      </xdr:nvSpPr>
      <xdr:spPr bwMode="auto">
        <a:xfrm>
          <a:off x="3098131" y="1385498"/>
          <a:ext cx="92744" cy="127473"/>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twoCellAnchor>
    <xdr:from>
      <xdr:col>18</xdr:col>
      <xdr:colOff>28575</xdr:colOff>
      <xdr:row>4</xdr:row>
      <xdr:rowOff>295275</xdr:rowOff>
    </xdr:from>
    <xdr:to>
      <xdr:col>18</xdr:col>
      <xdr:colOff>123825</xdr:colOff>
      <xdr:row>4</xdr:row>
      <xdr:rowOff>410790</xdr:rowOff>
    </xdr:to>
    <xdr:sp macro="" textlink="">
      <xdr:nvSpPr>
        <xdr:cNvPr id="3" name="Flecha: hacia abajo 2">
          <a:extLst>
            <a:ext uri="{FF2B5EF4-FFF2-40B4-BE49-F238E27FC236}">
              <a16:creationId xmlns:a16="http://schemas.microsoft.com/office/drawing/2014/main" id="{4161339B-59CD-4FBF-BA2A-BAF28640EA7C}"/>
            </a:ext>
          </a:extLst>
        </xdr:cNvPr>
        <xdr:cNvSpPr>
          <a:spLocks noChangeAspect="1"/>
        </xdr:cNvSpPr>
      </xdr:nvSpPr>
      <xdr:spPr bwMode="auto">
        <a:xfrm>
          <a:off x="10363200" y="1209675"/>
          <a:ext cx="95250" cy="115515"/>
        </a:xfrm>
        <a:prstGeom prst="downArrow">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fPrintsWithSheet="0"/>
  </xdr:twoCellAnchor>
</xdr:wsDr>
</file>

<file path=xl/drawings/drawing23.xml><?xml version="1.0" encoding="utf-8"?>
<xdr:wsDr xmlns:xdr="http://schemas.openxmlformats.org/drawingml/2006/spreadsheetDrawing" xmlns:a="http://schemas.openxmlformats.org/drawingml/2006/main">
  <xdr:absoluteAnchor>
    <xdr:pos x="0" y="0"/>
    <xdr:ext cx="11415993" cy="6303309"/>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0.01267</cdr:x>
      <cdr:y>0.01362</cdr:y>
    </cdr:from>
    <cdr:to>
      <cdr:x>0.30857</cdr:x>
      <cdr:y>0.05995</cdr:y>
    </cdr:to>
    <cdr:sp macro="" textlink="Iniciar!$C$2">
      <cdr:nvSpPr>
        <cdr:cNvPr id="3" name="CuadroTexto 1"/>
        <cdr:cNvSpPr txBox="1"/>
      </cdr:nvSpPr>
      <cdr:spPr>
        <a:xfrm xmlns:a="http://schemas.openxmlformats.org/drawingml/2006/main">
          <a:off x="109675" y="85611"/>
          <a:ext cx="2562274" cy="291096"/>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A4531-A578-4CC8-BB3A-D5D6CD7828A9}" type="TxLink">
            <a:rPr lang="en-US" sz="1200" b="1" i="0" u="none" strike="noStrike">
              <a:solidFill>
                <a:srgbClr val="000000"/>
              </a:solidFill>
              <a:latin typeface="Century Gothic"/>
            </a:rPr>
            <a:pPr/>
            <a:t> </a:t>
          </a:fld>
          <a:endParaRPr lang="es-CO" sz="800"/>
        </a:p>
      </cdr:txBody>
    </cdr:sp>
  </cdr:relSizeAnchor>
  <cdr:relSizeAnchor xmlns:cdr="http://schemas.openxmlformats.org/drawingml/2006/chartDrawing">
    <cdr:from>
      <cdr:x>0.53544</cdr:x>
      <cdr:y>0.08589</cdr:y>
    </cdr:from>
    <cdr:to>
      <cdr:x>0.61115</cdr:x>
      <cdr:y>0.12787</cdr:y>
    </cdr:to>
    <cdr:sp macro="" textlink="GSh!$CK$4">
      <cdr:nvSpPr>
        <cdr:cNvPr id="4" name="1 CuadroTexto"/>
        <cdr:cNvSpPr txBox="1"/>
      </cdr:nvSpPr>
      <cdr:spPr>
        <a:xfrm xmlns:a="http://schemas.openxmlformats.org/drawingml/2006/main">
          <a:off x="4636417" y="539745"/>
          <a:ext cx="655594" cy="263793"/>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3BBDAD9-7EC0-4036-BF32-E78FCE9CF3D2}" type="TxLink">
            <a:rPr lang="en-US" sz="1050" b="1" i="0" u="none" strike="noStrike">
              <a:solidFill>
                <a:srgbClr val="000000"/>
              </a:solidFill>
              <a:latin typeface="Century Gothic"/>
            </a:rPr>
            <a:pPr/>
            <a:t>0 Sem</a:t>
          </a:fld>
          <a:endParaRPr lang="es-CO" sz="1800" b="1">
            <a:solidFill>
              <a:sysClr val="windowText" lastClr="000000"/>
            </a:solidFill>
          </a:endParaRPr>
        </a:p>
      </cdr:txBody>
    </cdr:sp>
  </cdr:relSizeAnchor>
  <cdr:relSizeAnchor xmlns:cdr="http://schemas.openxmlformats.org/drawingml/2006/chartDrawing">
    <cdr:from>
      <cdr:x>0.70857</cdr:x>
      <cdr:y>0.46253</cdr:y>
    </cdr:from>
    <cdr:to>
      <cdr:x>0.92638</cdr:x>
      <cdr:y>0.50223</cdr:y>
    </cdr:to>
    <cdr:sp macro="" textlink="GSh!$AW$109">
      <cdr:nvSpPr>
        <cdr:cNvPr id="5" name="1 CuadroTexto"/>
        <cdr:cNvSpPr txBox="1"/>
      </cdr:nvSpPr>
      <cdr:spPr>
        <a:xfrm xmlns:a="http://schemas.openxmlformats.org/drawingml/2006/main">
          <a:off x="6135584" y="2906522"/>
          <a:ext cx="1886036" cy="249492"/>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squar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E776BCC-414B-491A-A666-39D1C8C150BD}" type="TxLink">
            <a:rPr lang="en-US" sz="1000" b="0" i="0" u="none" strike="noStrike">
              <a:solidFill>
                <a:srgbClr val="000000"/>
              </a:solidFill>
              <a:latin typeface="Century Gothic"/>
            </a:rPr>
            <a:pPr/>
            <a:t>Cons ml /ave día: </a:t>
          </a:fld>
          <a:endParaRPr lang="es-CO" sz="1200" b="0">
            <a:solidFill>
              <a:schemeClr val="bg1"/>
            </a:solidFill>
            <a:latin typeface="Arial Narrow" panose="020B0606020202030204" pitchFamily="34" charset="0"/>
          </a:endParaRPr>
        </a:p>
      </cdr:txBody>
    </cdr:sp>
  </cdr:relSizeAnchor>
  <cdr:relSizeAnchor xmlns:cdr="http://schemas.openxmlformats.org/drawingml/2006/chartDrawing">
    <cdr:from>
      <cdr:x>0.33508</cdr:x>
      <cdr:y>0.01515</cdr:y>
    </cdr:from>
    <cdr:to>
      <cdr:x>0.67207</cdr:x>
      <cdr:y>0.05842</cdr:y>
    </cdr:to>
    <cdr:sp macro="" textlink="Manejos!$G$3">
      <cdr:nvSpPr>
        <cdr:cNvPr id="6" name="CuadroTexto 1"/>
        <cdr:cNvSpPr txBox="1"/>
      </cdr:nvSpPr>
      <cdr:spPr>
        <a:xfrm xmlns:a="http://schemas.openxmlformats.org/drawingml/2006/main">
          <a:off x="2901462" y="95203"/>
          <a:ext cx="2918053" cy="271910"/>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3CA5550-0834-4694-9AE8-0ABFA2D7ED1F}" type="TxLink">
            <a:rPr lang="en-US" sz="1100" b="1" i="0" u="none" strike="noStrike">
              <a:solidFill>
                <a:srgbClr val="000000"/>
              </a:solidFill>
              <a:latin typeface="Century Gothic"/>
            </a:rPr>
            <a:pPr/>
            <a:t>Línea :     Lote : </a:t>
          </a:fld>
          <a:endParaRPr lang="es-CO" sz="900" b="0">
            <a:solidFill>
              <a:sysClr val="windowText" lastClr="000000"/>
            </a:solidFill>
          </a:endParaRPr>
        </a:p>
      </cdr:txBody>
    </cdr:sp>
  </cdr:relSizeAnchor>
  <cdr:relSizeAnchor xmlns:cdr="http://schemas.openxmlformats.org/drawingml/2006/chartDrawing">
    <cdr:from>
      <cdr:x>0.69554</cdr:x>
      <cdr:y>0.01515</cdr:y>
    </cdr:from>
    <cdr:to>
      <cdr:x>0.97083</cdr:x>
      <cdr:y>0.05842</cdr:y>
    </cdr:to>
    <cdr:sp macro="" textlink="Var!$M$5">
      <cdr:nvSpPr>
        <cdr:cNvPr id="7" name="CuadroTexto 1"/>
        <cdr:cNvSpPr txBox="1"/>
      </cdr:nvSpPr>
      <cdr:spPr>
        <a:xfrm xmlns:a="http://schemas.openxmlformats.org/drawingml/2006/main">
          <a:off x="6022731" y="95203"/>
          <a:ext cx="2383774" cy="271910"/>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0DFFE57-432C-45AB-96D2-A325BE1B87B2}" type="TxLink">
            <a:rPr lang="en-US" sz="1100" b="0" i="0" u="none" strike="noStrike">
              <a:solidFill>
                <a:srgbClr val="000000"/>
              </a:solidFill>
              <a:latin typeface="Century Gothic"/>
            </a:rPr>
            <a:pPr/>
            <a:t>Total Aves Encasetadas : 0</a:t>
          </a:fld>
          <a:endParaRPr lang="es-CO" sz="1100" b="0"/>
        </a:p>
      </cdr:txBody>
    </cdr:sp>
  </cdr:relSizeAnchor>
  <cdr:relSizeAnchor xmlns:cdr="http://schemas.openxmlformats.org/drawingml/2006/chartDrawing">
    <cdr:from>
      <cdr:x>0.43884</cdr:x>
      <cdr:y>0.34969</cdr:y>
    </cdr:from>
    <cdr:to>
      <cdr:x>0.54519</cdr:x>
      <cdr:y>0.38687</cdr:y>
    </cdr:to>
    <cdr:sp macro="" textlink="GSh!$AY$110">
      <cdr:nvSpPr>
        <cdr:cNvPr id="8" name="1 CuadroTexto"/>
        <cdr:cNvSpPr txBox="1"/>
      </cdr:nvSpPr>
      <cdr:spPr>
        <a:xfrm xmlns:a="http://schemas.openxmlformats.org/drawingml/2006/main">
          <a:off x="3799992" y="2197447"/>
          <a:ext cx="920829" cy="233640"/>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squar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13481EB-DB3F-435A-8581-322FCBD3591B}" type="TxLink">
            <a:rPr lang="en-US" sz="900" b="0" i="0" u="none" strike="noStrike">
              <a:solidFill>
                <a:srgbClr val="000000"/>
              </a:solidFill>
              <a:latin typeface="Century Gothic"/>
            </a:rPr>
            <a:pPr/>
            <a:t>Peso H: </a:t>
          </a:fld>
          <a:endParaRPr lang="es-CO" sz="1200" b="0">
            <a:solidFill>
              <a:schemeClr val="bg1"/>
            </a:solidFill>
            <a:latin typeface="Arial Narrow" panose="020B0606020202030204" pitchFamily="34" charset="0"/>
          </a:endParaRPr>
        </a:p>
      </cdr:txBody>
    </cdr:sp>
  </cdr:relSizeAnchor>
  <cdr:relSizeAnchor xmlns:cdr="http://schemas.openxmlformats.org/drawingml/2006/chartDrawing">
    <cdr:from>
      <cdr:x>0.78289</cdr:x>
      <cdr:y>0.64906</cdr:y>
    </cdr:from>
    <cdr:to>
      <cdr:x>0.92715</cdr:x>
      <cdr:y>0.68624</cdr:y>
    </cdr:to>
    <cdr:sp macro="" textlink="GSh!$AT$109">
      <cdr:nvSpPr>
        <cdr:cNvPr id="9" name="1 CuadroTexto"/>
        <cdr:cNvSpPr txBox="1"/>
      </cdr:nvSpPr>
      <cdr:spPr>
        <a:xfrm xmlns:a="http://schemas.openxmlformats.org/drawingml/2006/main">
          <a:off x="6779141" y="4078705"/>
          <a:ext cx="1249160" cy="233640"/>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2E4D8A3-19CB-4D88-A327-06A776AD1096}" type="TxLink">
            <a:rPr lang="en-US" sz="900" b="0" i="0" u="none" strike="noStrike">
              <a:solidFill>
                <a:srgbClr val="000000"/>
              </a:solidFill>
              <a:latin typeface="Century Gothic"/>
            </a:rPr>
            <a:pPr/>
            <a:t>Gr.A.D Real: </a:t>
          </a:fld>
          <a:endParaRPr lang="es-CO" sz="1200" b="0">
            <a:solidFill>
              <a:schemeClr val="bg1"/>
            </a:solidFill>
            <a:latin typeface="Arial Narrow" panose="020B0606020202030204" pitchFamily="34" charset="0"/>
          </a:endParaRPr>
        </a:p>
      </cdr:txBody>
    </cdr:sp>
  </cdr:relSizeAnchor>
  <cdr:relSizeAnchor xmlns:cdr="http://schemas.openxmlformats.org/drawingml/2006/chartDrawing">
    <cdr:from>
      <cdr:x>0.77761</cdr:x>
      <cdr:y>0.22137</cdr:y>
    </cdr:from>
    <cdr:to>
      <cdr:x>0.9192</cdr:x>
      <cdr:y>0.26105</cdr:y>
    </cdr:to>
    <cdr:sp macro="" textlink="GSh!$AE$110">
      <cdr:nvSpPr>
        <cdr:cNvPr id="13" name="1 CuadroTexto"/>
        <cdr:cNvSpPr txBox="1"/>
      </cdr:nvSpPr>
      <cdr:spPr>
        <a:xfrm xmlns:a="http://schemas.openxmlformats.org/drawingml/2006/main">
          <a:off x="6733432" y="1391082"/>
          <a:ext cx="1226041" cy="249350"/>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C721D6B-886A-4653-AA31-48702AB50807}" type="TxLink">
            <a:rPr lang="en-US" sz="1000" b="0" i="0" u="none" strike="noStrike">
              <a:solidFill>
                <a:srgbClr val="000000"/>
              </a:solidFill>
              <a:latin typeface="Century Gothic"/>
            </a:rPr>
            <a:pPr/>
            <a:t>% Prod.: </a:t>
          </a:fld>
          <a:endParaRPr lang="es-CO" sz="1200" b="0">
            <a:solidFill>
              <a:schemeClr val="bg1"/>
            </a:solidFill>
            <a:latin typeface="Arial Narrow" panose="020B0606020202030204" pitchFamily="34" charset="0"/>
          </a:endParaRPr>
        </a:p>
      </cdr:txBody>
    </cdr:sp>
  </cdr:relSizeAnchor>
  <cdr:relSizeAnchor xmlns:cdr="http://schemas.openxmlformats.org/drawingml/2006/chartDrawing">
    <cdr:from>
      <cdr:x>0.20312</cdr:x>
      <cdr:y>0.3001</cdr:y>
    </cdr:from>
    <cdr:to>
      <cdr:x>0.33634</cdr:x>
      <cdr:y>0.34103</cdr:y>
    </cdr:to>
    <cdr:sp macro="" textlink="[0]!DURAPICO">
      <cdr:nvSpPr>
        <cdr:cNvPr id="14" name="1 CuadroTexto"/>
        <cdr:cNvSpPr txBox="1"/>
      </cdr:nvSpPr>
      <cdr:spPr>
        <a:xfrm xmlns:a="http://schemas.openxmlformats.org/drawingml/2006/main">
          <a:off x="1759798" y="1887347"/>
          <a:ext cx="1154162" cy="257443"/>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894B419-2310-4EC0-ADBE-F4DFF0C03E0B}" type="TxLink">
            <a:rPr lang="en-US" sz="1050" b="1" i="0" u="none" strike="noStrike">
              <a:solidFill>
                <a:srgbClr val="000000"/>
              </a:solidFill>
              <a:latin typeface="Century Gothic"/>
            </a:rPr>
            <a:pPr/>
            <a:t>Sem &gt; 90% : 0</a:t>
          </a:fld>
          <a:endParaRPr lang="es-CO" sz="1800" b="1">
            <a:solidFill>
              <a:schemeClr val="bg1"/>
            </a:solidFill>
            <a:latin typeface="Arial Narrow" panose="020B0606020202030204" pitchFamily="34" charset="0"/>
          </a:endParaRPr>
        </a:p>
      </cdr:txBody>
    </cdr:sp>
  </cdr:relSizeAnchor>
  <cdr:relSizeAnchor xmlns:cdr="http://schemas.openxmlformats.org/drawingml/2006/chartDrawing">
    <cdr:from>
      <cdr:x>0.61801</cdr:x>
      <cdr:y>0.08609</cdr:y>
    </cdr:from>
    <cdr:to>
      <cdr:x>0.72683</cdr:x>
      <cdr:y>0.12718</cdr:y>
    </cdr:to>
    <cdr:sp macro="" textlink="GSh!$AQ$109">
      <cdr:nvSpPr>
        <cdr:cNvPr id="16" name="1 CuadroTexto">
          <a:extLst xmlns:a="http://schemas.openxmlformats.org/drawingml/2006/main">
            <a:ext uri="{FF2B5EF4-FFF2-40B4-BE49-F238E27FC236}">
              <a16:creationId xmlns:a16="http://schemas.microsoft.com/office/drawing/2014/main" id="{3E241845-FAAE-4319-96FD-BF13C551C215}"/>
            </a:ext>
          </a:extLst>
        </cdr:cNvPr>
        <cdr:cNvSpPr txBox="1"/>
      </cdr:nvSpPr>
      <cdr:spPr>
        <a:xfrm xmlns:a="http://schemas.openxmlformats.org/drawingml/2006/main">
          <a:off x="5739341" y="522776"/>
          <a:ext cx="1010661" cy="249492"/>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F7477E0-27D0-4E34-86FE-A84CB99A8EB7}" type="TxLink">
            <a:rPr lang="en-US" sz="1000" b="0" i="0" u="none" strike="noStrike">
              <a:solidFill>
                <a:srgbClr val="000000"/>
              </a:solidFill>
              <a:latin typeface="Century Gothic"/>
            </a:rPr>
            <a:pPr/>
            <a:t>% Supv: </a:t>
          </a:fld>
          <a:endParaRPr lang="es-CO" sz="1400" b="0">
            <a:solidFill>
              <a:schemeClr val="bg1"/>
            </a:solidFill>
            <a:latin typeface="Arial Narrow" panose="020B060602020203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11409734" cy="6282447"/>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cdr:x>
      <cdr:y>0.00552</cdr:y>
    </cdr:from>
    <cdr:to>
      <cdr:x>0.31439</cdr:x>
      <cdr:y>0.05662</cdr:y>
    </cdr:to>
    <cdr:sp macro="" textlink="'Sem-L'!$I$1">
      <cdr:nvSpPr>
        <cdr:cNvPr id="3" name="CuadroTexto 1"/>
        <cdr:cNvSpPr txBox="1"/>
      </cdr:nvSpPr>
      <cdr:spPr>
        <a:xfrm xmlns:a="http://schemas.openxmlformats.org/drawingml/2006/main">
          <a:off x="0" y="34687"/>
          <a:ext cx="2722332" cy="321114"/>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18A0DE9-87EC-4882-A75D-791BA19A1227}" type="TxLink">
            <a:rPr lang="en-US" sz="1400" b="1" i="0" u="none" strike="noStrike">
              <a:solidFill>
                <a:srgbClr val="000000"/>
              </a:solidFill>
              <a:latin typeface="Century Gothic"/>
            </a:rPr>
            <a:pPr/>
            <a:t> </a:t>
          </a:fld>
          <a:endParaRPr lang="es-CO" sz="1200"/>
        </a:p>
      </cdr:txBody>
    </cdr:sp>
  </cdr:relSizeAnchor>
  <cdr:relSizeAnchor xmlns:cdr="http://schemas.openxmlformats.org/drawingml/2006/chartDrawing">
    <cdr:from>
      <cdr:x>0.33766</cdr:x>
      <cdr:y>0.00813</cdr:y>
    </cdr:from>
    <cdr:to>
      <cdr:x>0.67558</cdr:x>
      <cdr:y>0.054</cdr:y>
    </cdr:to>
    <cdr:sp macro="" textlink="Manejos!$G$3">
      <cdr:nvSpPr>
        <cdr:cNvPr id="4" name="CuadroTexto 1"/>
        <cdr:cNvSpPr txBox="1"/>
      </cdr:nvSpPr>
      <cdr:spPr>
        <a:xfrm xmlns:a="http://schemas.openxmlformats.org/drawingml/2006/main">
          <a:off x="2923829" y="51089"/>
          <a:ext cx="2926109" cy="288248"/>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C92DC0C-D597-45F8-9A5E-3D1DB94AC1EC}" type="TxLink">
            <a:rPr lang="en-US" sz="1200" b="0" i="0" u="none" strike="noStrike">
              <a:solidFill>
                <a:srgbClr val="000000"/>
              </a:solidFill>
              <a:latin typeface="Century Gothic"/>
            </a:rPr>
            <a:pPr/>
            <a:t>Línea :     Lote : </a:t>
          </a:fld>
          <a:endParaRPr lang="es-CO" sz="1000" b="0">
            <a:solidFill>
              <a:sysClr val="windowText" lastClr="000000"/>
            </a:solidFill>
          </a:endParaRPr>
        </a:p>
      </cdr:txBody>
    </cdr:sp>
  </cdr:relSizeAnchor>
  <cdr:relSizeAnchor xmlns:cdr="http://schemas.openxmlformats.org/drawingml/2006/chartDrawing">
    <cdr:from>
      <cdr:x>0.69483</cdr:x>
      <cdr:y>0.00813</cdr:y>
    </cdr:from>
    <cdr:to>
      <cdr:x>1</cdr:x>
      <cdr:y>0.054</cdr:y>
    </cdr:to>
    <cdr:sp macro="" textlink="Var!$M$5">
      <cdr:nvSpPr>
        <cdr:cNvPr id="5" name="CuadroTexto 1"/>
        <cdr:cNvSpPr txBox="1"/>
      </cdr:nvSpPr>
      <cdr:spPr>
        <a:xfrm xmlns:a="http://schemas.openxmlformats.org/drawingml/2006/main">
          <a:off x="6016625" y="51089"/>
          <a:ext cx="2642466" cy="288248"/>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15D9C8F-DDE0-4675-973D-7CFA43F44653}" type="TxLink">
            <a:rPr lang="en-US" sz="1200" b="0" i="0" u="none" strike="noStrike">
              <a:solidFill>
                <a:srgbClr val="000000"/>
              </a:solidFill>
              <a:latin typeface="Century Gothic"/>
            </a:rPr>
            <a:pPr/>
            <a:t>Total Aves Encasetadas : 0</a:t>
          </a:fld>
          <a:endParaRPr lang="es-CO" sz="1200" b="0"/>
        </a:p>
      </cdr:txBody>
    </cdr:sp>
  </cdr:relSizeAnchor>
  <cdr:relSizeAnchor xmlns:cdr="http://schemas.openxmlformats.org/drawingml/2006/chartDrawing">
    <cdr:from>
      <cdr:x>0.6736</cdr:x>
      <cdr:y>0.07815</cdr:y>
    </cdr:from>
    <cdr:to>
      <cdr:x>0.89365</cdr:x>
      <cdr:y>0.11912</cdr:y>
    </cdr:to>
    <cdr:sp macro="" textlink="GSh!$BD$110">
      <cdr:nvSpPr>
        <cdr:cNvPr id="7" name="1 CuadroTexto"/>
        <cdr:cNvSpPr txBox="1"/>
      </cdr:nvSpPr>
      <cdr:spPr>
        <a:xfrm xmlns:a="http://schemas.openxmlformats.org/drawingml/2006/main">
          <a:off x="5832739" y="491101"/>
          <a:ext cx="1905433" cy="257443"/>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squar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21BC1B-20B8-4C95-808E-54BF5239F528}" type="TxLink">
            <a:rPr lang="en-US" sz="1050" b="0" i="0" u="none" strike="noStrike">
              <a:solidFill>
                <a:srgbClr val="000000"/>
              </a:solidFill>
              <a:latin typeface="Century Gothic"/>
            </a:rPr>
            <a:pPr/>
            <a:t>Masa Sem Huevo: </a:t>
          </a:fld>
          <a:endParaRPr lang="es-CO" sz="1600" b="0">
            <a:solidFill>
              <a:schemeClr val="bg1"/>
            </a:solidFill>
            <a:latin typeface="Arial Narrow" panose="020B0606020202030204" pitchFamily="34" charset="0"/>
          </a:endParaRPr>
        </a:p>
      </cdr:txBody>
    </cdr:sp>
  </cdr:relSizeAnchor>
  <cdr:relSizeAnchor xmlns:cdr="http://schemas.openxmlformats.org/drawingml/2006/chartDrawing">
    <cdr:from>
      <cdr:x>0.73436</cdr:x>
      <cdr:y>0.85567</cdr:y>
    </cdr:from>
    <cdr:to>
      <cdr:x>0.80556</cdr:x>
      <cdr:y>0.9067</cdr:y>
    </cdr:to>
    <cdr:sp macro="" textlink="GSh!$CK$4">
      <cdr:nvSpPr>
        <cdr:cNvPr id="10" name="1 CuadroTexto"/>
        <cdr:cNvSpPr txBox="1"/>
      </cdr:nvSpPr>
      <cdr:spPr>
        <a:xfrm xmlns:a="http://schemas.openxmlformats.org/drawingml/2006/main">
          <a:off x="8385447" y="5385010"/>
          <a:ext cx="812979" cy="321114"/>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860E3A5-2744-41CE-83D4-73953C57D1AD}" type="TxLink">
            <a:rPr lang="en-US" sz="1400" b="1" i="0" u="none" strike="noStrike">
              <a:solidFill>
                <a:srgbClr val="000000"/>
              </a:solidFill>
              <a:latin typeface="Century Gothic"/>
            </a:rPr>
            <a:pPr/>
            <a:t>0 Sem</a:t>
          </a:fld>
          <a:endParaRPr lang="es-CO" sz="3200" b="1">
            <a:solidFill>
              <a:sysClr val="windowText" lastClr="000000"/>
            </a:solidFill>
          </a:endParaRPr>
        </a:p>
      </cdr:txBody>
    </cdr:sp>
  </cdr:relSizeAnchor>
  <cdr:relSizeAnchor xmlns:cdr="http://schemas.openxmlformats.org/drawingml/2006/chartDrawing">
    <cdr:from>
      <cdr:x>0.71737</cdr:x>
      <cdr:y>0.49845</cdr:y>
    </cdr:from>
    <cdr:to>
      <cdr:x>0.88634</cdr:x>
      <cdr:y>0.53816</cdr:y>
    </cdr:to>
    <cdr:sp macro="" textlink="GSh!$BJ$109">
      <cdr:nvSpPr>
        <cdr:cNvPr id="11" name="1 CuadroTexto">
          <a:extLst xmlns:a="http://schemas.openxmlformats.org/drawingml/2006/main">
            <a:ext uri="{FF2B5EF4-FFF2-40B4-BE49-F238E27FC236}">
              <a16:creationId xmlns:a16="http://schemas.microsoft.com/office/drawing/2014/main" id="{CD82C6B6-0C76-4AF6-ADFA-4AACE481FC53}"/>
            </a:ext>
          </a:extLst>
        </cdr:cNvPr>
        <cdr:cNvSpPr txBox="1"/>
      </cdr:nvSpPr>
      <cdr:spPr>
        <a:xfrm xmlns:a="http://schemas.openxmlformats.org/drawingml/2006/main">
          <a:off x="6211748" y="3132303"/>
          <a:ext cx="1463157" cy="249492"/>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68B3DB-C884-4E86-A0F6-035D3A0C999E}" type="TxLink">
            <a:rPr lang="en-US" sz="1000" b="0" i="0" u="none" strike="noStrike">
              <a:solidFill>
                <a:srgbClr val="000000"/>
              </a:solidFill>
              <a:latin typeface="Century Gothic"/>
            </a:rPr>
            <a:pPr/>
            <a:t>Peso Ave :           </a:t>
          </a:fld>
          <a:endParaRPr lang="es-CO" sz="1400" b="0">
            <a:solidFill>
              <a:schemeClr val="bg1"/>
            </a:solidFill>
            <a:latin typeface="Arial Narrow" panose="020B06060202020302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11409734" cy="6282447"/>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cdr:x>
      <cdr:y>0.00294</cdr:y>
    </cdr:from>
    <cdr:to>
      <cdr:x>0.31439</cdr:x>
      <cdr:y>0.0592</cdr:y>
    </cdr:to>
    <cdr:sp macro="" textlink="'Sem-L'!$I$1">
      <cdr:nvSpPr>
        <cdr:cNvPr id="3" name="CuadroTexto 1"/>
        <cdr:cNvSpPr txBox="1"/>
      </cdr:nvSpPr>
      <cdr:spPr>
        <a:xfrm xmlns:a="http://schemas.openxmlformats.org/drawingml/2006/main">
          <a:off x="0" y="18438"/>
          <a:ext cx="2721429" cy="353325"/>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18A0DE9-87EC-4882-A75D-791BA19A1227}" type="TxLink">
            <a:rPr lang="en-US" sz="1600" b="1" i="0" u="none" strike="noStrike">
              <a:solidFill>
                <a:srgbClr val="000000"/>
              </a:solidFill>
              <a:latin typeface="Century Gothic"/>
            </a:rPr>
            <a:pPr/>
            <a:t> </a:t>
          </a:fld>
          <a:endParaRPr lang="es-CO" sz="1400"/>
        </a:p>
      </cdr:txBody>
    </cdr:sp>
  </cdr:relSizeAnchor>
  <cdr:relSizeAnchor xmlns:cdr="http://schemas.openxmlformats.org/drawingml/2006/chartDrawing">
    <cdr:from>
      <cdr:x>0.32996</cdr:x>
      <cdr:y>0.00813</cdr:y>
    </cdr:from>
    <cdr:to>
      <cdr:x>0.68437</cdr:x>
      <cdr:y>0.054</cdr:y>
    </cdr:to>
    <cdr:sp macro="" textlink="Manejos!$G$3">
      <cdr:nvSpPr>
        <cdr:cNvPr id="4" name="CuadroTexto 1"/>
        <cdr:cNvSpPr txBox="1"/>
      </cdr:nvSpPr>
      <cdr:spPr>
        <a:xfrm xmlns:a="http://schemas.openxmlformats.org/drawingml/2006/main">
          <a:off x="2857154" y="51089"/>
          <a:ext cx="3068868" cy="288248"/>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non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C92DC0C-D597-45F8-9A5E-3D1DB94AC1EC}" type="TxLink">
            <a:rPr lang="en-US" sz="1200" b="0" i="0" u="none" strike="noStrike">
              <a:solidFill>
                <a:srgbClr val="000000"/>
              </a:solidFill>
              <a:latin typeface="Century Gothic"/>
            </a:rPr>
            <a:pPr/>
            <a:t>Línea :     Lote : </a:t>
          </a:fld>
          <a:endParaRPr lang="es-CO" sz="1000" b="0">
            <a:solidFill>
              <a:sysClr val="windowText" lastClr="000000"/>
            </a:solidFill>
          </a:endParaRPr>
        </a:p>
      </cdr:txBody>
    </cdr:sp>
  </cdr:relSizeAnchor>
  <cdr:relSizeAnchor xmlns:cdr="http://schemas.openxmlformats.org/drawingml/2006/chartDrawing">
    <cdr:from>
      <cdr:x>0.7029</cdr:x>
      <cdr:y>0.00813</cdr:y>
    </cdr:from>
    <cdr:to>
      <cdr:x>1</cdr:x>
      <cdr:y>0.054</cdr:y>
    </cdr:to>
    <cdr:sp macro="" textlink="Var!$M$5">
      <cdr:nvSpPr>
        <cdr:cNvPr id="5" name="CuadroTexto 1"/>
        <cdr:cNvSpPr txBox="1"/>
      </cdr:nvSpPr>
      <cdr:spPr>
        <a:xfrm xmlns:a="http://schemas.openxmlformats.org/drawingml/2006/main">
          <a:off x="6086475" y="51089"/>
          <a:ext cx="2572616" cy="288248"/>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15D9C8F-DDE0-4675-973D-7CFA43F44653}" type="TxLink">
            <a:rPr lang="en-US" sz="1200" b="0" i="0" u="none" strike="noStrike">
              <a:solidFill>
                <a:srgbClr val="000000"/>
              </a:solidFill>
              <a:latin typeface="Century Gothic"/>
            </a:rPr>
            <a:pPr/>
            <a:t>Total Aves Encasetadas : 0</a:t>
          </a:fld>
          <a:endParaRPr lang="es-CO" sz="1200" b="0"/>
        </a:p>
      </cdr:txBody>
    </cdr:sp>
  </cdr:relSizeAnchor>
  <cdr:relSizeAnchor xmlns:cdr="http://schemas.openxmlformats.org/drawingml/2006/chartDrawing">
    <cdr:from>
      <cdr:x>0.67009</cdr:x>
      <cdr:y>0.44917</cdr:y>
    </cdr:from>
    <cdr:to>
      <cdr:x>0.89014</cdr:x>
      <cdr:y>0.49013</cdr:y>
    </cdr:to>
    <cdr:sp macro="" textlink="GSh!$BD$110">
      <cdr:nvSpPr>
        <cdr:cNvPr id="7" name="1 CuadroTexto"/>
        <cdr:cNvSpPr txBox="1"/>
      </cdr:nvSpPr>
      <cdr:spPr>
        <a:xfrm xmlns:a="http://schemas.openxmlformats.org/drawingml/2006/main" rot="20466533">
          <a:off x="7651531" y="2826763"/>
          <a:ext cx="2512676" cy="257774"/>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squar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21BC1B-20B8-4C95-808E-54BF5239F528}" type="TxLink">
            <a:rPr lang="en-US" sz="1050" b="0" i="0" u="none" strike="noStrike">
              <a:solidFill>
                <a:srgbClr val="000000"/>
              </a:solidFill>
              <a:latin typeface="Century Gothic"/>
            </a:rPr>
            <a:pPr/>
            <a:t>Masa Sem Huevo: </a:t>
          </a:fld>
          <a:endParaRPr lang="es-CO" sz="1600" b="0">
            <a:solidFill>
              <a:schemeClr val="bg1"/>
            </a:solidFill>
            <a:latin typeface="Arial Narrow" panose="020B0606020202030204" pitchFamily="34" charset="0"/>
          </a:endParaRPr>
        </a:p>
      </cdr:txBody>
    </cdr:sp>
  </cdr:relSizeAnchor>
  <cdr:relSizeAnchor xmlns:cdr="http://schemas.openxmlformats.org/drawingml/2006/chartDrawing">
    <cdr:from>
      <cdr:x>0.32502</cdr:x>
      <cdr:y>0.54665</cdr:y>
    </cdr:from>
    <cdr:to>
      <cdr:x>0.47972</cdr:x>
      <cdr:y>0.58633</cdr:y>
    </cdr:to>
    <cdr:sp macro="" textlink="GSh!$AI$110">
      <cdr:nvSpPr>
        <cdr:cNvPr id="8" name="1 CuadroTexto"/>
        <cdr:cNvSpPr txBox="1"/>
      </cdr:nvSpPr>
      <cdr:spPr>
        <a:xfrm xmlns:a="http://schemas.openxmlformats.org/drawingml/2006/main" rot="20062734">
          <a:off x="3711293" y="3440235"/>
          <a:ext cx="1766467" cy="249718"/>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D9943E2-61D0-4228-B7AA-65CA026DCF37}" type="TxLink">
            <a:rPr lang="en-US" sz="1000" b="0" i="0" u="none" strike="noStrike">
              <a:solidFill>
                <a:srgbClr val="000000"/>
              </a:solidFill>
              <a:latin typeface="Century Gothic"/>
            </a:rPr>
            <a:pPr/>
            <a:t>H.A.A. Real: </a:t>
          </a:fld>
          <a:endParaRPr lang="es-CO" sz="1400" b="0">
            <a:solidFill>
              <a:schemeClr val="bg1"/>
            </a:solidFill>
            <a:latin typeface="Arial Narrow" panose="020B0606020202030204" pitchFamily="34" charset="0"/>
          </a:endParaRPr>
        </a:p>
      </cdr:txBody>
    </cdr:sp>
  </cdr:relSizeAnchor>
  <cdr:relSizeAnchor xmlns:cdr="http://schemas.openxmlformats.org/drawingml/2006/chartDrawing">
    <cdr:from>
      <cdr:x>0.69434</cdr:x>
      <cdr:y>0.78506</cdr:y>
    </cdr:from>
    <cdr:to>
      <cdr:x>0.81455</cdr:x>
      <cdr:y>0.82474</cdr:y>
    </cdr:to>
    <cdr:sp macro="" textlink="GSh!$AP$109">
      <cdr:nvSpPr>
        <cdr:cNvPr id="9" name="1 CuadroTexto"/>
        <cdr:cNvSpPr txBox="1"/>
      </cdr:nvSpPr>
      <cdr:spPr>
        <a:xfrm xmlns:a="http://schemas.openxmlformats.org/drawingml/2006/main" rot="21285399">
          <a:off x="6011017" y="4935270"/>
          <a:ext cx="1040678" cy="249449"/>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BB981BC-9F50-467A-8DE8-9DB236CCFDFF}" type="TxLink">
            <a:rPr lang="en-US" sz="1000" b="0" i="0" u="none" strike="noStrike">
              <a:solidFill>
                <a:srgbClr val="000000"/>
              </a:solidFill>
              <a:latin typeface="Century Gothic"/>
            </a:rPr>
            <a:pPr/>
            <a:t>% M. Ac.: </a:t>
          </a:fld>
          <a:endParaRPr lang="es-CO" sz="1400" b="0">
            <a:solidFill>
              <a:schemeClr val="bg1"/>
            </a:solidFill>
            <a:latin typeface="Arial Narrow" panose="020B0606020202030204" pitchFamily="34" charset="0"/>
          </a:endParaRPr>
        </a:p>
      </cdr:txBody>
    </cdr:sp>
  </cdr:relSizeAnchor>
  <cdr:relSizeAnchor xmlns:cdr="http://schemas.openxmlformats.org/drawingml/2006/chartDrawing">
    <cdr:from>
      <cdr:x>0.72278</cdr:x>
      <cdr:y>0.88068</cdr:y>
    </cdr:from>
    <cdr:to>
      <cdr:x>0.7959</cdr:x>
      <cdr:y>0.92133</cdr:y>
    </cdr:to>
    <cdr:sp macro="" textlink="GSh!$CK$4">
      <cdr:nvSpPr>
        <cdr:cNvPr id="10" name="1 CuadroTexto"/>
        <cdr:cNvSpPr txBox="1"/>
      </cdr:nvSpPr>
      <cdr:spPr>
        <a:xfrm xmlns:a="http://schemas.openxmlformats.org/drawingml/2006/main">
          <a:off x="6258587" y="5534232"/>
          <a:ext cx="633153" cy="255445"/>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860E3A5-2744-41CE-83D4-73953C57D1AD}" type="TxLink">
            <a:rPr lang="en-US" sz="1000" b="1" i="0" u="none" strike="noStrike">
              <a:solidFill>
                <a:srgbClr val="000000"/>
              </a:solidFill>
              <a:latin typeface="Century Gothic"/>
            </a:rPr>
            <a:pPr/>
            <a:t>0 Sem</a:t>
          </a:fld>
          <a:endParaRPr lang="es-CO" sz="1800" b="1">
            <a:solidFill>
              <a:sysClr val="windowText" lastClr="000000"/>
            </a:solidFill>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11409734" cy="6282447"/>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26378</xdr:colOff>
      <xdr:row>0</xdr:row>
      <xdr:rowOff>298812</xdr:rowOff>
    </xdr:from>
    <xdr:to>
      <xdr:col>1</xdr:col>
      <xdr:colOff>1128869</xdr:colOff>
      <xdr:row>1</xdr:row>
      <xdr:rowOff>187823</xdr:rowOff>
    </xdr:to>
    <xdr:pic>
      <xdr:nvPicPr>
        <xdr:cNvPr id="3" name="3 Imagen" descr="Logotipo, nombre de la empresa&#10;&#10;Descripción generada automáticamente">
          <a:extLst>
            <a:ext uri="{FF2B5EF4-FFF2-40B4-BE49-F238E27FC236}">
              <a16:creationId xmlns:a16="http://schemas.microsoft.com/office/drawing/2014/main" id="{4672A860-90EE-40B0-ABCD-33B282D2DD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6378" y="298812"/>
          <a:ext cx="1759716" cy="50813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0.11125</cdr:x>
      <cdr:y>0.00352</cdr:y>
    </cdr:from>
    <cdr:to>
      <cdr:x>0.47682</cdr:x>
      <cdr:y>0.05978</cdr:y>
    </cdr:to>
    <cdr:sp macro="" textlink="'Sem-L'!$I$1">
      <cdr:nvSpPr>
        <cdr:cNvPr id="3" name="CuadroTexto 1"/>
        <cdr:cNvSpPr txBox="1"/>
      </cdr:nvSpPr>
      <cdr:spPr>
        <a:xfrm xmlns:a="http://schemas.openxmlformats.org/drawingml/2006/main">
          <a:off x="963016" y="22119"/>
          <a:ext cx="3164484" cy="353325"/>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18A0DE9-87EC-4882-A75D-791BA19A1227}" type="TxLink">
            <a:rPr lang="en-US" sz="1600" b="1" i="0" u="none" strike="noStrike">
              <a:solidFill>
                <a:srgbClr val="000000"/>
              </a:solidFill>
              <a:latin typeface="Century Gothic"/>
            </a:rPr>
            <a:pPr/>
            <a:t> </a:t>
          </a:fld>
          <a:endParaRPr lang="es-CO" sz="1400"/>
        </a:p>
      </cdr:txBody>
    </cdr:sp>
  </cdr:relSizeAnchor>
  <cdr:relSizeAnchor xmlns:cdr="http://schemas.openxmlformats.org/drawingml/2006/chartDrawing">
    <cdr:from>
      <cdr:x>0.55974</cdr:x>
      <cdr:y>0.00393</cdr:y>
    </cdr:from>
    <cdr:to>
      <cdr:x>0.89129</cdr:x>
      <cdr:y>0.10194</cdr:y>
    </cdr:to>
    <cdr:grpSp>
      <cdr:nvGrpSpPr>
        <cdr:cNvPr id="6" name="Grupo 5">
          <a:extLst xmlns:a="http://schemas.openxmlformats.org/drawingml/2006/main">
            <a:ext uri="{FF2B5EF4-FFF2-40B4-BE49-F238E27FC236}">
              <a16:creationId xmlns:a16="http://schemas.microsoft.com/office/drawing/2014/main" id="{293250C2-0366-476A-93EE-B12058A4AF37}"/>
            </a:ext>
          </a:extLst>
        </cdr:cNvPr>
        <cdr:cNvGrpSpPr/>
      </cdr:nvGrpSpPr>
      <cdr:grpSpPr>
        <a:xfrm xmlns:a="http://schemas.openxmlformats.org/drawingml/2006/main">
          <a:off x="6386485" y="24690"/>
          <a:ext cx="3782897" cy="615743"/>
          <a:chOff x="50801" y="63982"/>
          <a:chExt cx="2868484" cy="615911"/>
        </a:xfrm>
      </cdr:grpSpPr>
      <cdr:sp macro="" textlink="Manejos!$G$3">
        <cdr:nvSpPr>
          <cdr:cNvPr id="4" name="CuadroTexto 1"/>
          <cdr:cNvSpPr txBox="1"/>
        </cdr:nvSpPr>
        <cdr:spPr>
          <a:xfrm xmlns:a="http://schemas.openxmlformats.org/drawingml/2006/main">
            <a:off x="50801" y="63982"/>
            <a:ext cx="2868484" cy="288270"/>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C92DC0C-D597-45F8-9A5E-3D1DB94AC1EC}" type="TxLink">
              <a:rPr lang="en-US" sz="1200" b="0" i="0" u="none" strike="noStrike">
                <a:solidFill>
                  <a:srgbClr val="000000"/>
                </a:solidFill>
                <a:latin typeface="Century Gothic"/>
              </a:rPr>
              <a:pPr/>
              <a:t>Línea :     Lote : </a:t>
            </a:fld>
            <a:endParaRPr lang="es-CO" sz="1000" b="0">
              <a:solidFill>
                <a:sysClr val="windowText" lastClr="000000"/>
              </a:solidFill>
            </a:endParaRPr>
          </a:p>
        </cdr:txBody>
      </cdr:sp>
      <cdr:sp macro="" textlink="Var!$M$5">
        <cdr:nvSpPr>
          <cdr:cNvPr id="5" name="CuadroTexto 1"/>
          <cdr:cNvSpPr txBox="1"/>
        </cdr:nvSpPr>
        <cdr:spPr>
          <a:xfrm xmlns:a="http://schemas.openxmlformats.org/drawingml/2006/main">
            <a:off x="320829" y="391623"/>
            <a:ext cx="2462738" cy="288270"/>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non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15D9C8F-DDE0-4675-973D-7CFA43F44653}" type="TxLink">
              <a:rPr lang="en-US" sz="1200" b="0" i="0" u="none" strike="noStrike">
                <a:solidFill>
                  <a:srgbClr val="000000"/>
                </a:solidFill>
                <a:latin typeface="Century Gothic"/>
              </a:rPr>
              <a:pPr/>
              <a:t>Total Aves Encasetadas : 0</a:t>
            </a:fld>
            <a:endParaRPr lang="es-CO" sz="1200" b="0"/>
          </a:p>
        </cdr:txBody>
      </cdr:sp>
    </cdr:grpSp>
  </cdr:relSizeAnchor>
  <cdr:relSizeAnchor xmlns:cdr="http://schemas.openxmlformats.org/drawingml/2006/chartDrawing">
    <cdr:from>
      <cdr:x>0.61216</cdr:x>
      <cdr:y>0.71342</cdr:y>
    </cdr:from>
    <cdr:to>
      <cdr:x>0.79593</cdr:x>
      <cdr:y>0.75974</cdr:y>
    </cdr:to>
    <cdr:sp macro="" textlink="GSh!$BM$109">
      <cdr:nvSpPr>
        <cdr:cNvPr id="7" name="1 CuadroTexto"/>
        <cdr:cNvSpPr txBox="1"/>
      </cdr:nvSpPr>
      <cdr:spPr>
        <a:xfrm xmlns:a="http://schemas.openxmlformats.org/drawingml/2006/main">
          <a:off x="5299533" y="4484944"/>
          <a:ext cx="1590927" cy="291190"/>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squar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F90C388-3DEF-492E-B54F-D1B10A2A3919}" type="TxLink">
            <a:rPr lang="en-US" sz="1200" b="1" i="0" u="none" strike="noStrike">
              <a:solidFill>
                <a:srgbClr val="000000"/>
              </a:solidFill>
              <a:latin typeface="Century Gothic"/>
            </a:rPr>
            <a:pPr/>
            <a:t> </a:t>
          </a:fld>
          <a:endParaRPr lang="es-CO" sz="2000" b="1">
            <a:solidFill>
              <a:schemeClr val="bg1"/>
            </a:solidFill>
            <a:latin typeface="Arial Narrow" panose="020B0606020202030204" pitchFamily="34" charset="0"/>
          </a:endParaRPr>
        </a:p>
      </cdr:txBody>
    </cdr:sp>
  </cdr:relSizeAnchor>
  <cdr:relSizeAnchor xmlns:cdr="http://schemas.openxmlformats.org/drawingml/2006/chartDrawing">
    <cdr:from>
      <cdr:x>0.27573</cdr:x>
      <cdr:y>0.71104</cdr:y>
    </cdr:from>
    <cdr:to>
      <cdr:x>0.36183</cdr:x>
      <cdr:y>0.75858</cdr:y>
    </cdr:to>
    <cdr:sp macro="" textlink="GSh!$CK$4">
      <cdr:nvSpPr>
        <cdr:cNvPr id="10" name="1 CuadroTexto"/>
        <cdr:cNvSpPr txBox="1"/>
      </cdr:nvSpPr>
      <cdr:spPr>
        <a:xfrm xmlns:a="http://schemas.openxmlformats.org/drawingml/2006/main">
          <a:off x="2387031" y="4469958"/>
          <a:ext cx="745382" cy="298861"/>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wrap="squar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860E3A5-2744-41CE-83D4-73953C57D1AD}" type="TxLink">
            <a:rPr lang="en-US" sz="1200" b="1" i="0" u="none" strike="noStrike">
              <a:solidFill>
                <a:srgbClr val="000000"/>
              </a:solidFill>
              <a:latin typeface="Century Gothic"/>
            </a:rPr>
            <a:pPr/>
            <a:t>0 Sem</a:t>
          </a:fld>
          <a:endParaRPr lang="es-CO" sz="2800" b="1">
            <a:solidFill>
              <a:sysClr val="windowText" lastClr="000000"/>
            </a:solidFill>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11409734" cy="6282447"/>
    <xdr:graphicFrame macro="">
      <xdr:nvGraphicFramePr>
        <xdr:cNvPr id="2" name="Gráfico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0.23093</cdr:x>
      <cdr:y>0.94513</cdr:y>
    </cdr:from>
    <cdr:to>
      <cdr:x>0.47842</cdr:x>
      <cdr:y>0.98982</cdr:y>
    </cdr:to>
    <cdr:sp macro="" textlink="GSh!$AI$109">
      <cdr:nvSpPr>
        <cdr:cNvPr id="2" name="1 CuadroTexto"/>
        <cdr:cNvSpPr txBox="1"/>
      </cdr:nvSpPr>
      <cdr:spPr>
        <a:xfrm xmlns:a="http://schemas.openxmlformats.org/drawingml/2006/main">
          <a:off x="1999229" y="5941535"/>
          <a:ext cx="2142562" cy="280944"/>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8C75B33-D1BB-4E35-A66A-F1D663EEF91F}" type="TxLink">
            <a:rPr lang="en-US" sz="1200" b="1" i="0" u="none" strike="noStrike">
              <a:solidFill>
                <a:srgbClr val="000000"/>
              </a:solidFill>
              <a:latin typeface="Century Gothic"/>
            </a:rPr>
            <a:pPr/>
            <a:t>H.A.A. Real vs. TAB</a:t>
          </a:fld>
          <a:endParaRPr lang="es-CO" sz="2000" b="1">
            <a:solidFill>
              <a:schemeClr val="bg1"/>
            </a:solidFill>
            <a:latin typeface="Arial Narrow" panose="020B0606020202030204" pitchFamily="34" charset="0"/>
          </a:endParaRPr>
        </a:p>
      </cdr:txBody>
    </cdr:sp>
  </cdr:relSizeAnchor>
  <cdr:relSizeAnchor xmlns:cdr="http://schemas.openxmlformats.org/drawingml/2006/chartDrawing">
    <cdr:from>
      <cdr:x>0.52126</cdr:x>
      <cdr:y>0.94454</cdr:y>
    </cdr:from>
    <cdr:to>
      <cdr:x>0.73185</cdr:x>
      <cdr:y>0.99041</cdr:y>
    </cdr:to>
    <cdr:sp macro="" textlink="GSh!$AE$109">
      <cdr:nvSpPr>
        <cdr:cNvPr id="3" name="1 CuadroTexto"/>
        <cdr:cNvSpPr txBox="1"/>
      </cdr:nvSpPr>
      <cdr:spPr>
        <a:xfrm xmlns:a="http://schemas.openxmlformats.org/drawingml/2006/main">
          <a:off x="4512645" y="5937826"/>
          <a:ext cx="1823112" cy="288362"/>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175DD7C-1041-4CF0-97F2-4605A68F80A3}" type="TxLink">
            <a:rPr lang="en-US" sz="1200" b="1" i="0" u="none" strike="noStrike">
              <a:solidFill>
                <a:srgbClr val="000000"/>
              </a:solidFill>
              <a:latin typeface="Century Gothic"/>
            </a:rPr>
            <a:pPr/>
            <a:t>Cumpl Pdn.: +  Ptos</a:t>
          </a:fld>
          <a:endParaRPr lang="es-CO" sz="1600" b="1">
            <a:solidFill>
              <a:sysClr val="windowText" lastClr="000000"/>
            </a:solidFill>
          </a:endParaRPr>
        </a:p>
      </cdr:txBody>
    </cdr:sp>
  </cdr:relSizeAnchor>
  <cdr:relSizeAnchor xmlns:cdr="http://schemas.openxmlformats.org/drawingml/2006/chartDrawing">
    <cdr:from>
      <cdr:x>0.01094</cdr:x>
      <cdr:y>0.01323</cdr:y>
    </cdr:from>
    <cdr:to>
      <cdr:x>0.21571</cdr:x>
      <cdr:y>0.07798</cdr:y>
    </cdr:to>
    <cdr:sp macro="" textlink="'Sem-L'!$I$1">
      <cdr:nvSpPr>
        <cdr:cNvPr id="4" name="CuadroTexto 1"/>
        <cdr:cNvSpPr txBox="1"/>
      </cdr:nvSpPr>
      <cdr:spPr>
        <a:xfrm xmlns:a="http://schemas.openxmlformats.org/drawingml/2006/main">
          <a:off x="94743" y="83162"/>
          <a:ext cx="1773147" cy="406888"/>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108000" tIns="72000" rIns="108000" bIns="72000" rtlCol="0" anchor="ctr" anchorCtr="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E8BCB9-F415-480C-BFFF-73AD1B0D8BB6}" type="TxLink">
            <a:rPr lang="en-US" sz="1600" b="1" i="0" u="none" strike="noStrike">
              <a:solidFill>
                <a:srgbClr val="000000"/>
              </a:solidFill>
              <a:latin typeface="Century Gothic"/>
            </a:rPr>
            <a:pPr/>
            <a:t> </a:t>
          </a:fld>
          <a:endParaRPr lang="es-CO" sz="4000" b="1"/>
        </a:p>
      </cdr:txBody>
    </cdr:sp>
  </cdr:relSizeAnchor>
  <cdr:relSizeAnchor xmlns:cdr="http://schemas.openxmlformats.org/drawingml/2006/chartDrawing">
    <cdr:from>
      <cdr:x>0.27895</cdr:x>
      <cdr:y>0.01843</cdr:y>
    </cdr:from>
    <cdr:to>
      <cdr:x>0.63105</cdr:x>
      <cdr:y>0.07278</cdr:y>
    </cdr:to>
    <cdr:sp macro="" textlink="Manejos!$G$3">
      <cdr:nvSpPr>
        <cdr:cNvPr id="6" name="CuadroTexto 1"/>
        <cdr:cNvSpPr txBox="1"/>
      </cdr:nvSpPr>
      <cdr:spPr>
        <a:xfrm xmlns:a="http://schemas.openxmlformats.org/drawingml/2006/main">
          <a:off x="2415485" y="115831"/>
          <a:ext cx="3048804" cy="341550"/>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108000" tIns="72000" rIns="108000" bIns="72000" rtlCol="0" anchor="ctr" anchorCtr="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6DF8A9-8AFE-4253-817B-EA59EB38E523}" type="TxLink">
            <a:rPr lang="en-US" sz="1200" b="1" i="0" u="none" strike="noStrike">
              <a:solidFill>
                <a:srgbClr val="000000"/>
              </a:solidFill>
              <a:latin typeface="Century Gothic"/>
            </a:rPr>
            <a:pPr/>
            <a:t>Línea :     Lote : </a:t>
          </a:fld>
          <a:endParaRPr lang="es-CO" sz="900" b="0">
            <a:solidFill>
              <a:sysClr val="windowText" lastClr="000000"/>
            </a:solidFill>
          </a:endParaRPr>
        </a:p>
      </cdr:txBody>
    </cdr:sp>
  </cdr:relSizeAnchor>
  <cdr:relSizeAnchor xmlns:cdr="http://schemas.openxmlformats.org/drawingml/2006/chartDrawing">
    <cdr:from>
      <cdr:x>0.69429</cdr:x>
      <cdr:y>0.01973</cdr:y>
    </cdr:from>
    <cdr:to>
      <cdr:x>0.97398</cdr:x>
      <cdr:y>0.07148</cdr:y>
    </cdr:to>
    <cdr:sp macro="" textlink="Var!$M$5">
      <cdr:nvSpPr>
        <cdr:cNvPr id="7" name="CuadroTexto 1"/>
        <cdr:cNvSpPr txBox="1"/>
      </cdr:nvSpPr>
      <cdr:spPr>
        <a:xfrm xmlns:a="http://schemas.openxmlformats.org/drawingml/2006/main">
          <a:off x="6011883" y="124007"/>
          <a:ext cx="2421933" cy="325199"/>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108000" tIns="72000" rIns="108000" bIns="72000" rtlCol="0" anchor="ctr" anchorCtr="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AB3A088-BCA9-4FCB-9774-DE7BB82D6D41}" type="TxLink">
            <a:rPr lang="en-US" sz="1100" b="0" i="0" u="none" strike="noStrike">
              <a:solidFill>
                <a:srgbClr val="000000"/>
              </a:solidFill>
              <a:latin typeface="Century Gothic"/>
            </a:rPr>
            <a:pPr/>
            <a:t>Total Aves Encasetadas : 0</a:t>
          </a:fld>
          <a:endParaRPr lang="es-CO" sz="1200" b="0"/>
        </a:p>
      </cdr:txBody>
    </cdr:sp>
  </cdr:relSizeAnchor>
  <cdr:relSizeAnchor xmlns:cdr="http://schemas.openxmlformats.org/drawingml/2006/chartDrawing">
    <cdr:from>
      <cdr:x>0.77469</cdr:x>
      <cdr:y>0.94513</cdr:y>
    </cdr:from>
    <cdr:to>
      <cdr:x>0.9867</cdr:x>
      <cdr:y>0.98982</cdr:y>
    </cdr:to>
    <cdr:sp macro="" textlink="GSh!$AT$110">
      <cdr:nvSpPr>
        <cdr:cNvPr id="9" name="1 CuadroTexto"/>
        <cdr:cNvSpPr txBox="1"/>
      </cdr:nvSpPr>
      <cdr:spPr>
        <a:xfrm xmlns:a="http://schemas.openxmlformats.org/drawingml/2006/main">
          <a:off x="6706612" y="5941535"/>
          <a:ext cx="1835406" cy="280944"/>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vertOverflow="clip" horzOverflow="clip"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B653A49-6295-4CD5-AC69-B3EB413BE760}" type="TxLink">
            <a:rPr lang="en-US" sz="1200" b="1" i="0" u="none" strike="noStrike">
              <a:solidFill>
                <a:srgbClr val="000000"/>
              </a:solidFill>
              <a:latin typeface="Century Gothic"/>
            </a:rPr>
            <a:pPr/>
            <a:t>% Cumpl Gr.A.D: + </a:t>
          </a:fld>
          <a:endParaRPr lang="es-CO" sz="3200" b="1">
            <a:solidFill>
              <a:schemeClr val="bg1"/>
            </a:solidFill>
            <a:latin typeface="Arial Narrow" panose="020B0606020202030204" pitchFamily="34" charset="0"/>
          </a:endParaRPr>
        </a:p>
      </cdr:txBody>
    </cdr:sp>
  </cdr:relSizeAnchor>
  <cdr:relSizeAnchor xmlns:cdr="http://schemas.openxmlformats.org/drawingml/2006/chartDrawing">
    <cdr:from>
      <cdr:x>0.11447</cdr:x>
      <cdr:y>0.94452</cdr:y>
    </cdr:from>
    <cdr:to>
      <cdr:x>0.1881</cdr:x>
      <cdr:y>0.99043</cdr:y>
    </cdr:to>
    <cdr:sp macro="" textlink="GSh!$CK$4">
      <cdr:nvSpPr>
        <cdr:cNvPr id="10" name="1 CuadroTexto"/>
        <cdr:cNvSpPr txBox="1"/>
      </cdr:nvSpPr>
      <cdr:spPr>
        <a:xfrm xmlns:a="http://schemas.openxmlformats.org/drawingml/2006/main">
          <a:off x="990948" y="5937701"/>
          <a:ext cx="637427" cy="288613"/>
        </a:xfrm>
        <a:prstGeom xmlns:a="http://schemas.openxmlformats.org/drawingml/2006/main" prst="rect">
          <a:avLst/>
        </a:prstGeom>
        <a:solidFill xmlns:a="http://schemas.openxmlformats.org/drawingml/2006/main">
          <a:srgbClr val="4F81BD">
            <a:alpha val="50000"/>
          </a:srgbClr>
        </a:solidFill>
        <a:ln xmlns:a="http://schemas.openxmlformats.org/drawingml/2006/main">
          <a:solidFill>
            <a:srgbClr val="800000"/>
          </a:solidFill>
        </a:ln>
      </cdr:spPr>
      <cdr:txBody>
        <a:bodyPr xmlns:a="http://schemas.openxmlformats.org/drawingml/2006/main" wrap="none"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9588F6C-8DC7-404D-BB1F-C930B28F589A}" type="TxLink">
            <a:rPr lang="en-US" sz="1200" b="1" i="0" u="none" strike="noStrike">
              <a:solidFill>
                <a:srgbClr val="000000"/>
              </a:solidFill>
              <a:latin typeface="Century Gothic"/>
            </a:rPr>
            <a:pPr/>
            <a:t>0 Sem</a:t>
          </a:fld>
          <a:endParaRPr lang="es-CO" sz="2800" b="1">
            <a:solidFill>
              <a:sysClr val="windowText" lastClr="000000"/>
            </a:solidFill>
          </a:endParaRPr>
        </a:p>
      </cdr:txBody>
    </cdr:sp>
  </cdr:relSizeAnchor>
</c:userShapes>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47625</xdr:rowOff>
        </xdr:from>
        <xdr:to>
          <xdr:col>9</xdr:col>
          <xdr:colOff>1371600</xdr:colOff>
          <xdr:row>2</xdr:row>
          <xdr:rowOff>85725</xdr:rowOff>
        </xdr:to>
        <xdr:sp macro="" textlink="">
          <xdr:nvSpPr>
            <xdr:cNvPr id="55297" name="Scroll Bar 1" descr="DESLIZADOR PARA DETALLAR INFORMACIÓN POR EDAD EN SEMANAS" hidden="1">
              <a:extLst>
                <a:ext uri="{63B3BB69-23CF-44E3-9099-C40C66FF867C}">
                  <a14:compatExt spid="_x0000_s55297"/>
                </a:ext>
                <a:ext uri="{FF2B5EF4-FFF2-40B4-BE49-F238E27FC236}">
                  <a16:creationId xmlns:a16="http://schemas.microsoft.com/office/drawing/2014/main" id="{00000000-0008-0000-1900-000001D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xdr:col>
      <xdr:colOff>18676</xdr:colOff>
      <xdr:row>5</xdr:row>
      <xdr:rowOff>28574</xdr:rowOff>
    </xdr:from>
    <xdr:to>
      <xdr:col>9</xdr:col>
      <xdr:colOff>1382059</xdr:colOff>
      <xdr:row>33</xdr:row>
      <xdr:rowOff>130735</xdr:rowOff>
    </xdr:to>
    <xdr:grpSp>
      <xdr:nvGrpSpPr>
        <xdr:cNvPr id="8" name="Grupo 7">
          <a:extLst>
            <a:ext uri="{FF2B5EF4-FFF2-40B4-BE49-F238E27FC236}">
              <a16:creationId xmlns:a16="http://schemas.microsoft.com/office/drawing/2014/main" id="{00000000-0008-0000-1400-000008000000}"/>
            </a:ext>
          </a:extLst>
        </xdr:cNvPr>
        <xdr:cNvGrpSpPr/>
      </xdr:nvGrpSpPr>
      <xdr:grpSpPr>
        <a:xfrm>
          <a:off x="283259" y="1235074"/>
          <a:ext cx="11978467" cy="4261411"/>
          <a:chOff x="289485" y="1233206"/>
          <a:chExt cx="12008971" cy="3576359"/>
        </a:xfrm>
      </xdr:grpSpPr>
      <xdr:grpSp>
        <xdr:nvGrpSpPr>
          <xdr:cNvPr id="3" name="Grupo 2">
            <a:extLst>
              <a:ext uri="{FF2B5EF4-FFF2-40B4-BE49-F238E27FC236}">
                <a16:creationId xmlns:a16="http://schemas.microsoft.com/office/drawing/2014/main" id="{00000000-0008-0000-1400-000003000000}"/>
              </a:ext>
            </a:extLst>
          </xdr:cNvPr>
          <xdr:cNvGrpSpPr/>
        </xdr:nvGrpSpPr>
        <xdr:grpSpPr>
          <a:xfrm>
            <a:off x="289485" y="1233206"/>
            <a:ext cx="12008971" cy="3576359"/>
            <a:chOff x="261938" y="1238249"/>
            <a:chExt cx="12063412" cy="3648076"/>
          </a:xfrm>
          <a:blipFill dpi="0" rotWithShape="1">
            <a:blip xmlns:r="http://schemas.openxmlformats.org/officeDocument/2006/relationships" r:embed="rId1">
              <a:alphaModFix amt="10000"/>
            </a:blip>
            <a:srcRect/>
            <a:tile tx="0" ty="0" sx="100000" sy="100000" flip="none" algn="tl"/>
          </a:blipFill>
        </xdr:grpSpPr>
        <xdr:graphicFrame macro="">
          <xdr:nvGraphicFramePr>
            <xdr:cNvPr id="4" name="Gráfico 3">
              <a:extLst>
                <a:ext uri="{FF2B5EF4-FFF2-40B4-BE49-F238E27FC236}">
                  <a16:creationId xmlns:a16="http://schemas.microsoft.com/office/drawing/2014/main" id="{00000000-0008-0000-1400-000004000000}"/>
                </a:ext>
              </a:extLst>
            </xdr:cNvPr>
            <xdr:cNvGraphicFramePr/>
          </xdr:nvGraphicFramePr>
          <xdr:xfrm>
            <a:off x="261938" y="1238249"/>
            <a:ext cx="12063412" cy="364807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00000000-0008-0000-1400-000005000000}"/>
                </a:ext>
              </a:extLst>
            </xdr:cNvPr>
            <xdr:cNvGraphicFramePr>
              <a:graphicFrameLocks/>
            </xdr:cNvGraphicFramePr>
          </xdr:nvGraphicFramePr>
          <xdr:xfrm>
            <a:off x="6672875" y="4164548"/>
            <a:ext cx="5642854" cy="712159"/>
          </xdr:xfrm>
          <a:graphic>
            <a:graphicData uri="http://schemas.openxmlformats.org/drawingml/2006/chart">
              <c:chart xmlns:c="http://schemas.openxmlformats.org/drawingml/2006/chart" xmlns:r="http://schemas.openxmlformats.org/officeDocument/2006/relationships" r:id="rId3"/>
            </a:graphicData>
          </a:graphic>
        </xdr:graphicFrame>
      </xdr:grpSp>
      <xdr:grpSp>
        <xdr:nvGrpSpPr>
          <xdr:cNvPr id="7" name="Grupo 6">
            <a:extLst>
              <a:ext uri="{FF2B5EF4-FFF2-40B4-BE49-F238E27FC236}">
                <a16:creationId xmlns:a16="http://schemas.microsoft.com/office/drawing/2014/main" id="{00000000-0008-0000-1400-000007000000}"/>
              </a:ext>
            </a:extLst>
          </xdr:cNvPr>
          <xdr:cNvGrpSpPr/>
        </xdr:nvGrpSpPr>
        <xdr:grpSpPr>
          <a:xfrm>
            <a:off x="1120587" y="4541470"/>
            <a:ext cx="2091766" cy="261471"/>
            <a:chOff x="1260661" y="1338457"/>
            <a:chExt cx="2091766" cy="261471"/>
          </a:xfrm>
          <a:effectLst>
            <a:outerShdw blurRad="50800" dist="38100" dir="8100000" algn="tr" rotWithShape="0">
              <a:prstClr val="black">
                <a:alpha val="40000"/>
              </a:prstClr>
            </a:outerShdw>
          </a:effectLst>
        </xdr:grpSpPr>
        <xdr:sp macro="" textlink="">
          <xdr:nvSpPr>
            <xdr:cNvPr id="2" name="CuadroTexto 1">
              <a:extLst>
                <a:ext uri="{FF2B5EF4-FFF2-40B4-BE49-F238E27FC236}">
                  <a16:creationId xmlns:a16="http://schemas.microsoft.com/office/drawing/2014/main" id="{00000000-0008-0000-1400-000002000000}"/>
                </a:ext>
              </a:extLst>
            </xdr:cNvPr>
            <xdr:cNvSpPr txBox="1"/>
          </xdr:nvSpPr>
          <xdr:spPr>
            <a:xfrm>
              <a:off x="1260661" y="1338457"/>
              <a:ext cx="1419412" cy="26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50" b="1">
                  <a:latin typeface="Century Gothic" panose="020B0502020202020204" pitchFamily="34" charset="0"/>
                </a:rPr>
                <a:t>Actualizado</a:t>
              </a:r>
              <a:r>
                <a:rPr lang="es-CO" sz="1050" b="1" baseline="0">
                  <a:latin typeface="Century Gothic" panose="020B0502020202020204" pitchFamily="34" charset="0"/>
                </a:rPr>
                <a:t> hasta:</a:t>
              </a:r>
              <a:endParaRPr lang="es-CO" sz="1050" b="1">
                <a:latin typeface="Century Gothic" panose="020B0502020202020204" pitchFamily="34" charset="0"/>
              </a:endParaRPr>
            </a:p>
          </xdr:txBody>
        </xdr:sp>
        <xdr:sp macro="" textlink="GSh!CK4">
          <xdr:nvSpPr>
            <xdr:cNvPr id="6" name="CuadroTexto 5">
              <a:extLst>
                <a:ext uri="{FF2B5EF4-FFF2-40B4-BE49-F238E27FC236}">
                  <a16:creationId xmlns:a16="http://schemas.microsoft.com/office/drawing/2014/main" id="{00000000-0008-0000-1400-000006000000}"/>
                </a:ext>
              </a:extLst>
            </xdr:cNvPr>
            <xdr:cNvSpPr txBox="1"/>
          </xdr:nvSpPr>
          <xdr:spPr>
            <a:xfrm>
              <a:off x="2633383" y="1347792"/>
              <a:ext cx="719044"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70A724A-91F0-47A5-ADD6-003818D05F9F}" type="TxLink">
                <a:rPr lang="en-US" sz="1050" b="1" i="0" u="none" strike="noStrike">
                  <a:solidFill>
                    <a:srgbClr val="000000"/>
                  </a:solidFill>
                  <a:latin typeface="Century Gothic" panose="020B0502020202020204" pitchFamily="34" charset="0"/>
                </a:rPr>
                <a:pPr algn="l"/>
                <a:t>0 Sem</a:t>
              </a:fld>
              <a:endParaRPr lang="es-CO" sz="1050" b="1">
                <a:latin typeface="Century Gothic" panose="020B0502020202020204" pitchFamily="34" charset="0"/>
              </a:endParaRPr>
            </a:p>
          </xdr:txBody>
        </xdr:sp>
      </xdr:grpSp>
    </xdr:grpSp>
    <xdr:clientData/>
  </xdr:twoCellAnchor>
</xdr:wsDr>
</file>

<file path=xl/drawings/drawing34.xml><?xml version="1.0" encoding="utf-8"?>
<xdr:wsDr xmlns:xdr="http://schemas.openxmlformats.org/drawingml/2006/spreadsheetDrawing" xmlns:a="http://schemas.openxmlformats.org/drawingml/2006/main">
  <xdr:absoluteAnchor>
    <xdr:pos x="0" y="0"/>
    <xdr:ext cx="11409734" cy="6282447"/>
    <xdr:graphicFrame macro="">
      <xdr:nvGraphicFramePr>
        <xdr:cNvPr id="2" name="Gráfico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0.02</cdr:x>
      <cdr:y>0.01884</cdr:y>
    </cdr:from>
    <cdr:to>
      <cdr:x>0.28429</cdr:x>
      <cdr:y>0.07514</cdr:y>
    </cdr:to>
    <cdr:sp macro="" textlink="Levante!$I$1">
      <cdr:nvSpPr>
        <cdr:cNvPr id="2" name="CuadroTexto 1"/>
        <cdr:cNvSpPr txBox="1"/>
      </cdr:nvSpPr>
      <cdr:spPr>
        <a:xfrm xmlns:a="http://schemas.openxmlformats.org/drawingml/2006/main">
          <a:off x="173182" y="118363"/>
          <a:ext cx="2288474" cy="353815"/>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FF2291-3175-42ED-9244-88CA8963FB23}" type="TxLink">
            <a:rPr lang="en-US" sz="1600" b="1" i="0" u="none" strike="noStrike">
              <a:solidFill>
                <a:srgbClr val="000000"/>
              </a:solidFill>
              <a:latin typeface="Century Gothic"/>
            </a:rPr>
            <a:pPr/>
            <a:t> </a:t>
          </a:fld>
          <a:endParaRPr lang="es-CO" sz="1600" b="1"/>
        </a:p>
      </cdr:txBody>
    </cdr:sp>
  </cdr:relSizeAnchor>
  <cdr:relSizeAnchor xmlns:cdr="http://schemas.openxmlformats.org/drawingml/2006/chartDrawing">
    <cdr:from>
      <cdr:x>0.32639</cdr:x>
      <cdr:y>0.02405</cdr:y>
    </cdr:from>
    <cdr:to>
      <cdr:x>0.68159</cdr:x>
      <cdr:y>0.06992</cdr:y>
    </cdr:to>
    <cdr:sp macro="" textlink="Manejos!$G$3">
      <cdr:nvSpPr>
        <cdr:cNvPr id="5" name="CuadroTexto 1"/>
        <cdr:cNvSpPr txBox="1"/>
      </cdr:nvSpPr>
      <cdr:spPr>
        <a:xfrm xmlns:a="http://schemas.openxmlformats.org/drawingml/2006/main">
          <a:off x="2826220" y="151151"/>
          <a:ext cx="3075709" cy="288239"/>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non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79AC5A9-DCD0-4827-893E-54B9195F2A95}" type="TxLink">
            <a:rPr lang="en-US" sz="1200" b="1" i="0" u="none" strike="noStrike">
              <a:solidFill>
                <a:srgbClr val="000000"/>
              </a:solidFill>
              <a:latin typeface="Century Gothic"/>
            </a:rPr>
            <a:pPr/>
            <a:t>Línea :     Lote : </a:t>
          </a:fld>
          <a:endParaRPr lang="es-CO" sz="800" b="1">
            <a:solidFill>
              <a:sysClr val="windowText" lastClr="000000"/>
            </a:solidFill>
          </a:endParaRPr>
        </a:p>
      </cdr:txBody>
    </cdr:sp>
  </cdr:relSizeAnchor>
  <cdr:relSizeAnchor xmlns:cdr="http://schemas.openxmlformats.org/drawingml/2006/chartDrawing">
    <cdr:from>
      <cdr:x>0.72369</cdr:x>
      <cdr:y>0.02535</cdr:y>
    </cdr:from>
    <cdr:to>
      <cdr:x>0.98604</cdr:x>
      <cdr:y>0.06862</cdr:y>
    </cdr:to>
    <cdr:sp macro="" textlink="Var!$M$5">
      <cdr:nvSpPr>
        <cdr:cNvPr id="6" name="CuadroTexto 1"/>
        <cdr:cNvSpPr txBox="1"/>
      </cdr:nvSpPr>
      <cdr:spPr>
        <a:xfrm xmlns:a="http://schemas.openxmlformats.org/drawingml/2006/main">
          <a:off x="6266494" y="159320"/>
          <a:ext cx="2271755" cy="271901"/>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non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268836-D07F-4639-BEC1-BF5C0F56823C}" type="TxLink">
            <a:rPr lang="en-US" sz="1100" b="0" i="0" u="none" strike="noStrike">
              <a:solidFill>
                <a:srgbClr val="000000"/>
              </a:solidFill>
              <a:latin typeface="Century Gothic"/>
            </a:rPr>
            <a:pPr/>
            <a:t>Total Aves Encasetadas : 0</a:t>
          </a:fld>
          <a:endParaRPr lang="es-CO" sz="1200" b="0"/>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11409734" cy="6282447"/>
    <xdr:graphicFrame macro="">
      <xdr:nvGraphicFramePr>
        <xdr:cNvPr id="2" name="Gráfico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0.02</cdr:x>
      <cdr:y>0.01884</cdr:y>
    </cdr:from>
    <cdr:to>
      <cdr:x>0.28429</cdr:x>
      <cdr:y>0.07514</cdr:y>
    </cdr:to>
    <cdr:sp macro="" textlink="Levante!$I$1">
      <cdr:nvSpPr>
        <cdr:cNvPr id="2" name="CuadroTexto 1"/>
        <cdr:cNvSpPr txBox="1"/>
      </cdr:nvSpPr>
      <cdr:spPr>
        <a:xfrm xmlns:a="http://schemas.openxmlformats.org/drawingml/2006/main">
          <a:off x="173182" y="118363"/>
          <a:ext cx="2288474" cy="353815"/>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FF2291-3175-42ED-9244-88CA8963FB23}" type="TxLink">
            <a:rPr lang="en-US" sz="1600" b="1" i="0" u="none" strike="noStrike">
              <a:solidFill>
                <a:srgbClr val="000000"/>
              </a:solidFill>
              <a:latin typeface="Century Gothic"/>
            </a:rPr>
            <a:pPr/>
            <a:t> </a:t>
          </a:fld>
          <a:endParaRPr lang="es-CO" sz="1600" b="1"/>
        </a:p>
      </cdr:txBody>
    </cdr:sp>
  </cdr:relSizeAnchor>
  <cdr:relSizeAnchor xmlns:cdr="http://schemas.openxmlformats.org/drawingml/2006/chartDrawing">
    <cdr:from>
      <cdr:x>0.32639</cdr:x>
      <cdr:y>0.02405</cdr:y>
    </cdr:from>
    <cdr:to>
      <cdr:x>0.68159</cdr:x>
      <cdr:y>0.06992</cdr:y>
    </cdr:to>
    <cdr:sp macro="" textlink="Manejos!$G$3">
      <cdr:nvSpPr>
        <cdr:cNvPr id="5" name="CuadroTexto 1"/>
        <cdr:cNvSpPr txBox="1"/>
      </cdr:nvSpPr>
      <cdr:spPr>
        <a:xfrm xmlns:a="http://schemas.openxmlformats.org/drawingml/2006/main">
          <a:off x="2826220" y="151151"/>
          <a:ext cx="3075709" cy="288239"/>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non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79AC5A9-DCD0-4827-893E-54B9195F2A95}" type="TxLink">
            <a:rPr lang="en-US" sz="1200" b="1" i="0" u="none" strike="noStrike">
              <a:solidFill>
                <a:srgbClr val="000000"/>
              </a:solidFill>
              <a:latin typeface="Century Gothic"/>
            </a:rPr>
            <a:pPr/>
            <a:t>Línea :     Lote : </a:t>
          </a:fld>
          <a:endParaRPr lang="es-CO" sz="800" b="1">
            <a:solidFill>
              <a:sysClr val="windowText" lastClr="000000"/>
            </a:solidFill>
          </a:endParaRPr>
        </a:p>
      </cdr:txBody>
    </cdr:sp>
  </cdr:relSizeAnchor>
  <cdr:relSizeAnchor xmlns:cdr="http://schemas.openxmlformats.org/drawingml/2006/chartDrawing">
    <cdr:from>
      <cdr:x>0.72369</cdr:x>
      <cdr:y>0.02535</cdr:y>
    </cdr:from>
    <cdr:to>
      <cdr:x>0.98604</cdr:x>
      <cdr:y>0.06862</cdr:y>
    </cdr:to>
    <cdr:sp macro="" textlink="Var!$M$5">
      <cdr:nvSpPr>
        <cdr:cNvPr id="6" name="CuadroTexto 1"/>
        <cdr:cNvSpPr txBox="1"/>
      </cdr:nvSpPr>
      <cdr:spPr>
        <a:xfrm xmlns:a="http://schemas.openxmlformats.org/drawingml/2006/main">
          <a:off x="6266494" y="159320"/>
          <a:ext cx="2271755" cy="271901"/>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none" lIns="72000" r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268836-D07F-4639-BEC1-BF5C0F56823C}" type="TxLink">
            <a:rPr lang="en-US" sz="1100" b="0" i="0" u="none" strike="noStrike">
              <a:solidFill>
                <a:srgbClr val="000000"/>
              </a:solidFill>
              <a:latin typeface="Century Gothic"/>
            </a:rPr>
            <a:pPr/>
            <a:t>Total Aves Encasetadas : 0</a:t>
          </a:fld>
          <a:endParaRPr lang="es-CO" sz="1200" b="0"/>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11409734" cy="6282447"/>
    <xdr:graphicFrame macro="">
      <xdr:nvGraphicFramePr>
        <xdr:cNvPr id="2" name="Gráfico 1">
          <a:extLst>
            <a:ext uri="{FF2B5EF4-FFF2-40B4-BE49-F238E27FC236}">
              <a16:creationId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0.71516</cdr:x>
      <cdr:y>0.01604</cdr:y>
    </cdr:from>
    <cdr:to>
      <cdr:x>0.97188</cdr:x>
      <cdr:y>0.07234</cdr:y>
    </cdr:to>
    <cdr:sp macro="" textlink="'Sem-L'!$I$1">
      <cdr:nvSpPr>
        <cdr:cNvPr id="2" name="CuadroTexto 1">
          <a:extLst xmlns:a="http://schemas.openxmlformats.org/drawingml/2006/main">
            <a:ext uri="{FF2B5EF4-FFF2-40B4-BE49-F238E27FC236}">
              <a16:creationId xmlns:a16="http://schemas.microsoft.com/office/drawing/2014/main" id="{FA472625-2430-4741-B056-56080ED1BC3D}"/>
            </a:ext>
          </a:extLst>
        </cdr:cNvPr>
        <cdr:cNvSpPr txBox="1"/>
      </cdr:nvSpPr>
      <cdr:spPr>
        <a:xfrm xmlns:a="http://schemas.openxmlformats.org/drawingml/2006/main">
          <a:off x="6191250" y="100835"/>
          <a:ext cx="2222500" cy="353930"/>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square" lIns="72000" rIns="72000" rtlCol="0" anchor="ctr" anchorCtr="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87C5EDA-D5C1-499C-97EC-694C2D4F500F}" type="TxLink">
            <a:rPr lang="en-US" sz="1600" b="1" i="0" u="none" strike="noStrike">
              <a:solidFill>
                <a:srgbClr val="000000"/>
              </a:solidFill>
              <a:latin typeface="Century Gothic"/>
            </a:rPr>
            <a:pPr/>
            <a:t> </a:t>
          </a:fld>
          <a:endParaRPr lang="es-CO" sz="1600" b="1"/>
        </a:p>
      </cdr:txBody>
    </cdr:sp>
  </cdr:relSizeAnchor>
  <cdr:relSizeAnchor xmlns:cdr="http://schemas.openxmlformats.org/drawingml/2006/chartDrawing">
    <cdr:from>
      <cdr:x>0.32158</cdr:x>
      <cdr:y>0.01814</cdr:y>
    </cdr:from>
    <cdr:to>
      <cdr:x>0.66408</cdr:x>
      <cdr:y>0.07249</cdr:y>
    </cdr:to>
    <cdr:sp macro="" textlink="Manejos!$G$3">
      <cdr:nvSpPr>
        <cdr:cNvPr id="3" name="CuadroTexto 1">
          <a:extLst xmlns:a="http://schemas.openxmlformats.org/drawingml/2006/main">
            <a:ext uri="{FF2B5EF4-FFF2-40B4-BE49-F238E27FC236}">
              <a16:creationId xmlns:a16="http://schemas.microsoft.com/office/drawing/2014/main" id="{9036899F-A90F-45B1-9307-C4F233BFFDE8}"/>
            </a:ext>
          </a:extLst>
        </cdr:cNvPr>
        <cdr:cNvSpPr txBox="1"/>
      </cdr:nvSpPr>
      <cdr:spPr>
        <a:xfrm xmlns:a="http://schemas.openxmlformats.org/drawingml/2006/main">
          <a:off x="2784599" y="114010"/>
          <a:ext cx="2965721" cy="341550"/>
        </a:xfrm>
        <a:prstGeom xmlns:a="http://schemas.openxmlformats.org/drawingml/2006/main" prst="rect">
          <a:avLst/>
        </a:prstGeom>
        <a:solidFill xmlns:a="http://schemas.openxmlformats.org/drawingml/2006/main">
          <a:schemeClr val="accent3">
            <a:lumMod val="60000"/>
            <a:lumOff val="40000"/>
            <a:alpha val="60000"/>
          </a:schemeClr>
        </a:solidFill>
      </cdr:spPr>
      <cdr:txBody>
        <a:bodyPr xmlns:a="http://schemas.openxmlformats.org/drawingml/2006/main" vertOverflow="clip" horzOverflow="clip" wrap="none" lIns="108000" tIns="72000" rIns="108000" bIns="72000" rtlCol="0" anchor="ctr" anchorCtr="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909A80-A37B-4999-869D-AB3B5C3568A9}" type="TxLink">
            <a:rPr lang="en-US" sz="1200" b="1" i="0" u="none" strike="noStrike">
              <a:solidFill>
                <a:srgbClr val="000000"/>
              </a:solidFill>
              <a:latin typeface="Century Gothic" panose="020B0502020202020204" pitchFamily="34" charset="0"/>
            </a:rPr>
            <a:pPr/>
            <a:t>Línea :     Lote : </a:t>
          </a:fld>
          <a:endParaRPr lang="es-CO" sz="800" b="0">
            <a:solidFill>
              <a:sysClr val="windowText" lastClr="000000"/>
            </a:solidFill>
            <a:latin typeface="Century Gothic" panose="020B0502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3</xdr:col>
      <xdr:colOff>31532</xdr:colOff>
      <xdr:row>3</xdr:row>
      <xdr:rowOff>9526</xdr:rowOff>
    </xdr:from>
    <xdr:ext cx="1070413" cy="229862"/>
    <xdr:sp macro="" textlink="">
      <xdr:nvSpPr>
        <xdr:cNvPr id="2" name="CuadroTexto 1">
          <a:extLst>
            <a:ext uri="{FF2B5EF4-FFF2-40B4-BE49-F238E27FC236}">
              <a16:creationId xmlns:a16="http://schemas.microsoft.com/office/drawing/2014/main" id="{C58E2DBB-3E2F-4017-9B40-043CDFD0860A}"/>
            </a:ext>
          </a:extLst>
        </xdr:cNvPr>
        <xdr:cNvSpPr txBox="1">
          <a:spLocks noChangeAspect="1"/>
        </xdr:cNvSpPr>
      </xdr:nvSpPr>
      <xdr:spPr>
        <a:xfrm>
          <a:off x="2031782" y="781051"/>
          <a:ext cx="1070413" cy="229862"/>
        </a:xfrm>
        <a:prstGeom prst="rect">
          <a:avLst/>
        </a:prstGeom>
        <a:solidFill>
          <a:srgbClr val="E46434"/>
        </a:solidFill>
        <a:ln>
          <a:solidFill>
            <a:srgbClr val="E46434"/>
          </a:solidFill>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36000" rIns="36000" bIns="36000" rtlCol="0" anchor="t">
          <a:spAutoFit/>
        </a:bodyPr>
        <a:lstStyle/>
        <a:p>
          <a:pPr algn="ctr"/>
          <a:r>
            <a:rPr lang="es-CO" sz="1000" b="1">
              <a:solidFill>
                <a:schemeClr val="bg1"/>
              </a:solidFill>
              <a:latin typeface="Century Gothic" panose="020B0502020202020204" pitchFamily="34" charset="0"/>
            </a:rPr>
            <a:t>Horas Programa</a:t>
          </a:r>
        </a:p>
      </xdr:txBody>
    </xdr:sp>
    <xdr:clientData/>
  </xdr:oneCellAnchor>
  <xdr:twoCellAnchor>
    <xdr:from>
      <xdr:col>0</xdr:col>
      <xdr:colOff>61912</xdr:colOff>
      <xdr:row>28</xdr:row>
      <xdr:rowOff>57155</xdr:rowOff>
    </xdr:from>
    <xdr:to>
      <xdr:col>13</xdr:col>
      <xdr:colOff>752475</xdr:colOff>
      <xdr:row>52</xdr:row>
      <xdr:rowOff>152399</xdr:rowOff>
    </xdr:to>
    <xdr:graphicFrame macro="">
      <xdr:nvGraphicFramePr>
        <xdr:cNvPr id="3" name="Gráfico 1">
          <a:extLst>
            <a:ext uri="{FF2B5EF4-FFF2-40B4-BE49-F238E27FC236}">
              <a16:creationId xmlns:a16="http://schemas.microsoft.com/office/drawing/2014/main" id="{77EB04FD-4A36-4ED5-B328-62CDE0C33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29</xdr:row>
      <xdr:rowOff>209548</xdr:rowOff>
    </xdr:from>
    <xdr:to>
      <xdr:col>2</xdr:col>
      <xdr:colOff>609600</xdr:colOff>
      <xdr:row>51</xdr:row>
      <xdr:rowOff>133349</xdr:rowOff>
    </xdr:to>
    <xdr:graphicFrame macro="">
      <xdr:nvGraphicFramePr>
        <xdr:cNvPr id="5" name="Gráfico 4">
          <a:extLst>
            <a:ext uri="{FF2B5EF4-FFF2-40B4-BE49-F238E27FC236}">
              <a16:creationId xmlns:a16="http://schemas.microsoft.com/office/drawing/2014/main" id="{69F4248F-4EBD-40D0-ABC2-BADFCAE3A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29575</xdr:colOff>
      <xdr:row>0</xdr:row>
      <xdr:rowOff>129357</xdr:rowOff>
    </xdr:from>
    <xdr:to>
      <xdr:col>2</xdr:col>
      <xdr:colOff>725622</xdr:colOff>
      <xdr:row>2</xdr:row>
      <xdr:rowOff>146486</xdr:rowOff>
    </xdr:to>
    <xdr:pic>
      <xdr:nvPicPr>
        <xdr:cNvPr id="6" name="3 Imagen" descr="Logotipo, nombre de la empresa&#10;&#10;Descripción generada automáticamente">
          <a:extLst>
            <a:ext uri="{FF2B5EF4-FFF2-40B4-BE49-F238E27FC236}">
              <a16:creationId xmlns:a16="http://schemas.microsoft.com/office/drawing/2014/main" id="{3238DC44-BDCC-4A3B-B00B-6934CC7AF1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9575" y="129357"/>
          <a:ext cx="1943822" cy="561297"/>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3</xdr:col>
      <xdr:colOff>638175</xdr:colOff>
      <xdr:row>0</xdr:row>
      <xdr:rowOff>0</xdr:rowOff>
    </xdr:from>
    <xdr:to>
      <xdr:col>6</xdr:col>
      <xdr:colOff>57150</xdr:colOff>
      <xdr:row>1</xdr:row>
      <xdr:rowOff>169926</xdr:rowOff>
    </xdr:to>
    <xdr:sp macro="" textlink="">
      <xdr:nvSpPr>
        <xdr:cNvPr id="4" name="Rectángulo 3">
          <a:extLst>
            <a:ext uri="{FF2B5EF4-FFF2-40B4-BE49-F238E27FC236}">
              <a16:creationId xmlns:a16="http://schemas.microsoft.com/office/drawing/2014/main" id="{00000000-0008-0000-1800-000004000000}"/>
            </a:ext>
          </a:extLst>
        </xdr:cNvPr>
        <xdr:cNvSpPr>
          <a:spLocks noChangeAspect="1"/>
        </xdr:cNvSpPr>
      </xdr:nvSpPr>
      <xdr:spPr bwMode="auto">
        <a:xfrm>
          <a:off x="4371975" y="0"/>
          <a:ext cx="1914525" cy="360426"/>
        </a:xfrm>
        <a:prstGeom prst="rect">
          <a:avLst/>
        </a:prstGeom>
        <a:blipFill dpi="0" rotWithShape="1">
          <a:blip xmlns:r="http://schemas.openxmlformats.org/officeDocument/2006/relationships" r:embed="rId1"/>
          <a:srcRect/>
          <a:stretch>
            <a:fillRect t="-17000" b="-32000"/>
          </a:stretch>
        </a:bli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xdr:twoCellAnchor>
  <xdr:twoCellAnchor editAs="absolute">
    <xdr:from>
      <xdr:col>12</xdr:col>
      <xdr:colOff>638175</xdr:colOff>
      <xdr:row>0</xdr:row>
      <xdr:rowOff>0</xdr:rowOff>
    </xdr:from>
    <xdr:to>
      <xdr:col>14</xdr:col>
      <xdr:colOff>800100</xdr:colOff>
      <xdr:row>1</xdr:row>
      <xdr:rowOff>169926</xdr:rowOff>
    </xdr:to>
    <xdr:sp macro="" textlink="">
      <xdr:nvSpPr>
        <xdr:cNvPr id="5" name="Rectángulo 4">
          <a:extLst>
            <a:ext uri="{FF2B5EF4-FFF2-40B4-BE49-F238E27FC236}">
              <a16:creationId xmlns:a16="http://schemas.microsoft.com/office/drawing/2014/main" id="{00000000-0008-0000-1800-000005000000}"/>
            </a:ext>
          </a:extLst>
        </xdr:cNvPr>
        <xdr:cNvSpPr>
          <a:spLocks noChangeAspect="1"/>
        </xdr:cNvSpPr>
      </xdr:nvSpPr>
      <xdr:spPr bwMode="auto">
        <a:xfrm>
          <a:off x="13725525" y="0"/>
          <a:ext cx="1914525" cy="360426"/>
        </a:xfrm>
        <a:prstGeom prst="rect">
          <a:avLst/>
        </a:prstGeom>
        <a:blipFill dpi="0" rotWithShape="1">
          <a:blip xmlns:r="http://schemas.openxmlformats.org/officeDocument/2006/relationships" r:embed="rId1"/>
          <a:srcRect/>
          <a:stretch>
            <a:fillRect t="-17000" b="-32000"/>
          </a:stretch>
        </a:bli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xdr:twoCellAnchor>
</xdr:wsDr>
</file>

<file path=xl/drawings/drawing41.xml><?xml version="1.0" encoding="utf-8"?>
<xdr:wsDr xmlns:xdr="http://schemas.openxmlformats.org/drawingml/2006/spreadsheetDrawing" xmlns:a="http://schemas.openxmlformats.org/drawingml/2006/main">
  <xdr:twoCellAnchor editAs="absolute">
    <xdr:from>
      <xdr:col>1</xdr:col>
      <xdr:colOff>304800</xdr:colOff>
      <xdr:row>0</xdr:row>
      <xdr:rowOff>28575</xdr:rowOff>
    </xdr:from>
    <xdr:to>
      <xdr:col>1</xdr:col>
      <xdr:colOff>2219325</xdr:colOff>
      <xdr:row>0</xdr:row>
      <xdr:rowOff>389001</xdr:rowOff>
    </xdr:to>
    <xdr:sp macro="" textlink="">
      <xdr:nvSpPr>
        <xdr:cNvPr id="2" name="Rectángulo 1">
          <a:extLst>
            <a:ext uri="{FF2B5EF4-FFF2-40B4-BE49-F238E27FC236}">
              <a16:creationId xmlns:a16="http://schemas.microsoft.com/office/drawing/2014/main" id="{00000000-0008-0000-1900-000002000000}"/>
            </a:ext>
          </a:extLst>
        </xdr:cNvPr>
        <xdr:cNvSpPr>
          <a:spLocks noChangeAspect="1"/>
        </xdr:cNvSpPr>
      </xdr:nvSpPr>
      <xdr:spPr bwMode="auto">
        <a:xfrm>
          <a:off x="2362200" y="28575"/>
          <a:ext cx="1914525" cy="360426"/>
        </a:xfrm>
        <a:prstGeom prst="rect">
          <a:avLst/>
        </a:prstGeom>
        <a:blipFill dpi="0" rotWithShape="1">
          <a:blip xmlns:r="http://schemas.openxmlformats.org/officeDocument/2006/relationships" r:embed="rId1">
            <a:alphaModFix amt="28000"/>
          </a:blip>
          <a:srcRect/>
          <a:stretch>
            <a:fillRect t="-17000" b="-32000"/>
          </a:stretch>
        </a:bli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xdr:twoCellAnchor>
  <xdr:twoCellAnchor editAs="absolute">
    <xdr:from>
      <xdr:col>0</xdr:col>
      <xdr:colOff>76200</xdr:colOff>
      <xdr:row>0</xdr:row>
      <xdr:rowOff>28575</xdr:rowOff>
    </xdr:from>
    <xdr:to>
      <xdr:col>0</xdr:col>
      <xdr:colOff>1990725</xdr:colOff>
      <xdr:row>0</xdr:row>
      <xdr:rowOff>389001</xdr:rowOff>
    </xdr:to>
    <xdr:sp macro="" textlink="">
      <xdr:nvSpPr>
        <xdr:cNvPr id="3" name="Rectángulo 2">
          <a:extLst>
            <a:ext uri="{FF2B5EF4-FFF2-40B4-BE49-F238E27FC236}">
              <a16:creationId xmlns:a16="http://schemas.microsoft.com/office/drawing/2014/main" id="{00000000-0008-0000-1900-000003000000}"/>
            </a:ext>
          </a:extLst>
        </xdr:cNvPr>
        <xdr:cNvSpPr>
          <a:spLocks noChangeAspect="1"/>
        </xdr:cNvSpPr>
      </xdr:nvSpPr>
      <xdr:spPr bwMode="auto">
        <a:xfrm>
          <a:off x="76200" y="28575"/>
          <a:ext cx="1914525" cy="360426"/>
        </a:xfrm>
        <a:prstGeom prst="rect">
          <a:avLst/>
        </a:prstGeom>
        <a:blipFill dpi="0" rotWithShape="1">
          <a:blip xmlns:r="http://schemas.openxmlformats.org/officeDocument/2006/relationships" r:embed="rId1">
            <a:alphaModFix amt="28000"/>
          </a:blip>
          <a:srcRect/>
          <a:stretch>
            <a:fillRect t="-17000" b="-32000"/>
          </a:stretch>
        </a:bli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xdr:twoCellAnchor>
  <xdr:twoCellAnchor editAs="absolute">
    <xdr:from>
      <xdr:col>2</xdr:col>
      <xdr:colOff>180975</xdr:colOff>
      <xdr:row>0</xdr:row>
      <xdr:rowOff>9525</xdr:rowOff>
    </xdr:from>
    <xdr:to>
      <xdr:col>2</xdr:col>
      <xdr:colOff>2095500</xdr:colOff>
      <xdr:row>0</xdr:row>
      <xdr:rowOff>369951</xdr:rowOff>
    </xdr:to>
    <xdr:sp macro="" textlink="">
      <xdr:nvSpPr>
        <xdr:cNvPr id="4" name="Rectángulo 3">
          <a:extLst>
            <a:ext uri="{FF2B5EF4-FFF2-40B4-BE49-F238E27FC236}">
              <a16:creationId xmlns:a16="http://schemas.microsoft.com/office/drawing/2014/main" id="{00000000-0008-0000-1900-000004000000}"/>
            </a:ext>
          </a:extLst>
        </xdr:cNvPr>
        <xdr:cNvSpPr>
          <a:spLocks noChangeAspect="1"/>
        </xdr:cNvSpPr>
      </xdr:nvSpPr>
      <xdr:spPr bwMode="auto">
        <a:xfrm>
          <a:off x="4762500" y="9525"/>
          <a:ext cx="1914525" cy="360426"/>
        </a:xfrm>
        <a:prstGeom prst="rect">
          <a:avLst/>
        </a:prstGeom>
        <a:blipFill dpi="0" rotWithShape="1">
          <a:blip xmlns:r="http://schemas.openxmlformats.org/officeDocument/2006/relationships" r:embed="rId1">
            <a:alphaModFix amt="28000"/>
          </a:blip>
          <a:srcRect/>
          <a:stretch>
            <a:fillRect t="-17000" b="-32000"/>
          </a:stretch>
        </a:bli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xdr:twoCellAnchor>
  <xdr:twoCellAnchor editAs="absolute">
    <xdr:from>
      <xdr:col>3</xdr:col>
      <xdr:colOff>847725</xdr:colOff>
      <xdr:row>0</xdr:row>
      <xdr:rowOff>19050</xdr:rowOff>
    </xdr:from>
    <xdr:to>
      <xdr:col>4</xdr:col>
      <xdr:colOff>914400</xdr:colOff>
      <xdr:row>0</xdr:row>
      <xdr:rowOff>379476</xdr:rowOff>
    </xdr:to>
    <xdr:sp macro="" textlink="">
      <xdr:nvSpPr>
        <xdr:cNvPr id="5" name="Rectángulo 4">
          <a:extLst>
            <a:ext uri="{FF2B5EF4-FFF2-40B4-BE49-F238E27FC236}">
              <a16:creationId xmlns:a16="http://schemas.microsoft.com/office/drawing/2014/main" id="{00000000-0008-0000-1900-000005000000}"/>
            </a:ext>
          </a:extLst>
        </xdr:cNvPr>
        <xdr:cNvSpPr>
          <a:spLocks noChangeAspect="1"/>
        </xdr:cNvSpPr>
      </xdr:nvSpPr>
      <xdr:spPr bwMode="auto">
        <a:xfrm>
          <a:off x="7696200" y="19050"/>
          <a:ext cx="1914525" cy="360426"/>
        </a:xfrm>
        <a:prstGeom prst="rect">
          <a:avLst/>
        </a:prstGeom>
        <a:blipFill dpi="0" rotWithShape="1">
          <a:blip xmlns:r="http://schemas.openxmlformats.org/officeDocument/2006/relationships" r:embed="rId1">
            <a:alphaModFix amt="28000"/>
          </a:blip>
          <a:srcRect/>
          <a:stretch>
            <a:fillRect t="-17000" b="-32000"/>
          </a:stretch>
        </a:bli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0.02225</cdr:x>
      <cdr:y>0</cdr:y>
    </cdr:from>
    <cdr:to>
      <cdr:x>0.98372</cdr:x>
      <cdr:y>0.05351</cdr:y>
    </cdr:to>
    <cdr:sp macro="" textlink="[0]!ChartTitle">
      <cdr:nvSpPr>
        <cdr:cNvPr id="13" name="Rectangle 12"/>
        <cdr:cNvSpPr/>
      </cdr:nvSpPr>
      <cdr:spPr>
        <a:xfrm xmlns:a="http://schemas.openxmlformats.org/drawingml/2006/main">
          <a:off x="236434" y="0"/>
          <a:ext cx="10215751" cy="27166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fld id="{5709895D-9B74-4D8F-A612-BEE59B12540D}" type="TxLink">
            <a:rPr lang="en-US" sz="1200" b="1" i="0" u="none" strike="noStrike">
              <a:solidFill>
                <a:srgbClr val="000000"/>
              </a:solidFill>
              <a:latin typeface="Century Gothic"/>
              <a:cs typeface="Arial" panose="020B0604020202020204" pitchFamily="34" charset="0"/>
            </a:rPr>
            <a:pPr algn="ctr"/>
            <a:t>Programa Específico sugerido de Manejo de la Luz en Colombia  -      # Lote : 9    Babcock Brown 23-jun-23</a:t>
          </a:fld>
          <a:endParaRPr lang="en-US" sz="1800" b="1">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9</xdr:col>
      <xdr:colOff>410458</xdr:colOff>
      <xdr:row>0</xdr:row>
      <xdr:rowOff>31749</xdr:rowOff>
    </xdr:from>
    <xdr:to>
      <xdr:col>11</xdr:col>
      <xdr:colOff>1904994</xdr:colOff>
      <xdr:row>3</xdr:row>
      <xdr:rowOff>199220</xdr:rowOff>
    </xdr:to>
    <xdr:pic>
      <xdr:nvPicPr>
        <xdr:cNvPr id="3" name="3 Imagen" descr="logoSanMarino_18.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0189458" y="31749"/>
          <a:ext cx="3145536" cy="90830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8630</xdr:colOff>
      <xdr:row>0</xdr:row>
      <xdr:rowOff>194228</xdr:rowOff>
    </xdr:from>
    <xdr:to>
      <xdr:col>2</xdr:col>
      <xdr:colOff>990600</xdr:colOff>
      <xdr:row>2</xdr:row>
      <xdr:rowOff>180974</xdr:rowOff>
    </xdr:to>
    <xdr:pic>
      <xdr:nvPicPr>
        <xdr:cNvPr id="3" name="3 Imagen" descr="logoSanMarino_18.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bwMode="auto">
        <a:xfrm>
          <a:off x="8630" y="194228"/>
          <a:ext cx="1372495" cy="39632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190500</xdr:colOff>
      <xdr:row>0</xdr:row>
      <xdr:rowOff>114300</xdr:rowOff>
    </xdr:from>
    <xdr:to>
      <xdr:col>4</xdr:col>
      <xdr:colOff>361502</xdr:colOff>
      <xdr:row>2</xdr:row>
      <xdr:rowOff>180975</xdr:rowOff>
    </xdr:to>
    <xdr:pic>
      <xdr:nvPicPr>
        <xdr:cNvPr id="5" name="3 Imagen" descr="logoSanMarino_18.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0" y="114300"/>
          <a:ext cx="2276027" cy="65722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25</xdr:col>
      <xdr:colOff>476250</xdr:colOff>
      <xdr:row>0</xdr:row>
      <xdr:rowOff>114300</xdr:rowOff>
    </xdr:from>
    <xdr:ext cx="3145536" cy="908304"/>
    <xdr:pic>
      <xdr:nvPicPr>
        <xdr:cNvPr id="2" name="3 Imagen" descr="Logotipo, nombre de la empresa&#10;&#10;Descripción generada automáticamente">
          <a:extLst>
            <a:ext uri="{FF2B5EF4-FFF2-40B4-BE49-F238E27FC236}">
              <a16:creationId xmlns:a16="http://schemas.microsoft.com/office/drawing/2014/main" id="{05713D18-010E-4B62-BB9B-6C87252784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593050" y="114300"/>
          <a:ext cx="3145536" cy="90830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7006</xdr:colOff>
      <xdr:row>0</xdr:row>
      <xdr:rowOff>0</xdr:rowOff>
    </xdr:from>
    <xdr:ext cx="1881014" cy="543161"/>
    <xdr:pic>
      <xdr:nvPicPr>
        <xdr:cNvPr id="5" name="3 Imagen" descr="Logotipo, nombre de la empresa&#10;&#10;Descripción generada automáticamente">
          <a:extLst>
            <a:ext uri="{FF2B5EF4-FFF2-40B4-BE49-F238E27FC236}">
              <a16:creationId xmlns:a16="http://schemas.microsoft.com/office/drawing/2014/main" id="{D5D43ACF-E918-4C08-9AFA-539E6C7895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006" y="0"/>
          <a:ext cx="1881014" cy="54316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9C07D81-19E9-4695-8411-651DB4354563}" name="Luz_Natural" displayName="Luz_Natural" ref="A3:F215" totalsRowShown="0" headerRowDxfId="40" dataDxfId="39" headerRowCellStyle="Normal 5" dataCellStyle="Normal 5">
  <autoFilter ref="A3:F215" xr:uid="{A77FF478-B142-47EB-A841-A21C14840711}"/>
  <tableColumns count="6">
    <tableColumn id="1" xr3:uid="{9A8FE590-2265-4F99-ABD4-D88B6F06C930}" name="País" dataCellStyle="Normal 5"/>
    <tableColumn id="2" xr3:uid="{0F57C1F5-5A3C-428E-850F-CB52DD0A83BD}" name="Fecha Sem" dataDxfId="38" dataCellStyle="Normal 5">
      <calculatedColumnFormula>B3+7</calculatedColumnFormula>
    </tableColumn>
    <tableColumn id="3" xr3:uid="{BDA5DBBC-20FF-4490-9B57-8A81EB7A661D}" name="hora amanecer" dataDxfId="37" dataCellStyle="Normal 5"/>
    <tableColumn id="4" xr3:uid="{C934D931-B681-4E2D-9D7C-AF4F59F7BBD7}" name="hora atardecer" dataDxfId="36" dataCellStyle="Normal 5"/>
    <tableColumn id="5" xr3:uid="{E9336281-1405-4EDE-8C3B-77480C701720}" name="Luz Natural" dataDxfId="35" dataCellStyle="Normal 5">
      <calculatedColumnFormula>D4-C4</calculatedColumnFormula>
    </tableColumn>
    <tableColumn id="8" xr3:uid="{4DE16B6C-923F-49E0-9190-CD501513DD53}" name="semaño" dataDxfId="34" dataCellStyle="Normal 5">
      <calculatedColumnFormula>WEEKNUM(Luz_Natural[[#This Row],[Fecha Sem]])</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anmarino.com.co/"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3.xml"/><Relationship Id="rId1" Type="http://schemas.openxmlformats.org/officeDocument/2006/relationships/printerSettings" Target="../printerSettings/printerSettings31.bin"/><Relationship Id="rId4" Type="http://schemas.openxmlformats.org/officeDocument/2006/relationships/ctrlProp" Target="../ctrlProps/ctrlProp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0.xml"/><Relationship Id="rId1" Type="http://schemas.openxmlformats.org/officeDocument/2006/relationships/printerSettings" Target="../printerSettings/printerSettings35.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O59"/>
  <sheetViews>
    <sheetView showGridLines="0" showRowColHeaders="0" showZeros="0" tabSelected="1" zoomScale="120" zoomScaleNormal="120" workbookViewId="0">
      <pane xSplit="3" ySplit="4" topLeftCell="D5" activePane="bottomRight" state="frozen"/>
      <selection pane="topRight" activeCell="D1" sqref="D1"/>
      <selection pane="bottomLeft" activeCell="A5" sqref="A5"/>
      <selection pane="bottomRight" activeCell="C2" sqref="C2"/>
    </sheetView>
  </sheetViews>
  <sheetFormatPr baseColWidth="10" defaultColWidth="0" defaultRowHeight="0" customHeight="1" zeroHeight="1" x14ac:dyDescent="0.25"/>
  <cols>
    <col min="1" max="1" width="2.875" style="470" customWidth="1"/>
    <col min="2" max="2" width="44.25" style="470" customWidth="1"/>
    <col min="3" max="3" width="55.625" style="470" customWidth="1"/>
    <col min="4" max="4" width="40" style="470" customWidth="1"/>
    <col min="5" max="5" width="40.625" style="470" customWidth="1"/>
    <col min="6" max="6" width="8.875" style="470" customWidth="1"/>
    <col min="7" max="7" width="11.75" style="470" customWidth="1"/>
    <col min="8" max="11" width="10" style="470" customWidth="1"/>
    <col min="12" max="15" width="0" style="470" hidden="1" customWidth="1"/>
    <col min="16" max="16384" width="10" style="470" hidden="1"/>
  </cols>
  <sheetData>
    <row r="1" spans="2:8" ht="65.25" customHeight="1" thickBot="1" x14ac:dyDescent="0.3">
      <c r="C1" s="1424" t="s">
        <v>474</v>
      </c>
      <c r="F1" s="468"/>
      <c r="G1" s="469"/>
    </row>
    <row r="2" spans="2:8" ht="18" x14ac:dyDescent="0.25">
      <c r="B2" s="1330" t="s">
        <v>291</v>
      </c>
      <c r="C2" s="1331" t="s">
        <v>134</v>
      </c>
      <c r="D2" s="1329"/>
      <c r="E2" s="1329"/>
    </row>
    <row r="3" spans="2:8" ht="20.25" customHeight="1" x14ac:dyDescent="0.25">
      <c r="B3" s="1332" t="s">
        <v>426</v>
      </c>
      <c r="C3" s="1333"/>
      <c r="D3"/>
      <c r="E3" s="1329"/>
    </row>
    <row r="4" spans="2:8" ht="19.5" customHeight="1" x14ac:dyDescent="0.25">
      <c r="B4" s="1332" t="s">
        <v>135</v>
      </c>
      <c r="C4" s="1334"/>
      <c r="D4"/>
      <c r="E4" s="1329"/>
    </row>
    <row r="5" spans="2:8" ht="23.25" customHeight="1" x14ac:dyDescent="0.25">
      <c r="B5" s="1335" t="s">
        <v>390</v>
      </c>
      <c r="C5" s="1336"/>
      <c r="D5"/>
      <c r="E5" s="1329"/>
    </row>
    <row r="6" spans="2:8" ht="23.25" customHeight="1" x14ac:dyDescent="0.25">
      <c r="B6" s="1335" t="s">
        <v>473</v>
      </c>
      <c r="C6" s="1337"/>
      <c r="D6"/>
      <c r="E6" s="1329"/>
    </row>
    <row r="7" spans="2:8" ht="21.75" customHeight="1" thickBot="1" x14ac:dyDescent="0.3">
      <c r="B7" s="1338" t="s">
        <v>49</v>
      </c>
      <c r="C7" s="1339"/>
      <c r="D7"/>
      <c r="E7" s="1329"/>
      <c r="H7" s="471"/>
    </row>
    <row r="8" spans="2:8" ht="6.75" customHeight="1" thickBot="1" x14ac:dyDescent="0.3">
      <c r="B8" s="1689"/>
      <c r="C8" s="1689"/>
    </row>
    <row r="9" spans="2:8" ht="21" customHeight="1" x14ac:dyDescent="0.25">
      <c r="B9" s="1687" t="s">
        <v>156</v>
      </c>
      <c r="C9" s="1688"/>
    </row>
    <row r="10" spans="2:8" ht="16.5" x14ac:dyDescent="0.3">
      <c r="B10" s="1340" t="s">
        <v>153</v>
      </c>
      <c r="C10" s="1341" t="s">
        <v>178</v>
      </c>
    </row>
    <row r="11" spans="2:8" ht="16.5" x14ac:dyDescent="0.3">
      <c r="B11" s="1340" t="s">
        <v>396</v>
      </c>
      <c r="C11" s="1341" t="s">
        <v>398</v>
      </c>
    </row>
    <row r="12" spans="2:8" ht="16.5" x14ac:dyDescent="0.3">
      <c r="B12" s="1342" t="s">
        <v>292</v>
      </c>
      <c r="C12" s="1343">
        <f>Levante!N1</f>
        <v>0</v>
      </c>
    </row>
    <row r="13" spans="2:8" ht="16.5" x14ac:dyDescent="0.25">
      <c r="B13" s="1332" t="s">
        <v>299</v>
      </c>
      <c r="C13" s="1344"/>
    </row>
    <row r="14" spans="2:8" ht="16.5" x14ac:dyDescent="0.3">
      <c r="B14" s="1342" t="s">
        <v>147</v>
      </c>
      <c r="C14" s="1345"/>
    </row>
    <row r="15" spans="2:8" ht="16.5" x14ac:dyDescent="0.3">
      <c r="B15" s="1342" t="s">
        <v>146</v>
      </c>
      <c r="C15" s="1345"/>
    </row>
    <row r="16" spans="2:8" ht="16.5" x14ac:dyDescent="0.3">
      <c r="B16" s="1342" t="s">
        <v>23</v>
      </c>
      <c r="C16" s="1346"/>
    </row>
    <row r="17" spans="2:8" ht="16.5" x14ac:dyDescent="0.3">
      <c r="B17" s="1342" t="s">
        <v>148</v>
      </c>
      <c r="C17" s="1347" t="str">
        <f>IF(C16="","",VLOOKUP(C16,Var!N2:O4,2,FALSE))</f>
        <v/>
      </c>
      <c r="H17" s="472"/>
    </row>
    <row r="18" spans="2:8" ht="16.5" x14ac:dyDescent="0.3">
      <c r="B18" s="1342" t="s">
        <v>337</v>
      </c>
      <c r="C18" s="1353"/>
    </row>
    <row r="19" spans="2:8" ht="16.5" x14ac:dyDescent="0.3">
      <c r="B19" s="1342" t="s">
        <v>150</v>
      </c>
      <c r="C19" s="1348"/>
    </row>
    <row r="20" spans="2:8" ht="16.5" x14ac:dyDescent="0.3">
      <c r="B20" s="1342" t="s">
        <v>149</v>
      </c>
      <c r="C20" s="1348"/>
      <c r="H20" s="472"/>
    </row>
    <row r="21" spans="2:8" ht="16.5" x14ac:dyDescent="0.3">
      <c r="B21" s="1342" t="s">
        <v>151</v>
      </c>
      <c r="C21" s="1348"/>
      <c r="H21" s="472"/>
    </row>
    <row r="22" spans="2:8" ht="17.25" thickBot="1" x14ac:dyDescent="0.35">
      <c r="B22" s="1349" t="s">
        <v>152</v>
      </c>
      <c r="C22" s="1350"/>
      <c r="H22" s="471"/>
    </row>
    <row r="23" spans="2:8" s="473" customFormat="1" ht="7.5" customHeight="1" thickBot="1" x14ac:dyDescent="0.3">
      <c r="B23" s="1690"/>
      <c r="C23" s="1690"/>
    </row>
    <row r="24" spans="2:8" s="473" customFormat="1" ht="18" x14ac:dyDescent="0.25">
      <c r="B24" s="1687" t="s">
        <v>157</v>
      </c>
      <c r="C24" s="1688"/>
    </row>
    <row r="25" spans="2:8" s="473" customFormat="1" ht="16.5" x14ac:dyDescent="0.3">
      <c r="B25" s="1340" t="str">
        <f>B10</f>
        <v xml:space="preserve">Presentación empaque de alimento : </v>
      </c>
      <c r="C25" s="1341" t="str">
        <f t="shared" ref="C25:C26" si="0">C10</f>
        <v>Kilos</v>
      </c>
    </row>
    <row r="26" spans="2:8" s="473" customFormat="1" ht="16.5" x14ac:dyDescent="0.3">
      <c r="B26" s="1340" t="s">
        <v>397</v>
      </c>
      <c r="C26" s="1341" t="str">
        <f t="shared" si="0"/>
        <v>Italcol</v>
      </c>
    </row>
    <row r="27" spans="2:8" s="473" customFormat="1" ht="16.5" x14ac:dyDescent="0.3">
      <c r="B27" s="1342" t="s">
        <v>154</v>
      </c>
      <c r="C27" s="1343">
        <f>PROD!K2</f>
        <v>0</v>
      </c>
    </row>
    <row r="28" spans="2:8" s="473" customFormat="1" ht="16.5" x14ac:dyDescent="0.3">
      <c r="B28" s="1342" t="s">
        <v>155</v>
      </c>
      <c r="C28" s="1351"/>
    </row>
    <row r="29" spans="2:8" s="473" customFormat="1" ht="16.5" x14ac:dyDescent="0.3">
      <c r="B29" s="1342" t="str">
        <f t="shared" ref="B29:B36" si="1">B14</f>
        <v xml:space="preserve">Nombre de la Granja : </v>
      </c>
      <c r="C29" s="1345"/>
    </row>
    <row r="30" spans="2:8" s="473" customFormat="1" ht="16.5" x14ac:dyDescent="0.3">
      <c r="B30" s="1342" t="str">
        <f t="shared" si="1"/>
        <v xml:space="preserve">Localización Granja : </v>
      </c>
      <c r="C30" s="1345"/>
    </row>
    <row r="31" spans="2:8" ht="16.5" x14ac:dyDescent="0.3">
      <c r="B31" s="1342" t="str">
        <f t="shared" si="1"/>
        <v xml:space="preserve">Altura sobre el nivel del mar : </v>
      </c>
      <c r="C31" s="1346"/>
      <c r="D31" s="471"/>
      <c r="E31" s="471"/>
      <c r="F31" s="471"/>
    </row>
    <row r="32" spans="2:8" ht="16.5" x14ac:dyDescent="0.3">
      <c r="B32" s="1342" t="str">
        <f t="shared" si="1"/>
        <v xml:space="preserve">Clima : </v>
      </c>
      <c r="C32" s="1347" t="str">
        <f>IF(C31="","",VLOOKUP(C31,Var!N2:O4,2,FALSE))</f>
        <v/>
      </c>
    </row>
    <row r="33" spans="2:3" ht="16.5" x14ac:dyDescent="0.3">
      <c r="B33" s="1342" t="str">
        <f t="shared" si="1"/>
        <v xml:space="preserve">Galpón : </v>
      </c>
      <c r="C33" s="1353"/>
    </row>
    <row r="34" spans="2:3" ht="16.5" x14ac:dyDescent="0.3">
      <c r="B34" s="1342" t="str">
        <f t="shared" si="1"/>
        <v xml:space="preserve">Clase de Alojamiento : </v>
      </c>
      <c r="C34" s="1348"/>
    </row>
    <row r="35" spans="2:3" ht="16.5" x14ac:dyDescent="0.3">
      <c r="B35" s="1342" t="str">
        <f t="shared" si="1"/>
        <v xml:space="preserve">Manejo de la Luz : </v>
      </c>
      <c r="C35" s="1348"/>
    </row>
    <row r="36" spans="2:3" ht="16.5" x14ac:dyDescent="0.3">
      <c r="B36" s="1342" t="str">
        <f t="shared" si="1"/>
        <v xml:space="preserve">Equipo de Comederos : </v>
      </c>
      <c r="C36" s="1348"/>
    </row>
    <row r="37" spans="2:3" ht="17.25" thickBot="1" x14ac:dyDescent="0.35">
      <c r="B37" s="1349" t="s">
        <v>345</v>
      </c>
      <c r="C37" s="1352">
        <f>IF(C5&gt;0,C5+(18*7),0)</f>
        <v>0</v>
      </c>
    </row>
    <row r="38" spans="2:3" ht="30.75" customHeight="1" x14ac:dyDescent="0.25">
      <c r="B38" s="1686" t="s">
        <v>435</v>
      </c>
      <c r="C38" s="1686"/>
    </row>
    <row r="39" spans="2:3" ht="13.5" x14ac:dyDescent="0.25">
      <c r="B39" s="473"/>
      <c r="C39" s="473"/>
    </row>
    <row r="40" spans="2:3" ht="13.5" x14ac:dyDescent="0.25">
      <c r="B40" s="473"/>
      <c r="C40" s="473"/>
    </row>
    <row r="41" spans="2:3" ht="13.5" x14ac:dyDescent="0.25">
      <c r="B41" s="473"/>
      <c r="C41" s="473"/>
    </row>
    <row r="42" spans="2:3" ht="13.5" x14ac:dyDescent="0.25">
      <c r="B42" s="473"/>
      <c r="C42" s="473"/>
    </row>
    <row r="43" spans="2:3" ht="13.5" x14ac:dyDescent="0.25">
      <c r="B43" s="473"/>
      <c r="C43" s="473"/>
    </row>
    <row r="44" spans="2:3" ht="13.5" x14ac:dyDescent="0.25">
      <c r="B44" s="473"/>
      <c r="C44" s="473"/>
    </row>
    <row r="45" spans="2:3" ht="13.5" x14ac:dyDescent="0.25">
      <c r="B45" s="473"/>
      <c r="C45" s="473"/>
    </row>
    <row r="46" spans="2:3" ht="13.5" x14ac:dyDescent="0.25">
      <c r="B46" s="473"/>
      <c r="C46" s="473"/>
    </row>
    <row r="47" spans="2:3" ht="13.5" x14ac:dyDescent="0.25">
      <c r="B47" s="471"/>
      <c r="C47" s="471"/>
    </row>
    <row r="48" spans="2:3" ht="13.5" x14ac:dyDescent="0.25"/>
    <row r="49" ht="13.5" x14ac:dyDescent="0.25"/>
    <row r="50" ht="13.5" x14ac:dyDescent="0.25"/>
    <row r="51" ht="13.5" x14ac:dyDescent="0.25"/>
    <row r="52" ht="13.5" x14ac:dyDescent="0.25"/>
    <row r="53" ht="13.5" x14ac:dyDescent="0.25"/>
    <row r="54" ht="13.5" x14ac:dyDescent="0.25"/>
    <row r="55" ht="13.5" x14ac:dyDescent="0.25"/>
    <row r="56" ht="13.5" x14ac:dyDescent="0.25"/>
    <row r="57" ht="13.5" x14ac:dyDescent="0.25"/>
    <row r="58" ht="13.5" x14ac:dyDescent="0.25"/>
    <row r="59" ht="13.5" x14ac:dyDescent="0.25"/>
  </sheetData>
  <sheetProtection algorithmName="SHA-512" hashValue="9w8rRO32OelA8gDgrQNfV6BwWJrp1CJtk2PFwOsU5CCk+WPXpKIh7nKX+9/ryS7pfn6/XUgFb2+FBgTMnPbPnQ==" saltValue="cIf59f5rlHwe06XTMeXpCg==" spinCount="100000" sheet="1" objects="1" scenarios="1"/>
  <customSheetViews>
    <customSheetView guid="{2AFB78BD-0AA0-48F7-9FB9-7ECB21AAFE3F}" showGridLines="0" showRowCol="0" zeroValues="0" hiddenRows="1" hiddenColumns="1">
      <pane xSplit="1" ySplit="8" topLeftCell="B15" activePane="bottomRight" state="frozen"/>
      <selection pane="bottomRight" activeCell="C3" sqref="C3"/>
      <pageMargins left="0.75" right="0.75" top="1" bottom="1" header="0" footer="0"/>
      <pageSetup orientation="portrait" r:id="rId1"/>
      <headerFooter alignWithMargins="0"/>
    </customSheetView>
  </customSheetViews>
  <mergeCells count="5">
    <mergeCell ref="B38:C38"/>
    <mergeCell ref="B9:C9"/>
    <mergeCell ref="B24:C24"/>
    <mergeCell ref="B8:C8"/>
    <mergeCell ref="B23:C23"/>
  </mergeCells>
  <dataValidations count="11">
    <dataValidation type="list" allowBlank="1" showInputMessage="1" showErrorMessage="1" sqref="C10 C25" xr:uid="{00000000-0002-0000-0100-000000000000}">
      <formula1>Empaque_Alimto</formula1>
    </dataValidation>
    <dataValidation type="list" showInputMessage="1" showErrorMessage="1" sqref="C35" xr:uid="{00000000-0002-0000-0100-000001000000}">
      <formula1>PROG_LUZ_PROD</formula1>
    </dataValidation>
    <dataValidation type="list" showInputMessage="1" showErrorMessage="1" promptTitle="Seleccione una Línea de Ponedora" prompt="Haga click sobre el indicador a la derecha de esta celda.  El registro tomará los valores propios de la Línea de Ponedoras Seleccionada" sqref="C3" xr:uid="{00000000-0002-0000-0100-000002000000}">
      <formula1>Lineas</formula1>
    </dataValidation>
    <dataValidation type="list" allowBlank="1" showInputMessage="1" showErrorMessage="1" sqref="B7" xr:uid="{00000000-0002-0000-0100-000003000000}">
      <formula1>Responsable_Técnico</formula1>
    </dataValidation>
    <dataValidation allowBlank="1" showInputMessage="1" showErrorMessage="1" promptTitle="Total Aves Ingresadas" prompt="Para Digitar las pollitas recibidas vaya a la Hoja Levantes" sqref="C12" xr:uid="{00000000-0002-0000-0100-000004000000}"/>
    <dataValidation type="list" showInputMessage="1" showErrorMessage="1" sqref="C20" xr:uid="{00000000-0002-0000-0100-000005000000}">
      <formula1>PROG_LUZ_LEV</formula1>
    </dataValidation>
    <dataValidation type="list" allowBlank="1" showInputMessage="1" showErrorMessage="1" sqref="C16 C31" xr:uid="{00000000-0002-0000-0100-000006000000}">
      <formula1>MOSL</formula1>
    </dataValidation>
    <dataValidation type="list" allowBlank="1" showInputMessage="1" showErrorMessage="1" sqref="C19 C34" xr:uid="{00000000-0002-0000-0100-000008000000}">
      <formula1>TIPOS_DE_ALOJAMIENTO</formula1>
    </dataValidation>
    <dataValidation type="list" allowBlank="1" showInputMessage="1" showErrorMessage="1" sqref="C21 C36" xr:uid="{00000000-0002-0000-0100-000009000000}">
      <formula1>Equipo_Comederos</formula1>
    </dataValidation>
    <dataValidation type="list" allowBlank="1" showInputMessage="1" showErrorMessage="1" sqref="C11 C26" xr:uid="{2C53E422-3097-4EE6-8711-77315C0BAA3F}">
      <formula1>"Italcol,Alimento Propio,Marca DIFERENTE A Italcol"</formula1>
    </dataValidation>
    <dataValidation type="date" allowBlank="1" showInputMessage="1" showErrorMessage="1" promptTitle="dd/mm/aa" prompt="Tome como fecha de primer día de vida el mismo día de ingreso, si la la hora de llegada es hasta medio día.  Si es posterior, recomendamos iniciar con el siguiente día." sqref="C5" xr:uid="{8E3CC8BF-0F27-49B9-977C-D5EF2C5F7A48}">
      <formula1>44927</formula1>
      <formula2>47118</formula2>
    </dataValidation>
  </dataValidations>
  <hyperlinks>
    <hyperlink ref="B38" r:id="rId2" xr:uid="{00000000-0004-0000-0100-000001000000}"/>
  </hyperlinks>
  <pageMargins left="0.75" right="0.75" top="1" bottom="1" header="0" footer="0"/>
  <pageSetup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expression" priority="1" id="{6592D6C1-0499-4A74-96DA-680FEBA778FD}">
            <xm:f>OR($C$3=Var!$I$2,$C$3=Var!$I$3,$C$3=Var!$I$5)</xm:f>
            <x14:dxf>
              <font>
                <b/>
                <i val="0"/>
                <strike val="0"/>
                <color rgb="FF222E9E"/>
              </font>
            </x14:dxf>
          </x14:cfRule>
          <xm:sqref>C3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1688C-3380-49CC-A2AE-2C0544742CA6}">
  <sheetPr codeName="Hoja17"/>
  <dimension ref="A1:AF25"/>
  <sheetViews>
    <sheetView showGridLines="0" showRowColHeaders="0" workbookViewId="0">
      <pane xSplit="5" ySplit="2" topLeftCell="F3" activePane="bottomRight" state="frozen"/>
      <selection pane="topRight" activeCell="C1" sqref="C1"/>
      <selection pane="bottomLeft" activeCell="A3" sqref="A3"/>
      <selection pane="bottomRight" activeCell="F3" sqref="F3"/>
    </sheetView>
  </sheetViews>
  <sheetFormatPr baseColWidth="10" defaultRowHeight="13.5" x14ac:dyDescent="0.25"/>
  <cols>
    <col min="1" max="1" width="11.375" style="43" customWidth="1"/>
    <col min="2" max="2" width="11.625" style="43" customWidth="1"/>
    <col min="3" max="3" width="15.5" style="43" customWidth="1"/>
    <col min="4" max="4" width="7.625" style="43" customWidth="1"/>
    <col min="5" max="5" width="7.375" style="43" customWidth="1"/>
    <col min="6" max="6" width="13.75" style="43" customWidth="1"/>
    <col min="7" max="7" width="13.25" style="43" bestFit="1" customWidth="1"/>
    <col min="8" max="8" width="14.375" style="43" customWidth="1"/>
    <col min="9" max="9" width="13.25" style="43" customWidth="1"/>
    <col min="10" max="10" width="11.25" style="43" customWidth="1"/>
    <col min="11" max="11" width="12" style="43" customWidth="1"/>
    <col min="12" max="12" width="11.875" style="43" customWidth="1"/>
    <col min="13" max="13" width="12" style="43" customWidth="1"/>
    <col min="14" max="14" width="10.625" style="43" customWidth="1"/>
    <col min="15" max="15" width="29.375" style="43" customWidth="1"/>
    <col min="16" max="16" width="12.5" style="43" customWidth="1"/>
    <col min="17" max="17" width="13.875" style="43" customWidth="1"/>
    <col min="18" max="18" width="10.5" style="43" customWidth="1"/>
    <col min="19" max="19" width="13.875" style="43" customWidth="1"/>
    <col min="20" max="20" width="10.75" style="43" customWidth="1"/>
    <col min="21" max="21" width="10.5" style="43" customWidth="1"/>
    <col min="22" max="22" width="9.625" style="43" customWidth="1"/>
    <col min="23" max="23" width="10.375" style="43" customWidth="1"/>
    <col min="24" max="24" width="7.5" style="43" customWidth="1"/>
    <col min="25" max="25" width="3.5" style="43" customWidth="1"/>
    <col min="26" max="28" width="9.625" style="43" customWidth="1"/>
    <col min="29" max="30" width="8.125" style="43" customWidth="1"/>
    <col min="31" max="32" width="9.625" style="43" customWidth="1"/>
  </cols>
  <sheetData>
    <row r="1" spans="1:32" ht="42.75" customHeight="1" thickBot="1" x14ac:dyDescent="0.3">
      <c r="A1" s="1988"/>
      <c r="B1" s="1989"/>
      <c r="C1" s="1973" t="str">
        <f>'Sem-L'!F1</f>
        <v xml:space="preserve">Nombre / Razón Social  : </v>
      </c>
      <c r="D1" s="1974"/>
      <c r="E1" s="1974"/>
      <c r="F1" s="1996" t="str">
        <f>'Sem-L'!I1</f>
        <v xml:space="preserve"> </v>
      </c>
      <c r="G1" s="1997"/>
      <c r="H1" s="1973" t="str">
        <f>'Sem-L'!O1</f>
        <v xml:space="preserve">Estirpe / Línea : </v>
      </c>
      <c r="I1" s="1974"/>
      <c r="J1" s="1996">
        <f>'Sem-L'!R1</f>
        <v>0</v>
      </c>
      <c r="K1" s="1997"/>
      <c r="L1" s="1445" t="str">
        <f>'Sem-L'!O2</f>
        <v xml:space="preserve">Fecha de Nacimiento : </v>
      </c>
      <c r="M1" s="1990">
        <f>'Sem-L'!R2</f>
        <v>0</v>
      </c>
      <c r="N1" s="1991"/>
      <c r="O1" s="1444" t="str">
        <f>'Sem-L'!F3</f>
        <v xml:space="preserve">Lote # : </v>
      </c>
      <c r="P1" s="1992">
        <f>'Sem-L'!G3</f>
        <v>0</v>
      </c>
      <c r="Q1" s="1993">
        <f>'Sem-L'!H3</f>
        <v>0</v>
      </c>
      <c r="R1" s="1444" t="str">
        <f>'Sem-L'!I3</f>
        <v xml:space="preserve">Galpón : </v>
      </c>
      <c r="S1" s="1994">
        <f>'Sem-L'!K3</f>
        <v>0</v>
      </c>
      <c r="T1" s="1995"/>
      <c r="X1" s="65"/>
      <c r="Z1" s="1975"/>
      <c r="AA1" s="1975"/>
      <c r="AB1" s="1975"/>
      <c r="AC1" s="1975"/>
      <c r="AD1" s="1975"/>
      <c r="AE1" s="1975"/>
    </row>
    <row r="2" spans="1:32" ht="45" thickBot="1" x14ac:dyDescent="0.3">
      <c r="A2" s="1456" t="s">
        <v>199</v>
      </c>
      <c r="B2" s="1457" t="s">
        <v>198</v>
      </c>
      <c r="C2" s="1458" t="s">
        <v>197</v>
      </c>
      <c r="D2" s="1459" t="s">
        <v>172</v>
      </c>
      <c r="E2" s="1443" t="s">
        <v>0</v>
      </c>
      <c r="F2" s="1425" t="s">
        <v>493</v>
      </c>
      <c r="G2" s="1426" t="s">
        <v>494</v>
      </c>
      <c r="H2" s="1427" t="s">
        <v>201</v>
      </c>
      <c r="I2" s="1428" t="s">
        <v>202</v>
      </c>
      <c r="J2" s="1429" t="s">
        <v>203</v>
      </c>
      <c r="K2" s="1430" t="s">
        <v>204</v>
      </c>
      <c r="L2" s="1431" t="s">
        <v>492</v>
      </c>
      <c r="M2" s="1432" t="s">
        <v>205</v>
      </c>
      <c r="N2" s="1433" t="s">
        <v>206</v>
      </c>
      <c r="O2" s="1434" t="s">
        <v>436</v>
      </c>
      <c r="P2" s="1435" t="s">
        <v>207</v>
      </c>
      <c r="Q2" s="1434" t="s">
        <v>208</v>
      </c>
      <c r="R2" s="1436" t="s">
        <v>209</v>
      </c>
      <c r="S2" s="1437" t="s">
        <v>213</v>
      </c>
      <c r="T2" s="1438" t="s">
        <v>212</v>
      </c>
      <c r="U2" s="1439" t="s">
        <v>437</v>
      </c>
      <c r="V2" s="1440" t="s">
        <v>210</v>
      </c>
      <c r="W2" s="1441" t="s">
        <v>211</v>
      </c>
      <c r="X2" s="1442" t="s">
        <v>0</v>
      </c>
      <c r="Z2" s="1976"/>
      <c r="AA2" s="1976"/>
      <c r="AB2" s="1976"/>
      <c r="AC2" s="1976"/>
      <c r="AD2" s="1976"/>
      <c r="AE2" s="1976"/>
    </row>
    <row r="3" spans="1:32" ht="21.95" customHeight="1" thickTop="1" x14ac:dyDescent="0.2">
      <c r="A3" s="1447">
        <f>B3</f>
        <v>0</v>
      </c>
      <c r="B3" s="1448">
        <f>IF((CostosLev!$D3+IF('Sem-L'!D6&gt;0,'Sem-L'!D6,0))&gt;0,C3/(CostosLev!$D3+IF('Sem-L'!D6&gt;0,'Sem-L'!D6,0)),0)</f>
        <v>0</v>
      </c>
      <c r="C3" s="1449">
        <f>SUM(CostosLev!F3:N3,CostosLev!P3:W3)</f>
        <v>0</v>
      </c>
      <c r="D3" s="742">
        <f>'Sem-L'!B6</f>
        <v>0</v>
      </c>
      <c r="E3" s="1567">
        <v>1</v>
      </c>
      <c r="F3" s="671"/>
      <c r="G3" s="672"/>
      <c r="H3" s="1577">
        <f>LOOKUP(E3,Levante!$B$6:$B$131,Levante!$AI$6:$AI$131)</f>
        <v>0</v>
      </c>
      <c r="I3" s="675"/>
      <c r="J3" s="676"/>
      <c r="K3" s="676"/>
      <c r="L3" s="677"/>
      <c r="M3" s="675"/>
      <c r="N3" s="677"/>
      <c r="O3" s="678"/>
      <c r="P3" s="677"/>
      <c r="Q3" s="679"/>
      <c r="R3" s="680"/>
      <c r="S3" s="676"/>
      <c r="T3" s="677"/>
      <c r="U3" s="675"/>
      <c r="V3" s="681"/>
      <c r="W3" s="682"/>
      <c r="X3" s="1568">
        <v>1</v>
      </c>
      <c r="Y3" s="59"/>
      <c r="Z3" s="1986" t="str">
        <f>$H$2</f>
        <v>$ Alimento Semana</v>
      </c>
      <c r="AA3" s="1987"/>
      <c r="AB3" s="1987"/>
      <c r="AC3" s="1985">
        <f>$H$22</f>
        <v>0</v>
      </c>
      <c r="AD3" s="1985"/>
      <c r="AE3" s="66">
        <f>$H$23</f>
        <v>0</v>
      </c>
      <c r="AF3" s="59"/>
    </row>
    <row r="4" spans="1:32" ht="21.95" customHeight="1" x14ac:dyDescent="0.25">
      <c r="A4" s="1450">
        <f>A3*(1+'Sem-L'!E7)+B4</f>
        <v>0</v>
      </c>
      <c r="B4" s="1451">
        <f>IF((CostosLev!$D4+IF('Sem-L'!D7&gt;0,'Sem-L'!D7,0))&gt;0,C4/(CostosLev!$D4+IF('Sem-L'!D7&gt;0,'Sem-L'!D7,0)),0)</f>
        <v>0</v>
      </c>
      <c r="C4" s="1452">
        <f>SUM(CostosLev!F4:N4,CostosLev!P4:W4)</f>
        <v>0</v>
      </c>
      <c r="D4" s="743">
        <f>'Sem-L'!B7</f>
        <v>0</v>
      </c>
      <c r="E4" s="1569">
        <f t="shared" ref="E4:E20" si="0">E3+1</f>
        <v>2</v>
      </c>
      <c r="F4" s="673"/>
      <c r="G4" s="674"/>
      <c r="H4" s="1578">
        <f>LOOKUP(E4,Levante!$B$6:$B$131,Levante!$AI$6:$AI$131)</f>
        <v>0</v>
      </c>
      <c r="I4" s="683"/>
      <c r="J4" s="684"/>
      <c r="K4" s="684"/>
      <c r="L4" s="685"/>
      <c r="M4" s="683"/>
      <c r="N4" s="685"/>
      <c r="O4" s="686"/>
      <c r="P4" s="685"/>
      <c r="Q4" s="687"/>
      <c r="R4" s="688"/>
      <c r="S4" s="684"/>
      <c r="T4" s="685"/>
      <c r="U4" s="683"/>
      <c r="V4" s="689"/>
      <c r="W4" s="690"/>
      <c r="X4" s="1570">
        <f t="shared" ref="X4:X20" si="1">X3+1</f>
        <v>2</v>
      </c>
      <c r="Z4" s="1982" t="str">
        <f>$G$2</f>
        <v>$ Pollitas</v>
      </c>
      <c r="AA4" s="1983"/>
      <c r="AB4" s="1983"/>
      <c r="AC4" s="1984">
        <f>$G$22</f>
        <v>0</v>
      </c>
      <c r="AD4" s="1984"/>
      <c r="AE4" s="67">
        <f>$G$23</f>
        <v>0</v>
      </c>
    </row>
    <row r="5" spans="1:32" ht="21.95" customHeight="1" x14ac:dyDescent="0.25">
      <c r="A5" s="1450">
        <f>A4*(1+'Sem-L'!E8)+B5</f>
        <v>0</v>
      </c>
      <c r="B5" s="1451">
        <f>IF((CostosLev!$D5+IF('Sem-L'!D8&gt;0,'Sem-L'!D8,0))&gt;0,C5/(CostosLev!$D5+IF('Sem-L'!D8&gt;0,'Sem-L'!D8,0)),0)</f>
        <v>0</v>
      </c>
      <c r="C5" s="1452">
        <f>SUM(CostosLev!F5:N5,CostosLev!P5:W5)</f>
        <v>0</v>
      </c>
      <c r="D5" s="743">
        <f>'Sem-L'!B8</f>
        <v>0</v>
      </c>
      <c r="E5" s="1569">
        <f t="shared" si="0"/>
        <v>3</v>
      </c>
      <c r="F5" s="673"/>
      <c r="G5" s="674"/>
      <c r="H5" s="1578">
        <f>LOOKUP(E5,Levante!$B$6:$B$131,Levante!$AI$6:$AI$131)</f>
        <v>0</v>
      </c>
      <c r="I5" s="683"/>
      <c r="J5" s="684"/>
      <c r="K5" s="684"/>
      <c r="L5" s="685"/>
      <c r="M5" s="683"/>
      <c r="N5" s="685"/>
      <c r="O5" s="686"/>
      <c r="P5" s="685"/>
      <c r="Q5" s="687"/>
      <c r="R5" s="688"/>
      <c r="S5" s="684"/>
      <c r="T5" s="685"/>
      <c r="U5" s="683"/>
      <c r="V5" s="689"/>
      <c r="W5" s="690"/>
      <c r="X5" s="1570">
        <f t="shared" si="1"/>
        <v>3</v>
      </c>
      <c r="Z5" s="1982" t="str">
        <f>$L$2</f>
        <v>$ Vacunas</v>
      </c>
      <c r="AA5" s="1983"/>
      <c r="AB5" s="1983"/>
      <c r="AC5" s="1984">
        <f>$L$22</f>
        <v>0</v>
      </c>
      <c r="AD5" s="1984"/>
      <c r="AE5" s="67">
        <f>$L$23</f>
        <v>0</v>
      </c>
    </row>
    <row r="6" spans="1:32" ht="21.95" customHeight="1" x14ac:dyDescent="0.25">
      <c r="A6" s="1450">
        <f>A5*(1+'Sem-L'!E9)+B6</f>
        <v>0</v>
      </c>
      <c r="B6" s="1451">
        <f>IF((CostosLev!$D6+IF('Sem-L'!D9&gt;0,'Sem-L'!D9,0))&gt;0,C6/(CostosLev!$D6+IF('Sem-L'!D9&gt;0,'Sem-L'!D9,0)),0)</f>
        <v>0</v>
      </c>
      <c r="C6" s="1452">
        <f>SUM(CostosLev!F6:N6,CostosLev!P6:W6)</f>
        <v>0</v>
      </c>
      <c r="D6" s="743">
        <f>'Sem-L'!B9</f>
        <v>0</v>
      </c>
      <c r="E6" s="1569">
        <f t="shared" si="0"/>
        <v>4</v>
      </c>
      <c r="F6" s="673"/>
      <c r="G6" s="674"/>
      <c r="H6" s="1578">
        <f>LOOKUP(E6,Levante!$B$6:$B$131,Levante!$AI$6:$AI$131)</f>
        <v>0</v>
      </c>
      <c r="I6" s="683"/>
      <c r="J6" s="684"/>
      <c r="K6" s="684"/>
      <c r="L6" s="685"/>
      <c r="M6" s="683"/>
      <c r="N6" s="685"/>
      <c r="O6" s="686"/>
      <c r="P6" s="685"/>
      <c r="Q6" s="687"/>
      <c r="R6" s="688"/>
      <c r="S6" s="684"/>
      <c r="T6" s="685"/>
      <c r="U6" s="683"/>
      <c r="V6" s="689"/>
      <c r="W6" s="690"/>
      <c r="X6" s="1570">
        <f t="shared" si="1"/>
        <v>4</v>
      </c>
      <c r="Z6" s="1982" t="str">
        <f>$V$2</f>
        <v>$ Comunes</v>
      </c>
      <c r="AA6" s="1983"/>
      <c r="AB6" s="1983"/>
      <c r="AC6" s="1984">
        <f>$V$22</f>
        <v>0</v>
      </c>
      <c r="AD6" s="1984"/>
      <c r="AE6" s="67">
        <f>$V$23</f>
        <v>0</v>
      </c>
    </row>
    <row r="7" spans="1:32" ht="21.95" customHeight="1" x14ac:dyDescent="0.25">
      <c r="A7" s="1450">
        <f>A6*(1+'Sem-L'!E10)+B7</f>
        <v>0</v>
      </c>
      <c r="B7" s="1451">
        <f>IF((CostosLev!$D7+IF('Sem-L'!D10&gt;0,'Sem-L'!D10,0))&gt;0,C7/(CostosLev!$D7+IF('Sem-L'!D10&gt;0,'Sem-L'!D10,0)),0)</f>
        <v>0</v>
      </c>
      <c r="C7" s="1452">
        <f>SUM(CostosLev!F7:N7,CostosLev!P7:W7)</f>
        <v>0</v>
      </c>
      <c r="D7" s="743">
        <f>'Sem-L'!B10</f>
        <v>0</v>
      </c>
      <c r="E7" s="1569">
        <f t="shared" si="0"/>
        <v>5</v>
      </c>
      <c r="F7" s="673"/>
      <c r="G7" s="674"/>
      <c r="H7" s="1578">
        <f>LOOKUP(E7,Levante!$B$6:$B$131,Levante!$AI$6:$AI$131)</f>
        <v>0</v>
      </c>
      <c r="I7" s="683"/>
      <c r="J7" s="684"/>
      <c r="K7" s="684"/>
      <c r="L7" s="685"/>
      <c r="M7" s="683"/>
      <c r="N7" s="685"/>
      <c r="O7" s="686"/>
      <c r="P7" s="685"/>
      <c r="Q7" s="687"/>
      <c r="R7" s="688"/>
      <c r="S7" s="684"/>
      <c r="T7" s="685"/>
      <c r="U7" s="683"/>
      <c r="V7" s="689"/>
      <c r="W7" s="690"/>
      <c r="X7" s="1570">
        <f t="shared" si="1"/>
        <v>5</v>
      </c>
      <c r="Z7" s="1982" t="str">
        <f>$P$2</f>
        <v>$ M de Obra Temporal</v>
      </c>
      <c r="AA7" s="1983"/>
      <c r="AB7" s="1983"/>
      <c r="AC7" s="1984">
        <f>$P$22</f>
        <v>0</v>
      </c>
      <c r="AD7" s="1984"/>
      <c r="AE7" s="67">
        <f>$P$23</f>
        <v>0</v>
      </c>
    </row>
    <row r="8" spans="1:32" ht="21.95" customHeight="1" x14ac:dyDescent="0.25">
      <c r="A8" s="1450">
        <f>A7*(1+'Sem-L'!E11)+B8</f>
        <v>0</v>
      </c>
      <c r="B8" s="1451">
        <f>IF((CostosLev!$D8+IF('Sem-L'!D11&gt;0,'Sem-L'!D11,0))&gt;0,C8/(CostosLev!$D8+IF('Sem-L'!D11&gt;0,'Sem-L'!D11,0)),0)</f>
        <v>0</v>
      </c>
      <c r="C8" s="1452">
        <f>SUM(CostosLev!F8:N8,CostosLev!P8:W8)</f>
        <v>0</v>
      </c>
      <c r="D8" s="743">
        <f>'Sem-L'!B11</f>
        <v>0</v>
      </c>
      <c r="E8" s="1569">
        <f t="shared" si="0"/>
        <v>6</v>
      </c>
      <c r="F8" s="673"/>
      <c r="G8" s="674"/>
      <c r="H8" s="1578">
        <f>LOOKUP(E8,Levante!$B$6:$B$131,Levante!$AI$6:$AI$131)</f>
        <v>0</v>
      </c>
      <c r="I8" s="683"/>
      <c r="J8" s="684"/>
      <c r="K8" s="684"/>
      <c r="L8" s="685"/>
      <c r="M8" s="683"/>
      <c r="N8" s="685"/>
      <c r="O8" s="686"/>
      <c r="P8" s="685"/>
      <c r="Q8" s="687"/>
      <c r="R8" s="688"/>
      <c r="S8" s="684"/>
      <c r="T8" s="685"/>
      <c r="U8" s="683"/>
      <c r="V8" s="689"/>
      <c r="W8" s="690"/>
      <c r="X8" s="1570">
        <f t="shared" si="1"/>
        <v>6</v>
      </c>
      <c r="Z8" s="1982" t="str">
        <f>$Q$2</f>
        <v>Canon Arriendos - Deprec.</v>
      </c>
      <c r="AA8" s="1983"/>
      <c r="AB8" s="1983"/>
      <c r="AC8" s="1984">
        <f>$Q$22</f>
        <v>0</v>
      </c>
      <c r="AD8" s="1984"/>
      <c r="AE8" s="67">
        <f>$Q$23</f>
        <v>0</v>
      </c>
    </row>
    <row r="9" spans="1:32" ht="21.95" customHeight="1" x14ac:dyDescent="0.25">
      <c r="A9" s="1450">
        <f>A8*(1+'Sem-L'!E12)+B9</f>
        <v>0</v>
      </c>
      <c r="B9" s="1451">
        <f>IF((CostosLev!$D9+IF('Sem-L'!D12&gt;0,'Sem-L'!D12,0))&gt;0,C9/(CostosLev!$D9+IF('Sem-L'!D12&gt;0,'Sem-L'!D12,0)),0)</f>
        <v>0</v>
      </c>
      <c r="C9" s="1452">
        <f>SUM(CostosLev!F9:N9,CostosLev!P9:W9)</f>
        <v>0</v>
      </c>
      <c r="D9" s="743">
        <f>'Sem-L'!B12</f>
        <v>0</v>
      </c>
      <c r="E9" s="1569">
        <f t="shared" si="0"/>
        <v>7</v>
      </c>
      <c r="F9" s="673"/>
      <c r="G9" s="674"/>
      <c r="H9" s="1578">
        <f>LOOKUP(E9,Levante!$B$6:$B$131,Levante!$AI$6:$AI$131)</f>
        <v>0</v>
      </c>
      <c r="I9" s="683"/>
      <c r="J9" s="684"/>
      <c r="K9" s="684"/>
      <c r="L9" s="685"/>
      <c r="M9" s="683"/>
      <c r="N9" s="685"/>
      <c r="O9" s="686"/>
      <c r="P9" s="685"/>
      <c r="Q9" s="687"/>
      <c r="R9" s="688"/>
      <c r="S9" s="684"/>
      <c r="T9" s="685"/>
      <c r="U9" s="683"/>
      <c r="V9" s="689"/>
      <c r="W9" s="690"/>
      <c r="X9" s="1570">
        <f t="shared" si="1"/>
        <v>7</v>
      </c>
      <c r="Z9" s="1982" t="str">
        <f>$M$2</f>
        <v>$ M de Obra - nómina</v>
      </c>
      <c r="AA9" s="1983"/>
      <c r="AB9" s="1983"/>
      <c r="AC9" s="1984">
        <f>$M$22</f>
        <v>0</v>
      </c>
      <c r="AD9" s="1984"/>
      <c r="AE9" s="67">
        <f>$M$23</f>
        <v>0</v>
      </c>
    </row>
    <row r="10" spans="1:32" ht="21.95" customHeight="1" x14ac:dyDescent="0.25">
      <c r="A10" s="1450">
        <f>A9*(1+'Sem-L'!E13)+B10</f>
        <v>0</v>
      </c>
      <c r="B10" s="1451">
        <f>IF((CostosLev!$D10+IF('Sem-L'!D13&gt;0,'Sem-L'!D13,0))&gt;0,C10/(CostosLev!$D10+IF('Sem-L'!D13&gt;0,'Sem-L'!D13,0)),0)</f>
        <v>0</v>
      </c>
      <c r="C10" s="1452">
        <f>SUM(CostosLev!F10:N10,CostosLev!P10:W10)</f>
        <v>0</v>
      </c>
      <c r="D10" s="743">
        <f>'Sem-L'!B13</f>
        <v>0</v>
      </c>
      <c r="E10" s="1569">
        <f t="shared" si="0"/>
        <v>8</v>
      </c>
      <c r="F10" s="673"/>
      <c r="G10" s="674"/>
      <c r="H10" s="1578">
        <f>LOOKUP(E10,Levante!$B$6:$B$131,Levante!$AI$6:$AI$131)</f>
        <v>0</v>
      </c>
      <c r="I10" s="683"/>
      <c r="J10" s="684"/>
      <c r="K10" s="684"/>
      <c r="L10" s="685"/>
      <c r="M10" s="683"/>
      <c r="N10" s="685"/>
      <c r="O10" s="686"/>
      <c r="P10" s="685"/>
      <c r="Q10" s="687"/>
      <c r="R10" s="688"/>
      <c r="S10" s="684"/>
      <c r="T10" s="685"/>
      <c r="U10" s="683"/>
      <c r="V10" s="689"/>
      <c r="W10" s="690"/>
      <c r="X10" s="1570">
        <f t="shared" si="1"/>
        <v>8</v>
      </c>
      <c r="Z10" s="1982" t="str">
        <f>$R$2</f>
        <v>$ Gas / Calef</v>
      </c>
      <c r="AA10" s="1983"/>
      <c r="AB10" s="1983"/>
      <c r="AC10" s="1984">
        <f>$R$22</f>
        <v>0</v>
      </c>
      <c r="AD10" s="1984"/>
      <c r="AE10" s="67">
        <f>$R$23</f>
        <v>0</v>
      </c>
    </row>
    <row r="11" spans="1:32" ht="21.95" customHeight="1" x14ac:dyDescent="0.25">
      <c r="A11" s="1450">
        <f>A10*(1+'Sem-L'!E14)+B11</f>
        <v>0</v>
      </c>
      <c r="B11" s="1451">
        <f>IF((CostosLev!$D11+IF('Sem-L'!D14&gt;0,'Sem-L'!D14,0))&gt;0,C11/(CostosLev!$D11+IF('Sem-L'!D14&gt;0,'Sem-L'!D14,0)),0)</f>
        <v>0</v>
      </c>
      <c r="C11" s="1452">
        <f>SUM(CostosLev!F11:N11,CostosLev!P11:W11)</f>
        <v>0</v>
      </c>
      <c r="D11" s="743">
        <f>'Sem-L'!B14</f>
        <v>0</v>
      </c>
      <c r="E11" s="1569">
        <f t="shared" si="0"/>
        <v>9</v>
      </c>
      <c r="F11" s="673"/>
      <c r="G11" s="674"/>
      <c r="H11" s="1578">
        <f>LOOKUP(E11,Levante!$B$6:$B$131,Levante!$AI$6:$AI$131)</f>
        <v>0</v>
      </c>
      <c r="I11" s="683"/>
      <c r="J11" s="684"/>
      <c r="K11" s="684"/>
      <c r="L11" s="685"/>
      <c r="M11" s="683"/>
      <c r="N11" s="685"/>
      <c r="O11" s="686"/>
      <c r="P11" s="685"/>
      <c r="Q11" s="687"/>
      <c r="R11" s="688"/>
      <c r="S11" s="684"/>
      <c r="T11" s="685"/>
      <c r="U11" s="683"/>
      <c r="V11" s="689"/>
      <c r="W11" s="690"/>
      <c r="X11" s="1570">
        <f t="shared" si="1"/>
        <v>9</v>
      </c>
      <c r="Z11" s="1982" t="str">
        <f>$I$2</f>
        <v>$ Tratamientos</v>
      </c>
      <c r="AA11" s="1983"/>
      <c r="AB11" s="1983"/>
      <c r="AC11" s="1984">
        <f>$I$22</f>
        <v>0</v>
      </c>
      <c r="AD11" s="1984"/>
      <c r="AE11" s="67">
        <f>$I$23</f>
        <v>0</v>
      </c>
    </row>
    <row r="12" spans="1:32" ht="21.95" customHeight="1" x14ac:dyDescent="0.25">
      <c r="A12" s="1450">
        <f>A11*(1+'Sem-L'!E15)+B12</f>
        <v>0</v>
      </c>
      <c r="B12" s="1451">
        <f>IF((CostosLev!$D12+IF('Sem-L'!D15&gt;0,'Sem-L'!D15,0))&gt;0,C12/(CostosLev!$D12+IF('Sem-L'!D15&gt;0,'Sem-L'!D15,0)),0)</f>
        <v>0</v>
      </c>
      <c r="C12" s="1452">
        <f>SUM(CostosLev!F12:N12,CostosLev!P12:W12)</f>
        <v>0</v>
      </c>
      <c r="D12" s="743">
        <f>'Sem-L'!B15</f>
        <v>0</v>
      </c>
      <c r="E12" s="1569">
        <f t="shared" si="0"/>
        <v>10</v>
      </c>
      <c r="F12" s="673"/>
      <c r="G12" s="674"/>
      <c r="H12" s="1578">
        <f>LOOKUP(E12,Levante!$B$6:$B$131,Levante!$AI$6:$AI$131)</f>
        <v>0</v>
      </c>
      <c r="I12" s="683"/>
      <c r="J12" s="684"/>
      <c r="K12" s="684"/>
      <c r="L12" s="685"/>
      <c r="M12" s="683"/>
      <c r="N12" s="685"/>
      <c r="O12" s="686"/>
      <c r="P12" s="685"/>
      <c r="Q12" s="687"/>
      <c r="R12" s="688"/>
      <c r="S12" s="684"/>
      <c r="T12" s="685"/>
      <c r="U12" s="683"/>
      <c r="V12" s="689"/>
      <c r="W12" s="690"/>
      <c r="X12" s="1570">
        <f t="shared" si="1"/>
        <v>10</v>
      </c>
      <c r="Z12" s="1982" t="str">
        <f>$K$2</f>
        <v>$ Lab y Cntrl Inmune</v>
      </c>
      <c r="AA12" s="1983"/>
      <c r="AB12" s="1983"/>
      <c r="AC12" s="1984">
        <f>$K$22</f>
        <v>0</v>
      </c>
      <c r="AD12" s="1984"/>
      <c r="AE12" s="67">
        <f>$K$23</f>
        <v>0</v>
      </c>
    </row>
    <row r="13" spans="1:32" ht="21.95" customHeight="1" x14ac:dyDescent="0.25">
      <c r="A13" s="1450">
        <f>A12*(1+'Sem-L'!E16)+B13</f>
        <v>0</v>
      </c>
      <c r="B13" s="1451">
        <f>IF((CostosLev!$D13+IF('Sem-L'!D16&gt;0,'Sem-L'!D16,0))&gt;0,C13/(CostosLev!$D13+IF('Sem-L'!D16&gt;0,'Sem-L'!D16,0)),0)</f>
        <v>0</v>
      </c>
      <c r="C13" s="1452">
        <f>SUM(CostosLev!F13:N13,CostosLev!P13:W13)</f>
        <v>0</v>
      </c>
      <c r="D13" s="743">
        <f>'Sem-L'!B16</f>
        <v>0</v>
      </c>
      <c r="E13" s="1569">
        <f t="shared" si="0"/>
        <v>11</v>
      </c>
      <c r="F13" s="673"/>
      <c r="G13" s="674"/>
      <c r="H13" s="1578">
        <f>LOOKUP(E13,Levante!$B$6:$B$131,Levante!$AI$6:$AI$131)</f>
        <v>0</v>
      </c>
      <c r="I13" s="683"/>
      <c r="J13" s="684"/>
      <c r="K13" s="684"/>
      <c r="L13" s="685"/>
      <c r="M13" s="683"/>
      <c r="N13" s="685"/>
      <c r="O13" s="686"/>
      <c r="P13" s="685"/>
      <c r="Q13" s="687"/>
      <c r="R13" s="688"/>
      <c r="S13" s="684"/>
      <c r="T13" s="685"/>
      <c r="U13" s="683"/>
      <c r="V13" s="689"/>
      <c r="W13" s="690"/>
      <c r="X13" s="1570">
        <f t="shared" si="1"/>
        <v>11</v>
      </c>
      <c r="Z13" s="1982" t="str">
        <f>$F$2</f>
        <v>$ Alistamiento (Total)</v>
      </c>
      <c r="AA13" s="1983"/>
      <c r="AB13" s="1983"/>
      <c r="AC13" s="1984">
        <f>$F$22</f>
        <v>0</v>
      </c>
      <c r="AD13" s="1984"/>
      <c r="AE13" s="67">
        <f>$F$23</f>
        <v>0</v>
      </c>
    </row>
    <row r="14" spans="1:32" ht="21.95" customHeight="1" x14ac:dyDescent="0.25">
      <c r="A14" s="1450">
        <f>A13*(1+'Sem-L'!E17)+B14</f>
        <v>0</v>
      </c>
      <c r="B14" s="1451">
        <f>IF((CostosLev!$D14+IF('Sem-L'!D17&gt;0,'Sem-L'!D17,0))&gt;0,C14/(CostosLev!$D14+IF('Sem-L'!D17&gt;0,'Sem-L'!D17,0)),0)</f>
        <v>0</v>
      </c>
      <c r="C14" s="1452">
        <f>SUM(CostosLev!F14:N14,CostosLev!P14:W14)</f>
        <v>0</v>
      </c>
      <c r="D14" s="743">
        <f>'Sem-L'!B17</f>
        <v>0</v>
      </c>
      <c r="E14" s="1569">
        <f t="shared" si="0"/>
        <v>12</v>
      </c>
      <c r="F14" s="673"/>
      <c r="G14" s="674"/>
      <c r="H14" s="1578">
        <f>LOOKUP(E14,Levante!$B$6:$B$131,Levante!$AI$6:$AI$131)</f>
        <v>0</v>
      </c>
      <c r="I14" s="683"/>
      <c r="J14" s="684"/>
      <c r="K14" s="684"/>
      <c r="L14" s="685"/>
      <c r="M14" s="683"/>
      <c r="N14" s="685"/>
      <c r="O14" s="686"/>
      <c r="P14" s="685"/>
      <c r="Q14" s="687"/>
      <c r="R14" s="688"/>
      <c r="S14" s="684"/>
      <c r="T14" s="685"/>
      <c r="U14" s="683"/>
      <c r="V14" s="689"/>
      <c r="W14" s="690"/>
      <c r="X14" s="1570">
        <f t="shared" si="1"/>
        <v>12</v>
      </c>
      <c r="Z14" s="1982" t="str">
        <f>$T$2</f>
        <v>Telefonia - Internet</v>
      </c>
      <c r="AA14" s="1983"/>
      <c r="AB14" s="1983"/>
      <c r="AC14" s="1984">
        <f>$T$22</f>
        <v>0</v>
      </c>
      <c r="AD14" s="1984"/>
      <c r="AE14" s="67">
        <f>$T$23</f>
        <v>0</v>
      </c>
    </row>
    <row r="15" spans="1:32" ht="21.95" customHeight="1" x14ac:dyDescent="0.25">
      <c r="A15" s="1450">
        <f>A14*(1+'Sem-L'!E18)+B15</f>
        <v>0</v>
      </c>
      <c r="B15" s="1451">
        <f>IF((CostosLev!$D15+IF('Sem-L'!D18&gt;0,'Sem-L'!D18,0))&gt;0,C15/(CostosLev!$D15+IF('Sem-L'!D18&gt;0,'Sem-L'!D18,0)),0)</f>
        <v>0</v>
      </c>
      <c r="C15" s="1452">
        <f>SUM(CostosLev!F15:N15,CostosLev!P15:W15)</f>
        <v>0</v>
      </c>
      <c r="D15" s="743">
        <f>'Sem-L'!B18</f>
        <v>0</v>
      </c>
      <c r="E15" s="1569">
        <f t="shared" si="0"/>
        <v>13</v>
      </c>
      <c r="F15" s="673"/>
      <c r="G15" s="674"/>
      <c r="H15" s="1578">
        <f>LOOKUP(E15,Levante!$B$6:$B$131,Levante!$AI$6:$AI$131)</f>
        <v>0</v>
      </c>
      <c r="I15" s="683"/>
      <c r="J15" s="684"/>
      <c r="K15" s="684"/>
      <c r="L15" s="685"/>
      <c r="M15" s="683"/>
      <c r="N15" s="685"/>
      <c r="O15" s="686"/>
      <c r="P15" s="685"/>
      <c r="Q15" s="687"/>
      <c r="R15" s="688"/>
      <c r="S15" s="684"/>
      <c r="T15" s="685"/>
      <c r="U15" s="683"/>
      <c r="V15" s="689"/>
      <c r="W15" s="690"/>
      <c r="X15" s="1570">
        <f t="shared" si="1"/>
        <v>13</v>
      </c>
      <c r="Z15" s="1982" t="str">
        <f>$J$2</f>
        <v>$ Fumig y Desinf</v>
      </c>
      <c r="AA15" s="1983"/>
      <c r="AB15" s="1983"/>
      <c r="AC15" s="1984">
        <f>$J$22</f>
        <v>0</v>
      </c>
      <c r="AD15" s="1984"/>
      <c r="AE15" s="67">
        <f>$J$23</f>
        <v>0</v>
      </c>
    </row>
    <row r="16" spans="1:32" ht="21.95" customHeight="1" thickBot="1" x14ac:dyDescent="0.3">
      <c r="A16" s="1450">
        <f>A15*(1+'Sem-L'!E19)+B16</f>
        <v>0</v>
      </c>
      <c r="B16" s="1451">
        <f>IF((CostosLev!$D16+IF('Sem-L'!D19&gt;0,'Sem-L'!D19,0))&gt;0,C16/(CostosLev!$D16+IF('Sem-L'!D19&gt;0,'Sem-L'!D19,0)),0)</f>
        <v>0</v>
      </c>
      <c r="C16" s="1452">
        <f>SUM(CostosLev!F16:N16,CostosLev!P16:W16)</f>
        <v>0</v>
      </c>
      <c r="D16" s="743">
        <f>'Sem-L'!B19</f>
        <v>0</v>
      </c>
      <c r="E16" s="1569">
        <f t="shared" si="0"/>
        <v>14</v>
      </c>
      <c r="F16" s="673"/>
      <c r="G16" s="674"/>
      <c r="H16" s="1578">
        <f>LOOKUP(E16,Levante!$B$6:$B$131,Levante!$AI$6:$AI$131)</f>
        <v>0</v>
      </c>
      <c r="I16" s="683"/>
      <c r="J16" s="684"/>
      <c r="K16" s="684"/>
      <c r="L16" s="685"/>
      <c r="M16" s="683"/>
      <c r="N16" s="685"/>
      <c r="O16" s="686"/>
      <c r="P16" s="685"/>
      <c r="Q16" s="687"/>
      <c r="R16" s="688"/>
      <c r="S16" s="684"/>
      <c r="T16" s="685"/>
      <c r="U16" s="683"/>
      <c r="V16" s="689"/>
      <c r="W16" s="690"/>
      <c r="X16" s="1570">
        <f t="shared" si="1"/>
        <v>14</v>
      </c>
      <c r="Z16" s="1979" t="str">
        <f>$W$2</f>
        <v>$ Varios</v>
      </c>
      <c r="AA16" s="1980"/>
      <c r="AB16" s="1980"/>
      <c r="AC16" s="1981">
        <f>$W$22</f>
        <v>0</v>
      </c>
      <c r="AD16" s="1981"/>
      <c r="AE16" s="68">
        <f>$W$23</f>
        <v>0</v>
      </c>
    </row>
    <row r="17" spans="1:31" ht="21.95" customHeight="1" x14ac:dyDescent="0.25">
      <c r="A17" s="1450">
        <f>A16*(1+'Sem-L'!E20)+B17</f>
        <v>0</v>
      </c>
      <c r="B17" s="1451">
        <f>IF((CostosLev!$D17+IF('Sem-L'!D20&gt;0,'Sem-L'!D20,0))&gt;0,C17/(CostosLev!$D17+IF('Sem-L'!D20&gt;0,'Sem-L'!D20,0)),0)</f>
        <v>0</v>
      </c>
      <c r="C17" s="1452">
        <f>SUM(CostosLev!F17:N17,CostosLev!P17:W17)</f>
        <v>0</v>
      </c>
      <c r="D17" s="743">
        <f>'Sem-L'!B20</f>
        <v>0</v>
      </c>
      <c r="E17" s="1569">
        <f t="shared" si="0"/>
        <v>15</v>
      </c>
      <c r="F17" s="673"/>
      <c r="G17" s="674"/>
      <c r="H17" s="1578">
        <f>LOOKUP(E17,Levante!$B$6:$B$131,Levante!$AI$6:$AI$131)</f>
        <v>0</v>
      </c>
      <c r="I17" s="683"/>
      <c r="J17" s="684"/>
      <c r="K17" s="684"/>
      <c r="L17" s="685"/>
      <c r="M17" s="683"/>
      <c r="N17" s="685"/>
      <c r="O17" s="686"/>
      <c r="P17" s="685"/>
      <c r="Q17" s="687"/>
      <c r="R17" s="688"/>
      <c r="S17" s="684"/>
      <c r="T17" s="685"/>
      <c r="U17" s="683"/>
      <c r="V17" s="689"/>
      <c r="W17" s="690"/>
      <c r="X17" s="1570">
        <f t="shared" si="1"/>
        <v>15</v>
      </c>
      <c r="Z17" s="1982" t="str">
        <f>$S$2</f>
        <v>Electrificadora</v>
      </c>
      <c r="AA17" s="1983"/>
      <c r="AB17" s="1983"/>
      <c r="AC17" s="1984">
        <f>$S$22</f>
        <v>0</v>
      </c>
      <c r="AD17" s="1984"/>
      <c r="AE17" s="67">
        <f>$S$23</f>
        <v>0</v>
      </c>
    </row>
    <row r="18" spans="1:31" ht="21.95" customHeight="1" x14ac:dyDescent="0.25">
      <c r="A18" s="1450">
        <f>A17*(1+'Sem-L'!E21)+B18</f>
        <v>0</v>
      </c>
      <c r="B18" s="1451">
        <f>IF((CostosLev!$D18+IF('Sem-L'!D21&gt;0,'Sem-L'!D21,0))&gt;0,C18/(CostosLev!$D18+IF('Sem-L'!D21&gt;0,'Sem-L'!D21,0)),0)</f>
        <v>0</v>
      </c>
      <c r="C18" s="1452">
        <f>SUM(CostosLev!F18:N18,CostosLev!P18:W18)</f>
        <v>0</v>
      </c>
      <c r="D18" s="743">
        <f>'Sem-L'!B21</f>
        <v>0</v>
      </c>
      <c r="E18" s="1569">
        <f t="shared" si="0"/>
        <v>16</v>
      </c>
      <c r="F18" s="673"/>
      <c r="G18" s="674"/>
      <c r="H18" s="1578">
        <f>LOOKUP(E18,Levante!$B$6:$B$131,Levante!$AI$6:$AI$131)</f>
        <v>0</v>
      </c>
      <c r="I18" s="683"/>
      <c r="J18" s="684"/>
      <c r="K18" s="684"/>
      <c r="L18" s="685"/>
      <c r="M18" s="683"/>
      <c r="N18" s="685"/>
      <c r="O18" s="686"/>
      <c r="P18" s="685"/>
      <c r="Q18" s="687"/>
      <c r="R18" s="688"/>
      <c r="S18" s="684"/>
      <c r="T18" s="685"/>
      <c r="U18" s="683"/>
      <c r="V18" s="689"/>
      <c r="W18" s="690"/>
      <c r="X18" s="1570">
        <f t="shared" si="1"/>
        <v>16</v>
      </c>
      <c r="Z18" s="1982" t="str">
        <f>$U$2</f>
        <v>Agua (Acd - Tto pot)</v>
      </c>
      <c r="AA18" s="1983"/>
      <c r="AB18" s="1983"/>
      <c r="AC18" s="1984">
        <f>$U$22</f>
        <v>0</v>
      </c>
      <c r="AD18" s="1984"/>
      <c r="AE18" s="67">
        <f>$U$23</f>
        <v>0</v>
      </c>
    </row>
    <row r="19" spans="1:31" ht="21.95" customHeight="1" thickBot="1" x14ac:dyDescent="0.3">
      <c r="A19" s="1450">
        <f>A18*(1+'Sem-L'!E22)+B19</f>
        <v>0</v>
      </c>
      <c r="B19" s="1451">
        <f>IF((CostosLev!$D19+IF('Sem-L'!D22&gt;0,'Sem-L'!D22,0))&gt;0,C19/(CostosLev!$D19+IF('Sem-L'!D22&gt;0,'Sem-L'!D22,0)),0)</f>
        <v>0</v>
      </c>
      <c r="C19" s="1452">
        <f>SUM(CostosLev!F19:N19,CostosLev!P19:W19)</f>
        <v>0</v>
      </c>
      <c r="D19" s="743">
        <f>'Sem-L'!B22</f>
        <v>0</v>
      </c>
      <c r="E19" s="1569">
        <f t="shared" si="0"/>
        <v>17</v>
      </c>
      <c r="F19" s="673"/>
      <c r="G19" s="674"/>
      <c r="H19" s="1578">
        <f>LOOKUP(E19,Levante!$B$6:$B$131,Levante!$AI$6:$AI$131)</f>
        <v>0</v>
      </c>
      <c r="I19" s="683"/>
      <c r="J19" s="684"/>
      <c r="K19" s="684"/>
      <c r="L19" s="685"/>
      <c r="M19" s="683"/>
      <c r="N19" s="685"/>
      <c r="O19" s="686"/>
      <c r="P19" s="685"/>
      <c r="Q19" s="687"/>
      <c r="R19" s="688"/>
      <c r="S19" s="684"/>
      <c r="T19" s="685"/>
      <c r="U19" s="683"/>
      <c r="V19" s="689"/>
      <c r="W19" s="690"/>
      <c r="X19" s="1570">
        <f t="shared" si="1"/>
        <v>17</v>
      </c>
      <c r="Z19" s="1979" t="str">
        <f>$N$2</f>
        <v>$ Horas Extras</v>
      </c>
      <c r="AA19" s="1980"/>
      <c r="AB19" s="1980"/>
      <c r="AC19" s="1981">
        <f>$N$22</f>
        <v>0</v>
      </c>
      <c r="AD19" s="1981"/>
      <c r="AE19" s="68">
        <f>$N$23</f>
        <v>0</v>
      </c>
    </row>
    <row r="20" spans="1:31" ht="21.95" customHeight="1" thickBot="1" x14ac:dyDescent="0.3">
      <c r="A20" s="1453">
        <f>A19*(1+'Sem-L'!E23)+B20</f>
        <v>0</v>
      </c>
      <c r="B20" s="1454">
        <f>IF((CostosLev!$D20+IF('Sem-L'!D23&gt;0,'Sem-L'!D23,0))&gt;0,C20/(CostosLev!$D20+IF('Sem-L'!D23&gt;0,'Sem-L'!D23,0)),0)</f>
        <v>0</v>
      </c>
      <c r="C20" s="1455">
        <f>SUM(CostosLev!F20:N20,CostosLev!P20:W20)</f>
        <v>0</v>
      </c>
      <c r="D20" s="744">
        <f>'Sem-L'!B23</f>
        <v>0</v>
      </c>
      <c r="E20" s="1571">
        <f t="shared" si="0"/>
        <v>18</v>
      </c>
      <c r="F20" s="1462"/>
      <c r="G20" s="1463"/>
      <c r="H20" s="1579">
        <f>LOOKUP(E20,Levante!$B$6:$B$131,Levante!$AI$6:$AI$131)</f>
        <v>0</v>
      </c>
      <c r="I20" s="1464"/>
      <c r="J20" s="1465"/>
      <c r="K20" s="1465"/>
      <c r="L20" s="1466"/>
      <c r="M20" s="1464"/>
      <c r="N20" s="1466"/>
      <c r="O20" s="1467"/>
      <c r="P20" s="1466"/>
      <c r="Q20" s="1468"/>
      <c r="R20" s="1469"/>
      <c r="S20" s="1465"/>
      <c r="T20" s="1466"/>
      <c r="U20" s="1464"/>
      <c r="V20" s="1470"/>
      <c r="W20" s="1471"/>
      <c r="X20" s="1572">
        <f t="shared" si="1"/>
        <v>18</v>
      </c>
      <c r="Z20" s="65"/>
      <c r="AA20" s="65"/>
      <c r="AB20" s="65"/>
      <c r="AC20" s="65"/>
      <c r="AD20" s="65"/>
      <c r="AE20" s="65"/>
    </row>
    <row r="21" spans="1:31" ht="21.95" customHeight="1" thickBot="1" x14ac:dyDescent="0.3">
      <c r="A21" s="1446"/>
      <c r="B21" s="1460"/>
      <c r="C21" s="1323">
        <f>SUM(F21:N21,P21:W21)</f>
        <v>0</v>
      </c>
      <c r="D21" s="1977" t="s">
        <v>394</v>
      </c>
      <c r="E21" s="1978"/>
      <c r="F21" s="1472">
        <f t="shared" ref="F21:N21" si="2">SUM(F3:F20)</f>
        <v>0</v>
      </c>
      <c r="G21" s="1473">
        <f t="shared" si="2"/>
        <v>0</v>
      </c>
      <c r="H21" s="1580">
        <f t="shared" si="2"/>
        <v>0</v>
      </c>
      <c r="I21" s="1474">
        <f t="shared" si="2"/>
        <v>0</v>
      </c>
      <c r="J21" s="1473">
        <f t="shared" si="2"/>
        <v>0</v>
      </c>
      <c r="K21" s="1473">
        <f t="shared" si="2"/>
        <v>0</v>
      </c>
      <c r="L21" s="1475">
        <f t="shared" si="2"/>
        <v>0</v>
      </c>
      <c r="M21" s="1474">
        <f t="shared" si="2"/>
        <v>0</v>
      </c>
      <c r="N21" s="1476">
        <f t="shared" si="2"/>
        <v>0</v>
      </c>
      <c r="O21" s="1477" t="s">
        <v>196</v>
      </c>
      <c r="P21" s="1475">
        <f t="shared" ref="P21:W21" si="3">SUM(P3:P20)</f>
        <v>0</v>
      </c>
      <c r="Q21" s="1478">
        <f t="shared" si="3"/>
        <v>0</v>
      </c>
      <c r="R21" s="1479">
        <f t="shared" si="3"/>
        <v>0</v>
      </c>
      <c r="S21" s="1473">
        <f t="shared" si="3"/>
        <v>0</v>
      </c>
      <c r="T21" s="1475">
        <f t="shared" si="3"/>
        <v>0</v>
      </c>
      <c r="U21" s="1474">
        <f t="shared" si="3"/>
        <v>0</v>
      </c>
      <c r="V21" s="1475">
        <f t="shared" si="3"/>
        <v>0</v>
      </c>
      <c r="W21" s="1480">
        <f t="shared" si="3"/>
        <v>0</v>
      </c>
      <c r="X21" s="1573"/>
      <c r="Z21" s="65"/>
      <c r="AA21" s="65"/>
      <c r="AB21" s="65"/>
      <c r="AC21" s="65"/>
      <c r="AD21" s="65"/>
      <c r="AE21" s="65"/>
    </row>
    <row r="22" spans="1:31" ht="15.75" thickBot="1" x14ac:dyDescent="0.3">
      <c r="A22" s="146">
        <f>CostosLev!A20</f>
        <v>0</v>
      </c>
      <c r="B22" s="145">
        <f>IFERROR(A22/COUNTIF(CostosLev!B3:B20,"&gt;0"),0)</f>
        <v>0</v>
      </c>
      <c r="C22" s="1461"/>
      <c r="D22" s="1971" t="s">
        <v>393</v>
      </c>
      <c r="E22" s="1972"/>
      <c r="F22" s="460">
        <f t="shared" ref="F22:N22" si="4">F23*$A$22</f>
        <v>0</v>
      </c>
      <c r="G22" s="147">
        <f t="shared" si="4"/>
        <v>0</v>
      </c>
      <c r="H22" s="148">
        <f t="shared" si="4"/>
        <v>0</v>
      </c>
      <c r="I22" s="149">
        <f t="shared" si="4"/>
        <v>0</v>
      </c>
      <c r="J22" s="147">
        <f t="shared" si="4"/>
        <v>0</v>
      </c>
      <c r="K22" s="147">
        <f t="shared" si="4"/>
        <v>0</v>
      </c>
      <c r="L22" s="148">
        <f t="shared" si="4"/>
        <v>0</v>
      </c>
      <c r="M22" s="149">
        <f t="shared" si="4"/>
        <v>0</v>
      </c>
      <c r="N22" s="150">
        <f t="shared" si="4"/>
        <v>0</v>
      </c>
      <c r="O22" s="1481">
        <f>COUNTA(O3:O20)</f>
        <v>0</v>
      </c>
      <c r="P22" s="148">
        <f t="shared" ref="P22:W22" si="5">P23*$A$22</f>
        <v>0</v>
      </c>
      <c r="Q22" s="1482">
        <f t="shared" si="5"/>
        <v>0</v>
      </c>
      <c r="R22" s="1483">
        <f t="shared" si="5"/>
        <v>0</v>
      </c>
      <c r="S22" s="147">
        <f t="shared" si="5"/>
        <v>0</v>
      </c>
      <c r="T22" s="148">
        <f t="shared" si="5"/>
        <v>0</v>
      </c>
      <c r="U22" s="149">
        <f t="shared" si="5"/>
        <v>0</v>
      </c>
      <c r="V22" s="148">
        <f t="shared" si="5"/>
        <v>0</v>
      </c>
      <c r="W22" s="1484">
        <f t="shared" si="5"/>
        <v>0</v>
      </c>
      <c r="X22" s="1573"/>
      <c r="Z22" s="65"/>
      <c r="AA22" s="65"/>
      <c r="AB22" s="65"/>
      <c r="AC22" s="65"/>
      <c r="AD22" s="65"/>
      <c r="AE22" s="65"/>
    </row>
    <row r="23" spans="1:31" ht="18.75" customHeight="1" thickBot="1" x14ac:dyDescent="0.3">
      <c r="A23" s="1574"/>
      <c r="B23" s="1574"/>
      <c r="C23" s="1575"/>
      <c r="D23" s="1969" t="s">
        <v>392</v>
      </c>
      <c r="E23" s="1970"/>
      <c r="F23" s="1485">
        <f t="shared" ref="F23:N23" si="6">IF($C$21&gt;0,F21/$C$21,0)</f>
        <v>0</v>
      </c>
      <c r="G23" s="1486">
        <f t="shared" si="6"/>
        <v>0</v>
      </c>
      <c r="H23" s="1487">
        <f t="shared" si="6"/>
        <v>0</v>
      </c>
      <c r="I23" s="1488">
        <f t="shared" si="6"/>
        <v>0</v>
      </c>
      <c r="J23" s="1486">
        <f t="shared" si="6"/>
        <v>0</v>
      </c>
      <c r="K23" s="1486">
        <f t="shared" si="6"/>
        <v>0</v>
      </c>
      <c r="L23" s="1487">
        <f t="shared" si="6"/>
        <v>0</v>
      </c>
      <c r="M23" s="1488">
        <f t="shared" si="6"/>
        <v>0</v>
      </c>
      <c r="N23" s="1489">
        <f t="shared" si="6"/>
        <v>0</v>
      </c>
      <c r="O23" s="1576"/>
      <c r="P23" s="1487">
        <f t="shared" ref="P23:W23" si="7">IF($C$21&gt;0,P21/$C$21,0)</f>
        <v>0</v>
      </c>
      <c r="Q23" s="1490">
        <f t="shared" si="7"/>
        <v>0</v>
      </c>
      <c r="R23" s="1491">
        <f t="shared" si="7"/>
        <v>0</v>
      </c>
      <c r="S23" s="1486">
        <f t="shared" si="7"/>
        <v>0</v>
      </c>
      <c r="T23" s="1487">
        <f t="shared" si="7"/>
        <v>0</v>
      </c>
      <c r="U23" s="1488">
        <f t="shared" si="7"/>
        <v>0</v>
      </c>
      <c r="V23" s="1487">
        <f t="shared" si="7"/>
        <v>0</v>
      </c>
      <c r="W23" s="1492">
        <f t="shared" si="7"/>
        <v>0</v>
      </c>
      <c r="X23" s="65"/>
      <c r="Z23" s="65"/>
      <c r="AA23" s="65"/>
      <c r="AB23" s="65"/>
      <c r="AC23" s="65"/>
      <c r="AD23" s="65"/>
      <c r="AE23" s="65"/>
    </row>
    <row r="24" spans="1:31" x14ac:dyDescent="0.25">
      <c r="C24" s="1097"/>
      <c r="X24" s="60"/>
      <c r="Z24" s="65"/>
      <c r="AA24" s="65"/>
      <c r="AB24" s="65"/>
      <c r="AC24" s="65"/>
      <c r="AD24" s="65"/>
      <c r="AE24" s="65"/>
    </row>
    <row r="25" spans="1:31" x14ac:dyDescent="0.25">
      <c r="X25" s="60"/>
    </row>
  </sheetData>
  <sheetProtection algorithmName="SHA-512" hashValue="fEk/QJJFv0/Fq/KfUFtlBPaozTDsjGpcYi288JvHKzA1dsDplxbB2S113rcKtXDLfioWJOSYKZYxoBTfzVWW3Q==" saltValue="IVrydOLxfJnB9k88C9q0kw==" spinCount="100000" sheet="1" objects="1" scenarios="1"/>
  <mergeCells count="46">
    <mergeCell ref="A1:B1"/>
    <mergeCell ref="M1:N1"/>
    <mergeCell ref="P1:Q1"/>
    <mergeCell ref="S1:T1"/>
    <mergeCell ref="Z10:AB10"/>
    <mergeCell ref="F1:G1"/>
    <mergeCell ref="H1:I1"/>
    <mergeCell ref="J1:K1"/>
    <mergeCell ref="AC3:AD3"/>
    <mergeCell ref="Z4:AB4"/>
    <mergeCell ref="AC4:AD4"/>
    <mergeCell ref="AC5:AD5"/>
    <mergeCell ref="Z7:AB7"/>
    <mergeCell ref="AC7:AD7"/>
    <mergeCell ref="Z5:AB5"/>
    <mergeCell ref="Z3:AB3"/>
    <mergeCell ref="AC11:AD11"/>
    <mergeCell ref="Z13:AB13"/>
    <mergeCell ref="AC16:AD16"/>
    <mergeCell ref="Z6:AB6"/>
    <mergeCell ref="AC6:AD6"/>
    <mergeCell ref="AC9:AD9"/>
    <mergeCell ref="Z12:AB12"/>
    <mergeCell ref="AC12:AD12"/>
    <mergeCell ref="AC13:AD13"/>
    <mergeCell ref="Z11:AB11"/>
    <mergeCell ref="AC10:AD10"/>
    <mergeCell ref="Z9:AB9"/>
    <mergeCell ref="Z8:AB8"/>
    <mergeCell ref="AC8:AD8"/>
    <mergeCell ref="D23:E23"/>
    <mergeCell ref="D22:E22"/>
    <mergeCell ref="C1:E1"/>
    <mergeCell ref="Z1:AE2"/>
    <mergeCell ref="D21:E21"/>
    <mergeCell ref="Z19:AB19"/>
    <mergeCell ref="AC19:AD19"/>
    <mergeCell ref="Z14:AB14"/>
    <mergeCell ref="AC14:AD14"/>
    <mergeCell ref="Z18:AB18"/>
    <mergeCell ref="AC18:AD18"/>
    <mergeCell ref="Z17:AB17"/>
    <mergeCell ref="AC17:AD17"/>
    <mergeCell ref="Z16:AB16"/>
    <mergeCell ref="Z15:AB15"/>
    <mergeCell ref="AC15:AD15"/>
  </mergeCells>
  <conditionalFormatting sqref="AC3:AD16">
    <cfRule type="dataBar" priority="8">
      <dataBar>
        <cfvo type="min"/>
        <cfvo type="max"/>
        <color rgb="FF0070C0"/>
      </dataBar>
    </cfRule>
  </conditionalFormatting>
  <conditionalFormatting sqref="AC3:AD19">
    <cfRule type="dataBar" priority="5">
      <dataBar>
        <cfvo type="min"/>
        <cfvo type="max"/>
        <color rgb="FF63C384"/>
      </dataBar>
      <extLst>
        <ext xmlns:x14="http://schemas.microsoft.com/office/spreadsheetml/2009/9/main" uri="{B025F937-C7B1-47D3-B67F-A62EFF666E3E}">
          <x14:id>{25227912-B332-4345-8CBD-C204D82ED47C}</x14:id>
        </ext>
      </extLst>
    </cfRule>
  </conditionalFormatting>
  <conditionalFormatting sqref="AC17:AD17">
    <cfRule type="dataBar" priority="7">
      <dataBar>
        <cfvo type="min"/>
        <cfvo type="max"/>
        <color rgb="FF0070C0"/>
      </dataBar>
    </cfRule>
  </conditionalFormatting>
  <conditionalFormatting sqref="AC18:AD18">
    <cfRule type="dataBar" priority="6">
      <dataBar>
        <cfvo type="min"/>
        <cfvo type="max"/>
        <color rgb="FF0070C0"/>
      </dataBar>
    </cfRule>
  </conditionalFormatting>
  <conditionalFormatting sqref="AC19:AD19">
    <cfRule type="dataBar" priority="9">
      <dataBar>
        <cfvo type="min"/>
        <cfvo type="max"/>
        <color rgb="FF0070C0"/>
      </dataBar>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2" operator="equal" id="{F5B31095-6885-4E6A-924F-89EC71B6D54C}">
            <xm:f>Var!$I$2</xm:f>
            <x14:dxf>
              <font>
                <b/>
                <i val="0"/>
                <strike val="0"/>
                <color rgb="FF222E9E"/>
              </font>
              <fill>
                <patternFill patternType="none">
                  <bgColor auto="1"/>
                </patternFill>
              </fill>
            </x14:dxf>
          </x14:cfRule>
          <xm:sqref>J1</xm:sqref>
        </x14:conditionalFormatting>
        <x14:conditionalFormatting xmlns:xm="http://schemas.microsoft.com/office/excel/2006/main">
          <x14:cfRule type="cellIs" priority="1" operator="equal" id="{571BD097-BEB0-402D-93C6-FAFB4EC83318}">
            <xm:f>Var!$I$2</xm:f>
            <x14:dxf>
              <font>
                <b/>
                <i val="0"/>
                <strike val="0"/>
                <color rgb="FF222E9E"/>
              </font>
              <fill>
                <patternFill patternType="none">
                  <bgColor auto="1"/>
                </patternFill>
              </fill>
            </x14:dxf>
          </x14:cfRule>
          <xm:sqref>M1</xm:sqref>
        </x14:conditionalFormatting>
        <x14:conditionalFormatting xmlns:xm="http://schemas.microsoft.com/office/excel/2006/main">
          <x14:cfRule type="dataBar" id="{25227912-B332-4345-8CBD-C204D82ED47C}">
            <x14:dataBar minLength="0" maxLength="100" border="1" negativeBarBorderColorSameAsPositive="0">
              <x14:cfvo type="autoMin"/>
              <x14:cfvo type="autoMax"/>
              <x14:borderColor rgb="FF63C384"/>
              <x14:negativeFillColor rgb="FFFF0000"/>
              <x14:negativeBorderColor rgb="FFFF0000"/>
              <x14:axisColor rgb="FF000000"/>
            </x14:dataBar>
          </x14:cfRule>
          <xm:sqref>AC3:AD19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10A1D-A753-4AFA-B1B3-6F95BAF61849}">
  <sheetPr codeName="Hoja11"/>
  <dimension ref="A1:DK109"/>
  <sheetViews>
    <sheetView showGridLines="0" showRowColHeaders="0" topLeftCell="A3" workbookViewId="0">
      <pane xSplit="1" ySplit="3" topLeftCell="B6" activePane="bottomRight" state="frozen"/>
      <selection activeCell="A3" sqref="A3"/>
      <selection pane="topRight" activeCell="B3" sqref="B3"/>
      <selection pane="bottomLeft" activeCell="A6" sqref="A6"/>
      <selection pane="bottomRight" activeCell="B6" sqref="B6"/>
    </sheetView>
  </sheetViews>
  <sheetFormatPr baseColWidth="10" defaultRowHeight="13.5" x14ac:dyDescent="0.25"/>
  <cols>
    <col min="1" max="10" width="10.625" style="1" customWidth="1"/>
    <col min="11" max="11" width="8.125" style="1" customWidth="1"/>
    <col min="12" max="12" width="11.5" style="1" customWidth="1"/>
    <col min="13" max="72" width="10.625" style="1" customWidth="1"/>
    <col min="73" max="73" width="8.625" style="1" customWidth="1"/>
    <col min="74" max="81" width="10.625" style="1" customWidth="1"/>
    <col min="82" max="82" width="8.625" style="1" customWidth="1"/>
    <col min="83" max="90" width="10.625" style="1" customWidth="1"/>
    <col min="91" max="91" width="8.625" style="1" customWidth="1"/>
    <col min="92" max="99" width="10.625" style="1" customWidth="1"/>
    <col min="100" max="100" width="8.625" style="1" customWidth="1"/>
    <col min="101" max="108" width="10.625" style="1" customWidth="1"/>
    <col min="109" max="109" width="8.625" style="1" customWidth="1"/>
    <col min="110" max="115" width="1.125" customWidth="1"/>
  </cols>
  <sheetData>
    <row r="1" spans="1:115" hidden="1"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row>
    <row r="2" spans="1:115" ht="14.25" hidden="1" thickBo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row>
    <row r="3" spans="1:115" ht="15.75" thickBot="1" x14ac:dyDescent="0.2">
      <c r="A3" s="78" t="s">
        <v>16</v>
      </c>
      <c r="B3" s="1998" t="str">
        <f>TL!B3</f>
        <v>Azur</v>
      </c>
      <c r="C3" s="1999"/>
      <c r="D3" s="1999"/>
      <c r="E3" s="1999"/>
      <c r="F3" s="1999"/>
      <c r="G3" s="1999"/>
      <c r="H3" s="1999"/>
      <c r="I3" s="1999"/>
      <c r="J3" s="2000"/>
      <c r="K3" s="1998" t="str">
        <f>TL!H3</f>
        <v>Babcock Brown</v>
      </c>
      <c r="L3" s="1999"/>
      <c r="M3" s="1999"/>
      <c r="N3" s="1999"/>
      <c r="O3" s="1999"/>
      <c r="P3" s="1999"/>
      <c r="Q3" s="1999"/>
      <c r="R3" s="1999"/>
      <c r="S3" s="2000"/>
      <c r="T3" s="1998" t="str">
        <f>TL!N3</f>
        <v>Bovans Black</v>
      </c>
      <c r="U3" s="1999"/>
      <c r="V3" s="1999"/>
      <c r="W3" s="1999"/>
      <c r="X3" s="1999"/>
      <c r="Y3" s="1999"/>
      <c r="Z3" s="1999"/>
      <c r="AA3" s="1999"/>
      <c r="AB3" s="2000"/>
      <c r="AC3" s="1998" t="str">
        <f>TL!T3</f>
        <v>Bovans Brown</v>
      </c>
      <c r="AD3" s="1999"/>
      <c r="AE3" s="1999"/>
      <c r="AF3" s="1999"/>
      <c r="AG3" s="1999"/>
      <c r="AH3" s="1999"/>
      <c r="AI3" s="1999"/>
      <c r="AJ3" s="1999"/>
      <c r="AK3" s="2000"/>
      <c r="AL3" s="1998" t="str">
        <f>TL!Z3</f>
        <v>Bovans White</v>
      </c>
      <c r="AM3" s="1999"/>
      <c r="AN3" s="1999"/>
      <c r="AO3" s="1999"/>
      <c r="AP3" s="1999"/>
      <c r="AQ3" s="1999"/>
      <c r="AR3" s="1999"/>
      <c r="AS3" s="1999"/>
      <c r="AT3" s="2000"/>
      <c r="AU3" s="1998" t="str">
        <f>TL!AF3</f>
        <v>H&amp;N Brown</v>
      </c>
      <c r="AV3" s="1999"/>
      <c r="AW3" s="1999"/>
      <c r="AX3" s="1999"/>
      <c r="AY3" s="1999"/>
      <c r="AZ3" s="1999"/>
      <c r="BA3" s="1999"/>
      <c r="BB3" s="1999"/>
      <c r="BC3" s="2000"/>
      <c r="BD3" s="1998" t="str">
        <f>TL!AL3</f>
        <v>Hy Line Brown</v>
      </c>
      <c r="BE3" s="1999"/>
      <c r="BF3" s="1999"/>
      <c r="BG3" s="1999"/>
      <c r="BH3" s="1999"/>
      <c r="BI3" s="1999"/>
      <c r="BJ3" s="1999"/>
      <c r="BK3" s="1999"/>
      <c r="BL3" s="2000"/>
      <c r="BM3" s="1998" t="str">
        <f>TL!AR3</f>
        <v>Hy Line W-80</v>
      </c>
      <c r="BN3" s="1999"/>
      <c r="BO3" s="1999"/>
      <c r="BP3" s="1999"/>
      <c r="BQ3" s="1999"/>
      <c r="BR3" s="1999"/>
      <c r="BS3" s="1999"/>
      <c r="BT3" s="1999"/>
      <c r="BU3" s="2000"/>
      <c r="BV3" s="1998" t="str">
        <f>TL!AX3</f>
        <v>Isa Brown</v>
      </c>
      <c r="BW3" s="1999"/>
      <c r="BX3" s="1999"/>
      <c r="BY3" s="1999"/>
      <c r="BZ3" s="1999"/>
      <c r="CA3" s="1999"/>
      <c r="CB3" s="1999"/>
      <c r="CC3" s="1999"/>
      <c r="CD3" s="2000"/>
      <c r="CE3" s="1998" t="str">
        <f>TL!BD3</f>
        <v>Lohmann Brown</v>
      </c>
      <c r="CF3" s="1999"/>
      <c r="CG3" s="1999"/>
      <c r="CH3" s="1999"/>
      <c r="CI3" s="1999"/>
      <c r="CJ3" s="1999"/>
      <c r="CK3" s="1999"/>
      <c r="CL3" s="1999"/>
      <c r="CM3" s="2000"/>
      <c r="CN3" s="1998" t="str">
        <f>TL!BJ3</f>
        <v>Lohmann LSL</v>
      </c>
      <c r="CO3" s="1999"/>
      <c r="CP3" s="1999"/>
      <c r="CQ3" s="1999"/>
      <c r="CR3" s="1999"/>
      <c r="CS3" s="1999"/>
      <c r="CT3" s="1999"/>
      <c r="CU3" s="1999"/>
      <c r="CV3" s="2000"/>
      <c r="CW3" s="1998" t="str">
        <f>TL!BP3</f>
        <v>Novogen</v>
      </c>
      <c r="CX3" s="1999"/>
      <c r="CY3" s="1999"/>
      <c r="CZ3" s="1999"/>
      <c r="DA3" s="1999"/>
      <c r="DB3" s="1999"/>
      <c r="DC3" s="1999"/>
      <c r="DD3" s="1999"/>
      <c r="DE3" s="2000"/>
    </row>
    <row r="4" spans="1:115" ht="15" thickTop="1" thickBot="1" x14ac:dyDescent="0.3">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I4" s="43"/>
      <c r="DJ4" s="43"/>
      <c r="DK4" s="43"/>
    </row>
    <row r="5" spans="1:115" ht="26.25" thickBot="1" x14ac:dyDescent="0.2">
      <c r="A5" s="95" t="s">
        <v>17</v>
      </c>
      <c r="B5" s="92" t="s">
        <v>18</v>
      </c>
      <c r="C5" s="93" t="s">
        <v>19</v>
      </c>
      <c r="D5" s="93" t="s">
        <v>131</v>
      </c>
      <c r="E5" s="93" t="s">
        <v>20</v>
      </c>
      <c r="F5" s="93" t="s">
        <v>21</v>
      </c>
      <c r="G5" s="93" t="s">
        <v>226</v>
      </c>
      <c r="H5" s="93" t="s">
        <v>227</v>
      </c>
      <c r="I5" s="93" t="s">
        <v>228</v>
      </c>
      <c r="J5" s="94" t="s">
        <v>22</v>
      </c>
      <c r="K5" s="92" t="s">
        <v>18</v>
      </c>
      <c r="L5" s="93" t="s">
        <v>19</v>
      </c>
      <c r="M5" s="93" t="s">
        <v>131</v>
      </c>
      <c r="N5" s="93" t="s">
        <v>20</v>
      </c>
      <c r="O5" s="93" t="s">
        <v>21</v>
      </c>
      <c r="P5" s="93" t="s">
        <v>226</v>
      </c>
      <c r="Q5" s="93" t="s">
        <v>227</v>
      </c>
      <c r="R5" s="93" t="s">
        <v>228</v>
      </c>
      <c r="S5" s="94" t="s">
        <v>22</v>
      </c>
      <c r="T5" s="92" t="s">
        <v>18</v>
      </c>
      <c r="U5" s="93" t="s">
        <v>19</v>
      </c>
      <c r="V5" s="93" t="s">
        <v>131</v>
      </c>
      <c r="W5" s="93" t="s">
        <v>20</v>
      </c>
      <c r="X5" s="93" t="s">
        <v>21</v>
      </c>
      <c r="Y5" s="93" t="s">
        <v>226</v>
      </c>
      <c r="Z5" s="93" t="s">
        <v>227</v>
      </c>
      <c r="AA5" s="93" t="s">
        <v>228</v>
      </c>
      <c r="AB5" s="94" t="s">
        <v>22</v>
      </c>
      <c r="AC5" s="92" t="s">
        <v>18</v>
      </c>
      <c r="AD5" s="93" t="s">
        <v>19</v>
      </c>
      <c r="AE5" s="93" t="s">
        <v>131</v>
      </c>
      <c r="AF5" s="93" t="s">
        <v>20</v>
      </c>
      <c r="AG5" s="93" t="s">
        <v>21</v>
      </c>
      <c r="AH5" s="93" t="s">
        <v>226</v>
      </c>
      <c r="AI5" s="93" t="s">
        <v>227</v>
      </c>
      <c r="AJ5" s="93" t="s">
        <v>228</v>
      </c>
      <c r="AK5" s="94" t="s">
        <v>22</v>
      </c>
      <c r="AL5" s="92" t="s">
        <v>18</v>
      </c>
      <c r="AM5" s="93" t="s">
        <v>19</v>
      </c>
      <c r="AN5" s="93" t="s">
        <v>131</v>
      </c>
      <c r="AO5" s="93" t="s">
        <v>20</v>
      </c>
      <c r="AP5" s="93" t="s">
        <v>21</v>
      </c>
      <c r="AQ5" s="93" t="s">
        <v>226</v>
      </c>
      <c r="AR5" s="93" t="s">
        <v>227</v>
      </c>
      <c r="AS5" s="93" t="s">
        <v>228</v>
      </c>
      <c r="AT5" s="94" t="s">
        <v>22</v>
      </c>
      <c r="AU5" s="92" t="s">
        <v>18</v>
      </c>
      <c r="AV5" s="93" t="s">
        <v>19</v>
      </c>
      <c r="AW5" s="93" t="s">
        <v>131</v>
      </c>
      <c r="AX5" s="93" t="s">
        <v>20</v>
      </c>
      <c r="AY5" s="93" t="s">
        <v>21</v>
      </c>
      <c r="AZ5" s="93" t="s">
        <v>226</v>
      </c>
      <c r="BA5" s="93" t="s">
        <v>227</v>
      </c>
      <c r="BB5" s="93" t="s">
        <v>228</v>
      </c>
      <c r="BC5" s="94" t="s">
        <v>22</v>
      </c>
      <c r="BD5" s="92" t="s">
        <v>18</v>
      </c>
      <c r="BE5" s="93" t="s">
        <v>19</v>
      </c>
      <c r="BF5" s="93" t="s">
        <v>131</v>
      </c>
      <c r="BG5" s="93" t="s">
        <v>20</v>
      </c>
      <c r="BH5" s="93" t="s">
        <v>21</v>
      </c>
      <c r="BI5" s="93" t="s">
        <v>226</v>
      </c>
      <c r="BJ5" s="93" t="s">
        <v>227</v>
      </c>
      <c r="BK5" s="93" t="s">
        <v>228</v>
      </c>
      <c r="BL5" s="94" t="s">
        <v>22</v>
      </c>
      <c r="BM5" s="92" t="s">
        <v>18</v>
      </c>
      <c r="BN5" s="93" t="s">
        <v>19</v>
      </c>
      <c r="BO5" s="93" t="s">
        <v>131</v>
      </c>
      <c r="BP5" s="93" t="s">
        <v>20</v>
      </c>
      <c r="BQ5" s="93" t="s">
        <v>21</v>
      </c>
      <c r="BR5" s="93" t="s">
        <v>226</v>
      </c>
      <c r="BS5" s="93" t="s">
        <v>227</v>
      </c>
      <c r="BT5" s="93" t="s">
        <v>228</v>
      </c>
      <c r="BU5" s="94" t="s">
        <v>22</v>
      </c>
      <c r="BV5" s="92" t="s">
        <v>18</v>
      </c>
      <c r="BW5" s="93" t="s">
        <v>19</v>
      </c>
      <c r="BX5" s="93" t="s">
        <v>131</v>
      </c>
      <c r="BY5" s="93" t="s">
        <v>20</v>
      </c>
      <c r="BZ5" s="93" t="s">
        <v>21</v>
      </c>
      <c r="CA5" s="93" t="s">
        <v>226</v>
      </c>
      <c r="CB5" s="93" t="s">
        <v>227</v>
      </c>
      <c r="CC5" s="93" t="s">
        <v>228</v>
      </c>
      <c r="CD5" s="94" t="s">
        <v>22</v>
      </c>
      <c r="CE5" s="92" t="s">
        <v>18</v>
      </c>
      <c r="CF5" s="93" t="s">
        <v>19</v>
      </c>
      <c r="CG5" s="93" t="s">
        <v>131</v>
      </c>
      <c r="CH5" s="93" t="s">
        <v>20</v>
      </c>
      <c r="CI5" s="93" t="s">
        <v>21</v>
      </c>
      <c r="CJ5" s="93" t="s">
        <v>226</v>
      </c>
      <c r="CK5" s="93" t="s">
        <v>227</v>
      </c>
      <c r="CL5" s="93" t="s">
        <v>228</v>
      </c>
      <c r="CM5" s="94" t="s">
        <v>22</v>
      </c>
      <c r="CN5" s="92" t="s">
        <v>18</v>
      </c>
      <c r="CO5" s="93" t="s">
        <v>19</v>
      </c>
      <c r="CP5" s="93" t="s">
        <v>131</v>
      </c>
      <c r="CQ5" s="93" t="s">
        <v>20</v>
      </c>
      <c r="CR5" s="93" t="s">
        <v>21</v>
      </c>
      <c r="CS5" s="93" t="s">
        <v>226</v>
      </c>
      <c r="CT5" s="93" t="s">
        <v>227</v>
      </c>
      <c r="CU5" s="93" t="s">
        <v>228</v>
      </c>
      <c r="CV5" s="94" t="s">
        <v>22</v>
      </c>
      <c r="CW5" s="92" t="s">
        <v>18</v>
      </c>
      <c r="CX5" s="93" t="s">
        <v>19</v>
      </c>
      <c r="CY5" s="93" t="s">
        <v>131</v>
      </c>
      <c r="CZ5" s="93" t="s">
        <v>20</v>
      </c>
      <c r="DA5" s="93" t="s">
        <v>21</v>
      </c>
      <c r="DB5" s="93" t="s">
        <v>226</v>
      </c>
      <c r="DC5" s="93" t="s">
        <v>227</v>
      </c>
      <c r="DD5" s="93" t="s">
        <v>228</v>
      </c>
      <c r="DE5" s="94" t="s">
        <v>22</v>
      </c>
    </row>
    <row r="6" spans="1:115" ht="15.75" thickTop="1" x14ac:dyDescent="0.2">
      <c r="A6" s="96">
        <v>18</v>
      </c>
      <c r="B6" s="1175">
        <v>1</v>
      </c>
      <c r="C6" s="1176">
        <v>0</v>
      </c>
      <c r="D6" s="1176">
        <v>0</v>
      </c>
      <c r="E6" s="1176">
        <v>80</v>
      </c>
      <c r="F6" s="1176">
        <v>36.5</v>
      </c>
      <c r="G6" s="90">
        <f>F6</f>
        <v>36.5</v>
      </c>
      <c r="H6" s="90">
        <f t="shared" ref="H6:H37" si="0">B6/100*7*F6</f>
        <v>2.5550000000000002</v>
      </c>
      <c r="I6" s="91">
        <f>C6*F6/1000</f>
        <v>0</v>
      </c>
      <c r="J6" s="1181">
        <v>1300</v>
      </c>
      <c r="K6" s="1175">
        <v>5.9</v>
      </c>
      <c r="L6" s="1176">
        <f>7*K6/100</f>
        <v>0.41300000000000003</v>
      </c>
      <c r="M6" s="1176">
        <v>0</v>
      </c>
      <c r="N6" s="1176">
        <v>90</v>
      </c>
      <c r="O6" s="1176">
        <v>42.7</v>
      </c>
      <c r="P6" s="90">
        <f>O6</f>
        <v>42.7</v>
      </c>
      <c r="Q6" s="90">
        <f t="shared" ref="Q6:Q11" si="1">K6/100*7*O6</f>
        <v>17.635100000000001</v>
      </c>
      <c r="R6" s="91">
        <f>L6*O6/1000</f>
        <v>1.7635100000000001E-2</v>
      </c>
      <c r="S6" s="1181">
        <v>1520</v>
      </c>
      <c r="T6" s="1175">
        <v>2</v>
      </c>
      <c r="U6" s="1176">
        <v>0</v>
      </c>
      <c r="V6" s="1176">
        <v>0</v>
      </c>
      <c r="W6" s="1176">
        <v>85</v>
      </c>
      <c r="X6" s="1176">
        <v>43</v>
      </c>
      <c r="Y6" s="90">
        <f>X6</f>
        <v>43</v>
      </c>
      <c r="Z6" s="90">
        <f t="shared" ref="Z6:Z11" si="2">T6/100*7*X6</f>
        <v>6.0200000000000005</v>
      </c>
      <c r="AA6" s="91">
        <f>U6*X6/1000</f>
        <v>0</v>
      </c>
      <c r="AB6" s="1181">
        <v>1650</v>
      </c>
      <c r="AC6" s="1175">
        <v>2</v>
      </c>
      <c r="AD6" s="1176"/>
      <c r="AE6" s="1176">
        <v>0</v>
      </c>
      <c r="AF6" s="1176">
        <v>85</v>
      </c>
      <c r="AG6" s="1176">
        <v>42</v>
      </c>
      <c r="AH6" s="90">
        <f>AG6</f>
        <v>42</v>
      </c>
      <c r="AI6" s="90">
        <f t="shared" ref="AI6:AI11" si="3">AC6/100*7*AG6</f>
        <v>5.8800000000000008</v>
      </c>
      <c r="AJ6" s="91">
        <f>AD6*AG6/1000</f>
        <v>0</v>
      </c>
      <c r="AK6" s="1181">
        <v>1500</v>
      </c>
      <c r="AL6" s="1175">
        <v>0</v>
      </c>
      <c r="AM6" s="1176">
        <v>0</v>
      </c>
      <c r="AN6" s="1176">
        <v>0</v>
      </c>
      <c r="AO6" s="1176">
        <v>77</v>
      </c>
      <c r="AP6" s="1176">
        <v>0</v>
      </c>
      <c r="AQ6" s="90">
        <f>AP6</f>
        <v>0</v>
      </c>
      <c r="AR6" s="90">
        <f t="shared" ref="AR6:AR11" si="4">AL6/100*7*AP6</f>
        <v>0</v>
      </c>
      <c r="AS6" s="91">
        <f>AM6*AP6/1000</f>
        <v>0</v>
      </c>
      <c r="AT6" s="1181">
        <v>1335</v>
      </c>
      <c r="AU6" s="1175">
        <v>0</v>
      </c>
      <c r="AV6" s="1176">
        <v>0</v>
      </c>
      <c r="AW6" s="1176">
        <v>0</v>
      </c>
      <c r="AX6" s="1176">
        <v>84</v>
      </c>
      <c r="AY6" s="1176">
        <v>43</v>
      </c>
      <c r="AZ6" s="90">
        <f>AY6</f>
        <v>43</v>
      </c>
      <c r="BA6" s="90">
        <f t="shared" ref="BA6:BA11" si="5">AU6/100*7*AY6</f>
        <v>0</v>
      </c>
      <c r="BB6" s="91">
        <f>AV6*AY6/1000</f>
        <v>0</v>
      </c>
      <c r="BC6" s="1181">
        <v>1474</v>
      </c>
      <c r="BD6" s="1175">
        <v>7.7</v>
      </c>
      <c r="BE6" s="1176">
        <v>0.5</v>
      </c>
      <c r="BF6" s="1176">
        <v>0</v>
      </c>
      <c r="BG6" s="1176">
        <v>88</v>
      </c>
      <c r="BH6" s="1176">
        <v>46.5</v>
      </c>
      <c r="BI6" s="90">
        <f>BH6</f>
        <v>46.5</v>
      </c>
      <c r="BJ6" s="90">
        <f t="shared" ref="BJ6:BJ11" si="6">BD6/100*7*BH6</f>
        <v>25.063500000000001</v>
      </c>
      <c r="BK6" s="91">
        <f>BE6*BH6/1000</f>
        <v>2.325E-2</v>
      </c>
      <c r="BL6" s="1181">
        <v>1610</v>
      </c>
      <c r="BM6" s="1175">
        <v>0</v>
      </c>
      <c r="BN6" s="1176">
        <v>0</v>
      </c>
      <c r="BO6" s="1176">
        <v>0.1</v>
      </c>
      <c r="BP6" s="1176">
        <v>77.5</v>
      </c>
      <c r="BQ6" s="1176">
        <v>40</v>
      </c>
      <c r="BR6" s="90">
        <f>BQ6</f>
        <v>40</v>
      </c>
      <c r="BS6" s="90">
        <f t="shared" ref="BS6:BS11" si="7">BM6/100*7*BQ6</f>
        <v>0</v>
      </c>
      <c r="BT6" s="91">
        <f>BN6*BQ6/1000</f>
        <v>0</v>
      </c>
      <c r="BU6" s="1181">
        <v>1260</v>
      </c>
      <c r="BV6" s="1175">
        <v>1</v>
      </c>
      <c r="BW6" s="1176">
        <v>0</v>
      </c>
      <c r="BX6" s="1176">
        <v>0</v>
      </c>
      <c r="BY6" s="1176">
        <v>89</v>
      </c>
      <c r="BZ6" s="1176">
        <v>42.5</v>
      </c>
      <c r="CA6" s="90">
        <f>BZ6</f>
        <v>42.5</v>
      </c>
      <c r="CB6" s="90">
        <f t="shared" ref="CB6:CB11" si="8">BV6/100*7*BZ6</f>
        <v>2.9750000000000001</v>
      </c>
      <c r="CC6" s="91">
        <f>BW6*BZ6/1000</f>
        <v>0</v>
      </c>
      <c r="CD6" s="1181">
        <v>1475</v>
      </c>
      <c r="CE6" s="1175">
        <v>0</v>
      </c>
      <c r="CF6" s="1176">
        <v>0</v>
      </c>
      <c r="CG6" s="1176">
        <v>0</v>
      </c>
      <c r="CH6" s="1176">
        <v>75</v>
      </c>
      <c r="CI6" s="1176">
        <v>43</v>
      </c>
      <c r="CJ6" s="90">
        <f>CI6</f>
        <v>43</v>
      </c>
      <c r="CK6" s="90">
        <f t="shared" ref="CK6:CK11" si="9">CE6/100*7*CI6</f>
        <v>0</v>
      </c>
      <c r="CL6" s="91">
        <f>CF6*CI6/1000</f>
        <v>0</v>
      </c>
      <c r="CM6" s="1181">
        <v>1493</v>
      </c>
      <c r="CN6" s="1175">
        <v>0</v>
      </c>
      <c r="CO6" s="1176">
        <v>0</v>
      </c>
      <c r="CP6" s="1176">
        <v>0</v>
      </c>
      <c r="CQ6" s="1176">
        <v>79</v>
      </c>
      <c r="CR6" s="1176">
        <v>43</v>
      </c>
      <c r="CS6" s="90">
        <f>CR6</f>
        <v>43</v>
      </c>
      <c r="CT6" s="90">
        <f t="shared" ref="CT6:CT11" si="10">CN6/100*7*CR6</f>
        <v>0</v>
      </c>
      <c r="CU6" s="91">
        <f>CO6*CR6/1000</f>
        <v>0</v>
      </c>
      <c r="CV6" s="1181">
        <v>1320</v>
      </c>
      <c r="CW6" s="1175">
        <v>2</v>
      </c>
      <c r="CX6" s="1176">
        <v>0</v>
      </c>
      <c r="CY6" s="1176">
        <v>0.1</v>
      </c>
      <c r="CZ6" s="1176">
        <v>83</v>
      </c>
      <c r="DA6" s="1176">
        <v>40</v>
      </c>
      <c r="DB6" s="90">
        <f>DA6</f>
        <v>40</v>
      </c>
      <c r="DC6" s="90">
        <f t="shared" ref="DC6:DC11" si="11">CW6/100*7*DA6</f>
        <v>5.6000000000000005</v>
      </c>
      <c r="DD6" s="91">
        <f>CX6*DA6/1000</f>
        <v>0</v>
      </c>
      <c r="DE6" s="1181">
        <v>1580</v>
      </c>
    </row>
    <row r="7" spans="1:115" ht="15" x14ac:dyDescent="0.2">
      <c r="A7" s="96">
        <f t="shared" ref="A7:A38" si="12">A6+1</f>
        <v>19</v>
      </c>
      <c r="B7" s="1177">
        <v>8.5</v>
      </c>
      <c r="C7" s="1178">
        <v>1</v>
      </c>
      <c r="D7" s="1178">
        <v>0.10010010010010009</v>
      </c>
      <c r="E7" s="1178">
        <v>86</v>
      </c>
      <c r="F7" s="1178">
        <v>39</v>
      </c>
      <c r="G7" s="88">
        <f t="shared" ref="G7:G38" si="13">IF(C7&gt;0,(F7*(C7-C6)/C7)+(G6*C6/C7),0)</f>
        <v>39</v>
      </c>
      <c r="H7" s="88">
        <f t="shared" si="0"/>
        <v>23.205000000000002</v>
      </c>
      <c r="I7" s="89">
        <f t="shared" ref="I7:I38" si="14">(C7-C6)*F7/1000+C6*G6/1000</f>
        <v>3.9E-2</v>
      </c>
      <c r="J7" s="1182">
        <v>1360</v>
      </c>
      <c r="K7" s="1177">
        <v>15.9</v>
      </c>
      <c r="L7" s="1178">
        <v>2</v>
      </c>
      <c r="M7" s="1178">
        <v>0.10010010010010009</v>
      </c>
      <c r="N7" s="1178">
        <v>96</v>
      </c>
      <c r="O7" s="1178">
        <v>46.4</v>
      </c>
      <c r="P7" s="88">
        <f t="shared" ref="P7:P44" si="15">IF(L7&gt;0,(O7*(L7-L6)/L7)+(P6*L6/L7),0)</f>
        <v>45.635949999999994</v>
      </c>
      <c r="Q7" s="88">
        <f t="shared" si="1"/>
        <v>51.6432</v>
      </c>
      <c r="R7" s="89">
        <f t="shared" ref="R7:R11" si="16">(L7-L6)*O7/1000+L6*P6/1000</f>
        <v>9.1271899999999989E-2</v>
      </c>
      <c r="S7" s="1182">
        <v>1580</v>
      </c>
      <c r="T7" s="1177">
        <v>11</v>
      </c>
      <c r="U7" s="1178">
        <v>1</v>
      </c>
      <c r="V7" s="1178">
        <v>0</v>
      </c>
      <c r="W7" s="1178">
        <v>88</v>
      </c>
      <c r="X7" s="1178">
        <v>45.5</v>
      </c>
      <c r="Y7" s="88">
        <f t="shared" ref="Y7:Y44" si="17">IF(U7&gt;0,(X7*(U7-U6)/U7)+(Y6*U6/U7),0)</f>
        <v>45.5</v>
      </c>
      <c r="Z7" s="88">
        <f t="shared" si="2"/>
        <v>35.035000000000004</v>
      </c>
      <c r="AA7" s="89">
        <f t="shared" ref="AA7:AA11" si="18">(U7-U6)*X7/1000+U6*Y6/1000</f>
        <v>4.5499999999999999E-2</v>
      </c>
      <c r="AB7" s="1182">
        <v>1745</v>
      </c>
      <c r="AC7" s="1177">
        <v>17</v>
      </c>
      <c r="AD7" s="1178">
        <v>1</v>
      </c>
      <c r="AE7" s="1178">
        <v>0.1</v>
      </c>
      <c r="AF7" s="1178">
        <v>92</v>
      </c>
      <c r="AG7" s="1178">
        <v>45</v>
      </c>
      <c r="AH7" s="88">
        <f t="shared" ref="AH7:AH44" si="19">IF(AD7&gt;0,(AG7*(AD7-AD6)/AD7)+(AH6*AD6/AD7),0)</f>
        <v>45</v>
      </c>
      <c r="AI7" s="88">
        <f t="shared" si="3"/>
        <v>53.550000000000004</v>
      </c>
      <c r="AJ7" s="89">
        <f t="shared" ref="AJ7:AJ11" si="20">(AD7-AD6)*AG7/1000+AD6*AH6/1000</f>
        <v>4.4999999999999998E-2</v>
      </c>
      <c r="AK7" s="1182">
        <v>1580</v>
      </c>
      <c r="AL7" s="1177">
        <v>6.2</v>
      </c>
      <c r="AM7" s="1178">
        <v>0</v>
      </c>
      <c r="AN7" s="1178">
        <v>0.1</v>
      </c>
      <c r="AO7" s="1178">
        <v>82</v>
      </c>
      <c r="AP7" s="1178">
        <v>42.9</v>
      </c>
      <c r="AQ7" s="88">
        <f t="shared" ref="AQ7:AQ44" si="21">IF(AM7&gt;0,(AP7*(AM7-AM6)/AM7)+(AQ6*AM6/AM7),0)</f>
        <v>0</v>
      </c>
      <c r="AR7" s="88">
        <f t="shared" si="4"/>
        <v>18.618600000000001</v>
      </c>
      <c r="AS7" s="89">
        <f t="shared" ref="AS7:AS11" si="22">(AM7-AM6)*AP7/1000+AM6*AQ6/1000</f>
        <v>0</v>
      </c>
      <c r="AT7" s="1182">
        <v>1388</v>
      </c>
      <c r="AU7" s="1177">
        <v>10</v>
      </c>
      <c r="AV7" s="1178">
        <v>0.7</v>
      </c>
      <c r="AW7" s="1178">
        <v>0</v>
      </c>
      <c r="AX7" s="1178">
        <v>86</v>
      </c>
      <c r="AY7" s="1178">
        <v>45</v>
      </c>
      <c r="AZ7" s="88">
        <f t="shared" ref="AZ7:AZ44" si="23">IF(AV7&gt;0,(AY7*(AV7-AV6)/AV7)+(AZ6*AV6/AV7),0)</f>
        <v>45</v>
      </c>
      <c r="BA7" s="88">
        <f t="shared" si="5"/>
        <v>31.500000000000004</v>
      </c>
      <c r="BB7" s="89">
        <f t="shared" ref="BB7:BB11" si="24">(AV7-AV6)*AY7/1000+AV6*AZ6/1000</f>
        <v>3.1499999999999993E-2</v>
      </c>
      <c r="BC7" s="1182">
        <v>1596</v>
      </c>
      <c r="BD7" s="1177">
        <v>27.1</v>
      </c>
      <c r="BE7" s="1178">
        <v>2.4</v>
      </c>
      <c r="BF7" s="1178">
        <v>0.05</v>
      </c>
      <c r="BG7" s="1178">
        <v>94</v>
      </c>
      <c r="BH7" s="1178">
        <v>49.3</v>
      </c>
      <c r="BI7" s="88">
        <f t="shared" ref="BI7:BI44" si="25">IF(BE7&gt;0,(BH7*(BE7-BE6)/BE7)+(BI6*BE6/BE7),0)</f>
        <v>48.716666666666661</v>
      </c>
      <c r="BJ7" s="88">
        <f t="shared" si="6"/>
        <v>93.522100000000009</v>
      </c>
      <c r="BK7" s="89">
        <f t="shared" ref="BK7:BK11" si="26">(BE7-BE6)*BH7/1000+BE6*BI6/1000</f>
        <v>0.11692</v>
      </c>
      <c r="BL7" s="1182">
        <v>1740</v>
      </c>
      <c r="BM7" s="1177">
        <v>10.5</v>
      </c>
      <c r="BN7" s="1178">
        <v>0.7</v>
      </c>
      <c r="BO7" s="1178">
        <v>0.3</v>
      </c>
      <c r="BP7" s="1178">
        <v>82.5</v>
      </c>
      <c r="BQ7" s="1178">
        <v>42</v>
      </c>
      <c r="BR7" s="88">
        <f t="shared" ref="BR7:BR44" si="27">IF(BN7&gt;0,(BQ7*(BN7-BN6)/BN7)+(BR6*BN6/BN7),0)</f>
        <v>42</v>
      </c>
      <c r="BS7" s="88">
        <f t="shared" si="7"/>
        <v>30.87</v>
      </c>
      <c r="BT7" s="89">
        <f t="shared" ref="BT7:BT11" si="28">(BN7-BN6)*BQ7/1000+BN6*BR6/1000</f>
        <v>2.9399999999999999E-2</v>
      </c>
      <c r="BU7" s="1182">
        <v>1320</v>
      </c>
      <c r="BV7" s="1177">
        <v>17.100000000000001</v>
      </c>
      <c r="BW7" s="1178">
        <v>1</v>
      </c>
      <c r="BX7" s="1178">
        <v>9.9999999999990985E-2</v>
      </c>
      <c r="BY7" s="1178">
        <v>95</v>
      </c>
      <c r="BZ7" s="1178">
        <v>46.2</v>
      </c>
      <c r="CA7" s="88">
        <f t="shared" ref="CA7:CA44" si="29">IF(BW7&gt;0,(BZ7*(BW7-BW6)/BW7)+(CA6*BW6/BW7),0)</f>
        <v>46.2</v>
      </c>
      <c r="CB7" s="88">
        <f t="shared" si="8"/>
        <v>55.301400000000008</v>
      </c>
      <c r="CC7" s="89">
        <f t="shared" ref="CC7:CC11" si="30">(BW7-BW6)*BZ7/1000+BW6*CA6/1000</f>
        <v>4.6200000000000005E-2</v>
      </c>
      <c r="CD7" s="1182">
        <v>1535</v>
      </c>
      <c r="CE7" s="1177">
        <v>9</v>
      </c>
      <c r="CF7" s="1178">
        <v>0.6</v>
      </c>
      <c r="CG7" s="1178">
        <v>0.2</v>
      </c>
      <c r="CH7" s="1178">
        <v>81</v>
      </c>
      <c r="CI7" s="1178">
        <v>43.6</v>
      </c>
      <c r="CJ7" s="88">
        <f t="shared" ref="CJ7:CJ44" si="31">IF(CF7&gt;0,(CI7*(CF7-CF6)/CF7)+(CJ6*CF6/CF7),0)</f>
        <v>43.6</v>
      </c>
      <c r="CK7" s="88">
        <f t="shared" si="9"/>
        <v>27.468</v>
      </c>
      <c r="CL7" s="89">
        <f t="shared" ref="CL7:CL11" si="32">(CF7-CF6)*CI7/1000+CF6*CJ6/1000</f>
        <v>2.6159999999999999E-2</v>
      </c>
      <c r="CM7" s="1182">
        <v>1565</v>
      </c>
      <c r="CN7" s="1177">
        <v>9.3000000000000007</v>
      </c>
      <c r="CO7" s="1178">
        <v>0.7</v>
      </c>
      <c r="CP7" s="1178">
        <v>0.2</v>
      </c>
      <c r="CQ7" s="1178">
        <v>84</v>
      </c>
      <c r="CR7" s="1178">
        <v>42.3</v>
      </c>
      <c r="CS7" s="88">
        <f t="shared" ref="CS7:CS44" si="33">IF(CO7&gt;0,(CR7*(CO7-CO6)/CO7)+(CS6*CO6/CO7),0)</f>
        <v>42.3</v>
      </c>
      <c r="CT7" s="88">
        <f t="shared" si="10"/>
        <v>27.537300000000005</v>
      </c>
      <c r="CU7" s="89">
        <f t="shared" ref="CU7:CU11" si="34">(CO7-CO6)*CR7/1000+CO6*CS6/1000</f>
        <v>2.9609999999999997E-2</v>
      </c>
      <c r="CV7" s="1182">
        <v>1371</v>
      </c>
      <c r="CW7" s="1177">
        <v>15</v>
      </c>
      <c r="CX7" s="1178">
        <v>1</v>
      </c>
      <c r="CY7" s="1178">
        <v>0.2</v>
      </c>
      <c r="CZ7" s="1178">
        <v>85</v>
      </c>
      <c r="DA7" s="1178">
        <v>44</v>
      </c>
      <c r="DB7" s="88">
        <f t="shared" ref="DB7:DB44" si="35">IF(CX7&gt;0,(DA7*(CX7-CX6)/CX7)+(DB6*CX6/CX7),0)</f>
        <v>44</v>
      </c>
      <c r="DC7" s="88">
        <f t="shared" si="11"/>
        <v>46.2</v>
      </c>
      <c r="DD7" s="89">
        <f t="shared" ref="DD7:DD11" si="36">(CX7-CX6)*DA7/1000+CX6*DB6/1000</f>
        <v>4.3999999999999997E-2</v>
      </c>
      <c r="DE7" s="1182">
        <v>1580</v>
      </c>
    </row>
    <row r="8" spans="1:115" ht="15" x14ac:dyDescent="0.2">
      <c r="A8" s="96">
        <f t="shared" si="12"/>
        <v>20</v>
      </c>
      <c r="B8" s="1177">
        <v>35.6</v>
      </c>
      <c r="C8" s="1178">
        <v>3</v>
      </c>
      <c r="D8" s="1178">
        <v>0.20020020020020018</v>
      </c>
      <c r="E8" s="1178">
        <v>95</v>
      </c>
      <c r="F8" s="1178">
        <v>41.5</v>
      </c>
      <c r="G8" s="88">
        <f t="shared" si="13"/>
        <v>40.666666666666671</v>
      </c>
      <c r="H8" s="88">
        <f t="shared" si="0"/>
        <v>103.41800000000002</v>
      </c>
      <c r="I8" s="89">
        <f t="shared" si="14"/>
        <v>0.122</v>
      </c>
      <c r="J8" s="1182">
        <v>1420</v>
      </c>
      <c r="K8" s="1177">
        <v>40.9</v>
      </c>
      <c r="L8" s="1178">
        <v>4</v>
      </c>
      <c r="M8" s="1178">
        <v>0.20020020020020018</v>
      </c>
      <c r="N8" s="1178">
        <v>101</v>
      </c>
      <c r="O8" s="1178">
        <v>49.6</v>
      </c>
      <c r="P8" s="88">
        <f t="shared" si="15"/>
        <v>47.617975000000001</v>
      </c>
      <c r="Q8" s="88">
        <f t="shared" si="1"/>
        <v>142.00480000000002</v>
      </c>
      <c r="R8" s="89">
        <f t="shared" si="16"/>
        <v>0.19047189999999997</v>
      </c>
      <c r="S8" s="1182">
        <v>1630</v>
      </c>
      <c r="T8" s="1177">
        <v>35</v>
      </c>
      <c r="U8" s="1178">
        <v>3</v>
      </c>
      <c r="V8" s="1178">
        <v>0.1</v>
      </c>
      <c r="W8" s="1178">
        <v>91</v>
      </c>
      <c r="X8" s="1178">
        <v>47.6</v>
      </c>
      <c r="Y8" s="88">
        <f t="shared" si="17"/>
        <v>46.9</v>
      </c>
      <c r="Z8" s="88">
        <f t="shared" si="2"/>
        <v>116.61999999999999</v>
      </c>
      <c r="AA8" s="89">
        <f t="shared" si="18"/>
        <v>0.14069999999999999</v>
      </c>
      <c r="AB8" s="1182">
        <v>1815</v>
      </c>
      <c r="AC8" s="1177">
        <v>39</v>
      </c>
      <c r="AD8" s="1178">
        <v>4</v>
      </c>
      <c r="AE8" s="1178">
        <v>0.1</v>
      </c>
      <c r="AF8" s="1178">
        <v>101</v>
      </c>
      <c r="AG8" s="1178">
        <v>47</v>
      </c>
      <c r="AH8" s="88">
        <f t="shared" si="19"/>
        <v>46.5</v>
      </c>
      <c r="AI8" s="88">
        <f t="shared" si="3"/>
        <v>128.31</v>
      </c>
      <c r="AJ8" s="89">
        <f t="shared" si="20"/>
        <v>0.186</v>
      </c>
      <c r="AK8" s="1182">
        <v>1630</v>
      </c>
      <c r="AL8" s="1177">
        <v>41.5</v>
      </c>
      <c r="AM8" s="1178">
        <v>3</v>
      </c>
      <c r="AN8" s="1178">
        <v>0.1</v>
      </c>
      <c r="AO8" s="1178">
        <v>89</v>
      </c>
      <c r="AP8" s="1178">
        <v>46.1</v>
      </c>
      <c r="AQ8" s="88">
        <f t="shared" si="21"/>
        <v>46.1</v>
      </c>
      <c r="AR8" s="88">
        <f t="shared" si="4"/>
        <v>133.9205</v>
      </c>
      <c r="AS8" s="89">
        <f t="shared" si="22"/>
        <v>0.13830000000000001</v>
      </c>
      <c r="AT8" s="1182">
        <v>1435</v>
      </c>
      <c r="AU8" s="1177">
        <v>45</v>
      </c>
      <c r="AV8" s="1178">
        <v>3.9</v>
      </c>
      <c r="AW8" s="1178">
        <v>0</v>
      </c>
      <c r="AX8" s="1178">
        <v>94</v>
      </c>
      <c r="AY8" s="1178">
        <v>47.6</v>
      </c>
      <c r="AZ8" s="88">
        <f t="shared" si="23"/>
        <v>47.13333333333334</v>
      </c>
      <c r="BA8" s="88">
        <f t="shared" si="5"/>
        <v>149.94</v>
      </c>
      <c r="BB8" s="89">
        <f t="shared" si="24"/>
        <v>0.18382000000000001</v>
      </c>
      <c r="BC8" s="1182">
        <v>1675</v>
      </c>
      <c r="BD8" s="1177">
        <v>57.3</v>
      </c>
      <c r="BE8" s="1178">
        <v>6.4</v>
      </c>
      <c r="BF8" s="1178">
        <v>7.999999999999545E-2</v>
      </c>
      <c r="BG8" s="1178">
        <v>99</v>
      </c>
      <c r="BH8" s="1178">
        <v>51.6</v>
      </c>
      <c r="BI8" s="88">
        <f t="shared" si="25"/>
        <v>50.518749999999997</v>
      </c>
      <c r="BJ8" s="88">
        <f t="shared" si="6"/>
        <v>206.96759999999998</v>
      </c>
      <c r="BK8" s="89">
        <f t="shared" si="26"/>
        <v>0.32332</v>
      </c>
      <c r="BL8" s="1182">
        <v>1800</v>
      </c>
      <c r="BM8" s="1177">
        <v>35.5</v>
      </c>
      <c r="BN8" s="1178">
        <v>3.2</v>
      </c>
      <c r="BO8" s="1178">
        <v>0.5</v>
      </c>
      <c r="BP8" s="1178">
        <v>85.5</v>
      </c>
      <c r="BQ8" s="1178">
        <v>43</v>
      </c>
      <c r="BR8" s="88">
        <f t="shared" si="27"/>
        <v>42.78125</v>
      </c>
      <c r="BS8" s="88">
        <f t="shared" si="7"/>
        <v>106.85499999999999</v>
      </c>
      <c r="BT8" s="89">
        <f t="shared" si="28"/>
        <v>0.13689999999999999</v>
      </c>
      <c r="BU8" s="1182">
        <v>1380</v>
      </c>
      <c r="BV8" s="1177">
        <v>40.5</v>
      </c>
      <c r="BW8" s="1178">
        <v>4</v>
      </c>
      <c r="BX8" s="1178">
        <v>0.20000000000000473</v>
      </c>
      <c r="BY8" s="1178">
        <v>100</v>
      </c>
      <c r="BZ8" s="1178">
        <v>49.3</v>
      </c>
      <c r="CA8" s="88">
        <f t="shared" si="29"/>
        <v>48.524999999999991</v>
      </c>
      <c r="CB8" s="88">
        <f t="shared" si="8"/>
        <v>139.7655</v>
      </c>
      <c r="CC8" s="89">
        <f t="shared" si="30"/>
        <v>0.19409999999999999</v>
      </c>
      <c r="CD8" s="1182">
        <v>1605</v>
      </c>
      <c r="CE8" s="1177">
        <v>36.4</v>
      </c>
      <c r="CF8" s="1178">
        <v>3.2</v>
      </c>
      <c r="CG8" s="1178">
        <v>0.32000000000000456</v>
      </c>
      <c r="CH8" s="1178">
        <v>93</v>
      </c>
      <c r="CI8" s="1178">
        <v>46.1</v>
      </c>
      <c r="CJ8" s="88">
        <f t="shared" si="31"/>
        <v>45.631250000000001</v>
      </c>
      <c r="CK8" s="88">
        <f t="shared" si="9"/>
        <v>117.4628</v>
      </c>
      <c r="CL8" s="89">
        <f t="shared" si="32"/>
        <v>0.14602000000000001</v>
      </c>
      <c r="CM8" s="1182">
        <v>1635</v>
      </c>
      <c r="CN8" s="1177">
        <v>36.799999999999997</v>
      </c>
      <c r="CO8" s="1178">
        <v>3.2</v>
      </c>
      <c r="CP8" s="1178">
        <v>0.32000000000000456</v>
      </c>
      <c r="CQ8" s="1178">
        <v>88</v>
      </c>
      <c r="CR8" s="1178">
        <v>44.8</v>
      </c>
      <c r="CS8" s="88">
        <f t="shared" si="33"/>
        <v>44.253124999999997</v>
      </c>
      <c r="CT8" s="88">
        <f t="shared" si="10"/>
        <v>115.40479999999999</v>
      </c>
      <c r="CU8" s="89">
        <f t="shared" si="34"/>
        <v>0.14161000000000001</v>
      </c>
      <c r="CV8" s="1182">
        <v>1422</v>
      </c>
      <c r="CW8" s="1177">
        <v>41.4</v>
      </c>
      <c r="CX8" s="1178">
        <v>4</v>
      </c>
      <c r="CY8" s="1178">
        <v>0.32</v>
      </c>
      <c r="CZ8" s="1178">
        <v>95</v>
      </c>
      <c r="DA8" s="1178">
        <v>48.3</v>
      </c>
      <c r="DB8" s="88">
        <f t="shared" si="35"/>
        <v>47.224999999999994</v>
      </c>
      <c r="DC8" s="88">
        <f t="shared" si="11"/>
        <v>139.97339999999997</v>
      </c>
      <c r="DD8" s="89">
        <f t="shared" si="36"/>
        <v>0.18889999999999996</v>
      </c>
      <c r="DE8" s="1182">
        <v>1630</v>
      </c>
    </row>
    <row r="9" spans="1:115" ht="15" x14ac:dyDescent="0.2">
      <c r="A9" s="96">
        <f t="shared" si="12"/>
        <v>21</v>
      </c>
      <c r="B9" s="1177">
        <v>63.7</v>
      </c>
      <c r="C9" s="1178">
        <v>8</v>
      </c>
      <c r="D9" s="1178">
        <v>0.3003003003003003</v>
      </c>
      <c r="E9" s="1178">
        <v>101</v>
      </c>
      <c r="F9" s="1178">
        <v>44.2</v>
      </c>
      <c r="G9" s="88">
        <f t="shared" si="13"/>
        <v>42.875</v>
      </c>
      <c r="H9" s="88">
        <f t="shared" si="0"/>
        <v>197.08779999999999</v>
      </c>
      <c r="I9" s="89">
        <f t="shared" si="14"/>
        <v>0.34300000000000003</v>
      </c>
      <c r="J9" s="1182">
        <v>1495</v>
      </c>
      <c r="K9" s="1177">
        <v>66.099999999999994</v>
      </c>
      <c r="L9" s="1178">
        <v>9</v>
      </c>
      <c r="M9" s="1178">
        <v>0.3003003003003003</v>
      </c>
      <c r="N9" s="1178">
        <v>105</v>
      </c>
      <c r="O9" s="1178">
        <v>52.3</v>
      </c>
      <c r="P9" s="88">
        <f t="shared" si="15"/>
        <v>50.219099999999997</v>
      </c>
      <c r="Q9" s="88">
        <f t="shared" si="1"/>
        <v>241.99209999999997</v>
      </c>
      <c r="R9" s="89">
        <f t="shared" si="16"/>
        <v>0.45197189999999998</v>
      </c>
      <c r="S9" s="1182">
        <v>1670</v>
      </c>
      <c r="T9" s="1177">
        <v>50</v>
      </c>
      <c r="U9" s="1178">
        <v>7</v>
      </c>
      <c r="V9" s="1178">
        <v>0.2</v>
      </c>
      <c r="W9" s="1178">
        <v>95</v>
      </c>
      <c r="X9" s="1178">
        <v>50.5</v>
      </c>
      <c r="Y9" s="88">
        <f t="shared" si="17"/>
        <v>48.957142857142856</v>
      </c>
      <c r="Z9" s="88">
        <f t="shared" si="2"/>
        <v>176.75</v>
      </c>
      <c r="AA9" s="89">
        <f t="shared" si="18"/>
        <v>0.3427</v>
      </c>
      <c r="AB9" s="1182">
        <v>1875</v>
      </c>
      <c r="AC9" s="1177">
        <v>65</v>
      </c>
      <c r="AD9" s="1178">
        <v>9</v>
      </c>
      <c r="AE9" s="1178">
        <f>AE8+0.1</f>
        <v>0.2</v>
      </c>
      <c r="AF9" s="1178">
        <v>108</v>
      </c>
      <c r="AG9" s="1178">
        <v>51</v>
      </c>
      <c r="AH9" s="88">
        <f t="shared" si="19"/>
        <v>49</v>
      </c>
      <c r="AI9" s="88">
        <f t="shared" si="3"/>
        <v>232.04999999999998</v>
      </c>
      <c r="AJ9" s="89">
        <f t="shared" si="20"/>
        <v>0.441</v>
      </c>
      <c r="AK9" s="1182">
        <v>1681</v>
      </c>
      <c r="AL9" s="1177">
        <v>66.099999999999994</v>
      </c>
      <c r="AM9" s="1178">
        <v>8</v>
      </c>
      <c r="AN9" s="1178">
        <f>AN8+0.1</f>
        <v>0.2</v>
      </c>
      <c r="AO9" s="1178">
        <v>95</v>
      </c>
      <c r="AP9" s="1178">
        <v>48.8</v>
      </c>
      <c r="AQ9" s="88">
        <f t="shared" si="21"/>
        <v>47.787500000000001</v>
      </c>
      <c r="AR9" s="88">
        <f t="shared" si="4"/>
        <v>225.79759999999999</v>
      </c>
      <c r="AS9" s="89">
        <f t="shared" si="22"/>
        <v>0.38229999999999997</v>
      </c>
      <c r="AT9" s="1182">
        <v>1473</v>
      </c>
      <c r="AU9" s="1177">
        <v>67.599999999999994</v>
      </c>
      <c r="AV9" s="1178">
        <v>8.6</v>
      </c>
      <c r="AW9" s="1178">
        <v>9.999999999998864E-2</v>
      </c>
      <c r="AX9" s="1178">
        <v>97</v>
      </c>
      <c r="AY9" s="1178">
        <v>50</v>
      </c>
      <c r="AZ9" s="88">
        <f t="shared" si="23"/>
        <v>48.7</v>
      </c>
      <c r="BA9" s="88">
        <f t="shared" si="5"/>
        <v>236.59999999999997</v>
      </c>
      <c r="BB9" s="89">
        <f t="shared" si="24"/>
        <v>0.41881999999999997</v>
      </c>
      <c r="BC9" s="1182">
        <v>1750</v>
      </c>
      <c r="BD9" s="1177">
        <v>80.5</v>
      </c>
      <c r="BE9" s="1178">
        <v>12.1</v>
      </c>
      <c r="BF9" s="1178">
        <v>0.12999999999999545</v>
      </c>
      <c r="BG9" s="1178">
        <v>103</v>
      </c>
      <c r="BH9" s="1178">
        <v>53.5</v>
      </c>
      <c r="BI9" s="88">
        <f t="shared" si="25"/>
        <v>51.92314049586777</v>
      </c>
      <c r="BJ9" s="88">
        <f t="shared" si="6"/>
        <v>301.47250000000003</v>
      </c>
      <c r="BK9" s="89">
        <f t="shared" si="26"/>
        <v>0.62827</v>
      </c>
      <c r="BL9" s="1182">
        <v>1850</v>
      </c>
      <c r="BM9" s="1177">
        <v>55.5</v>
      </c>
      <c r="BN9" s="1178">
        <v>7.1</v>
      </c>
      <c r="BO9" s="1178">
        <v>0.7</v>
      </c>
      <c r="BP9" s="1178">
        <v>90.5</v>
      </c>
      <c r="BQ9" s="1178">
        <v>45</v>
      </c>
      <c r="BR9" s="88">
        <f t="shared" si="27"/>
        <v>44</v>
      </c>
      <c r="BS9" s="88">
        <f t="shared" si="7"/>
        <v>174.82500000000002</v>
      </c>
      <c r="BT9" s="89">
        <f t="shared" si="28"/>
        <v>0.31239999999999996</v>
      </c>
      <c r="BU9" s="1182">
        <v>1415</v>
      </c>
      <c r="BV9" s="1177">
        <v>64.400000000000006</v>
      </c>
      <c r="BW9" s="1178">
        <v>9</v>
      </c>
      <c r="BX9" s="1178">
        <v>0.29999999999999571</v>
      </c>
      <c r="BY9" s="1178">
        <v>104</v>
      </c>
      <c r="BZ9" s="1178">
        <v>51.9</v>
      </c>
      <c r="CA9" s="88">
        <f t="shared" si="29"/>
        <v>50.399999999999991</v>
      </c>
      <c r="CB9" s="88">
        <f t="shared" si="8"/>
        <v>233.96519999999998</v>
      </c>
      <c r="CC9" s="89">
        <f t="shared" si="30"/>
        <v>0.4536</v>
      </c>
      <c r="CD9" s="1182">
        <v>1660</v>
      </c>
      <c r="CE9" s="1177">
        <v>54.4</v>
      </c>
      <c r="CF9" s="1178">
        <v>7</v>
      </c>
      <c r="CG9" s="1178">
        <v>0.43999999999999767</v>
      </c>
      <c r="CH9" s="1178">
        <v>95</v>
      </c>
      <c r="CI9" s="1178">
        <v>48.7</v>
      </c>
      <c r="CJ9" s="88">
        <f t="shared" si="31"/>
        <v>47.297142857142859</v>
      </c>
      <c r="CK9" s="88">
        <f t="shared" si="9"/>
        <v>185.44960000000003</v>
      </c>
      <c r="CL9" s="89">
        <f t="shared" si="32"/>
        <v>0.33108000000000004</v>
      </c>
      <c r="CM9" s="1182">
        <v>1701</v>
      </c>
      <c r="CN9" s="1177">
        <v>54.8</v>
      </c>
      <c r="CO9" s="1178">
        <v>7.1</v>
      </c>
      <c r="CP9" s="1178">
        <v>0.43999999999999767</v>
      </c>
      <c r="CQ9" s="1178">
        <v>90</v>
      </c>
      <c r="CR9" s="1178">
        <v>47.4</v>
      </c>
      <c r="CS9" s="88">
        <f t="shared" si="33"/>
        <v>45.98169014084506</v>
      </c>
      <c r="CT9" s="88">
        <f t="shared" si="10"/>
        <v>181.82639999999998</v>
      </c>
      <c r="CU9" s="89">
        <f t="shared" si="34"/>
        <v>0.32646999999999993</v>
      </c>
      <c r="CV9" s="1182">
        <v>1472</v>
      </c>
      <c r="CW9" s="1177">
        <v>64.5</v>
      </c>
      <c r="CX9" s="1178">
        <v>8</v>
      </c>
      <c r="CY9" s="1178">
        <v>0.44</v>
      </c>
      <c r="CZ9" s="1178">
        <v>105</v>
      </c>
      <c r="DA9" s="1178">
        <v>51</v>
      </c>
      <c r="DB9" s="88">
        <f t="shared" si="35"/>
        <v>49.112499999999997</v>
      </c>
      <c r="DC9" s="88">
        <f t="shared" si="11"/>
        <v>230.26500000000004</v>
      </c>
      <c r="DD9" s="89">
        <f t="shared" si="36"/>
        <v>0.39289999999999997</v>
      </c>
      <c r="DE9" s="1182">
        <v>1681</v>
      </c>
    </row>
    <row r="10" spans="1:115" ht="15" x14ac:dyDescent="0.2">
      <c r="A10" s="96">
        <f t="shared" si="12"/>
        <v>22</v>
      </c>
      <c r="B10" s="1177">
        <v>81.8</v>
      </c>
      <c r="C10" s="1178">
        <v>13</v>
      </c>
      <c r="D10" s="1178">
        <v>0.40040040040040037</v>
      </c>
      <c r="E10" s="1178">
        <v>106</v>
      </c>
      <c r="F10" s="1178">
        <v>46.6</v>
      </c>
      <c r="G10" s="88">
        <f t="shared" si="13"/>
        <v>44.307692307692307</v>
      </c>
      <c r="H10" s="88">
        <f t="shared" si="0"/>
        <v>266.83159999999998</v>
      </c>
      <c r="I10" s="89">
        <f t="shared" si="14"/>
        <v>0.57600000000000007</v>
      </c>
      <c r="J10" s="1182">
        <v>1545</v>
      </c>
      <c r="K10" s="1177">
        <v>84.5</v>
      </c>
      <c r="L10" s="1178">
        <v>15</v>
      </c>
      <c r="M10" s="1178">
        <v>0.40040040040040037</v>
      </c>
      <c r="N10" s="1178">
        <v>109</v>
      </c>
      <c r="O10" s="1178">
        <v>54.6</v>
      </c>
      <c r="P10" s="88">
        <f t="shared" si="15"/>
        <v>51.97146</v>
      </c>
      <c r="Q10" s="88">
        <f t="shared" si="1"/>
        <v>322.959</v>
      </c>
      <c r="R10" s="89">
        <f t="shared" si="16"/>
        <v>0.77957189999999998</v>
      </c>
      <c r="S10" s="1182">
        <v>1705</v>
      </c>
      <c r="T10" s="1177">
        <v>68</v>
      </c>
      <c r="U10" s="1178">
        <v>12</v>
      </c>
      <c r="V10" s="1178">
        <v>0.3</v>
      </c>
      <c r="W10" s="1178">
        <v>100</v>
      </c>
      <c r="X10" s="1178">
        <v>51.7</v>
      </c>
      <c r="Y10" s="88">
        <f t="shared" si="17"/>
        <v>50.1</v>
      </c>
      <c r="Z10" s="88">
        <f t="shared" si="2"/>
        <v>246.09200000000004</v>
      </c>
      <c r="AA10" s="89">
        <f t="shared" si="18"/>
        <v>0.60119999999999996</v>
      </c>
      <c r="AB10" s="1182">
        <v>1935</v>
      </c>
      <c r="AC10" s="1177">
        <v>85</v>
      </c>
      <c r="AD10" s="1178">
        <v>15</v>
      </c>
      <c r="AE10" s="1178">
        <f>AE9+0.1</f>
        <v>0.30000000000000004</v>
      </c>
      <c r="AF10" s="1178">
        <v>111</v>
      </c>
      <c r="AG10" s="1178">
        <v>53</v>
      </c>
      <c r="AH10" s="88">
        <f t="shared" si="19"/>
        <v>50.599999999999994</v>
      </c>
      <c r="AI10" s="88">
        <f t="shared" si="3"/>
        <v>315.35000000000002</v>
      </c>
      <c r="AJ10" s="89">
        <f t="shared" si="20"/>
        <v>0.75900000000000001</v>
      </c>
      <c r="AK10" s="1182">
        <v>1710</v>
      </c>
      <c r="AL10" s="1177">
        <v>81.8</v>
      </c>
      <c r="AM10" s="1178">
        <v>14</v>
      </c>
      <c r="AN10" s="1178">
        <f>AN9+0.1</f>
        <v>0.30000000000000004</v>
      </c>
      <c r="AO10" s="1178">
        <v>101</v>
      </c>
      <c r="AP10" s="1178">
        <v>51</v>
      </c>
      <c r="AQ10" s="88">
        <f t="shared" si="21"/>
        <v>49.164285714285711</v>
      </c>
      <c r="AR10" s="88">
        <f t="shared" si="4"/>
        <v>292.02600000000001</v>
      </c>
      <c r="AS10" s="89">
        <f t="shared" si="22"/>
        <v>0.68830000000000002</v>
      </c>
      <c r="AT10" s="1182">
        <v>1503</v>
      </c>
      <c r="AU10" s="1177">
        <v>81</v>
      </c>
      <c r="AV10" s="1178">
        <v>14.2</v>
      </c>
      <c r="AW10" s="1178">
        <v>0.2</v>
      </c>
      <c r="AX10" s="1178">
        <v>100</v>
      </c>
      <c r="AY10" s="1178">
        <v>52.2</v>
      </c>
      <c r="AZ10" s="88">
        <f t="shared" si="23"/>
        <v>50.080281690140851</v>
      </c>
      <c r="BA10" s="88">
        <f t="shared" si="5"/>
        <v>295.97399999999999</v>
      </c>
      <c r="BB10" s="89">
        <f t="shared" si="24"/>
        <v>0.71113999999999988</v>
      </c>
      <c r="BC10" s="1182">
        <v>1810</v>
      </c>
      <c r="BD10" s="1177">
        <v>90.6</v>
      </c>
      <c r="BE10" s="1178">
        <v>18.399999999999999</v>
      </c>
      <c r="BF10" s="1178">
        <v>0.2</v>
      </c>
      <c r="BG10" s="1178">
        <v>107</v>
      </c>
      <c r="BH10" s="1178">
        <v>55</v>
      </c>
      <c r="BI10" s="88">
        <f t="shared" si="25"/>
        <v>52.976630434782606</v>
      </c>
      <c r="BJ10" s="88">
        <f t="shared" si="6"/>
        <v>348.81</v>
      </c>
      <c r="BK10" s="89">
        <f t="shared" si="26"/>
        <v>0.97476999999999991</v>
      </c>
      <c r="BL10" s="1182">
        <v>1890</v>
      </c>
      <c r="BM10" s="1177">
        <v>79.5</v>
      </c>
      <c r="BN10" s="1178">
        <v>12.6</v>
      </c>
      <c r="BO10" s="1178">
        <v>0.9</v>
      </c>
      <c r="BP10" s="1178">
        <v>92.5</v>
      </c>
      <c r="BQ10" s="1178">
        <v>47</v>
      </c>
      <c r="BR10" s="88">
        <f t="shared" si="27"/>
        <v>45.30952380952381</v>
      </c>
      <c r="BS10" s="88">
        <f t="shared" si="7"/>
        <v>261.55500000000001</v>
      </c>
      <c r="BT10" s="89">
        <f t="shared" si="28"/>
        <v>0.57089999999999996</v>
      </c>
      <c r="BU10" s="1182">
        <v>1444.9999999999998</v>
      </c>
      <c r="BV10" s="1177">
        <v>82.9</v>
      </c>
      <c r="BW10" s="1178">
        <v>14</v>
      </c>
      <c r="BX10" s="1178">
        <v>0.40000000000000946</v>
      </c>
      <c r="BY10" s="1178">
        <v>107</v>
      </c>
      <c r="BZ10" s="1178">
        <v>54.1</v>
      </c>
      <c r="CA10" s="88">
        <f t="shared" si="29"/>
        <v>51.721428571428561</v>
      </c>
      <c r="CB10" s="88">
        <f t="shared" si="8"/>
        <v>313.94230000000005</v>
      </c>
      <c r="CC10" s="89">
        <f t="shared" si="30"/>
        <v>0.72409999999999997</v>
      </c>
      <c r="CD10" s="1182">
        <v>1715</v>
      </c>
      <c r="CE10" s="1177">
        <v>71.900000000000006</v>
      </c>
      <c r="CF10" s="1178">
        <v>12</v>
      </c>
      <c r="CG10" s="1178">
        <v>0.56000000000000227</v>
      </c>
      <c r="CH10" s="1178">
        <v>97</v>
      </c>
      <c r="CI10" s="1178">
        <v>51.1</v>
      </c>
      <c r="CJ10" s="88">
        <f t="shared" si="31"/>
        <v>48.881666666666675</v>
      </c>
      <c r="CK10" s="88">
        <f t="shared" si="9"/>
        <v>257.18630000000002</v>
      </c>
      <c r="CL10" s="89">
        <f t="shared" si="32"/>
        <v>0.5865800000000001</v>
      </c>
      <c r="CM10" s="1182">
        <v>1760</v>
      </c>
      <c r="CN10" s="1177">
        <v>72.2</v>
      </c>
      <c r="CO10" s="1178">
        <v>12.1</v>
      </c>
      <c r="CP10" s="1178">
        <v>0.56000000000000227</v>
      </c>
      <c r="CQ10" s="1178">
        <v>94</v>
      </c>
      <c r="CR10" s="1178">
        <v>49.8</v>
      </c>
      <c r="CS10" s="88">
        <f t="shared" si="33"/>
        <v>47.559504132231396</v>
      </c>
      <c r="CT10" s="88">
        <f t="shared" si="10"/>
        <v>251.6892</v>
      </c>
      <c r="CU10" s="89">
        <f t="shared" si="34"/>
        <v>0.57546999999999993</v>
      </c>
      <c r="CV10" s="1182">
        <v>1520</v>
      </c>
      <c r="CW10" s="1177">
        <v>82.1</v>
      </c>
      <c r="CX10" s="1178">
        <v>14</v>
      </c>
      <c r="CY10" s="1178">
        <v>0.56000000000000005</v>
      </c>
      <c r="CZ10" s="1178">
        <v>109</v>
      </c>
      <c r="DA10" s="1178">
        <v>53.5</v>
      </c>
      <c r="DB10" s="88">
        <f t="shared" si="35"/>
        <v>50.99285714285714</v>
      </c>
      <c r="DC10" s="88">
        <f t="shared" si="11"/>
        <v>307.46449999999999</v>
      </c>
      <c r="DD10" s="89">
        <f t="shared" si="36"/>
        <v>0.71389999999999998</v>
      </c>
      <c r="DE10" s="1182">
        <v>1710</v>
      </c>
    </row>
    <row r="11" spans="1:115" ht="15" x14ac:dyDescent="0.2">
      <c r="A11" s="96">
        <f t="shared" si="12"/>
        <v>23</v>
      </c>
      <c r="B11" s="1177">
        <v>87.2</v>
      </c>
      <c r="C11" s="1178">
        <v>19</v>
      </c>
      <c r="D11" s="1178">
        <v>0.50050050050050054</v>
      </c>
      <c r="E11" s="1178">
        <v>110</v>
      </c>
      <c r="F11" s="1178">
        <v>49.2</v>
      </c>
      <c r="G11" s="88">
        <f t="shared" si="13"/>
        <v>45.852631578947367</v>
      </c>
      <c r="H11" s="88">
        <f t="shared" si="0"/>
        <v>300.3168</v>
      </c>
      <c r="I11" s="89">
        <f t="shared" si="14"/>
        <v>0.87119999999999997</v>
      </c>
      <c r="J11" s="1182">
        <v>1580</v>
      </c>
      <c r="K11" s="1177">
        <v>93.6</v>
      </c>
      <c r="L11" s="1178">
        <v>21</v>
      </c>
      <c r="M11" s="1178">
        <v>0.50050050050050054</v>
      </c>
      <c r="N11" s="1178">
        <v>111</v>
      </c>
      <c r="O11" s="1178">
        <v>56.5</v>
      </c>
      <c r="P11" s="88">
        <f t="shared" si="15"/>
        <v>53.265328571428569</v>
      </c>
      <c r="Q11" s="88">
        <f t="shared" si="1"/>
        <v>370.18799999999999</v>
      </c>
      <c r="R11" s="89">
        <f t="shared" si="16"/>
        <v>1.1185719000000001</v>
      </c>
      <c r="S11" s="1182">
        <v>1735</v>
      </c>
      <c r="T11" s="1177">
        <v>85</v>
      </c>
      <c r="U11" s="1178">
        <v>17</v>
      </c>
      <c r="V11" s="1178">
        <v>0.4</v>
      </c>
      <c r="W11" s="1178">
        <v>105</v>
      </c>
      <c r="X11" s="1178">
        <v>53.2</v>
      </c>
      <c r="Y11" s="88">
        <f t="shared" si="17"/>
        <v>51.011764705882356</v>
      </c>
      <c r="Z11" s="88">
        <f t="shared" si="2"/>
        <v>316.54000000000002</v>
      </c>
      <c r="AA11" s="89">
        <f t="shared" si="18"/>
        <v>0.86720000000000008</v>
      </c>
      <c r="AB11" s="1182">
        <v>1975</v>
      </c>
      <c r="AC11" s="1177">
        <v>92</v>
      </c>
      <c r="AD11" s="1178">
        <v>21</v>
      </c>
      <c r="AE11" s="1178">
        <f>AE10</f>
        <v>0.30000000000000004</v>
      </c>
      <c r="AF11" s="1178">
        <v>112</v>
      </c>
      <c r="AG11" s="1178">
        <v>55</v>
      </c>
      <c r="AH11" s="88">
        <f t="shared" si="19"/>
        <v>51.857142857142854</v>
      </c>
      <c r="AI11" s="88">
        <f t="shared" si="3"/>
        <v>354.20000000000005</v>
      </c>
      <c r="AJ11" s="89">
        <f t="shared" si="20"/>
        <v>1.089</v>
      </c>
      <c r="AK11" s="1182">
        <v>1740</v>
      </c>
      <c r="AL11" s="1177">
        <v>90.4</v>
      </c>
      <c r="AM11" s="1178">
        <v>20</v>
      </c>
      <c r="AN11" s="1178">
        <f>AN10</f>
        <v>0.30000000000000004</v>
      </c>
      <c r="AO11" s="1178">
        <v>104</v>
      </c>
      <c r="AP11" s="1178">
        <v>53</v>
      </c>
      <c r="AQ11" s="88">
        <f t="shared" si="21"/>
        <v>50.314999999999998</v>
      </c>
      <c r="AR11" s="88">
        <f t="shared" si="4"/>
        <v>335.38400000000001</v>
      </c>
      <c r="AS11" s="89">
        <f t="shared" si="22"/>
        <v>1.0063</v>
      </c>
      <c r="AT11" s="1182">
        <v>1519</v>
      </c>
      <c r="AU11" s="1177">
        <v>89</v>
      </c>
      <c r="AV11" s="1178">
        <v>20.399999999999999</v>
      </c>
      <c r="AW11" s="1178">
        <v>0.3</v>
      </c>
      <c r="AX11" s="1178">
        <v>102</v>
      </c>
      <c r="AY11" s="1178">
        <v>54.1</v>
      </c>
      <c r="AZ11" s="88">
        <f t="shared" si="23"/>
        <v>51.301960784313721</v>
      </c>
      <c r="BA11" s="88">
        <f t="shared" si="5"/>
        <v>337.04300000000001</v>
      </c>
      <c r="BB11" s="89">
        <f t="shared" si="24"/>
        <v>1.0465599999999999</v>
      </c>
      <c r="BC11" s="1182">
        <v>1850</v>
      </c>
      <c r="BD11" s="1177">
        <v>94.1</v>
      </c>
      <c r="BE11" s="1178">
        <v>25</v>
      </c>
      <c r="BF11" s="1178">
        <v>0.27000000000000457</v>
      </c>
      <c r="BG11" s="1178">
        <v>111</v>
      </c>
      <c r="BH11" s="1178">
        <v>56.4</v>
      </c>
      <c r="BI11" s="88">
        <f t="shared" si="25"/>
        <v>53.880399999999995</v>
      </c>
      <c r="BJ11" s="88">
        <f t="shared" si="6"/>
        <v>371.5068</v>
      </c>
      <c r="BK11" s="89">
        <f t="shared" si="26"/>
        <v>1.34701</v>
      </c>
      <c r="BL11" s="1182">
        <v>1920</v>
      </c>
      <c r="BM11" s="1177">
        <v>87.5</v>
      </c>
      <c r="BN11" s="1178">
        <v>18.649999999999999</v>
      </c>
      <c r="BO11" s="1178">
        <v>1</v>
      </c>
      <c r="BP11" s="1178">
        <v>95</v>
      </c>
      <c r="BQ11" s="1178">
        <v>50</v>
      </c>
      <c r="BR11" s="88">
        <f t="shared" si="27"/>
        <v>46.831099195710451</v>
      </c>
      <c r="BS11" s="88">
        <f t="shared" si="7"/>
        <v>306.25</v>
      </c>
      <c r="BT11" s="89">
        <f t="shared" si="28"/>
        <v>0.87339999999999995</v>
      </c>
      <c r="BU11" s="1182">
        <v>1480</v>
      </c>
      <c r="BV11" s="1177">
        <v>93.1</v>
      </c>
      <c r="BW11" s="1178">
        <v>21</v>
      </c>
      <c r="BX11" s="1178">
        <v>0.40000000000000946</v>
      </c>
      <c r="BY11" s="1178">
        <v>109</v>
      </c>
      <c r="BZ11" s="1178">
        <v>55.9</v>
      </c>
      <c r="CA11" s="88">
        <f t="shared" si="29"/>
        <v>53.114285714285707</v>
      </c>
      <c r="CB11" s="88">
        <f t="shared" si="8"/>
        <v>364.30029999999994</v>
      </c>
      <c r="CC11" s="89">
        <f t="shared" si="30"/>
        <v>1.1153999999999999</v>
      </c>
      <c r="CD11" s="1182">
        <v>1745</v>
      </c>
      <c r="CE11" s="1177">
        <v>82.3</v>
      </c>
      <c r="CF11" s="1178">
        <v>17.7</v>
      </c>
      <c r="CG11" s="1178">
        <v>0.68999999999999773</v>
      </c>
      <c r="CH11" s="1178">
        <v>99</v>
      </c>
      <c r="CI11" s="1178">
        <v>53.3</v>
      </c>
      <c r="CJ11" s="88">
        <f t="shared" si="31"/>
        <v>50.304519774011304</v>
      </c>
      <c r="CK11" s="88">
        <f t="shared" si="9"/>
        <v>307.06129999999996</v>
      </c>
      <c r="CL11" s="89">
        <f t="shared" si="32"/>
        <v>0.89039000000000001</v>
      </c>
      <c r="CM11" s="1182">
        <v>1808</v>
      </c>
      <c r="CN11" s="1177">
        <v>82.6</v>
      </c>
      <c r="CO11" s="1178">
        <v>17.899999999999999</v>
      </c>
      <c r="CP11" s="1178">
        <v>0.68999999999999773</v>
      </c>
      <c r="CQ11" s="1178">
        <v>98</v>
      </c>
      <c r="CR11" s="1178">
        <v>52</v>
      </c>
      <c r="CS11" s="88">
        <f t="shared" si="33"/>
        <v>48.998324022346367</v>
      </c>
      <c r="CT11" s="88">
        <f t="shared" si="10"/>
        <v>300.66399999999999</v>
      </c>
      <c r="CU11" s="89">
        <f t="shared" si="34"/>
        <v>0.87706999999999991</v>
      </c>
      <c r="CV11" s="1182">
        <v>1562</v>
      </c>
      <c r="CW11" s="1177">
        <v>89.7</v>
      </c>
      <c r="CX11" s="1178">
        <v>20</v>
      </c>
      <c r="CY11" s="1178">
        <v>0.69000000000000006</v>
      </c>
      <c r="CZ11" s="1178">
        <v>111</v>
      </c>
      <c r="DA11" s="1178">
        <v>55.6</v>
      </c>
      <c r="DB11" s="88">
        <f t="shared" si="35"/>
        <v>52.375</v>
      </c>
      <c r="DC11" s="88">
        <f t="shared" si="11"/>
        <v>349.11239999999998</v>
      </c>
      <c r="DD11" s="89">
        <f t="shared" si="36"/>
        <v>1.0474999999999999</v>
      </c>
      <c r="DE11" s="1182">
        <v>1740</v>
      </c>
    </row>
    <row r="12" spans="1:115" ht="15" x14ac:dyDescent="0.2">
      <c r="A12" s="96">
        <f t="shared" si="12"/>
        <v>24</v>
      </c>
      <c r="B12" s="1177">
        <v>88.7</v>
      </c>
      <c r="C12" s="1178">
        <v>26</v>
      </c>
      <c r="D12" s="1178">
        <v>0.60060060060060061</v>
      </c>
      <c r="E12" s="1178">
        <v>113</v>
      </c>
      <c r="F12" s="1178">
        <v>51.4</v>
      </c>
      <c r="G12" s="88">
        <f t="shared" si="13"/>
        <v>47.34615384615384</v>
      </c>
      <c r="H12" s="88">
        <f t="shared" si="0"/>
        <v>319.14259999999996</v>
      </c>
      <c r="I12" s="89">
        <f t="shared" si="14"/>
        <v>1.2309999999999999</v>
      </c>
      <c r="J12" s="1182">
        <v>1600</v>
      </c>
      <c r="K12" s="1177">
        <v>95.2</v>
      </c>
      <c r="L12" s="1178">
        <v>28</v>
      </c>
      <c r="M12" s="1178">
        <v>0.60060060060060061</v>
      </c>
      <c r="N12" s="1178">
        <v>113</v>
      </c>
      <c r="O12" s="1178">
        <v>58</v>
      </c>
      <c r="P12" s="88">
        <f t="shared" si="15"/>
        <v>54.448996428571427</v>
      </c>
      <c r="Q12" s="88">
        <f t="shared" ref="Q12:Q44" si="37">K12/100*7*O12</f>
        <v>386.51200000000006</v>
      </c>
      <c r="R12" s="89">
        <f t="shared" ref="R12:R44" si="38">(L12-L11)*O12/1000+L11*P11/1000</f>
        <v>1.5245718999999998</v>
      </c>
      <c r="S12" s="1182">
        <v>1760</v>
      </c>
      <c r="T12" s="1177">
        <v>89</v>
      </c>
      <c r="U12" s="1178">
        <v>24</v>
      </c>
      <c r="V12" s="1178">
        <v>0.5</v>
      </c>
      <c r="W12" s="1178">
        <v>108</v>
      </c>
      <c r="X12" s="1178">
        <v>54.7</v>
      </c>
      <c r="Y12" s="88">
        <f t="shared" si="17"/>
        <v>52.087499999999999</v>
      </c>
      <c r="Z12" s="88">
        <f t="shared" ref="Z12:Z44" si="39">T12/100*7*X12</f>
        <v>340.78100000000006</v>
      </c>
      <c r="AA12" s="89">
        <f t="shared" ref="AA12:AA44" si="40">(U12-U11)*X12/1000+U11*Y11/1000</f>
        <v>1.2501000000000002</v>
      </c>
      <c r="AB12" s="1182">
        <v>1995</v>
      </c>
      <c r="AC12" s="1177">
        <v>94</v>
      </c>
      <c r="AD12" s="1178">
        <v>27</v>
      </c>
      <c r="AE12" s="1178">
        <f>AE11+0.1</f>
        <v>0.4</v>
      </c>
      <c r="AF12" s="1178">
        <v>113</v>
      </c>
      <c r="AG12" s="1178">
        <v>57</v>
      </c>
      <c r="AH12" s="88">
        <f t="shared" si="19"/>
        <v>53</v>
      </c>
      <c r="AI12" s="88">
        <f t="shared" ref="AI12:AI44" si="41">AC12/100*7*AG12</f>
        <v>375.06</v>
      </c>
      <c r="AJ12" s="89">
        <f t="shared" ref="AJ12:AJ44" si="42">(AD12-AD11)*AG12/1000+AD11*AH11/1000</f>
        <v>1.431</v>
      </c>
      <c r="AK12" s="1182">
        <v>1760</v>
      </c>
      <c r="AL12" s="1177">
        <v>94.1</v>
      </c>
      <c r="AM12" s="1178">
        <v>26</v>
      </c>
      <c r="AN12" s="1178">
        <f>AN11+0.1</f>
        <v>0.4</v>
      </c>
      <c r="AO12" s="1178">
        <v>105</v>
      </c>
      <c r="AP12" s="1178">
        <v>54.6</v>
      </c>
      <c r="AQ12" s="88">
        <f t="shared" si="21"/>
        <v>51.303846153846152</v>
      </c>
      <c r="AR12" s="88">
        <f t="shared" ref="AR12:AR44" si="43">AL12/100*7*AP12</f>
        <v>359.65019999999998</v>
      </c>
      <c r="AS12" s="89">
        <f t="shared" ref="AS12:AS44" si="44">(AM12-AM11)*AP12/1000+AM11*AQ11/1000</f>
        <v>1.3338999999999999</v>
      </c>
      <c r="AT12" s="1182">
        <v>1535</v>
      </c>
      <c r="AU12" s="1177">
        <v>92.4</v>
      </c>
      <c r="AV12" s="1178">
        <v>26.9</v>
      </c>
      <c r="AW12" s="1178">
        <v>0.4</v>
      </c>
      <c r="AX12" s="1178">
        <v>104</v>
      </c>
      <c r="AY12" s="1178">
        <v>55.8</v>
      </c>
      <c r="AZ12" s="88">
        <f t="shared" si="23"/>
        <v>52.38884758364312</v>
      </c>
      <c r="BA12" s="88">
        <f t="shared" ref="BA12:BA44" si="45">AU12/100*7*AY12</f>
        <v>360.9144</v>
      </c>
      <c r="BB12" s="89">
        <f t="shared" ref="BB12:BB44" si="46">(AV12-AV11)*AY12/1000+AV11*AZ11/1000</f>
        <v>1.40926</v>
      </c>
      <c r="BC12" s="1182">
        <v>1882</v>
      </c>
      <c r="BD12" s="1177">
        <v>95.5</v>
      </c>
      <c r="BE12" s="1178">
        <v>31.6</v>
      </c>
      <c r="BF12" s="1178">
        <v>0.33999999999999775</v>
      </c>
      <c r="BG12" s="1178">
        <v>114</v>
      </c>
      <c r="BH12" s="1178">
        <v>57.5</v>
      </c>
      <c r="BI12" s="88">
        <f t="shared" si="25"/>
        <v>54.636392405063276</v>
      </c>
      <c r="BJ12" s="88">
        <f t="shared" ref="BJ12:BJ44" si="47">BD12/100*7*BH12</f>
        <v>384.38749999999999</v>
      </c>
      <c r="BK12" s="89">
        <f t="shared" ref="BK12:BK44" si="48">(BE12-BE11)*BH12/1000+BE11*BI11/1000</f>
        <v>1.7265099999999998</v>
      </c>
      <c r="BL12" s="1182">
        <v>1950</v>
      </c>
      <c r="BM12" s="1177">
        <v>91</v>
      </c>
      <c r="BN12" s="1178">
        <v>24.9</v>
      </c>
      <c r="BO12" s="1178">
        <v>1.2</v>
      </c>
      <c r="BP12" s="1178">
        <v>97</v>
      </c>
      <c r="BQ12" s="1178">
        <v>52</v>
      </c>
      <c r="BR12" s="88">
        <f t="shared" si="27"/>
        <v>48.128514056224901</v>
      </c>
      <c r="BS12" s="88">
        <f t="shared" ref="BS12:BS44" si="49">BM12/100*7*BQ12</f>
        <v>331.24</v>
      </c>
      <c r="BT12" s="89">
        <f t="shared" ref="BT12:BT44" si="50">(BN12-BN11)*BQ12/1000+BN11*BR11/1000</f>
        <v>1.1983999999999999</v>
      </c>
      <c r="BU12" s="1182">
        <v>1510</v>
      </c>
      <c r="BV12" s="1177">
        <v>95.4</v>
      </c>
      <c r="BW12" s="1178">
        <v>27</v>
      </c>
      <c r="BX12" s="1178">
        <v>0.50000000000000044</v>
      </c>
      <c r="BY12" s="1178">
        <v>111</v>
      </c>
      <c r="BZ12" s="1178">
        <v>57.3</v>
      </c>
      <c r="CA12" s="88">
        <f t="shared" si="29"/>
        <v>54.044444444444437</v>
      </c>
      <c r="CB12" s="88">
        <f t="shared" ref="CB12:CB44" si="51">BV12/100*7*BZ12</f>
        <v>382.64940000000001</v>
      </c>
      <c r="CC12" s="89">
        <f t="shared" ref="CC12:CC44" si="52">(BW12-BW11)*BZ12/1000+BW11*CA11/1000</f>
        <v>1.4591999999999998</v>
      </c>
      <c r="CD12" s="1182">
        <v>1765</v>
      </c>
      <c r="CE12" s="1177">
        <v>87.9</v>
      </c>
      <c r="CF12" s="1178">
        <v>23.9</v>
      </c>
      <c r="CG12" s="1178">
        <v>0.82000000000000461</v>
      </c>
      <c r="CH12" s="1178">
        <v>100</v>
      </c>
      <c r="CI12" s="1178">
        <v>55.3</v>
      </c>
      <c r="CJ12" s="88">
        <f t="shared" si="31"/>
        <v>51.60041841004184</v>
      </c>
      <c r="CK12" s="88">
        <f t="shared" ref="CK12:CK44" si="53">CE12/100*7*CI12</f>
        <v>340.26089999999999</v>
      </c>
      <c r="CL12" s="89">
        <f t="shared" ref="CL12:CL44" si="54">(CF12-CF11)*CI12/1000+CF11*CJ11/1000</f>
        <v>1.23325</v>
      </c>
      <c r="CM12" s="1182">
        <v>1846</v>
      </c>
      <c r="CN12" s="1177">
        <v>88.2</v>
      </c>
      <c r="CO12" s="1178">
        <v>24</v>
      </c>
      <c r="CP12" s="1178">
        <v>0.82000000000000461</v>
      </c>
      <c r="CQ12" s="1178">
        <v>100</v>
      </c>
      <c r="CR12" s="1178">
        <v>54</v>
      </c>
      <c r="CS12" s="88">
        <f t="shared" si="33"/>
        <v>50.26958333333333</v>
      </c>
      <c r="CT12" s="88">
        <f t="shared" ref="CT12:CT44" si="55">CN12/100*7*CR12</f>
        <v>333.39600000000002</v>
      </c>
      <c r="CU12" s="89">
        <f t="shared" ref="CU12:CU44" si="56">(CO12-CO11)*CR12/1000+CO11*CS11/1000</f>
        <v>1.2064699999999999</v>
      </c>
      <c r="CV12" s="1182">
        <v>1598</v>
      </c>
      <c r="CW12" s="1177">
        <v>93</v>
      </c>
      <c r="CX12" s="1178">
        <v>27</v>
      </c>
      <c r="CY12" s="1178">
        <v>0.82000000000000006</v>
      </c>
      <c r="CZ12" s="1178">
        <v>112</v>
      </c>
      <c r="DA12" s="1178">
        <v>56.9</v>
      </c>
      <c r="DB12" s="88">
        <f t="shared" si="35"/>
        <v>53.548148148148151</v>
      </c>
      <c r="DC12" s="88">
        <f t="shared" ref="DC12:DC44" si="57">CW12/100*7*DA12</f>
        <v>370.41900000000004</v>
      </c>
      <c r="DD12" s="89">
        <f t="shared" ref="DD12:DD44" si="58">(CX12-CX11)*DA12/1000+CX11*DB11/1000</f>
        <v>1.4458000000000002</v>
      </c>
      <c r="DE12" s="1182">
        <v>1760</v>
      </c>
    </row>
    <row r="13" spans="1:115" ht="15" x14ac:dyDescent="0.2">
      <c r="A13" s="96">
        <f t="shared" si="12"/>
        <v>25</v>
      </c>
      <c r="B13" s="1177">
        <v>89.4</v>
      </c>
      <c r="C13" s="1178">
        <v>32</v>
      </c>
      <c r="D13" s="1178">
        <v>0.70070070070070067</v>
      </c>
      <c r="E13" s="1178">
        <v>115</v>
      </c>
      <c r="F13" s="1178">
        <v>53.3</v>
      </c>
      <c r="G13" s="88">
        <f t="shared" si="13"/>
        <v>48.462499999999991</v>
      </c>
      <c r="H13" s="88">
        <f t="shared" si="0"/>
        <v>333.5514</v>
      </c>
      <c r="I13" s="89">
        <f t="shared" si="14"/>
        <v>1.5507999999999997</v>
      </c>
      <c r="J13" s="1182">
        <v>1615</v>
      </c>
      <c r="K13" s="1177">
        <v>96</v>
      </c>
      <c r="L13" s="1178">
        <v>35</v>
      </c>
      <c r="M13" s="1178">
        <v>0.70070070070070067</v>
      </c>
      <c r="N13" s="1178">
        <v>114</v>
      </c>
      <c r="O13" s="1178">
        <v>59.3</v>
      </c>
      <c r="P13" s="88">
        <f t="shared" si="15"/>
        <v>55.419197142857136</v>
      </c>
      <c r="Q13" s="88">
        <f t="shared" si="37"/>
        <v>398.49599999999998</v>
      </c>
      <c r="R13" s="89">
        <f t="shared" si="38"/>
        <v>1.9396719</v>
      </c>
      <c r="S13" s="1182">
        <v>1780</v>
      </c>
      <c r="T13" s="1177">
        <v>92</v>
      </c>
      <c r="U13" s="1178">
        <v>30</v>
      </c>
      <c r="V13" s="1178">
        <v>0.6</v>
      </c>
      <c r="W13" s="1178">
        <v>112</v>
      </c>
      <c r="X13" s="1178">
        <v>55.7</v>
      </c>
      <c r="Y13" s="88">
        <f t="shared" si="17"/>
        <v>52.809999999999995</v>
      </c>
      <c r="Z13" s="88">
        <f t="shared" si="39"/>
        <v>358.70800000000003</v>
      </c>
      <c r="AA13" s="89">
        <f t="shared" si="40"/>
        <v>1.5843</v>
      </c>
      <c r="AB13" s="1182">
        <v>2005</v>
      </c>
      <c r="AC13" s="1177">
        <v>95</v>
      </c>
      <c r="AD13" s="1178">
        <v>34</v>
      </c>
      <c r="AE13" s="1178">
        <f>AE12</f>
        <v>0.4</v>
      </c>
      <c r="AF13" s="1178">
        <v>114</v>
      </c>
      <c r="AG13" s="1178">
        <v>59</v>
      </c>
      <c r="AH13" s="88">
        <f t="shared" si="19"/>
        <v>54.235294117647058</v>
      </c>
      <c r="AI13" s="88">
        <f t="shared" si="41"/>
        <v>392.34999999999997</v>
      </c>
      <c r="AJ13" s="89">
        <f t="shared" si="42"/>
        <v>1.8440000000000001</v>
      </c>
      <c r="AK13" s="1182">
        <v>1772</v>
      </c>
      <c r="AL13" s="1177">
        <v>94.9</v>
      </c>
      <c r="AM13" s="1178">
        <v>33</v>
      </c>
      <c r="AN13" s="1178">
        <f>AN12</f>
        <v>0.4</v>
      </c>
      <c r="AO13" s="1178">
        <v>106</v>
      </c>
      <c r="AP13" s="1178">
        <v>56</v>
      </c>
      <c r="AQ13" s="88">
        <f t="shared" si="21"/>
        <v>52.3</v>
      </c>
      <c r="AR13" s="88">
        <f t="shared" si="43"/>
        <v>372.00800000000004</v>
      </c>
      <c r="AS13" s="89">
        <f t="shared" si="44"/>
        <v>1.7258999999999998</v>
      </c>
      <c r="AT13" s="1182">
        <v>1550</v>
      </c>
      <c r="AU13" s="1177">
        <v>93.7</v>
      </c>
      <c r="AV13" s="1178">
        <v>33.4</v>
      </c>
      <c r="AW13" s="1178">
        <v>0.5</v>
      </c>
      <c r="AX13" s="1178">
        <v>106</v>
      </c>
      <c r="AY13" s="1178">
        <v>57.2</v>
      </c>
      <c r="AZ13" s="88">
        <f t="shared" si="23"/>
        <v>53.325149700598793</v>
      </c>
      <c r="BA13" s="88">
        <f t="shared" si="45"/>
        <v>375.1748</v>
      </c>
      <c r="BB13" s="89">
        <f t="shared" si="46"/>
        <v>1.7810599999999996</v>
      </c>
      <c r="BC13" s="1182">
        <v>1897</v>
      </c>
      <c r="BD13" s="1177">
        <v>96.6</v>
      </c>
      <c r="BE13" s="1178">
        <v>38.299999999999997</v>
      </c>
      <c r="BF13" s="1178">
        <v>0.4</v>
      </c>
      <c r="BG13" s="1178">
        <v>115</v>
      </c>
      <c r="BH13" s="1178">
        <v>58.4</v>
      </c>
      <c r="BI13" s="88">
        <f t="shared" si="25"/>
        <v>55.294778067885105</v>
      </c>
      <c r="BJ13" s="88">
        <f t="shared" si="47"/>
        <v>394.90079999999995</v>
      </c>
      <c r="BK13" s="89">
        <f t="shared" si="48"/>
        <v>2.1177899999999994</v>
      </c>
      <c r="BL13" s="1182">
        <v>1980</v>
      </c>
      <c r="BM13" s="1177">
        <v>93</v>
      </c>
      <c r="BN13" s="1178">
        <v>31.35</v>
      </c>
      <c r="BO13" s="1178">
        <v>1.4</v>
      </c>
      <c r="BP13" s="1178">
        <v>98.5</v>
      </c>
      <c r="BQ13" s="1178">
        <v>54</v>
      </c>
      <c r="BR13" s="88">
        <f t="shared" si="27"/>
        <v>49.336523125996806</v>
      </c>
      <c r="BS13" s="88">
        <f t="shared" si="49"/>
        <v>351.54</v>
      </c>
      <c r="BT13" s="89">
        <f t="shared" si="50"/>
        <v>1.5467</v>
      </c>
      <c r="BU13" s="1182">
        <v>1540</v>
      </c>
      <c r="BV13" s="1177">
        <v>95.9</v>
      </c>
      <c r="BW13" s="1178">
        <v>34</v>
      </c>
      <c r="BX13" s="1178">
        <v>0.59999999999999143</v>
      </c>
      <c r="BY13" s="1178">
        <v>112</v>
      </c>
      <c r="BZ13" s="1178">
        <v>58.5</v>
      </c>
      <c r="CA13" s="88">
        <f t="shared" si="29"/>
        <v>54.961764705882352</v>
      </c>
      <c r="CB13" s="88">
        <f t="shared" si="51"/>
        <v>392.71050000000008</v>
      </c>
      <c r="CC13" s="89">
        <f t="shared" si="52"/>
        <v>1.8686999999999998</v>
      </c>
      <c r="CD13" s="1182">
        <v>1780</v>
      </c>
      <c r="CE13" s="1177">
        <v>91.1</v>
      </c>
      <c r="CF13" s="1178">
        <v>30.2</v>
      </c>
      <c r="CG13" s="1178">
        <v>0.95</v>
      </c>
      <c r="CH13" s="1178">
        <v>102</v>
      </c>
      <c r="CI13" s="1178">
        <v>57</v>
      </c>
      <c r="CJ13" s="88">
        <f t="shared" si="31"/>
        <v>52.726821192052981</v>
      </c>
      <c r="CK13" s="88">
        <f t="shared" si="53"/>
        <v>363.48899999999998</v>
      </c>
      <c r="CL13" s="89">
        <f t="shared" si="54"/>
        <v>1.5923499999999999</v>
      </c>
      <c r="CM13" s="1182">
        <v>1874</v>
      </c>
      <c r="CN13" s="1177">
        <v>91.4</v>
      </c>
      <c r="CO13" s="1178">
        <v>30.4</v>
      </c>
      <c r="CP13" s="1178">
        <v>0.95</v>
      </c>
      <c r="CQ13" s="1178">
        <v>102</v>
      </c>
      <c r="CR13" s="1178">
        <v>55.7</v>
      </c>
      <c r="CS13" s="88">
        <f t="shared" si="33"/>
        <v>51.412828947368411</v>
      </c>
      <c r="CT13" s="88">
        <f t="shared" si="55"/>
        <v>356.36860000000007</v>
      </c>
      <c r="CU13" s="89">
        <f t="shared" si="56"/>
        <v>1.5629499999999996</v>
      </c>
      <c r="CV13" s="1182">
        <v>1628</v>
      </c>
      <c r="CW13" s="1177">
        <v>94</v>
      </c>
      <c r="CX13" s="1178">
        <v>33</v>
      </c>
      <c r="CY13" s="1178">
        <v>0.95000000000000007</v>
      </c>
      <c r="CZ13" s="1178">
        <v>113</v>
      </c>
      <c r="DA13" s="1178">
        <v>58.2</v>
      </c>
      <c r="DB13" s="88">
        <f t="shared" si="35"/>
        <v>54.393939393939405</v>
      </c>
      <c r="DC13" s="88">
        <f t="shared" si="57"/>
        <v>382.95600000000002</v>
      </c>
      <c r="DD13" s="89">
        <f t="shared" si="58"/>
        <v>1.7950000000000004</v>
      </c>
      <c r="DE13" s="1182">
        <v>1772</v>
      </c>
    </row>
    <row r="14" spans="1:115" ht="15" x14ac:dyDescent="0.2">
      <c r="A14" s="96">
        <f t="shared" si="12"/>
        <v>26</v>
      </c>
      <c r="B14" s="1177">
        <v>89.9</v>
      </c>
      <c r="C14" s="1178">
        <v>38</v>
      </c>
      <c r="D14" s="1178">
        <v>0.80080080080080074</v>
      </c>
      <c r="E14" s="1178">
        <v>116</v>
      </c>
      <c r="F14" s="1178">
        <v>55</v>
      </c>
      <c r="G14" s="88">
        <f t="shared" si="13"/>
        <v>49.494736842105254</v>
      </c>
      <c r="H14" s="88">
        <f t="shared" si="0"/>
        <v>346.11500000000001</v>
      </c>
      <c r="I14" s="89">
        <f t="shared" si="14"/>
        <v>1.8807999999999998</v>
      </c>
      <c r="J14" s="1182">
        <v>1630</v>
      </c>
      <c r="K14" s="1177">
        <v>96</v>
      </c>
      <c r="L14" s="1178">
        <v>41</v>
      </c>
      <c r="M14" s="1178">
        <v>0.80080080080080074</v>
      </c>
      <c r="N14" s="1178">
        <v>116</v>
      </c>
      <c r="O14" s="1178">
        <v>60.3</v>
      </c>
      <c r="P14" s="88">
        <f t="shared" si="15"/>
        <v>56.133460975609751</v>
      </c>
      <c r="Q14" s="88">
        <f t="shared" si="37"/>
        <v>405.21599999999995</v>
      </c>
      <c r="R14" s="89">
        <f t="shared" si="38"/>
        <v>2.3014718999999997</v>
      </c>
      <c r="S14" s="1182">
        <v>1795</v>
      </c>
      <c r="T14" s="1177">
        <v>93</v>
      </c>
      <c r="U14" s="1178">
        <v>37</v>
      </c>
      <c r="V14" s="1178">
        <v>0.7</v>
      </c>
      <c r="W14" s="1178">
        <v>114</v>
      </c>
      <c r="X14" s="1178">
        <v>56.6</v>
      </c>
      <c r="Y14" s="88">
        <f t="shared" si="17"/>
        <v>53.527027027027025</v>
      </c>
      <c r="Z14" s="88">
        <f t="shared" si="39"/>
        <v>368.46600000000007</v>
      </c>
      <c r="AA14" s="89">
        <f t="shared" si="40"/>
        <v>1.9805000000000001</v>
      </c>
      <c r="AB14" s="1182">
        <v>2015</v>
      </c>
      <c r="AC14" s="1177">
        <v>95.3</v>
      </c>
      <c r="AD14" s="1178">
        <v>41</v>
      </c>
      <c r="AE14" s="1178">
        <f>AE13+0.1</f>
        <v>0.5</v>
      </c>
      <c r="AF14" s="1178">
        <v>114</v>
      </c>
      <c r="AG14" s="1178">
        <v>60</v>
      </c>
      <c r="AH14" s="88">
        <f t="shared" si="19"/>
        <v>55.219512195121951</v>
      </c>
      <c r="AI14" s="88">
        <f t="shared" si="41"/>
        <v>400.26</v>
      </c>
      <c r="AJ14" s="89">
        <f t="shared" si="42"/>
        <v>2.2640000000000002</v>
      </c>
      <c r="AK14" s="1182">
        <v>1784</v>
      </c>
      <c r="AL14" s="1177">
        <v>95.3</v>
      </c>
      <c r="AM14" s="1178">
        <v>40</v>
      </c>
      <c r="AN14" s="1178">
        <f>AN13+0.1</f>
        <v>0.5</v>
      </c>
      <c r="AO14" s="1178">
        <v>106</v>
      </c>
      <c r="AP14" s="1178">
        <v>57.1</v>
      </c>
      <c r="AQ14" s="88">
        <f t="shared" si="21"/>
        <v>53.139999999999993</v>
      </c>
      <c r="AR14" s="88">
        <f t="shared" si="43"/>
        <v>380.91409999999996</v>
      </c>
      <c r="AS14" s="89">
        <f t="shared" si="44"/>
        <v>2.1255999999999999</v>
      </c>
      <c r="AT14" s="1182">
        <v>1564</v>
      </c>
      <c r="AU14" s="1177">
        <v>94.3</v>
      </c>
      <c r="AV14" s="1178">
        <v>40</v>
      </c>
      <c r="AW14" s="1178">
        <v>0.59999999999998865</v>
      </c>
      <c r="AX14" s="1178">
        <v>108</v>
      </c>
      <c r="AY14" s="1178">
        <v>58.4</v>
      </c>
      <c r="AZ14" s="88">
        <f t="shared" si="23"/>
        <v>54.162499999999994</v>
      </c>
      <c r="BA14" s="88">
        <f t="shared" si="45"/>
        <v>385.4984</v>
      </c>
      <c r="BB14" s="89">
        <f t="shared" si="46"/>
        <v>2.1664999999999996</v>
      </c>
      <c r="BC14" s="1182">
        <v>1908</v>
      </c>
      <c r="BD14" s="1177">
        <v>96.4</v>
      </c>
      <c r="BE14" s="1178">
        <v>45</v>
      </c>
      <c r="BF14" s="1178">
        <v>0.46000000000000224</v>
      </c>
      <c r="BG14" s="1178">
        <v>116</v>
      </c>
      <c r="BH14" s="1178">
        <v>59.2</v>
      </c>
      <c r="BI14" s="88">
        <f t="shared" si="25"/>
        <v>55.876222222222218</v>
      </c>
      <c r="BJ14" s="88">
        <f t="shared" si="47"/>
        <v>399.48160000000001</v>
      </c>
      <c r="BK14" s="89">
        <f t="shared" si="48"/>
        <v>2.5144299999999995</v>
      </c>
      <c r="BL14" s="1182">
        <v>2000</v>
      </c>
      <c r="BM14" s="1177">
        <v>94</v>
      </c>
      <c r="BN14" s="1178">
        <v>37.85</v>
      </c>
      <c r="BO14" s="1178">
        <v>1.5</v>
      </c>
      <c r="BP14" s="1178">
        <v>100</v>
      </c>
      <c r="BQ14" s="1178">
        <v>56</v>
      </c>
      <c r="BR14" s="88">
        <f t="shared" si="27"/>
        <v>50.480845442536321</v>
      </c>
      <c r="BS14" s="88">
        <f t="shared" si="49"/>
        <v>368.48</v>
      </c>
      <c r="BT14" s="89">
        <f t="shared" si="50"/>
        <v>1.9106999999999998</v>
      </c>
      <c r="BU14" s="1182">
        <v>1565</v>
      </c>
      <c r="BV14" s="1177">
        <v>96.1</v>
      </c>
      <c r="BW14" s="1178">
        <v>41</v>
      </c>
      <c r="BX14" s="1178">
        <v>0.70000000000000517</v>
      </c>
      <c r="BY14" s="1178">
        <v>113</v>
      </c>
      <c r="BZ14" s="1178">
        <v>59.4</v>
      </c>
      <c r="CA14" s="88">
        <f t="shared" si="29"/>
        <v>55.719512195121951</v>
      </c>
      <c r="CB14" s="88">
        <f t="shared" si="51"/>
        <v>399.58379999999994</v>
      </c>
      <c r="CC14" s="89">
        <f t="shared" si="52"/>
        <v>2.2845</v>
      </c>
      <c r="CD14" s="1182">
        <v>1795</v>
      </c>
      <c r="CE14" s="1177">
        <v>92.9</v>
      </c>
      <c r="CF14" s="1178">
        <v>36.700000000000003</v>
      </c>
      <c r="CG14" s="1178">
        <v>1.0799999999999954</v>
      </c>
      <c r="CH14" s="1178">
        <v>104</v>
      </c>
      <c r="CI14" s="1178">
        <v>58.2</v>
      </c>
      <c r="CJ14" s="88">
        <f t="shared" si="31"/>
        <v>53.696185286103542</v>
      </c>
      <c r="CK14" s="88">
        <f t="shared" si="53"/>
        <v>378.47460000000001</v>
      </c>
      <c r="CL14" s="89">
        <f t="shared" si="54"/>
        <v>1.9706500000000002</v>
      </c>
      <c r="CM14" s="1182">
        <v>1893</v>
      </c>
      <c r="CN14" s="1177">
        <v>93.2</v>
      </c>
      <c r="CO14" s="1178">
        <v>36.9</v>
      </c>
      <c r="CP14" s="1178">
        <v>1.0799999999999954</v>
      </c>
      <c r="CQ14" s="1178">
        <v>103</v>
      </c>
      <c r="CR14" s="1178">
        <v>56.9</v>
      </c>
      <c r="CS14" s="88">
        <f t="shared" si="33"/>
        <v>52.379403794037927</v>
      </c>
      <c r="CT14" s="88">
        <f t="shared" si="55"/>
        <v>371.21559999999999</v>
      </c>
      <c r="CU14" s="89">
        <f t="shared" si="56"/>
        <v>1.9327999999999996</v>
      </c>
      <c r="CV14" s="1182">
        <v>1648</v>
      </c>
      <c r="CW14" s="1177">
        <v>94.7</v>
      </c>
      <c r="CX14" s="1178">
        <v>40</v>
      </c>
      <c r="CY14" s="1178">
        <v>1.08</v>
      </c>
      <c r="CZ14" s="1178">
        <v>114</v>
      </c>
      <c r="DA14" s="1178">
        <v>59.1</v>
      </c>
      <c r="DB14" s="88">
        <f t="shared" si="35"/>
        <v>55.217500000000015</v>
      </c>
      <c r="DC14" s="88">
        <f t="shared" si="57"/>
        <v>391.77390000000003</v>
      </c>
      <c r="DD14" s="89">
        <f t="shared" si="58"/>
        <v>2.2087000000000003</v>
      </c>
      <c r="DE14" s="1182">
        <v>1784</v>
      </c>
    </row>
    <row r="15" spans="1:115" ht="15" x14ac:dyDescent="0.2">
      <c r="A15" s="96">
        <f t="shared" si="12"/>
        <v>27</v>
      </c>
      <c r="B15" s="1177">
        <v>90.4</v>
      </c>
      <c r="C15" s="1178">
        <v>44</v>
      </c>
      <c r="D15" s="1178">
        <v>0.90090090090090091</v>
      </c>
      <c r="E15" s="1178">
        <v>117</v>
      </c>
      <c r="F15" s="1178">
        <v>56.3</v>
      </c>
      <c r="G15" s="88">
        <f t="shared" si="13"/>
        <v>50.422727272727272</v>
      </c>
      <c r="H15" s="88">
        <f t="shared" si="0"/>
        <v>356.26639999999998</v>
      </c>
      <c r="I15" s="89">
        <f t="shared" si="14"/>
        <v>2.2185999999999999</v>
      </c>
      <c r="J15" s="1182">
        <v>1640</v>
      </c>
      <c r="K15" s="1177">
        <v>96</v>
      </c>
      <c r="L15" s="1178">
        <v>48</v>
      </c>
      <c r="M15" s="1178">
        <v>0.90090090090090091</v>
      </c>
      <c r="N15" s="1178">
        <v>117</v>
      </c>
      <c r="O15" s="1178">
        <v>61.2</v>
      </c>
      <c r="P15" s="88">
        <f t="shared" si="15"/>
        <v>56.872331249999988</v>
      </c>
      <c r="Q15" s="88">
        <f t="shared" si="37"/>
        <v>411.26400000000001</v>
      </c>
      <c r="R15" s="89">
        <f t="shared" si="38"/>
        <v>2.7298718999999996</v>
      </c>
      <c r="S15" s="1182">
        <v>1805</v>
      </c>
      <c r="T15" s="1177">
        <v>94</v>
      </c>
      <c r="U15" s="1178">
        <v>43</v>
      </c>
      <c r="V15" s="1178">
        <v>0.8</v>
      </c>
      <c r="W15" s="1178">
        <v>116</v>
      </c>
      <c r="X15" s="1178">
        <v>57.3</v>
      </c>
      <c r="Y15" s="88">
        <f t="shared" si="17"/>
        <v>54.053488372093021</v>
      </c>
      <c r="Z15" s="88">
        <f t="shared" si="39"/>
        <v>377.03399999999999</v>
      </c>
      <c r="AA15" s="89">
        <f t="shared" si="40"/>
        <v>2.3243</v>
      </c>
      <c r="AB15" s="1182">
        <v>2025</v>
      </c>
      <c r="AC15" s="1177">
        <v>95.5</v>
      </c>
      <c r="AD15" s="1178">
        <v>47</v>
      </c>
      <c r="AE15" s="1178">
        <f>AE14+0.1</f>
        <v>0.6</v>
      </c>
      <c r="AF15" s="1178">
        <v>114</v>
      </c>
      <c r="AG15" s="1178">
        <v>60.6</v>
      </c>
      <c r="AH15" s="88">
        <f t="shared" si="19"/>
        <v>55.9063829787234</v>
      </c>
      <c r="AI15" s="88">
        <f t="shared" si="41"/>
        <v>405.11099999999999</v>
      </c>
      <c r="AJ15" s="89">
        <f t="shared" si="42"/>
        <v>2.6275999999999997</v>
      </c>
      <c r="AK15" s="1182">
        <v>1796</v>
      </c>
      <c r="AL15" s="1177">
        <v>95.6</v>
      </c>
      <c r="AM15" s="1178">
        <v>46</v>
      </c>
      <c r="AN15" s="1178">
        <f>AN14+0.1</f>
        <v>0.6</v>
      </c>
      <c r="AO15" s="1178">
        <v>107</v>
      </c>
      <c r="AP15" s="1178">
        <v>58</v>
      </c>
      <c r="AQ15" s="88">
        <f t="shared" si="21"/>
        <v>53.77391304347826</v>
      </c>
      <c r="AR15" s="88">
        <f t="shared" si="43"/>
        <v>388.13600000000002</v>
      </c>
      <c r="AS15" s="89">
        <f t="shared" si="44"/>
        <v>2.4735999999999998</v>
      </c>
      <c r="AT15" s="1182">
        <v>1577</v>
      </c>
      <c r="AU15" s="1177">
        <v>94.7</v>
      </c>
      <c r="AV15" s="1178">
        <v>46.6</v>
      </c>
      <c r="AW15" s="1178">
        <v>0.70000000000000007</v>
      </c>
      <c r="AX15" s="1178">
        <v>110</v>
      </c>
      <c r="AY15" s="1178">
        <v>59.2</v>
      </c>
      <c r="AZ15" s="88">
        <f t="shared" si="23"/>
        <v>54.875965665236052</v>
      </c>
      <c r="BA15" s="88">
        <f t="shared" si="45"/>
        <v>392.43680000000006</v>
      </c>
      <c r="BB15" s="89">
        <f t="shared" si="46"/>
        <v>2.55722</v>
      </c>
      <c r="BC15" s="1182">
        <v>1914</v>
      </c>
      <c r="BD15" s="1177">
        <v>96.6</v>
      </c>
      <c r="BE15" s="1178">
        <v>51.8</v>
      </c>
      <c r="BF15" s="1178">
        <v>0.5</v>
      </c>
      <c r="BG15" s="1178">
        <v>116</v>
      </c>
      <c r="BH15" s="1178">
        <v>59.9</v>
      </c>
      <c r="BI15" s="88">
        <f t="shared" si="25"/>
        <v>56.404440154440152</v>
      </c>
      <c r="BJ15" s="88">
        <f t="shared" si="47"/>
        <v>405.04379999999998</v>
      </c>
      <c r="BK15" s="89">
        <f t="shared" si="48"/>
        <v>2.9217499999999998</v>
      </c>
      <c r="BL15" s="1182">
        <v>2010</v>
      </c>
      <c r="BM15" s="1177">
        <v>95</v>
      </c>
      <c r="BN15" s="1178">
        <v>44.400000000000006</v>
      </c>
      <c r="BO15" s="1178">
        <v>1.6</v>
      </c>
      <c r="BP15" s="1178">
        <v>101</v>
      </c>
      <c r="BQ15" s="1178">
        <v>57</v>
      </c>
      <c r="BR15" s="88">
        <f t="shared" si="27"/>
        <v>51.442567567567565</v>
      </c>
      <c r="BS15" s="88">
        <f t="shared" si="49"/>
        <v>379.04999999999995</v>
      </c>
      <c r="BT15" s="89">
        <f t="shared" si="50"/>
        <v>2.2840500000000001</v>
      </c>
      <c r="BU15" s="1182">
        <v>1580</v>
      </c>
      <c r="BV15" s="1177">
        <v>96.199999999999989</v>
      </c>
      <c r="BW15" s="1178">
        <v>47</v>
      </c>
      <c r="BX15" s="1178">
        <v>0.79999999999999616</v>
      </c>
      <c r="BY15" s="1178">
        <v>114</v>
      </c>
      <c r="BZ15" s="1178">
        <v>60.2</v>
      </c>
      <c r="CA15" s="88">
        <f t="shared" si="29"/>
        <v>56.291489361702126</v>
      </c>
      <c r="CB15" s="88">
        <f t="shared" si="51"/>
        <v>405.38679999999994</v>
      </c>
      <c r="CC15" s="89">
        <f t="shared" si="52"/>
        <v>2.6457000000000002</v>
      </c>
      <c r="CD15" s="1182">
        <v>1805</v>
      </c>
      <c r="CE15" s="1177">
        <v>94</v>
      </c>
      <c r="CF15" s="1178">
        <v>43.2</v>
      </c>
      <c r="CG15" s="1178">
        <v>1.2100000000000022</v>
      </c>
      <c r="CH15" s="1178">
        <v>106</v>
      </c>
      <c r="CI15" s="1178">
        <v>59.3</v>
      </c>
      <c r="CJ15" s="88">
        <f t="shared" si="31"/>
        <v>54.539351851851848</v>
      </c>
      <c r="CK15" s="88">
        <f t="shared" si="53"/>
        <v>390.19399999999996</v>
      </c>
      <c r="CL15" s="89">
        <f t="shared" si="54"/>
        <v>2.3561000000000001</v>
      </c>
      <c r="CM15" s="1182">
        <v>1906</v>
      </c>
      <c r="CN15" s="1177">
        <v>94.3</v>
      </c>
      <c r="CO15" s="1178">
        <v>43.5</v>
      </c>
      <c r="CP15" s="1178">
        <v>1.2100000000000022</v>
      </c>
      <c r="CQ15" s="1178">
        <v>104</v>
      </c>
      <c r="CR15" s="1178">
        <v>58</v>
      </c>
      <c r="CS15" s="88">
        <f t="shared" si="33"/>
        <v>53.232183908045968</v>
      </c>
      <c r="CT15" s="88">
        <f t="shared" si="55"/>
        <v>382.858</v>
      </c>
      <c r="CU15" s="89">
        <f t="shared" si="56"/>
        <v>2.3155999999999994</v>
      </c>
      <c r="CV15" s="1182">
        <v>1665</v>
      </c>
      <c r="CW15" s="1177">
        <v>95</v>
      </c>
      <c r="CX15" s="1178">
        <v>47</v>
      </c>
      <c r="CY15" s="1178">
        <v>1.21</v>
      </c>
      <c r="CZ15" s="1178">
        <v>114</v>
      </c>
      <c r="DA15" s="1178">
        <v>59.7</v>
      </c>
      <c r="DB15" s="88">
        <f t="shared" si="35"/>
        <v>55.885106382978741</v>
      </c>
      <c r="DC15" s="88">
        <f t="shared" si="57"/>
        <v>397.005</v>
      </c>
      <c r="DD15" s="89">
        <f t="shared" si="58"/>
        <v>2.6266000000000007</v>
      </c>
      <c r="DE15" s="1182">
        <v>1796</v>
      </c>
    </row>
    <row r="16" spans="1:115" ht="15" x14ac:dyDescent="0.2">
      <c r="A16" s="96">
        <f t="shared" si="12"/>
        <v>28</v>
      </c>
      <c r="B16" s="1177">
        <v>90.5</v>
      </c>
      <c r="C16" s="1178">
        <v>51</v>
      </c>
      <c r="D16" s="1178">
        <v>1.0010010010010011</v>
      </c>
      <c r="E16" s="1178">
        <v>117</v>
      </c>
      <c r="F16" s="1178">
        <v>57.3</v>
      </c>
      <c r="G16" s="88">
        <f t="shared" si="13"/>
        <v>51.366666666666667</v>
      </c>
      <c r="H16" s="88">
        <f t="shared" si="0"/>
        <v>362.99549999999999</v>
      </c>
      <c r="I16" s="89">
        <f t="shared" si="14"/>
        <v>2.6196999999999999</v>
      </c>
      <c r="J16" s="1182">
        <v>1650</v>
      </c>
      <c r="K16" s="1177">
        <v>95.9</v>
      </c>
      <c r="L16" s="1178">
        <v>55</v>
      </c>
      <c r="M16" s="1178">
        <v>1.0010010010010011</v>
      </c>
      <c r="N16" s="1178">
        <v>117</v>
      </c>
      <c r="O16" s="1178">
        <v>61.8</v>
      </c>
      <c r="P16" s="88">
        <f t="shared" si="15"/>
        <v>57.49948909090908</v>
      </c>
      <c r="Q16" s="88">
        <f t="shared" si="37"/>
        <v>414.86340000000001</v>
      </c>
      <c r="R16" s="89">
        <f t="shared" si="38"/>
        <v>3.162471899999999</v>
      </c>
      <c r="S16" s="1182">
        <v>1815</v>
      </c>
      <c r="T16" s="1177">
        <v>94</v>
      </c>
      <c r="U16" s="1178">
        <v>50</v>
      </c>
      <c r="V16" s="1178">
        <v>0.9</v>
      </c>
      <c r="W16" s="1178">
        <v>118</v>
      </c>
      <c r="X16" s="1178">
        <v>58</v>
      </c>
      <c r="Y16" s="88">
        <f t="shared" si="17"/>
        <v>54.605999999999995</v>
      </c>
      <c r="Z16" s="88">
        <f t="shared" si="39"/>
        <v>381.64</v>
      </c>
      <c r="AA16" s="89">
        <f t="shared" si="40"/>
        <v>2.7302999999999997</v>
      </c>
      <c r="AB16" s="1182">
        <v>2035</v>
      </c>
      <c r="AC16" s="1177">
        <v>95.8</v>
      </c>
      <c r="AD16" s="1178">
        <v>54</v>
      </c>
      <c r="AE16" s="1178">
        <f>AE15</f>
        <v>0.6</v>
      </c>
      <c r="AF16" s="1178">
        <v>114</v>
      </c>
      <c r="AG16" s="1178">
        <v>61.3</v>
      </c>
      <c r="AH16" s="88">
        <f t="shared" si="19"/>
        <v>56.605555555555554</v>
      </c>
      <c r="AI16" s="88">
        <f t="shared" si="41"/>
        <v>411.07779999999997</v>
      </c>
      <c r="AJ16" s="89">
        <f t="shared" si="42"/>
        <v>3.0566999999999998</v>
      </c>
      <c r="AK16" s="1182">
        <v>1807</v>
      </c>
      <c r="AL16" s="1177">
        <v>95.9</v>
      </c>
      <c r="AM16" s="1178">
        <v>53</v>
      </c>
      <c r="AN16" s="1178">
        <f>AN15</f>
        <v>0.6</v>
      </c>
      <c r="AO16" s="1178">
        <v>107</v>
      </c>
      <c r="AP16" s="1178">
        <v>58.8</v>
      </c>
      <c r="AQ16" s="88">
        <f t="shared" si="21"/>
        <v>54.437735849056601</v>
      </c>
      <c r="AR16" s="88">
        <f t="shared" si="43"/>
        <v>394.72440000000006</v>
      </c>
      <c r="AS16" s="89">
        <f t="shared" si="44"/>
        <v>2.8851999999999998</v>
      </c>
      <c r="AT16" s="1182">
        <v>1589</v>
      </c>
      <c r="AU16" s="1177">
        <v>95.1</v>
      </c>
      <c r="AV16" s="1178">
        <v>53.2</v>
      </c>
      <c r="AW16" s="1178">
        <v>0.8</v>
      </c>
      <c r="AX16" s="1178">
        <v>111</v>
      </c>
      <c r="AY16" s="1178">
        <v>59.9</v>
      </c>
      <c r="AZ16" s="88">
        <f t="shared" si="23"/>
        <v>55.499248120300756</v>
      </c>
      <c r="BA16" s="88">
        <f t="shared" si="45"/>
        <v>398.7543</v>
      </c>
      <c r="BB16" s="89">
        <f t="shared" si="46"/>
        <v>2.9525600000000001</v>
      </c>
      <c r="BC16" s="1182">
        <v>1918</v>
      </c>
      <c r="BD16" s="1177">
        <v>96.6</v>
      </c>
      <c r="BE16" s="1178">
        <v>58.5</v>
      </c>
      <c r="BF16" s="1178">
        <v>0.54999999999999993</v>
      </c>
      <c r="BG16" s="1178">
        <v>116</v>
      </c>
      <c r="BH16" s="1178">
        <v>60.4</v>
      </c>
      <c r="BI16" s="88">
        <f t="shared" si="25"/>
        <v>56.862051282051276</v>
      </c>
      <c r="BJ16" s="88">
        <f t="shared" si="47"/>
        <v>408.42479999999995</v>
      </c>
      <c r="BK16" s="89">
        <f t="shared" si="48"/>
        <v>3.3264299999999993</v>
      </c>
      <c r="BL16" s="1182">
        <v>2030</v>
      </c>
      <c r="BM16" s="1177">
        <v>95</v>
      </c>
      <c r="BN16" s="1178">
        <v>50.95</v>
      </c>
      <c r="BO16" s="1178">
        <v>1.7</v>
      </c>
      <c r="BP16" s="1178">
        <v>102</v>
      </c>
      <c r="BQ16" s="1178">
        <v>58</v>
      </c>
      <c r="BR16" s="88">
        <f t="shared" si="27"/>
        <v>52.285574092247302</v>
      </c>
      <c r="BS16" s="88">
        <f t="shared" si="49"/>
        <v>385.7</v>
      </c>
      <c r="BT16" s="89">
        <f t="shared" si="50"/>
        <v>2.6639499999999998</v>
      </c>
      <c r="BU16" s="1182">
        <v>1605</v>
      </c>
      <c r="BV16" s="1177">
        <v>96.299999999999983</v>
      </c>
      <c r="BW16" s="1178">
        <v>54</v>
      </c>
      <c r="BX16" s="1178">
        <v>0.90000000000001001</v>
      </c>
      <c r="BY16" s="1178">
        <v>115</v>
      </c>
      <c r="BZ16" s="1178">
        <v>60.8</v>
      </c>
      <c r="CA16" s="88">
        <f t="shared" si="29"/>
        <v>56.87592592592592</v>
      </c>
      <c r="CB16" s="88">
        <f t="shared" si="51"/>
        <v>409.85279999999989</v>
      </c>
      <c r="CC16" s="89">
        <f t="shared" si="52"/>
        <v>3.0712999999999999</v>
      </c>
      <c r="CD16" s="1182">
        <v>1815</v>
      </c>
      <c r="CE16" s="1177">
        <v>94.6</v>
      </c>
      <c r="CF16" s="1178">
        <v>49.8</v>
      </c>
      <c r="CG16" s="1178">
        <v>1.3399999999999979</v>
      </c>
      <c r="CH16" s="1178">
        <v>108</v>
      </c>
      <c r="CI16" s="1178">
        <v>60.2</v>
      </c>
      <c r="CJ16" s="88">
        <f t="shared" si="31"/>
        <v>55.289558232931718</v>
      </c>
      <c r="CK16" s="88">
        <f t="shared" si="53"/>
        <v>398.64440000000002</v>
      </c>
      <c r="CL16" s="89">
        <f t="shared" si="54"/>
        <v>2.7534199999999998</v>
      </c>
      <c r="CM16" s="1182">
        <v>1914</v>
      </c>
      <c r="CN16" s="1177">
        <v>94.9</v>
      </c>
      <c r="CO16" s="1178">
        <v>50.1</v>
      </c>
      <c r="CP16" s="1178">
        <v>1.3399999999999979</v>
      </c>
      <c r="CQ16" s="1178">
        <v>105</v>
      </c>
      <c r="CR16" s="1178">
        <v>58.9</v>
      </c>
      <c r="CS16" s="88">
        <f t="shared" si="33"/>
        <v>53.978842315369249</v>
      </c>
      <c r="CT16" s="88">
        <f t="shared" si="55"/>
        <v>391.27270000000004</v>
      </c>
      <c r="CU16" s="89">
        <f t="shared" si="56"/>
        <v>2.7043399999999993</v>
      </c>
      <c r="CV16" s="1182">
        <v>1680</v>
      </c>
      <c r="CW16" s="1177">
        <v>95</v>
      </c>
      <c r="CX16" s="1178">
        <v>53</v>
      </c>
      <c r="CY16" s="1178">
        <v>1.3399999999999999</v>
      </c>
      <c r="CZ16" s="1178">
        <v>114</v>
      </c>
      <c r="DA16" s="1178">
        <v>60.2</v>
      </c>
      <c r="DB16" s="88">
        <f t="shared" si="35"/>
        <v>56.373584905660394</v>
      </c>
      <c r="DC16" s="88">
        <f t="shared" si="57"/>
        <v>400.33</v>
      </c>
      <c r="DD16" s="89">
        <f t="shared" si="58"/>
        <v>2.9878000000000009</v>
      </c>
      <c r="DE16" s="1182">
        <v>1807</v>
      </c>
    </row>
    <row r="17" spans="1:115" ht="15" x14ac:dyDescent="0.2">
      <c r="A17" s="96">
        <f t="shared" si="12"/>
        <v>29</v>
      </c>
      <c r="B17" s="1177">
        <v>90.7</v>
      </c>
      <c r="C17" s="1178">
        <v>57</v>
      </c>
      <c r="D17" s="1178">
        <v>1.1011011011011012</v>
      </c>
      <c r="E17" s="1178">
        <v>117</v>
      </c>
      <c r="F17" s="1178">
        <v>58.2</v>
      </c>
      <c r="G17" s="88">
        <f t="shared" si="13"/>
        <v>52.085964912280701</v>
      </c>
      <c r="H17" s="88">
        <f t="shared" si="0"/>
        <v>369.51180000000005</v>
      </c>
      <c r="I17" s="88">
        <f t="shared" si="14"/>
        <v>2.9689000000000001</v>
      </c>
      <c r="J17" s="1182">
        <v>1658</v>
      </c>
      <c r="K17" s="1177">
        <v>95.9</v>
      </c>
      <c r="L17" s="1178">
        <v>61</v>
      </c>
      <c r="M17" s="1178">
        <v>1.1011011011011012</v>
      </c>
      <c r="N17" s="1178">
        <v>118</v>
      </c>
      <c r="O17" s="1178">
        <v>62.3</v>
      </c>
      <c r="P17" s="88">
        <f t="shared" si="15"/>
        <v>57.971670491803273</v>
      </c>
      <c r="Q17" s="88">
        <f t="shared" si="37"/>
        <v>418.21990000000005</v>
      </c>
      <c r="R17" s="88">
        <f t="shared" si="38"/>
        <v>3.5362718999999996</v>
      </c>
      <c r="S17" s="1182">
        <v>1824</v>
      </c>
      <c r="T17" s="1177">
        <v>94</v>
      </c>
      <c r="U17" s="1178">
        <v>56</v>
      </c>
      <c r="V17" s="1178">
        <v>1</v>
      </c>
      <c r="W17" s="1178">
        <v>120</v>
      </c>
      <c r="X17" s="1178">
        <v>58.6</v>
      </c>
      <c r="Y17" s="88">
        <f t="shared" si="17"/>
        <v>55.033928571428568</v>
      </c>
      <c r="Z17" s="88">
        <f t="shared" si="39"/>
        <v>385.58800000000002</v>
      </c>
      <c r="AA17" s="88">
        <f t="shared" si="40"/>
        <v>3.0818999999999996</v>
      </c>
      <c r="AB17" s="1182">
        <v>2045</v>
      </c>
      <c r="AC17" s="1177">
        <v>95.5</v>
      </c>
      <c r="AD17" s="1178">
        <v>61</v>
      </c>
      <c r="AE17" s="1178">
        <v>0.7</v>
      </c>
      <c r="AF17" s="1178">
        <v>114</v>
      </c>
      <c r="AG17" s="1178">
        <v>61.9</v>
      </c>
      <c r="AH17" s="88">
        <f t="shared" si="19"/>
        <v>57.213114754098356</v>
      </c>
      <c r="AI17" s="88">
        <f t="shared" si="41"/>
        <v>413.80149999999998</v>
      </c>
      <c r="AJ17" s="88">
        <f t="shared" si="42"/>
        <v>3.4899999999999998</v>
      </c>
      <c r="AK17" s="1182">
        <v>1818</v>
      </c>
      <c r="AL17" s="1177">
        <v>96.1</v>
      </c>
      <c r="AM17" s="1178">
        <v>60</v>
      </c>
      <c r="AN17" s="1178">
        <v>0.7</v>
      </c>
      <c r="AO17" s="1178">
        <v>107</v>
      </c>
      <c r="AP17" s="1178">
        <v>59.3</v>
      </c>
      <c r="AQ17" s="88">
        <f t="shared" si="21"/>
        <v>55.004999999999995</v>
      </c>
      <c r="AR17" s="88">
        <f t="shared" si="43"/>
        <v>398.91109999999992</v>
      </c>
      <c r="AS17" s="88">
        <f t="shared" si="44"/>
        <v>3.3002999999999996</v>
      </c>
      <c r="AT17" s="1182">
        <v>1601</v>
      </c>
      <c r="AU17" s="1177">
        <v>95.3</v>
      </c>
      <c r="AV17" s="1178">
        <v>59.8</v>
      </c>
      <c r="AW17" s="1178">
        <v>0.89999999999999991</v>
      </c>
      <c r="AX17" s="1178">
        <v>111</v>
      </c>
      <c r="AY17" s="1178">
        <v>60.5</v>
      </c>
      <c r="AZ17" s="88">
        <f t="shared" si="23"/>
        <v>56.051170568561872</v>
      </c>
      <c r="BA17" s="88">
        <f t="shared" si="45"/>
        <v>403.59549999999996</v>
      </c>
      <c r="BB17" s="88">
        <f t="shared" si="46"/>
        <v>3.3518600000000003</v>
      </c>
      <c r="BC17" s="1182">
        <v>1922</v>
      </c>
      <c r="BD17" s="1177">
        <v>96.6</v>
      </c>
      <c r="BE17" s="1178">
        <v>65.2</v>
      </c>
      <c r="BF17" s="1178">
        <v>0.61000000000000232</v>
      </c>
      <c r="BG17" s="1178">
        <v>113</v>
      </c>
      <c r="BH17" s="1178">
        <v>60.9</v>
      </c>
      <c r="BI17" s="88">
        <f t="shared" si="25"/>
        <v>57.276993865030668</v>
      </c>
      <c r="BJ17" s="88">
        <f t="shared" si="47"/>
        <v>411.80579999999998</v>
      </c>
      <c r="BK17" s="88">
        <f t="shared" si="48"/>
        <v>3.7344599999999999</v>
      </c>
      <c r="BL17" s="1182">
        <v>2040</v>
      </c>
      <c r="BM17" s="1177">
        <v>95</v>
      </c>
      <c r="BN17" s="1178">
        <v>57.45</v>
      </c>
      <c r="BO17" s="1178">
        <v>1.8</v>
      </c>
      <c r="BP17" s="1178">
        <v>103</v>
      </c>
      <c r="BQ17" s="1178">
        <v>58</v>
      </c>
      <c r="BR17" s="88">
        <f t="shared" si="27"/>
        <v>52.932114882506525</v>
      </c>
      <c r="BS17" s="88">
        <f t="shared" si="49"/>
        <v>385.7</v>
      </c>
      <c r="BT17" s="88">
        <f t="shared" si="50"/>
        <v>3.0409500000000005</v>
      </c>
      <c r="BU17" s="1182">
        <v>1615</v>
      </c>
      <c r="BV17" s="1177">
        <v>96.399999999999977</v>
      </c>
      <c r="BW17" s="1178">
        <v>61</v>
      </c>
      <c r="BX17" s="1178">
        <v>1.0000000000000009</v>
      </c>
      <c r="BY17" s="1178">
        <v>115</v>
      </c>
      <c r="BZ17" s="1178">
        <v>61.2</v>
      </c>
      <c r="CA17" s="88">
        <f t="shared" si="29"/>
        <v>57.372131147540983</v>
      </c>
      <c r="CB17" s="88">
        <f t="shared" si="51"/>
        <v>412.97759999999994</v>
      </c>
      <c r="CC17" s="88">
        <f t="shared" si="52"/>
        <v>3.4996999999999998</v>
      </c>
      <c r="CD17" s="1182">
        <v>1825</v>
      </c>
      <c r="CE17" s="1177">
        <v>94.9</v>
      </c>
      <c r="CF17" s="1178">
        <v>56.4</v>
      </c>
      <c r="CG17" s="1178">
        <v>1.4700000000000044</v>
      </c>
      <c r="CH17" s="1178">
        <v>110</v>
      </c>
      <c r="CI17" s="1178">
        <v>61</v>
      </c>
      <c r="CJ17" s="88">
        <f t="shared" si="31"/>
        <v>55.957801418439715</v>
      </c>
      <c r="CK17" s="88">
        <f t="shared" si="53"/>
        <v>405.22300000000007</v>
      </c>
      <c r="CL17" s="88">
        <f t="shared" si="54"/>
        <v>3.1560199999999998</v>
      </c>
      <c r="CM17" s="1182">
        <v>1918</v>
      </c>
      <c r="CN17" s="1177">
        <v>95.2</v>
      </c>
      <c r="CO17" s="1178">
        <v>56.7</v>
      </c>
      <c r="CP17" s="1178">
        <v>1.4700000000000044</v>
      </c>
      <c r="CQ17" s="1178">
        <v>106</v>
      </c>
      <c r="CR17" s="1178">
        <v>59.7</v>
      </c>
      <c r="CS17" s="88">
        <f t="shared" si="33"/>
        <v>54.644797178130496</v>
      </c>
      <c r="CT17" s="88">
        <f t="shared" si="55"/>
        <v>397.84080000000006</v>
      </c>
      <c r="CU17" s="88">
        <f t="shared" si="56"/>
        <v>3.0983599999999996</v>
      </c>
      <c r="CV17" s="1182">
        <v>1690</v>
      </c>
      <c r="CW17" s="1177">
        <v>95</v>
      </c>
      <c r="CX17" s="1178">
        <v>60</v>
      </c>
      <c r="CY17" s="1178">
        <v>1.4699999999999998</v>
      </c>
      <c r="CZ17" s="1178">
        <v>114</v>
      </c>
      <c r="DA17" s="1178">
        <v>60.7</v>
      </c>
      <c r="DB17" s="88">
        <f t="shared" si="35"/>
        <v>56.878333333333359</v>
      </c>
      <c r="DC17" s="88">
        <f t="shared" si="57"/>
        <v>403.65499999999997</v>
      </c>
      <c r="DD17" s="88">
        <f t="shared" si="58"/>
        <v>3.412700000000001</v>
      </c>
      <c r="DE17" s="1182">
        <v>1818</v>
      </c>
    </row>
    <row r="18" spans="1:115" ht="15" x14ac:dyDescent="0.2">
      <c r="A18" s="96">
        <f t="shared" si="12"/>
        <v>30</v>
      </c>
      <c r="B18" s="1177">
        <v>90.9</v>
      </c>
      <c r="C18" s="1178">
        <v>63</v>
      </c>
      <c r="D18" s="1178">
        <v>1.1011011011011012</v>
      </c>
      <c r="E18" s="1178">
        <v>117</v>
      </c>
      <c r="F18" s="1178">
        <v>58.9</v>
      </c>
      <c r="G18" s="88">
        <f t="shared" si="13"/>
        <v>52.734920634920634</v>
      </c>
      <c r="H18" s="88">
        <f t="shared" si="0"/>
        <v>374.78070000000002</v>
      </c>
      <c r="I18" s="88">
        <f t="shared" si="14"/>
        <v>3.3223000000000003</v>
      </c>
      <c r="J18" s="1182">
        <v>1665</v>
      </c>
      <c r="K18" s="1177">
        <v>95.8</v>
      </c>
      <c r="L18" s="1178">
        <v>68</v>
      </c>
      <c r="M18" s="1178">
        <v>1.1011011011011012</v>
      </c>
      <c r="N18" s="1178">
        <v>118</v>
      </c>
      <c r="O18" s="1178">
        <v>62.6</v>
      </c>
      <c r="P18" s="88">
        <f t="shared" si="15"/>
        <v>58.448116176470585</v>
      </c>
      <c r="Q18" s="88">
        <f t="shared" si="37"/>
        <v>419.79559999999998</v>
      </c>
      <c r="R18" s="88">
        <f t="shared" si="38"/>
        <v>3.9744718999999997</v>
      </c>
      <c r="S18" s="1182">
        <v>1832</v>
      </c>
      <c r="T18" s="1177">
        <v>93</v>
      </c>
      <c r="U18" s="1178">
        <v>62</v>
      </c>
      <c r="V18" s="1178">
        <v>1.1000000000000001</v>
      </c>
      <c r="W18" s="1178">
        <v>121</v>
      </c>
      <c r="X18" s="1178">
        <v>59.2</v>
      </c>
      <c r="Y18" s="88">
        <f t="shared" si="17"/>
        <v>55.437096774193542</v>
      </c>
      <c r="Z18" s="88">
        <f t="shared" si="39"/>
        <v>385.39200000000005</v>
      </c>
      <c r="AA18" s="88">
        <f t="shared" si="40"/>
        <v>3.4370999999999996</v>
      </c>
      <c r="AB18" s="1182">
        <v>2050</v>
      </c>
      <c r="AC18" s="1177">
        <v>95.3</v>
      </c>
      <c r="AD18" s="1178">
        <v>67</v>
      </c>
      <c r="AE18" s="1178">
        <v>0.7</v>
      </c>
      <c r="AF18" s="1178">
        <v>114</v>
      </c>
      <c r="AG18" s="1178">
        <v>62.3</v>
      </c>
      <c r="AH18" s="88">
        <f t="shared" si="19"/>
        <v>57.668656716417907</v>
      </c>
      <c r="AI18" s="88">
        <f t="shared" si="41"/>
        <v>415.60329999999993</v>
      </c>
      <c r="AJ18" s="88">
        <f t="shared" si="42"/>
        <v>3.8637999999999995</v>
      </c>
      <c r="AK18" s="1182">
        <v>1828</v>
      </c>
      <c r="AL18" s="1177">
        <v>96.2</v>
      </c>
      <c r="AM18" s="1178">
        <v>66</v>
      </c>
      <c r="AN18" s="1178">
        <v>0.7</v>
      </c>
      <c r="AO18" s="1178">
        <v>108</v>
      </c>
      <c r="AP18" s="1178">
        <v>59.8</v>
      </c>
      <c r="AQ18" s="88">
        <f t="shared" si="21"/>
        <v>55.440909090909088</v>
      </c>
      <c r="AR18" s="88">
        <f t="shared" si="43"/>
        <v>402.69320000000005</v>
      </c>
      <c r="AS18" s="88">
        <f t="shared" si="44"/>
        <v>3.6590999999999996</v>
      </c>
      <c r="AT18" s="1182">
        <v>1611</v>
      </c>
      <c r="AU18" s="1177">
        <v>95.5</v>
      </c>
      <c r="AV18" s="1178">
        <v>66.400000000000006</v>
      </c>
      <c r="AW18" s="1178">
        <v>1</v>
      </c>
      <c r="AX18" s="1178">
        <v>112</v>
      </c>
      <c r="AY18" s="1178">
        <v>61</v>
      </c>
      <c r="AZ18" s="88">
        <f t="shared" si="23"/>
        <v>56.543072289156626</v>
      </c>
      <c r="BA18" s="88">
        <f t="shared" si="45"/>
        <v>407.78499999999997</v>
      </c>
      <c r="BB18" s="88">
        <f t="shared" si="46"/>
        <v>3.7544600000000004</v>
      </c>
      <c r="BC18" s="1182">
        <v>1925</v>
      </c>
      <c r="BD18" s="1177">
        <v>96.5</v>
      </c>
      <c r="BE18" s="1178">
        <v>71.900000000000006</v>
      </c>
      <c r="BF18" s="1178">
        <v>0.66000000000000225</v>
      </c>
      <c r="BG18" s="1178">
        <v>117</v>
      </c>
      <c r="BH18" s="1178">
        <v>61.3</v>
      </c>
      <c r="BI18" s="88">
        <f t="shared" si="25"/>
        <v>57.651877607788585</v>
      </c>
      <c r="BJ18" s="88">
        <f t="shared" si="47"/>
        <v>414.08149999999995</v>
      </c>
      <c r="BK18" s="88">
        <f t="shared" si="48"/>
        <v>4.1451699999999994</v>
      </c>
      <c r="BL18" s="1182">
        <v>2050</v>
      </c>
      <c r="BM18" s="1177">
        <v>95</v>
      </c>
      <c r="BN18" s="1178">
        <v>64</v>
      </c>
      <c r="BO18" s="1178">
        <v>1.9</v>
      </c>
      <c r="BP18" s="1178">
        <v>103.5</v>
      </c>
      <c r="BQ18" s="1178">
        <v>59</v>
      </c>
      <c r="BR18" s="88">
        <f t="shared" si="27"/>
        <v>53.553124999999994</v>
      </c>
      <c r="BS18" s="88">
        <f t="shared" si="49"/>
        <v>392.34999999999997</v>
      </c>
      <c r="BT18" s="88">
        <f t="shared" si="50"/>
        <v>3.4273999999999996</v>
      </c>
      <c r="BU18" s="1182">
        <v>1630</v>
      </c>
      <c r="BV18" s="1177">
        <v>96.499999999999972</v>
      </c>
      <c r="BW18" s="1178">
        <v>68</v>
      </c>
      <c r="BX18" s="1178">
        <v>1.0999999999999919</v>
      </c>
      <c r="BY18" s="1178">
        <v>115</v>
      </c>
      <c r="BZ18" s="1178">
        <v>61.6</v>
      </c>
      <c r="CA18" s="88">
        <f t="shared" si="29"/>
        <v>57.807352941176468</v>
      </c>
      <c r="CB18" s="88">
        <f t="shared" si="51"/>
        <v>416.10799999999989</v>
      </c>
      <c r="CC18" s="88">
        <f t="shared" si="52"/>
        <v>3.9308999999999998</v>
      </c>
      <c r="CD18" s="1182">
        <v>1835</v>
      </c>
      <c r="CE18" s="1177">
        <v>95.1</v>
      </c>
      <c r="CF18" s="1178">
        <v>63</v>
      </c>
      <c r="CG18" s="1178">
        <v>1.5700000000000043</v>
      </c>
      <c r="CH18" s="1178">
        <v>111</v>
      </c>
      <c r="CI18" s="1178">
        <v>61.6</v>
      </c>
      <c r="CJ18" s="88">
        <f t="shared" si="31"/>
        <v>56.548888888888889</v>
      </c>
      <c r="CK18" s="88">
        <f t="shared" si="53"/>
        <v>410.07120000000003</v>
      </c>
      <c r="CL18" s="88">
        <f t="shared" si="54"/>
        <v>3.5625800000000001</v>
      </c>
      <c r="CM18" s="1182">
        <v>1921</v>
      </c>
      <c r="CN18" s="1177">
        <v>95.4</v>
      </c>
      <c r="CO18" s="1178">
        <v>63.3</v>
      </c>
      <c r="CP18" s="1178">
        <v>1.5700000000000043</v>
      </c>
      <c r="CQ18" s="1178">
        <v>108</v>
      </c>
      <c r="CR18" s="1178">
        <v>60.3</v>
      </c>
      <c r="CS18" s="88">
        <f t="shared" si="33"/>
        <v>55.23443917851499</v>
      </c>
      <c r="CT18" s="88">
        <f t="shared" si="55"/>
        <v>402.68340000000001</v>
      </c>
      <c r="CU18" s="88">
        <f t="shared" si="56"/>
        <v>3.4963399999999987</v>
      </c>
      <c r="CV18" s="1182">
        <v>1700</v>
      </c>
      <c r="CW18" s="1177">
        <v>95</v>
      </c>
      <c r="CX18" s="1178">
        <v>66</v>
      </c>
      <c r="CY18" s="1178">
        <v>1.5699999999999998</v>
      </c>
      <c r="CZ18" s="1178">
        <v>114</v>
      </c>
      <c r="DA18" s="1178">
        <v>61.1</v>
      </c>
      <c r="DB18" s="88">
        <f t="shared" si="35"/>
        <v>57.262121212121237</v>
      </c>
      <c r="DC18" s="88">
        <f t="shared" si="57"/>
        <v>406.315</v>
      </c>
      <c r="DD18" s="88">
        <f t="shared" si="58"/>
        <v>3.7793000000000019</v>
      </c>
      <c r="DE18" s="1182">
        <v>1828</v>
      </c>
    </row>
    <row r="19" spans="1:115" ht="15" x14ac:dyDescent="0.2">
      <c r="A19" s="96">
        <f t="shared" si="12"/>
        <v>31</v>
      </c>
      <c r="B19" s="1177">
        <v>91</v>
      </c>
      <c r="C19" s="1178">
        <v>69</v>
      </c>
      <c r="D19" s="1178">
        <v>1.2012012012012012</v>
      </c>
      <c r="E19" s="1178">
        <v>117</v>
      </c>
      <c r="F19" s="1178">
        <v>59.5</v>
      </c>
      <c r="G19" s="88">
        <f t="shared" si="13"/>
        <v>53.323188405797097</v>
      </c>
      <c r="H19" s="88">
        <f t="shared" si="0"/>
        <v>379.01499999999999</v>
      </c>
      <c r="I19" s="88">
        <f t="shared" si="14"/>
        <v>3.6792999999999996</v>
      </c>
      <c r="J19" s="1182">
        <v>1669</v>
      </c>
      <c r="K19" s="1177">
        <v>95.7</v>
      </c>
      <c r="L19" s="1178">
        <v>74</v>
      </c>
      <c r="M19" s="1178">
        <v>1.2012012012012012</v>
      </c>
      <c r="N19" s="1178">
        <v>118</v>
      </c>
      <c r="O19" s="1178">
        <v>62.9</v>
      </c>
      <c r="P19" s="88">
        <f t="shared" si="15"/>
        <v>58.809079729729724</v>
      </c>
      <c r="Q19" s="88">
        <f t="shared" si="37"/>
        <v>421.36710000000005</v>
      </c>
      <c r="R19" s="88">
        <f t="shared" si="38"/>
        <v>4.3518718999999999</v>
      </c>
      <c r="S19" s="1182">
        <v>1840</v>
      </c>
      <c r="T19" s="1177">
        <v>93</v>
      </c>
      <c r="U19" s="1178">
        <v>69</v>
      </c>
      <c r="V19" s="1178">
        <v>1.2</v>
      </c>
      <c r="W19" s="1178">
        <v>122</v>
      </c>
      <c r="X19" s="1178">
        <v>59.7</v>
      </c>
      <c r="Y19" s="88">
        <f t="shared" si="17"/>
        <v>55.869565217391298</v>
      </c>
      <c r="Z19" s="88">
        <f t="shared" si="39"/>
        <v>388.64700000000005</v>
      </c>
      <c r="AA19" s="88">
        <f t="shared" si="40"/>
        <v>3.8549999999999995</v>
      </c>
      <c r="AB19" s="1182">
        <v>2055</v>
      </c>
      <c r="AC19" s="1177">
        <v>95</v>
      </c>
      <c r="AD19" s="1178">
        <v>74</v>
      </c>
      <c r="AE19" s="1178">
        <f>AE18+0.1</f>
        <v>0.79999999999999993</v>
      </c>
      <c r="AF19" s="1178">
        <v>114</v>
      </c>
      <c r="AG19" s="1178">
        <v>62.6</v>
      </c>
      <c r="AH19" s="88">
        <f t="shared" si="19"/>
        <v>58.13513513513513</v>
      </c>
      <c r="AI19" s="88">
        <f t="shared" si="41"/>
        <v>416.28999999999996</v>
      </c>
      <c r="AJ19" s="88">
        <f t="shared" si="42"/>
        <v>4.3019999999999996</v>
      </c>
      <c r="AK19" s="1182">
        <v>1837</v>
      </c>
      <c r="AL19" s="1177">
        <v>96.2</v>
      </c>
      <c r="AM19" s="1178">
        <v>73</v>
      </c>
      <c r="AN19" s="1178">
        <f>AN18+0.1</f>
        <v>0.79999999999999993</v>
      </c>
      <c r="AO19" s="1178">
        <v>108</v>
      </c>
      <c r="AP19" s="1178">
        <v>60.1</v>
      </c>
      <c r="AQ19" s="88">
        <f t="shared" si="21"/>
        <v>55.887671232876713</v>
      </c>
      <c r="AR19" s="88">
        <f t="shared" si="43"/>
        <v>404.71340000000004</v>
      </c>
      <c r="AS19" s="88">
        <f t="shared" si="44"/>
        <v>4.0797999999999996</v>
      </c>
      <c r="AT19" s="1182">
        <v>1620</v>
      </c>
      <c r="AU19" s="1177">
        <v>95.6</v>
      </c>
      <c r="AV19" s="1178">
        <v>73</v>
      </c>
      <c r="AW19" s="1178">
        <v>1.0999999999999888</v>
      </c>
      <c r="AX19" s="1178">
        <v>112</v>
      </c>
      <c r="AY19" s="1178">
        <v>61.5</v>
      </c>
      <c r="AZ19" s="88">
        <f t="shared" si="23"/>
        <v>56.991232876712331</v>
      </c>
      <c r="BA19" s="88">
        <f t="shared" si="45"/>
        <v>411.55799999999999</v>
      </c>
      <c r="BB19" s="88">
        <f t="shared" si="46"/>
        <v>4.1603599999999998</v>
      </c>
      <c r="BC19" s="1182">
        <v>1928</v>
      </c>
      <c r="BD19" s="1177">
        <v>96.5</v>
      </c>
      <c r="BE19" s="1178">
        <v>78.599999999999994</v>
      </c>
      <c r="BF19" s="1178">
        <v>0.7100000000000023</v>
      </c>
      <c r="BG19" s="1178">
        <v>117</v>
      </c>
      <c r="BH19" s="1178">
        <v>61.7</v>
      </c>
      <c r="BI19" s="88">
        <f t="shared" si="25"/>
        <v>57.996946564885484</v>
      </c>
      <c r="BJ19" s="88">
        <f t="shared" si="47"/>
        <v>416.7835</v>
      </c>
      <c r="BK19" s="88">
        <f t="shared" si="48"/>
        <v>4.5585599999999991</v>
      </c>
      <c r="BL19" s="1182">
        <v>2060</v>
      </c>
      <c r="BM19" s="1177">
        <v>95</v>
      </c>
      <c r="BN19" s="1178">
        <v>70.5</v>
      </c>
      <c r="BO19" s="1178">
        <v>2</v>
      </c>
      <c r="BP19" s="1178">
        <v>104.5</v>
      </c>
      <c r="BQ19" s="1178">
        <v>59</v>
      </c>
      <c r="BR19" s="88">
        <f t="shared" si="27"/>
        <v>54.055319148936164</v>
      </c>
      <c r="BS19" s="88">
        <f t="shared" si="49"/>
        <v>392.34999999999997</v>
      </c>
      <c r="BT19" s="88">
        <f t="shared" si="50"/>
        <v>3.8108999999999997</v>
      </c>
      <c r="BU19" s="1182">
        <v>1640.0000000000002</v>
      </c>
      <c r="BV19" s="1177">
        <v>96.499999999999972</v>
      </c>
      <c r="BW19" s="1178">
        <v>74</v>
      </c>
      <c r="BX19" s="1178">
        <v>1.2000000000000055</v>
      </c>
      <c r="BY19" s="1178">
        <v>115</v>
      </c>
      <c r="BZ19" s="1178">
        <v>61.8</v>
      </c>
      <c r="CA19" s="88">
        <f t="shared" si="29"/>
        <v>58.131081081081078</v>
      </c>
      <c r="CB19" s="88">
        <f t="shared" si="51"/>
        <v>417.45899999999989</v>
      </c>
      <c r="CC19" s="88">
        <f t="shared" si="52"/>
        <v>4.3016999999999994</v>
      </c>
      <c r="CD19" s="1182">
        <v>1845</v>
      </c>
      <c r="CE19" s="1177">
        <v>95.3</v>
      </c>
      <c r="CF19" s="1178">
        <v>69.7</v>
      </c>
      <c r="CG19" s="1178">
        <v>1.6700000000000044</v>
      </c>
      <c r="CH19" s="1178">
        <v>112</v>
      </c>
      <c r="CI19" s="1178">
        <v>62.1</v>
      </c>
      <c r="CJ19" s="88">
        <f t="shared" si="31"/>
        <v>57.082496413199422</v>
      </c>
      <c r="CK19" s="88">
        <f t="shared" si="53"/>
        <v>414.26909999999998</v>
      </c>
      <c r="CL19" s="88">
        <f t="shared" si="54"/>
        <v>3.97865</v>
      </c>
      <c r="CM19" s="1182">
        <v>1924</v>
      </c>
      <c r="CN19" s="1177">
        <v>95.5</v>
      </c>
      <c r="CO19" s="1178">
        <v>70</v>
      </c>
      <c r="CP19" s="1178">
        <v>1.6700000000000044</v>
      </c>
      <c r="CQ19" s="1178">
        <v>108</v>
      </c>
      <c r="CR19" s="1178">
        <v>60.8</v>
      </c>
      <c r="CS19" s="88">
        <f t="shared" si="33"/>
        <v>55.767142857142844</v>
      </c>
      <c r="CT19" s="88">
        <f t="shared" si="55"/>
        <v>406.44799999999998</v>
      </c>
      <c r="CU19" s="88">
        <f t="shared" si="56"/>
        <v>3.9036999999999988</v>
      </c>
      <c r="CV19" s="1182">
        <v>1707</v>
      </c>
      <c r="CW19" s="1177">
        <v>95</v>
      </c>
      <c r="CX19" s="1178">
        <v>73</v>
      </c>
      <c r="CY19" s="1178">
        <v>1.67</v>
      </c>
      <c r="CZ19" s="1178">
        <v>113</v>
      </c>
      <c r="DA19" s="1178">
        <v>61.5</v>
      </c>
      <c r="DB19" s="88">
        <f t="shared" si="35"/>
        <v>57.668493150684952</v>
      </c>
      <c r="DC19" s="88">
        <f t="shared" si="57"/>
        <v>408.97499999999997</v>
      </c>
      <c r="DD19" s="88">
        <f t="shared" si="58"/>
        <v>4.2098000000000013</v>
      </c>
      <c r="DE19" s="1182">
        <v>1837</v>
      </c>
    </row>
    <row r="20" spans="1:115" ht="15" x14ac:dyDescent="0.2">
      <c r="A20" s="96">
        <f t="shared" si="12"/>
        <v>32</v>
      </c>
      <c r="B20" s="1177">
        <v>91.1</v>
      </c>
      <c r="C20" s="1178">
        <v>76</v>
      </c>
      <c r="D20" s="1178">
        <v>1.3013013013013013</v>
      </c>
      <c r="E20" s="1178">
        <v>117</v>
      </c>
      <c r="F20" s="1178">
        <v>60</v>
      </c>
      <c r="G20" s="88">
        <f t="shared" si="13"/>
        <v>53.93815789473684</v>
      </c>
      <c r="H20" s="88">
        <f t="shared" si="0"/>
        <v>382.62</v>
      </c>
      <c r="I20" s="88">
        <f t="shared" si="14"/>
        <v>4.0992999999999995</v>
      </c>
      <c r="J20" s="1182">
        <v>1673</v>
      </c>
      <c r="K20" s="1177">
        <v>95.6</v>
      </c>
      <c r="L20" s="1178">
        <v>81</v>
      </c>
      <c r="M20" s="1178">
        <v>1.3013013013013013</v>
      </c>
      <c r="N20" s="1178">
        <v>118</v>
      </c>
      <c r="O20" s="1178">
        <v>63.1</v>
      </c>
      <c r="P20" s="88">
        <f t="shared" si="15"/>
        <v>59.179899999999989</v>
      </c>
      <c r="Q20" s="88">
        <f t="shared" si="37"/>
        <v>422.26519999999999</v>
      </c>
      <c r="R20" s="88">
        <f t="shared" si="38"/>
        <v>4.793571899999999</v>
      </c>
      <c r="S20" s="1182">
        <v>1848</v>
      </c>
      <c r="T20" s="1177">
        <v>93</v>
      </c>
      <c r="U20" s="1178">
        <v>75</v>
      </c>
      <c r="V20" s="1178">
        <v>1.3</v>
      </c>
      <c r="W20" s="1178">
        <v>122</v>
      </c>
      <c r="X20" s="1178">
        <v>60.1</v>
      </c>
      <c r="Y20" s="88">
        <f t="shared" si="17"/>
        <v>56.207999999999991</v>
      </c>
      <c r="Z20" s="88">
        <f t="shared" si="39"/>
        <v>391.25100000000003</v>
      </c>
      <c r="AA20" s="88">
        <f t="shared" si="40"/>
        <v>4.2155999999999993</v>
      </c>
      <c r="AB20" s="1182">
        <v>2060</v>
      </c>
      <c r="AC20" s="1177">
        <v>94.5</v>
      </c>
      <c r="AD20" s="1178">
        <v>80</v>
      </c>
      <c r="AE20" s="1178">
        <v>0.9</v>
      </c>
      <c r="AF20" s="1178">
        <v>114</v>
      </c>
      <c r="AG20" s="1178">
        <v>62.9</v>
      </c>
      <c r="AH20" s="88">
        <f t="shared" si="19"/>
        <v>58.4925</v>
      </c>
      <c r="AI20" s="88">
        <f t="shared" si="41"/>
        <v>416.08349999999996</v>
      </c>
      <c r="AJ20" s="88">
        <f t="shared" si="42"/>
        <v>4.6793999999999993</v>
      </c>
      <c r="AK20" s="1182">
        <v>1845</v>
      </c>
      <c r="AL20" s="1177">
        <v>96.2</v>
      </c>
      <c r="AM20" s="1178">
        <v>80</v>
      </c>
      <c r="AN20" s="1178">
        <v>0.9</v>
      </c>
      <c r="AO20" s="1178">
        <v>108</v>
      </c>
      <c r="AP20" s="1178">
        <v>60.4</v>
      </c>
      <c r="AQ20" s="88">
        <f t="shared" si="21"/>
        <v>56.282499999999999</v>
      </c>
      <c r="AR20" s="88">
        <f t="shared" si="43"/>
        <v>406.73360000000002</v>
      </c>
      <c r="AS20" s="88">
        <f t="shared" si="44"/>
        <v>4.5026000000000002</v>
      </c>
      <c r="AT20" s="1182">
        <v>1629</v>
      </c>
      <c r="AU20" s="1177">
        <v>95.7</v>
      </c>
      <c r="AV20" s="1178">
        <v>79.599999999999994</v>
      </c>
      <c r="AW20" s="1178">
        <v>1.2</v>
      </c>
      <c r="AX20" s="1178">
        <v>112</v>
      </c>
      <c r="AY20" s="1178">
        <v>61.9</v>
      </c>
      <c r="AZ20" s="88">
        <f t="shared" si="23"/>
        <v>57.398241206030157</v>
      </c>
      <c r="BA20" s="88">
        <f t="shared" si="45"/>
        <v>414.66810000000004</v>
      </c>
      <c r="BB20" s="88">
        <f t="shared" si="46"/>
        <v>4.5689000000000002</v>
      </c>
      <c r="BC20" s="1182">
        <v>1931</v>
      </c>
      <c r="BD20" s="1177">
        <v>96.5</v>
      </c>
      <c r="BE20" s="1178">
        <v>85.3</v>
      </c>
      <c r="BF20" s="1178">
        <v>0.76000000000000223</v>
      </c>
      <c r="BG20" s="1178">
        <v>117</v>
      </c>
      <c r="BH20" s="1178">
        <v>62</v>
      </c>
      <c r="BI20" s="88">
        <f t="shared" si="25"/>
        <v>58.311371629542776</v>
      </c>
      <c r="BJ20" s="88">
        <f t="shared" si="47"/>
        <v>418.81</v>
      </c>
      <c r="BK20" s="88">
        <f t="shared" si="48"/>
        <v>4.9739599999999982</v>
      </c>
      <c r="BL20" s="1182">
        <v>2070</v>
      </c>
      <c r="BM20" s="1177">
        <v>96</v>
      </c>
      <c r="BN20" s="1178">
        <v>77.099999999999994</v>
      </c>
      <c r="BO20" s="1178">
        <v>2</v>
      </c>
      <c r="BP20" s="1178">
        <v>105</v>
      </c>
      <c r="BQ20" s="1178">
        <v>59</v>
      </c>
      <c r="BR20" s="88">
        <f t="shared" si="27"/>
        <v>54.478599221789878</v>
      </c>
      <c r="BS20" s="88">
        <f t="shared" si="49"/>
        <v>396.47999999999996</v>
      </c>
      <c r="BT20" s="88">
        <f t="shared" si="50"/>
        <v>4.2002999999999995</v>
      </c>
      <c r="BU20" s="1182">
        <v>1650</v>
      </c>
      <c r="BV20" s="1177">
        <v>96.499999999999972</v>
      </c>
      <c r="BW20" s="1178">
        <v>81</v>
      </c>
      <c r="BX20" s="1178">
        <v>1.2999999999999967</v>
      </c>
      <c r="BY20" s="1178">
        <v>115</v>
      </c>
      <c r="BZ20" s="1178">
        <v>62</v>
      </c>
      <c r="CA20" s="88">
        <f t="shared" si="29"/>
        <v>58.465432098765433</v>
      </c>
      <c r="CB20" s="88">
        <f t="shared" si="51"/>
        <v>418.80999999999989</v>
      </c>
      <c r="CC20" s="88">
        <f t="shared" si="52"/>
        <v>4.7356999999999996</v>
      </c>
      <c r="CD20" s="1182">
        <v>1850</v>
      </c>
      <c r="CE20" s="1177">
        <v>95.4</v>
      </c>
      <c r="CF20" s="1178">
        <v>76.3</v>
      </c>
      <c r="CG20" s="1178">
        <v>1.7700000000000045</v>
      </c>
      <c r="CH20" s="1178">
        <v>114</v>
      </c>
      <c r="CI20" s="1178">
        <v>62.5</v>
      </c>
      <c r="CJ20" s="88">
        <f t="shared" si="31"/>
        <v>57.551114023591083</v>
      </c>
      <c r="CK20" s="88">
        <f t="shared" si="53"/>
        <v>417.37500000000006</v>
      </c>
      <c r="CL20" s="88">
        <f t="shared" si="54"/>
        <v>4.3911499999999997</v>
      </c>
      <c r="CM20" s="1182">
        <v>1926</v>
      </c>
      <c r="CN20" s="1177">
        <v>95.6</v>
      </c>
      <c r="CO20" s="1178">
        <v>76.599999999999994</v>
      </c>
      <c r="CP20" s="1178">
        <v>1.7700000000000045</v>
      </c>
      <c r="CQ20" s="1178">
        <v>108</v>
      </c>
      <c r="CR20" s="1178">
        <v>61.2</v>
      </c>
      <c r="CS20" s="88">
        <f t="shared" si="33"/>
        <v>56.235248041775442</v>
      </c>
      <c r="CT20" s="88">
        <f t="shared" si="55"/>
        <v>409.55040000000002</v>
      </c>
      <c r="CU20" s="88">
        <f t="shared" si="56"/>
        <v>4.3076199999999982</v>
      </c>
      <c r="CV20" s="1182">
        <v>1710</v>
      </c>
      <c r="CW20" s="1177">
        <v>95</v>
      </c>
      <c r="CX20" s="1178">
        <v>79</v>
      </c>
      <c r="CY20" s="1178">
        <v>1.77</v>
      </c>
      <c r="CZ20" s="1178">
        <v>113</v>
      </c>
      <c r="DA20" s="1178">
        <v>61.8</v>
      </c>
      <c r="DB20" s="88">
        <f t="shared" si="35"/>
        <v>57.982278481012671</v>
      </c>
      <c r="DC20" s="88">
        <f t="shared" si="57"/>
        <v>410.96999999999997</v>
      </c>
      <c r="DD20" s="88">
        <f t="shared" si="58"/>
        <v>4.5806000000000013</v>
      </c>
      <c r="DE20" s="1182">
        <v>1845</v>
      </c>
    </row>
    <row r="21" spans="1:115" ht="15" x14ac:dyDescent="0.2">
      <c r="A21" s="96">
        <f t="shared" si="12"/>
        <v>33</v>
      </c>
      <c r="B21" s="1177">
        <v>91</v>
      </c>
      <c r="C21" s="1178">
        <v>82</v>
      </c>
      <c r="D21" s="1178">
        <v>1.4014014014014013</v>
      </c>
      <c r="E21" s="1178">
        <v>117</v>
      </c>
      <c r="F21" s="1178">
        <v>60.4</v>
      </c>
      <c r="G21" s="88">
        <f t="shared" si="13"/>
        <v>54.4109756097561</v>
      </c>
      <c r="H21" s="88">
        <f t="shared" si="0"/>
        <v>384.74799999999999</v>
      </c>
      <c r="I21" s="88">
        <f t="shared" si="14"/>
        <v>4.4617000000000004</v>
      </c>
      <c r="J21" s="1182">
        <v>1677</v>
      </c>
      <c r="K21" s="1177">
        <v>95.5</v>
      </c>
      <c r="L21" s="1178">
        <v>88</v>
      </c>
      <c r="M21" s="1178">
        <v>1.4014014014014013</v>
      </c>
      <c r="N21" s="1178">
        <v>118</v>
      </c>
      <c r="O21" s="1178">
        <v>63.2</v>
      </c>
      <c r="P21" s="88">
        <f t="shared" si="15"/>
        <v>59.499680681818177</v>
      </c>
      <c r="Q21" s="88">
        <f t="shared" si="37"/>
        <v>422.49200000000002</v>
      </c>
      <c r="R21" s="88">
        <f t="shared" si="38"/>
        <v>5.2359718999999991</v>
      </c>
      <c r="S21" s="1182">
        <v>1855</v>
      </c>
      <c r="T21" s="1177">
        <v>92</v>
      </c>
      <c r="U21" s="1178">
        <v>82</v>
      </c>
      <c r="V21" s="1178">
        <v>1.4</v>
      </c>
      <c r="W21" s="1178">
        <v>123</v>
      </c>
      <c r="X21" s="1178">
        <v>60.5</v>
      </c>
      <c r="Y21" s="88">
        <f t="shared" si="17"/>
        <v>56.574390243902435</v>
      </c>
      <c r="Z21" s="88">
        <f t="shared" si="39"/>
        <v>389.62</v>
      </c>
      <c r="AA21" s="88">
        <f t="shared" si="40"/>
        <v>4.6390999999999991</v>
      </c>
      <c r="AB21" s="1182">
        <v>2065</v>
      </c>
      <c r="AC21" s="1177">
        <v>94.3</v>
      </c>
      <c r="AD21" s="1178">
        <v>87</v>
      </c>
      <c r="AE21" s="1178">
        <v>0.9</v>
      </c>
      <c r="AF21" s="1178">
        <v>115</v>
      </c>
      <c r="AG21" s="1178">
        <v>63.2</v>
      </c>
      <c r="AH21" s="88">
        <f t="shared" si="19"/>
        <v>58.871264367816089</v>
      </c>
      <c r="AI21" s="88">
        <f t="shared" si="41"/>
        <v>417.1832</v>
      </c>
      <c r="AJ21" s="88">
        <f t="shared" si="42"/>
        <v>5.1217999999999995</v>
      </c>
      <c r="AK21" s="1182">
        <v>1852</v>
      </c>
      <c r="AL21" s="1177">
        <v>96.2</v>
      </c>
      <c r="AM21" s="1178">
        <v>86</v>
      </c>
      <c r="AN21" s="1178">
        <v>0.9</v>
      </c>
      <c r="AO21" s="1178">
        <v>108</v>
      </c>
      <c r="AP21" s="1178">
        <v>60.6</v>
      </c>
      <c r="AQ21" s="88">
        <f t="shared" si="21"/>
        <v>56.583720930232566</v>
      </c>
      <c r="AR21" s="88">
        <f t="shared" si="43"/>
        <v>408.08040000000005</v>
      </c>
      <c r="AS21" s="88">
        <f t="shared" si="44"/>
        <v>4.8662000000000001</v>
      </c>
      <c r="AT21" s="1182">
        <v>1637</v>
      </c>
      <c r="AU21" s="1177">
        <v>95.7</v>
      </c>
      <c r="AV21" s="1178">
        <v>86.2</v>
      </c>
      <c r="AW21" s="1178">
        <v>1.3</v>
      </c>
      <c r="AX21" s="1178">
        <v>112</v>
      </c>
      <c r="AY21" s="1178">
        <v>62.3</v>
      </c>
      <c r="AZ21" s="88">
        <f t="shared" si="23"/>
        <v>57.773549883990732</v>
      </c>
      <c r="BA21" s="88">
        <f t="shared" si="45"/>
        <v>417.34770000000003</v>
      </c>
      <c r="BB21" s="88">
        <f t="shared" si="46"/>
        <v>4.980080000000001</v>
      </c>
      <c r="BC21" s="1182">
        <v>1934</v>
      </c>
      <c r="BD21" s="1177">
        <v>96.3</v>
      </c>
      <c r="BE21" s="1178">
        <v>92</v>
      </c>
      <c r="BF21" s="1178">
        <v>0.8</v>
      </c>
      <c r="BG21" s="1178">
        <v>117</v>
      </c>
      <c r="BH21" s="1178">
        <v>62.3</v>
      </c>
      <c r="BI21" s="88">
        <f t="shared" si="25"/>
        <v>58.601847826086939</v>
      </c>
      <c r="BJ21" s="88">
        <f t="shared" si="47"/>
        <v>419.96429999999998</v>
      </c>
      <c r="BK21" s="88">
        <f t="shared" si="48"/>
        <v>5.3913699999999984</v>
      </c>
      <c r="BL21" s="1182">
        <v>2070</v>
      </c>
      <c r="BM21" s="1177">
        <v>96</v>
      </c>
      <c r="BN21" s="1178">
        <v>83.7</v>
      </c>
      <c r="BO21" s="1178">
        <v>2.2000000000000002</v>
      </c>
      <c r="BP21" s="1178">
        <v>105.5</v>
      </c>
      <c r="BQ21" s="1178">
        <v>60</v>
      </c>
      <c r="BR21" s="88">
        <f t="shared" si="27"/>
        <v>54.913978494623649</v>
      </c>
      <c r="BS21" s="88">
        <f t="shared" si="49"/>
        <v>403.2</v>
      </c>
      <c r="BT21" s="88">
        <f t="shared" si="50"/>
        <v>4.5963000000000003</v>
      </c>
      <c r="BU21" s="1182">
        <v>1650</v>
      </c>
      <c r="BV21" s="1177">
        <v>96.499999999999972</v>
      </c>
      <c r="BW21" s="1178">
        <v>88</v>
      </c>
      <c r="BX21" s="1178">
        <v>1.4000000000000103</v>
      </c>
      <c r="BY21" s="1178">
        <v>115</v>
      </c>
      <c r="BZ21" s="1178">
        <v>62.2</v>
      </c>
      <c r="CA21" s="88">
        <f t="shared" si="29"/>
        <v>58.762499999999996</v>
      </c>
      <c r="CB21" s="88">
        <f t="shared" si="51"/>
        <v>420.16099999999989</v>
      </c>
      <c r="CC21" s="88">
        <f t="shared" si="52"/>
        <v>5.1710999999999991</v>
      </c>
      <c r="CD21" s="1182">
        <v>1858</v>
      </c>
      <c r="CE21" s="1177">
        <v>95.5</v>
      </c>
      <c r="CF21" s="1178">
        <v>82.9</v>
      </c>
      <c r="CG21" s="1178">
        <v>1.8700000000000045</v>
      </c>
      <c r="CH21" s="1178">
        <v>115</v>
      </c>
      <c r="CI21" s="1178">
        <v>62.9</v>
      </c>
      <c r="CJ21" s="88">
        <f t="shared" si="31"/>
        <v>57.97696019300362</v>
      </c>
      <c r="CK21" s="88">
        <f t="shared" si="53"/>
        <v>420.48649999999998</v>
      </c>
      <c r="CL21" s="88">
        <f t="shared" si="54"/>
        <v>4.8062900000000006</v>
      </c>
      <c r="CM21" s="1182">
        <v>1929</v>
      </c>
      <c r="CN21" s="1177">
        <v>95.8</v>
      </c>
      <c r="CO21" s="1178">
        <v>83.3</v>
      </c>
      <c r="CP21" s="1178">
        <v>1.8700000000000045</v>
      </c>
      <c r="CQ21" s="1178">
        <v>108</v>
      </c>
      <c r="CR21" s="1178">
        <v>61.6</v>
      </c>
      <c r="CS21" s="88">
        <f t="shared" si="33"/>
        <v>56.666746698679468</v>
      </c>
      <c r="CT21" s="88">
        <f t="shared" si="55"/>
        <v>413.08959999999996</v>
      </c>
      <c r="CU21" s="88">
        <f t="shared" si="56"/>
        <v>4.7203399999999993</v>
      </c>
      <c r="CV21" s="1182">
        <v>1713</v>
      </c>
      <c r="CW21" s="1177">
        <v>94.8</v>
      </c>
      <c r="CX21" s="1178">
        <v>86</v>
      </c>
      <c r="CY21" s="1178">
        <v>1.87</v>
      </c>
      <c r="CZ21" s="1178">
        <v>113</v>
      </c>
      <c r="DA21" s="1178">
        <v>62.1</v>
      </c>
      <c r="DB21" s="88">
        <f t="shared" si="35"/>
        <v>58.317441860465131</v>
      </c>
      <c r="DC21" s="88">
        <f t="shared" si="57"/>
        <v>412.09559999999993</v>
      </c>
      <c r="DD21" s="88">
        <f t="shared" si="58"/>
        <v>5.0153000000000016</v>
      </c>
      <c r="DE21" s="1182">
        <v>1852</v>
      </c>
    </row>
    <row r="22" spans="1:115" ht="15" x14ac:dyDescent="0.2">
      <c r="A22" s="96">
        <f t="shared" si="12"/>
        <v>34</v>
      </c>
      <c r="B22" s="1177">
        <v>90.9</v>
      </c>
      <c r="C22" s="1178">
        <v>88</v>
      </c>
      <c r="D22" s="1178">
        <v>1.5015015015015014</v>
      </c>
      <c r="E22" s="1178">
        <v>117</v>
      </c>
      <c r="F22" s="1178">
        <v>60.7</v>
      </c>
      <c r="G22" s="88">
        <f t="shared" si="13"/>
        <v>54.839772727272724</v>
      </c>
      <c r="H22" s="88">
        <f t="shared" si="0"/>
        <v>386.23410000000007</v>
      </c>
      <c r="I22" s="88">
        <f t="shared" si="14"/>
        <v>4.8258999999999999</v>
      </c>
      <c r="J22" s="1182">
        <v>1681</v>
      </c>
      <c r="K22" s="1177">
        <v>95.4</v>
      </c>
      <c r="L22" s="1178">
        <v>94</v>
      </c>
      <c r="M22" s="1178">
        <v>1.5015015015015014</v>
      </c>
      <c r="N22" s="1178">
        <v>118</v>
      </c>
      <c r="O22" s="1178">
        <v>63.3</v>
      </c>
      <c r="P22" s="88">
        <f t="shared" si="15"/>
        <v>59.742254255319139</v>
      </c>
      <c r="Q22" s="88">
        <f t="shared" si="37"/>
        <v>422.71740000000005</v>
      </c>
      <c r="R22" s="88">
        <f t="shared" si="38"/>
        <v>5.6157718999999995</v>
      </c>
      <c r="S22" s="1182">
        <v>1861</v>
      </c>
      <c r="T22" s="1177">
        <v>92</v>
      </c>
      <c r="U22" s="1178">
        <v>88</v>
      </c>
      <c r="V22" s="1178">
        <v>1.5</v>
      </c>
      <c r="W22" s="1178">
        <v>124</v>
      </c>
      <c r="X22" s="1178">
        <v>60.9</v>
      </c>
      <c r="Y22" s="88">
        <f t="shared" si="17"/>
        <v>56.869318181818173</v>
      </c>
      <c r="Z22" s="88">
        <f t="shared" si="39"/>
        <v>392.19600000000003</v>
      </c>
      <c r="AA22" s="88">
        <f t="shared" si="40"/>
        <v>5.0044999999999993</v>
      </c>
      <c r="AB22" s="1182">
        <v>2070</v>
      </c>
      <c r="AC22" s="1177">
        <v>94</v>
      </c>
      <c r="AD22" s="1178">
        <v>93</v>
      </c>
      <c r="AE22" s="1178">
        <f>AE21+0.1</f>
        <v>1</v>
      </c>
      <c r="AF22" s="1178">
        <v>115</v>
      </c>
      <c r="AG22" s="1178">
        <v>63.5</v>
      </c>
      <c r="AH22" s="88">
        <f t="shared" si="19"/>
        <v>59.169892473118267</v>
      </c>
      <c r="AI22" s="88">
        <f t="shared" si="41"/>
        <v>417.83</v>
      </c>
      <c r="AJ22" s="88">
        <f t="shared" si="42"/>
        <v>5.5027999999999997</v>
      </c>
      <c r="AK22" s="1182">
        <v>1858</v>
      </c>
      <c r="AL22" s="1177">
        <v>96.1</v>
      </c>
      <c r="AM22" s="1178">
        <v>93</v>
      </c>
      <c r="AN22" s="1178">
        <f>AN21+0.1</f>
        <v>1</v>
      </c>
      <c r="AO22" s="1178">
        <v>108</v>
      </c>
      <c r="AP22" s="1178">
        <v>60.8</v>
      </c>
      <c r="AQ22" s="88">
        <f t="shared" si="21"/>
        <v>56.901075268817216</v>
      </c>
      <c r="AR22" s="88">
        <f t="shared" si="43"/>
        <v>409.00159999999994</v>
      </c>
      <c r="AS22" s="88">
        <f t="shared" si="44"/>
        <v>5.2918000000000012</v>
      </c>
      <c r="AT22" s="1182">
        <v>1645</v>
      </c>
      <c r="AU22" s="1177">
        <v>95.7</v>
      </c>
      <c r="AV22" s="1178">
        <v>92.8</v>
      </c>
      <c r="AW22" s="1178">
        <v>1.4000000000000001</v>
      </c>
      <c r="AX22" s="1178">
        <v>112</v>
      </c>
      <c r="AY22" s="1178">
        <v>62.6</v>
      </c>
      <c r="AZ22" s="88">
        <f t="shared" si="23"/>
        <v>58.116810344827591</v>
      </c>
      <c r="BA22" s="88">
        <f t="shared" si="45"/>
        <v>419.35740000000004</v>
      </c>
      <c r="BB22" s="88">
        <f t="shared" si="46"/>
        <v>5.3932400000000005</v>
      </c>
      <c r="BC22" s="1182">
        <v>1937</v>
      </c>
      <c r="BD22" s="1177">
        <v>96.1</v>
      </c>
      <c r="BE22" s="1178">
        <v>98.7</v>
      </c>
      <c r="BF22" s="1178">
        <v>0.86000000000000221</v>
      </c>
      <c r="BG22" s="1178">
        <v>117</v>
      </c>
      <c r="BH22" s="1178">
        <v>62.5</v>
      </c>
      <c r="BI22" s="88">
        <f t="shared" si="25"/>
        <v>58.866464032421462</v>
      </c>
      <c r="BJ22" s="88">
        <f t="shared" si="47"/>
        <v>420.43749999999994</v>
      </c>
      <c r="BK22" s="88">
        <f t="shared" si="48"/>
        <v>5.8101199999999986</v>
      </c>
      <c r="BL22" s="1182">
        <v>2080</v>
      </c>
      <c r="BM22" s="1177">
        <v>96</v>
      </c>
      <c r="BN22" s="1178">
        <v>90.25</v>
      </c>
      <c r="BO22" s="1178">
        <v>2.2000000000000002</v>
      </c>
      <c r="BP22" s="1178">
        <v>106</v>
      </c>
      <c r="BQ22" s="1178">
        <v>60</v>
      </c>
      <c r="BR22" s="88">
        <f t="shared" si="27"/>
        <v>55.283102493074779</v>
      </c>
      <c r="BS22" s="88">
        <f t="shared" si="49"/>
        <v>403.2</v>
      </c>
      <c r="BT22" s="88">
        <f t="shared" si="50"/>
        <v>4.9892999999999992</v>
      </c>
      <c r="BU22" s="1182">
        <v>1650</v>
      </c>
      <c r="BV22" s="1177">
        <v>96.499999999999972</v>
      </c>
      <c r="BW22" s="1178">
        <v>94</v>
      </c>
      <c r="BX22" s="1178">
        <v>1.4000000000000103</v>
      </c>
      <c r="BY22" s="1178">
        <v>115</v>
      </c>
      <c r="BZ22" s="1178">
        <v>62.4</v>
      </c>
      <c r="CA22" s="88">
        <f t="shared" si="29"/>
        <v>58.994680851063826</v>
      </c>
      <c r="CB22" s="88">
        <f t="shared" si="51"/>
        <v>421.51199999999989</v>
      </c>
      <c r="CC22" s="88">
        <f t="shared" si="52"/>
        <v>5.5454999999999988</v>
      </c>
      <c r="CD22" s="1182">
        <v>1860</v>
      </c>
      <c r="CE22" s="1177">
        <v>95.5</v>
      </c>
      <c r="CF22" s="1178">
        <v>89.5</v>
      </c>
      <c r="CG22" s="1178">
        <v>1.9700000000000044</v>
      </c>
      <c r="CH22" s="1178">
        <v>115</v>
      </c>
      <c r="CI22" s="1178">
        <v>63.3</v>
      </c>
      <c r="CJ22" s="88">
        <f t="shared" si="31"/>
        <v>58.369497206703919</v>
      </c>
      <c r="CK22" s="88">
        <f t="shared" si="53"/>
        <v>423.16049999999996</v>
      </c>
      <c r="CL22" s="88">
        <f t="shared" si="54"/>
        <v>5.2240700000000002</v>
      </c>
      <c r="CM22" s="1182">
        <v>1932</v>
      </c>
      <c r="CN22" s="1177">
        <v>95.9</v>
      </c>
      <c r="CO22" s="1178">
        <v>90</v>
      </c>
      <c r="CP22" s="1178">
        <v>1.9700000000000044</v>
      </c>
      <c r="CQ22" s="1178">
        <v>108</v>
      </c>
      <c r="CR22" s="1178">
        <v>62</v>
      </c>
      <c r="CS22" s="88">
        <f t="shared" si="33"/>
        <v>57.063777777777773</v>
      </c>
      <c r="CT22" s="88">
        <f t="shared" si="55"/>
        <v>416.20600000000007</v>
      </c>
      <c r="CU22" s="88">
        <f t="shared" si="56"/>
        <v>5.1357399999999993</v>
      </c>
      <c r="CV22" s="1182">
        <v>1715</v>
      </c>
      <c r="CW22" s="1177">
        <v>94.6</v>
      </c>
      <c r="CX22" s="1178">
        <v>92</v>
      </c>
      <c r="CY22" s="1178">
        <v>1.9700000000000002</v>
      </c>
      <c r="CZ22" s="1178">
        <v>113</v>
      </c>
      <c r="DA22" s="1178">
        <v>62.4</v>
      </c>
      <c r="DB22" s="88">
        <f t="shared" si="35"/>
        <v>58.58369565217393</v>
      </c>
      <c r="DC22" s="88">
        <f t="shared" si="57"/>
        <v>413.21279999999996</v>
      </c>
      <c r="DD22" s="88">
        <f t="shared" si="58"/>
        <v>5.3897000000000004</v>
      </c>
      <c r="DE22" s="1182">
        <v>1858</v>
      </c>
    </row>
    <row r="23" spans="1:115" ht="15" x14ac:dyDescent="0.2">
      <c r="A23" s="96">
        <f t="shared" si="12"/>
        <v>35</v>
      </c>
      <c r="B23" s="1177">
        <v>90.8</v>
      </c>
      <c r="C23" s="1178">
        <v>94</v>
      </c>
      <c r="D23" s="1178">
        <v>1.6016016016016015</v>
      </c>
      <c r="E23" s="1178">
        <v>117</v>
      </c>
      <c r="F23" s="1178">
        <v>60.9</v>
      </c>
      <c r="G23" s="88">
        <f t="shared" si="13"/>
        <v>55.226595744680843</v>
      </c>
      <c r="H23" s="88">
        <f t="shared" si="0"/>
        <v>387.0804</v>
      </c>
      <c r="I23" s="88">
        <f t="shared" si="14"/>
        <v>5.1913</v>
      </c>
      <c r="J23" s="1182">
        <v>1685</v>
      </c>
      <c r="K23" s="1177">
        <v>95.3</v>
      </c>
      <c r="L23" s="1178">
        <v>101</v>
      </c>
      <c r="M23" s="1178">
        <v>1.6016016016016015</v>
      </c>
      <c r="N23" s="1178">
        <v>118</v>
      </c>
      <c r="O23" s="1178">
        <v>63.4</v>
      </c>
      <c r="P23" s="88">
        <f t="shared" si="15"/>
        <v>59.995761386138604</v>
      </c>
      <c r="Q23" s="88">
        <f t="shared" si="37"/>
        <v>422.94139999999993</v>
      </c>
      <c r="R23" s="88">
        <f t="shared" si="38"/>
        <v>6.059571899999999</v>
      </c>
      <c r="S23" s="1182">
        <v>1867</v>
      </c>
      <c r="T23" s="1177">
        <v>92</v>
      </c>
      <c r="U23" s="1178">
        <v>94</v>
      </c>
      <c r="V23" s="1178">
        <v>1.6</v>
      </c>
      <c r="W23" s="1178">
        <v>124</v>
      </c>
      <c r="X23" s="1178">
        <v>61.1</v>
      </c>
      <c r="Y23" s="88">
        <f t="shared" si="17"/>
        <v>57.139361702127651</v>
      </c>
      <c r="Z23" s="88">
        <f t="shared" si="39"/>
        <v>393.48400000000004</v>
      </c>
      <c r="AA23" s="88">
        <f t="shared" si="40"/>
        <v>5.3710999999999993</v>
      </c>
      <c r="AB23" s="1182">
        <v>2075</v>
      </c>
      <c r="AC23" s="1177">
        <v>93.8</v>
      </c>
      <c r="AD23" s="1178">
        <v>100</v>
      </c>
      <c r="AE23" s="1178">
        <f>AE22</f>
        <v>1</v>
      </c>
      <c r="AF23" s="1178">
        <v>115</v>
      </c>
      <c r="AG23" s="1178">
        <v>63.7</v>
      </c>
      <c r="AH23" s="88">
        <f t="shared" si="19"/>
        <v>59.486999999999995</v>
      </c>
      <c r="AI23" s="88">
        <f t="shared" si="41"/>
        <v>418.25420000000003</v>
      </c>
      <c r="AJ23" s="88">
        <f t="shared" si="42"/>
        <v>5.9486999999999997</v>
      </c>
      <c r="AK23" s="1182">
        <v>1864</v>
      </c>
      <c r="AL23" s="1177">
        <v>96</v>
      </c>
      <c r="AM23" s="1178">
        <v>100</v>
      </c>
      <c r="AN23" s="1178">
        <f>AN22</f>
        <v>1</v>
      </c>
      <c r="AO23" s="1178">
        <v>109</v>
      </c>
      <c r="AP23" s="1178">
        <v>60.9</v>
      </c>
      <c r="AQ23" s="88">
        <f t="shared" si="21"/>
        <v>57.181000000000012</v>
      </c>
      <c r="AR23" s="88">
        <f t="shared" si="43"/>
        <v>409.24799999999999</v>
      </c>
      <c r="AS23" s="88">
        <f t="shared" si="44"/>
        <v>5.7181000000000015</v>
      </c>
      <c r="AT23" s="1182">
        <v>1652</v>
      </c>
      <c r="AU23" s="1177">
        <v>95.6</v>
      </c>
      <c r="AV23" s="1178">
        <v>99.4</v>
      </c>
      <c r="AW23" s="1178">
        <v>1.5</v>
      </c>
      <c r="AX23" s="1178">
        <v>112</v>
      </c>
      <c r="AY23" s="1178">
        <v>62.8</v>
      </c>
      <c r="AZ23" s="88">
        <f t="shared" si="23"/>
        <v>58.427766599597589</v>
      </c>
      <c r="BA23" s="88">
        <f t="shared" si="45"/>
        <v>420.25759999999997</v>
      </c>
      <c r="BB23" s="88">
        <f t="shared" si="46"/>
        <v>5.8077200000000007</v>
      </c>
      <c r="BC23" s="1182">
        <v>1940</v>
      </c>
      <c r="BD23" s="1177">
        <v>96</v>
      </c>
      <c r="BE23" s="1178">
        <v>105.3</v>
      </c>
      <c r="BF23" s="1178">
        <v>0.92000000000000448</v>
      </c>
      <c r="BG23" s="1178">
        <v>117</v>
      </c>
      <c r="BH23" s="1178">
        <v>62.7</v>
      </c>
      <c r="BI23" s="88">
        <f t="shared" si="25"/>
        <v>59.10674264007595</v>
      </c>
      <c r="BJ23" s="88">
        <f t="shared" si="47"/>
        <v>421.34399999999999</v>
      </c>
      <c r="BK23" s="88">
        <f t="shared" si="48"/>
        <v>6.2239399999999971</v>
      </c>
      <c r="BL23" s="1182">
        <v>2080</v>
      </c>
      <c r="BM23" s="1177">
        <v>95</v>
      </c>
      <c r="BN23" s="1178">
        <v>96.75</v>
      </c>
      <c r="BO23" s="1178">
        <v>2.2999999999999998</v>
      </c>
      <c r="BP23" s="1178">
        <v>106.5</v>
      </c>
      <c r="BQ23" s="1178">
        <v>61</v>
      </c>
      <c r="BR23" s="88">
        <f t="shared" si="27"/>
        <v>55.667183462532279</v>
      </c>
      <c r="BS23" s="88">
        <f t="shared" si="49"/>
        <v>405.65</v>
      </c>
      <c r="BT23" s="88">
        <f t="shared" si="50"/>
        <v>5.3857999999999979</v>
      </c>
      <c r="BU23" s="1182">
        <v>1650</v>
      </c>
      <c r="BV23" s="1177">
        <v>96.4</v>
      </c>
      <c r="BW23" s="1178">
        <v>101</v>
      </c>
      <c r="BX23" s="1178">
        <v>1.5000000000000013</v>
      </c>
      <c r="BY23" s="1178">
        <v>115</v>
      </c>
      <c r="BZ23" s="1178">
        <v>62.6</v>
      </c>
      <c r="CA23" s="88">
        <f t="shared" si="29"/>
        <v>59.244554455445545</v>
      </c>
      <c r="CB23" s="88">
        <f t="shared" si="51"/>
        <v>422.4248</v>
      </c>
      <c r="CC23" s="88">
        <f t="shared" si="52"/>
        <v>5.9836999999999998</v>
      </c>
      <c r="CD23" s="1182">
        <v>1863</v>
      </c>
      <c r="CE23" s="1177">
        <v>95.4</v>
      </c>
      <c r="CF23" s="1178">
        <v>96.2</v>
      </c>
      <c r="CG23" s="1178">
        <v>2.0700000000000043</v>
      </c>
      <c r="CH23" s="1178">
        <v>115</v>
      </c>
      <c r="CI23" s="1178">
        <v>63.7</v>
      </c>
      <c r="CJ23" s="88">
        <f t="shared" si="31"/>
        <v>58.740748440748447</v>
      </c>
      <c r="CK23" s="88">
        <f t="shared" si="53"/>
        <v>425.38860000000005</v>
      </c>
      <c r="CL23" s="88">
        <f t="shared" si="54"/>
        <v>5.6508600000000007</v>
      </c>
      <c r="CM23" s="1182">
        <v>1934</v>
      </c>
      <c r="CN23" s="1177">
        <v>95.9</v>
      </c>
      <c r="CO23" s="1178">
        <v>96.6</v>
      </c>
      <c r="CP23" s="1178">
        <v>2.0700000000000043</v>
      </c>
      <c r="CQ23" s="1178">
        <v>108</v>
      </c>
      <c r="CR23" s="1178">
        <v>62.3</v>
      </c>
      <c r="CS23" s="88">
        <f t="shared" si="33"/>
        <v>57.421532091097305</v>
      </c>
      <c r="CT23" s="88">
        <f t="shared" si="55"/>
        <v>418.21990000000005</v>
      </c>
      <c r="CU23" s="88">
        <f t="shared" si="56"/>
        <v>5.5469200000000001</v>
      </c>
      <c r="CV23" s="1182">
        <v>1718</v>
      </c>
      <c r="CW23" s="1177">
        <v>94.4</v>
      </c>
      <c r="CX23" s="1178">
        <v>99</v>
      </c>
      <c r="CY23" s="1178">
        <v>2.0700000000000003</v>
      </c>
      <c r="CZ23" s="1178">
        <v>113</v>
      </c>
      <c r="DA23" s="1178">
        <v>62.7</v>
      </c>
      <c r="DB23" s="88">
        <f t="shared" si="35"/>
        <v>58.874747474747494</v>
      </c>
      <c r="DC23" s="88">
        <f t="shared" si="57"/>
        <v>414.32160000000005</v>
      </c>
      <c r="DD23" s="88">
        <f t="shared" si="58"/>
        <v>5.8286000000000016</v>
      </c>
      <c r="DE23" s="1182">
        <v>1864</v>
      </c>
    </row>
    <row r="24" spans="1:115" ht="15" x14ac:dyDescent="0.2">
      <c r="A24" s="96">
        <f t="shared" si="12"/>
        <v>36</v>
      </c>
      <c r="B24" s="1177">
        <v>90.6</v>
      </c>
      <c r="C24" s="1178">
        <v>101</v>
      </c>
      <c r="D24" s="1178">
        <v>1.7017017017017018</v>
      </c>
      <c r="E24" s="1178">
        <v>117</v>
      </c>
      <c r="F24" s="1178">
        <v>61.1</v>
      </c>
      <c r="G24" s="88">
        <f t="shared" si="13"/>
        <v>55.633663366336627</v>
      </c>
      <c r="H24" s="88">
        <f t="shared" si="0"/>
        <v>387.49619999999999</v>
      </c>
      <c r="I24" s="88">
        <f t="shared" si="14"/>
        <v>5.6189999999999989</v>
      </c>
      <c r="J24" s="1182">
        <v>1688</v>
      </c>
      <c r="K24" s="1177">
        <v>95.2</v>
      </c>
      <c r="L24" s="1178">
        <v>107</v>
      </c>
      <c r="M24" s="1178">
        <v>1.7017017017017018</v>
      </c>
      <c r="N24" s="1178">
        <v>118</v>
      </c>
      <c r="O24" s="1178">
        <v>63.5</v>
      </c>
      <c r="P24" s="88">
        <f t="shared" si="15"/>
        <v>60.192260747663546</v>
      </c>
      <c r="Q24" s="88">
        <f t="shared" si="37"/>
        <v>423.16400000000004</v>
      </c>
      <c r="R24" s="88">
        <f t="shared" si="38"/>
        <v>6.4405718999999992</v>
      </c>
      <c r="S24" s="1182">
        <v>1873</v>
      </c>
      <c r="T24" s="1177">
        <v>91</v>
      </c>
      <c r="U24" s="1178">
        <v>101</v>
      </c>
      <c r="V24" s="1178">
        <v>1.7</v>
      </c>
      <c r="W24" s="1178">
        <v>124</v>
      </c>
      <c r="X24" s="1178">
        <v>61.3</v>
      </c>
      <c r="Y24" s="88">
        <f t="shared" si="17"/>
        <v>57.427722772277221</v>
      </c>
      <c r="Z24" s="88">
        <f t="shared" si="39"/>
        <v>390.48099999999999</v>
      </c>
      <c r="AA24" s="88">
        <f t="shared" si="40"/>
        <v>5.8001999999999994</v>
      </c>
      <c r="AB24" s="1182">
        <v>2080</v>
      </c>
      <c r="AC24" s="1177">
        <v>93.5</v>
      </c>
      <c r="AD24" s="1178">
        <v>106</v>
      </c>
      <c r="AE24" s="1178">
        <f>AE23+0.1</f>
        <v>1.1000000000000001</v>
      </c>
      <c r="AF24" s="1178">
        <v>115</v>
      </c>
      <c r="AG24" s="1178">
        <v>63.9</v>
      </c>
      <c r="AH24" s="88">
        <f t="shared" si="19"/>
        <v>59.736792452830187</v>
      </c>
      <c r="AI24" s="88">
        <f t="shared" si="41"/>
        <v>418.22550000000001</v>
      </c>
      <c r="AJ24" s="88">
        <f t="shared" si="42"/>
        <v>6.3320999999999996</v>
      </c>
      <c r="AK24" s="1182">
        <v>1870</v>
      </c>
      <c r="AL24" s="1177">
        <v>95.8</v>
      </c>
      <c r="AM24" s="1178">
        <v>106</v>
      </c>
      <c r="AN24" s="1178">
        <f>AN23+0.1</f>
        <v>1.1000000000000001</v>
      </c>
      <c r="AO24" s="1178">
        <v>109</v>
      </c>
      <c r="AP24" s="1178">
        <v>61</v>
      </c>
      <c r="AQ24" s="88">
        <f t="shared" si="21"/>
        <v>57.397169811320765</v>
      </c>
      <c r="AR24" s="88">
        <f t="shared" si="43"/>
        <v>409.06599999999997</v>
      </c>
      <c r="AS24" s="88">
        <f t="shared" si="44"/>
        <v>6.0841000000000012</v>
      </c>
      <c r="AT24" s="1182">
        <v>1658</v>
      </c>
      <c r="AU24" s="1177">
        <v>95.5</v>
      </c>
      <c r="AV24" s="1178">
        <v>106</v>
      </c>
      <c r="AW24" s="1178">
        <v>1.5999999999999885</v>
      </c>
      <c r="AX24" s="1178">
        <v>112</v>
      </c>
      <c r="AY24" s="1178">
        <v>63</v>
      </c>
      <c r="AZ24" s="88">
        <f t="shared" si="23"/>
        <v>58.712452830188688</v>
      </c>
      <c r="BA24" s="88">
        <f t="shared" si="45"/>
        <v>421.15499999999997</v>
      </c>
      <c r="BB24" s="88">
        <f t="shared" si="46"/>
        <v>6.2235200000000015</v>
      </c>
      <c r="BC24" s="1182">
        <v>1943</v>
      </c>
      <c r="BD24" s="1177">
        <v>95.8</v>
      </c>
      <c r="BE24" s="1178">
        <v>111.9</v>
      </c>
      <c r="BF24" s="1178">
        <v>0.97000000000000453</v>
      </c>
      <c r="BG24" s="1178">
        <v>116</v>
      </c>
      <c r="BH24" s="1178">
        <v>62.9</v>
      </c>
      <c r="BI24" s="88">
        <f t="shared" si="25"/>
        <v>59.330473637176034</v>
      </c>
      <c r="BJ24" s="88">
        <f t="shared" si="47"/>
        <v>421.80739999999997</v>
      </c>
      <c r="BK24" s="88">
        <f t="shared" si="48"/>
        <v>6.639079999999999</v>
      </c>
      <c r="BL24" s="1182">
        <v>2080</v>
      </c>
      <c r="BM24" s="1177">
        <v>95</v>
      </c>
      <c r="BN24" s="1178">
        <v>103.25</v>
      </c>
      <c r="BO24" s="1178">
        <v>2.2999999999999998</v>
      </c>
      <c r="BP24" s="1178">
        <v>106.5</v>
      </c>
      <c r="BQ24" s="1178">
        <v>61</v>
      </c>
      <c r="BR24" s="88">
        <f t="shared" si="27"/>
        <v>56.002905569007254</v>
      </c>
      <c r="BS24" s="88">
        <f t="shared" si="49"/>
        <v>405.65</v>
      </c>
      <c r="BT24" s="88">
        <f t="shared" si="50"/>
        <v>5.7822999999999976</v>
      </c>
      <c r="BU24" s="1182">
        <v>1650</v>
      </c>
      <c r="BV24" s="1177">
        <v>96.3</v>
      </c>
      <c r="BW24" s="1178">
        <v>107</v>
      </c>
      <c r="BX24" s="1178">
        <v>1.5999999999999923</v>
      </c>
      <c r="BY24" s="1178">
        <v>115</v>
      </c>
      <c r="BZ24" s="1178">
        <v>62.7</v>
      </c>
      <c r="CA24" s="88">
        <f t="shared" si="29"/>
        <v>59.438317757009344</v>
      </c>
      <c r="CB24" s="88">
        <f t="shared" si="51"/>
        <v>422.66070000000002</v>
      </c>
      <c r="CC24" s="88">
        <f t="shared" si="52"/>
        <v>6.3598999999999997</v>
      </c>
      <c r="CD24" s="1182">
        <v>1870</v>
      </c>
      <c r="CE24" s="1177">
        <v>95.3</v>
      </c>
      <c r="CF24" s="1178">
        <v>102.8</v>
      </c>
      <c r="CG24" s="1178">
        <v>2.15</v>
      </c>
      <c r="CH24" s="1178">
        <v>115</v>
      </c>
      <c r="CI24" s="1178">
        <v>63.9</v>
      </c>
      <c r="CJ24" s="88">
        <f t="shared" si="31"/>
        <v>59.071984435797667</v>
      </c>
      <c r="CK24" s="88">
        <f t="shared" si="53"/>
        <v>426.27689999999996</v>
      </c>
      <c r="CL24" s="88">
        <f t="shared" si="54"/>
        <v>6.0726000000000004</v>
      </c>
      <c r="CM24" s="1182">
        <v>1936</v>
      </c>
      <c r="CN24" s="1177">
        <v>95.8</v>
      </c>
      <c r="CO24" s="1178">
        <v>103.3</v>
      </c>
      <c r="CP24" s="1178">
        <v>2.15</v>
      </c>
      <c r="CQ24" s="1178">
        <v>108</v>
      </c>
      <c r="CR24" s="1178">
        <v>62.5</v>
      </c>
      <c r="CS24" s="88">
        <f t="shared" si="33"/>
        <v>57.750919651500482</v>
      </c>
      <c r="CT24" s="88">
        <f t="shared" si="55"/>
        <v>419.12499999999994</v>
      </c>
      <c r="CU24" s="88">
        <f t="shared" si="56"/>
        <v>5.9656699999999994</v>
      </c>
      <c r="CV24" s="1182">
        <v>1720</v>
      </c>
      <c r="CW24" s="1177">
        <v>94.3</v>
      </c>
      <c r="CX24" s="1178">
        <v>105</v>
      </c>
      <c r="CY24" s="1178">
        <v>2.1500000000000004</v>
      </c>
      <c r="CZ24" s="1178">
        <v>113</v>
      </c>
      <c r="DA24" s="1178">
        <v>62.9</v>
      </c>
      <c r="DB24" s="88">
        <f t="shared" si="35"/>
        <v>59.104761904761922</v>
      </c>
      <c r="DC24" s="88">
        <f t="shared" si="57"/>
        <v>415.2029</v>
      </c>
      <c r="DD24" s="88">
        <f t="shared" si="58"/>
        <v>6.2060000000000022</v>
      </c>
      <c r="DE24" s="1182">
        <v>1870</v>
      </c>
    </row>
    <row r="25" spans="1:115" ht="15" x14ac:dyDescent="0.15">
      <c r="A25" s="954">
        <f t="shared" si="12"/>
        <v>37</v>
      </c>
      <c r="B25" s="1177">
        <v>90.4</v>
      </c>
      <c r="C25" s="1178">
        <v>107</v>
      </c>
      <c r="D25" s="1178">
        <v>1.8018018018018018</v>
      </c>
      <c r="E25" s="1178">
        <v>117</v>
      </c>
      <c r="F25" s="1178">
        <v>61.3</v>
      </c>
      <c r="G25" s="88">
        <f t="shared" si="13"/>
        <v>55.951401869158865</v>
      </c>
      <c r="H25" s="88">
        <f t="shared" si="0"/>
        <v>387.90640000000002</v>
      </c>
      <c r="I25" s="88">
        <f t="shared" si="14"/>
        <v>5.9867999999999988</v>
      </c>
      <c r="J25" s="1182">
        <v>1691</v>
      </c>
      <c r="K25" s="1177">
        <v>95</v>
      </c>
      <c r="L25" s="1178">
        <v>114</v>
      </c>
      <c r="M25" s="1178">
        <v>1.8018018018018018</v>
      </c>
      <c r="N25" s="1178">
        <v>118</v>
      </c>
      <c r="O25" s="1178">
        <v>63.6</v>
      </c>
      <c r="P25" s="88">
        <f t="shared" si="15"/>
        <v>60.401507894736831</v>
      </c>
      <c r="Q25" s="88">
        <f t="shared" si="37"/>
        <v>422.94</v>
      </c>
      <c r="R25" s="88">
        <f t="shared" si="38"/>
        <v>6.8857718999999991</v>
      </c>
      <c r="S25" s="1182">
        <v>1878</v>
      </c>
      <c r="T25" s="1177">
        <v>91</v>
      </c>
      <c r="U25" s="1178">
        <v>107</v>
      </c>
      <c r="V25" s="1178">
        <v>1.8</v>
      </c>
      <c r="W25" s="1178">
        <v>125</v>
      </c>
      <c r="X25" s="1178">
        <v>61.5</v>
      </c>
      <c r="Y25" s="88">
        <f t="shared" si="17"/>
        <v>57.656074766355125</v>
      </c>
      <c r="Z25" s="88">
        <f t="shared" si="39"/>
        <v>391.755</v>
      </c>
      <c r="AA25" s="88">
        <f t="shared" si="40"/>
        <v>6.1691999999999982</v>
      </c>
      <c r="AB25" s="1182">
        <v>2085</v>
      </c>
      <c r="AC25" s="1177">
        <v>93.3</v>
      </c>
      <c r="AD25" s="1178">
        <v>113</v>
      </c>
      <c r="AE25" s="1178">
        <v>1.2</v>
      </c>
      <c r="AF25" s="1178">
        <v>115</v>
      </c>
      <c r="AG25" s="1178">
        <v>64.099999999999994</v>
      </c>
      <c r="AH25" s="88">
        <f t="shared" si="19"/>
        <v>60.007079646017694</v>
      </c>
      <c r="AI25" s="88">
        <f t="shared" si="41"/>
        <v>418.63709999999992</v>
      </c>
      <c r="AJ25" s="88">
        <f t="shared" si="42"/>
        <v>6.7807999999999993</v>
      </c>
      <c r="AK25" s="1182">
        <v>1876</v>
      </c>
      <c r="AL25" s="1177">
        <v>95.7</v>
      </c>
      <c r="AM25" s="1178">
        <v>113</v>
      </c>
      <c r="AN25" s="1178">
        <v>1.2</v>
      </c>
      <c r="AO25" s="1178">
        <v>109</v>
      </c>
      <c r="AP25" s="1178">
        <v>61.1</v>
      </c>
      <c r="AQ25" s="88">
        <f t="shared" si="21"/>
        <v>57.626548672566386</v>
      </c>
      <c r="AR25" s="88">
        <f t="shared" si="43"/>
        <v>409.30890000000005</v>
      </c>
      <c r="AS25" s="88">
        <f t="shared" si="44"/>
        <v>6.5118000000000009</v>
      </c>
      <c r="AT25" s="1182">
        <v>1663</v>
      </c>
      <c r="AU25" s="1177">
        <v>95.4</v>
      </c>
      <c r="AV25" s="1178">
        <v>112.6</v>
      </c>
      <c r="AW25" s="1178">
        <v>1.7000000000000002</v>
      </c>
      <c r="AX25" s="1178">
        <v>112</v>
      </c>
      <c r="AY25" s="1178">
        <v>63.2</v>
      </c>
      <c r="AZ25" s="88">
        <f t="shared" si="23"/>
        <v>58.975488454706934</v>
      </c>
      <c r="BA25" s="88">
        <f t="shared" si="45"/>
        <v>422.04960000000005</v>
      </c>
      <c r="BB25" s="88">
        <f t="shared" si="46"/>
        <v>6.6406400000000012</v>
      </c>
      <c r="BC25" s="1182">
        <v>1946</v>
      </c>
      <c r="BD25" s="1177">
        <v>95.7</v>
      </c>
      <c r="BE25" s="1178">
        <v>118.6</v>
      </c>
      <c r="BF25" s="1178">
        <v>1.0200000000000047</v>
      </c>
      <c r="BG25" s="1178">
        <v>116</v>
      </c>
      <c r="BH25" s="1178">
        <v>63.1</v>
      </c>
      <c r="BI25" s="88">
        <f t="shared" si="25"/>
        <v>59.543423271500821</v>
      </c>
      <c r="BJ25" s="88">
        <f t="shared" si="47"/>
        <v>422.70690000000008</v>
      </c>
      <c r="BK25" s="88">
        <f t="shared" si="48"/>
        <v>7.0618499999999971</v>
      </c>
      <c r="BL25" s="1182">
        <v>2090</v>
      </c>
      <c r="BM25" s="1177">
        <v>95</v>
      </c>
      <c r="BN25" s="1178">
        <v>109.75</v>
      </c>
      <c r="BO25" s="1178">
        <v>2.4</v>
      </c>
      <c r="BP25" s="1178">
        <v>106.5</v>
      </c>
      <c r="BQ25" s="1178">
        <v>61</v>
      </c>
      <c r="BR25" s="88">
        <f t="shared" si="27"/>
        <v>56.298861047835985</v>
      </c>
      <c r="BS25" s="88">
        <f t="shared" si="49"/>
        <v>405.65</v>
      </c>
      <c r="BT25" s="88">
        <f t="shared" si="50"/>
        <v>6.178799999999999</v>
      </c>
      <c r="BU25" s="1182">
        <v>1650</v>
      </c>
      <c r="BV25" s="1177">
        <v>96.1</v>
      </c>
      <c r="BW25" s="1178">
        <v>114</v>
      </c>
      <c r="BX25" s="1178">
        <v>1.700000000000006</v>
      </c>
      <c r="BY25" s="1178">
        <v>115</v>
      </c>
      <c r="BZ25" s="1178">
        <v>62.9</v>
      </c>
      <c r="CA25" s="88">
        <f t="shared" si="29"/>
        <v>59.650877192982456</v>
      </c>
      <c r="CB25" s="88">
        <f t="shared" si="51"/>
        <v>423.12829999999997</v>
      </c>
      <c r="CC25" s="88">
        <f t="shared" si="52"/>
        <v>6.8001999999999994</v>
      </c>
      <c r="CD25" s="1182">
        <v>1870</v>
      </c>
      <c r="CE25" s="1177">
        <v>95.1</v>
      </c>
      <c r="CF25" s="1178">
        <v>109.3</v>
      </c>
      <c r="CG25" s="1178">
        <v>2.2299999999999955</v>
      </c>
      <c r="CH25" s="1178">
        <v>115</v>
      </c>
      <c r="CI25" s="1178">
        <v>64.099999999999994</v>
      </c>
      <c r="CJ25" s="88">
        <f t="shared" si="31"/>
        <v>59.370997255260754</v>
      </c>
      <c r="CK25" s="88">
        <f t="shared" si="53"/>
        <v>426.71369999999996</v>
      </c>
      <c r="CL25" s="88">
        <f t="shared" si="54"/>
        <v>6.4892500000000002</v>
      </c>
      <c r="CM25" s="1182">
        <v>1939</v>
      </c>
      <c r="CN25" s="1177">
        <v>95.8</v>
      </c>
      <c r="CO25" s="1178">
        <v>109.9</v>
      </c>
      <c r="CP25" s="1178">
        <v>2.2299999999999955</v>
      </c>
      <c r="CQ25" s="1178">
        <v>108</v>
      </c>
      <c r="CR25" s="1178">
        <v>62.7</v>
      </c>
      <c r="CS25" s="88">
        <f t="shared" si="33"/>
        <v>58.048134667879886</v>
      </c>
      <c r="CT25" s="88">
        <f t="shared" si="55"/>
        <v>420.46620000000001</v>
      </c>
      <c r="CU25" s="88">
        <f t="shared" si="56"/>
        <v>6.3794899999999997</v>
      </c>
      <c r="CV25" s="1182">
        <v>1723</v>
      </c>
      <c r="CW25" s="1177">
        <v>94.2</v>
      </c>
      <c r="CX25" s="1178">
        <v>112</v>
      </c>
      <c r="CY25" s="1178">
        <v>2.2300000000000004</v>
      </c>
      <c r="CZ25" s="1178">
        <v>113</v>
      </c>
      <c r="DA25" s="1178">
        <v>63.1</v>
      </c>
      <c r="DB25" s="88">
        <f t="shared" si="35"/>
        <v>59.3544642857143</v>
      </c>
      <c r="DC25" s="88">
        <f t="shared" si="57"/>
        <v>416.08140000000003</v>
      </c>
      <c r="DD25" s="88">
        <f t="shared" si="58"/>
        <v>6.6477000000000022</v>
      </c>
      <c r="DE25" s="1182">
        <v>1876</v>
      </c>
      <c r="DF25" s="955"/>
      <c r="DG25" s="955"/>
      <c r="DH25" s="955"/>
      <c r="DI25" s="955"/>
      <c r="DJ25" s="955"/>
      <c r="DK25" s="955"/>
    </row>
    <row r="26" spans="1:115" ht="15" x14ac:dyDescent="0.2">
      <c r="A26" s="96">
        <f t="shared" si="12"/>
        <v>38</v>
      </c>
      <c r="B26" s="1177">
        <v>90.1</v>
      </c>
      <c r="C26" s="1178">
        <v>113</v>
      </c>
      <c r="D26" s="1178">
        <v>1.9019019019019021</v>
      </c>
      <c r="E26" s="1178">
        <v>117</v>
      </c>
      <c r="F26" s="1178">
        <v>61.4</v>
      </c>
      <c r="G26" s="88">
        <f t="shared" si="13"/>
        <v>56.240707964601761</v>
      </c>
      <c r="H26" s="88">
        <f t="shared" si="0"/>
        <v>387.24979999999994</v>
      </c>
      <c r="I26" s="88">
        <f t="shared" si="14"/>
        <v>6.3551999999999991</v>
      </c>
      <c r="J26" s="1182">
        <v>1694</v>
      </c>
      <c r="K26" s="1177">
        <v>94.8</v>
      </c>
      <c r="L26" s="1178">
        <v>120</v>
      </c>
      <c r="M26" s="1178">
        <v>1.9019019019019021</v>
      </c>
      <c r="N26" s="1178">
        <v>118</v>
      </c>
      <c r="O26" s="1178">
        <v>63.6</v>
      </c>
      <c r="P26" s="88">
        <f t="shared" si="15"/>
        <v>60.561432499999988</v>
      </c>
      <c r="Q26" s="88">
        <f t="shared" si="37"/>
        <v>422.04959999999994</v>
      </c>
      <c r="R26" s="88">
        <f t="shared" si="38"/>
        <v>7.2673718999999988</v>
      </c>
      <c r="S26" s="1182">
        <v>1882</v>
      </c>
      <c r="T26" s="1177">
        <v>91</v>
      </c>
      <c r="U26" s="1178">
        <v>113</v>
      </c>
      <c r="V26" s="1178">
        <v>1.9</v>
      </c>
      <c r="W26" s="1178">
        <v>125</v>
      </c>
      <c r="X26" s="1178">
        <v>61.6</v>
      </c>
      <c r="Y26" s="88">
        <f t="shared" si="17"/>
        <v>57.865486725663693</v>
      </c>
      <c r="Z26" s="88">
        <f t="shared" si="39"/>
        <v>392.392</v>
      </c>
      <c r="AA26" s="88">
        <f t="shared" si="40"/>
        <v>6.5387999999999984</v>
      </c>
      <c r="AB26" s="1182">
        <v>2090</v>
      </c>
      <c r="AC26" s="1177">
        <v>93</v>
      </c>
      <c r="AD26" s="1178">
        <v>119</v>
      </c>
      <c r="AE26" s="1178">
        <v>1.2</v>
      </c>
      <c r="AF26" s="1178">
        <v>115</v>
      </c>
      <c r="AG26" s="1178">
        <v>64.2</v>
      </c>
      <c r="AH26" s="88">
        <f t="shared" si="19"/>
        <v>60.218487394957982</v>
      </c>
      <c r="AI26" s="88">
        <f t="shared" si="41"/>
        <v>417.94200000000006</v>
      </c>
      <c r="AJ26" s="88">
        <f t="shared" si="42"/>
        <v>7.1659999999999995</v>
      </c>
      <c r="AK26" s="1182">
        <v>1882</v>
      </c>
      <c r="AL26" s="1177">
        <v>95.5</v>
      </c>
      <c r="AM26" s="1178">
        <v>119</v>
      </c>
      <c r="AN26" s="1178">
        <v>1.2</v>
      </c>
      <c r="AO26" s="1178">
        <v>109</v>
      </c>
      <c r="AP26" s="1178">
        <v>61.1</v>
      </c>
      <c r="AQ26" s="88">
        <f t="shared" si="21"/>
        <v>57.801680672268922</v>
      </c>
      <c r="AR26" s="88">
        <f t="shared" si="43"/>
        <v>408.45349999999996</v>
      </c>
      <c r="AS26" s="88">
        <f t="shared" si="44"/>
        <v>6.8784000000000018</v>
      </c>
      <c r="AT26" s="1182">
        <v>1668</v>
      </c>
      <c r="AU26" s="1177">
        <v>95.3</v>
      </c>
      <c r="AV26" s="1178">
        <v>119.1</v>
      </c>
      <c r="AW26" s="1178">
        <v>1.7999999999999998</v>
      </c>
      <c r="AX26" s="1178">
        <v>112</v>
      </c>
      <c r="AY26" s="1178">
        <v>63.4</v>
      </c>
      <c r="AZ26" s="88">
        <f t="shared" si="23"/>
        <v>59.216960537363569</v>
      </c>
      <c r="BA26" s="88">
        <f t="shared" si="45"/>
        <v>422.94139999999993</v>
      </c>
      <c r="BB26" s="88">
        <f t="shared" si="46"/>
        <v>7.05274</v>
      </c>
      <c r="BC26" s="1182">
        <v>1949</v>
      </c>
      <c r="BD26" s="1177">
        <v>95.5</v>
      </c>
      <c r="BE26" s="1178">
        <v>125.2</v>
      </c>
      <c r="BF26" s="1178">
        <v>1.0799999999999954</v>
      </c>
      <c r="BG26" s="1178">
        <v>116</v>
      </c>
      <c r="BH26" s="1178">
        <v>63.2</v>
      </c>
      <c r="BI26" s="88">
        <f t="shared" si="25"/>
        <v>59.736182108626174</v>
      </c>
      <c r="BJ26" s="88">
        <f t="shared" si="47"/>
        <v>422.49200000000002</v>
      </c>
      <c r="BK26" s="88">
        <f t="shared" si="48"/>
        <v>7.4789699999999977</v>
      </c>
      <c r="BL26" s="1182">
        <v>2090</v>
      </c>
      <c r="BM26" s="1177">
        <v>95</v>
      </c>
      <c r="BN26" s="1178">
        <v>116.25</v>
      </c>
      <c r="BO26" s="1178">
        <v>2.4</v>
      </c>
      <c r="BP26" s="1178">
        <v>106.5</v>
      </c>
      <c r="BQ26" s="1178">
        <v>61</v>
      </c>
      <c r="BR26" s="88">
        <f t="shared" si="27"/>
        <v>56.56172043010752</v>
      </c>
      <c r="BS26" s="88">
        <f t="shared" si="49"/>
        <v>405.65</v>
      </c>
      <c r="BT26" s="88">
        <f t="shared" si="50"/>
        <v>6.5752999999999986</v>
      </c>
      <c r="BU26" s="1182">
        <v>1650</v>
      </c>
      <c r="BV26" s="1177">
        <v>96</v>
      </c>
      <c r="BW26" s="1178">
        <v>121</v>
      </c>
      <c r="BX26" s="1178">
        <v>1.7999999999999972</v>
      </c>
      <c r="BY26" s="1178">
        <v>115</v>
      </c>
      <c r="BZ26" s="1178">
        <v>63</v>
      </c>
      <c r="CA26" s="88">
        <f t="shared" si="29"/>
        <v>59.844628099173548</v>
      </c>
      <c r="CB26" s="88">
        <f t="shared" si="51"/>
        <v>423.35999999999996</v>
      </c>
      <c r="CC26" s="88">
        <f t="shared" si="52"/>
        <v>7.2412000000000001</v>
      </c>
      <c r="CD26" s="1182">
        <v>1873</v>
      </c>
      <c r="CE26" s="1177">
        <v>94.9</v>
      </c>
      <c r="CF26" s="1178">
        <v>115.9</v>
      </c>
      <c r="CG26" s="1178">
        <v>2.3100000000000023</v>
      </c>
      <c r="CH26" s="1178">
        <v>116</v>
      </c>
      <c r="CI26" s="1178">
        <v>64.3</v>
      </c>
      <c r="CJ26" s="88">
        <f t="shared" si="31"/>
        <v>59.651682484900775</v>
      </c>
      <c r="CK26" s="88">
        <f t="shared" si="53"/>
        <v>427.14490000000001</v>
      </c>
      <c r="CL26" s="88">
        <f t="shared" si="54"/>
        <v>6.9136300000000004</v>
      </c>
      <c r="CM26" s="1182">
        <v>1941</v>
      </c>
      <c r="CN26" s="1177">
        <v>95.7</v>
      </c>
      <c r="CO26" s="1178">
        <v>116.5</v>
      </c>
      <c r="CP26" s="1178">
        <v>2.3100000000000023</v>
      </c>
      <c r="CQ26" s="1178">
        <v>108</v>
      </c>
      <c r="CR26" s="1178">
        <v>62.9</v>
      </c>
      <c r="CS26" s="88">
        <f t="shared" si="33"/>
        <v>58.323004291845493</v>
      </c>
      <c r="CT26" s="88">
        <f t="shared" si="55"/>
        <v>421.36710000000005</v>
      </c>
      <c r="CU26" s="88">
        <f t="shared" si="56"/>
        <v>6.7946299999999997</v>
      </c>
      <c r="CV26" s="1182">
        <v>1725</v>
      </c>
      <c r="CW26" s="1177">
        <v>94.1</v>
      </c>
      <c r="CX26" s="1178">
        <v>118</v>
      </c>
      <c r="CY26" s="1178">
        <v>2.3100000000000005</v>
      </c>
      <c r="CZ26" s="1178">
        <v>113</v>
      </c>
      <c r="DA26" s="1178">
        <v>63.3</v>
      </c>
      <c r="DB26" s="88">
        <f t="shared" si="35"/>
        <v>59.555084745762727</v>
      </c>
      <c r="DC26" s="88">
        <f t="shared" si="57"/>
        <v>416.95709999999997</v>
      </c>
      <c r="DD26" s="88">
        <f t="shared" si="58"/>
        <v>7.0275000000000016</v>
      </c>
      <c r="DE26" s="1182">
        <v>1882</v>
      </c>
    </row>
    <row r="27" spans="1:115" ht="15" x14ac:dyDescent="0.2">
      <c r="A27" s="96">
        <f t="shared" si="12"/>
        <v>39</v>
      </c>
      <c r="B27" s="1177">
        <v>89.7</v>
      </c>
      <c r="C27" s="1178">
        <v>119</v>
      </c>
      <c r="D27" s="1178">
        <v>2.0020020020020022</v>
      </c>
      <c r="E27" s="1178">
        <v>117</v>
      </c>
      <c r="F27" s="1178">
        <v>61.6</v>
      </c>
      <c r="G27" s="88">
        <f t="shared" si="13"/>
        <v>56.51092436974789</v>
      </c>
      <c r="H27" s="88">
        <f t="shared" si="0"/>
        <v>386.78640000000001</v>
      </c>
      <c r="I27" s="88">
        <f t="shared" si="14"/>
        <v>6.7247999999999992</v>
      </c>
      <c r="J27" s="1182">
        <v>1697</v>
      </c>
      <c r="K27" s="1177">
        <v>94.6</v>
      </c>
      <c r="L27" s="1178">
        <v>127</v>
      </c>
      <c r="M27" s="1178">
        <v>2.0020020020020022</v>
      </c>
      <c r="N27" s="1178">
        <v>118</v>
      </c>
      <c r="O27" s="1178">
        <v>63.7</v>
      </c>
      <c r="P27" s="88">
        <f t="shared" si="15"/>
        <v>60.734424409448806</v>
      </c>
      <c r="Q27" s="88">
        <f t="shared" si="37"/>
        <v>421.82140000000004</v>
      </c>
      <c r="R27" s="88">
        <f t="shared" si="38"/>
        <v>7.7132718999999978</v>
      </c>
      <c r="S27" s="1182">
        <v>1886</v>
      </c>
      <c r="T27" s="1177">
        <v>91</v>
      </c>
      <c r="U27" s="1178">
        <v>119</v>
      </c>
      <c r="V27" s="1178">
        <v>2</v>
      </c>
      <c r="W27" s="1178">
        <v>125</v>
      </c>
      <c r="X27" s="1178">
        <v>61.7</v>
      </c>
      <c r="Y27" s="88">
        <f t="shared" si="17"/>
        <v>58.05882352941174</v>
      </c>
      <c r="Z27" s="88">
        <f t="shared" si="39"/>
        <v>393.029</v>
      </c>
      <c r="AA27" s="88">
        <f t="shared" si="40"/>
        <v>6.9089999999999971</v>
      </c>
      <c r="AB27" s="1182">
        <v>2095</v>
      </c>
      <c r="AC27" s="1177">
        <v>93</v>
      </c>
      <c r="AD27" s="1178">
        <v>126</v>
      </c>
      <c r="AE27" s="1178">
        <f>AE26+0.1</f>
        <v>1.3</v>
      </c>
      <c r="AF27" s="1178">
        <v>115</v>
      </c>
      <c r="AG27" s="1178">
        <v>64.3</v>
      </c>
      <c r="AH27" s="88">
        <f t="shared" si="19"/>
        <v>60.445238095238096</v>
      </c>
      <c r="AI27" s="88">
        <f t="shared" si="41"/>
        <v>418.59300000000002</v>
      </c>
      <c r="AJ27" s="88">
        <f t="shared" si="42"/>
        <v>7.6161000000000003</v>
      </c>
      <c r="AK27" s="1182">
        <v>1888</v>
      </c>
      <c r="AL27" s="1177">
        <v>95.2</v>
      </c>
      <c r="AM27" s="1178">
        <v>126</v>
      </c>
      <c r="AN27" s="1178">
        <f>AN26+0.1</f>
        <v>1.3</v>
      </c>
      <c r="AO27" s="1178">
        <v>109</v>
      </c>
      <c r="AP27" s="1178">
        <v>61.2</v>
      </c>
      <c r="AQ27" s="88">
        <f t="shared" si="21"/>
        <v>57.990476190476201</v>
      </c>
      <c r="AR27" s="88">
        <f t="shared" si="43"/>
        <v>407.83680000000004</v>
      </c>
      <c r="AS27" s="88">
        <f t="shared" si="44"/>
        <v>7.3068000000000017</v>
      </c>
      <c r="AT27" s="1182">
        <v>1673</v>
      </c>
      <c r="AU27" s="1177">
        <v>95.2</v>
      </c>
      <c r="AV27" s="1178">
        <v>125.7</v>
      </c>
      <c r="AW27" s="1178">
        <v>1.9</v>
      </c>
      <c r="AX27" s="1178">
        <v>112</v>
      </c>
      <c r="AY27" s="1178">
        <v>63.5</v>
      </c>
      <c r="AZ27" s="88">
        <f t="shared" si="23"/>
        <v>59.441845664280038</v>
      </c>
      <c r="BA27" s="88">
        <f t="shared" si="45"/>
        <v>423.16400000000004</v>
      </c>
      <c r="BB27" s="88">
        <f t="shared" si="46"/>
        <v>7.4718400000000011</v>
      </c>
      <c r="BC27" s="1182">
        <v>1952</v>
      </c>
      <c r="BD27" s="1177">
        <v>95.3</v>
      </c>
      <c r="BE27" s="1178">
        <v>131.80000000000001</v>
      </c>
      <c r="BF27" s="1178">
        <v>1.1200000000000045</v>
      </c>
      <c r="BG27" s="1178">
        <v>116</v>
      </c>
      <c r="BH27" s="1178">
        <v>63.3</v>
      </c>
      <c r="BI27" s="88">
        <f t="shared" si="25"/>
        <v>59.914643399089506</v>
      </c>
      <c r="BJ27" s="88">
        <f t="shared" si="47"/>
        <v>422.27429999999993</v>
      </c>
      <c r="BK27" s="88">
        <f t="shared" si="48"/>
        <v>7.8967499999999982</v>
      </c>
      <c r="BL27" s="1182">
        <v>2090</v>
      </c>
      <c r="BM27" s="1177">
        <v>95</v>
      </c>
      <c r="BN27" s="1178">
        <v>122.69999999999999</v>
      </c>
      <c r="BO27" s="1178">
        <v>2.5</v>
      </c>
      <c r="BP27" s="1178">
        <v>106.5</v>
      </c>
      <c r="BQ27" s="1178">
        <v>61</v>
      </c>
      <c r="BR27" s="88">
        <f t="shared" si="27"/>
        <v>56.795028524857365</v>
      </c>
      <c r="BS27" s="88">
        <f t="shared" si="49"/>
        <v>405.65</v>
      </c>
      <c r="BT27" s="88">
        <f t="shared" si="50"/>
        <v>6.9687499999999991</v>
      </c>
      <c r="BU27" s="1182">
        <v>1650</v>
      </c>
      <c r="BV27" s="1177">
        <v>95.8</v>
      </c>
      <c r="BW27" s="1178">
        <v>127</v>
      </c>
      <c r="BX27" s="1178">
        <v>1.9000000000000108</v>
      </c>
      <c r="BY27" s="1178">
        <v>115</v>
      </c>
      <c r="BZ27" s="1178">
        <v>63.2</v>
      </c>
      <c r="CA27" s="88">
        <f t="shared" si="29"/>
        <v>60.003149606299203</v>
      </c>
      <c r="CB27" s="88">
        <f t="shared" si="51"/>
        <v>423.81919999999997</v>
      </c>
      <c r="CC27" s="88">
        <f t="shared" si="52"/>
        <v>7.6203999999999992</v>
      </c>
      <c r="CD27" s="1182">
        <v>1873</v>
      </c>
      <c r="CE27" s="1177">
        <v>94.8</v>
      </c>
      <c r="CF27" s="1178">
        <v>122.5</v>
      </c>
      <c r="CG27" s="1178">
        <v>2.3899999999999979</v>
      </c>
      <c r="CH27" s="1178">
        <v>116</v>
      </c>
      <c r="CI27" s="1178">
        <v>64.400000000000006</v>
      </c>
      <c r="CJ27" s="88">
        <f t="shared" si="31"/>
        <v>59.907510204081632</v>
      </c>
      <c r="CK27" s="88">
        <f t="shared" si="53"/>
        <v>427.35839999999996</v>
      </c>
      <c r="CL27" s="88">
        <f t="shared" si="54"/>
        <v>7.3386700000000005</v>
      </c>
      <c r="CM27" s="1182">
        <v>1944</v>
      </c>
      <c r="CN27" s="1177">
        <v>95.6</v>
      </c>
      <c r="CO27" s="1178">
        <v>123.1</v>
      </c>
      <c r="CP27" s="1178">
        <v>2.3899999999999979</v>
      </c>
      <c r="CQ27" s="1178">
        <v>108</v>
      </c>
      <c r="CR27" s="1178">
        <v>63</v>
      </c>
      <c r="CS27" s="88">
        <f t="shared" si="33"/>
        <v>58.573761169780667</v>
      </c>
      <c r="CT27" s="88">
        <f t="shared" si="55"/>
        <v>421.596</v>
      </c>
      <c r="CU27" s="88">
        <f t="shared" si="56"/>
        <v>7.2104299999999997</v>
      </c>
      <c r="CV27" s="1182">
        <v>1728</v>
      </c>
      <c r="CW27" s="1177">
        <v>94</v>
      </c>
      <c r="CX27" s="1178">
        <v>125</v>
      </c>
      <c r="CY27" s="1178">
        <v>2.3900000000000006</v>
      </c>
      <c r="CZ27" s="1178">
        <v>113</v>
      </c>
      <c r="DA27" s="1178">
        <v>63.4</v>
      </c>
      <c r="DB27" s="88">
        <f t="shared" si="35"/>
        <v>59.770400000000016</v>
      </c>
      <c r="DC27" s="88">
        <f t="shared" si="57"/>
        <v>417.17199999999997</v>
      </c>
      <c r="DD27" s="88">
        <f t="shared" si="58"/>
        <v>7.4713000000000021</v>
      </c>
      <c r="DE27" s="1182">
        <v>1888</v>
      </c>
    </row>
    <row r="28" spans="1:115" ht="15" x14ac:dyDescent="0.2">
      <c r="A28" s="96">
        <f t="shared" si="12"/>
        <v>40</v>
      </c>
      <c r="B28" s="1177">
        <v>89.4</v>
      </c>
      <c r="C28" s="1178">
        <v>125</v>
      </c>
      <c r="D28" s="1178">
        <v>2.1021021021021022</v>
      </c>
      <c r="E28" s="1178">
        <v>117</v>
      </c>
      <c r="F28" s="1178">
        <v>61.8</v>
      </c>
      <c r="G28" s="88">
        <f t="shared" si="13"/>
        <v>56.764799999999994</v>
      </c>
      <c r="H28" s="88">
        <f t="shared" si="0"/>
        <v>386.74439999999998</v>
      </c>
      <c r="I28" s="88">
        <f t="shared" si="14"/>
        <v>7.0955999999999992</v>
      </c>
      <c r="J28" s="1182">
        <v>1700</v>
      </c>
      <c r="K28" s="1177">
        <v>94.4</v>
      </c>
      <c r="L28" s="1178">
        <v>133</v>
      </c>
      <c r="M28" s="1178">
        <v>2.1021021021021022</v>
      </c>
      <c r="N28" s="1178">
        <v>118</v>
      </c>
      <c r="O28" s="1178">
        <v>63.7</v>
      </c>
      <c r="P28" s="88">
        <f t="shared" si="15"/>
        <v>60.868209774436082</v>
      </c>
      <c r="Q28" s="88">
        <f t="shared" si="37"/>
        <v>420.92960000000005</v>
      </c>
      <c r="R28" s="88">
        <f t="shared" si="38"/>
        <v>8.0954718999999979</v>
      </c>
      <c r="S28" s="1182">
        <v>1890</v>
      </c>
      <c r="T28" s="1177">
        <v>90</v>
      </c>
      <c r="U28" s="1178">
        <v>126</v>
      </c>
      <c r="V28" s="1178">
        <v>2.1</v>
      </c>
      <c r="W28" s="1178">
        <v>125</v>
      </c>
      <c r="X28" s="1178">
        <v>61.8</v>
      </c>
      <c r="Y28" s="88">
        <f t="shared" si="17"/>
        <v>58.266666666666644</v>
      </c>
      <c r="Z28" s="88">
        <f t="shared" si="39"/>
        <v>389.34</v>
      </c>
      <c r="AA28" s="88">
        <f t="shared" si="40"/>
        <v>7.341599999999997</v>
      </c>
      <c r="AB28" s="1182">
        <v>2100</v>
      </c>
      <c r="AC28" s="1177">
        <v>92.8</v>
      </c>
      <c r="AD28" s="1178">
        <v>132</v>
      </c>
      <c r="AE28" s="1178">
        <v>1.4</v>
      </c>
      <c r="AF28" s="1178">
        <v>115</v>
      </c>
      <c r="AG28" s="1178">
        <v>64.400000000000006</v>
      </c>
      <c r="AH28" s="88">
        <f t="shared" si="19"/>
        <v>60.625000000000007</v>
      </c>
      <c r="AI28" s="88">
        <f t="shared" si="41"/>
        <v>418.3424</v>
      </c>
      <c r="AJ28" s="88">
        <f t="shared" si="42"/>
        <v>8.0024999999999995</v>
      </c>
      <c r="AK28" s="1182">
        <v>1893</v>
      </c>
      <c r="AL28" s="1177">
        <v>95</v>
      </c>
      <c r="AM28" s="1178">
        <v>132</v>
      </c>
      <c r="AN28" s="1178">
        <v>1.4</v>
      </c>
      <c r="AO28" s="1178">
        <v>109</v>
      </c>
      <c r="AP28" s="1178">
        <v>61.3</v>
      </c>
      <c r="AQ28" s="88">
        <f t="shared" si="21"/>
        <v>58.140909090909105</v>
      </c>
      <c r="AR28" s="88">
        <f t="shared" si="43"/>
        <v>407.64499999999992</v>
      </c>
      <c r="AS28" s="88">
        <f t="shared" si="44"/>
        <v>7.6746000000000008</v>
      </c>
      <c r="AT28" s="1182">
        <v>1677</v>
      </c>
      <c r="AU28" s="1177">
        <v>95</v>
      </c>
      <c r="AV28" s="1178">
        <v>132.19999999999999</v>
      </c>
      <c r="AW28" s="1178">
        <v>2</v>
      </c>
      <c r="AX28" s="1178">
        <v>112</v>
      </c>
      <c r="AY28" s="1178">
        <v>63.7</v>
      </c>
      <c r="AZ28" s="88">
        <f t="shared" si="23"/>
        <v>59.651210287443277</v>
      </c>
      <c r="BA28" s="88">
        <f t="shared" si="45"/>
        <v>423.60499999999996</v>
      </c>
      <c r="BB28" s="88">
        <f t="shared" si="46"/>
        <v>7.8858899999999998</v>
      </c>
      <c r="BC28" s="1182">
        <v>1955</v>
      </c>
      <c r="BD28" s="1177">
        <v>95</v>
      </c>
      <c r="BE28" s="1178">
        <v>138.30000000000001</v>
      </c>
      <c r="BF28" s="1178">
        <v>1.1799999999999955</v>
      </c>
      <c r="BG28" s="1178">
        <v>116</v>
      </c>
      <c r="BH28" s="1178">
        <v>63.4</v>
      </c>
      <c r="BI28" s="88">
        <f t="shared" si="25"/>
        <v>60.078452639190139</v>
      </c>
      <c r="BJ28" s="88">
        <f t="shared" si="47"/>
        <v>421.60999999999996</v>
      </c>
      <c r="BK28" s="88">
        <f t="shared" si="48"/>
        <v>8.3088499999999978</v>
      </c>
      <c r="BL28" s="1182">
        <v>2090</v>
      </c>
      <c r="BM28" s="1177">
        <v>95</v>
      </c>
      <c r="BN28" s="1178">
        <v>129.19999999999999</v>
      </c>
      <c r="BO28" s="1178">
        <v>2.5</v>
      </c>
      <c r="BP28" s="1178">
        <v>106.5</v>
      </c>
      <c r="BQ28" s="1178">
        <v>62</v>
      </c>
      <c r="BR28" s="88">
        <f t="shared" si="27"/>
        <v>57.056888544891635</v>
      </c>
      <c r="BS28" s="88">
        <f t="shared" si="49"/>
        <v>412.29999999999995</v>
      </c>
      <c r="BT28" s="88">
        <f t="shared" si="50"/>
        <v>7.3717499999999987</v>
      </c>
      <c r="BU28" s="1182">
        <v>1650</v>
      </c>
      <c r="BV28" s="1177">
        <v>95.6</v>
      </c>
      <c r="BW28" s="1178">
        <v>134</v>
      </c>
      <c r="BX28" s="1178">
        <v>2.0000000000000018</v>
      </c>
      <c r="BY28" s="1178">
        <v>115</v>
      </c>
      <c r="BZ28" s="1178">
        <v>63.3</v>
      </c>
      <c r="CA28" s="88">
        <f t="shared" si="29"/>
        <v>60.175373134328353</v>
      </c>
      <c r="CB28" s="88">
        <f t="shared" si="51"/>
        <v>423.60359999999997</v>
      </c>
      <c r="CC28" s="88">
        <f t="shared" si="52"/>
        <v>8.0634999999999977</v>
      </c>
      <c r="CD28" s="1182">
        <v>1875</v>
      </c>
      <c r="CE28" s="1177">
        <v>94.6</v>
      </c>
      <c r="CF28" s="1178">
        <v>129</v>
      </c>
      <c r="CG28" s="1178">
        <v>2.4700000000000046</v>
      </c>
      <c r="CH28" s="1178">
        <v>116</v>
      </c>
      <c r="CI28" s="1178">
        <v>64.599999999999994</v>
      </c>
      <c r="CJ28" s="88">
        <f t="shared" si="31"/>
        <v>60.143953488372098</v>
      </c>
      <c r="CK28" s="88">
        <f t="shared" si="53"/>
        <v>427.78119999999996</v>
      </c>
      <c r="CL28" s="88">
        <f t="shared" si="54"/>
        <v>7.7585700000000006</v>
      </c>
      <c r="CM28" s="1182">
        <v>1946</v>
      </c>
      <c r="CN28" s="1177">
        <v>95.5</v>
      </c>
      <c r="CO28" s="1178">
        <v>129.69999999999999</v>
      </c>
      <c r="CP28" s="1178">
        <v>2.4700000000000046</v>
      </c>
      <c r="CQ28" s="1178">
        <v>108</v>
      </c>
      <c r="CR28" s="1178">
        <v>63.2</v>
      </c>
      <c r="CS28" s="88">
        <f t="shared" si="33"/>
        <v>58.809175019275251</v>
      </c>
      <c r="CT28" s="88">
        <f t="shared" si="55"/>
        <v>422.49200000000002</v>
      </c>
      <c r="CU28" s="88">
        <f t="shared" si="56"/>
        <v>7.6275499999999994</v>
      </c>
      <c r="CV28" s="1182">
        <v>1730</v>
      </c>
      <c r="CW28" s="1177">
        <v>93.8</v>
      </c>
      <c r="CX28" s="1178">
        <v>131</v>
      </c>
      <c r="CY28" s="1178">
        <v>2.4700000000000006</v>
      </c>
      <c r="CZ28" s="1178">
        <v>113</v>
      </c>
      <c r="DA28" s="1178">
        <v>63.5</v>
      </c>
      <c r="DB28" s="88">
        <f t="shared" si="35"/>
        <v>59.941221374045817</v>
      </c>
      <c r="DC28" s="88">
        <f t="shared" si="57"/>
        <v>416.94099999999997</v>
      </c>
      <c r="DD28" s="88">
        <f t="shared" si="58"/>
        <v>7.8523000000000023</v>
      </c>
      <c r="DE28" s="1182">
        <v>1893</v>
      </c>
    </row>
    <row r="29" spans="1:115" ht="15" x14ac:dyDescent="0.2">
      <c r="A29" s="96">
        <f t="shared" si="12"/>
        <v>41</v>
      </c>
      <c r="B29" s="1177">
        <v>89</v>
      </c>
      <c r="C29" s="1178">
        <v>131</v>
      </c>
      <c r="D29" s="1178">
        <v>2.2022022022022023</v>
      </c>
      <c r="E29" s="1178">
        <v>117</v>
      </c>
      <c r="F29" s="1178">
        <v>61.9</v>
      </c>
      <c r="G29" s="88">
        <f t="shared" si="13"/>
        <v>57</v>
      </c>
      <c r="H29" s="88">
        <f t="shared" si="0"/>
        <v>385.637</v>
      </c>
      <c r="I29" s="88">
        <f t="shared" si="14"/>
        <v>7.4669999999999987</v>
      </c>
      <c r="J29" s="1182">
        <v>1702</v>
      </c>
      <c r="K29" s="1177">
        <v>94.2</v>
      </c>
      <c r="L29" s="1178">
        <v>140</v>
      </c>
      <c r="M29" s="1178">
        <v>2.2022022022022023</v>
      </c>
      <c r="N29" s="1178">
        <v>118</v>
      </c>
      <c r="O29" s="1178">
        <v>63.7</v>
      </c>
      <c r="P29" s="88">
        <f t="shared" si="15"/>
        <v>61.00979928571428</v>
      </c>
      <c r="Q29" s="88">
        <f t="shared" si="37"/>
        <v>420.03780000000006</v>
      </c>
      <c r="R29" s="88">
        <f t="shared" si="38"/>
        <v>8.5413718999999979</v>
      </c>
      <c r="S29" s="1182">
        <v>1894</v>
      </c>
      <c r="T29" s="1177">
        <v>90</v>
      </c>
      <c r="U29" s="1178">
        <v>132</v>
      </c>
      <c r="V29" s="1178">
        <v>2.2000000000000002</v>
      </c>
      <c r="W29" s="1178">
        <v>125</v>
      </c>
      <c r="X29" s="1178">
        <v>61.9</v>
      </c>
      <c r="Y29" s="88">
        <f t="shared" si="17"/>
        <v>58.431818181818166</v>
      </c>
      <c r="Z29" s="88">
        <f t="shared" si="39"/>
        <v>389.96999999999997</v>
      </c>
      <c r="AA29" s="88">
        <f t="shared" si="40"/>
        <v>7.7129999999999974</v>
      </c>
      <c r="AB29" s="1182">
        <v>2105</v>
      </c>
      <c r="AC29" s="1177">
        <v>92.5</v>
      </c>
      <c r="AD29" s="1178">
        <v>138</v>
      </c>
      <c r="AE29" s="1178">
        <v>1.4</v>
      </c>
      <c r="AF29" s="1178">
        <v>115</v>
      </c>
      <c r="AG29" s="1178">
        <v>64.5</v>
      </c>
      <c r="AH29" s="88">
        <f t="shared" si="19"/>
        <v>60.79347826086957</v>
      </c>
      <c r="AI29" s="88">
        <f t="shared" si="41"/>
        <v>417.63750000000005</v>
      </c>
      <c r="AJ29" s="88">
        <f t="shared" si="42"/>
        <v>8.3895000000000017</v>
      </c>
      <c r="AK29" s="1182">
        <v>1898</v>
      </c>
      <c r="AL29" s="1177">
        <v>94.7</v>
      </c>
      <c r="AM29" s="1178">
        <v>139</v>
      </c>
      <c r="AN29" s="1178">
        <v>1.4</v>
      </c>
      <c r="AO29" s="1178">
        <v>109</v>
      </c>
      <c r="AP29" s="1178">
        <v>61.4</v>
      </c>
      <c r="AQ29" s="88">
        <f t="shared" si="21"/>
        <v>58.305035971223035</v>
      </c>
      <c r="AR29" s="88">
        <f t="shared" si="43"/>
        <v>407.0206</v>
      </c>
      <c r="AS29" s="88">
        <f t="shared" si="44"/>
        <v>8.1044000000000018</v>
      </c>
      <c r="AT29" s="1182">
        <v>1681</v>
      </c>
      <c r="AU29" s="1177">
        <v>94.8</v>
      </c>
      <c r="AV29" s="1178">
        <v>138.69999999999999</v>
      </c>
      <c r="AW29" s="1178">
        <v>2.0999999999999885</v>
      </c>
      <c r="AX29" s="1178">
        <v>111</v>
      </c>
      <c r="AY29" s="1178">
        <v>63.8</v>
      </c>
      <c r="AZ29" s="88">
        <f t="shared" si="23"/>
        <v>59.845638067772178</v>
      </c>
      <c r="BA29" s="88">
        <f t="shared" si="45"/>
        <v>423.37679999999995</v>
      </c>
      <c r="BB29" s="88">
        <f t="shared" si="46"/>
        <v>8.3005900000000015</v>
      </c>
      <c r="BC29" s="1182">
        <v>1958</v>
      </c>
      <c r="BD29" s="1177">
        <v>94.9</v>
      </c>
      <c r="BE29" s="1178">
        <v>144.9</v>
      </c>
      <c r="BF29" s="1178">
        <v>1.2399999999999978</v>
      </c>
      <c r="BG29" s="1178">
        <v>116</v>
      </c>
      <c r="BH29" s="1178">
        <v>63.5</v>
      </c>
      <c r="BI29" s="88">
        <f t="shared" si="25"/>
        <v>60.234299516908187</v>
      </c>
      <c r="BJ29" s="88">
        <f t="shared" si="47"/>
        <v>421.83050000000003</v>
      </c>
      <c r="BK29" s="88">
        <f t="shared" si="48"/>
        <v>8.7279499999999963</v>
      </c>
      <c r="BL29" s="1182">
        <v>2090</v>
      </c>
      <c r="BM29" s="1177">
        <v>95</v>
      </c>
      <c r="BN29" s="1178">
        <v>135.65</v>
      </c>
      <c r="BO29" s="1178">
        <v>2.6</v>
      </c>
      <c r="BP29" s="1178">
        <v>106.5</v>
      </c>
      <c r="BQ29" s="1178">
        <v>62</v>
      </c>
      <c r="BR29" s="88">
        <f t="shared" si="27"/>
        <v>57.29192775525248</v>
      </c>
      <c r="BS29" s="88">
        <f t="shared" si="49"/>
        <v>412.29999999999995</v>
      </c>
      <c r="BT29" s="88">
        <f t="shared" si="50"/>
        <v>7.7716499999999993</v>
      </c>
      <c r="BU29" s="1182">
        <v>1650</v>
      </c>
      <c r="BV29" s="1177">
        <v>95.4</v>
      </c>
      <c r="BW29" s="1178">
        <v>140</v>
      </c>
      <c r="BX29" s="1178">
        <v>2.099999999999993</v>
      </c>
      <c r="BY29" s="1178">
        <v>115</v>
      </c>
      <c r="BZ29" s="1178">
        <v>63.3</v>
      </c>
      <c r="CA29" s="88">
        <f t="shared" si="29"/>
        <v>60.309285714285707</v>
      </c>
      <c r="CB29" s="88">
        <f t="shared" si="51"/>
        <v>422.71740000000005</v>
      </c>
      <c r="CC29" s="88">
        <f t="shared" si="52"/>
        <v>8.4432999999999989</v>
      </c>
      <c r="CD29" s="1182">
        <v>1880</v>
      </c>
      <c r="CE29" s="1177">
        <v>94.4</v>
      </c>
      <c r="CF29" s="1178">
        <v>135.5</v>
      </c>
      <c r="CG29" s="1178">
        <v>2.5499999999999998</v>
      </c>
      <c r="CH29" s="1178">
        <v>116</v>
      </c>
      <c r="CI29" s="1178">
        <v>64.7</v>
      </c>
      <c r="CJ29" s="88">
        <f t="shared" si="31"/>
        <v>60.362509225092253</v>
      </c>
      <c r="CK29" s="88">
        <f t="shared" si="53"/>
        <v>427.53760000000005</v>
      </c>
      <c r="CL29" s="88">
        <f t="shared" si="54"/>
        <v>8.1791200000000011</v>
      </c>
      <c r="CM29" s="1182">
        <v>1949</v>
      </c>
      <c r="CN29" s="1177">
        <v>95.4</v>
      </c>
      <c r="CO29" s="1178">
        <v>136.30000000000001</v>
      </c>
      <c r="CP29" s="1178">
        <v>2.5499999999999998</v>
      </c>
      <c r="CQ29" s="1178">
        <v>107</v>
      </c>
      <c r="CR29" s="1178">
        <v>63.3</v>
      </c>
      <c r="CS29" s="88">
        <f t="shared" si="33"/>
        <v>59.02663242846662</v>
      </c>
      <c r="CT29" s="88">
        <f t="shared" si="55"/>
        <v>422.71740000000005</v>
      </c>
      <c r="CU29" s="88">
        <f t="shared" si="56"/>
        <v>8.0453299999999999</v>
      </c>
      <c r="CV29" s="1182">
        <v>1733</v>
      </c>
      <c r="CW29" s="1177">
        <v>93.5</v>
      </c>
      <c r="CX29" s="1178">
        <v>138</v>
      </c>
      <c r="CY29" s="1178">
        <v>2.5500000000000007</v>
      </c>
      <c r="CZ29" s="1178">
        <v>113</v>
      </c>
      <c r="DA29" s="1178">
        <v>63.6</v>
      </c>
      <c r="DB29" s="88">
        <f t="shared" si="35"/>
        <v>60.126811594202913</v>
      </c>
      <c r="DC29" s="88">
        <f t="shared" si="57"/>
        <v>416.262</v>
      </c>
      <c r="DD29" s="88">
        <f t="shared" si="58"/>
        <v>8.297500000000003</v>
      </c>
      <c r="DE29" s="1182">
        <v>1898</v>
      </c>
    </row>
    <row r="30" spans="1:115" ht="15" x14ac:dyDescent="0.2">
      <c r="A30" s="96">
        <f t="shared" si="12"/>
        <v>42</v>
      </c>
      <c r="B30" s="1177">
        <v>88.6</v>
      </c>
      <c r="C30" s="1178">
        <v>137</v>
      </c>
      <c r="D30" s="1178">
        <v>2.3023023023023024</v>
      </c>
      <c r="E30" s="1178">
        <v>117</v>
      </c>
      <c r="F30" s="1178">
        <v>62</v>
      </c>
      <c r="G30" s="88">
        <f t="shared" si="13"/>
        <v>57.21897810218978</v>
      </c>
      <c r="H30" s="88">
        <f t="shared" si="0"/>
        <v>384.52399999999994</v>
      </c>
      <c r="I30" s="88">
        <f t="shared" si="14"/>
        <v>7.8389999999999995</v>
      </c>
      <c r="J30" s="1182">
        <v>1704</v>
      </c>
      <c r="K30" s="1177">
        <v>94</v>
      </c>
      <c r="L30" s="1178">
        <v>146</v>
      </c>
      <c r="M30" s="1178">
        <v>2.3023023023023024</v>
      </c>
      <c r="N30" s="1178">
        <v>118</v>
      </c>
      <c r="O30" s="1178">
        <v>63.8</v>
      </c>
      <c r="P30" s="88">
        <f t="shared" si="15"/>
        <v>61.124465068493144</v>
      </c>
      <c r="Q30" s="88">
        <f t="shared" si="37"/>
        <v>419.80399999999997</v>
      </c>
      <c r="R30" s="88">
        <f t="shared" si="38"/>
        <v>8.9241718999999975</v>
      </c>
      <c r="S30" s="1182">
        <v>1898</v>
      </c>
      <c r="T30" s="1177">
        <v>90</v>
      </c>
      <c r="U30" s="1178">
        <v>138</v>
      </c>
      <c r="V30" s="1178">
        <v>2.2999999999999998</v>
      </c>
      <c r="W30" s="1178">
        <v>125</v>
      </c>
      <c r="X30" s="1178">
        <v>62</v>
      </c>
      <c r="Y30" s="88">
        <f t="shared" si="17"/>
        <v>58.586956521739118</v>
      </c>
      <c r="Z30" s="88">
        <f t="shared" si="39"/>
        <v>390.59999999999997</v>
      </c>
      <c r="AA30" s="88">
        <f t="shared" si="40"/>
        <v>8.0849999999999991</v>
      </c>
      <c r="AB30" s="1182">
        <v>2110</v>
      </c>
      <c r="AC30" s="1177">
        <v>92</v>
      </c>
      <c r="AD30" s="1178">
        <v>145</v>
      </c>
      <c r="AE30" s="1178">
        <f>AE29+0.1</f>
        <v>1.5</v>
      </c>
      <c r="AF30" s="1178">
        <v>115</v>
      </c>
      <c r="AG30" s="1178">
        <v>64.5</v>
      </c>
      <c r="AH30" s="88">
        <f t="shared" si="19"/>
        <v>60.972413793103449</v>
      </c>
      <c r="AI30" s="88">
        <f t="shared" si="41"/>
        <v>415.38000000000005</v>
      </c>
      <c r="AJ30" s="88">
        <f t="shared" si="42"/>
        <v>8.8409999999999993</v>
      </c>
      <c r="AK30" s="1182">
        <v>1903</v>
      </c>
      <c r="AL30" s="1177">
        <v>94.5</v>
      </c>
      <c r="AM30" s="1178">
        <v>145</v>
      </c>
      <c r="AN30" s="1178">
        <f>AN29+0.1</f>
        <v>1.5</v>
      </c>
      <c r="AO30" s="1178">
        <v>109</v>
      </c>
      <c r="AP30" s="1178">
        <v>61.5</v>
      </c>
      <c r="AQ30" s="88">
        <f t="shared" si="21"/>
        <v>58.437241379310358</v>
      </c>
      <c r="AR30" s="88">
        <f t="shared" si="43"/>
        <v>406.82249999999993</v>
      </c>
      <c r="AS30" s="88">
        <f t="shared" si="44"/>
        <v>8.4734000000000016</v>
      </c>
      <c r="AT30" s="1182">
        <v>1684</v>
      </c>
      <c r="AU30" s="1177">
        <v>94.6</v>
      </c>
      <c r="AV30" s="1178">
        <v>145.19999999999999</v>
      </c>
      <c r="AW30" s="1178">
        <v>2.1999999999999997</v>
      </c>
      <c r="AX30" s="1178">
        <v>111</v>
      </c>
      <c r="AY30" s="1178">
        <v>63.9</v>
      </c>
      <c r="AZ30" s="88">
        <f t="shared" si="23"/>
        <v>60.027134986225903</v>
      </c>
      <c r="BA30" s="88">
        <f t="shared" si="45"/>
        <v>423.14580000000001</v>
      </c>
      <c r="BB30" s="88">
        <f t="shared" si="46"/>
        <v>8.7159399999999998</v>
      </c>
      <c r="BC30" s="1182">
        <v>1961</v>
      </c>
      <c r="BD30" s="1177">
        <v>94.6</v>
      </c>
      <c r="BE30" s="1178">
        <v>151.4</v>
      </c>
      <c r="BF30" s="1178">
        <v>1.3</v>
      </c>
      <c r="BG30" s="1178">
        <v>116</v>
      </c>
      <c r="BH30" s="1178">
        <v>63.6</v>
      </c>
      <c r="BI30" s="88">
        <f t="shared" si="25"/>
        <v>60.378797886393642</v>
      </c>
      <c r="BJ30" s="88">
        <f t="shared" si="47"/>
        <v>421.1592</v>
      </c>
      <c r="BK30" s="88">
        <f t="shared" si="48"/>
        <v>9.1413499999999956</v>
      </c>
      <c r="BL30" s="1182">
        <v>2100</v>
      </c>
      <c r="BM30" s="1177">
        <v>95</v>
      </c>
      <c r="BN30" s="1178">
        <v>142.15</v>
      </c>
      <c r="BO30" s="1178">
        <v>2.6</v>
      </c>
      <c r="BP30" s="1178">
        <v>106.5</v>
      </c>
      <c r="BQ30" s="1178">
        <v>62</v>
      </c>
      <c r="BR30" s="88">
        <f t="shared" si="27"/>
        <v>57.507210692929995</v>
      </c>
      <c r="BS30" s="88">
        <f t="shared" si="49"/>
        <v>412.29999999999995</v>
      </c>
      <c r="BT30" s="88">
        <f t="shared" si="50"/>
        <v>8.1746499999999997</v>
      </c>
      <c r="BU30" s="1182">
        <v>1650</v>
      </c>
      <c r="BV30" s="1177">
        <v>95.1</v>
      </c>
      <c r="BW30" s="1178">
        <v>147</v>
      </c>
      <c r="BX30" s="1178">
        <v>2.2000000000000064</v>
      </c>
      <c r="BY30" s="1178">
        <v>115</v>
      </c>
      <c r="BZ30" s="1178">
        <v>63.4</v>
      </c>
      <c r="CA30" s="88">
        <f t="shared" si="29"/>
        <v>60.456462585034011</v>
      </c>
      <c r="CB30" s="88">
        <f t="shared" si="51"/>
        <v>422.05379999999997</v>
      </c>
      <c r="CC30" s="88">
        <f t="shared" si="52"/>
        <v>8.8870999999999984</v>
      </c>
      <c r="CD30" s="1182">
        <v>1883</v>
      </c>
      <c r="CE30" s="1177">
        <v>94.2</v>
      </c>
      <c r="CF30" s="1178">
        <v>142</v>
      </c>
      <c r="CG30" s="1178">
        <v>2.6299999999999955</v>
      </c>
      <c r="CH30" s="1178">
        <v>116</v>
      </c>
      <c r="CI30" s="1178">
        <v>64.900000000000006</v>
      </c>
      <c r="CJ30" s="88">
        <f t="shared" si="31"/>
        <v>60.570211267605643</v>
      </c>
      <c r="CK30" s="88">
        <f t="shared" si="53"/>
        <v>427.95060000000007</v>
      </c>
      <c r="CL30" s="88">
        <f t="shared" si="54"/>
        <v>8.6009700000000002</v>
      </c>
      <c r="CM30" s="1182">
        <v>1952</v>
      </c>
      <c r="CN30" s="1177">
        <v>95.2</v>
      </c>
      <c r="CO30" s="1178">
        <v>142.9</v>
      </c>
      <c r="CP30" s="1178">
        <v>2.6299999999999955</v>
      </c>
      <c r="CQ30" s="1178">
        <v>107</v>
      </c>
      <c r="CR30" s="1178">
        <v>63.5</v>
      </c>
      <c r="CS30" s="88">
        <f t="shared" si="33"/>
        <v>59.233240027991606</v>
      </c>
      <c r="CT30" s="88">
        <f t="shared" si="55"/>
        <v>423.16400000000004</v>
      </c>
      <c r="CU30" s="88">
        <f t="shared" si="56"/>
        <v>8.4644300000000019</v>
      </c>
      <c r="CV30" s="1182">
        <v>1735</v>
      </c>
      <c r="CW30" s="1177">
        <v>93.2</v>
      </c>
      <c r="CX30" s="1178">
        <v>144</v>
      </c>
      <c r="CY30" s="1178">
        <v>2.6300000000000008</v>
      </c>
      <c r="CZ30" s="1178">
        <v>113</v>
      </c>
      <c r="DA30" s="1178">
        <v>63.7</v>
      </c>
      <c r="DB30" s="88">
        <f t="shared" si="35"/>
        <v>60.275694444444461</v>
      </c>
      <c r="DC30" s="88">
        <f t="shared" si="57"/>
        <v>415.5788</v>
      </c>
      <c r="DD30" s="88">
        <f t="shared" si="58"/>
        <v>8.6797000000000004</v>
      </c>
      <c r="DE30" s="1182">
        <v>1903</v>
      </c>
    </row>
    <row r="31" spans="1:115" ht="15" x14ac:dyDescent="0.2">
      <c r="A31" s="96">
        <f t="shared" si="12"/>
        <v>43</v>
      </c>
      <c r="B31" s="1177">
        <v>88.1</v>
      </c>
      <c r="C31" s="1178">
        <v>143</v>
      </c>
      <c r="D31" s="1178">
        <v>2.4024024024024024</v>
      </c>
      <c r="E31" s="1178">
        <v>117</v>
      </c>
      <c r="F31" s="1178">
        <v>62.1</v>
      </c>
      <c r="G31" s="88">
        <f t="shared" si="13"/>
        <v>57.423776223776223</v>
      </c>
      <c r="H31" s="88">
        <f t="shared" si="0"/>
        <v>382.97069999999997</v>
      </c>
      <c r="I31" s="88">
        <f t="shared" si="14"/>
        <v>8.2116000000000007</v>
      </c>
      <c r="J31" s="1182">
        <v>1706</v>
      </c>
      <c r="K31" s="1177">
        <v>93.7</v>
      </c>
      <c r="L31" s="1178">
        <v>153</v>
      </c>
      <c r="M31" s="1178">
        <v>2.4024024024024024</v>
      </c>
      <c r="N31" s="1178">
        <v>118</v>
      </c>
      <c r="O31" s="1178">
        <v>63.8</v>
      </c>
      <c r="P31" s="88">
        <f t="shared" si="15"/>
        <v>61.246875163398691</v>
      </c>
      <c r="Q31" s="88">
        <f t="shared" si="37"/>
        <v>418.46420000000001</v>
      </c>
      <c r="R31" s="88">
        <f t="shared" si="38"/>
        <v>9.3707718999999994</v>
      </c>
      <c r="S31" s="1182">
        <v>1902</v>
      </c>
      <c r="T31" s="1177">
        <v>90</v>
      </c>
      <c r="U31" s="1178">
        <v>144</v>
      </c>
      <c r="V31" s="1178">
        <v>2.4</v>
      </c>
      <c r="W31" s="1178">
        <v>125</v>
      </c>
      <c r="X31" s="1178">
        <v>62.1</v>
      </c>
      <c r="Y31" s="88">
        <f t="shared" si="17"/>
        <v>58.73333333333332</v>
      </c>
      <c r="Z31" s="88">
        <f t="shared" si="39"/>
        <v>391.23</v>
      </c>
      <c r="AA31" s="88">
        <f t="shared" si="40"/>
        <v>8.4575999999999976</v>
      </c>
      <c r="AB31" s="1182">
        <v>2115</v>
      </c>
      <c r="AC31" s="1177">
        <v>91.8</v>
      </c>
      <c r="AD31" s="1178">
        <v>151</v>
      </c>
      <c r="AE31" s="1178">
        <v>1.6</v>
      </c>
      <c r="AF31" s="1178">
        <v>115</v>
      </c>
      <c r="AG31" s="1178">
        <v>64.599999999999994</v>
      </c>
      <c r="AH31" s="88">
        <f t="shared" si="19"/>
        <v>61.116556291390729</v>
      </c>
      <c r="AI31" s="88">
        <f t="shared" si="41"/>
        <v>415.11959999999993</v>
      </c>
      <c r="AJ31" s="88">
        <f t="shared" si="42"/>
        <v>9.2286000000000001</v>
      </c>
      <c r="AK31" s="1182">
        <v>1906</v>
      </c>
      <c r="AL31" s="1177">
        <v>94.2</v>
      </c>
      <c r="AM31" s="1178">
        <v>152</v>
      </c>
      <c r="AN31" s="1178">
        <v>1.6</v>
      </c>
      <c r="AO31" s="1178">
        <v>110</v>
      </c>
      <c r="AP31" s="1178">
        <v>61.6</v>
      </c>
      <c r="AQ31" s="88">
        <f t="shared" si="21"/>
        <v>58.582894736842114</v>
      </c>
      <c r="AR31" s="88">
        <f t="shared" si="43"/>
        <v>406.19040000000001</v>
      </c>
      <c r="AS31" s="88">
        <f t="shared" si="44"/>
        <v>8.9046000000000021</v>
      </c>
      <c r="AT31" s="1182">
        <v>1687</v>
      </c>
      <c r="AU31" s="1177">
        <v>94.4</v>
      </c>
      <c r="AV31" s="1178">
        <v>151.6</v>
      </c>
      <c r="AW31" s="1178">
        <v>2.2999999999999998</v>
      </c>
      <c r="AX31" s="1178">
        <v>111</v>
      </c>
      <c r="AY31" s="1178">
        <v>64</v>
      </c>
      <c r="AZ31" s="88">
        <f t="shared" si="23"/>
        <v>60.194854881266501</v>
      </c>
      <c r="BA31" s="88">
        <f t="shared" si="45"/>
        <v>422.91200000000003</v>
      </c>
      <c r="BB31" s="88">
        <f t="shared" si="46"/>
        <v>9.1255400000000009</v>
      </c>
      <c r="BC31" s="1182">
        <v>1964</v>
      </c>
      <c r="BD31" s="1177">
        <v>94.4</v>
      </c>
      <c r="BE31" s="1178">
        <v>157.9</v>
      </c>
      <c r="BF31" s="1178">
        <v>1.35</v>
      </c>
      <c r="BG31" s="1178">
        <v>116</v>
      </c>
      <c r="BH31" s="1178">
        <v>63.7</v>
      </c>
      <c r="BI31" s="88">
        <f t="shared" si="25"/>
        <v>60.515516149461675</v>
      </c>
      <c r="BJ31" s="88">
        <f t="shared" si="47"/>
        <v>420.92960000000005</v>
      </c>
      <c r="BK31" s="88">
        <f t="shared" si="48"/>
        <v>9.5553999999999988</v>
      </c>
      <c r="BL31" s="1182">
        <v>2100</v>
      </c>
      <c r="BM31" s="1177">
        <v>95</v>
      </c>
      <c r="BN31" s="1178">
        <v>148.6</v>
      </c>
      <c r="BO31" s="1178">
        <v>2.7</v>
      </c>
      <c r="BP31" s="1178">
        <v>106.5</v>
      </c>
      <c r="BQ31" s="1178">
        <v>62</v>
      </c>
      <c r="BR31" s="88">
        <f t="shared" si="27"/>
        <v>57.702220726783302</v>
      </c>
      <c r="BS31" s="88">
        <f t="shared" si="49"/>
        <v>412.29999999999995</v>
      </c>
      <c r="BT31" s="88">
        <f t="shared" si="50"/>
        <v>8.5745499999999968</v>
      </c>
      <c r="BU31" s="1182">
        <v>1655</v>
      </c>
      <c r="BV31" s="1177">
        <v>94.9</v>
      </c>
      <c r="BW31" s="1178">
        <v>153</v>
      </c>
      <c r="BX31" s="1178">
        <v>2.2999999999999976</v>
      </c>
      <c r="BY31" s="1178">
        <v>115</v>
      </c>
      <c r="BZ31" s="1178">
        <v>63.4</v>
      </c>
      <c r="CA31" s="88">
        <f t="shared" si="29"/>
        <v>60.571895424836605</v>
      </c>
      <c r="CB31" s="88">
        <f t="shared" si="51"/>
        <v>421.16620000000006</v>
      </c>
      <c r="CC31" s="88">
        <f t="shared" si="52"/>
        <v>9.2675000000000001</v>
      </c>
      <c r="CD31" s="1182">
        <v>1883</v>
      </c>
      <c r="CE31" s="1177">
        <v>94</v>
      </c>
      <c r="CF31" s="1178">
        <v>148.5</v>
      </c>
      <c r="CG31" s="1178">
        <v>2.7100000000000022</v>
      </c>
      <c r="CH31" s="1178">
        <v>116</v>
      </c>
      <c r="CI31" s="1178">
        <v>65</v>
      </c>
      <c r="CJ31" s="88">
        <f t="shared" si="31"/>
        <v>60.764107744107754</v>
      </c>
      <c r="CK31" s="88">
        <f t="shared" si="53"/>
        <v>427.7</v>
      </c>
      <c r="CL31" s="88">
        <f t="shared" si="54"/>
        <v>9.0234700000000014</v>
      </c>
      <c r="CM31" s="1182">
        <v>1954</v>
      </c>
      <c r="CN31" s="1177">
        <v>95.1</v>
      </c>
      <c r="CO31" s="1178">
        <v>149.5</v>
      </c>
      <c r="CP31" s="1178">
        <v>2.7100000000000022</v>
      </c>
      <c r="CQ31" s="1178">
        <v>107</v>
      </c>
      <c r="CR31" s="1178">
        <v>63.6</v>
      </c>
      <c r="CS31" s="88">
        <f t="shared" si="33"/>
        <v>59.426020066889635</v>
      </c>
      <c r="CT31" s="88">
        <f t="shared" si="55"/>
        <v>423.3852</v>
      </c>
      <c r="CU31" s="88">
        <f t="shared" si="56"/>
        <v>8.8841900000000003</v>
      </c>
      <c r="CV31" s="1182">
        <v>1738</v>
      </c>
      <c r="CW31" s="1177">
        <v>92.9</v>
      </c>
      <c r="CX31" s="1178">
        <v>150</v>
      </c>
      <c r="CY31" s="1178">
        <v>2.7100000000000009</v>
      </c>
      <c r="CZ31" s="1178">
        <v>113</v>
      </c>
      <c r="DA31" s="1178">
        <v>63.8</v>
      </c>
      <c r="DB31" s="88">
        <f t="shared" si="35"/>
        <v>60.416666666666686</v>
      </c>
      <c r="DC31" s="88">
        <f t="shared" si="57"/>
        <v>414.89139999999998</v>
      </c>
      <c r="DD31" s="88">
        <f t="shared" si="58"/>
        <v>9.0625000000000018</v>
      </c>
      <c r="DE31" s="1182">
        <v>1906</v>
      </c>
    </row>
    <row r="32" spans="1:115" ht="15" x14ac:dyDescent="0.2">
      <c r="A32" s="96">
        <f t="shared" si="12"/>
        <v>44</v>
      </c>
      <c r="B32" s="1177">
        <v>87.7</v>
      </c>
      <c r="C32" s="1178">
        <v>149</v>
      </c>
      <c r="D32" s="1178">
        <v>2.5025025025025025</v>
      </c>
      <c r="E32" s="1178">
        <v>117</v>
      </c>
      <c r="F32" s="1178">
        <v>62.3</v>
      </c>
      <c r="G32" s="88">
        <f t="shared" si="13"/>
        <v>57.620134228187922</v>
      </c>
      <c r="H32" s="88">
        <f t="shared" si="0"/>
        <v>382.4597</v>
      </c>
      <c r="I32" s="88">
        <f t="shared" si="14"/>
        <v>8.5853999999999999</v>
      </c>
      <c r="J32" s="1182">
        <v>1708</v>
      </c>
      <c r="K32" s="1177">
        <v>93.5</v>
      </c>
      <c r="L32" s="1178">
        <v>159</v>
      </c>
      <c r="M32" s="1178">
        <v>2.5025025025025025</v>
      </c>
      <c r="N32" s="1178">
        <v>118</v>
      </c>
      <c r="O32" s="1178">
        <v>63.8</v>
      </c>
      <c r="P32" s="88">
        <f t="shared" si="15"/>
        <v>61.343219496855347</v>
      </c>
      <c r="Q32" s="88">
        <f t="shared" si="37"/>
        <v>417.57099999999997</v>
      </c>
      <c r="R32" s="88">
        <f t="shared" si="38"/>
        <v>9.753571899999999</v>
      </c>
      <c r="S32" s="1182">
        <v>1906</v>
      </c>
      <c r="T32" s="1177">
        <v>89</v>
      </c>
      <c r="U32" s="1178">
        <v>150</v>
      </c>
      <c r="V32" s="1178">
        <v>2.5</v>
      </c>
      <c r="W32" s="1178">
        <v>125</v>
      </c>
      <c r="X32" s="1178">
        <v>62.2</v>
      </c>
      <c r="Y32" s="88">
        <f t="shared" si="17"/>
        <v>58.871999999999993</v>
      </c>
      <c r="Z32" s="88">
        <f t="shared" si="39"/>
        <v>387.50600000000003</v>
      </c>
      <c r="AA32" s="88">
        <f t="shared" si="40"/>
        <v>8.8308</v>
      </c>
      <c r="AB32" s="1182">
        <v>2120</v>
      </c>
      <c r="AC32" s="1177">
        <v>91.5</v>
      </c>
      <c r="AD32" s="1178">
        <v>157</v>
      </c>
      <c r="AE32" s="1178">
        <v>1.6</v>
      </c>
      <c r="AF32" s="1178">
        <v>115</v>
      </c>
      <c r="AG32" s="1178">
        <v>64.599999999999994</v>
      </c>
      <c r="AH32" s="88">
        <f t="shared" si="19"/>
        <v>61.249681528662421</v>
      </c>
      <c r="AI32" s="88">
        <f t="shared" si="41"/>
        <v>413.76299999999998</v>
      </c>
      <c r="AJ32" s="88">
        <f t="shared" si="42"/>
        <v>9.6161999999999992</v>
      </c>
      <c r="AK32" s="1182">
        <v>1909</v>
      </c>
      <c r="AL32" s="1177">
        <v>93.9</v>
      </c>
      <c r="AM32" s="1178">
        <v>158</v>
      </c>
      <c r="AN32" s="1178">
        <v>1.6</v>
      </c>
      <c r="AO32" s="1178">
        <v>110</v>
      </c>
      <c r="AP32" s="1178">
        <v>61.7</v>
      </c>
      <c r="AQ32" s="88">
        <f t="shared" si="21"/>
        <v>58.701265822784826</v>
      </c>
      <c r="AR32" s="88">
        <f t="shared" si="43"/>
        <v>405.55410000000006</v>
      </c>
      <c r="AS32" s="88">
        <f t="shared" si="44"/>
        <v>9.2748000000000026</v>
      </c>
      <c r="AT32" s="1182">
        <v>1689</v>
      </c>
      <c r="AU32" s="1177">
        <v>94.2</v>
      </c>
      <c r="AV32" s="1178">
        <v>158.1</v>
      </c>
      <c r="AW32" s="1178">
        <v>2.4</v>
      </c>
      <c r="AX32" s="1178">
        <v>111</v>
      </c>
      <c r="AY32" s="1178">
        <v>64.099999999999994</v>
      </c>
      <c r="AZ32" s="88">
        <f t="shared" si="23"/>
        <v>60.355407969639472</v>
      </c>
      <c r="BA32" s="88">
        <f t="shared" si="45"/>
        <v>422.67539999999997</v>
      </c>
      <c r="BB32" s="88">
        <f t="shared" si="46"/>
        <v>9.5421900000000015</v>
      </c>
      <c r="BC32" s="1182">
        <v>1967</v>
      </c>
      <c r="BD32" s="1177">
        <v>94.1</v>
      </c>
      <c r="BE32" s="1178">
        <v>164.4</v>
      </c>
      <c r="BF32" s="1178">
        <v>1.4100000000000021</v>
      </c>
      <c r="BG32" s="1178">
        <v>116</v>
      </c>
      <c r="BH32" s="1178">
        <v>63.8</v>
      </c>
      <c r="BI32" s="88">
        <f t="shared" si="25"/>
        <v>60.645377128953768</v>
      </c>
      <c r="BJ32" s="88">
        <f t="shared" si="47"/>
        <v>420.25059999999996</v>
      </c>
      <c r="BK32" s="88">
        <f t="shared" si="48"/>
        <v>9.9700999999999986</v>
      </c>
      <c r="BL32" s="1182">
        <v>2100</v>
      </c>
      <c r="BM32" s="1177">
        <v>95</v>
      </c>
      <c r="BN32" s="1178">
        <v>155.1</v>
      </c>
      <c r="BO32" s="1178">
        <v>2.7</v>
      </c>
      <c r="BP32" s="1178">
        <v>106.5</v>
      </c>
      <c r="BQ32" s="1178">
        <v>62</v>
      </c>
      <c r="BR32" s="88">
        <f t="shared" si="27"/>
        <v>57.882333978078655</v>
      </c>
      <c r="BS32" s="88">
        <f t="shared" si="49"/>
        <v>412.29999999999995</v>
      </c>
      <c r="BT32" s="88">
        <f t="shared" si="50"/>
        <v>8.977549999999999</v>
      </c>
      <c r="BU32" s="1182">
        <v>1655</v>
      </c>
      <c r="BV32" s="1177">
        <v>94.6</v>
      </c>
      <c r="BW32" s="1178">
        <v>160</v>
      </c>
      <c r="BX32" s="1178">
        <v>2.2999999999999976</v>
      </c>
      <c r="BY32" s="1178">
        <v>115</v>
      </c>
      <c r="BZ32" s="1178">
        <v>63.5</v>
      </c>
      <c r="CA32" s="88">
        <f t="shared" si="29"/>
        <v>60.7</v>
      </c>
      <c r="CB32" s="88">
        <f t="shared" si="51"/>
        <v>420.49700000000001</v>
      </c>
      <c r="CC32" s="88">
        <f t="shared" si="52"/>
        <v>9.7119999999999997</v>
      </c>
      <c r="CD32" s="1182">
        <v>1883</v>
      </c>
      <c r="CE32" s="1177">
        <v>93.8</v>
      </c>
      <c r="CF32" s="1178">
        <v>154.9</v>
      </c>
      <c r="CG32" s="1178">
        <v>2.7899999999999978</v>
      </c>
      <c r="CH32" s="1178">
        <v>117</v>
      </c>
      <c r="CI32" s="1178">
        <v>65.099999999999994</v>
      </c>
      <c r="CJ32" s="88">
        <f t="shared" si="31"/>
        <v>60.943253712072313</v>
      </c>
      <c r="CK32" s="88">
        <f t="shared" si="53"/>
        <v>427.44659999999993</v>
      </c>
      <c r="CL32" s="88">
        <f t="shared" si="54"/>
        <v>9.4401100000000024</v>
      </c>
      <c r="CM32" s="1182">
        <v>1956</v>
      </c>
      <c r="CN32" s="1177">
        <v>94.9</v>
      </c>
      <c r="CO32" s="1178">
        <v>156</v>
      </c>
      <c r="CP32" s="1178">
        <v>2.7899999999999978</v>
      </c>
      <c r="CQ32" s="1178">
        <v>107</v>
      </c>
      <c r="CR32" s="1178">
        <v>63.7</v>
      </c>
      <c r="CS32" s="88">
        <f t="shared" si="33"/>
        <v>59.604102564102568</v>
      </c>
      <c r="CT32" s="88">
        <f t="shared" si="55"/>
        <v>423.15910000000008</v>
      </c>
      <c r="CU32" s="88">
        <f t="shared" si="56"/>
        <v>9.2982399999999998</v>
      </c>
      <c r="CV32" s="1182">
        <v>1740</v>
      </c>
      <c r="CW32" s="1177">
        <v>92.6</v>
      </c>
      <c r="CX32" s="1178">
        <v>157</v>
      </c>
      <c r="CY32" s="1178">
        <v>2.7900000000000009</v>
      </c>
      <c r="CZ32" s="1178">
        <v>113</v>
      </c>
      <c r="DA32" s="1178">
        <v>63.9</v>
      </c>
      <c r="DB32" s="88">
        <f t="shared" si="35"/>
        <v>60.571974522293011</v>
      </c>
      <c r="DC32" s="88">
        <f t="shared" si="57"/>
        <v>414.19979999999993</v>
      </c>
      <c r="DD32" s="88">
        <f t="shared" si="58"/>
        <v>9.5098000000000038</v>
      </c>
      <c r="DE32" s="1182">
        <v>1909</v>
      </c>
    </row>
    <row r="33" spans="1:109" ht="15" x14ac:dyDescent="0.2">
      <c r="A33" s="96">
        <f t="shared" si="12"/>
        <v>45</v>
      </c>
      <c r="B33" s="1177">
        <v>87.2</v>
      </c>
      <c r="C33" s="1178">
        <v>155</v>
      </c>
      <c r="D33" s="1178">
        <v>2.6026026026026026</v>
      </c>
      <c r="E33" s="1178">
        <v>117</v>
      </c>
      <c r="F33" s="1178">
        <v>62.4</v>
      </c>
      <c r="G33" s="88">
        <f t="shared" si="13"/>
        <v>57.80516129032258</v>
      </c>
      <c r="H33" s="88">
        <f t="shared" si="0"/>
        <v>380.88959999999997</v>
      </c>
      <c r="I33" s="88">
        <f t="shared" si="14"/>
        <v>8.9597999999999995</v>
      </c>
      <c r="J33" s="1182">
        <v>1710</v>
      </c>
      <c r="K33" s="1177">
        <v>93.2</v>
      </c>
      <c r="L33" s="1178">
        <v>165</v>
      </c>
      <c r="M33" s="1178">
        <v>2.6026026026026026</v>
      </c>
      <c r="N33" s="1178">
        <v>118</v>
      </c>
      <c r="O33" s="1178">
        <v>63.8</v>
      </c>
      <c r="P33" s="88">
        <f t="shared" si="15"/>
        <v>61.432556969696975</v>
      </c>
      <c r="Q33" s="88">
        <f t="shared" si="37"/>
        <v>416.2312</v>
      </c>
      <c r="R33" s="88">
        <f t="shared" si="38"/>
        <v>10.1363719</v>
      </c>
      <c r="S33" s="1182">
        <v>1910</v>
      </c>
      <c r="T33" s="1177">
        <v>89</v>
      </c>
      <c r="U33" s="1178">
        <v>156</v>
      </c>
      <c r="V33" s="1178">
        <v>2.6</v>
      </c>
      <c r="W33" s="1178">
        <v>125</v>
      </c>
      <c r="X33" s="1178">
        <v>62.3</v>
      </c>
      <c r="Y33" s="88">
        <f t="shared" si="17"/>
        <v>59.003846153846148</v>
      </c>
      <c r="Z33" s="88">
        <f t="shared" si="39"/>
        <v>388.12900000000002</v>
      </c>
      <c r="AA33" s="88">
        <f t="shared" si="40"/>
        <v>9.2045999999999992</v>
      </c>
      <c r="AB33" s="1182">
        <v>2125</v>
      </c>
      <c r="AC33" s="1177">
        <v>91.3</v>
      </c>
      <c r="AD33" s="1178">
        <v>164</v>
      </c>
      <c r="AE33" s="1178">
        <f>AE32+0.1</f>
        <v>1.7000000000000002</v>
      </c>
      <c r="AF33" s="1178">
        <v>115</v>
      </c>
      <c r="AG33" s="1178">
        <v>64.7</v>
      </c>
      <c r="AH33" s="88">
        <f t="shared" si="19"/>
        <v>61.396951219512204</v>
      </c>
      <c r="AI33" s="88">
        <f t="shared" si="41"/>
        <v>413.49769999999995</v>
      </c>
      <c r="AJ33" s="88">
        <f t="shared" si="42"/>
        <v>10.069100000000001</v>
      </c>
      <c r="AK33" s="1182">
        <v>1912</v>
      </c>
      <c r="AL33" s="1177">
        <v>93.6</v>
      </c>
      <c r="AM33" s="1178">
        <v>165</v>
      </c>
      <c r="AN33" s="1178">
        <f>AN32+0.1</f>
        <v>1.7000000000000002</v>
      </c>
      <c r="AO33" s="1178">
        <v>110</v>
      </c>
      <c r="AP33" s="1178">
        <v>61.8</v>
      </c>
      <c r="AQ33" s="88">
        <f t="shared" si="21"/>
        <v>58.83272727272729</v>
      </c>
      <c r="AR33" s="88">
        <f t="shared" si="43"/>
        <v>404.91359999999997</v>
      </c>
      <c r="AS33" s="88">
        <f t="shared" si="44"/>
        <v>9.7074000000000034</v>
      </c>
      <c r="AT33" s="1182">
        <v>1692</v>
      </c>
      <c r="AU33" s="1177">
        <v>93.9</v>
      </c>
      <c r="AV33" s="1178">
        <v>164.5</v>
      </c>
      <c r="AW33" s="1178">
        <v>2.5</v>
      </c>
      <c r="AX33" s="1178">
        <v>111</v>
      </c>
      <c r="AY33" s="1178">
        <v>64.2</v>
      </c>
      <c r="AZ33" s="88">
        <f t="shared" si="23"/>
        <v>60.504984802431615</v>
      </c>
      <c r="BA33" s="88">
        <f t="shared" si="45"/>
        <v>421.98660000000007</v>
      </c>
      <c r="BB33" s="88">
        <f t="shared" si="46"/>
        <v>9.9530700000000003</v>
      </c>
      <c r="BC33" s="1182">
        <v>1970</v>
      </c>
      <c r="BD33" s="1177">
        <v>93.8</v>
      </c>
      <c r="BE33" s="1178">
        <v>170.9</v>
      </c>
      <c r="BF33" s="1178">
        <v>1.4700000000000044</v>
      </c>
      <c r="BG33" s="1178">
        <v>116</v>
      </c>
      <c r="BH33" s="1178">
        <v>63.9</v>
      </c>
      <c r="BI33" s="88">
        <f t="shared" si="25"/>
        <v>60.769163253364539</v>
      </c>
      <c r="BJ33" s="88">
        <f t="shared" si="47"/>
        <v>419.56739999999996</v>
      </c>
      <c r="BK33" s="88">
        <f t="shared" si="48"/>
        <v>10.385450000000001</v>
      </c>
      <c r="BL33" s="1182">
        <v>2100</v>
      </c>
      <c r="BM33" s="1177">
        <v>95</v>
      </c>
      <c r="BN33" s="1178">
        <v>161.55000000000001</v>
      </c>
      <c r="BO33" s="1178">
        <v>2.8</v>
      </c>
      <c r="BP33" s="1178">
        <v>106.5</v>
      </c>
      <c r="BQ33" s="1178">
        <v>62</v>
      </c>
      <c r="BR33" s="88">
        <f t="shared" si="27"/>
        <v>58.046734757041158</v>
      </c>
      <c r="BS33" s="88">
        <f t="shared" si="49"/>
        <v>412.29999999999995</v>
      </c>
      <c r="BT33" s="88">
        <f t="shared" si="50"/>
        <v>9.3774499999999996</v>
      </c>
      <c r="BU33" s="1182">
        <v>1655</v>
      </c>
      <c r="BV33" s="1177">
        <v>94.4</v>
      </c>
      <c r="BW33" s="1178">
        <v>166</v>
      </c>
      <c r="BX33" s="1178">
        <v>2.400000000000011</v>
      </c>
      <c r="BY33" s="1178">
        <v>115</v>
      </c>
      <c r="BZ33" s="1178">
        <v>63.5</v>
      </c>
      <c r="CA33" s="88">
        <f t="shared" si="29"/>
        <v>60.80120481927711</v>
      </c>
      <c r="CB33" s="88">
        <f t="shared" si="51"/>
        <v>419.60800000000006</v>
      </c>
      <c r="CC33" s="88">
        <f t="shared" si="52"/>
        <v>10.093</v>
      </c>
      <c r="CD33" s="1182">
        <v>1885</v>
      </c>
      <c r="CE33" s="1177">
        <v>93.5</v>
      </c>
      <c r="CF33" s="1178">
        <v>161.4</v>
      </c>
      <c r="CG33" s="1178">
        <v>2.8600000000000021</v>
      </c>
      <c r="CH33" s="1178">
        <v>117</v>
      </c>
      <c r="CI33" s="1178">
        <v>65.2</v>
      </c>
      <c r="CJ33" s="88">
        <f t="shared" si="31"/>
        <v>61.114684014869901</v>
      </c>
      <c r="CK33" s="88">
        <f t="shared" si="53"/>
        <v>426.73400000000004</v>
      </c>
      <c r="CL33" s="88">
        <f t="shared" si="54"/>
        <v>9.8639100000000024</v>
      </c>
      <c r="CM33" s="1182">
        <v>1959</v>
      </c>
      <c r="CN33" s="1177">
        <v>94.7</v>
      </c>
      <c r="CO33" s="1178">
        <v>162.6</v>
      </c>
      <c r="CP33" s="1178">
        <v>2.8600000000000021</v>
      </c>
      <c r="CQ33" s="1178">
        <v>107</v>
      </c>
      <c r="CR33" s="1178">
        <v>63.8</v>
      </c>
      <c r="CS33" s="88">
        <f t="shared" si="33"/>
        <v>59.774415744157444</v>
      </c>
      <c r="CT33" s="88">
        <f t="shared" si="55"/>
        <v>422.93020000000001</v>
      </c>
      <c r="CU33" s="88">
        <f t="shared" si="56"/>
        <v>9.7193199999999997</v>
      </c>
      <c r="CV33" s="1182">
        <v>1743</v>
      </c>
      <c r="CW33" s="1177">
        <v>92.3</v>
      </c>
      <c r="CX33" s="1178">
        <v>163</v>
      </c>
      <c r="CY33" s="1178">
        <v>2.8600000000000008</v>
      </c>
      <c r="CZ33" s="1178">
        <v>113</v>
      </c>
      <c r="DA33" s="1178">
        <v>64</v>
      </c>
      <c r="DB33" s="88">
        <f t="shared" si="35"/>
        <v>60.698159509202469</v>
      </c>
      <c r="DC33" s="88">
        <f t="shared" si="57"/>
        <v>413.50399999999996</v>
      </c>
      <c r="DD33" s="88">
        <f t="shared" si="58"/>
        <v>9.8938000000000024</v>
      </c>
      <c r="DE33" s="1182">
        <v>1912</v>
      </c>
    </row>
    <row r="34" spans="1:109" ht="15" x14ac:dyDescent="0.2">
      <c r="A34" s="96">
        <f t="shared" si="12"/>
        <v>46</v>
      </c>
      <c r="B34" s="1177">
        <v>86.7</v>
      </c>
      <c r="C34" s="1178">
        <v>161</v>
      </c>
      <c r="D34" s="1178">
        <v>2.7027027027027026</v>
      </c>
      <c r="E34" s="1178">
        <v>117</v>
      </c>
      <c r="F34" s="1178">
        <v>62.4</v>
      </c>
      <c r="G34" s="88">
        <f t="shared" si="13"/>
        <v>57.976397515527943</v>
      </c>
      <c r="H34" s="88">
        <f t="shared" si="0"/>
        <v>378.7056</v>
      </c>
      <c r="I34" s="88">
        <f t="shared" si="14"/>
        <v>9.3341999999999992</v>
      </c>
      <c r="J34" s="1182">
        <v>1711</v>
      </c>
      <c r="K34" s="1177">
        <v>93</v>
      </c>
      <c r="L34" s="1178">
        <v>172</v>
      </c>
      <c r="M34" s="1178">
        <v>2.7027027027027026</v>
      </c>
      <c r="N34" s="1178">
        <v>118</v>
      </c>
      <c r="O34" s="1178">
        <v>63.9</v>
      </c>
      <c r="P34" s="88">
        <f t="shared" si="15"/>
        <v>61.532976162790703</v>
      </c>
      <c r="Q34" s="88">
        <f t="shared" si="37"/>
        <v>415.98900000000003</v>
      </c>
      <c r="R34" s="88">
        <f t="shared" si="38"/>
        <v>10.583671900000001</v>
      </c>
      <c r="S34" s="1182">
        <v>1914</v>
      </c>
      <c r="T34" s="1177">
        <v>88</v>
      </c>
      <c r="U34" s="1178">
        <v>162</v>
      </c>
      <c r="V34" s="1178">
        <v>2.7</v>
      </c>
      <c r="W34" s="1178">
        <v>125</v>
      </c>
      <c r="X34" s="1178">
        <v>62.4</v>
      </c>
      <c r="Y34" s="88">
        <f t="shared" si="17"/>
        <v>59.129629629629619</v>
      </c>
      <c r="Z34" s="88">
        <f t="shared" si="39"/>
        <v>384.38400000000001</v>
      </c>
      <c r="AA34" s="88">
        <f t="shared" si="40"/>
        <v>9.5789999999999988</v>
      </c>
      <c r="AB34" s="1182">
        <v>2130</v>
      </c>
      <c r="AC34" s="1177">
        <v>91</v>
      </c>
      <c r="AD34" s="1178">
        <v>170</v>
      </c>
      <c r="AE34" s="1178">
        <f>AE33+0.1</f>
        <v>1.8000000000000003</v>
      </c>
      <c r="AF34" s="1178">
        <v>115</v>
      </c>
      <c r="AG34" s="1178">
        <v>64.7</v>
      </c>
      <c r="AH34" s="88">
        <f t="shared" si="19"/>
        <v>61.513529411764715</v>
      </c>
      <c r="AI34" s="88">
        <f t="shared" si="41"/>
        <v>412.13900000000001</v>
      </c>
      <c r="AJ34" s="88">
        <f t="shared" si="42"/>
        <v>10.457300000000002</v>
      </c>
      <c r="AK34" s="1182">
        <v>1915</v>
      </c>
      <c r="AL34" s="1177">
        <v>93.4</v>
      </c>
      <c r="AM34" s="1178">
        <v>171</v>
      </c>
      <c r="AN34" s="1178">
        <f>AN33+0.1</f>
        <v>1.8000000000000003</v>
      </c>
      <c r="AO34" s="1178">
        <v>110</v>
      </c>
      <c r="AP34" s="1178">
        <v>61.9</v>
      </c>
      <c r="AQ34" s="88">
        <f t="shared" si="21"/>
        <v>58.940350877192998</v>
      </c>
      <c r="AR34" s="88">
        <f t="shared" si="43"/>
        <v>404.7022</v>
      </c>
      <c r="AS34" s="88">
        <f t="shared" si="44"/>
        <v>10.078800000000003</v>
      </c>
      <c r="AT34" s="1182">
        <v>1694</v>
      </c>
      <c r="AU34" s="1177">
        <v>93.7</v>
      </c>
      <c r="AV34" s="1178">
        <v>170.8</v>
      </c>
      <c r="AW34" s="1178">
        <v>2.599999999999989</v>
      </c>
      <c r="AX34" s="1178">
        <v>111</v>
      </c>
      <c r="AY34" s="1178">
        <v>64.3</v>
      </c>
      <c r="AZ34" s="88">
        <f t="shared" si="23"/>
        <v>60.644964871194389</v>
      </c>
      <c r="BA34" s="88">
        <f t="shared" si="45"/>
        <v>421.74369999999999</v>
      </c>
      <c r="BB34" s="88">
        <f t="shared" si="46"/>
        <v>10.358160000000003</v>
      </c>
      <c r="BC34" s="1182">
        <v>1973</v>
      </c>
      <c r="BD34" s="1177">
        <v>93.5</v>
      </c>
      <c r="BE34" s="1178">
        <v>177.3</v>
      </c>
      <c r="BF34" s="1178">
        <v>1.5200000000000045</v>
      </c>
      <c r="BG34" s="1178">
        <v>116</v>
      </c>
      <c r="BH34" s="1178">
        <v>63.9</v>
      </c>
      <c r="BI34" s="88">
        <f t="shared" si="25"/>
        <v>60.882177100958828</v>
      </c>
      <c r="BJ34" s="88">
        <f t="shared" si="47"/>
        <v>418.22550000000001</v>
      </c>
      <c r="BK34" s="88">
        <f t="shared" si="48"/>
        <v>10.794410000000001</v>
      </c>
      <c r="BL34" s="1182">
        <v>2100</v>
      </c>
      <c r="BM34" s="1177">
        <v>94</v>
      </c>
      <c r="BN34" s="1178">
        <v>168</v>
      </c>
      <c r="BO34" s="1178">
        <v>2.8</v>
      </c>
      <c r="BP34" s="1178">
        <v>106.5</v>
      </c>
      <c r="BQ34" s="1178">
        <v>62</v>
      </c>
      <c r="BR34" s="88">
        <f t="shared" si="27"/>
        <v>58.198511904761894</v>
      </c>
      <c r="BS34" s="88">
        <f t="shared" si="49"/>
        <v>407.96</v>
      </c>
      <c r="BT34" s="88">
        <f t="shared" si="50"/>
        <v>9.7773499999999984</v>
      </c>
      <c r="BU34" s="1182">
        <v>1660.0000000000002</v>
      </c>
      <c r="BV34" s="1177">
        <v>94.2</v>
      </c>
      <c r="BW34" s="1178">
        <v>173</v>
      </c>
      <c r="BX34" s="1178">
        <v>2.5000000000000022</v>
      </c>
      <c r="BY34" s="1178">
        <v>115</v>
      </c>
      <c r="BZ34" s="1178">
        <v>63.5</v>
      </c>
      <c r="CA34" s="88">
        <f t="shared" si="29"/>
        <v>60.910404624277461</v>
      </c>
      <c r="CB34" s="88">
        <f t="shared" si="51"/>
        <v>418.71899999999999</v>
      </c>
      <c r="CC34" s="88">
        <f t="shared" si="52"/>
        <v>10.5375</v>
      </c>
      <c r="CD34" s="1182">
        <v>1890</v>
      </c>
      <c r="CE34" s="1177">
        <v>93.2</v>
      </c>
      <c r="CF34" s="1178">
        <v>167.8</v>
      </c>
      <c r="CG34" s="1178">
        <v>2.9299999999999953</v>
      </c>
      <c r="CH34" s="1178">
        <v>117</v>
      </c>
      <c r="CI34" s="1178">
        <v>65.3</v>
      </c>
      <c r="CJ34" s="88">
        <f t="shared" si="31"/>
        <v>61.274314660309898</v>
      </c>
      <c r="CK34" s="88">
        <f t="shared" si="53"/>
        <v>426.0172</v>
      </c>
      <c r="CL34" s="88">
        <f t="shared" si="54"/>
        <v>10.281830000000003</v>
      </c>
      <c r="CM34" s="1182">
        <v>1961</v>
      </c>
      <c r="CN34" s="1177">
        <v>94.5</v>
      </c>
      <c r="CO34" s="1178">
        <v>169.1</v>
      </c>
      <c r="CP34" s="1178">
        <v>2.9299999999999953</v>
      </c>
      <c r="CQ34" s="1178">
        <v>107</v>
      </c>
      <c r="CR34" s="1178">
        <v>63.9</v>
      </c>
      <c r="CS34" s="88">
        <f t="shared" si="33"/>
        <v>59.932998225901834</v>
      </c>
      <c r="CT34" s="88">
        <f t="shared" si="55"/>
        <v>422.69849999999997</v>
      </c>
      <c r="CU34" s="88">
        <f t="shared" si="56"/>
        <v>10.13467</v>
      </c>
      <c r="CV34" s="1182">
        <v>1745</v>
      </c>
      <c r="CW34" s="1177">
        <v>92</v>
      </c>
      <c r="CX34" s="1178">
        <v>169</v>
      </c>
      <c r="CY34" s="1178">
        <v>2.9300000000000006</v>
      </c>
      <c r="CZ34" s="1178">
        <v>113</v>
      </c>
      <c r="DA34" s="1178">
        <v>64.099999999999994</v>
      </c>
      <c r="DB34" s="88">
        <f t="shared" si="35"/>
        <v>60.818934911242621</v>
      </c>
      <c r="DC34" s="88">
        <f t="shared" si="57"/>
        <v>412.80399999999997</v>
      </c>
      <c r="DD34" s="88">
        <f t="shared" si="58"/>
        <v>10.278400000000003</v>
      </c>
      <c r="DE34" s="1182">
        <v>1915</v>
      </c>
    </row>
    <row r="35" spans="1:109" ht="15" x14ac:dyDescent="0.2">
      <c r="A35" s="96">
        <f t="shared" si="12"/>
        <v>47</v>
      </c>
      <c r="B35" s="1177">
        <v>86.3</v>
      </c>
      <c r="C35" s="1178">
        <v>167</v>
      </c>
      <c r="D35" s="1178">
        <v>2.8028028028028027</v>
      </c>
      <c r="E35" s="1178">
        <v>117</v>
      </c>
      <c r="F35" s="1178">
        <v>62.5</v>
      </c>
      <c r="G35" s="88">
        <f t="shared" si="13"/>
        <v>58.138922155688618</v>
      </c>
      <c r="H35" s="88">
        <f t="shared" si="0"/>
        <v>377.5625</v>
      </c>
      <c r="I35" s="88">
        <f t="shared" si="14"/>
        <v>9.7091999999999992</v>
      </c>
      <c r="J35" s="1182">
        <v>1712</v>
      </c>
      <c r="K35" s="1177">
        <v>92.7</v>
      </c>
      <c r="L35" s="1178">
        <v>178</v>
      </c>
      <c r="M35" s="1178">
        <v>2.8028028028028027</v>
      </c>
      <c r="N35" s="1178">
        <v>118</v>
      </c>
      <c r="O35" s="1178">
        <v>63.9</v>
      </c>
      <c r="P35" s="88">
        <f t="shared" si="15"/>
        <v>61.612763483146075</v>
      </c>
      <c r="Q35" s="88">
        <f t="shared" si="37"/>
        <v>414.64710000000002</v>
      </c>
      <c r="R35" s="88">
        <f t="shared" si="38"/>
        <v>10.967071900000001</v>
      </c>
      <c r="S35" s="1182">
        <v>1918</v>
      </c>
      <c r="T35" s="1177">
        <v>88</v>
      </c>
      <c r="U35" s="1178">
        <v>168</v>
      </c>
      <c r="V35" s="1178">
        <v>2.8</v>
      </c>
      <c r="W35" s="1178">
        <v>125</v>
      </c>
      <c r="X35" s="1178">
        <v>62.5</v>
      </c>
      <c r="Y35" s="88">
        <f t="shared" si="17"/>
        <v>59.249999999999986</v>
      </c>
      <c r="Z35" s="88">
        <f t="shared" si="39"/>
        <v>385</v>
      </c>
      <c r="AA35" s="88">
        <f t="shared" si="40"/>
        <v>9.9539999999999988</v>
      </c>
      <c r="AB35" s="1182">
        <v>2135</v>
      </c>
      <c r="AC35" s="1177">
        <v>90.5</v>
      </c>
      <c r="AD35" s="1178">
        <v>176</v>
      </c>
      <c r="AE35" s="1178">
        <v>1.9</v>
      </c>
      <c r="AF35" s="1178">
        <v>115</v>
      </c>
      <c r="AG35" s="1178">
        <v>64.7</v>
      </c>
      <c r="AH35" s="88">
        <f t="shared" si="19"/>
        <v>61.622159090909093</v>
      </c>
      <c r="AI35" s="88">
        <f t="shared" si="41"/>
        <v>409.87450000000001</v>
      </c>
      <c r="AJ35" s="88">
        <f t="shared" si="42"/>
        <v>10.845500000000001</v>
      </c>
      <c r="AK35" s="1182">
        <v>1918</v>
      </c>
      <c r="AL35" s="1177">
        <v>93.1</v>
      </c>
      <c r="AM35" s="1178">
        <v>177</v>
      </c>
      <c r="AN35" s="1178">
        <v>1.9</v>
      </c>
      <c r="AO35" s="1178">
        <v>110</v>
      </c>
      <c r="AP35" s="1178">
        <v>62</v>
      </c>
      <c r="AQ35" s="88">
        <f t="shared" si="21"/>
        <v>59.044067796610186</v>
      </c>
      <c r="AR35" s="88">
        <f t="shared" si="43"/>
        <v>404.05399999999997</v>
      </c>
      <c r="AS35" s="88">
        <f t="shared" si="44"/>
        <v>10.450800000000003</v>
      </c>
      <c r="AT35" s="1182">
        <v>1695</v>
      </c>
      <c r="AU35" s="1177">
        <v>93.4</v>
      </c>
      <c r="AV35" s="1178">
        <v>177.2</v>
      </c>
      <c r="AW35" s="1178">
        <v>2.7</v>
      </c>
      <c r="AX35" s="1178">
        <v>111</v>
      </c>
      <c r="AY35" s="1178">
        <v>64.400000000000006</v>
      </c>
      <c r="AZ35" s="88">
        <f t="shared" si="23"/>
        <v>60.780586907449212</v>
      </c>
      <c r="BA35" s="88">
        <f t="shared" si="45"/>
        <v>421.04720000000003</v>
      </c>
      <c r="BB35" s="88">
        <f t="shared" si="46"/>
        <v>10.77032</v>
      </c>
      <c r="BC35" s="1182">
        <v>1976</v>
      </c>
      <c r="BD35" s="1177">
        <v>93.3</v>
      </c>
      <c r="BE35" s="1178">
        <v>183.8</v>
      </c>
      <c r="BF35" s="1178">
        <v>1.5899999999999976</v>
      </c>
      <c r="BG35" s="1178">
        <v>116</v>
      </c>
      <c r="BH35" s="1178">
        <v>64</v>
      </c>
      <c r="BI35" s="88">
        <f t="shared" si="25"/>
        <v>60.992437431991299</v>
      </c>
      <c r="BJ35" s="88">
        <f t="shared" si="47"/>
        <v>417.98399999999998</v>
      </c>
      <c r="BK35" s="88">
        <f t="shared" si="48"/>
        <v>11.210410000000001</v>
      </c>
      <c r="BL35" s="1182">
        <v>2100</v>
      </c>
      <c r="BM35" s="1177">
        <v>94</v>
      </c>
      <c r="BN35" s="1178">
        <v>174.35</v>
      </c>
      <c r="BO35" s="1178">
        <v>2.9</v>
      </c>
      <c r="BP35" s="1178">
        <v>106.5</v>
      </c>
      <c r="BQ35" s="1178">
        <v>62</v>
      </c>
      <c r="BR35" s="88">
        <f t="shared" si="27"/>
        <v>58.336965873243471</v>
      </c>
      <c r="BS35" s="88">
        <f t="shared" si="49"/>
        <v>407.96</v>
      </c>
      <c r="BT35" s="88">
        <f t="shared" si="50"/>
        <v>10.171049999999997</v>
      </c>
      <c r="BU35" s="1182">
        <v>1660.0000000000002</v>
      </c>
      <c r="BV35" s="1177">
        <v>93.9</v>
      </c>
      <c r="BW35" s="1178">
        <v>179</v>
      </c>
      <c r="BX35" s="1178">
        <v>2.5999999999999934</v>
      </c>
      <c r="BY35" s="1178">
        <v>115</v>
      </c>
      <c r="BZ35" s="1178">
        <v>63.5</v>
      </c>
      <c r="CA35" s="88">
        <f t="shared" si="29"/>
        <v>60.997206703910614</v>
      </c>
      <c r="CB35" s="88">
        <f t="shared" si="51"/>
        <v>417.38550000000004</v>
      </c>
      <c r="CC35" s="88">
        <f t="shared" si="52"/>
        <v>10.9185</v>
      </c>
      <c r="CD35" s="1182">
        <v>1890</v>
      </c>
      <c r="CE35" s="1177">
        <v>92.9</v>
      </c>
      <c r="CF35" s="1178">
        <v>174.2</v>
      </c>
      <c r="CG35" s="1178">
        <v>3</v>
      </c>
      <c r="CH35" s="1178">
        <v>117</v>
      </c>
      <c r="CI35" s="1178">
        <v>65.400000000000006</v>
      </c>
      <c r="CJ35" s="88">
        <f t="shared" si="31"/>
        <v>61.425889781859937</v>
      </c>
      <c r="CK35" s="88">
        <f t="shared" si="53"/>
        <v>425.29620000000006</v>
      </c>
      <c r="CL35" s="88">
        <f t="shared" si="54"/>
        <v>10.700390000000001</v>
      </c>
      <c r="CM35" s="1182">
        <v>1964</v>
      </c>
      <c r="CN35" s="1177">
        <v>94.2</v>
      </c>
      <c r="CO35" s="1178">
        <v>175.6</v>
      </c>
      <c r="CP35" s="1178">
        <v>3</v>
      </c>
      <c r="CQ35" s="1178">
        <v>107</v>
      </c>
      <c r="CR35" s="1178">
        <v>64</v>
      </c>
      <c r="CS35" s="88">
        <f t="shared" si="33"/>
        <v>60.083542141230076</v>
      </c>
      <c r="CT35" s="88">
        <f t="shared" si="55"/>
        <v>422.01600000000002</v>
      </c>
      <c r="CU35" s="88">
        <f t="shared" si="56"/>
        <v>10.55067</v>
      </c>
      <c r="CV35" s="1182">
        <v>1747</v>
      </c>
      <c r="CW35" s="1177">
        <v>91.7</v>
      </c>
      <c r="CX35" s="1178">
        <v>175</v>
      </c>
      <c r="CY35" s="1178">
        <v>3.0000000000000004</v>
      </c>
      <c r="CZ35" s="1178">
        <v>113</v>
      </c>
      <c r="DA35" s="1178">
        <v>64.2</v>
      </c>
      <c r="DB35" s="88">
        <f t="shared" si="35"/>
        <v>60.934857142857162</v>
      </c>
      <c r="DC35" s="88">
        <f t="shared" si="57"/>
        <v>412.09980000000007</v>
      </c>
      <c r="DD35" s="88">
        <f t="shared" si="58"/>
        <v>10.663600000000002</v>
      </c>
      <c r="DE35" s="1182">
        <v>1918</v>
      </c>
    </row>
    <row r="36" spans="1:109" ht="15" x14ac:dyDescent="0.2">
      <c r="A36" s="96">
        <f t="shared" si="12"/>
        <v>48</v>
      </c>
      <c r="B36" s="1177">
        <v>85.8</v>
      </c>
      <c r="C36" s="1178">
        <v>173</v>
      </c>
      <c r="D36" s="1178">
        <v>2.9029029029029032</v>
      </c>
      <c r="E36" s="1178">
        <v>117</v>
      </c>
      <c r="F36" s="1178">
        <v>62.6</v>
      </c>
      <c r="G36" s="88">
        <f t="shared" si="13"/>
        <v>58.293641618497105</v>
      </c>
      <c r="H36" s="88">
        <f t="shared" si="0"/>
        <v>375.97560000000004</v>
      </c>
      <c r="I36" s="88">
        <f t="shared" si="14"/>
        <v>10.0848</v>
      </c>
      <c r="J36" s="1182">
        <v>1713</v>
      </c>
      <c r="K36" s="1177">
        <v>92.5</v>
      </c>
      <c r="L36" s="1178">
        <v>184</v>
      </c>
      <c r="M36" s="1178">
        <v>2.9029029029029032</v>
      </c>
      <c r="N36" s="1178">
        <v>118</v>
      </c>
      <c r="O36" s="1178">
        <v>63.9</v>
      </c>
      <c r="P36" s="88">
        <f t="shared" si="15"/>
        <v>61.687347282608705</v>
      </c>
      <c r="Q36" s="88">
        <f t="shared" si="37"/>
        <v>413.7525</v>
      </c>
      <c r="R36" s="88">
        <f t="shared" si="38"/>
        <v>11.350471900000001</v>
      </c>
      <c r="S36" s="1182">
        <v>1921</v>
      </c>
      <c r="T36" s="1177">
        <v>87</v>
      </c>
      <c r="U36" s="1178">
        <v>174</v>
      </c>
      <c r="V36" s="1178">
        <v>2.9</v>
      </c>
      <c r="W36" s="1178">
        <v>125</v>
      </c>
      <c r="X36" s="1178">
        <v>62.6</v>
      </c>
      <c r="Y36" s="88">
        <f t="shared" si="17"/>
        <v>59.365517241379301</v>
      </c>
      <c r="Z36" s="88">
        <f t="shared" si="39"/>
        <v>381.23399999999998</v>
      </c>
      <c r="AA36" s="88">
        <f t="shared" si="40"/>
        <v>10.329599999999999</v>
      </c>
      <c r="AB36" s="1182">
        <v>2140</v>
      </c>
      <c r="AC36" s="1177">
        <v>90</v>
      </c>
      <c r="AD36" s="1178">
        <v>182</v>
      </c>
      <c r="AE36" s="1178">
        <v>1.9</v>
      </c>
      <c r="AF36" s="1178">
        <v>115</v>
      </c>
      <c r="AG36" s="1178">
        <v>64.8</v>
      </c>
      <c r="AH36" s="88">
        <f t="shared" si="19"/>
        <v>61.726923076923079</v>
      </c>
      <c r="AI36" s="88">
        <f t="shared" si="41"/>
        <v>408.23999999999995</v>
      </c>
      <c r="AJ36" s="88">
        <f t="shared" si="42"/>
        <v>11.234299999999999</v>
      </c>
      <c r="AK36" s="1182">
        <v>1921</v>
      </c>
      <c r="AL36" s="1177">
        <v>92.8</v>
      </c>
      <c r="AM36" s="1178">
        <v>184</v>
      </c>
      <c r="AN36" s="1178">
        <v>1.9</v>
      </c>
      <c r="AO36" s="1178">
        <v>110</v>
      </c>
      <c r="AP36" s="1178">
        <v>62.1</v>
      </c>
      <c r="AQ36" s="88">
        <f t="shared" si="21"/>
        <v>59.160326086956537</v>
      </c>
      <c r="AR36" s="88">
        <f t="shared" si="43"/>
        <v>403.40159999999997</v>
      </c>
      <c r="AS36" s="88">
        <f t="shared" si="44"/>
        <v>10.885500000000002</v>
      </c>
      <c r="AT36" s="1182">
        <v>1697</v>
      </c>
      <c r="AU36" s="1177">
        <v>93.1</v>
      </c>
      <c r="AV36" s="1178">
        <v>183.5</v>
      </c>
      <c r="AW36" s="1178">
        <v>2.8000000000000003</v>
      </c>
      <c r="AX36" s="1178">
        <v>111</v>
      </c>
      <c r="AY36" s="1178">
        <v>64.5</v>
      </c>
      <c r="AZ36" s="88">
        <f t="shared" si="23"/>
        <v>60.908283378746596</v>
      </c>
      <c r="BA36" s="88">
        <f t="shared" si="45"/>
        <v>420.34649999999999</v>
      </c>
      <c r="BB36" s="88">
        <f t="shared" si="46"/>
        <v>11.176670000000001</v>
      </c>
      <c r="BC36" s="1182">
        <v>1979</v>
      </c>
      <c r="BD36" s="1177">
        <v>93.1</v>
      </c>
      <c r="BE36" s="1178">
        <v>190.2</v>
      </c>
      <c r="BF36" s="1178">
        <v>1.6399999999999977</v>
      </c>
      <c r="BG36" s="1178">
        <v>116</v>
      </c>
      <c r="BH36" s="1178">
        <v>64</v>
      </c>
      <c r="BI36" s="88">
        <f t="shared" si="25"/>
        <v>61.09363827549948</v>
      </c>
      <c r="BJ36" s="88">
        <f t="shared" si="47"/>
        <v>417.08799999999997</v>
      </c>
      <c r="BK36" s="88">
        <f t="shared" si="48"/>
        <v>11.620010000000001</v>
      </c>
      <c r="BL36" s="1182">
        <v>2100</v>
      </c>
      <c r="BM36" s="1177">
        <v>94</v>
      </c>
      <c r="BN36" s="1178">
        <v>180.75</v>
      </c>
      <c r="BO36" s="1178">
        <v>2.9</v>
      </c>
      <c r="BP36" s="1178">
        <v>106.5</v>
      </c>
      <c r="BQ36" s="1178">
        <v>62</v>
      </c>
      <c r="BR36" s="88">
        <f t="shared" si="27"/>
        <v>58.466666666666661</v>
      </c>
      <c r="BS36" s="88">
        <f t="shared" si="49"/>
        <v>407.96</v>
      </c>
      <c r="BT36" s="88">
        <f t="shared" si="50"/>
        <v>10.56785</v>
      </c>
      <c r="BU36" s="1182">
        <v>1660.0000000000002</v>
      </c>
      <c r="BV36" s="1177">
        <v>93.7</v>
      </c>
      <c r="BW36" s="1178">
        <v>185</v>
      </c>
      <c r="BX36" s="1178">
        <v>2.7000000000000068</v>
      </c>
      <c r="BY36" s="1178">
        <v>115</v>
      </c>
      <c r="BZ36" s="1178">
        <v>63.6</v>
      </c>
      <c r="CA36" s="88">
        <f t="shared" si="29"/>
        <v>61.081621621621622</v>
      </c>
      <c r="CB36" s="88">
        <f t="shared" si="51"/>
        <v>417.1524</v>
      </c>
      <c r="CC36" s="88">
        <f t="shared" si="52"/>
        <v>11.3001</v>
      </c>
      <c r="CD36" s="1182">
        <v>1890</v>
      </c>
      <c r="CE36" s="1177">
        <v>92.6</v>
      </c>
      <c r="CF36" s="1178">
        <v>180.5</v>
      </c>
      <c r="CG36" s="1178">
        <v>3.0700000000000047</v>
      </c>
      <c r="CH36" s="1178">
        <v>117</v>
      </c>
      <c r="CI36" s="1178">
        <v>65.5</v>
      </c>
      <c r="CJ36" s="88">
        <f t="shared" si="31"/>
        <v>61.568088642659283</v>
      </c>
      <c r="CK36" s="88">
        <f t="shared" si="53"/>
        <v>424.57099999999997</v>
      </c>
      <c r="CL36" s="88">
        <f t="shared" si="54"/>
        <v>11.11304</v>
      </c>
      <c r="CM36" s="1182">
        <v>1966</v>
      </c>
      <c r="CN36" s="1177">
        <v>93.9</v>
      </c>
      <c r="CO36" s="1178">
        <v>182</v>
      </c>
      <c r="CP36" s="1178">
        <v>3.0700000000000047</v>
      </c>
      <c r="CQ36" s="1178">
        <v>107</v>
      </c>
      <c r="CR36" s="1178">
        <v>64.099999999999994</v>
      </c>
      <c r="CS36" s="88">
        <f t="shared" si="33"/>
        <v>60.224780219780229</v>
      </c>
      <c r="CT36" s="88">
        <f t="shared" si="55"/>
        <v>421.32929999999999</v>
      </c>
      <c r="CU36" s="88">
        <f t="shared" si="56"/>
        <v>10.960910000000002</v>
      </c>
      <c r="CV36" s="1182">
        <v>1749</v>
      </c>
      <c r="CW36" s="1177">
        <v>91.4</v>
      </c>
      <c r="CX36" s="1178">
        <v>182</v>
      </c>
      <c r="CY36" s="1178">
        <v>3.0700000000000003</v>
      </c>
      <c r="CZ36" s="1178">
        <v>113</v>
      </c>
      <c r="DA36" s="1178">
        <v>64.3</v>
      </c>
      <c r="DB36" s="88">
        <f t="shared" si="35"/>
        <v>61.064285714285738</v>
      </c>
      <c r="DC36" s="88">
        <f t="shared" si="57"/>
        <v>411.39140000000003</v>
      </c>
      <c r="DD36" s="88">
        <f t="shared" si="58"/>
        <v>11.113700000000005</v>
      </c>
      <c r="DE36" s="1182">
        <v>1921</v>
      </c>
    </row>
    <row r="37" spans="1:109" ht="15" x14ac:dyDescent="0.2">
      <c r="A37" s="96">
        <f t="shared" si="12"/>
        <v>49</v>
      </c>
      <c r="B37" s="1177">
        <v>85.3</v>
      </c>
      <c r="C37" s="1178">
        <v>179</v>
      </c>
      <c r="D37" s="1178">
        <v>3.0030030030030028</v>
      </c>
      <c r="E37" s="1178">
        <v>117</v>
      </c>
      <c r="F37" s="1178">
        <v>62.7</v>
      </c>
      <c r="G37" s="88">
        <f t="shared" si="13"/>
        <v>58.441340782122907</v>
      </c>
      <c r="H37" s="88">
        <f t="shared" si="0"/>
        <v>374.38170000000002</v>
      </c>
      <c r="I37" s="88">
        <f t="shared" si="14"/>
        <v>10.461</v>
      </c>
      <c r="J37" s="1182">
        <v>1714</v>
      </c>
      <c r="K37" s="1177">
        <v>92.3</v>
      </c>
      <c r="L37" s="1178">
        <v>190</v>
      </c>
      <c r="M37" s="1178">
        <v>3.0030030030030028</v>
      </c>
      <c r="N37" s="1178">
        <v>118</v>
      </c>
      <c r="O37" s="1178">
        <v>63.9</v>
      </c>
      <c r="P37" s="88">
        <f t="shared" si="15"/>
        <v>61.757220526315798</v>
      </c>
      <c r="Q37" s="88">
        <f t="shared" si="37"/>
        <v>412.85789999999997</v>
      </c>
      <c r="R37" s="88">
        <f t="shared" si="38"/>
        <v>11.733871900000002</v>
      </c>
      <c r="S37" s="1182">
        <v>1924</v>
      </c>
      <c r="T37" s="1177">
        <v>87</v>
      </c>
      <c r="U37" s="1178">
        <v>180</v>
      </c>
      <c r="V37" s="1178">
        <v>3</v>
      </c>
      <c r="W37" s="1178">
        <v>125</v>
      </c>
      <c r="X37" s="1178">
        <v>62.7</v>
      </c>
      <c r="Y37" s="88">
        <f t="shared" si="17"/>
        <v>59.476666666666659</v>
      </c>
      <c r="Z37" s="88">
        <f t="shared" si="39"/>
        <v>381.84300000000002</v>
      </c>
      <c r="AA37" s="88">
        <f t="shared" si="40"/>
        <v>10.7058</v>
      </c>
      <c r="AB37" s="1182">
        <v>2145</v>
      </c>
      <c r="AC37" s="1177">
        <v>89.5</v>
      </c>
      <c r="AD37" s="1178">
        <v>188</v>
      </c>
      <c r="AE37" s="1178">
        <f>AE36+0.1</f>
        <v>2</v>
      </c>
      <c r="AF37" s="1178">
        <v>115</v>
      </c>
      <c r="AG37" s="1178">
        <v>64.8</v>
      </c>
      <c r="AH37" s="88">
        <f t="shared" si="19"/>
        <v>61.82500000000001</v>
      </c>
      <c r="AI37" s="88">
        <f t="shared" si="41"/>
        <v>405.97200000000004</v>
      </c>
      <c r="AJ37" s="88">
        <f t="shared" si="42"/>
        <v>11.623100000000001</v>
      </c>
      <c r="AK37" s="1182">
        <v>1924</v>
      </c>
      <c r="AL37" s="1177">
        <v>92.5</v>
      </c>
      <c r="AM37" s="1178">
        <v>190</v>
      </c>
      <c r="AN37" s="1178">
        <f>AN36+0.1</f>
        <v>2</v>
      </c>
      <c r="AO37" s="1178">
        <v>110</v>
      </c>
      <c r="AP37" s="1178">
        <v>62.2</v>
      </c>
      <c r="AQ37" s="88">
        <f t="shared" si="21"/>
        <v>59.256315789473703</v>
      </c>
      <c r="AR37" s="88">
        <f t="shared" si="43"/>
        <v>402.74500000000006</v>
      </c>
      <c r="AS37" s="88">
        <f t="shared" si="44"/>
        <v>11.258700000000005</v>
      </c>
      <c r="AT37" s="1182">
        <v>1698</v>
      </c>
      <c r="AU37" s="1177">
        <v>92.8</v>
      </c>
      <c r="AV37" s="1178">
        <v>189.9</v>
      </c>
      <c r="AW37" s="1178">
        <v>2.9000000000000004</v>
      </c>
      <c r="AX37" s="1178">
        <v>111</v>
      </c>
      <c r="AY37" s="1178">
        <v>64.599999999999994</v>
      </c>
      <c r="AZ37" s="88">
        <f t="shared" si="23"/>
        <v>61.032701421800951</v>
      </c>
      <c r="BA37" s="88">
        <f t="shared" si="45"/>
        <v>419.64159999999993</v>
      </c>
      <c r="BB37" s="88">
        <f t="shared" si="46"/>
        <v>11.590109999999999</v>
      </c>
      <c r="BC37" s="1182">
        <v>1982</v>
      </c>
      <c r="BD37" s="1177">
        <v>92.8</v>
      </c>
      <c r="BE37" s="1178">
        <v>196.5</v>
      </c>
      <c r="BF37" s="1178">
        <v>1.7000000000000002</v>
      </c>
      <c r="BG37" s="1178">
        <v>116</v>
      </c>
      <c r="BH37" s="1178">
        <v>64.099999999999994</v>
      </c>
      <c r="BI37" s="88">
        <f t="shared" si="25"/>
        <v>61.190025445292626</v>
      </c>
      <c r="BJ37" s="88">
        <f t="shared" si="47"/>
        <v>416.39359999999994</v>
      </c>
      <c r="BK37" s="88">
        <f t="shared" si="48"/>
        <v>12.023840000000002</v>
      </c>
      <c r="BL37" s="1182">
        <v>2100</v>
      </c>
      <c r="BM37" s="1177">
        <v>94</v>
      </c>
      <c r="BN37" s="1178">
        <v>187.10000000000002</v>
      </c>
      <c r="BO37" s="1178">
        <v>3</v>
      </c>
      <c r="BP37" s="1178">
        <v>106.5</v>
      </c>
      <c r="BQ37" s="1178">
        <v>62</v>
      </c>
      <c r="BR37" s="88">
        <f t="shared" si="27"/>
        <v>58.586584714056649</v>
      </c>
      <c r="BS37" s="88">
        <f t="shared" si="49"/>
        <v>407.96</v>
      </c>
      <c r="BT37" s="88">
        <f t="shared" si="50"/>
        <v>10.961549999999999</v>
      </c>
      <c r="BU37" s="1182">
        <v>1660.0000000000002</v>
      </c>
      <c r="BV37" s="1177">
        <v>93.5</v>
      </c>
      <c r="BW37" s="1178">
        <v>192</v>
      </c>
      <c r="BX37" s="1178">
        <v>2.799999999999998</v>
      </c>
      <c r="BY37" s="1178">
        <v>115</v>
      </c>
      <c r="BZ37" s="1178">
        <v>63.6</v>
      </c>
      <c r="CA37" s="88">
        <f t="shared" si="29"/>
        <v>61.173437500000006</v>
      </c>
      <c r="CB37" s="88">
        <f t="shared" si="51"/>
        <v>416.262</v>
      </c>
      <c r="CC37" s="88">
        <f t="shared" si="52"/>
        <v>11.7453</v>
      </c>
      <c r="CD37" s="1182">
        <v>1890</v>
      </c>
      <c r="CE37" s="1177">
        <v>92.3</v>
      </c>
      <c r="CF37" s="1178">
        <v>186.9</v>
      </c>
      <c r="CG37" s="1178">
        <v>3.1399999999999975</v>
      </c>
      <c r="CH37" s="1178">
        <v>117</v>
      </c>
      <c r="CI37" s="1178">
        <v>65.599999999999994</v>
      </c>
      <c r="CJ37" s="88">
        <f t="shared" si="31"/>
        <v>61.706153023006962</v>
      </c>
      <c r="CK37" s="88">
        <f t="shared" si="53"/>
        <v>423.84159999999991</v>
      </c>
      <c r="CL37" s="88">
        <f t="shared" si="54"/>
        <v>11.532880000000002</v>
      </c>
      <c r="CM37" s="1182">
        <v>1969</v>
      </c>
      <c r="CN37" s="1177">
        <v>93.7</v>
      </c>
      <c r="CO37" s="1178">
        <v>188.5</v>
      </c>
      <c r="CP37" s="1178">
        <v>3.1399999999999975</v>
      </c>
      <c r="CQ37" s="1178">
        <v>107</v>
      </c>
      <c r="CR37" s="1178">
        <v>64.2</v>
      </c>
      <c r="CS37" s="88">
        <f t="shared" si="33"/>
        <v>60.361856763925736</v>
      </c>
      <c r="CT37" s="88">
        <f t="shared" si="55"/>
        <v>421.08780000000002</v>
      </c>
      <c r="CU37" s="88">
        <f t="shared" si="56"/>
        <v>11.378210000000003</v>
      </c>
      <c r="CV37" s="1182">
        <v>1751</v>
      </c>
      <c r="CW37" s="1177">
        <v>91</v>
      </c>
      <c r="CX37" s="1178">
        <v>188</v>
      </c>
      <c r="CY37" s="1178">
        <v>3.14</v>
      </c>
      <c r="CZ37" s="1178">
        <v>113</v>
      </c>
      <c r="DA37" s="1178">
        <v>64.400000000000006</v>
      </c>
      <c r="DB37" s="88">
        <f t="shared" si="35"/>
        <v>61.170744680851087</v>
      </c>
      <c r="DC37" s="88">
        <f t="shared" si="57"/>
        <v>410.22800000000007</v>
      </c>
      <c r="DD37" s="88">
        <f t="shared" si="58"/>
        <v>11.500100000000005</v>
      </c>
      <c r="DE37" s="1182">
        <v>1924</v>
      </c>
    </row>
    <row r="38" spans="1:109" ht="15" x14ac:dyDescent="0.2">
      <c r="A38" s="96">
        <f t="shared" si="12"/>
        <v>50</v>
      </c>
      <c r="B38" s="1177">
        <v>84.8</v>
      </c>
      <c r="C38" s="1178">
        <v>184</v>
      </c>
      <c r="D38" s="1178">
        <v>3.1031031031031033</v>
      </c>
      <c r="E38" s="1178">
        <v>117</v>
      </c>
      <c r="F38" s="1178">
        <v>62.8</v>
      </c>
      <c r="G38" s="88">
        <f t="shared" si="13"/>
        <v>58.559782608695656</v>
      </c>
      <c r="H38" s="88">
        <f t="shared" ref="H38:H69" si="59">B38/100*7*F38</f>
        <v>372.7808</v>
      </c>
      <c r="I38" s="88">
        <f t="shared" si="14"/>
        <v>10.775</v>
      </c>
      <c r="J38" s="1182">
        <v>1715</v>
      </c>
      <c r="K38" s="1177">
        <v>92.1</v>
      </c>
      <c r="L38" s="1178">
        <v>197</v>
      </c>
      <c r="M38" s="1178">
        <v>3.1031031031031033</v>
      </c>
      <c r="N38" s="1178">
        <v>118</v>
      </c>
      <c r="O38" s="1178">
        <v>64</v>
      </c>
      <c r="P38" s="88">
        <f t="shared" si="15"/>
        <v>61.836913197969551</v>
      </c>
      <c r="Q38" s="88">
        <f t="shared" si="37"/>
        <v>412.60799999999995</v>
      </c>
      <c r="R38" s="88">
        <f t="shared" si="38"/>
        <v>12.181871900000003</v>
      </c>
      <c r="S38" s="1182">
        <v>1927</v>
      </c>
      <c r="T38" s="1177">
        <v>86</v>
      </c>
      <c r="U38" s="1178">
        <v>186</v>
      </c>
      <c r="V38" s="1178">
        <v>3.1</v>
      </c>
      <c r="W38" s="1178">
        <v>125</v>
      </c>
      <c r="X38" s="1178">
        <v>62.8</v>
      </c>
      <c r="Y38" s="88">
        <f t="shared" si="17"/>
        <v>59.58387096774193</v>
      </c>
      <c r="Z38" s="88">
        <f t="shared" si="39"/>
        <v>378.05599999999998</v>
      </c>
      <c r="AA38" s="88">
        <f t="shared" si="40"/>
        <v>11.082599999999999</v>
      </c>
      <c r="AB38" s="1182">
        <v>2150</v>
      </c>
      <c r="AC38" s="1177">
        <v>89</v>
      </c>
      <c r="AD38" s="1178">
        <v>195</v>
      </c>
      <c r="AE38" s="1178">
        <v>2.1</v>
      </c>
      <c r="AF38" s="1178">
        <v>115</v>
      </c>
      <c r="AG38" s="1178">
        <v>64.900000000000006</v>
      </c>
      <c r="AH38" s="88">
        <f t="shared" si="19"/>
        <v>61.935384615384628</v>
      </c>
      <c r="AI38" s="88">
        <f t="shared" si="41"/>
        <v>404.32700000000006</v>
      </c>
      <c r="AJ38" s="88">
        <f t="shared" si="42"/>
        <v>12.077400000000003</v>
      </c>
      <c r="AK38" s="1182">
        <v>1927</v>
      </c>
      <c r="AL38" s="1177">
        <v>92.2</v>
      </c>
      <c r="AM38" s="1178">
        <v>196</v>
      </c>
      <c r="AN38" s="1178">
        <v>2.1</v>
      </c>
      <c r="AO38" s="1178">
        <v>110</v>
      </c>
      <c r="AP38" s="1178">
        <v>62.3</v>
      </c>
      <c r="AQ38" s="88">
        <f t="shared" si="21"/>
        <v>59.349489795918387</v>
      </c>
      <c r="AR38" s="88">
        <f t="shared" si="43"/>
        <v>402.08420000000001</v>
      </c>
      <c r="AS38" s="88">
        <f t="shared" si="44"/>
        <v>11.632500000000004</v>
      </c>
      <c r="AT38" s="1182">
        <v>1699</v>
      </c>
      <c r="AU38" s="1177">
        <v>92.5</v>
      </c>
      <c r="AV38" s="1178">
        <v>196.1</v>
      </c>
      <c r="AW38" s="1178">
        <v>3</v>
      </c>
      <c r="AX38" s="1178">
        <v>111</v>
      </c>
      <c r="AY38" s="1178">
        <v>64.7</v>
      </c>
      <c r="AZ38" s="88">
        <f t="shared" si="23"/>
        <v>61.148648648648653</v>
      </c>
      <c r="BA38" s="88">
        <f t="shared" si="45"/>
        <v>418.93250000000006</v>
      </c>
      <c r="BB38" s="88">
        <f t="shared" si="46"/>
        <v>11.991250000000001</v>
      </c>
      <c r="BC38" s="1182">
        <v>1985</v>
      </c>
      <c r="BD38" s="1177">
        <v>92.7</v>
      </c>
      <c r="BE38" s="1178">
        <v>202.9</v>
      </c>
      <c r="BF38" s="1178">
        <v>1.7600000000000022</v>
      </c>
      <c r="BG38" s="1178">
        <v>116</v>
      </c>
      <c r="BH38" s="1178">
        <v>64.099999999999994</v>
      </c>
      <c r="BI38" s="88">
        <f t="shared" si="25"/>
        <v>61.281813701330705</v>
      </c>
      <c r="BJ38" s="88">
        <f t="shared" si="47"/>
        <v>415.94490000000002</v>
      </c>
      <c r="BK38" s="88">
        <f t="shared" si="48"/>
        <v>12.43408</v>
      </c>
      <c r="BL38" s="1182">
        <v>2100</v>
      </c>
      <c r="BM38" s="1177">
        <v>94</v>
      </c>
      <c r="BN38" s="1178">
        <v>193.55</v>
      </c>
      <c r="BO38" s="1178">
        <v>3</v>
      </c>
      <c r="BP38" s="1178">
        <v>106.5</v>
      </c>
      <c r="BQ38" s="1178">
        <v>62</v>
      </c>
      <c r="BR38" s="88">
        <f t="shared" si="27"/>
        <v>58.70033583053474</v>
      </c>
      <c r="BS38" s="88">
        <f t="shared" si="49"/>
        <v>407.96</v>
      </c>
      <c r="BT38" s="88">
        <f t="shared" si="50"/>
        <v>11.36145</v>
      </c>
      <c r="BU38" s="1182">
        <v>1660.0000000000002</v>
      </c>
      <c r="BV38" s="1177">
        <v>93.2</v>
      </c>
      <c r="BW38" s="1178">
        <v>198</v>
      </c>
      <c r="BX38" s="1178">
        <v>2.9000000000000004</v>
      </c>
      <c r="BY38" s="1178">
        <v>115</v>
      </c>
      <c r="BZ38" s="1178">
        <v>63.6</v>
      </c>
      <c r="CA38" s="88">
        <f t="shared" si="29"/>
        <v>61.246969696969707</v>
      </c>
      <c r="CB38" s="88">
        <f t="shared" si="51"/>
        <v>414.9264</v>
      </c>
      <c r="CC38" s="88">
        <f t="shared" si="52"/>
        <v>12.126900000000001</v>
      </c>
      <c r="CD38" s="1182">
        <v>1890</v>
      </c>
      <c r="CE38" s="1177">
        <v>92</v>
      </c>
      <c r="CF38" s="1178">
        <v>193.2</v>
      </c>
      <c r="CG38" s="1178">
        <v>3.2100000000000026</v>
      </c>
      <c r="CH38" s="1178">
        <v>117</v>
      </c>
      <c r="CI38" s="1178">
        <v>65.7</v>
      </c>
      <c r="CJ38" s="88">
        <f t="shared" si="31"/>
        <v>61.836387163561078</v>
      </c>
      <c r="CK38" s="88">
        <f t="shared" si="53"/>
        <v>423.10800000000006</v>
      </c>
      <c r="CL38" s="88">
        <f t="shared" si="54"/>
        <v>11.94679</v>
      </c>
      <c r="CM38" s="1182">
        <v>1972</v>
      </c>
      <c r="CN38" s="1177">
        <v>93.5</v>
      </c>
      <c r="CO38" s="1178">
        <v>194.9</v>
      </c>
      <c r="CP38" s="1178">
        <v>3.2100000000000026</v>
      </c>
      <c r="CQ38" s="1178">
        <v>107</v>
      </c>
      <c r="CR38" s="1178">
        <v>64.3</v>
      </c>
      <c r="CS38" s="88">
        <f t="shared" si="33"/>
        <v>60.49117496151873</v>
      </c>
      <c r="CT38" s="88">
        <f t="shared" si="55"/>
        <v>420.84349999999995</v>
      </c>
      <c r="CU38" s="88">
        <f t="shared" si="56"/>
        <v>11.789730000000002</v>
      </c>
      <c r="CV38" s="1182">
        <v>1752</v>
      </c>
      <c r="CW38" s="1177">
        <v>90.6</v>
      </c>
      <c r="CX38" s="1178">
        <v>194</v>
      </c>
      <c r="CY38" s="1178">
        <v>3.21</v>
      </c>
      <c r="CZ38" s="1178">
        <v>112</v>
      </c>
      <c r="DA38" s="1178">
        <v>64.5</v>
      </c>
      <c r="DB38" s="88">
        <f t="shared" si="35"/>
        <v>61.273711340206205</v>
      </c>
      <c r="DC38" s="88">
        <f t="shared" si="57"/>
        <v>409.05899999999997</v>
      </c>
      <c r="DD38" s="88">
        <f t="shared" si="58"/>
        <v>11.887100000000004</v>
      </c>
      <c r="DE38" s="1182">
        <v>1927</v>
      </c>
    </row>
    <row r="39" spans="1:109" ht="15" x14ac:dyDescent="0.2">
      <c r="A39" s="96">
        <f t="shared" ref="A39:A70" si="60">A38+1</f>
        <v>51</v>
      </c>
      <c r="B39" s="1177">
        <v>84.3</v>
      </c>
      <c r="C39" s="1178">
        <v>190</v>
      </c>
      <c r="D39" s="1178">
        <v>3.203203203203203</v>
      </c>
      <c r="E39" s="1178">
        <v>117</v>
      </c>
      <c r="F39" s="1178">
        <v>62.9</v>
      </c>
      <c r="G39" s="88">
        <f t="shared" ref="G39:G70" si="61">IF(C39&gt;0,(F39*(C39-C38)/C39)+(G38*C38/C39),0)</f>
        <v>58.696842105263158</v>
      </c>
      <c r="H39" s="88">
        <f t="shared" si="59"/>
        <v>371.17289999999997</v>
      </c>
      <c r="I39" s="88">
        <f t="shared" ref="I39:I70" si="62">(C39-C38)*F39/1000+C38*G38/1000</f>
        <v>11.1524</v>
      </c>
      <c r="J39" s="1182">
        <v>1716</v>
      </c>
      <c r="K39" s="1177">
        <v>91.9</v>
      </c>
      <c r="L39" s="1178">
        <v>203</v>
      </c>
      <c r="M39" s="1178">
        <v>3.203203203203203</v>
      </c>
      <c r="N39" s="1178">
        <v>118</v>
      </c>
      <c r="O39" s="1178">
        <v>64</v>
      </c>
      <c r="P39" s="88">
        <f t="shared" si="15"/>
        <v>61.900846798029562</v>
      </c>
      <c r="Q39" s="88">
        <f t="shared" si="37"/>
        <v>411.71199999999999</v>
      </c>
      <c r="R39" s="88">
        <f t="shared" si="38"/>
        <v>12.565871900000003</v>
      </c>
      <c r="S39" s="1182">
        <v>1930</v>
      </c>
      <c r="T39" s="1177">
        <v>86</v>
      </c>
      <c r="U39" s="1178">
        <v>192</v>
      </c>
      <c r="V39" s="1178">
        <v>3.2</v>
      </c>
      <c r="W39" s="1178">
        <v>126</v>
      </c>
      <c r="X39" s="1178">
        <v>62.9</v>
      </c>
      <c r="Y39" s="88">
        <f t="shared" si="17"/>
        <v>59.687499999999993</v>
      </c>
      <c r="Z39" s="88">
        <f t="shared" si="39"/>
        <v>378.65799999999996</v>
      </c>
      <c r="AA39" s="88">
        <f t="shared" si="40"/>
        <v>11.459999999999999</v>
      </c>
      <c r="AB39" s="1182">
        <v>2155</v>
      </c>
      <c r="AC39" s="1177">
        <v>88.5</v>
      </c>
      <c r="AD39" s="1178">
        <v>201</v>
      </c>
      <c r="AE39" s="1178">
        <v>2.1</v>
      </c>
      <c r="AF39" s="1178">
        <v>115</v>
      </c>
      <c r="AG39" s="1178">
        <v>64.900000000000006</v>
      </c>
      <c r="AH39" s="88">
        <f t="shared" si="19"/>
        <v>62.023880597014944</v>
      </c>
      <c r="AI39" s="88">
        <f t="shared" si="41"/>
        <v>402.05550000000005</v>
      </c>
      <c r="AJ39" s="88">
        <f t="shared" si="42"/>
        <v>12.466800000000003</v>
      </c>
      <c r="AK39" s="1182">
        <v>1930</v>
      </c>
      <c r="AL39" s="1177">
        <v>91.9</v>
      </c>
      <c r="AM39" s="1178">
        <v>203</v>
      </c>
      <c r="AN39" s="1178">
        <v>2.1</v>
      </c>
      <c r="AO39" s="1178">
        <v>110</v>
      </c>
      <c r="AP39" s="1178">
        <v>62.3</v>
      </c>
      <c r="AQ39" s="88">
        <f t="shared" si="21"/>
        <v>59.451231527093611</v>
      </c>
      <c r="AR39" s="88">
        <f t="shared" si="43"/>
        <v>400.77589999999998</v>
      </c>
      <c r="AS39" s="88">
        <f t="shared" si="44"/>
        <v>12.068600000000004</v>
      </c>
      <c r="AT39" s="1182">
        <v>1699</v>
      </c>
      <c r="AU39" s="1177">
        <v>92.2</v>
      </c>
      <c r="AV39" s="1178">
        <v>202.4</v>
      </c>
      <c r="AW39" s="1178">
        <v>3.0999999999999885</v>
      </c>
      <c r="AX39" s="1178">
        <v>110</v>
      </c>
      <c r="AY39" s="1178">
        <v>64.8</v>
      </c>
      <c r="AZ39" s="88">
        <f t="shared" si="23"/>
        <v>61.262302371541509</v>
      </c>
      <c r="BA39" s="88">
        <f t="shared" si="45"/>
        <v>418.2192</v>
      </c>
      <c r="BB39" s="88">
        <f t="shared" si="46"/>
        <v>12.399490000000002</v>
      </c>
      <c r="BC39" s="1182">
        <v>1988</v>
      </c>
      <c r="BD39" s="1177">
        <v>92.4</v>
      </c>
      <c r="BE39" s="1178">
        <v>209.3</v>
      </c>
      <c r="BF39" s="1178">
        <v>1.8299999999999956</v>
      </c>
      <c r="BG39" s="1178">
        <v>116</v>
      </c>
      <c r="BH39" s="1178">
        <v>64.2</v>
      </c>
      <c r="BI39" s="88">
        <f t="shared" si="25"/>
        <v>61.371046344959382</v>
      </c>
      <c r="BJ39" s="88">
        <f t="shared" si="47"/>
        <v>415.24560000000002</v>
      </c>
      <c r="BK39" s="88">
        <f t="shared" si="48"/>
        <v>12.84496</v>
      </c>
      <c r="BL39" s="1182">
        <v>2100</v>
      </c>
      <c r="BM39" s="1177">
        <v>94</v>
      </c>
      <c r="BN39" s="1178">
        <v>199.9</v>
      </c>
      <c r="BO39" s="1178">
        <v>3.1</v>
      </c>
      <c r="BP39" s="1178">
        <v>107.5</v>
      </c>
      <c r="BQ39" s="1178">
        <v>62</v>
      </c>
      <c r="BR39" s="88">
        <f t="shared" si="27"/>
        <v>58.805152576288137</v>
      </c>
      <c r="BS39" s="88">
        <f t="shared" si="49"/>
        <v>407.96</v>
      </c>
      <c r="BT39" s="88">
        <f t="shared" si="50"/>
        <v>11.755149999999999</v>
      </c>
      <c r="BU39" s="1182">
        <v>1660.0000000000002</v>
      </c>
      <c r="BV39" s="1177">
        <v>92.9</v>
      </c>
      <c r="BW39" s="1178">
        <v>204</v>
      </c>
      <c r="BX39" s="1178">
        <v>3.0000000000000027</v>
      </c>
      <c r="BY39" s="1178">
        <v>115</v>
      </c>
      <c r="BZ39" s="1178">
        <v>63.6</v>
      </c>
      <c r="CA39" s="88">
        <f t="shared" si="29"/>
        <v>61.316176470588239</v>
      </c>
      <c r="CB39" s="88">
        <f t="shared" si="51"/>
        <v>413.5908</v>
      </c>
      <c r="CC39" s="88">
        <f t="shared" si="52"/>
        <v>12.508500000000002</v>
      </c>
      <c r="CD39" s="1182">
        <v>1895</v>
      </c>
      <c r="CE39" s="1177">
        <v>91.7</v>
      </c>
      <c r="CF39" s="1178">
        <v>199.4</v>
      </c>
      <c r="CG39" s="1178">
        <v>3.2799999999999954</v>
      </c>
      <c r="CH39" s="1178">
        <v>117</v>
      </c>
      <c r="CI39" s="1178">
        <v>65.8</v>
      </c>
      <c r="CJ39" s="88">
        <f t="shared" si="31"/>
        <v>61.959628886659978</v>
      </c>
      <c r="CK39" s="88">
        <f t="shared" si="53"/>
        <v>422.37020000000001</v>
      </c>
      <c r="CL39" s="88">
        <f t="shared" si="54"/>
        <v>12.354749999999999</v>
      </c>
      <c r="CM39" s="1182">
        <v>1974</v>
      </c>
      <c r="CN39" s="1177">
        <v>93.2</v>
      </c>
      <c r="CO39" s="1178">
        <v>201.3</v>
      </c>
      <c r="CP39" s="1178">
        <v>3.2799999999999954</v>
      </c>
      <c r="CQ39" s="1178">
        <v>106</v>
      </c>
      <c r="CR39" s="1178">
        <v>64.400000000000006</v>
      </c>
      <c r="CS39" s="88">
        <f t="shared" si="33"/>
        <v>60.615449577744663</v>
      </c>
      <c r="CT39" s="88">
        <f t="shared" si="55"/>
        <v>420.14560000000006</v>
      </c>
      <c r="CU39" s="88">
        <f t="shared" si="56"/>
        <v>12.201890000000002</v>
      </c>
      <c r="CV39" s="1182">
        <v>1754</v>
      </c>
      <c r="CW39" s="1177">
        <v>90.2</v>
      </c>
      <c r="CX39" s="1178">
        <v>200</v>
      </c>
      <c r="CY39" s="1178">
        <v>3.28</v>
      </c>
      <c r="CZ39" s="1178">
        <v>112</v>
      </c>
      <c r="DA39" s="1178">
        <v>64.599999999999994</v>
      </c>
      <c r="DB39" s="88">
        <f t="shared" si="35"/>
        <v>61.373500000000021</v>
      </c>
      <c r="DC39" s="88">
        <f t="shared" si="57"/>
        <v>407.88439999999997</v>
      </c>
      <c r="DD39" s="88">
        <f t="shared" si="58"/>
        <v>12.274700000000003</v>
      </c>
      <c r="DE39" s="1182">
        <v>1930</v>
      </c>
    </row>
    <row r="40" spans="1:109" ht="15" x14ac:dyDescent="0.2">
      <c r="A40" s="96">
        <f t="shared" si="60"/>
        <v>52</v>
      </c>
      <c r="B40" s="1177">
        <v>83.7</v>
      </c>
      <c r="C40" s="1178">
        <v>196</v>
      </c>
      <c r="D40" s="1178">
        <v>3.303303303303303</v>
      </c>
      <c r="E40" s="1178">
        <v>117</v>
      </c>
      <c r="F40" s="1178">
        <v>62.9</v>
      </c>
      <c r="G40" s="88">
        <f t="shared" si="61"/>
        <v>58.825510204081631</v>
      </c>
      <c r="H40" s="88">
        <f t="shared" si="59"/>
        <v>368.53110000000004</v>
      </c>
      <c r="I40" s="88">
        <f t="shared" si="62"/>
        <v>11.5298</v>
      </c>
      <c r="J40" s="1182">
        <v>1717</v>
      </c>
      <c r="K40" s="1177">
        <v>91.6</v>
      </c>
      <c r="L40" s="1178">
        <v>209</v>
      </c>
      <c r="M40" s="1178">
        <v>3.303303303303303</v>
      </c>
      <c r="N40" s="1178">
        <v>118</v>
      </c>
      <c r="O40" s="1178">
        <v>64</v>
      </c>
      <c r="P40" s="88">
        <f t="shared" si="15"/>
        <v>61.961109569378003</v>
      </c>
      <c r="Q40" s="88">
        <f t="shared" si="37"/>
        <v>410.36799999999994</v>
      </c>
      <c r="R40" s="88">
        <f t="shared" si="38"/>
        <v>12.949871900000002</v>
      </c>
      <c r="S40" s="1182">
        <v>1933</v>
      </c>
      <c r="T40" s="1177">
        <v>85</v>
      </c>
      <c r="U40" s="1178">
        <v>198</v>
      </c>
      <c r="V40" s="1178">
        <v>3.3</v>
      </c>
      <c r="W40" s="1178">
        <v>126</v>
      </c>
      <c r="X40" s="1178">
        <v>63</v>
      </c>
      <c r="Y40" s="88">
        <f t="shared" si="17"/>
        <v>59.787878787878775</v>
      </c>
      <c r="Z40" s="88">
        <f t="shared" si="39"/>
        <v>374.85</v>
      </c>
      <c r="AA40" s="88">
        <f t="shared" si="40"/>
        <v>11.837999999999997</v>
      </c>
      <c r="AB40" s="1182">
        <v>2160</v>
      </c>
      <c r="AC40" s="1177">
        <v>88</v>
      </c>
      <c r="AD40" s="1178">
        <v>207</v>
      </c>
      <c r="AE40" s="1178">
        <f>AE39+0.1</f>
        <v>2.2000000000000002</v>
      </c>
      <c r="AF40" s="1178">
        <v>115</v>
      </c>
      <c r="AG40" s="1178">
        <v>64.900000000000006</v>
      </c>
      <c r="AH40" s="88">
        <f t="shared" si="19"/>
        <v>62.107246376811609</v>
      </c>
      <c r="AI40" s="88">
        <f t="shared" si="41"/>
        <v>399.78400000000005</v>
      </c>
      <c r="AJ40" s="88">
        <f t="shared" si="42"/>
        <v>12.856200000000003</v>
      </c>
      <c r="AK40" s="1182">
        <v>1933</v>
      </c>
      <c r="AL40" s="1177">
        <v>91.6</v>
      </c>
      <c r="AM40" s="1178">
        <v>209</v>
      </c>
      <c r="AN40" s="1178">
        <f>AN39+0.1</f>
        <v>2.2000000000000002</v>
      </c>
      <c r="AO40" s="1178">
        <v>110</v>
      </c>
      <c r="AP40" s="1178">
        <v>62.4</v>
      </c>
      <c r="AQ40" s="88">
        <f t="shared" si="21"/>
        <v>59.535885167464137</v>
      </c>
      <c r="AR40" s="88">
        <f t="shared" si="43"/>
        <v>400.10879999999992</v>
      </c>
      <c r="AS40" s="88">
        <f t="shared" si="44"/>
        <v>12.443000000000003</v>
      </c>
      <c r="AT40" s="1182">
        <v>1700</v>
      </c>
      <c r="AU40" s="1177">
        <v>91.9</v>
      </c>
      <c r="AV40" s="1178">
        <v>208.6</v>
      </c>
      <c r="AW40" s="1178">
        <v>3.2</v>
      </c>
      <c r="AX40" s="1178">
        <v>110</v>
      </c>
      <c r="AY40" s="1178">
        <v>64.900000000000006</v>
      </c>
      <c r="AZ40" s="88">
        <f t="shared" si="23"/>
        <v>61.370421860019185</v>
      </c>
      <c r="BA40" s="88">
        <f t="shared" si="45"/>
        <v>417.50170000000003</v>
      </c>
      <c r="BB40" s="88">
        <f t="shared" si="46"/>
        <v>12.801870000000001</v>
      </c>
      <c r="BC40" s="1182">
        <v>1991</v>
      </c>
      <c r="BD40" s="1177">
        <v>92.2</v>
      </c>
      <c r="BE40" s="1178">
        <v>215.6</v>
      </c>
      <c r="BF40" s="1178">
        <v>1.8899999999999977</v>
      </c>
      <c r="BG40" s="1178">
        <v>116</v>
      </c>
      <c r="BH40" s="1178">
        <v>64.2</v>
      </c>
      <c r="BI40" s="88">
        <f t="shared" si="25"/>
        <v>61.453710575139141</v>
      </c>
      <c r="BJ40" s="88">
        <f t="shared" si="47"/>
        <v>414.34680000000003</v>
      </c>
      <c r="BK40" s="88">
        <f t="shared" si="48"/>
        <v>13.249419999999997</v>
      </c>
      <c r="BL40" s="1182">
        <v>2100</v>
      </c>
      <c r="BM40" s="1177">
        <v>93</v>
      </c>
      <c r="BN40" s="1178">
        <v>206.2</v>
      </c>
      <c r="BO40" s="1178">
        <v>3.1</v>
      </c>
      <c r="BP40" s="1178">
        <v>107.5</v>
      </c>
      <c r="BQ40" s="1178">
        <v>63</v>
      </c>
      <c r="BR40" s="88">
        <f t="shared" si="27"/>
        <v>58.933317167798251</v>
      </c>
      <c r="BS40" s="88">
        <f t="shared" si="49"/>
        <v>410.13000000000005</v>
      </c>
      <c r="BT40" s="88">
        <f t="shared" si="50"/>
        <v>12.152049999999999</v>
      </c>
      <c r="BU40" s="1182">
        <v>1660.0000000000002</v>
      </c>
      <c r="BV40" s="1177">
        <v>92.6</v>
      </c>
      <c r="BW40" s="1178">
        <v>211</v>
      </c>
      <c r="BX40" s="1178">
        <v>3.0999999999999939</v>
      </c>
      <c r="BY40" s="1178">
        <v>115</v>
      </c>
      <c r="BZ40" s="1178">
        <v>63.7</v>
      </c>
      <c r="CA40" s="88">
        <f t="shared" si="29"/>
        <v>61.395260663507109</v>
      </c>
      <c r="CB40" s="88">
        <f t="shared" si="51"/>
        <v>412.90339999999998</v>
      </c>
      <c r="CC40" s="88">
        <f t="shared" si="52"/>
        <v>12.9544</v>
      </c>
      <c r="CD40" s="1182">
        <v>1900</v>
      </c>
      <c r="CE40" s="1177">
        <v>91.3</v>
      </c>
      <c r="CF40" s="1178">
        <v>205.7</v>
      </c>
      <c r="CG40" s="1178">
        <v>3.35</v>
      </c>
      <c r="CH40" s="1178">
        <v>117</v>
      </c>
      <c r="CI40" s="1178">
        <v>65.900000000000006</v>
      </c>
      <c r="CJ40" s="88">
        <f t="shared" si="31"/>
        <v>62.080311132717547</v>
      </c>
      <c r="CK40" s="88">
        <f t="shared" si="53"/>
        <v>421.1669</v>
      </c>
      <c r="CL40" s="88">
        <f t="shared" si="54"/>
        <v>12.769919999999999</v>
      </c>
      <c r="CM40" s="1182">
        <v>1976</v>
      </c>
      <c r="CN40" s="1177">
        <v>93</v>
      </c>
      <c r="CO40" s="1178">
        <v>207.7</v>
      </c>
      <c r="CP40" s="1178">
        <v>3.35</v>
      </c>
      <c r="CQ40" s="1178">
        <v>106</v>
      </c>
      <c r="CR40" s="1178">
        <v>64.5</v>
      </c>
      <c r="CS40" s="88">
        <f t="shared" si="33"/>
        <v>60.735146846413102</v>
      </c>
      <c r="CT40" s="88">
        <f t="shared" si="55"/>
        <v>419.89500000000004</v>
      </c>
      <c r="CU40" s="88">
        <f t="shared" si="56"/>
        <v>12.61469</v>
      </c>
      <c r="CV40" s="1182">
        <v>1755</v>
      </c>
      <c r="CW40" s="1177">
        <v>89.8</v>
      </c>
      <c r="CX40" s="1178">
        <v>206</v>
      </c>
      <c r="CY40" s="1178">
        <v>3.3499999999999996</v>
      </c>
      <c r="CZ40" s="1178">
        <v>112</v>
      </c>
      <c r="DA40" s="1178">
        <v>64.7</v>
      </c>
      <c r="DB40" s="88">
        <f t="shared" si="35"/>
        <v>61.470388349514579</v>
      </c>
      <c r="DC40" s="88">
        <f t="shared" si="57"/>
        <v>406.70420000000007</v>
      </c>
      <c r="DD40" s="88">
        <f t="shared" si="58"/>
        <v>12.662900000000004</v>
      </c>
      <c r="DE40" s="1182">
        <v>1933</v>
      </c>
    </row>
    <row r="41" spans="1:109" ht="15" x14ac:dyDescent="0.2">
      <c r="A41" s="96">
        <f t="shared" si="60"/>
        <v>53</v>
      </c>
      <c r="B41" s="1177">
        <v>83.2</v>
      </c>
      <c r="C41" s="1178">
        <v>201</v>
      </c>
      <c r="D41" s="1178">
        <v>3.4034034034034035</v>
      </c>
      <c r="E41" s="1178">
        <v>117</v>
      </c>
      <c r="F41" s="1178">
        <v>63</v>
      </c>
      <c r="G41" s="88">
        <f t="shared" si="61"/>
        <v>58.929353233830845</v>
      </c>
      <c r="H41" s="88">
        <f t="shared" si="59"/>
        <v>366.91200000000003</v>
      </c>
      <c r="I41" s="88">
        <f t="shared" si="62"/>
        <v>11.844799999999999</v>
      </c>
      <c r="J41" s="1182">
        <v>1718</v>
      </c>
      <c r="K41" s="1177">
        <v>91.3</v>
      </c>
      <c r="L41" s="1178">
        <v>215</v>
      </c>
      <c r="M41" s="1178">
        <v>3.4034034034034035</v>
      </c>
      <c r="N41" s="1178">
        <v>118</v>
      </c>
      <c r="O41" s="1178">
        <v>64</v>
      </c>
      <c r="P41" s="88">
        <f t="shared" si="15"/>
        <v>62.018008837209315</v>
      </c>
      <c r="Q41" s="88">
        <f t="shared" si="37"/>
        <v>409.02399999999994</v>
      </c>
      <c r="R41" s="88">
        <f t="shared" si="38"/>
        <v>13.333871900000002</v>
      </c>
      <c r="S41" s="1182">
        <v>1936</v>
      </c>
      <c r="T41" s="1177">
        <v>85</v>
      </c>
      <c r="U41" s="1178">
        <v>203</v>
      </c>
      <c r="V41" s="1178">
        <v>3.4</v>
      </c>
      <c r="W41" s="1178">
        <v>126</v>
      </c>
      <c r="X41" s="1178">
        <v>63.1</v>
      </c>
      <c r="Y41" s="88">
        <f t="shared" si="17"/>
        <v>59.869458128078811</v>
      </c>
      <c r="Z41" s="88">
        <f t="shared" si="39"/>
        <v>375.44499999999999</v>
      </c>
      <c r="AA41" s="88">
        <f t="shared" si="40"/>
        <v>12.153499999999998</v>
      </c>
      <c r="AB41" s="1182">
        <v>2165</v>
      </c>
      <c r="AC41" s="1177">
        <v>87.5</v>
      </c>
      <c r="AD41" s="1178">
        <v>213</v>
      </c>
      <c r="AE41" s="1178">
        <v>2.2999999999999998</v>
      </c>
      <c r="AF41" s="1178">
        <v>115</v>
      </c>
      <c r="AG41" s="1178">
        <v>65</v>
      </c>
      <c r="AH41" s="88">
        <f t="shared" si="19"/>
        <v>62.188732394366212</v>
      </c>
      <c r="AI41" s="88">
        <f t="shared" si="41"/>
        <v>398.125</v>
      </c>
      <c r="AJ41" s="88">
        <f t="shared" si="42"/>
        <v>13.246200000000004</v>
      </c>
      <c r="AK41" s="1182">
        <v>1936</v>
      </c>
      <c r="AL41" s="1177">
        <v>91.3</v>
      </c>
      <c r="AM41" s="1178">
        <v>215</v>
      </c>
      <c r="AN41" s="1178">
        <v>2.2999999999999998</v>
      </c>
      <c r="AO41" s="1178">
        <v>110</v>
      </c>
      <c r="AP41" s="1178">
        <v>62.5</v>
      </c>
      <c r="AQ41" s="88">
        <f t="shared" si="21"/>
        <v>59.618604651162819</v>
      </c>
      <c r="AR41" s="88">
        <f t="shared" si="43"/>
        <v>399.43749999999994</v>
      </c>
      <c r="AS41" s="88">
        <f t="shared" si="44"/>
        <v>12.818000000000005</v>
      </c>
      <c r="AT41" s="1182">
        <v>1701</v>
      </c>
      <c r="AU41" s="1177">
        <v>91.5</v>
      </c>
      <c r="AV41" s="1178">
        <v>214.8</v>
      </c>
      <c r="AW41" s="1178">
        <v>3.2999999999999883</v>
      </c>
      <c r="AX41" s="1178">
        <v>110</v>
      </c>
      <c r="AY41" s="1178">
        <v>65</v>
      </c>
      <c r="AZ41" s="88">
        <f t="shared" si="23"/>
        <v>61.475186219739292</v>
      </c>
      <c r="BA41" s="88">
        <f t="shared" si="45"/>
        <v>416.32499999999999</v>
      </c>
      <c r="BB41" s="88">
        <f t="shared" si="46"/>
        <v>13.204870000000001</v>
      </c>
      <c r="BC41" s="1182">
        <v>1994</v>
      </c>
      <c r="BD41" s="1177">
        <v>91.9</v>
      </c>
      <c r="BE41" s="1178">
        <v>221.9</v>
      </c>
      <c r="BF41" s="1178">
        <v>1.95</v>
      </c>
      <c r="BG41" s="1178">
        <v>116</v>
      </c>
      <c r="BH41" s="1178">
        <v>64.3</v>
      </c>
      <c r="BI41" s="88">
        <f t="shared" si="25"/>
        <v>61.534520054078413</v>
      </c>
      <c r="BJ41" s="88">
        <f t="shared" si="47"/>
        <v>413.64189999999996</v>
      </c>
      <c r="BK41" s="88">
        <f t="shared" si="48"/>
        <v>13.65451</v>
      </c>
      <c r="BL41" s="1182">
        <v>2100</v>
      </c>
      <c r="BM41" s="1177">
        <v>93</v>
      </c>
      <c r="BN41" s="1178">
        <v>212.55</v>
      </c>
      <c r="BO41" s="1178">
        <v>3.2</v>
      </c>
      <c r="BP41" s="1178">
        <v>107.5</v>
      </c>
      <c r="BQ41" s="1178">
        <v>63</v>
      </c>
      <c r="BR41" s="88">
        <f t="shared" si="27"/>
        <v>59.054810632792289</v>
      </c>
      <c r="BS41" s="88">
        <f t="shared" si="49"/>
        <v>410.13000000000005</v>
      </c>
      <c r="BT41" s="88">
        <f t="shared" si="50"/>
        <v>12.552100000000001</v>
      </c>
      <c r="BU41" s="1182">
        <v>1665</v>
      </c>
      <c r="BV41" s="1177">
        <v>92.3</v>
      </c>
      <c r="BW41" s="1178">
        <v>217</v>
      </c>
      <c r="BX41" s="1178">
        <v>3.2000000000000077</v>
      </c>
      <c r="BY41" s="1178">
        <v>115</v>
      </c>
      <c r="BZ41" s="1178">
        <v>63.7</v>
      </c>
      <c r="CA41" s="88">
        <f t="shared" si="29"/>
        <v>61.4589861751152</v>
      </c>
      <c r="CB41" s="88">
        <f t="shared" si="51"/>
        <v>411.56569999999999</v>
      </c>
      <c r="CC41" s="88">
        <f t="shared" si="52"/>
        <v>13.336599999999999</v>
      </c>
      <c r="CD41" s="1182">
        <v>1900</v>
      </c>
      <c r="CE41" s="1177">
        <v>91</v>
      </c>
      <c r="CF41" s="1178">
        <v>211.9</v>
      </c>
      <c r="CG41" s="1178">
        <v>3.4200000000000044</v>
      </c>
      <c r="CH41" s="1178">
        <v>117</v>
      </c>
      <c r="CI41" s="1178">
        <v>66</v>
      </c>
      <c r="CJ41" s="88">
        <f t="shared" si="31"/>
        <v>62.194997640396409</v>
      </c>
      <c r="CK41" s="88">
        <f t="shared" si="53"/>
        <v>420.42</v>
      </c>
      <c r="CL41" s="88">
        <f t="shared" si="54"/>
        <v>13.179120000000001</v>
      </c>
      <c r="CM41" s="1182">
        <v>1979</v>
      </c>
      <c r="CN41" s="1177">
        <v>92.7</v>
      </c>
      <c r="CO41" s="1178">
        <v>214</v>
      </c>
      <c r="CP41" s="1178">
        <v>3.4200000000000044</v>
      </c>
      <c r="CQ41" s="1178">
        <v>106</v>
      </c>
      <c r="CR41" s="1178">
        <v>64.599999999999994</v>
      </c>
      <c r="CS41" s="88">
        <f t="shared" si="33"/>
        <v>60.84892523364487</v>
      </c>
      <c r="CT41" s="88">
        <f t="shared" si="55"/>
        <v>419.18940000000003</v>
      </c>
      <c r="CU41" s="88">
        <f t="shared" si="56"/>
        <v>13.021670000000002</v>
      </c>
      <c r="CV41" s="1182">
        <v>1756</v>
      </c>
      <c r="CW41" s="1177">
        <v>89.4</v>
      </c>
      <c r="CX41" s="1178">
        <v>212</v>
      </c>
      <c r="CY41" s="1178">
        <v>3.4199999999999995</v>
      </c>
      <c r="CZ41" s="1178">
        <v>112</v>
      </c>
      <c r="DA41" s="1178">
        <v>64.8</v>
      </c>
      <c r="DB41" s="88">
        <f t="shared" si="35"/>
        <v>61.564622641509445</v>
      </c>
      <c r="DC41" s="88">
        <f t="shared" si="57"/>
        <v>405.51839999999999</v>
      </c>
      <c r="DD41" s="88">
        <f t="shared" si="58"/>
        <v>13.051700000000004</v>
      </c>
      <c r="DE41" s="1182">
        <v>1936</v>
      </c>
    </row>
    <row r="42" spans="1:109" ht="15" x14ac:dyDescent="0.2">
      <c r="A42" s="96">
        <f t="shared" si="60"/>
        <v>54</v>
      </c>
      <c r="B42" s="1177">
        <v>82.6</v>
      </c>
      <c r="C42" s="1178">
        <v>207</v>
      </c>
      <c r="D42" s="1178">
        <v>3.4034034034034035</v>
      </c>
      <c r="E42" s="1178">
        <v>117</v>
      </c>
      <c r="F42" s="1178">
        <v>63.1</v>
      </c>
      <c r="G42" s="88">
        <f t="shared" si="61"/>
        <v>59.050241545893719</v>
      </c>
      <c r="H42" s="88">
        <f t="shared" si="59"/>
        <v>364.8442</v>
      </c>
      <c r="I42" s="88">
        <f t="shared" si="62"/>
        <v>12.2234</v>
      </c>
      <c r="J42" s="1182">
        <v>1719</v>
      </c>
      <c r="K42" s="1177">
        <v>91.1</v>
      </c>
      <c r="L42" s="1178">
        <v>221</v>
      </c>
      <c r="M42" s="1178">
        <v>3.5035035035035036</v>
      </c>
      <c r="N42" s="1178">
        <v>118</v>
      </c>
      <c r="O42" s="1178">
        <v>64.099999999999994</v>
      </c>
      <c r="P42" s="88">
        <f t="shared" si="15"/>
        <v>62.074533484162899</v>
      </c>
      <c r="Q42" s="88">
        <f t="shared" si="37"/>
        <v>408.76569999999992</v>
      </c>
      <c r="R42" s="88">
        <f t="shared" si="38"/>
        <v>13.718471900000003</v>
      </c>
      <c r="S42" s="1182">
        <v>1938</v>
      </c>
      <c r="T42" s="1177">
        <v>84</v>
      </c>
      <c r="U42" s="1178">
        <v>209</v>
      </c>
      <c r="V42" s="1178">
        <v>3.5</v>
      </c>
      <c r="W42" s="1178">
        <v>126</v>
      </c>
      <c r="X42" s="1178">
        <v>63.2</v>
      </c>
      <c r="Y42" s="88">
        <f t="shared" si="17"/>
        <v>59.965071770334916</v>
      </c>
      <c r="Z42" s="88">
        <f t="shared" si="39"/>
        <v>371.61599999999999</v>
      </c>
      <c r="AA42" s="88">
        <f t="shared" si="40"/>
        <v>12.532699999999998</v>
      </c>
      <c r="AB42" s="1182">
        <v>2170</v>
      </c>
      <c r="AC42" s="1177">
        <v>87</v>
      </c>
      <c r="AD42" s="1178">
        <v>219</v>
      </c>
      <c r="AE42" s="1178">
        <v>2.2999999999999998</v>
      </c>
      <c r="AF42" s="1178">
        <v>115</v>
      </c>
      <c r="AG42" s="1178">
        <v>65</v>
      </c>
      <c r="AH42" s="88">
        <f t="shared" si="19"/>
        <v>62.265753424657547</v>
      </c>
      <c r="AI42" s="88">
        <f t="shared" si="41"/>
        <v>395.84999999999997</v>
      </c>
      <c r="AJ42" s="88">
        <f t="shared" si="42"/>
        <v>13.636200000000002</v>
      </c>
      <c r="AK42" s="1182">
        <v>1939</v>
      </c>
      <c r="AL42" s="1177">
        <v>91</v>
      </c>
      <c r="AM42" s="1178">
        <v>221</v>
      </c>
      <c r="AN42" s="1178">
        <v>2.2999999999999998</v>
      </c>
      <c r="AO42" s="1178">
        <v>110</v>
      </c>
      <c r="AP42" s="1178">
        <v>62.6</v>
      </c>
      <c r="AQ42" s="88">
        <f t="shared" si="21"/>
        <v>59.69954751131224</v>
      </c>
      <c r="AR42" s="88">
        <f t="shared" si="43"/>
        <v>398.762</v>
      </c>
      <c r="AS42" s="88">
        <f t="shared" si="44"/>
        <v>13.193600000000005</v>
      </c>
      <c r="AT42" s="1182">
        <v>1701</v>
      </c>
      <c r="AU42" s="1177">
        <v>91.2</v>
      </c>
      <c r="AV42" s="1178">
        <v>221</v>
      </c>
      <c r="AW42" s="1178">
        <v>3.4000000000000004</v>
      </c>
      <c r="AX42" s="1178">
        <v>110</v>
      </c>
      <c r="AY42" s="1178">
        <v>65.099999999999994</v>
      </c>
      <c r="AZ42" s="88">
        <f t="shared" si="23"/>
        <v>61.5768778280543</v>
      </c>
      <c r="BA42" s="88">
        <f t="shared" si="45"/>
        <v>415.59839999999997</v>
      </c>
      <c r="BB42" s="88">
        <f t="shared" si="46"/>
        <v>13.60849</v>
      </c>
      <c r="BC42" s="1182">
        <v>1997</v>
      </c>
      <c r="BD42" s="1177">
        <v>91.7</v>
      </c>
      <c r="BE42" s="1178">
        <v>228.2</v>
      </c>
      <c r="BF42" s="1178">
        <v>2.0100000000000025</v>
      </c>
      <c r="BG42" s="1178">
        <v>116</v>
      </c>
      <c r="BH42" s="1178">
        <v>64.3</v>
      </c>
      <c r="BI42" s="88">
        <f t="shared" si="25"/>
        <v>61.610867659947417</v>
      </c>
      <c r="BJ42" s="88">
        <f t="shared" si="47"/>
        <v>412.74170000000004</v>
      </c>
      <c r="BK42" s="88">
        <f t="shared" si="48"/>
        <v>14.0596</v>
      </c>
      <c r="BL42" s="1182">
        <v>2100</v>
      </c>
      <c r="BM42" s="1177">
        <v>92.5</v>
      </c>
      <c r="BN42" s="1178">
        <v>218.8</v>
      </c>
      <c r="BO42" s="1178">
        <v>3.2</v>
      </c>
      <c r="BP42" s="1178">
        <v>107.5</v>
      </c>
      <c r="BQ42" s="1178">
        <v>63</v>
      </c>
      <c r="BR42" s="88">
        <f t="shared" si="27"/>
        <v>59.167504570383919</v>
      </c>
      <c r="BS42" s="88">
        <f t="shared" si="49"/>
        <v>407.92500000000001</v>
      </c>
      <c r="BT42" s="88">
        <f t="shared" si="50"/>
        <v>12.945850000000004</v>
      </c>
      <c r="BU42" s="1182">
        <v>1665</v>
      </c>
      <c r="BV42" s="1177">
        <v>92</v>
      </c>
      <c r="BW42" s="1178">
        <v>223</v>
      </c>
      <c r="BX42" s="1178">
        <v>3.2000000000000077</v>
      </c>
      <c r="BY42" s="1178">
        <v>115</v>
      </c>
      <c r="BZ42" s="1178">
        <v>63.6</v>
      </c>
      <c r="CA42" s="88">
        <f t="shared" si="29"/>
        <v>61.516591928251117</v>
      </c>
      <c r="CB42" s="88">
        <f t="shared" si="51"/>
        <v>409.58400000000006</v>
      </c>
      <c r="CC42" s="88">
        <f t="shared" si="52"/>
        <v>13.7182</v>
      </c>
      <c r="CD42" s="1182">
        <v>1900</v>
      </c>
      <c r="CE42" s="1177">
        <v>90.6</v>
      </c>
      <c r="CF42" s="1178">
        <v>218.1</v>
      </c>
      <c r="CG42" s="1178">
        <v>3.489999999999998</v>
      </c>
      <c r="CH42" s="1178">
        <v>117</v>
      </c>
      <c r="CI42" s="1178">
        <v>66.099999999999994</v>
      </c>
      <c r="CJ42" s="88">
        <f t="shared" si="31"/>
        <v>62.306006419073817</v>
      </c>
      <c r="CK42" s="88">
        <f t="shared" si="53"/>
        <v>419.20619999999997</v>
      </c>
      <c r="CL42" s="88">
        <f t="shared" si="54"/>
        <v>13.588939999999999</v>
      </c>
      <c r="CM42" s="1182">
        <v>1981</v>
      </c>
      <c r="CN42" s="1177">
        <v>92.4</v>
      </c>
      <c r="CO42" s="1178">
        <v>220.3</v>
      </c>
      <c r="CP42" s="1178">
        <v>3.489999999999998</v>
      </c>
      <c r="CQ42" s="1178">
        <v>106</v>
      </c>
      <c r="CR42" s="1178">
        <v>64.7</v>
      </c>
      <c r="CS42" s="88">
        <f t="shared" si="33"/>
        <v>60.959055832955066</v>
      </c>
      <c r="CT42" s="88">
        <f t="shared" si="55"/>
        <v>418.4796</v>
      </c>
      <c r="CU42" s="88">
        <f t="shared" si="56"/>
        <v>13.429280000000002</v>
      </c>
      <c r="CV42" s="1182">
        <v>1758</v>
      </c>
      <c r="CW42" s="1177">
        <v>88.9</v>
      </c>
      <c r="CX42" s="1178">
        <v>218</v>
      </c>
      <c r="CY42" s="1178">
        <v>3.4899999999999993</v>
      </c>
      <c r="CZ42" s="1178">
        <v>112</v>
      </c>
      <c r="DA42" s="1178">
        <v>64.900000000000006</v>
      </c>
      <c r="DB42" s="88">
        <f t="shared" si="35"/>
        <v>61.656422018348636</v>
      </c>
      <c r="DC42" s="88">
        <f t="shared" si="57"/>
        <v>403.87270000000001</v>
      </c>
      <c r="DD42" s="88">
        <f t="shared" si="58"/>
        <v>13.441100000000002</v>
      </c>
      <c r="DE42" s="1182">
        <v>1939</v>
      </c>
    </row>
    <row r="43" spans="1:109" ht="15" x14ac:dyDescent="0.2">
      <c r="A43" s="96">
        <f t="shared" si="60"/>
        <v>55</v>
      </c>
      <c r="B43" s="1177">
        <v>82</v>
      </c>
      <c r="C43" s="1178">
        <v>213</v>
      </c>
      <c r="D43" s="1178">
        <v>3.5035035035035036</v>
      </c>
      <c r="E43" s="1178">
        <v>117</v>
      </c>
      <c r="F43" s="1178">
        <v>63.1</v>
      </c>
      <c r="G43" s="88">
        <f t="shared" si="61"/>
        <v>59.164319248826288</v>
      </c>
      <c r="H43" s="88">
        <f t="shared" si="59"/>
        <v>362.19399999999996</v>
      </c>
      <c r="I43" s="88">
        <f t="shared" si="62"/>
        <v>12.602</v>
      </c>
      <c r="J43" s="1182">
        <v>1720</v>
      </c>
      <c r="K43" s="1177">
        <v>90.8</v>
      </c>
      <c r="L43" s="1178">
        <v>228</v>
      </c>
      <c r="M43" s="1178">
        <v>3.5035035035035036</v>
      </c>
      <c r="N43" s="1178">
        <v>118</v>
      </c>
      <c r="O43" s="1178">
        <v>64.099999999999994</v>
      </c>
      <c r="P43" s="88">
        <f t="shared" si="15"/>
        <v>62.136718859649122</v>
      </c>
      <c r="Q43" s="88">
        <f t="shared" si="37"/>
        <v>407.41959999999995</v>
      </c>
      <c r="R43" s="88">
        <f t="shared" si="38"/>
        <v>14.167171900000001</v>
      </c>
      <c r="S43" s="1182">
        <v>1940</v>
      </c>
      <c r="T43" s="1177">
        <v>84</v>
      </c>
      <c r="U43" s="1178">
        <v>215</v>
      </c>
      <c r="V43" s="1178">
        <v>3.6</v>
      </c>
      <c r="W43" s="1178">
        <v>126</v>
      </c>
      <c r="X43" s="1178">
        <v>63.3</v>
      </c>
      <c r="Y43" s="88">
        <f t="shared" si="17"/>
        <v>60.058139534883708</v>
      </c>
      <c r="Z43" s="88">
        <f t="shared" si="39"/>
        <v>372.20399999999995</v>
      </c>
      <c r="AA43" s="88">
        <f t="shared" si="40"/>
        <v>12.912499999999996</v>
      </c>
      <c r="AB43" s="1182">
        <v>2175</v>
      </c>
      <c r="AC43" s="1177">
        <v>86.5</v>
      </c>
      <c r="AD43" s="1178">
        <v>225</v>
      </c>
      <c r="AE43" s="1178">
        <f>AE42+0.1</f>
        <v>2.4</v>
      </c>
      <c r="AF43" s="1178">
        <v>115</v>
      </c>
      <c r="AG43" s="1178">
        <v>65.099999999999994</v>
      </c>
      <c r="AH43" s="88">
        <f t="shared" si="19"/>
        <v>62.341333333333338</v>
      </c>
      <c r="AI43" s="88">
        <f t="shared" si="41"/>
        <v>394.18049999999994</v>
      </c>
      <c r="AJ43" s="88">
        <f t="shared" si="42"/>
        <v>14.026800000000001</v>
      </c>
      <c r="AK43" s="1182">
        <v>1942</v>
      </c>
      <c r="AL43" s="1177">
        <v>90.7</v>
      </c>
      <c r="AM43" s="1178">
        <v>227</v>
      </c>
      <c r="AN43" s="1178">
        <f>AN42+0.1</f>
        <v>2.4</v>
      </c>
      <c r="AO43" s="1178">
        <v>110</v>
      </c>
      <c r="AP43" s="1178">
        <v>62.7</v>
      </c>
      <c r="AQ43" s="88">
        <f t="shared" si="21"/>
        <v>59.778854625550686</v>
      </c>
      <c r="AR43" s="88">
        <f t="shared" si="43"/>
        <v>398.08230000000003</v>
      </c>
      <c r="AS43" s="88">
        <f t="shared" si="44"/>
        <v>13.569800000000006</v>
      </c>
      <c r="AT43" s="1182">
        <v>1701</v>
      </c>
      <c r="AU43" s="1177">
        <v>90.8</v>
      </c>
      <c r="AV43" s="1178">
        <v>227.1</v>
      </c>
      <c r="AW43" s="1178">
        <v>3.5000000000000004</v>
      </c>
      <c r="AX43" s="1178">
        <v>110</v>
      </c>
      <c r="AY43" s="1178">
        <v>65.2</v>
      </c>
      <c r="AZ43" s="88">
        <f t="shared" si="23"/>
        <v>61.674196389255833</v>
      </c>
      <c r="BA43" s="88">
        <f t="shared" si="45"/>
        <v>414.41120000000001</v>
      </c>
      <c r="BB43" s="88">
        <f t="shared" si="46"/>
        <v>14.006209999999999</v>
      </c>
      <c r="BC43" s="1182">
        <v>1999</v>
      </c>
      <c r="BD43" s="1177">
        <v>91.5</v>
      </c>
      <c r="BE43" s="1178">
        <v>234.4</v>
      </c>
      <c r="BF43" s="1178">
        <v>2.0899999999999976</v>
      </c>
      <c r="BG43" s="1178">
        <v>116</v>
      </c>
      <c r="BH43" s="1178">
        <v>64.3</v>
      </c>
      <c r="BI43" s="88">
        <f t="shared" si="25"/>
        <v>61.681996587030724</v>
      </c>
      <c r="BJ43" s="88">
        <f t="shared" si="47"/>
        <v>411.8415</v>
      </c>
      <c r="BK43" s="88">
        <f t="shared" si="48"/>
        <v>14.458260000000001</v>
      </c>
      <c r="BL43" s="1182">
        <v>2100</v>
      </c>
      <c r="BM43" s="1177">
        <v>91.5</v>
      </c>
      <c r="BN43" s="1178">
        <v>225</v>
      </c>
      <c r="BO43" s="1178">
        <v>3.3</v>
      </c>
      <c r="BP43" s="1178">
        <v>107.5</v>
      </c>
      <c r="BQ43" s="1178">
        <v>63</v>
      </c>
      <c r="BR43" s="88">
        <f t="shared" si="27"/>
        <v>59.27311111111112</v>
      </c>
      <c r="BS43" s="88">
        <f t="shared" si="49"/>
        <v>403.51500000000004</v>
      </c>
      <c r="BT43" s="88">
        <f t="shared" si="50"/>
        <v>13.336450000000001</v>
      </c>
      <c r="BU43" s="1182">
        <v>1665</v>
      </c>
      <c r="BV43" s="1177">
        <v>91.6</v>
      </c>
      <c r="BW43" s="1178">
        <v>229</v>
      </c>
      <c r="BX43" s="1178">
        <v>3.2999999999999989</v>
      </c>
      <c r="BY43" s="1178">
        <v>115</v>
      </c>
      <c r="BZ43" s="1178">
        <v>63.7</v>
      </c>
      <c r="CA43" s="88">
        <f t="shared" si="29"/>
        <v>61.573799126637553</v>
      </c>
      <c r="CB43" s="88">
        <f t="shared" si="51"/>
        <v>408.44439999999997</v>
      </c>
      <c r="CC43" s="88">
        <f t="shared" si="52"/>
        <v>14.100399999999999</v>
      </c>
      <c r="CD43" s="1182">
        <v>1905</v>
      </c>
      <c r="CE43" s="1177">
        <v>90.3</v>
      </c>
      <c r="CF43" s="1178">
        <v>224.2</v>
      </c>
      <c r="CG43" s="1178">
        <v>3.5600000000000023</v>
      </c>
      <c r="CH43" s="1178">
        <v>116</v>
      </c>
      <c r="CI43" s="1178">
        <v>66.099999999999994</v>
      </c>
      <c r="CJ43" s="88">
        <f t="shared" si="31"/>
        <v>62.409232827832291</v>
      </c>
      <c r="CK43" s="88">
        <f t="shared" si="53"/>
        <v>417.81809999999996</v>
      </c>
      <c r="CL43" s="88">
        <f t="shared" si="54"/>
        <v>13.992149999999999</v>
      </c>
      <c r="CM43" s="1182">
        <v>1985</v>
      </c>
      <c r="CN43" s="1177">
        <v>92.2</v>
      </c>
      <c r="CO43" s="1178">
        <v>226.6</v>
      </c>
      <c r="CP43" s="1178">
        <v>3.5600000000000023</v>
      </c>
      <c r="CQ43" s="1178">
        <v>106</v>
      </c>
      <c r="CR43" s="1178">
        <v>64.8</v>
      </c>
      <c r="CS43" s="88">
        <f t="shared" si="33"/>
        <v>61.065842894969116</v>
      </c>
      <c r="CT43" s="88">
        <f t="shared" si="55"/>
        <v>418.2192</v>
      </c>
      <c r="CU43" s="88">
        <f t="shared" si="56"/>
        <v>13.837520000000001</v>
      </c>
      <c r="CV43" s="1182">
        <v>1759</v>
      </c>
      <c r="CW43" s="1177">
        <v>88.4</v>
      </c>
      <c r="CX43" s="1178">
        <v>224</v>
      </c>
      <c r="CY43" s="1178">
        <v>3.5599999999999992</v>
      </c>
      <c r="CZ43" s="1178">
        <v>112</v>
      </c>
      <c r="DA43" s="1178">
        <v>65</v>
      </c>
      <c r="DB43" s="88">
        <f t="shared" si="35"/>
        <v>61.745982142857152</v>
      </c>
      <c r="DC43" s="88">
        <f t="shared" si="57"/>
        <v>402.21999999999997</v>
      </c>
      <c r="DD43" s="88">
        <f t="shared" si="58"/>
        <v>13.831100000000003</v>
      </c>
      <c r="DE43" s="1182">
        <v>1942</v>
      </c>
    </row>
    <row r="44" spans="1:109" ht="15" x14ac:dyDescent="0.2">
      <c r="A44" s="96">
        <f t="shared" si="60"/>
        <v>56</v>
      </c>
      <c r="B44" s="1177">
        <v>81.400000000000006</v>
      </c>
      <c r="C44" s="1178">
        <v>218</v>
      </c>
      <c r="D44" s="1178">
        <v>3.6036036036036037</v>
      </c>
      <c r="E44" s="1178">
        <v>117</v>
      </c>
      <c r="F44" s="1178">
        <v>63.2</v>
      </c>
      <c r="G44" s="88">
        <f t="shared" si="61"/>
        <v>59.256880733944953</v>
      </c>
      <c r="H44" s="88">
        <f t="shared" si="59"/>
        <v>360.11360000000002</v>
      </c>
      <c r="I44" s="88">
        <f t="shared" si="62"/>
        <v>12.918000000000001</v>
      </c>
      <c r="J44" s="1182">
        <v>1721</v>
      </c>
      <c r="K44" s="1177">
        <v>90.5</v>
      </c>
      <c r="L44" s="1178">
        <v>234</v>
      </c>
      <c r="M44" s="1178">
        <v>3.6036036036036037</v>
      </c>
      <c r="N44" s="1178">
        <v>118</v>
      </c>
      <c r="O44" s="1178">
        <v>64.099999999999994</v>
      </c>
      <c r="P44" s="88">
        <f t="shared" si="15"/>
        <v>62.187059401709398</v>
      </c>
      <c r="Q44" s="88">
        <f t="shared" si="37"/>
        <v>406.07349999999997</v>
      </c>
      <c r="R44" s="88">
        <f t="shared" si="38"/>
        <v>14.5517719</v>
      </c>
      <c r="S44" s="1182">
        <v>1942</v>
      </c>
      <c r="T44" s="1177">
        <v>83</v>
      </c>
      <c r="U44" s="1178">
        <v>220</v>
      </c>
      <c r="V44" s="1178">
        <v>3.7</v>
      </c>
      <c r="W44" s="1178">
        <v>126</v>
      </c>
      <c r="X44" s="1178">
        <v>63.4</v>
      </c>
      <c r="Y44" s="88">
        <f t="shared" si="17"/>
        <v>60.134090909090887</v>
      </c>
      <c r="Z44" s="88">
        <f t="shared" si="39"/>
        <v>368.35399999999998</v>
      </c>
      <c r="AA44" s="88">
        <f t="shared" si="40"/>
        <v>13.229499999999996</v>
      </c>
      <c r="AB44" s="1182">
        <v>2180</v>
      </c>
      <c r="AC44" s="1177">
        <v>86</v>
      </c>
      <c r="AD44" s="1178">
        <v>230</v>
      </c>
      <c r="AE44" s="1178">
        <f>AE43+0.1</f>
        <v>2.5</v>
      </c>
      <c r="AF44" s="1178">
        <v>115</v>
      </c>
      <c r="AG44" s="1178">
        <v>65.099999999999994</v>
      </c>
      <c r="AH44" s="88">
        <f t="shared" si="19"/>
        <v>62.401304347826091</v>
      </c>
      <c r="AI44" s="88">
        <f t="shared" si="41"/>
        <v>391.90199999999993</v>
      </c>
      <c r="AJ44" s="88">
        <f t="shared" si="42"/>
        <v>14.352300000000001</v>
      </c>
      <c r="AK44" s="1182">
        <v>1945</v>
      </c>
      <c r="AL44" s="1177">
        <v>90.4</v>
      </c>
      <c r="AM44" s="1178">
        <v>233</v>
      </c>
      <c r="AN44" s="1178">
        <f>AN43+0.1</f>
        <v>2.5</v>
      </c>
      <c r="AO44" s="1178">
        <v>110</v>
      </c>
      <c r="AP44" s="1178">
        <v>62.8</v>
      </c>
      <c r="AQ44" s="88">
        <f t="shared" si="21"/>
        <v>59.856652360515049</v>
      </c>
      <c r="AR44" s="88">
        <f t="shared" si="43"/>
        <v>397.39839999999998</v>
      </c>
      <c r="AS44" s="88">
        <f t="shared" si="44"/>
        <v>13.946600000000005</v>
      </c>
      <c r="AT44" s="1182">
        <v>1701</v>
      </c>
      <c r="AU44" s="1177">
        <v>90.4</v>
      </c>
      <c r="AV44" s="1178">
        <v>233.2</v>
      </c>
      <c r="AW44" s="1178">
        <v>3.5999999999999885</v>
      </c>
      <c r="AX44" s="1178">
        <v>110</v>
      </c>
      <c r="AY44" s="1178">
        <v>65.3</v>
      </c>
      <c r="AZ44" s="88">
        <f t="shared" si="23"/>
        <v>61.769039451114921</v>
      </c>
      <c r="BA44" s="88">
        <f t="shared" si="45"/>
        <v>413.21839999999997</v>
      </c>
      <c r="BB44" s="88">
        <f t="shared" si="46"/>
        <v>14.404539999999999</v>
      </c>
      <c r="BC44" s="1182">
        <v>2001</v>
      </c>
      <c r="BD44" s="1177">
        <v>91.4</v>
      </c>
      <c r="BE44" s="1178">
        <v>240.7</v>
      </c>
      <c r="BF44" s="1178">
        <v>2.1600000000000024</v>
      </c>
      <c r="BG44" s="1178">
        <v>116</v>
      </c>
      <c r="BH44" s="1178">
        <v>64.400000000000006</v>
      </c>
      <c r="BI44" s="88">
        <f t="shared" si="25"/>
        <v>61.75313668466972</v>
      </c>
      <c r="BJ44" s="88">
        <f t="shared" si="47"/>
        <v>412.03120000000007</v>
      </c>
      <c r="BK44" s="88">
        <f t="shared" si="48"/>
        <v>14.863980000000002</v>
      </c>
      <c r="BL44" s="1182">
        <v>2100</v>
      </c>
      <c r="BM44" s="1177">
        <v>91</v>
      </c>
      <c r="BN44" s="1178">
        <v>231.15</v>
      </c>
      <c r="BO44" s="1178">
        <v>3.3</v>
      </c>
      <c r="BP44" s="1178">
        <v>107.5</v>
      </c>
      <c r="BQ44" s="1178">
        <v>63</v>
      </c>
      <c r="BR44" s="88">
        <f t="shared" si="27"/>
        <v>59.372269089335937</v>
      </c>
      <c r="BS44" s="88">
        <f t="shared" si="49"/>
        <v>401.31</v>
      </c>
      <c r="BT44" s="88">
        <f t="shared" si="50"/>
        <v>13.723900000000004</v>
      </c>
      <c r="BU44" s="1182">
        <v>1665</v>
      </c>
      <c r="BV44" s="1177">
        <v>91.3</v>
      </c>
      <c r="BW44" s="1178">
        <v>235</v>
      </c>
      <c r="BX44" s="1178">
        <v>3.4000000000000008</v>
      </c>
      <c r="BY44" s="1178">
        <v>115</v>
      </c>
      <c r="BZ44" s="1178">
        <v>63.7</v>
      </c>
      <c r="CA44" s="88">
        <f t="shared" si="29"/>
        <v>61.628085106382976</v>
      </c>
      <c r="CB44" s="88">
        <f t="shared" si="51"/>
        <v>407.10669999999999</v>
      </c>
      <c r="CC44" s="88">
        <f t="shared" si="52"/>
        <v>14.4826</v>
      </c>
      <c r="CD44" s="1182">
        <v>1905</v>
      </c>
      <c r="CE44" s="1177">
        <v>89.9</v>
      </c>
      <c r="CF44" s="1178">
        <v>230.4</v>
      </c>
      <c r="CG44" s="1178">
        <v>3.6299999999999959</v>
      </c>
      <c r="CH44" s="1178">
        <v>116</v>
      </c>
      <c r="CI44" s="1178">
        <v>66.2</v>
      </c>
      <c r="CJ44" s="88">
        <f t="shared" si="31"/>
        <v>62.511241319444444</v>
      </c>
      <c r="CK44" s="88">
        <f t="shared" si="53"/>
        <v>416.59660000000002</v>
      </c>
      <c r="CL44" s="88">
        <f t="shared" si="54"/>
        <v>14.40259</v>
      </c>
      <c r="CM44" s="1182">
        <v>1986</v>
      </c>
      <c r="CN44" s="1177">
        <v>91.9</v>
      </c>
      <c r="CO44" s="1178">
        <v>232.9</v>
      </c>
      <c r="CP44" s="1178">
        <v>3.6299999999999959</v>
      </c>
      <c r="CQ44" s="1178">
        <v>106</v>
      </c>
      <c r="CR44" s="1178">
        <v>64.8</v>
      </c>
      <c r="CS44" s="88">
        <f t="shared" si="33"/>
        <v>61.16685272649206</v>
      </c>
      <c r="CT44" s="88">
        <f t="shared" si="55"/>
        <v>416.85839999999996</v>
      </c>
      <c r="CU44" s="88">
        <f t="shared" si="56"/>
        <v>14.245760000000001</v>
      </c>
      <c r="CV44" s="1182">
        <v>1760</v>
      </c>
      <c r="CW44" s="1177">
        <v>87.9</v>
      </c>
      <c r="CX44" s="1178">
        <v>230</v>
      </c>
      <c r="CY44" s="1178">
        <v>3.629999999999999</v>
      </c>
      <c r="CZ44" s="1178">
        <v>112</v>
      </c>
      <c r="DA44" s="1178">
        <v>65</v>
      </c>
      <c r="DB44" s="88">
        <f t="shared" si="35"/>
        <v>61.830869565217405</v>
      </c>
      <c r="DC44" s="88">
        <f t="shared" si="57"/>
        <v>399.94500000000005</v>
      </c>
      <c r="DD44" s="88">
        <f t="shared" si="58"/>
        <v>14.221100000000003</v>
      </c>
      <c r="DE44" s="1182">
        <v>1945</v>
      </c>
    </row>
    <row r="45" spans="1:109" ht="15" x14ac:dyDescent="0.2">
      <c r="A45" s="96">
        <f t="shared" si="60"/>
        <v>57</v>
      </c>
      <c r="B45" s="1177">
        <v>80.7</v>
      </c>
      <c r="C45" s="1178">
        <v>224</v>
      </c>
      <c r="D45" s="1178">
        <v>3.7037037037037033</v>
      </c>
      <c r="E45" s="1178">
        <v>117</v>
      </c>
      <c r="F45" s="1178">
        <v>63.3</v>
      </c>
      <c r="G45" s="88">
        <f t="shared" si="61"/>
        <v>59.365178571428565</v>
      </c>
      <c r="H45" s="88">
        <f t="shared" si="59"/>
        <v>357.58170000000001</v>
      </c>
      <c r="I45" s="88">
        <f t="shared" si="62"/>
        <v>13.297799999999999</v>
      </c>
      <c r="J45" s="1182">
        <v>1722</v>
      </c>
      <c r="K45" s="1177">
        <v>90.2</v>
      </c>
      <c r="L45" s="1178">
        <v>240</v>
      </c>
      <c r="M45" s="1178">
        <v>3.7037037037037033</v>
      </c>
      <c r="N45" s="1178">
        <v>118</v>
      </c>
      <c r="O45" s="1178">
        <v>64.2</v>
      </c>
      <c r="P45" s="88">
        <f t="shared" ref="P45:P108" si="63">IF(L45&gt;0,(O45*(L45-L44)/L45)+(P44*L44/L45),0)</f>
        <v>62.237382916666661</v>
      </c>
      <c r="Q45" s="88">
        <f t="shared" ref="Q45:Q108" si="64">K45/100*7*O45</f>
        <v>405.35880000000003</v>
      </c>
      <c r="R45" s="88">
        <f t="shared" ref="R45:R108" si="65">(L45-L44)*O45/1000+L44*P44/1000</f>
        <v>14.9369719</v>
      </c>
      <c r="S45" s="1182">
        <v>1944</v>
      </c>
      <c r="T45" s="1177">
        <v>83</v>
      </c>
      <c r="U45" s="1178">
        <v>226</v>
      </c>
      <c r="V45" s="1178">
        <v>3.8</v>
      </c>
      <c r="W45" s="1178">
        <v>126</v>
      </c>
      <c r="X45" s="1178">
        <v>63.5</v>
      </c>
      <c r="Y45" s="88">
        <f t="shared" ref="Y45:Y108" si="66">IF(U45&gt;0,(X45*(U45-U44)/U45)+(Y44*U44/U45),0)</f>
        <v>60.223451327433601</v>
      </c>
      <c r="Z45" s="88">
        <f t="shared" ref="Z45:Z108" si="67">T45/100*7*X45</f>
        <v>368.935</v>
      </c>
      <c r="AA45" s="88">
        <f t="shared" ref="AA45:AA108" si="68">(U45-U44)*X45/1000+U44*Y44/1000</f>
        <v>13.610499999999995</v>
      </c>
      <c r="AB45" s="1182">
        <v>2185</v>
      </c>
      <c r="AC45" s="1177">
        <v>85.5</v>
      </c>
      <c r="AD45" s="1178">
        <v>236</v>
      </c>
      <c r="AE45" s="1178">
        <v>2.6</v>
      </c>
      <c r="AF45" s="1178">
        <v>115</v>
      </c>
      <c r="AG45" s="1178">
        <v>65.099999999999994</v>
      </c>
      <c r="AH45" s="88">
        <f t="shared" ref="AH45:AH108" si="69">IF(AD45&gt;0,(AG45*(AD45-AD44)/AD45)+(AH44*AD44/AD45),0)</f>
        <v>62.469915254237293</v>
      </c>
      <c r="AI45" s="88">
        <f t="shared" ref="AI45:AI108" si="70">AC45/100*7*AG45</f>
        <v>389.62349999999992</v>
      </c>
      <c r="AJ45" s="88">
        <f t="shared" ref="AJ45:AJ108" si="71">(AD45-AD44)*AG45/1000+AD44*AH44/1000</f>
        <v>14.742900000000001</v>
      </c>
      <c r="AK45" s="1182">
        <v>1948</v>
      </c>
      <c r="AL45" s="1177">
        <v>90.1</v>
      </c>
      <c r="AM45" s="1178">
        <v>240</v>
      </c>
      <c r="AN45" s="1178">
        <v>2.6</v>
      </c>
      <c r="AO45" s="1178">
        <v>110</v>
      </c>
      <c r="AP45" s="1178">
        <v>62.9</v>
      </c>
      <c r="AQ45" s="88">
        <f t="shared" ref="AQ45:AQ108" si="72">IF(AM45&gt;0,(AP45*(AM45-AM44)/AM45)+(AQ44*AM44/AM45),0)</f>
        <v>59.945416666666695</v>
      </c>
      <c r="AR45" s="88">
        <f t="shared" ref="AR45:AR108" si="73">AL45/100*7*AP45</f>
        <v>396.71029999999996</v>
      </c>
      <c r="AS45" s="88">
        <f t="shared" ref="AS45:AS108" si="74">(AM45-AM44)*AP45/1000+AM44*AQ44/1000</f>
        <v>14.386900000000006</v>
      </c>
      <c r="AT45" s="1182">
        <v>1701</v>
      </c>
      <c r="AU45" s="1177">
        <v>90</v>
      </c>
      <c r="AV45" s="1178">
        <v>239.3</v>
      </c>
      <c r="AW45" s="1178">
        <v>3.6999999999999997</v>
      </c>
      <c r="AX45" s="1178">
        <v>110</v>
      </c>
      <c r="AY45" s="1178">
        <v>65.3</v>
      </c>
      <c r="AZ45" s="88">
        <f t="shared" ref="AZ45:AZ108" si="75">IF(AV45&gt;0,(AY45*(AV45-AV44)/AV45)+(AZ44*AV44/AV45),0)</f>
        <v>61.859047221061431</v>
      </c>
      <c r="BA45" s="88">
        <f t="shared" ref="BA45:BA108" si="76">AU45/100*7*AY45</f>
        <v>411.39</v>
      </c>
      <c r="BB45" s="88">
        <f t="shared" ref="BB45:BB108" si="77">(AV45-AV44)*AY45/1000+AV44*AZ44/1000</f>
        <v>14.80287</v>
      </c>
      <c r="BC45" s="1182">
        <v>2003</v>
      </c>
      <c r="BD45" s="1177">
        <v>91.2</v>
      </c>
      <c r="BE45" s="1178">
        <v>246.9</v>
      </c>
      <c r="BF45" s="1178">
        <v>2.239999999999998</v>
      </c>
      <c r="BG45" s="1178">
        <v>116</v>
      </c>
      <c r="BH45" s="1178">
        <v>64.400000000000006</v>
      </c>
      <c r="BI45" s="88">
        <f t="shared" ref="BI45:BI108" si="78">IF(BE45&gt;0,(BH45*(BE45-BE44)/BE45)+(BI44*BE44/BE45),0)</f>
        <v>61.819603078169308</v>
      </c>
      <c r="BJ45" s="88">
        <f t="shared" ref="BJ45:BJ108" si="79">BD45/100*7*BH45</f>
        <v>411.12960000000004</v>
      </c>
      <c r="BK45" s="88">
        <f t="shared" ref="BK45:BK108" si="80">(BE45-BE44)*BH45/1000+BE44*BI44/1000</f>
        <v>15.263260000000002</v>
      </c>
      <c r="BL45" s="1182">
        <v>2100</v>
      </c>
      <c r="BM45" s="1177">
        <v>90</v>
      </c>
      <c r="BN45" s="1178">
        <v>237.25</v>
      </c>
      <c r="BO45" s="1178">
        <v>3.4</v>
      </c>
      <c r="BP45" s="1178">
        <v>107.5</v>
      </c>
      <c r="BQ45" s="1178">
        <v>63</v>
      </c>
      <c r="BR45" s="88">
        <f t="shared" ref="BR45:BR108" si="81">IF(BN45&gt;0,(BQ45*(BN45-BN44)/BN45)+(BR44*BN44/BN45),0)</f>
        <v>59.465542676501585</v>
      </c>
      <c r="BS45" s="88">
        <f t="shared" ref="BS45:BS108" si="82">BM45/100*7*BQ45</f>
        <v>396.9</v>
      </c>
      <c r="BT45" s="88">
        <f t="shared" ref="BT45:BT108" si="83">(BN45-BN44)*BQ45/1000+BN44*BR44/1000</f>
        <v>14.108200000000002</v>
      </c>
      <c r="BU45" s="1182">
        <v>1665</v>
      </c>
      <c r="BV45" s="1177">
        <v>91</v>
      </c>
      <c r="BW45" s="1178">
        <v>242</v>
      </c>
      <c r="BX45" s="1178">
        <v>3.5000000000000031</v>
      </c>
      <c r="BY45" s="1178">
        <v>115</v>
      </c>
      <c r="BZ45" s="1178">
        <v>63.7</v>
      </c>
      <c r="CA45" s="88">
        <f t="shared" ref="CA45:CA108" si="84">IF(BW45&gt;0,(BZ45*(BW45-BW44)/BW45)+(CA44*BW44/BW45),0)</f>
        <v>61.688016528925608</v>
      </c>
      <c r="CB45" s="88">
        <f t="shared" ref="CB45:CB108" si="85">BV45/100*7*BZ45</f>
        <v>405.76900000000001</v>
      </c>
      <c r="CC45" s="88">
        <f t="shared" ref="CC45:CC108" si="86">(BW45-BW44)*BZ45/1000+BW44*CA44/1000</f>
        <v>14.928499999999998</v>
      </c>
      <c r="CD45" s="1182">
        <v>1910</v>
      </c>
      <c r="CE45" s="1177">
        <v>89.5</v>
      </c>
      <c r="CF45" s="1178">
        <v>236.5</v>
      </c>
      <c r="CG45" s="1178">
        <v>3.6999999999999997</v>
      </c>
      <c r="CH45" s="1178">
        <v>116</v>
      </c>
      <c r="CI45" s="1178">
        <v>66.2</v>
      </c>
      <c r="CJ45" s="88">
        <f t="shared" ref="CJ45:CJ108" si="87">IF(CF45&gt;0,(CI45*(CF45-CF44)/CF45)+(CJ44*CF44/CF45),0)</f>
        <v>62.606384778012682</v>
      </c>
      <c r="CK45" s="88">
        <f t="shared" ref="CK45:CK108" si="88">CE45/100*7*CI45</f>
        <v>414.74300000000005</v>
      </c>
      <c r="CL45" s="88">
        <f t="shared" ref="CL45:CL108" si="89">(CF45-CF44)*CI45/1000+CF44*CJ44/1000</f>
        <v>14.80641</v>
      </c>
      <c r="CM45" s="1182">
        <v>1990</v>
      </c>
      <c r="CN45" s="1177">
        <v>91.6</v>
      </c>
      <c r="CO45" s="1178">
        <v>239.2</v>
      </c>
      <c r="CP45" s="1178">
        <v>3.6999999999999997</v>
      </c>
      <c r="CQ45" s="1178">
        <v>106</v>
      </c>
      <c r="CR45" s="1178">
        <v>64.900000000000006</v>
      </c>
      <c r="CS45" s="88">
        <f t="shared" ref="CS45:CS108" si="90">IF(CO45&gt;0,(CR45*(CO45-CO44)/CO45)+(CS44*CO44/CO45),0)</f>
        <v>61.265175585284275</v>
      </c>
      <c r="CT45" s="88">
        <f t="shared" ref="CT45:CT108" si="91">CN45/100*7*CR45</f>
        <v>416.13879999999995</v>
      </c>
      <c r="CU45" s="88">
        <f t="shared" ref="CU45:CU108" si="92">(CO45-CO44)*CR45/1000+CO44*CS44/1000</f>
        <v>14.654629999999999</v>
      </c>
      <c r="CV45" s="1182">
        <v>1761</v>
      </c>
      <c r="CW45" s="1177">
        <v>87.4</v>
      </c>
      <c r="CX45" s="1178">
        <v>236</v>
      </c>
      <c r="CY45" s="1178">
        <v>3.6999999999999988</v>
      </c>
      <c r="CZ45" s="1178">
        <v>112</v>
      </c>
      <c r="DA45" s="1178">
        <v>65.099999999999994</v>
      </c>
      <c r="DB45" s="88">
        <f t="shared" ref="DB45:DB108" si="93">IF(CX45&gt;0,(DA45*(CX45-CX44)/CX45)+(DB44*CX44/CX45),0)</f>
        <v>61.913983050847477</v>
      </c>
      <c r="DC45" s="88">
        <f t="shared" ref="DC45:DC108" si="94">CW45/100*7*DA45</f>
        <v>398.28179999999998</v>
      </c>
      <c r="DD45" s="88">
        <f t="shared" ref="DD45:DD108" si="95">(CX45-CX44)*DA45/1000+CX44*DB44/1000</f>
        <v>14.611700000000003</v>
      </c>
      <c r="DE45" s="1182">
        <v>1948</v>
      </c>
    </row>
    <row r="46" spans="1:109" ht="15" x14ac:dyDescent="0.2">
      <c r="A46" s="96">
        <f t="shared" si="60"/>
        <v>58</v>
      </c>
      <c r="B46" s="1177">
        <v>80.099999999999994</v>
      </c>
      <c r="C46" s="1178">
        <v>229</v>
      </c>
      <c r="D46" s="1178">
        <v>3.8038038038038042</v>
      </c>
      <c r="E46" s="1178">
        <v>117</v>
      </c>
      <c r="F46" s="1178">
        <v>63.3</v>
      </c>
      <c r="G46" s="88">
        <f t="shared" si="61"/>
        <v>59.451091703056761</v>
      </c>
      <c r="H46" s="88">
        <f t="shared" si="59"/>
        <v>354.92309999999992</v>
      </c>
      <c r="I46" s="88">
        <f t="shared" si="62"/>
        <v>13.614299999999998</v>
      </c>
      <c r="J46" s="1182">
        <v>1723</v>
      </c>
      <c r="K46" s="1177">
        <v>90</v>
      </c>
      <c r="L46" s="1178">
        <v>246</v>
      </c>
      <c r="M46" s="1178">
        <v>3.8038038038038042</v>
      </c>
      <c r="N46" s="1178">
        <v>118</v>
      </c>
      <c r="O46" s="1178">
        <v>64.2</v>
      </c>
      <c r="P46" s="88">
        <f t="shared" si="63"/>
        <v>62.285251626016255</v>
      </c>
      <c r="Q46" s="88">
        <f t="shared" si="64"/>
        <v>404.46</v>
      </c>
      <c r="R46" s="88">
        <f t="shared" si="65"/>
        <v>15.322171899999997</v>
      </c>
      <c r="S46" s="1182">
        <v>1946</v>
      </c>
      <c r="T46" s="1177">
        <v>82</v>
      </c>
      <c r="U46" s="1178">
        <v>232</v>
      </c>
      <c r="V46" s="1178">
        <v>3.9</v>
      </c>
      <c r="W46" s="1178">
        <v>126</v>
      </c>
      <c r="X46" s="1178">
        <v>63.6</v>
      </c>
      <c r="Y46" s="88">
        <f t="shared" si="66"/>
        <v>60.310775862068937</v>
      </c>
      <c r="Z46" s="88">
        <f t="shared" si="67"/>
        <v>365.06399999999996</v>
      </c>
      <c r="AA46" s="88">
        <f t="shared" si="68"/>
        <v>13.992099999999995</v>
      </c>
      <c r="AB46" s="1182">
        <v>2190</v>
      </c>
      <c r="AC46" s="1177">
        <v>85</v>
      </c>
      <c r="AD46" s="1178">
        <v>242</v>
      </c>
      <c r="AE46" s="1178">
        <v>2.6</v>
      </c>
      <c r="AF46" s="1178">
        <v>115</v>
      </c>
      <c r="AG46" s="1178">
        <v>65.099999999999994</v>
      </c>
      <c r="AH46" s="88">
        <f t="shared" si="69"/>
        <v>62.535123966942152</v>
      </c>
      <c r="AI46" s="88">
        <f t="shared" si="70"/>
        <v>387.34499999999997</v>
      </c>
      <c r="AJ46" s="88">
        <f t="shared" si="71"/>
        <v>15.133500000000002</v>
      </c>
      <c r="AK46" s="1182">
        <v>1951</v>
      </c>
      <c r="AL46" s="1177">
        <v>89.8</v>
      </c>
      <c r="AM46" s="1178">
        <v>246</v>
      </c>
      <c r="AN46" s="1178">
        <v>2.6</v>
      </c>
      <c r="AO46" s="1178">
        <v>110</v>
      </c>
      <c r="AP46" s="1178">
        <v>63</v>
      </c>
      <c r="AQ46" s="88">
        <f t="shared" si="72"/>
        <v>60.019918699187023</v>
      </c>
      <c r="AR46" s="88">
        <f t="shared" si="73"/>
        <v>396.01800000000003</v>
      </c>
      <c r="AS46" s="88">
        <f t="shared" si="74"/>
        <v>14.764900000000008</v>
      </c>
      <c r="AT46" s="1182">
        <v>1701</v>
      </c>
      <c r="AU46" s="1177">
        <v>89.6</v>
      </c>
      <c r="AV46" s="1178">
        <v>245.3</v>
      </c>
      <c r="AW46" s="1178">
        <v>3.7999999999999887</v>
      </c>
      <c r="AX46" s="1178">
        <v>110</v>
      </c>
      <c r="AY46" s="1178">
        <v>65.400000000000006</v>
      </c>
      <c r="AZ46" s="88">
        <f t="shared" si="75"/>
        <v>61.945658377496947</v>
      </c>
      <c r="BA46" s="88">
        <f t="shared" si="76"/>
        <v>410.18880000000001</v>
      </c>
      <c r="BB46" s="88">
        <f t="shared" si="77"/>
        <v>15.195270000000001</v>
      </c>
      <c r="BC46" s="1182">
        <v>2005</v>
      </c>
      <c r="BD46" s="1177">
        <v>91</v>
      </c>
      <c r="BE46" s="1178">
        <v>253.2</v>
      </c>
      <c r="BF46" s="1178">
        <v>2.3299999999999956</v>
      </c>
      <c r="BG46" s="1178">
        <v>116</v>
      </c>
      <c r="BH46" s="1178">
        <v>64.400000000000006</v>
      </c>
      <c r="BI46" s="88">
        <f t="shared" si="78"/>
        <v>61.883807266982629</v>
      </c>
      <c r="BJ46" s="88">
        <f t="shared" si="79"/>
        <v>410.22800000000007</v>
      </c>
      <c r="BK46" s="88">
        <f t="shared" si="80"/>
        <v>15.668980000000001</v>
      </c>
      <c r="BL46" s="1182">
        <v>2100</v>
      </c>
      <c r="BM46" s="1177">
        <v>90</v>
      </c>
      <c r="BN46" s="1178">
        <v>243.35000000000002</v>
      </c>
      <c r="BO46" s="1178">
        <v>3.4</v>
      </c>
      <c r="BP46" s="1178">
        <v>107.5</v>
      </c>
      <c r="BQ46" s="1178">
        <v>63</v>
      </c>
      <c r="BR46" s="88">
        <f t="shared" si="81"/>
        <v>59.554140127388543</v>
      </c>
      <c r="BS46" s="88">
        <f t="shared" si="82"/>
        <v>396.9</v>
      </c>
      <c r="BT46" s="88">
        <f t="shared" si="83"/>
        <v>14.492500000000001</v>
      </c>
      <c r="BU46" s="1182">
        <v>1665</v>
      </c>
      <c r="BV46" s="1177">
        <v>90.6</v>
      </c>
      <c r="BW46" s="1178">
        <v>248</v>
      </c>
      <c r="BX46" s="1178">
        <v>3.5999999999999943</v>
      </c>
      <c r="BY46" s="1178">
        <v>115</v>
      </c>
      <c r="BZ46" s="1178">
        <v>63.7</v>
      </c>
      <c r="CA46" s="88">
        <f t="shared" si="84"/>
        <v>61.73669354838708</v>
      </c>
      <c r="CB46" s="88">
        <f t="shared" si="85"/>
        <v>403.98539999999997</v>
      </c>
      <c r="CC46" s="88">
        <f t="shared" si="86"/>
        <v>15.310699999999995</v>
      </c>
      <c r="CD46" s="1182">
        <v>1910</v>
      </c>
      <c r="CE46" s="1177">
        <v>89.2</v>
      </c>
      <c r="CF46" s="1178">
        <v>242.5</v>
      </c>
      <c r="CG46" s="1178">
        <v>3.7799999999999954</v>
      </c>
      <c r="CH46" s="1178">
        <v>116</v>
      </c>
      <c r="CI46" s="1178">
        <v>66.3</v>
      </c>
      <c r="CJ46" s="88">
        <f t="shared" si="87"/>
        <v>62.697773195876287</v>
      </c>
      <c r="CK46" s="88">
        <f t="shared" si="88"/>
        <v>413.97719999999998</v>
      </c>
      <c r="CL46" s="88">
        <f t="shared" si="89"/>
        <v>15.20421</v>
      </c>
      <c r="CM46" s="1182">
        <v>1992</v>
      </c>
      <c r="CN46" s="1177">
        <v>91.3</v>
      </c>
      <c r="CO46" s="1178">
        <v>245.4</v>
      </c>
      <c r="CP46" s="1178">
        <v>3.7799999999999954</v>
      </c>
      <c r="CQ46" s="1178">
        <v>106</v>
      </c>
      <c r="CR46" s="1178">
        <v>65</v>
      </c>
      <c r="CS46" s="88">
        <f t="shared" si="90"/>
        <v>61.359535452322731</v>
      </c>
      <c r="CT46" s="88">
        <f t="shared" si="91"/>
        <v>415.41499999999996</v>
      </c>
      <c r="CU46" s="88">
        <f t="shared" si="92"/>
        <v>15.057629999999998</v>
      </c>
      <c r="CV46" s="1182">
        <v>1763</v>
      </c>
      <c r="CW46" s="1177">
        <v>86.9</v>
      </c>
      <c r="CX46" s="1178">
        <v>242</v>
      </c>
      <c r="CY46" s="1178">
        <v>3.7799999999999989</v>
      </c>
      <c r="CZ46" s="1178">
        <v>112</v>
      </c>
      <c r="DA46" s="1178">
        <v>65.099999999999994</v>
      </c>
      <c r="DB46" s="88">
        <f t="shared" si="93"/>
        <v>61.99297520661159</v>
      </c>
      <c r="DC46" s="88">
        <f t="shared" si="94"/>
        <v>396.00330000000002</v>
      </c>
      <c r="DD46" s="88">
        <f t="shared" si="95"/>
        <v>15.002300000000004</v>
      </c>
      <c r="DE46" s="1182">
        <v>1951</v>
      </c>
    </row>
    <row r="47" spans="1:109" ht="15" x14ac:dyDescent="0.2">
      <c r="A47" s="96">
        <f t="shared" si="60"/>
        <v>59</v>
      </c>
      <c r="B47" s="1177">
        <v>79.5</v>
      </c>
      <c r="C47" s="1178">
        <v>234</v>
      </c>
      <c r="D47" s="1178">
        <v>3.9039039039039038</v>
      </c>
      <c r="E47" s="1178">
        <v>117</v>
      </c>
      <c r="F47" s="1178">
        <v>63.4</v>
      </c>
      <c r="G47" s="88">
        <f t="shared" si="61"/>
        <v>59.535470085470074</v>
      </c>
      <c r="H47" s="88">
        <f t="shared" si="59"/>
        <v>352.82100000000003</v>
      </c>
      <c r="I47" s="88">
        <f t="shared" si="62"/>
        <v>13.931299999999998</v>
      </c>
      <c r="J47" s="1182">
        <v>1724</v>
      </c>
      <c r="K47" s="1177">
        <v>89.7</v>
      </c>
      <c r="L47" s="1178">
        <v>252</v>
      </c>
      <c r="M47" s="1178">
        <v>3.9039039039039038</v>
      </c>
      <c r="N47" s="1178">
        <v>118</v>
      </c>
      <c r="O47" s="1178">
        <v>64.2</v>
      </c>
      <c r="P47" s="88">
        <f t="shared" si="63"/>
        <v>62.330840873015873</v>
      </c>
      <c r="Q47" s="88">
        <f t="shared" si="64"/>
        <v>403.11180000000002</v>
      </c>
      <c r="R47" s="88">
        <f t="shared" si="65"/>
        <v>15.707371899999998</v>
      </c>
      <c r="S47" s="1182">
        <v>1948</v>
      </c>
      <c r="T47" s="1177">
        <v>82</v>
      </c>
      <c r="U47" s="1178">
        <v>237</v>
      </c>
      <c r="V47" s="1178">
        <v>4</v>
      </c>
      <c r="W47" s="1178">
        <v>126</v>
      </c>
      <c r="X47" s="1178">
        <v>63.7</v>
      </c>
      <c r="Y47" s="88">
        <f t="shared" si="66"/>
        <v>60.382278481012634</v>
      </c>
      <c r="Z47" s="88">
        <f t="shared" si="67"/>
        <v>365.63799999999998</v>
      </c>
      <c r="AA47" s="88">
        <f t="shared" si="68"/>
        <v>14.310599999999994</v>
      </c>
      <c r="AB47" s="1182">
        <v>2195</v>
      </c>
      <c r="AC47" s="1177">
        <v>84.5</v>
      </c>
      <c r="AD47" s="1178">
        <v>248</v>
      </c>
      <c r="AE47" s="1178">
        <f>AE46+0.1</f>
        <v>2.7</v>
      </c>
      <c r="AF47" s="1178">
        <v>115</v>
      </c>
      <c r="AG47" s="1178">
        <v>65.2</v>
      </c>
      <c r="AH47" s="88">
        <f t="shared" si="69"/>
        <v>62.59959677419355</v>
      </c>
      <c r="AI47" s="88">
        <f t="shared" si="70"/>
        <v>385.65800000000002</v>
      </c>
      <c r="AJ47" s="88">
        <f t="shared" si="71"/>
        <v>15.524699999999999</v>
      </c>
      <c r="AK47" s="1182">
        <v>1953</v>
      </c>
      <c r="AL47" s="1177">
        <v>89.4</v>
      </c>
      <c r="AM47" s="1178">
        <v>252</v>
      </c>
      <c r="AN47" s="1178">
        <f>AN46+0.1</f>
        <v>2.7</v>
      </c>
      <c r="AO47" s="1178">
        <v>110</v>
      </c>
      <c r="AP47" s="1178">
        <v>63.1</v>
      </c>
      <c r="AQ47" s="88">
        <f t="shared" si="72"/>
        <v>60.093253968253997</v>
      </c>
      <c r="AR47" s="88">
        <f t="shared" si="73"/>
        <v>394.87979999999999</v>
      </c>
      <c r="AS47" s="88">
        <f t="shared" si="74"/>
        <v>15.143500000000007</v>
      </c>
      <c r="AT47" s="1182">
        <v>1701</v>
      </c>
      <c r="AU47" s="1177">
        <v>89.1</v>
      </c>
      <c r="AV47" s="1178">
        <v>251.3</v>
      </c>
      <c r="AW47" s="1178">
        <v>3.9</v>
      </c>
      <c r="AX47" s="1178">
        <v>110</v>
      </c>
      <c r="AY47" s="1178">
        <v>65.5</v>
      </c>
      <c r="AZ47" s="88">
        <f t="shared" si="75"/>
        <v>62.03052128929567</v>
      </c>
      <c r="BA47" s="88">
        <f t="shared" si="76"/>
        <v>408.52349999999996</v>
      </c>
      <c r="BB47" s="88">
        <f t="shared" si="77"/>
        <v>15.588270000000003</v>
      </c>
      <c r="BC47" s="1182">
        <v>2007</v>
      </c>
      <c r="BD47" s="1177">
        <v>90.8</v>
      </c>
      <c r="BE47" s="1178">
        <v>259.39999999999998</v>
      </c>
      <c r="BF47" s="1178">
        <v>2.4</v>
      </c>
      <c r="BG47" s="1178">
        <v>116</v>
      </c>
      <c r="BH47" s="1178">
        <v>64.5</v>
      </c>
      <c r="BI47" s="88">
        <f t="shared" si="78"/>
        <v>61.946337702390139</v>
      </c>
      <c r="BJ47" s="88">
        <f t="shared" si="79"/>
        <v>409.96199999999999</v>
      </c>
      <c r="BK47" s="88">
        <f t="shared" si="80"/>
        <v>16.06888</v>
      </c>
      <c r="BL47" s="1182">
        <v>2100</v>
      </c>
      <c r="BM47" s="1177">
        <v>89</v>
      </c>
      <c r="BN47" s="1178">
        <v>249.35000000000002</v>
      </c>
      <c r="BO47" s="1178">
        <v>3.5</v>
      </c>
      <c r="BP47" s="1178">
        <v>107.5</v>
      </c>
      <c r="BQ47" s="1178">
        <v>63</v>
      </c>
      <c r="BR47" s="88">
        <f t="shared" si="81"/>
        <v>59.637056346500913</v>
      </c>
      <c r="BS47" s="88">
        <f t="shared" si="82"/>
        <v>392.49</v>
      </c>
      <c r="BT47" s="88">
        <f t="shared" si="83"/>
        <v>14.870500000000003</v>
      </c>
      <c r="BU47" s="1182">
        <v>1665</v>
      </c>
      <c r="BV47" s="1177">
        <v>90.3</v>
      </c>
      <c r="BW47" s="1178">
        <v>254</v>
      </c>
      <c r="BX47" s="1178">
        <v>3.7000000000000082</v>
      </c>
      <c r="BY47" s="1178">
        <v>115</v>
      </c>
      <c r="BZ47" s="1178">
        <v>63.8</v>
      </c>
      <c r="CA47" s="88">
        <f t="shared" si="84"/>
        <v>61.785433070866119</v>
      </c>
      <c r="CB47" s="88">
        <f t="shared" si="85"/>
        <v>403.27979999999997</v>
      </c>
      <c r="CC47" s="88">
        <f t="shared" si="86"/>
        <v>15.693499999999995</v>
      </c>
      <c r="CD47" s="1182">
        <v>1910</v>
      </c>
      <c r="CE47" s="1177">
        <v>88.8</v>
      </c>
      <c r="CF47" s="1178">
        <v>248.5</v>
      </c>
      <c r="CG47" s="1178">
        <v>3.8600000000000021</v>
      </c>
      <c r="CH47" s="1178">
        <v>116</v>
      </c>
      <c r="CI47" s="1178">
        <v>66.3</v>
      </c>
      <c r="CJ47" s="88">
        <f t="shared" si="87"/>
        <v>62.784748490945667</v>
      </c>
      <c r="CK47" s="88">
        <f t="shared" si="88"/>
        <v>412.12079999999997</v>
      </c>
      <c r="CL47" s="88">
        <f t="shared" si="89"/>
        <v>15.60201</v>
      </c>
      <c r="CM47" s="1182">
        <v>1994</v>
      </c>
      <c r="CN47" s="1177">
        <v>90.9</v>
      </c>
      <c r="CO47" s="1178">
        <v>251.6</v>
      </c>
      <c r="CP47" s="1178">
        <v>3.8600000000000021</v>
      </c>
      <c r="CQ47" s="1178">
        <v>106</v>
      </c>
      <c r="CR47" s="1178">
        <v>65</v>
      </c>
      <c r="CS47" s="88">
        <f t="shared" si="90"/>
        <v>61.449244833068363</v>
      </c>
      <c r="CT47" s="88">
        <f t="shared" si="91"/>
        <v>413.59500000000003</v>
      </c>
      <c r="CU47" s="88">
        <f t="shared" si="92"/>
        <v>15.460629999999998</v>
      </c>
      <c r="CV47" s="1182">
        <v>1764</v>
      </c>
      <c r="CW47" s="1177">
        <v>86.4</v>
      </c>
      <c r="CX47" s="1178">
        <v>248</v>
      </c>
      <c r="CY47" s="1178">
        <v>3.859999999999999</v>
      </c>
      <c r="CZ47" s="1178">
        <v>112</v>
      </c>
      <c r="DA47" s="1178">
        <v>65.2</v>
      </c>
      <c r="DB47" s="88">
        <f t="shared" si="93"/>
        <v>62.070564516129053</v>
      </c>
      <c r="DC47" s="88">
        <f t="shared" si="94"/>
        <v>394.32960000000008</v>
      </c>
      <c r="DD47" s="88">
        <f t="shared" si="95"/>
        <v>15.393500000000005</v>
      </c>
      <c r="DE47" s="1182">
        <v>1953</v>
      </c>
    </row>
    <row r="48" spans="1:109" ht="15" x14ac:dyDescent="0.2">
      <c r="A48" s="96">
        <f t="shared" si="60"/>
        <v>60</v>
      </c>
      <c r="B48" s="1177">
        <v>78.8</v>
      </c>
      <c r="C48" s="1178">
        <v>240</v>
      </c>
      <c r="D48" s="1178">
        <v>4.0040040040040044</v>
      </c>
      <c r="E48" s="1178">
        <v>117</v>
      </c>
      <c r="F48" s="1178">
        <v>63.4</v>
      </c>
      <c r="G48" s="88">
        <f t="shared" si="61"/>
        <v>59.632083333333327</v>
      </c>
      <c r="H48" s="88">
        <f t="shared" si="59"/>
        <v>349.71439999999996</v>
      </c>
      <c r="I48" s="88">
        <f t="shared" si="62"/>
        <v>14.311699999999997</v>
      </c>
      <c r="J48" s="1182">
        <v>1725</v>
      </c>
      <c r="K48" s="1177">
        <v>89.4</v>
      </c>
      <c r="L48" s="1178">
        <v>258</v>
      </c>
      <c r="M48" s="1178">
        <v>4.0040040040040044</v>
      </c>
      <c r="N48" s="1178">
        <v>118</v>
      </c>
      <c r="O48" s="1178">
        <v>64.2</v>
      </c>
      <c r="P48" s="88">
        <f t="shared" si="63"/>
        <v>62.374309689922477</v>
      </c>
      <c r="Q48" s="88">
        <f t="shared" si="64"/>
        <v>401.7636</v>
      </c>
      <c r="R48" s="88">
        <f t="shared" si="65"/>
        <v>16.092571899999999</v>
      </c>
      <c r="S48" s="1182">
        <v>1950</v>
      </c>
      <c r="T48" s="1177">
        <v>81</v>
      </c>
      <c r="U48" s="1178">
        <v>243</v>
      </c>
      <c r="V48" s="1178">
        <v>4.0999999999999996</v>
      </c>
      <c r="W48" s="1178">
        <v>126</v>
      </c>
      <c r="X48" s="1178">
        <v>63.8</v>
      </c>
      <c r="Y48" s="88">
        <f t="shared" si="66"/>
        <v>60.466666666666647</v>
      </c>
      <c r="Z48" s="88">
        <f t="shared" si="67"/>
        <v>361.74599999999998</v>
      </c>
      <c r="AA48" s="88">
        <f t="shared" si="68"/>
        <v>14.693399999999995</v>
      </c>
      <c r="AB48" s="1182">
        <v>2200</v>
      </c>
      <c r="AC48" s="1177">
        <v>84</v>
      </c>
      <c r="AD48" s="1178">
        <v>254</v>
      </c>
      <c r="AE48" s="1178">
        <f>AE47+0.1</f>
        <v>2.8000000000000003</v>
      </c>
      <c r="AF48" s="1178">
        <v>115</v>
      </c>
      <c r="AG48" s="1178">
        <v>65.2</v>
      </c>
      <c r="AH48" s="88">
        <f t="shared" si="69"/>
        <v>62.661023622047246</v>
      </c>
      <c r="AI48" s="88">
        <f t="shared" si="70"/>
        <v>383.37600000000003</v>
      </c>
      <c r="AJ48" s="88">
        <f t="shared" si="71"/>
        <v>15.915900000000001</v>
      </c>
      <c r="AK48" s="1182">
        <v>1954</v>
      </c>
      <c r="AL48" s="1177">
        <v>89.1</v>
      </c>
      <c r="AM48" s="1178">
        <v>258</v>
      </c>
      <c r="AN48" s="1178">
        <f>AN47+0.1</f>
        <v>2.8000000000000003</v>
      </c>
      <c r="AO48" s="1178">
        <v>110</v>
      </c>
      <c r="AP48" s="1178">
        <v>63.2</v>
      </c>
      <c r="AQ48" s="88">
        <f t="shared" si="72"/>
        <v>60.165503875969016</v>
      </c>
      <c r="AR48" s="88">
        <f t="shared" si="73"/>
        <v>394.17839999999995</v>
      </c>
      <c r="AS48" s="88">
        <f t="shared" si="74"/>
        <v>15.522700000000007</v>
      </c>
      <c r="AT48" s="1182">
        <v>1701</v>
      </c>
      <c r="AU48" s="1177">
        <v>88.7</v>
      </c>
      <c r="AV48" s="1178">
        <v>257.3</v>
      </c>
      <c r="AW48" s="1178">
        <v>4</v>
      </c>
      <c r="AX48" s="1178">
        <v>110</v>
      </c>
      <c r="AY48" s="1178">
        <v>65.599999999999994</v>
      </c>
      <c r="AZ48" s="88">
        <f t="shared" si="75"/>
        <v>62.113758258841827</v>
      </c>
      <c r="BA48" s="88">
        <f t="shared" si="76"/>
        <v>407.31039999999996</v>
      </c>
      <c r="BB48" s="88">
        <f t="shared" si="77"/>
        <v>15.981870000000001</v>
      </c>
      <c r="BC48" s="1182">
        <v>2009</v>
      </c>
      <c r="BD48" s="1177">
        <v>90.5</v>
      </c>
      <c r="BE48" s="1178">
        <v>265.5</v>
      </c>
      <c r="BF48" s="1178">
        <v>2.4899999999999975</v>
      </c>
      <c r="BG48" s="1178">
        <v>116</v>
      </c>
      <c r="BH48" s="1178">
        <v>64.5</v>
      </c>
      <c r="BI48" s="88">
        <f t="shared" si="78"/>
        <v>62.005009416195868</v>
      </c>
      <c r="BJ48" s="88">
        <f t="shared" si="79"/>
        <v>408.60750000000002</v>
      </c>
      <c r="BK48" s="88">
        <f t="shared" si="80"/>
        <v>16.462330000000001</v>
      </c>
      <c r="BL48" s="1182">
        <v>2100</v>
      </c>
      <c r="BM48" s="1177">
        <v>88.5</v>
      </c>
      <c r="BN48" s="1178">
        <v>255.35</v>
      </c>
      <c r="BO48" s="1178">
        <v>3.5</v>
      </c>
      <c r="BP48" s="1178">
        <v>107.5</v>
      </c>
      <c r="BQ48" s="1178">
        <v>63</v>
      </c>
      <c r="BR48" s="88">
        <f t="shared" si="81"/>
        <v>59.716075974153135</v>
      </c>
      <c r="BS48" s="88">
        <f t="shared" si="82"/>
        <v>390.28500000000003</v>
      </c>
      <c r="BT48" s="88">
        <f t="shared" si="83"/>
        <v>15.248500000000002</v>
      </c>
      <c r="BU48" s="1182">
        <v>1670</v>
      </c>
      <c r="BV48" s="1177">
        <v>89.9</v>
      </c>
      <c r="BW48" s="1178">
        <v>260</v>
      </c>
      <c r="BX48" s="1178">
        <v>3.7999999999999994</v>
      </c>
      <c r="BY48" s="1178">
        <v>115</v>
      </c>
      <c r="BZ48" s="1178">
        <v>63.8</v>
      </c>
      <c r="CA48" s="88">
        <f t="shared" si="84"/>
        <v>61.831923076923061</v>
      </c>
      <c r="CB48" s="88">
        <f t="shared" si="85"/>
        <v>401.49340000000001</v>
      </c>
      <c r="CC48" s="88">
        <f t="shared" si="86"/>
        <v>16.076299999999996</v>
      </c>
      <c r="CD48" s="1182">
        <v>1915</v>
      </c>
      <c r="CE48" s="1177">
        <v>88.4</v>
      </c>
      <c r="CF48" s="1178">
        <v>254.5</v>
      </c>
      <c r="CG48" s="1178">
        <v>3.9399999999999977</v>
      </c>
      <c r="CH48" s="1178">
        <v>116</v>
      </c>
      <c r="CI48" s="1178">
        <v>66.400000000000006</v>
      </c>
      <c r="CJ48" s="88">
        <f t="shared" si="87"/>
        <v>62.869980353634574</v>
      </c>
      <c r="CK48" s="88">
        <f t="shared" si="88"/>
        <v>410.88320000000004</v>
      </c>
      <c r="CL48" s="88">
        <f t="shared" si="89"/>
        <v>16.000409999999999</v>
      </c>
      <c r="CM48" s="1182">
        <v>1996</v>
      </c>
      <c r="CN48" s="1177">
        <v>90.6</v>
      </c>
      <c r="CO48" s="1178">
        <v>257.7</v>
      </c>
      <c r="CP48" s="1178">
        <v>3.9399999999999977</v>
      </c>
      <c r="CQ48" s="1178">
        <v>106</v>
      </c>
      <c r="CR48" s="1178">
        <v>65.099999999999994</v>
      </c>
      <c r="CS48" s="88">
        <f t="shared" si="90"/>
        <v>61.535661622041133</v>
      </c>
      <c r="CT48" s="88">
        <f t="shared" si="91"/>
        <v>412.86419999999993</v>
      </c>
      <c r="CU48" s="88">
        <f t="shared" si="92"/>
        <v>15.857739999999998</v>
      </c>
      <c r="CV48" s="1182">
        <v>1765</v>
      </c>
      <c r="CW48" s="1177">
        <v>85.8</v>
      </c>
      <c r="CX48" s="1178">
        <v>253</v>
      </c>
      <c r="CY48" s="1178">
        <v>3.9399999999999991</v>
      </c>
      <c r="CZ48" s="1178">
        <v>112</v>
      </c>
      <c r="DA48" s="1178">
        <v>65.2</v>
      </c>
      <c r="DB48" s="88">
        <f t="shared" si="93"/>
        <v>62.132411067193701</v>
      </c>
      <c r="DC48" s="88">
        <f t="shared" si="94"/>
        <v>391.59120000000001</v>
      </c>
      <c r="DD48" s="88">
        <f t="shared" si="95"/>
        <v>15.719500000000005</v>
      </c>
      <c r="DE48" s="1182">
        <v>1954</v>
      </c>
    </row>
    <row r="49" spans="1:109" ht="15" x14ac:dyDescent="0.2">
      <c r="A49" s="96">
        <f t="shared" si="60"/>
        <v>61</v>
      </c>
      <c r="B49" s="1177">
        <v>78.099999999999994</v>
      </c>
      <c r="C49" s="1178">
        <v>245</v>
      </c>
      <c r="D49" s="1178">
        <v>4.1041041041041035</v>
      </c>
      <c r="E49" s="1178">
        <v>117</v>
      </c>
      <c r="F49" s="1178">
        <v>63.4</v>
      </c>
      <c r="G49" s="88">
        <f t="shared" si="61"/>
        <v>59.70897959183673</v>
      </c>
      <c r="H49" s="88">
        <f t="shared" si="59"/>
        <v>346.6078</v>
      </c>
      <c r="I49" s="88">
        <f t="shared" si="62"/>
        <v>14.628699999999998</v>
      </c>
      <c r="J49" s="1182">
        <v>1726</v>
      </c>
      <c r="K49" s="1177">
        <v>89.1</v>
      </c>
      <c r="L49" s="1178">
        <v>264</v>
      </c>
      <c r="M49" s="1178">
        <v>4.1041041041041035</v>
      </c>
      <c r="N49" s="1178">
        <v>118</v>
      </c>
      <c r="O49" s="1178">
        <v>64.3</v>
      </c>
      <c r="P49" s="88">
        <f t="shared" si="63"/>
        <v>62.418075378787876</v>
      </c>
      <c r="Q49" s="88">
        <f t="shared" si="64"/>
        <v>401.03909999999991</v>
      </c>
      <c r="R49" s="88">
        <f t="shared" si="65"/>
        <v>16.478371899999999</v>
      </c>
      <c r="S49" s="1182">
        <v>1952</v>
      </c>
      <c r="T49" s="1177">
        <v>81</v>
      </c>
      <c r="U49" s="1178">
        <v>248</v>
      </c>
      <c r="V49" s="1178">
        <v>4.2</v>
      </c>
      <c r="W49" s="1178">
        <v>126</v>
      </c>
      <c r="X49" s="1178">
        <v>63.9</v>
      </c>
      <c r="Y49" s="88">
        <f t="shared" si="66"/>
        <v>60.535887096774175</v>
      </c>
      <c r="Z49" s="88">
        <f t="shared" si="67"/>
        <v>362.31299999999999</v>
      </c>
      <c r="AA49" s="88">
        <f t="shared" si="68"/>
        <v>15.012899999999995</v>
      </c>
      <c r="AB49" s="1182">
        <v>2205</v>
      </c>
      <c r="AC49" s="1177">
        <v>83.5</v>
      </c>
      <c r="AD49" s="1178">
        <v>259</v>
      </c>
      <c r="AE49" s="1178">
        <v>2.9</v>
      </c>
      <c r="AF49" s="1178">
        <v>115</v>
      </c>
      <c r="AG49" s="1178">
        <v>65.2</v>
      </c>
      <c r="AH49" s="88">
        <f t="shared" si="69"/>
        <v>62.710038610038609</v>
      </c>
      <c r="AI49" s="88">
        <f t="shared" si="70"/>
        <v>381.09399999999999</v>
      </c>
      <c r="AJ49" s="88">
        <f t="shared" si="71"/>
        <v>16.241899999999998</v>
      </c>
      <c r="AK49" s="1182">
        <v>1955</v>
      </c>
      <c r="AL49" s="1177">
        <v>88.7</v>
      </c>
      <c r="AM49" s="1178">
        <v>264</v>
      </c>
      <c r="AN49" s="1178">
        <v>2.9</v>
      </c>
      <c r="AO49" s="1178">
        <v>110</v>
      </c>
      <c r="AP49" s="1178">
        <v>63.3</v>
      </c>
      <c r="AQ49" s="88">
        <f t="shared" si="72"/>
        <v>60.236742424242443</v>
      </c>
      <c r="AR49" s="88">
        <f t="shared" si="73"/>
        <v>393.02969999999993</v>
      </c>
      <c r="AS49" s="88">
        <f t="shared" si="74"/>
        <v>15.902500000000005</v>
      </c>
      <c r="AT49" s="1182">
        <v>1701</v>
      </c>
      <c r="AU49" s="1177">
        <v>88.2</v>
      </c>
      <c r="AV49" s="1178">
        <v>263.2</v>
      </c>
      <c r="AW49" s="1178">
        <v>4.0999999999999881</v>
      </c>
      <c r="AX49" s="1178">
        <v>109</v>
      </c>
      <c r="AY49" s="1178">
        <v>65.7</v>
      </c>
      <c r="AZ49" s="88">
        <f t="shared" si="75"/>
        <v>62.194148936170222</v>
      </c>
      <c r="BA49" s="88">
        <f t="shared" si="76"/>
        <v>405.63180000000006</v>
      </c>
      <c r="BB49" s="88">
        <f t="shared" si="77"/>
        <v>16.369500000000002</v>
      </c>
      <c r="BC49" s="1182">
        <v>2011</v>
      </c>
      <c r="BD49" s="1177">
        <v>90.2</v>
      </c>
      <c r="BE49" s="1178">
        <v>271.7</v>
      </c>
      <c r="BF49" s="1178">
        <v>2.5700000000000047</v>
      </c>
      <c r="BG49" s="1178">
        <v>116</v>
      </c>
      <c r="BH49" s="1178">
        <v>64.599999999999994</v>
      </c>
      <c r="BI49" s="88">
        <f t="shared" si="78"/>
        <v>62.064225248435783</v>
      </c>
      <c r="BJ49" s="88">
        <f t="shared" si="79"/>
        <v>407.88439999999997</v>
      </c>
      <c r="BK49" s="88">
        <f t="shared" si="80"/>
        <v>16.862850000000002</v>
      </c>
      <c r="BL49" s="1182">
        <v>2100</v>
      </c>
      <c r="BM49" s="1177">
        <v>88.5</v>
      </c>
      <c r="BN49" s="1178">
        <v>261.35000000000002</v>
      </c>
      <c r="BO49" s="1178">
        <v>3.6</v>
      </c>
      <c r="BP49" s="1178">
        <v>107.5</v>
      </c>
      <c r="BQ49" s="1178">
        <v>63</v>
      </c>
      <c r="BR49" s="88">
        <f t="shared" si="81"/>
        <v>59.791467380906838</v>
      </c>
      <c r="BS49" s="88">
        <f t="shared" si="82"/>
        <v>390.28500000000003</v>
      </c>
      <c r="BT49" s="88">
        <f t="shared" si="83"/>
        <v>15.626500000000004</v>
      </c>
      <c r="BU49" s="1182">
        <v>1670</v>
      </c>
      <c r="BV49" s="1177">
        <v>89.5</v>
      </c>
      <c r="BW49" s="1178">
        <v>266</v>
      </c>
      <c r="BX49" s="1178">
        <v>3.9000000000000012</v>
      </c>
      <c r="BY49" s="1178">
        <v>115</v>
      </c>
      <c r="BZ49" s="1178">
        <v>63.8</v>
      </c>
      <c r="CA49" s="88">
        <f t="shared" si="84"/>
        <v>61.876315789473665</v>
      </c>
      <c r="CB49" s="88">
        <f t="shared" si="85"/>
        <v>399.70699999999999</v>
      </c>
      <c r="CC49" s="88">
        <f t="shared" si="86"/>
        <v>16.459099999999996</v>
      </c>
      <c r="CD49" s="1182">
        <v>1915</v>
      </c>
      <c r="CE49" s="1177">
        <v>88.1</v>
      </c>
      <c r="CF49" s="1178">
        <v>260.5</v>
      </c>
      <c r="CG49" s="1178">
        <v>4.0200000000000049</v>
      </c>
      <c r="CH49" s="1178">
        <v>116</v>
      </c>
      <c r="CI49" s="1178">
        <v>66.400000000000006</v>
      </c>
      <c r="CJ49" s="88">
        <f t="shared" si="87"/>
        <v>62.951285988483683</v>
      </c>
      <c r="CK49" s="88">
        <f t="shared" si="88"/>
        <v>409.48879999999997</v>
      </c>
      <c r="CL49" s="88">
        <f t="shared" si="89"/>
        <v>16.398809999999997</v>
      </c>
      <c r="CM49" s="1182">
        <v>1999</v>
      </c>
      <c r="CN49" s="1177">
        <v>90.3</v>
      </c>
      <c r="CO49" s="1178">
        <v>263.89999999999998</v>
      </c>
      <c r="CP49" s="1178">
        <v>4.0200000000000049</v>
      </c>
      <c r="CQ49" s="1178">
        <v>105</v>
      </c>
      <c r="CR49" s="1178">
        <v>65.2</v>
      </c>
      <c r="CS49" s="88">
        <f t="shared" si="90"/>
        <v>61.621750663129973</v>
      </c>
      <c r="CT49" s="88">
        <f t="shared" si="91"/>
        <v>412.12920000000003</v>
      </c>
      <c r="CU49" s="88">
        <f t="shared" si="92"/>
        <v>16.261979999999998</v>
      </c>
      <c r="CV49" s="1182">
        <v>1766</v>
      </c>
      <c r="CW49" s="1177">
        <v>85.2</v>
      </c>
      <c r="CX49" s="1178">
        <v>259</v>
      </c>
      <c r="CY49" s="1178">
        <v>4.0199999999999987</v>
      </c>
      <c r="CZ49" s="1178">
        <v>112</v>
      </c>
      <c r="DA49" s="1178">
        <v>65.3</v>
      </c>
      <c r="DB49" s="88">
        <f t="shared" si="93"/>
        <v>62.205791505791524</v>
      </c>
      <c r="DC49" s="88">
        <f t="shared" si="94"/>
        <v>389.44919999999996</v>
      </c>
      <c r="DD49" s="88">
        <f t="shared" si="95"/>
        <v>16.111300000000007</v>
      </c>
      <c r="DE49" s="1182">
        <v>1955</v>
      </c>
    </row>
    <row r="50" spans="1:109" ht="15" x14ac:dyDescent="0.2">
      <c r="A50" s="96">
        <f t="shared" si="60"/>
        <v>62</v>
      </c>
      <c r="B50" s="1177">
        <v>77.5</v>
      </c>
      <c r="C50" s="1178">
        <v>250</v>
      </c>
      <c r="D50" s="1178">
        <v>4.2042042042042045</v>
      </c>
      <c r="E50" s="1178">
        <v>117</v>
      </c>
      <c r="F50" s="1178">
        <v>63.5</v>
      </c>
      <c r="G50" s="88">
        <f t="shared" si="61"/>
        <v>59.784799999999997</v>
      </c>
      <c r="H50" s="88">
        <f t="shared" si="59"/>
        <v>344.48750000000001</v>
      </c>
      <c r="I50" s="88">
        <f t="shared" si="62"/>
        <v>14.946199999999999</v>
      </c>
      <c r="J50" s="1182">
        <v>1727</v>
      </c>
      <c r="K50" s="1177">
        <v>88.8</v>
      </c>
      <c r="L50" s="1178">
        <v>270</v>
      </c>
      <c r="M50" s="1178">
        <v>4.2042042042042045</v>
      </c>
      <c r="N50" s="1178">
        <v>118</v>
      </c>
      <c r="O50" s="1178">
        <v>64.3</v>
      </c>
      <c r="P50" s="88">
        <f t="shared" si="63"/>
        <v>62.45989592592592</v>
      </c>
      <c r="Q50" s="88">
        <f t="shared" si="64"/>
        <v>399.68880000000001</v>
      </c>
      <c r="R50" s="88">
        <f t="shared" si="65"/>
        <v>16.864171899999999</v>
      </c>
      <c r="S50" s="1182">
        <v>1954</v>
      </c>
      <c r="T50" s="1177">
        <v>80</v>
      </c>
      <c r="U50" s="1178">
        <v>254</v>
      </c>
      <c r="V50" s="1178">
        <v>4.3</v>
      </c>
      <c r="W50" s="1178">
        <v>126</v>
      </c>
      <c r="X50" s="1178">
        <v>64</v>
      </c>
      <c r="Y50" s="88">
        <f t="shared" si="66"/>
        <v>60.617716535433054</v>
      </c>
      <c r="Z50" s="88">
        <f t="shared" si="67"/>
        <v>358.40000000000003</v>
      </c>
      <c r="AA50" s="88">
        <f t="shared" si="68"/>
        <v>15.396899999999997</v>
      </c>
      <c r="AB50" s="1182">
        <v>2210</v>
      </c>
      <c r="AC50" s="1177">
        <v>83</v>
      </c>
      <c r="AD50" s="1178">
        <v>265</v>
      </c>
      <c r="AE50" s="1178">
        <v>2.9</v>
      </c>
      <c r="AF50" s="1178">
        <v>115</v>
      </c>
      <c r="AG50" s="1178">
        <v>65.3</v>
      </c>
      <c r="AH50" s="88">
        <f t="shared" si="69"/>
        <v>62.768679245283018</v>
      </c>
      <c r="AI50" s="88">
        <f t="shared" si="70"/>
        <v>379.39299999999997</v>
      </c>
      <c r="AJ50" s="88">
        <f t="shared" si="71"/>
        <v>16.633700000000001</v>
      </c>
      <c r="AK50" s="1182">
        <v>1956</v>
      </c>
      <c r="AL50" s="1177">
        <v>88.4</v>
      </c>
      <c r="AM50" s="1178">
        <v>270</v>
      </c>
      <c r="AN50" s="1178">
        <v>2.9</v>
      </c>
      <c r="AO50" s="1178">
        <v>110</v>
      </c>
      <c r="AP50" s="1178">
        <v>63.4</v>
      </c>
      <c r="AQ50" s="88">
        <f t="shared" si="72"/>
        <v>60.307037037037055</v>
      </c>
      <c r="AR50" s="88">
        <f t="shared" si="73"/>
        <v>392.31919999999997</v>
      </c>
      <c r="AS50" s="88">
        <f t="shared" si="74"/>
        <v>16.282900000000005</v>
      </c>
      <c r="AT50" s="1182">
        <v>1702</v>
      </c>
      <c r="AU50" s="1177">
        <v>87.7</v>
      </c>
      <c r="AV50" s="1178">
        <v>269.10000000000002</v>
      </c>
      <c r="AW50" s="1178">
        <v>4.2</v>
      </c>
      <c r="AX50" s="1178">
        <v>109</v>
      </c>
      <c r="AY50" s="1178">
        <v>65.8</v>
      </c>
      <c r="AZ50" s="88">
        <f t="shared" si="75"/>
        <v>62.273206986250479</v>
      </c>
      <c r="BA50" s="88">
        <f t="shared" si="76"/>
        <v>403.94619999999998</v>
      </c>
      <c r="BB50" s="88">
        <f t="shared" si="77"/>
        <v>16.757720000000006</v>
      </c>
      <c r="BC50" s="1182">
        <v>2013</v>
      </c>
      <c r="BD50" s="1177">
        <v>90</v>
      </c>
      <c r="BE50" s="1178">
        <v>277.8</v>
      </c>
      <c r="BF50" s="1178">
        <v>2.65</v>
      </c>
      <c r="BG50" s="1178">
        <v>116</v>
      </c>
      <c r="BH50" s="1178">
        <v>64.599999999999994</v>
      </c>
      <c r="BI50" s="88">
        <f t="shared" si="78"/>
        <v>62.119906407487413</v>
      </c>
      <c r="BJ50" s="88">
        <f t="shared" si="79"/>
        <v>406.97999999999996</v>
      </c>
      <c r="BK50" s="88">
        <f t="shared" si="80"/>
        <v>17.256910000000005</v>
      </c>
      <c r="BL50" s="1182">
        <v>2100</v>
      </c>
      <c r="BM50" s="1177">
        <v>88</v>
      </c>
      <c r="BN50" s="1178">
        <v>267.25</v>
      </c>
      <c r="BO50" s="1178">
        <v>3.7</v>
      </c>
      <c r="BP50" s="1178">
        <v>107.5</v>
      </c>
      <c r="BQ50" s="1178">
        <v>64</v>
      </c>
      <c r="BR50" s="88">
        <f t="shared" si="81"/>
        <v>59.884377923292803</v>
      </c>
      <c r="BS50" s="88">
        <f t="shared" si="82"/>
        <v>394.24</v>
      </c>
      <c r="BT50" s="88">
        <f t="shared" si="83"/>
        <v>16.004100000000001</v>
      </c>
      <c r="BU50" s="1182">
        <v>1670</v>
      </c>
      <c r="BV50" s="1177">
        <v>89.1</v>
      </c>
      <c r="BW50" s="1178">
        <v>272</v>
      </c>
      <c r="BX50" s="1178">
        <v>4.0000000000000036</v>
      </c>
      <c r="BY50" s="1178">
        <v>115</v>
      </c>
      <c r="BZ50" s="1178">
        <v>63.9</v>
      </c>
      <c r="CA50" s="88">
        <f t="shared" si="84"/>
        <v>61.920955882352921</v>
      </c>
      <c r="CB50" s="88">
        <f t="shared" si="85"/>
        <v>398.54429999999996</v>
      </c>
      <c r="CC50" s="88">
        <f t="shared" si="86"/>
        <v>16.842499999999994</v>
      </c>
      <c r="CD50" s="1182">
        <v>1915</v>
      </c>
      <c r="CE50" s="1177">
        <v>87.7</v>
      </c>
      <c r="CF50" s="1178">
        <v>266.39999999999998</v>
      </c>
      <c r="CG50" s="1178">
        <v>4.1000000000000005</v>
      </c>
      <c r="CH50" s="1178">
        <v>116</v>
      </c>
      <c r="CI50" s="1178">
        <v>66.5</v>
      </c>
      <c r="CJ50" s="88">
        <f t="shared" si="87"/>
        <v>63.029879879879864</v>
      </c>
      <c r="CK50" s="88">
        <f t="shared" si="88"/>
        <v>408.24350000000004</v>
      </c>
      <c r="CL50" s="88">
        <f t="shared" si="89"/>
        <v>16.791159999999994</v>
      </c>
      <c r="CM50" s="1182">
        <v>2001</v>
      </c>
      <c r="CN50" s="1177">
        <v>90</v>
      </c>
      <c r="CO50" s="1178">
        <v>270</v>
      </c>
      <c r="CP50" s="1178">
        <v>4.1000000000000005</v>
      </c>
      <c r="CQ50" s="1178">
        <v>105</v>
      </c>
      <c r="CR50" s="1178">
        <v>65.2</v>
      </c>
      <c r="CS50" s="88">
        <f t="shared" si="90"/>
        <v>61.702592592592595</v>
      </c>
      <c r="CT50" s="88">
        <f t="shared" si="91"/>
        <v>410.76</v>
      </c>
      <c r="CU50" s="88">
        <f t="shared" si="92"/>
        <v>16.659700000000001</v>
      </c>
      <c r="CV50" s="1182">
        <v>1768</v>
      </c>
      <c r="CW50" s="1177">
        <v>84.6</v>
      </c>
      <c r="CX50" s="1178">
        <v>265</v>
      </c>
      <c r="CY50" s="1178">
        <v>4.0999999999999988</v>
      </c>
      <c r="CZ50" s="1178">
        <v>112</v>
      </c>
      <c r="DA50" s="1178">
        <v>65.3</v>
      </c>
      <c r="DB50" s="88">
        <f t="shared" si="93"/>
        <v>62.275849056603789</v>
      </c>
      <c r="DC50" s="88">
        <f t="shared" si="94"/>
        <v>386.70659999999998</v>
      </c>
      <c r="DD50" s="88">
        <f t="shared" si="95"/>
        <v>16.503100000000003</v>
      </c>
      <c r="DE50" s="1182">
        <v>1956</v>
      </c>
    </row>
    <row r="51" spans="1:109" ht="15" x14ac:dyDescent="0.2">
      <c r="A51" s="96">
        <f t="shared" si="60"/>
        <v>63</v>
      </c>
      <c r="B51" s="1177">
        <v>76.8</v>
      </c>
      <c r="C51" s="1178">
        <v>255</v>
      </c>
      <c r="D51" s="1178">
        <v>4.3043043043043046</v>
      </c>
      <c r="E51" s="1178">
        <v>117</v>
      </c>
      <c r="F51" s="1178">
        <v>63.5</v>
      </c>
      <c r="G51" s="88">
        <f t="shared" si="61"/>
        <v>59.857647058823524</v>
      </c>
      <c r="H51" s="88">
        <f t="shared" si="59"/>
        <v>341.37600000000003</v>
      </c>
      <c r="I51" s="88">
        <f t="shared" si="62"/>
        <v>15.2637</v>
      </c>
      <c r="J51" s="1182">
        <v>1728</v>
      </c>
      <c r="K51" s="1177">
        <v>88.5</v>
      </c>
      <c r="L51" s="1178">
        <v>276</v>
      </c>
      <c r="M51" s="1178">
        <v>4.3043043043043046</v>
      </c>
      <c r="N51" s="1178">
        <v>118</v>
      </c>
      <c r="O51" s="1178">
        <v>64.3</v>
      </c>
      <c r="P51" s="88">
        <f t="shared" si="63"/>
        <v>62.499898188405787</v>
      </c>
      <c r="Q51" s="88">
        <f t="shared" si="64"/>
        <v>398.33850000000001</v>
      </c>
      <c r="R51" s="88">
        <f t="shared" si="65"/>
        <v>17.249971899999998</v>
      </c>
      <c r="S51" s="1182">
        <v>1956</v>
      </c>
      <c r="T51" s="1177">
        <v>80</v>
      </c>
      <c r="U51" s="1178">
        <v>259</v>
      </c>
      <c r="V51" s="1178">
        <v>4.4000000000000004</v>
      </c>
      <c r="W51" s="1178">
        <v>126</v>
      </c>
      <c r="X51" s="1178">
        <v>64.099999999999994</v>
      </c>
      <c r="Y51" s="88">
        <f t="shared" si="66"/>
        <v>60.684942084942065</v>
      </c>
      <c r="Z51" s="88">
        <f t="shared" si="67"/>
        <v>358.96</v>
      </c>
      <c r="AA51" s="88">
        <f t="shared" si="68"/>
        <v>15.717399999999994</v>
      </c>
      <c r="AB51" s="1182">
        <v>2215</v>
      </c>
      <c r="AC51" s="1177">
        <v>82.5</v>
      </c>
      <c r="AD51" s="1178">
        <v>270</v>
      </c>
      <c r="AE51" s="1178">
        <v>3</v>
      </c>
      <c r="AF51" s="1178">
        <v>115</v>
      </c>
      <c r="AG51" s="1178">
        <v>65.3</v>
      </c>
      <c r="AH51" s="88">
        <f t="shared" si="69"/>
        <v>62.815555555555562</v>
      </c>
      <c r="AI51" s="88">
        <f t="shared" si="70"/>
        <v>377.10749999999996</v>
      </c>
      <c r="AJ51" s="88">
        <f t="shared" si="71"/>
        <v>16.9602</v>
      </c>
      <c r="AK51" s="1182">
        <v>1957</v>
      </c>
      <c r="AL51" s="1177">
        <v>88.1</v>
      </c>
      <c r="AM51" s="1178">
        <v>276</v>
      </c>
      <c r="AN51" s="1178">
        <v>3</v>
      </c>
      <c r="AO51" s="1178">
        <v>110</v>
      </c>
      <c r="AP51" s="1178">
        <v>63.5</v>
      </c>
      <c r="AQ51" s="88">
        <f t="shared" si="72"/>
        <v>60.37644927536234</v>
      </c>
      <c r="AR51" s="88">
        <f t="shared" si="73"/>
        <v>391.60449999999992</v>
      </c>
      <c r="AS51" s="88">
        <f t="shared" si="74"/>
        <v>16.663900000000005</v>
      </c>
      <c r="AT51" s="1182">
        <v>1702</v>
      </c>
      <c r="AU51" s="1177">
        <v>87.2</v>
      </c>
      <c r="AV51" s="1178">
        <v>274.89999999999998</v>
      </c>
      <c r="AW51" s="1178">
        <v>4.2999999999999883</v>
      </c>
      <c r="AX51" s="1178">
        <v>109</v>
      </c>
      <c r="AY51" s="1178">
        <v>65.8</v>
      </c>
      <c r="AZ51" s="88">
        <f t="shared" si="75"/>
        <v>62.347617315387424</v>
      </c>
      <c r="BA51" s="88">
        <f t="shared" si="76"/>
        <v>401.64319999999998</v>
      </c>
      <c r="BB51" s="88">
        <f t="shared" si="77"/>
        <v>17.139360000000003</v>
      </c>
      <c r="BC51" s="1182">
        <v>2015</v>
      </c>
      <c r="BD51" s="1177">
        <v>89.8</v>
      </c>
      <c r="BE51" s="1178">
        <v>283.89999999999998</v>
      </c>
      <c r="BF51" s="1178">
        <v>2.7700000000000045</v>
      </c>
      <c r="BG51" s="1178">
        <v>116</v>
      </c>
      <c r="BH51" s="1178">
        <v>64.599999999999994</v>
      </c>
      <c r="BI51" s="88">
        <f t="shared" si="78"/>
        <v>62.173194786896801</v>
      </c>
      <c r="BJ51" s="88">
        <f t="shared" si="79"/>
        <v>406.07560000000001</v>
      </c>
      <c r="BK51" s="88">
        <f t="shared" si="80"/>
        <v>17.650970000000001</v>
      </c>
      <c r="BL51" s="1182">
        <v>2100</v>
      </c>
      <c r="BM51" s="1177">
        <v>87.5</v>
      </c>
      <c r="BN51" s="1178">
        <v>273.14999999999998</v>
      </c>
      <c r="BO51" s="1178">
        <v>3.8</v>
      </c>
      <c r="BP51" s="1178">
        <v>107.5</v>
      </c>
      <c r="BQ51" s="1178">
        <v>64</v>
      </c>
      <c r="BR51" s="88">
        <f t="shared" si="81"/>
        <v>59.973274757459279</v>
      </c>
      <c r="BS51" s="88">
        <f t="shared" si="82"/>
        <v>392</v>
      </c>
      <c r="BT51" s="88">
        <f t="shared" si="83"/>
        <v>16.381699999999999</v>
      </c>
      <c r="BU51" s="1182">
        <v>1675</v>
      </c>
      <c r="BV51" s="1177">
        <v>88.7</v>
      </c>
      <c r="BW51" s="1178">
        <v>278</v>
      </c>
      <c r="BX51" s="1178">
        <v>4.0999999999999943</v>
      </c>
      <c r="BY51" s="1178">
        <v>115</v>
      </c>
      <c r="BZ51" s="1178">
        <v>63.9</v>
      </c>
      <c r="CA51" s="88">
        <f t="shared" si="84"/>
        <v>61.963669064748181</v>
      </c>
      <c r="CB51" s="88">
        <f t="shared" si="85"/>
        <v>396.75509999999997</v>
      </c>
      <c r="CC51" s="88">
        <f t="shared" si="86"/>
        <v>17.225899999999996</v>
      </c>
      <c r="CD51" s="1182">
        <v>1915</v>
      </c>
      <c r="CE51" s="1177">
        <v>87.3</v>
      </c>
      <c r="CF51" s="1178">
        <v>272.3</v>
      </c>
      <c r="CG51" s="1178">
        <v>4.1799999999999953</v>
      </c>
      <c r="CH51" s="1178">
        <v>116</v>
      </c>
      <c r="CI51" s="1178">
        <v>66.599999999999994</v>
      </c>
      <c r="CJ51" s="88">
        <f t="shared" si="87"/>
        <v>63.107234667645969</v>
      </c>
      <c r="CK51" s="88">
        <f t="shared" si="88"/>
        <v>406.99259999999992</v>
      </c>
      <c r="CL51" s="88">
        <f t="shared" si="89"/>
        <v>17.184100000000001</v>
      </c>
      <c r="CM51" s="1182">
        <v>2004</v>
      </c>
      <c r="CN51" s="1177">
        <v>89.7</v>
      </c>
      <c r="CO51" s="1178">
        <v>276.10000000000002</v>
      </c>
      <c r="CP51" s="1178">
        <v>4.1799999999999953</v>
      </c>
      <c r="CQ51" s="1178">
        <v>105</v>
      </c>
      <c r="CR51" s="1178">
        <v>65.3</v>
      </c>
      <c r="CS51" s="88">
        <f t="shared" si="90"/>
        <v>61.782071713147417</v>
      </c>
      <c r="CT51" s="88">
        <f t="shared" si="91"/>
        <v>410.01869999999997</v>
      </c>
      <c r="CU51" s="88">
        <f t="shared" si="92"/>
        <v>17.058030000000002</v>
      </c>
      <c r="CV51" s="1182">
        <v>1769</v>
      </c>
      <c r="CW51" s="1177">
        <v>84.1</v>
      </c>
      <c r="CX51" s="1178">
        <v>270</v>
      </c>
      <c r="CY51" s="1178">
        <v>4.1799999999999988</v>
      </c>
      <c r="CZ51" s="1178">
        <v>112</v>
      </c>
      <c r="DA51" s="1178">
        <v>65.400000000000006</v>
      </c>
      <c r="DB51" s="88">
        <f t="shared" si="93"/>
        <v>62.333703703703726</v>
      </c>
      <c r="DC51" s="88">
        <f t="shared" si="94"/>
        <v>385.00979999999998</v>
      </c>
      <c r="DD51" s="88">
        <f t="shared" si="95"/>
        <v>16.830100000000009</v>
      </c>
      <c r="DE51" s="1182">
        <v>1957</v>
      </c>
    </row>
    <row r="52" spans="1:109" ht="15" x14ac:dyDescent="0.2">
      <c r="A52" s="96">
        <f t="shared" si="60"/>
        <v>64</v>
      </c>
      <c r="B52" s="1177">
        <v>76.099999999999994</v>
      </c>
      <c r="C52" s="1178">
        <v>260</v>
      </c>
      <c r="D52" s="1178">
        <v>4.4044044044044046</v>
      </c>
      <c r="E52" s="1178">
        <v>117</v>
      </c>
      <c r="F52" s="1178">
        <v>63.6</v>
      </c>
      <c r="G52" s="88">
        <f t="shared" si="61"/>
        <v>59.929615384615381</v>
      </c>
      <c r="H52" s="88">
        <f t="shared" si="59"/>
        <v>338.79719999999998</v>
      </c>
      <c r="I52" s="88">
        <f t="shared" si="62"/>
        <v>15.581699999999998</v>
      </c>
      <c r="J52" s="1182">
        <v>1729</v>
      </c>
      <c r="K52" s="1177">
        <v>88.2</v>
      </c>
      <c r="L52" s="1178">
        <v>282</v>
      </c>
      <c r="M52" s="1178">
        <v>4.4044044044044046</v>
      </c>
      <c r="N52" s="1178">
        <v>118</v>
      </c>
      <c r="O52" s="1178">
        <v>64.3</v>
      </c>
      <c r="P52" s="88">
        <f t="shared" si="63"/>
        <v>62.538198226950342</v>
      </c>
      <c r="Q52" s="88">
        <f t="shared" si="64"/>
        <v>396.98820000000001</v>
      </c>
      <c r="R52" s="88">
        <f t="shared" si="65"/>
        <v>17.635771899999998</v>
      </c>
      <c r="S52" s="1182">
        <v>1958</v>
      </c>
      <c r="T52" s="1177">
        <v>79</v>
      </c>
      <c r="U52" s="1178">
        <v>264</v>
      </c>
      <c r="V52" s="1178">
        <v>4.5</v>
      </c>
      <c r="W52" s="1178">
        <v>126</v>
      </c>
      <c r="X52" s="1178">
        <v>64.2</v>
      </c>
      <c r="Y52" s="88">
        <f t="shared" si="66"/>
        <v>60.751515151515129</v>
      </c>
      <c r="Z52" s="88">
        <f t="shared" si="67"/>
        <v>355.02600000000001</v>
      </c>
      <c r="AA52" s="88">
        <f t="shared" si="68"/>
        <v>16.038399999999996</v>
      </c>
      <c r="AB52" s="1182">
        <v>2220</v>
      </c>
      <c r="AC52" s="1177">
        <v>82</v>
      </c>
      <c r="AD52" s="1178">
        <v>276</v>
      </c>
      <c r="AE52" s="1178">
        <f>AE51+0.1</f>
        <v>3.1</v>
      </c>
      <c r="AF52" s="1178">
        <v>115</v>
      </c>
      <c r="AG52" s="1178">
        <v>65.3</v>
      </c>
      <c r="AH52" s="88">
        <f t="shared" si="69"/>
        <v>62.869565217391305</v>
      </c>
      <c r="AI52" s="88">
        <f t="shared" si="70"/>
        <v>374.82199999999995</v>
      </c>
      <c r="AJ52" s="88">
        <f t="shared" si="71"/>
        <v>17.352</v>
      </c>
      <c r="AK52" s="1182">
        <v>1958</v>
      </c>
      <c r="AL52" s="1177">
        <v>87.7</v>
      </c>
      <c r="AM52" s="1178">
        <v>281</v>
      </c>
      <c r="AN52" s="1178">
        <f>AN51+0.1</f>
        <v>3.1</v>
      </c>
      <c r="AO52" s="1178">
        <v>110</v>
      </c>
      <c r="AP52" s="1178">
        <v>63.6</v>
      </c>
      <c r="AQ52" s="88">
        <f t="shared" si="72"/>
        <v>60.433807829181518</v>
      </c>
      <c r="AR52" s="88">
        <f t="shared" si="73"/>
        <v>390.44040000000001</v>
      </c>
      <c r="AS52" s="88">
        <f t="shared" si="74"/>
        <v>16.981900000000007</v>
      </c>
      <c r="AT52" s="1182">
        <v>1702</v>
      </c>
      <c r="AU52" s="1177">
        <v>86.7</v>
      </c>
      <c r="AV52" s="1178">
        <v>280.7</v>
      </c>
      <c r="AW52" s="1178">
        <v>4.3999999999999995</v>
      </c>
      <c r="AX52" s="1178">
        <v>109</v>
      </c>
      <c r="AY52" s="1178">
        <v>65.900000000000006</v>
      </c>
      <c r="AZ52" s="88">
        <f t="shared" si="75"/>
        <v>62.42101888136802</v>
      </c>
      <c r="BA52" s="88">
        <f t="shared" si="76"/>
        <v>399.94710000000003</v>
      </c>
      <c r="BB52" s="88">
        <f t="shared" si="77"/>
        <v>17.52158</v>
      </c>
      <c r="BC52" s="1182">
        <v>2017</v>
      </c>
      <c r="BD52" s="1177">
        <v>89.6</v>
      </c>
      <c r="BE52" s="1178">
        <v>290</v>
      </c>
      <c r="BF52" s="1178">
        <v>2.85</v>
      </c>
      <c r="BG52" s="1178">
        <v>116</v>
      </c>
      <c r="BH52" s="1178">
        <v>64.599999999999994</v>
      </c>
      <c r="BI52" s="88">
        <f t="shared" si="78"/>
        <v>62.224241379310349</v>
      </c>
      <c r="BJ52" s="88">
        <f t="shared" si="79"/>
        <v>405.17119999999994</v>
      </c>
      <c r="BK52" s="88">
        <f t="shared" si="80"/>
        <v>18.045030000000004</v>
      </c>
      <c r="BL52" s="1182">
        <v>2100</v>
      </c>
      <c r="BM52" s="1177">
        <v>87</v>
      </c>
      <c r="BN52" s="1178">
        <v>279</v>
      </c>
      <c r="BO52" s="1178">
        <v>3.9</v>
      </c>
      <c r="BP52" s="1178">
        <v>107.5</v>
      </c>
      <c r="BQ52" s="1178">
        <v>64</v>
      </c>
      <c r="BR52" s="88">
        <f t="shared" si="81"/>
        <v>60.057706093189978</v>
      </c>
      <c r="BS52" s="88">
        <f t="shared" si="82"/>
        <v>389.76</v>
      </c>
      <c r="BT52" s="88">
        <f t="shared" si="83"/>
        <v>16.756100000000004</v>
      </c>
      <c r="BU52" s="1182">
        <v>1675</v>
      </c>
      <c r="BV52" s="1177">
        <v>88.3</v>
      </c>
      <c r="BW52" s="1178">
        <v>284</v>
      </c>
      <c r="BX52" s="1178">
        <v>4.0999999999999943</v>
      </c>
      <c r="BY52" s="1178">
        <v>115</v>
      </c>
      <c r="BZ52" s="1178">
        <v>63.9</v>
      </c>
      <c r="CA52" s="88">
        <f t="shared" si="84"/>
        <v>62.00457746478871</v>
      </c>
      <c r="CB52" s="88">
        <f t="shared" si="85"/>
        <v>394.96589999999998</v>
      </c>
      <c r="CC52" s="88">
        <f t="shared" si="86"/>
        <v>17.609299999999998</v>
      </c>
      <c r="CD52" s="1182">
        <v>1915</v>
      </c>
      <c r="CE52" s="1177">
        <v>86.9</v>
      </c>
      <c r="CF52" s="1178">
        <v>278.2</v>
      </c>
      <c r="CG52" s="1178">
        <v>4.2600000000000016</v>
      </c>
      <c r="CH52" s="1178">
        <v>116</v>
      </c>
      <c r="CI52" s="1178">
        <v>66.599999999999994</v>
      </c>
      <c r="CJ52" s="88">
        <f t="shared" si="87"/>
        <v>63.18130841121495</v>
      </c>
      <c r="CK52" s="88">
        <f t="shared" si="88"/>
        <v>405.12780000000004</v>
      </c>
      <c r="CL52" s="88">
        <f t="shared" si="89"/>
        <v>17.577039999999997</v>
      </c>
      <c r="CM52" s="1182">
        <v>2006</v>
      </c>
      <c r="CN52" s="1177">
        <v>89.3</v>
      </c>
      <c r="CO52" s="1178">
        <v>282.10000000000002</v>
      </c>
      <c r="CP52" s="1178">
        <v>4.2600000000000016</v>
      </c>
      <c r="CQ52" s="1178">
        <v>105</v>
      </c>
      <c r="CR52" s="1178">
        <v>65.3</v>
      </c>
      <c r="CS52" s="88">
        <f t="shared" si="90"/>
        <v>61.856894718185046</v>
      </c>
      <c r="CT52" s="88">
        <f t="shared" si="91"/>
        <v>408.19029999999998</v>
      </c>
      <c r="CU52" s="88">
        <f t="shared" si="92"/>
        <v>17.449830000000002</v>
      </c>
      <c r="CV52" s="1182">
        <v>1770</v>
      </c>
      <c r="CW52" s="1177">
        <v>83.6</v>
      </c>
      <c r="CX52" s="1178">
        <v>276</v>
      </c>
      <c r="CY52" s="1178">
        <v>4.2599999999999989</v>
      </c>
      <c r="CZ52" s="1178">
        <v>112</v>
      </c>
      <c r="DA52" s="1178">
        <v>65.400000000000006</v>
      </c>
      <c r="DB52" s="88">
        <f t="shared" si="93"/>
        <v>62.4003623188406</v>
      </c>
      <c r="DC52" s="88">
        <f t="shared" si="94"/>
        <v>382.7208</v>
      </c>
      <c r="DD52" s="88">
        <f t="shared" si="95"/>
        <v>17.222500000000004</v>
      </c>
      <c r="DE52" s="1182">
        <v>1958</v>
      </c>
    </row>
    <row r="53" spans="1:109" ht="15" x14ac:dyDescent="0.2">
      <c r="A53" s="96">
        <f t="shared" si="60"/>
        <v>65</v>
      </c>
      <c r="B53" s="1177">
        <v>75.400000000000006</v>
      </c>
      <c r="C53" s="1178">
        <v>265</v>
      </c>
      <c r="D53" s="1178">
        <v>4.5045045045045047</v>
      </c>
      <c r="E53" s="1178">
        <v>117</v>
      </c>
      <c r="F53" s="1178">
        <v>63.6</v>
      </c>
      <c r="G53" s="88">
        <f t="shared" si="61"/>
        <v>59.998867924528298</v>
      </c>
      <c r="H53" s="88">
        <f t="shared" si="59"/>
        <v>335.68080000000003</v>
      </c>
      <c r="I53" s="88">
        <f t="shared" si="62"/>
        <v>15.899699999999999</v>
      </c>
      <c r="J53" s="1182">
        <v>1730</v>
      </c>
      <c r="K53" s="1177">
        <v>87.8</v>
      </c>
      <c r="L53" s="1178">
        <v>287</v>
      </c>
      <c r="M53" s="1178">
        <v>4.5045045045045047</v>
      </c>
      <c r="N53" s="1178">
        <v>118</v>
      </c>
      <c r="O53" s="1178">
        <v>64.400000000000006</v>
      </c>
      <c r="P53" s="88">
        <f t="shared" si="63"/>
        <v>62.570633797909395</v>
      </c>
      <c r="Q53" s="88">
        <f t="shared" si="64"/>
        <v>395.80240000000003</v>
      </c>
      <c r="R53" s="88">
        <f t="shared" si="65"/>
        <v>17.957771899999994</v>
      </c>
      <c r="S53" s="1182">
        <v>1960</v>
      </c>
      <c r="T53" s="1177">
        <v>79</v>
      </c>
      <c r="U53" s="1178">
        <v>270</v>
      </c>
      <c r="V53" s="1178">
        <v>4.5999999999999996</v>
      </c>
      <c r="W53" s="1178">
        <v>126</v>
      </c>
      <c r="X53" s="1178">
        <v>64.3</v>
      </c>
      <c r="Y53" s="88">
        <f t="shared" si="66"/>
        <v>60.830370370370353</v>
      </c>
      <c r="Z53" s="88">
        <f t="shared" si="67"/>
        <v>355.57900000000001</v>
      </c>
      <c r="AA53" s="88">
        <f t="shared" si="68"/>
        <v>16.424199999999995</v>
      </c>
      <c r="AB53" s="1182">
        <v>2225</v>
      </c>
      <c r="AC53" s="1177">
        <v>81.5</v>
      </c>
      <c r="AD53" s="1178">
        <v>282</v>
      </c>
      <c r="AE53" s="1178">
        <f>AE52+0.1</f>
        <v>3.2</v>
      </c>
      <c r="AF53" s="1178">
        <v>115</v>
      </c>
      <c r="AG53" s="1178">
        <v>65.400000000000006</v>
      </c>
      <c r="AH53" s="88">
        <f t="shared" si="69"/>
        <v>62.923404255319149</v>
      </c>
      <c r="AI53" s="88">
        <f t="shared" si="70"/>
        <v>373.10700000000003</v>
      </c>
      <c r="AJ53" s="88">
        <f t="shared" si="71"/>
        <v>17.744399999999999</v>
      </c>
      <c r="AK53" s="1182">
        <v>1959</v>
      </c>
      <c r="AL53" s="1177">
        <v>87.4</v>
      </c>
      <c r="AM53" s="1178">
        <v>287</v>
      </c>
      <c r="AN53" s="1178">
        <f>AN52+0.1</f>
        <v>3.2</v>
      </c>
      <c r="AO53" s="1178">
        <v>110</v>
      </c>
      <c r="AP53" s="1178">
        <v>63.7</v>
      </c>
      <c r="AQ53" s="88">
        <f t="shared" si="72"/>
        <v>60.502090592334511</v>
      </c>
      <c r="AR53" s="88">
        <f t="shared" si="73"/>
        <v>389.71660000000003</v>
      </c>
      <c r="AS53" s="88">
        <f t="shared" si="74"/>
        <v>17.364100000000008</v>
      </c>
      <c r="AT53" s="1182">
        <v>1702</v>
      </c>
      <c r="AU53" s="1177">
        <v>86.2</v>
      </c>
      <c r="AV53" s="1178">
        <v>286.5</v>
      </c>
      <c r="AW53" s="1178">
        <v>4.5</v>
      </c>
      <c r="AX53" s="1178">
        <v>109</v>
      </c>
      <c r="AY53" s="1178">
        <v>66</v>
      </c>
      <c r="AZ53" s="88">
        <f t="shared" si="75"/>
        <v>62.493472949389187</v>
      </c>
      <c r="BA53" s="88">
        <f t="shared" si="76"/>
        <v>398.24399999999997</v>
      </c>
      <c r="BB53" s="88">
        <f t="shared" si="77"/>
        <v>17.90438</v>
      </c>
      <c r="BC53" s="1182">
        <v>2019</v>
      </c>
      <c r="BD53" s="1177">
        <v>89.3</v>
      </c>
      <c r="BE53" s="1178">
        <v>296.10000000000002</v>
      </c>
      <c r="BF53" s="1178">
        <v>2.9200000000000044</v>
      </c>
      <c r="BG53" s="1178">
        <v>116</v>
      </c>
      <c r="BH53" s="1178">
        <v>64.7</v>
      </c>
      <c r="BI53" s="88">
        <f t="shared" si="78"/>
        <v>62.275244849712941</v>
      </c>
      <c r="BJ53" s="88">
        <f t="shared" si="79"/>
        <v>404.43970000000002</v>
      </c>
      <c r="BK53" s="88">
        <f t="shared" si="80"/>
        <v>18.439700000000006</v>
      </c>
      <c r="BL53" s="1182">
        <v>2100</v>
      </c>
      <c r="BM53" s="1177">
        <v>87</v>
      </c>
      <c r="BN53" s="1178">
        <v>284.85000000000002</v>
      </c>
      <c r="BO53" s="1178">
        <v>4</v>
      </c>
      <c r="BP53" s="1178">
        <v>108.5</v>
      </c>
      <c r="BQ53" s="1178">
        <v>64</v>
      </c>
      <c r="BR53" s="88">
        <f t="shared" si="81"/>
        <v>60.138669475162374</v>
      </c>
      <c r="BS53" s="88">
        <f t="shared" si="82"/>
        <v>389.76</v>
      </c>
      <c r="BT53" s="88">
        <f t="shared" si="83"/>
        <v>17.130500000000005</v>
      </c>
      <c r="BU53" s="1182">
        <v>1675</v>
      </c>
      <c r="BV53" s="1177">
        <v>87.9</v>
      </c>
      <c r="BW53" s="1178">
        <v>290</v>
      </c>
      <c r="BX53" s="1178">
        <v>4.2000000000000082</v>
      </c>
      <c r="BY53" s="1178">
        <v>115</v>
      </c>
      <c r="BZ53" s="1178">
        <v>64</v>
      </c>
      <c r="CA53" s="88">
        <f t="shared" si="84"/>
        <v>62.045862068965491</v>
      </c>
      <c r="CB53" s="88">
        <f t="shared" si="85"/>
        <v>393.79200000000003</v>
      </c>
      <c r="CC53" s="88">
        <f t="shared" si="86"/>
        <v>17.993299999999991</v>
      </c>
      <c r="CD53" s="1182">
        <v>1915</v>
      </c>
      <c r="CE53" s="1177">
        <v>86.5</v>
      </c>
      <c r="CF53" s="1178">
        <v>284</v>
      </c>
      <c r="CG53" s="1178">
        <v>4.3399999999999981</v>
      </c>
      <c r="CH53" s="1178">
        <v>116</v>
      </c>
      <c r="CI53" s="1178">
        <v>66.7</v>
      </c>
      <c r="CJ53" s="88">
        <f t="shared" si="87"/>
        <v>63.253169014084499</v>
      </c>
      <c r="CK53" s="88">
        <f t="shared" si="88"/>
        <v>403.86849999999998</v>
      </c>
      <c r="CL53" s="88">
        <f t="shared" si="89"/>
        <v>17.963899999999999</v>
      </c>
      <c r="CM53" s="1182">
        <v>2009</v>
      </c>
      <c r="CN53" s="1177">
        <v>88.9</v>
      </c>
      <c r="CO53" s="1178">
        <v>288.10000000000002</v>
      </c>
      <c r="CP53" s="1178">
        <v>4.3399999999999981</v>
      </c>
      <c r="CQ53" s="1178">
        <v>105</v>
      </c>
      <c r="CR53" s="1178">
        <v>65.400000000000006</v>
      </c>
      <c r="CS53" s="88">
        <f t="shared" si="90"/>
        <v>61.930683790350578</v>
      </c>
      <c r="CT53" s="88">
        <f t="shared" si="91"/>
        <v>406.98420000000004</v>
      </c>
      <c r="CU53" s="88">
        <f t="shared" si="92"/>
        <v>17.842230000000001</v>
      </c>
      <c r="CV53" s="1182">
        <v>1771</v>
      </c>
      <c r="CW53" s="1177">
        <v>83.1</v>
      </c>
      <c r="CX53" s="1178">
        <v>281</v>
      </c>
      <c r="CY53" s="1178">
        <v>4.339999999999999</v>
      </c>
      <c r="CZ53" s="1178">
        <v>112</v>
      </c>
      <c r="DA53" s="1178">
        <v>65.5</v>
      </c>
      <c r="DB53" s="88">
        <f t="shared" si="93"/>
        <v>62.455516014234902</v>
      </c>
      <c r="DC53" s="88">
        <f t="shared" si="94"/>
        <v>381.01350000000002</v>
      </c>
      <c r="DD53" s="88">
        <f t="shared" si="95"/>
        <v>17.550000000000008</v>
      </c>
      <c r="DE53" s="1182">
        <v>1959</v>
      </c>
    </row>
    <row r="54" spans="1:109" ht="15" x14ac:dyDescent="0.2">
      <c r="A54" s="96">
        <f t="shared" si="60"/>
        <v>66</v>
      </c>
      <c r="B54" s="1177">
        <v>74.7</v>
      </c>
      <c r="C54" s="1178">
        <v>270</v>
      </c>
      <c r="D54" s="1178">
        <v>4.6046046046046047</v>
      </c>
      <c r="E54" s="1178">
        <v>117</v>
      </c>
      <c r="F54" s="1178">
        <v>63.6</v>
      </c>
      <c r="G54" s="88">
        <f t="shared" si="61"/>
        <v>60.065555555555548</v>
      </c>
      <c r="H54" s="88">
        <f t="shared" si="59"/>
        <v>332.56440000000003</v>
      </c>
      <c r="I54" s="88">
        <f t="shared" si="62"/>
        <v>16.217700000000001</v>
      </c>
      <c r="J54" s="1182">
        <v>1731</v>
      </c>
      <c r="K54" s="1177">
        <v>87.5</v>
      </c>
      <c r="L54" s="1178">
        <v>293</v>
      </c>
      <c r="M54" s="1178">
        <v>4.6046046046046047</v>
      </c>
      <c r="N54" s="1178">
        <v>118</v>
      </c>
      <c r="O54" s="1178">
        <v>64.400000000000006</v>
      </c>
      <c r="P54" s="88">
        <f t="shared" si="63"/>
        <v>62.608095221842994</v>
      </c>
      <c r="Q54" s="88">
        <f t="shared" si="64"/>
        <v>394.45000000000005</v>
      </c>
      <c r="R54" s="88">
        <f t="shared" si="65"/>
        <v>18.344171899999996</v>
      </c>
      <c r="S54" s="1182">
        <v>1962</v>
      </c>
      <c r="T54" s="1177">
        <v>78</v>
      </c>
      <c r="U54" s="1178">
        <v>275</v>
      </c>
      <c r="V54" s="1178">
        <v>4.7</v>
      </c>
      <c r="W54" s="1178">
        <v>126</v>
      </c>
      <c r="X54" s="1178">
        <v>64.400000000000006</v>
      </c>
      <c r="Y54" s="88">
        <f t="shared" si="66"/>
        <v>60.895272727272719</v>
      </c>
      <c r="Z54" s="88">
        <f t="shared" si="67"/>
        <v>351.62400000000002</v>
      </c>
      <c r="AA54" s="88">
        <f t="shared" si="68"/>
        <v>16.746199999999995</v>
      </c>
      <c r="AB54" s="1182">
        <v>2230</v>
      </c>
      <c r="AC54" s="1177">
        <v>81</v>
      </c>
      <c r="AD54" s="1178">
        <v>287</v>
      </c>
      <c r="AE54" s="1178">
        <f>AE53+0.1</f>
        <v>3.3000000000000003</v>
      </c>
      <c r="AF54" s="1178">
        <v>115</v>
      </c>
      <c r="AG54" s="1178">
        <v>65.400000000000006</v>
      </c>
      <c r="AH54" s="88">
        <f t="shared" si="69"/>
        <v>62.966550522648085</v>
      </c>
      <c r="AI54" s="88">
        <f t="shared" si="70"/>
        <v>370.81800000000004</v>
      </c>
      <c r="AJ54" s="88">
        <f t="shared" si="71"/>
        <v>18.071400000000004</v>
      </c>
      <c r="AK54" s="1182">
        <v>1960</v>
      </c>
      <c r="AL54" s="1177">
        <v>87.1</v>
      </c>
      <c r="AM54" s="1178">
        <v>293</v>
      </c>
      <c r="AN54" s="1178">
        <f>AN53+0.1</f>
        <v>3.3000000000000003</v>
      </c>
      <c r="AO54" s="1178">
        <v>110</v>
      </c>
      <c r="AP54" s="1178">
        <v>63.8</v>
      </c>
      <c r="AQ54" s="88">
        <f t="shared" si="72"/>
        <v>60.56962457337886</v>
      </c>
      <c r="AR54" s="88">
        <f t="shared" si="73"/>
        <v>388.98859999999996</v>
      </c>
      <c r="AS54" s="88">
        <f t="shared" si="74"/>
        <v>17.746900000000004</v>
      </c>
      <c r="AT54" s="1182">
        <v>1703</v>
      </c>
      <c r="AU54" s="1177">
        <v>85.7</v>
      </c>
      <c r="AV54" s="1178">
        <v>292.2</v>
      </c>
      <c r="AW54" s="1178">
        <v>4.599999999999989</v>
      </c>
      <c r="AX54" s="1178">
        <v>109</v>
      </c>
      <c r="AY54" s="1178">
        <v>66.099999999999994</v>
      </c>
      <c r="AZ54" s="88">
        <f t="shared" si="75"/>
        <v>62.563826146475023</v>
      </c>
      <c r="BA54" s="88">
        <f t="shared" si="76"/>
        <v>396.53389999999996</v>
      </c>
      <c r="BB54" s="88">
        <f t="shared" si="77"/>
        <v>18.28115</v>
      </c>
      <c r="BC54" s="1182">
        <v>2021</v>
      </c>
      <c r="BD54" s="1177">
        <v>89</v>
      </c>
      <c r="BE54" s="1178">
        <v>302.10000000000002</v>
      </c>
      <c r="BF54" s="1178">
        <v>2.9700000000000046</v>
      </c>
      <c r="BG54" s="1178">
        <v>116</v>
      </c>
      <c r="BH54" s="1178">
        <v>64.7</v>
      </c>
      <c r="BI54" s="88">
        <f t="shared" si="78"/>
        <v>62.323402846739498</v>
      </c>
      <c r="BJ54" s="88">
        <f t="shared" si="79"/>
        <v>403.08100000000002</v>
      </c>
      <c r="BK54" s="88">
        <f t="shared" si="80"/>
        <v>18.827900000000007</v>
      </c>
      <c r="BL54" s="1182">
        <v>2100</v>
      </c>
      <c r="BM54" s="1177">
        <v>86</v>
      </c>
      <c r="BN54" s="1178">
        <v>290.60000000000002</v>
      </c>
      <c r="BO54" s="1178">
        <v>4.0999999999999996</v>
      </c>
      <c r="BP54" s="1178">
        <v>108.5</v>
      </c>
      <c r="BQ54" s="1178">
        <v>64</v>
      </c>
      <c r="BR54" s="88">
        <f t="shared" si="81"/>
        <v>60.215072264280806</v>
      </c>
      <c r="BS54" s="88">
        <f t="shared" si="82"/>
        <v>385.28</v>
      </c>
      <c r="BT54" s="88">
        <f t="shared" si="83"/>
        <v>17.498500000000003</v>
      </c>
      <c r="BU54" s="1182">
        <v>1675</v>
      </c>
      <c r="BV54" s="1177">
        <v>87.5</v>
      </c>
      <c r="BW54" s="1178">
        <v>295</v>
      </c>
      <c r="BX54" s="1178">
        <v>4.3</v>
      </c>
      <c r="BY54" s="1178">
        <v>115</v>
      </c>
      <c r="BZ54" s="1178">
        <v>64</v>
      </c>
      <c r="CA54" s="88">
        <f t="shared" si="84"/>
        <v>62.078983050847427</v>
      </c>
      <c r="CB54" s="88">
        <f t="shared" si="85"/>
        <v>392</v>
      </c>
      <c r="CC54" s="88">
        <f t="shared" si="86"/>
        <v>18.313299999999991</v>
      </c>
      <c r="CD54" s="1182">
        <v>1925</v>
      </c>
      <c r="CE54" s="1177">
        <v>86.1</v>
      </c>
      <c r="CF54" s="1178">
        <v>289.8</v>
      </c>
      <c r="CG54" s="1178">
        <v>4.4299999999999962</v>
      </c>
      <c r="CH54" s="1178">
        <v>116</v>
      </c>
      <c r="CI54" s="1178">
        <v>66.8</v>
      </c>
      <c r="CJ54" s="88">
        <f t="shared" si="87"/>
        <v>63.324154589371972</v>
      </c>
      <c r="CK54" s="88">
        <f t="shared" si="88"/>
        <v>402.60359999999997</v>
      </c>
      <c r="CL54" s="88">
        <f t="shared" si="89"/>
        <v>18.35134</v>
      </c>
      <c r="CM54" s="1182">
        <v>2012</v>
      </c>
      <c r="CN54" s="1177">
        <v>88.6</v>
      </c>
      <c r="CO54" s="1178">
        <v>294.10000000000002</v>
      </c>
      <c r="CP54" s="1178">
        <v>4.4299999999999962</v>
      </c>
      <c r="CQ54" s="1178">
        <v>105</v>
      </c>
      <c r="CR54" s="1178">
        <v>65.400000000000006</v>
      </c>
      <c r="CS54" s="88">
        <f t="shared" si="90"/>
        <v>62.001462087725272</v>
      </c>
      <c r="CT54" s="88">
        <f t="shared" si="91"/>
        <v>405.61079999999998</v>
      </c>
      <c r="CU54" s="88">
        <f t="shared" si="92"/>
        <v>18.234630000000003</v>
      </c>
      <c r="CV54" s="1182">
        <v>1773</v>
      </c>
      <c r="CW54" s="1177">
        <v>82.6</v>
      </c>
      <c r="CX54" s="1178">
        <v>287</v>
      </c>
      <c r="CY54" s="1178">
        <v>4.4299999999999988</v>
      </c>
      <c r="CZ54" s="1178">
        <v>112</v>
      </c>
      <c r="DA54" s="1178">
        <v>65.5</v>
      </c>
      <c r="DB54" s="88">
        <f t="shared" si="93"/>
        <v>62.519163763066224</v>
      </c>
      <c r="DC54" s="88">
        <f t="shared" si="94"/>
        <v>378.721</v>
      </c>
      <c r="DD54" s="88">
        <f t="shared" si="95"/>
        <v>17.943000000000008</v>
      </c>
      <c r="DE54" s="1182">
        <v>1960</v>
      </c>
    </row>
    <row r="55" spans="1:109" ht="15" x14ac:dyDescent="0.2">
      <c r="A55" s="96">
        <f t="shared" si="60"/>
        <v>67</v>
      </c>
      <c r="B55" s="1177">
        <v>74</v>
      </c>
      <c r="C55" s="1178">
        <v>275</v>
      </c>
      <c r="D55" s="1178">
        <v>4.7047047047047048</v>
      </c>
      <c r="E55" s="1178">
        <v>117</v>
      </c>
      <c r="F55" s="1178">
        <v>63.6</v>
      </c>
      <c r="G55" s="88">
        <f t="shared" si="61"/>
        <v>60.129818181818173</v>
      </c>
      <c r="H55" s="88">
        <f t="shared" si="59"/>
        <v>329.44799999999998</v>
      </c>
      <c r="I55" s="88">
        <f t="shared" si="62"/>
        <v>16.535699999999999</v>
      </c>
      <c r="J55" s="1182">
        <v>1732</v>
      </c>
      <c r="K55" s="1177">
        <v>87.2</v>
      </c>
      <c r="L55" s="1178">
        <v>299</v>
      </c>
      <c r="M55" s="1178">
        <v>4.7047047047047048</v>
      </c>
      <c r="N55" s="1178">
        <v>118</v>
      </c>
      <c r="O55" s="1178">
        <v>64.400000000000006</v>
      </c>
      <c r="P55" s="88">
        <f t="shared" si="63"/>
        <v>62.644053177257518</v>
      </c>
      <c r="Q55" s="88">
        <f t="shared" si="64"/>
        <v>393.09760000000006</v>
      </c>
      <c r="R55" s="88">
        <f t="shared" si="65"/>
        <v>18.730571899999997</v>
      </c>
      <c r="S55" s="1182">
        <v>1964</v>
      </c>
      <c r="T55" s="1177">
        <v>78</v>
      </c>
      <c r="U55" s="1178">
        <v>280</v>
      </c>
      <c r="V55" s="1178">
        <v>4.8</v>
      </c>
      <c r="W55" s="1178">
        <v>126</v>
      </c>
      <c r="X55" s="1178">
        <v>64.5</v>
      </c>
      <c r="Y55" s="88">
        <f t="shared" si="66"/>
        <v>60.959642857142846</v>
      </c>
      <c r="Z55" s="88">
        <f t="shared" si="67"/>
        <v>352.17</v>
      </c>
      <c r="AA55" s="88">
        <f t="shared" si="68"/>
        <v>17.0687</v>
      </c>
      <c r="AB55" s="1182">
        <v>2235</v>
      </c>
      <c r="AC55" s="1177">
        <v>80.5</v>
      </c>
      <c r="AD55" s="1178">
        <v>293</v>
      </c>
      <c r="AE55" s="1178">
        <f>AE54+0.1</f>
        <v>3.4000000000000004</v>
      </c>
      <c r="AF55" s="1178">
        <v>115</v>
      </c>
      <c r="AG55" s="1178">
        <v>65.400000000000006</v>
      </c>
      <c r="AH55" s="88">
        <f t="shared" si="69"/>
        <v>63.01638225255973</v>
      </c>
      <c r="AI55" s="88">
        <f t="shared" si="70"/>
        <v>368.52900000000005</v>
      </c>
      <c r="AJ55" s="88">
        <f t="shared" si="71"/>
        <v>18.463799999999999</v>
      </c>
      <c r="AK55" s="1182">
        <v>1961</v>
      </c>
      <c r="AL55" s="1177">
        <v>86.8</v>
      </c>
      <c r="AM55" s="1178">
        <v>299</v>
      </c>
      <c r="AN55" s="1178">
        <f>AN54+0.1</f>
        <v>3.4000000000000004</v>
      </c>
      <c r="AO55" s="1178">
        <v>110</v>
      </c>
      <c r="AP55" s="1178">
        <v>63.9</v>
      </c>
      <c r="AQ55" s="88">
        <f t="shared" si="72"/>
        <v>60.636454849498342</v>
      </c>
      <c r="AR55" s="88">
        <f t="shared" si="73"/>
        <v>388.25639999999999</v>
      </c>
      <c r="AS55" s="88">
        <f t="shared" si="74"/>
        <v>18.130300000000005</v>
      </c>
      <c r="AT55" s="1182">
        <v>1703</v>
      </c>
      <c r="AU55" s="1177">
        <v>85.1</v>
      </c>
      <c r="AV55" s="1178">
        <v>297.89999999999998</v>
      </c>
      <c r="AW55" s="1178">
        <v>4.7</v>
      </c>
      <c r="AX55" s="1178">
        <v>109</v>
      </c>
      <c r="AY55" s="1178">
        <v>66.099999999999994</v>
      </c>
      <c r="AZ55" s="88">
        <f t="shared" si="75"/>
        <v>62.631487076200074</v>
      </c>
      <c r="BA55" s="88">
        <f t="shared" si="76"/>
        <v>393.75769999999994</v>
      </c>
      <c r="BB55" s="88">
        <f t="shared" si="77"/>
        <v>18.657920000000001</v>
      </c>
      <c r="BC55" s="1182">
        <v>2023</v>
      </c>
      <c r="BD55" s="1177">
        <v>88.6</v>
      </c>
      <c r="BE55" s="1178">
        <v>308.10000000000002</v>
      </c>
      <c r="BF55" s="1178">
        <v>3.0799999999999956</v>
      </c>
      <c r="BG55" s="1178">
        <v>116</v>
      </c>
      <c r="BH55" s="1178">
        <v>64.7</v>
      </c>
      <c r="BI55" s="88">
        <f t="shared" si="78"/>
        <v>62.369685167153534</v>
      </c>
      <c r="BJ55" s="88">
        <f t="shared" si="79"/>
        <v>401.26939999999996</v>
      </c>
      <c r="BK55" s="88">
        <f t="shared" si="80"/>
        <v>19.216100000000008</v>
      </c>
      <c r="BL55" s="1182">
        <v>2100</v>
      </c>
      <c r="BM55" s="1177">
        <v>85</v>
      </c>
      <c r="BN55" s="1178">
        <v>296.35000000000002</v>
      </c>
      <c r="BO55" s="1178">
        <v>4.2</v>
      </c>
      <c r="BP55" s="1178">
        <v>108.5</v>
      </c>
      <c r="BQ55" s="1178">
        <v>64</v>
      </c>
      <c r="BR55" s="88">
        <f t="shared" si="81"/>
        <v>60.288510207524894</v>
      </c>
      <c r="BS55" s="88">
        <f t="shared" si="82"/>
        <v>380.8</v>
      </c>
      <c r="BT55" s="88">
        <f t="shared" si="83"/>
        <v>17.866500000000002</v>
      </c>
      <c r="BU55" s="1182">
        <v>1675</v>
      </c>
      <c r="BV55" s="1177">
        <v>87.1</v>
      </c>
      <c r="BW55" s="1178">
        <v>301</v>
      </c>
      <c r="BX55" s="1178">
        <v>4.4000000000000021</v>
      </c>
      <c r="BY55" s="1178">
        <v>115</v>
      </c>
      <c r="BZ55" s="1178">
        <v>64</v>
      </c>
      <c r="CA55" s="88">
        <f t="shared" si="84"/>
        <v>62.11727574750828</v>
      </c>
      <c r="CB55" s="88">
        <f t="shared" si="85"/>
        <v>390.20799999999997</v>
      </c>
      <c r="CC55" s="88">
        <f t="shared" si="86"/>
        <v>18.697299999999991</v>
      </c>
      <c r="CD55" s="1182">
        <v>1925</v>
      </c>
      <c r="CE55" s="1177">
        <v>85.7</v>
      </c>
      <c r="CF55" s="1178">
        <v>295.60000000000002</v>
      </c>
      <c r="CG55" s="1178">
        <v>4.5299999999999949</v>
      </c>
      <c r="CH55" s="1178">
        <v>115</v>
      </c>
      <c r="CI55" s="1178">
        <v>66.8</v>
      </c>
      <c r="CJ55" s="88">
        <f t="shared" si="87"/>
        <v>63.392354533152897</v>
      </c>
      <c r="CK55" s="88">
        <f t="shared" si="88"/>
        <v>400.73319999999995</v>
      </c>
      <c r="CL55" s="88">
        <f t="shared" si="89"/>
        <v>18.738779999999998</v>
      </c>
      <c r="CM55" s="1182">
        <v>2014</v>
      </c>
      <c r="CN55" s="1177">
        <v>88.2</v>
      </c>
      <c r="CO55" s="1178">
        <v>300.10000000000002</v>
      </c>
      <c r="CP55" s="1178">
        <v>4.5299999999999949</v>
      </c>
      <c r="CQ55" s="1178">
        <v>105</v>
      </c>
      <c r="CR55" s="1178">
        <v>65.5</v>
      </c>
      <c r="CS55" s="88">
        <f t="shared" si="90"/>
        <v>62.071409530156629</v>
      </c>
      <c r="CT55" s="88">
        <f t="shared" si="91"/>
        <v>404.39700000000005</v>
      </c>
      <c r="CU55" s="88">
        <f t="shared" si="92"/>
        <v>18.627630000000007</v>
      </c>
      <c r="CV55" s="1182">
        <v>1774</v>
      </c>
      <c r="CW55" s="1177">
        <v>82.1</v>
      </c>
      <c r="CX55" s="1178">
        <v>292</v>
      </c>
      <c r="CY55" s="1178">
        <v>4.5299999999999985</v>
      </c>
      <c r="CZ55" s="1178">
        <v>112</v>
      </c>
      <c r="DA55" s="1178">
        <v>65.599999999999994</v>
      </c>
      <c r="DB55" s="88">
        <f t="shared" si="93"/>
        <v>62.571917808219197</v>
      </c>
      <c r="DC55" s="88">
        <f t="shared" si="94"/>
        <v>377.00319999999994</v>
      </c>
      <c r="DD55" s="88">
        <f t="shared" si="95"/>
        <v>18.271000000000008</v>
      </c>
      <c r="DE55" s="1182">
        <v>1961</v>
      </c>
    </row>
    <row r="56" spans="1:109" ht="15" x14ac:dyDescent="0.2">
      <c r="A56" s="96">
        <f t="shared" si="60"/>
        <v>68</v>
      </c>
      <c r="B56" s="1177">
        <v>73.3</v>
      </c>
      <c r="C56" s="1178">
        <v>280</v>
      </c>
      <c r="D56" s="1178">
        <v>4.8048048048048049</v>
      </c>
      <c r="E56" s="1178">
        <v>117</v>
      </c>
      <c r="F56" s="1178">
        <v>63.7</v>
      </c>
      <c r="G56" s="88">
        <f t="shared" si="61"/>
        <v>60.193571428571424</v>
      </c>
      <c r="H56" s="88">
        <f t="shared" si="59"/>
        <v>326.84470000000005</v>
      </c>
      <c r="I56" s="88">
        <f t="shared" si="62"/>
        <v>16.854199999999999</v>
      </c>
      <c r="J56" s="1182">
        <v>1733</v>
      </c>
      <c r="K56" s="1177">
        <v>86.8</v>
      </c>
      <c r="L56" s="1178">
        <v>305</v>
      </c>
      <c r="M56" s="1178">
        <v>4.8048048048048049</v>
      </c>
      <c r="N56" s="1178">
        <v>118</v>
      </c>
      <c r="O56" s="1178">
        <v>64.400000000000006</v>
      </c>
      <c r="P56" s="88">
        <f t="shared" si="63"/>
        <v>62.678596393442618</v>
      </c>
      <c r="Q56" s="88">
        <f t="shared" si="64"/>
        <v>391.2944</v>
      </c>
      <c r="R56" s="88">
        <f t="shared" si="65"/>
        <v>19.116971899999996</v>
      </c>
      <c r="S56" s="1182">
        <v>1966</v>
      </c>
      <c r="T56" s="1177">
        <v>77</v>
      </c>
      <c r="U56" s="1178">
        <v>285</v>
      </c>
      <c r="V56" s="1178">
        <v>4.9000000000000004</v>
      </c>
      <c r="W56" s="1178">
        <v>126</v>
      </c>
      <c r="X56" s="1178">
        <v>64.599999999999994</v>
      </c>
      <c r="Y56" s="88">
        <f t="shared" si="66"/>
        <v>61.023508771929812</v>
      </c>
      <c r="Z56" s="88">
        <f t="shared" si="67"/>
        <v>348.19400000000002</v>
      </c>
      <c r="AA56" s="88">
        <f t="shared" si="68"/>
        <v>17.391699999999997</v>
      </c>
      <c r="AB56" s="1182">
        <v>2240</v>
      </c>
      <c r="AC56" s="1177">
        <v>80</v>
      </c>
      <c r="AD56" s="1178">
        <v>298</v>
      </c>
      <c r="AE56" s="1178">
        <v>3.5</v>
      </c>
      <c r="AF56" s="1178">
        <v>116</v>
      </c>
      <c r="AG56" s="1178">
        <v>65.400000000000006</v>
      </c>
      <c r="AH56" s="88">
        <f t="shared" si="69"/>
        <v>63.056375838926172</v>
      </c>
      <c r="AI56" s="88">
        <f t="shared" si="70"/>
        <v>366.24000000000007</v>
      </c>
      <c r="AJ56" s="88">
        <f t="shared" si="71"/>
        <v>18.790800000000001</v>
      </c>
      <c r="AK56" s="1182">
        <v>1962</v>
      </c>
      <c r="AL56" s="1177">
        <v>86.4</v>
      </c>
      <c r="AM56" s="1178">
        <v>305</v>
      </c>
      <c r="AN56" s="1178">
        <v>3.5</v>
      </c>
      <c r="AO56" s="1178">
        <v>110</v>
      </c>
      <c r="AP56" s="1178">
        <v>64</v>
      </c>
      <c r="AQ56" s="88">
        <f t="shared" si="72"/>
        <v>60.702622950819681</v>
      </c>
      <c r="AR56" s="88">
        <f t="shared" si="73"/>
        <v>387.07200000000006</v>
      </c>
      <c r="AS56" s="88">
        <f t="shared" si="74"/>
        <v>18.514300000000002</v>
      </c>
      <c r="AT56" s="1182">
        <v>1703</v>
      </c>
      <c r="AU56" s="1177">
        <v>84.6</v>
      </c>
      <c r="AV56" s="1178">
        <v>303.5</v>
      </c>
      <c r="AW56" s="1178">
        <v>4.7999999999999883</v>
      </c>
      <c r="AX56" s="1178">
        <v>109</v>
      </c>
      <c r="AY56" s="1178">
        <v>66.2</v>
      </c>
      <c r="AZ56" s="88">
        <f t="shared" si="75"/>
        <v>62.697331136738072</v>
      </c>
      <c r="BA56" s="88">
        <f t="shared" si="76"/>
        <v>392.03640000000001</v>
      </c>
      <c r="BB56" s="88">
        <f t="shared" si="77"/>
        <v>19.028640000000003</v>
      </c>
      <c r="BC56" s="1182">
        <v>2025</v>
      </c>
      <c r="BD56" s="1177">
        <v>88.3</v>
      </c>
      <c r="BE56" s="1178">
        <v>314.10000000000002</v>
      </c>
      <c r="BF56" s="1178">
        <v>3.1399999999999975</v>
      </c>
      <c r="BG56" s="1178">
        <v>116</v>
      </c>
      <c r="BH56" s="1178">
        <v>64.7</v>
      </c>
      <c r="BI56" s="88">
        <f t="shared" si="78"/>
        <v>62.41419929958613</v>
      </c>
      <c r="BJ56" s="88">
        <f t="shared" si="79"/>
        <v>399.91070000000002</v>
      </c>
      <c r="BK56" s="88">
        <f t="shared" si="80"/>
        <v>19.604300000000006</v>
      </c>
      <c r="BL56" s="1182">
        <v>2100</v>
      </c>
      <c r="BM56" s="1177">
        <v>85</v>
      </c>
      <c r="BN56" s="1178">
        <v>302.05</v>
      </c>
      <c r="BO56" s="1178">
        <v>4.3</v>
      </c>
      <c r="BP56" s="1178">
        <v>108.5</v>
      </c>
      <c r="BQ56" s="1178">
        <v>64</v>
      </c>
      <c r="BR56" s="88">
        <f t="shared" si="81"/>
        <v>60.358549908955474</v>
      </c>
      <c r="BS56" s="88">
        <f t="shared" si="82"/>
        <v>380.8</v>
      </c>
      <c r="BT56" s="88">
        <f t="shared" si="83"/>
        <v>18.231300000000001</v>
      </c>
      <c r="BU56" s="1182">
        <v>1675</v>
      </c>
      <c r="BV56" s="1177">
        <v>86.7</v>
      </c>
      <c r="BW56" s="1178">
        <v>307</v>
      </c>
      <c r="BX56" s="1178">
        <v>4.5000000000000036</v>
      </c>
      <c r="BY56" s="1178">
        <v>115</v>
      </c>
      <c r="BZ56" s="1178">
        <v>64.099999999999994</v>
      </c>
      <c r="CA56" s="88">
        <f t="shared" si="84"/>
        <v>62.156026058631895</v>
      </c>
      <c r="CB56" s="88">
        <f t="shared" si="85"/>
        <v>389.02289999999994</v>
      </c>
      <c r="CC56" s="88">
        <f t="shared" si="86"/>
        <v>19.08189999999999</v>
      </c>
      <c r="CD56" s="1182">
        <v>1925</v>
      </c>
      <c r="CE56" s="1177">
        <v>85.3</v>
      </c>
      <c r="CF56" s="1178">
        <v>301.3</v>
      </c>
      <c r="CG56" s="1178">
        <v>4.6299999999999955</v>
      </c>
      <c r="CH56" s="1178">
        <v>115</v>
      </c>
      <c r="CI56" s="1178">
        <v>66.900000000000006</v>
      </c>
      <c r="CJ56" s="88">
        <f t="shared" si="87"/>
        <v>63.458712246929963</v>
      </c>
      <c r="CK56" s="88">
        <f t="shared" si="88"/>
        <v>399.45990000000006</v>
      </c>
      <c r="CL56" s="88">
        <f t="shared" si="89"/>
        <v>19.120109999999997</v>
      </c>
      <c r="CM56" s="1182">
        <v>2016</v>
      </c>
      <c r="CN56" s="1177">
        <v>87.8</v>
      </c>
      <c r="CO56" s="1178">
        <v>306</v>
      </c>
      <c r="CP56" s="1178">
        <v>4.6299999999999955</v>
      </c>
      <c r="CQ56" s="1178">
        <v>105</v>
      </c>
      <c r="CR56" s="1178">
        <v>65.5</v>
      </c>
      <c r="CS56" s="88">
        <f t="shared" si="90"/>
        <v>62.137516339869293</v>
      </c>
      <c r="CT56" s="88">
        <f t="shared" si="91"/>
        <v>402.56299999999999</v>
      </c>
      <c r="CU56" s="88">
        <f t="shared" si="92"/>
        <v>19.014080000000003</v>
      </c>
      <c r="CV56" s="1182">
        <v>1775</v>
      </c>
      <c r="CW56" s="1177">
        <v>81.599999999999994</v>
      </c>
      <c r="CX56" s="1178">
        <v>298</v>
      </c>
      <c r="CY56" s="1178">
        <v>4.6299999999999981</v>
      </c>
      <c r="CZ56" s="1178">
        <v>112</v>
      </c>
      <c r="DA56" s="1178">
        <v>65.599999999999994</v>
      </c>
      <c r="DB56" s="88">
        <f t="shared" si="93"/>
        <v>62.632885906040293</v>
      </c>
      <c r="DC56" s="88">
        <f t="shared" si="94"/>
        <v>374.70719999999994</v>
      </c>
      <c r="DD56" s="88">
        <f t="shared" si="95"/>
        <v>18.664600000000007</v>
      </c>
      <c r="DE56" s="1182">
        <v>1962</v>
      </c>
    </row>
    <row r="57" spans="1:109" ht="15" x14ac:dyDescent="0.2">
      <c r="A57" s="96">
        <f t="shared" si="60"/>
        <v>69</v>
      </c>
      <c r="B57" s="1177">
        <v>72.599999999999994</v>
      </c>
      <c r="C57" s="1178">
        <v>285</v>
      </c>
      <c r="D57" s="1178">
        <v>4.9049049049049049</v>
      </c>
      <c r="E57" s="1178">
        <v>117</v>
      </c>
      <c r="F57" s="1178">
        <v>63.7</v>
      </c>
      <c r="G57" s="88">
        <f t="shared" si="61"/>
        <v>60.255087719298238</v>
      </c>
      <c r="H57" s="88">
        <f t="shared" si="59"/>
        <v>323.72340000000003</v>
      </c>
      <c r="I57" s="88">
        <f t="shared" si="62"/>
        <v>17.172699999999999</v>
      </c>
      <c r="J57" s="1182">
        <v>1734</v>
      </c>
      <c r="K57" s="1177">
        <v>86.4</v>
      </c>
      <c r="L57" s="1178">
        <v>311</v>
      </c>
      <c r="M57" s="1178">
        <v>4.9049049049049049</v>
      </c>
      <c r="N57" s="1178">
        <v>118</v>
      </c>
      <c r="O57" s="1178">
        <v>64.5</v>
      </c>
      <c r="P57" s="88">
        <f t="shared" si="63"/>
        <v>62.713736012861723</v>
      </c>
      <c r="Q57" s="88">
        <f t="shared" si="64"/>
        <v>390.09600000000006</v>
      </c>
      <c r="R57" s="88">
        <f t="shared" si="65"/>
        <v>19.503971899999996</v>
      </c>
      <c r="S57" s="1182">
        <v>1968</v>
      </c>
      <c r="T57" s="1177">
        <v>77</v>
      </c>
      <c r="U57" s="1178">
        <v>290</v>
      </c>
      <c r="V57" s="1178">
        <v>5</v>
      </c>
      <c r="W57" s="1178">
        <v>126</v>
      </c>
      <c r="X57" s="1178">
        <v>64.7</v>
      </c>
      <c r="Y57" s="88">
        <f t="shared" si="66"/>
        <v>61.086896551724124</v>
      </c>
      <c r="Z57" s="88">
        <f t="shared" si="67"/>
        <v>348.73300000000006</v>
      </c>
      <c r="AA57" s="88">
        <f t="shared" si="68"/>
        <v>17.715199999999996</v>
      </c>
      <c r="AB57" s="1182">
        <v>2245</v>
      </c>
      <c r="AC57" s="1177">
        <v>79.5</v>
      </c>
      <c r="AD57" s="1178">
        <v>303</v>
      </c>
      <c r="AE57" s="1178">
        <v>3.7</v>
      </c>
      <c r="AF57" s="1178">
        <v>116</v>
      </c>
      <c r="AG57" s="1178">
        <v>65.5</v>
      </c>
      <c r="AH57" s="88">
        <f t="shared" si="69"/>
        <v>63.096699669966995</v>
      </c>
      <c r="AI57" s="88">
        <f t="shared" si="70"/>
        <v>364.50750000000005</v>
      </c>
      <c r="AJ57" s="88">
        <f t="shared" si="71"/>
        <v>19.118300000000001</v>
      </c>
      <c r="AK57" s="1182">
        <v>1963</v>
      </c>
      <c r="AL57" s="1177">
        <v>86.1</v>
      </c>
      <c r="AM57" s="1178">
        <v>311</v>
      </c>
      <c r="AN57" s="1178">
        <v>3.7</v>
      </c>
      <c r="AO57" s="1178">
        <v>110</v>
      </c>
      <c r="AP57" s="1178">
        <v>64.099999999999994</v>
      </c>
      <c r="AQ57" s="88">
        <f t="shared" si="72"/>
        <v>60.768167202572357</v>
      </c>
      <c r="AR57" s="88">
        <f t="shared" si="73"/>
        <v>386.33069999999998</v>
      </c>
      <c r="AS57" s="88">
        <f t="shared" si="74"/>
        <v>18.898900000000001</v>
      </c>
      <c r="AT57" s="1182">
        <v>1704</v>
      </c>
      <c r="AU57" s="1177">
        <v>84</v>
      </c>
      <c r="AV57" s="1178">
        <v>309.10000000000002</v>
      </c>
      <c r="AW57" s="1178">
        <v>4.9000000000000004</v>
      </c>
      <c r="AX57" s="1178">
        <v>109</v>
      </c>
      <c r="AY57" s="1178">
        <v>66.3</v>
      </c>
      <c r="AZ57" s="88">
        <f t="shared" si="75"/>
        <v>62.762601099967661</v>
      </c>
      <c r="BA57" s="88">
        <f t="shared" si="76"/>
        <v>389.84399999999999</v>
      </c>
      <c r="BB57" s="88">
        <f t="shared" si="77"/>
        <v>19.399920000000005</v>
      </c>
      <c r="BC57" s="1182">
        <v>2027</v>
      </c>
      <c r="BD57" s="1177">
        <v>88</v>
      </c>
      <c r="BE57" s="1178">
        <v>320.10000000000002</v>
      </c>
      <c r="BF57" s="1178">
        <v>3.2</v>
      </c>
      <c r="BG57" s="1178">
        <v>116</v>
      </c>
      <c r="BH57" s="1178">
        <v>64.8</v>
      </c>
      <c r="BI57" s="88">
        <f t="shared" si="78"/>
        <v>62.458919087785084</v>
      </c>
      <c r="BJ57" s="88">
        <f t="shared" si="79"/>
        <v>399.16800000000001</v>
      </c>
      <c r="BK57" s="88">
        <f t="shared" si="80"/>
        <v>19.993100000000005</v>
      </c>
      <c r="BL57" s="1182">
        <v>2100</v>
      </c>
      <c r="BM57" s="1177">
        <v>84</v>
      </c>
      <c r="BN57" s="1178">
        <v>307.64999999999998</v>
      </c>
      <c r="BO57" s="1178">
        <v>4.4000000000000004</v>
      </c>
      <c r="BP57" s="1178">
        <v>108.5</v>
      </c>
      <c r="BQ57" s="1178">
        <v>64</v>
      </c>
      <c r="BR57" s="88">
        <f t="shared" si="81"/>
        <v>60.424833414594509</v>
      </c>
      <c r="BS57" s="88">
        <f t="shared" si="82"/>
        <v>376.32</v>
      </c>
      <c r="BT57" s="88">
        <f t="shared" si="83"/>
        <v>18.589700000000001</v>
      </c>
      <c r="BU57" s="1182">
        <v>1675</v>
      </c>
      <c r="BV57" s="1177">
        <v>86.2</v>
      </c>
      <c r="BW57" s="1178">
        <v>313</v>
      </c>
      <c r="BX57" s="1178">
        <v>4.5999999999999952</v>
      </c>
      <c r="BY57" s="1178">
        <v>115</v>
      </c>
      <c r="BZ57" s="1178">
        <v>64.099999999999994</v>
      </c>
      <c r="CA57" s="88">
        <f t="shared" si="84"/>
        <v>62.193290734824252</v>
      </c>
      <c r="CB57" s="88">
        <f t="shared" si="85"/>
        <v>386.77939999999995</v>
      </c>
      <c r="CC57" s="88">
        <f t="shared" si="86"/>
        <v>19.466499999999989</v>
      </c>
      <c r="CD57" s="1182">
        <v>1925</v>
      </c>
      <c r="CE57" s="1177">
        <v>84.9</v>
      </c>
      <c r="CF57" s="1178">
        <v>307</v>
      </c>
      <c r="CG57" s="1178">
        <v>4.7299999999999951</v>
      </c>
      <c r="CH57" s="1178">
        <v>115</v>
      </c>
      <c r="CI57" s="1178">
        <v>66.900000000000006</v>
      </c>
      <c r="CJ57" s="88">
        <f t="shared" si="87"/>
        <v>63.522605863192169</v>
      </c>
      <c r="CK57" s="88">
        <f t="shared" si="88"/>
        <v>397.58670000000006</v>
      </c>
      <c r="CL57" s="88">
        <f t="shared" si="89"/>
        <v>19.501439999999995</v>
      </c>
      <c r="CM57" s="1182">
        <v>2019</v>
      </c>
      <c r="CN57" s="1177">
        <v>87.4</v>
      </c>
      <c r="CO57" s="1178">
        <v>311.89999999999998</v>
      </c>
      <c r="CP57" s="1178">
        <v>4.7299999999999951</v>
      </c>
      <c r="CQ57" s="1178">
        <v>105</v>
      </c>
      <c r="CR57" s="1178">
        <v>65.599999999999994</v>
      </c>
      <c r="CS57" s="88">
        <f t="shared" si="90"/>
        <v>62.203013786470045</v>
      </c>
      <c r="CT57" s="88">
        <f t="shared" si="91"/>
        <v>401.3408</v>
      </c>
      <c r="CU57" s="88">
        <f t="shared" si="92"/>
        <v>19.401120000000006</v>
      </c>
      <c r="CV57" s="1182">
        <v>1776</v>
      </c>
      <c r="CW57" s="1177">
        <v>81.099999999999994</v>
      </c>
      <c r="CX57" s="1178">
        <v>303</v>
      </c>
      <c r="CY57" s="1178">
        <v>4.7299999999999978</v>
      </c>
      <c r="CZ57" s="1178">
        <v>112</v>
      </c>
      <c r="DA57" s="1178">
        <v>65.7</v>
      </c>
      <c r="DB57" s="88">
        <f t="shared" si="93"/>
        <v>62.683498349835006</v>
      </c>
      <c r="DC57" s="88">
        <f t="shared" si="94"/>
        <v>372.97890000000001</v>
      </c>
      <c r="DD57" s="88">
        <f t="shared" si="95"/>
        <v>18.993100000000005</v>
      </c>
      <c r="DE57" s="1182">
        <v>1963</v>
      </c>
    </row>
    <row r="58" spans="1:109" ht="15" x14ac:dyDescent="0.2">
      <c r="A58" s="96">
        <f t="shared" si="60"/>
        <v>70</v>
      </c>
      <c r="B58" s="1177">
        <v>71.900000000000006</v>
      </c>
      <c r="C58" s="1178">
        <v>290</v>
      </c>
      <c r="D58" s="1178">
        <v>5.005005005005005</v>
      </c>
      <c r="E58" s="1178">
        <v>117</v>
      </c>
      <c r="F58" s="1178">
        <v>63.7</v>
      </c>
      <c r="G58" s="88">
        <f t="shared" si="61"/>
        <v>60.314482758620677</v>
      </c>
      <c r="H58" s="88">
        <f t="shared" si="59"/>
        <v>320.60210000000006</v>
      </c>
      <c r="I58" s="88">
        <f t="shared" si="62"/>
        <v>17.491199999999996</v>
      </c>
      <c r="J58" s="1182">
        <v>1735</v>
      </c>
      <c r="K58" s="1177">
        <v>86.1</v>
      </c>
      <c r="L58" s="1178">
        <v>316</v>
      </c>
      <c r="M58" s="1178">
        <v>5.005005005005005</v>
      </c>
      <c r="N58" s="1178">
        <v>118</v>
      </c>
      <c r="O58" s="1178">
        <v>64.5</v>
      </c>
      <c r="P58" s="88">
        <f t="shared" si="63"/>
        <v>62.741999683544293</v>
      </c>
      <c r="Q58" s="88">
        <f t="shared" si="64"/>
        <v>388.74150000000003</v>
      </c>
      <c r="R58" s="88">
        <f t="shared" si="65"/>
        <v>19.826471899999998</v>
      </c>
      <c r="S58" s="1182">
        <v>1970</v>
      </c>
      <c r="T58" s="1177">
        <v>76</v>
      </c>
      <c r="U58" s="1178">
        <v>296</v>
      </c>
      <c r="V58" s="1178">
        <v>5.0999999999999996</v>
      </c>
      <c r="W58" s="1178">
        <v>126</v>
      </c>
      <c r="X58" s="1178">
        <v>64.8</v>
      </c>
      <c r="Y58" s="88">
        <f t="shared" si="66"/>
        <v>61.162162162162154</v>
      </c>
      <c r="Z58" s="88">
        <f t="shared" si="67"/>
        <v>344.73599999999999</v>
      </c>
      <c r="AA58" s="88">
        <f t="shared" si="68"/>
        <v>18.103999999999996</v>
      </c>
      <c r="AB58" s="1182">
        <v>2250</v>
      </c>
      <c r="AC58" s="1177">
        <v>79</v>
      </c>
      <c r="AD58" s="1178">
        <v>309</v>
      </c>
      <c r="AE58" s="1178">
        <f>AE57+0.1</f>
        <v>3.8000000000000003</v>
      </c>
      <c r="AF58" s="1178">
        <v>116</v>
      </c>
      <c r="AG58" s="1178">
        <v>65.5</v>
      </c>
      <c r="AH58" s="88">
        <f t="shared" si="69"/>
        <v>63.14336569579288</v>
      </c>
      <c r="AI58" s="88">
        <f t="shared" si="70"/>
        <v>362.21500000000003</v>
      </c>
      <c r="AJ58" s="88">
        <f t="shared" si="71"/>
        <v>19.511299999999999</v>
      </c>
      <c r="AK58" s="1182">
        <v>1964</v>
      </c>
      <c r="AL58" s="1177">
        <v>85.8</v>
      </c>
      <c r="AM58" s="1178">
        <v>316</v>
      </c>
      <c r="AN58" s="1178">
        <f>AN57+0.1</f>
        <v>3.8000000000000003</v>
      </c>
      <c r="AO58" s="1178">
        <v>110</v>
      </c>
      <c r="AP58" s="1178">
        <v>64.2</v>
      </c>
      <c r="AQ58" s="88">
        <f t="shared" si="72"/>
        <v>60.822468354430384</v>
      </c>
      <c r="AR58" s="88">
        <f t="shared" si="73"/>
        <v>385.58520000000004</v>
      </c>
      <c r="AS58" s="88">
        <f t="shared" si="74"/>
        <v>19.219900000000003</v>
      </c>
      <c r="AT58" s="1182">
        <v>1704</v>
      </c>
      <c r="AU58" s="1177">
        <v>83.4</v>
      </c>
      <c r="AV58" s="1178">
        <v>314.60000000000002</v>
      </c>
      <c r="AW58" s="1178">
        <v>5</v>
      </c>
      <c r="AX58" s="1178">
        <v>109</v>
      </c>
      <c r="AY58" s="1178">
        <v>66.400000000000006</v>
      </c>
      <c r="AZ58" s="88">
        <f t="shared" si="75"/>
        <v>62.826191989828367</v>
      </c>
      <c r="BA58" s="88">
        <f t="shared" si="76"/>
        <v>387.64320000000009</v>
      </c>
      <c r="BB58" s="88">
        <f t="shared" si="77"/>
        <v>19.765120000000007</v>
      </c>
      <c r="BC58" s="1182">
        <v>2029</v>
      </c>
      <c r="BD58" s="1177">
        <v>87.6</v>
      </c>
      <c r="BE58" s="1178">
        <v>326</v>
      </c>
      <c r="BF58" s="1178">
        <v>3.3000000000000003</v>
      </c>
      <c r="BG58" s="1178">
        <v>116</v>
      </c>
      <c r="BH58" s="1178">
        <v>64.8</v>
      </c>
      <c r="BI58" s="88">
        <f t="shared" si="78"/>
        <v>62.501288343558301</v>
      </c>
      <c r="BJ58" s="88">
        <f t="shared" si="79"/>
        <v>397.35359999999997</v>
      </c>
      <c r="BK58" s="88">
        <f t="shared" si="80"/>
        <v>20.375420000000005</v>
      </c>
      <c r="BL58" s="1182">
        <v>2100</v>
      </c>
      <c r="BM58" s="1177">
        <v>84</v>
      </c>
      <c r="BN58" s="1178">
        <v>313.25</v>
      </c>
      <c r="BO58" s="1178">
        <v>4.5</v>
      </c>
      <c r="BP58" s="1178">
        <v>107.5</v>
      </c>
      <c r="BQ58" s="1178">
        <v>64</v>
      </c>
      <c r="BR58" s="88">
        <f t="shared" si="81"/>
        <v>60.488747007182766</v>
      </c>
      <c r="BS58" s="88">
        <f t="shared" si="82"/>
        <v>376.32</v>
      </c>
      <c r="BT58" s="88">
        <f t="shared" si="83"/>
        <v>18.948100000000004</v>
      </c>
      <c r="BU58" s="1182">
        <v>1680.0000000000002</v>
      </c>
      <c r="BV58" s="1177">
        <v>85.8</v>
      </c>
      <c r="BW58" s="1178">
        <v>319</v>
      </c>
      <c r="BX58" s="1178">
        <v>4.6999999999999975</v>
      </c>
      <c r="BY58" s="1178">
        <v>115</v>
      </c>
      <c r="BZ58" s="1178">
        <v>64.099999999999994</v>
      </c>
      <c r="CA58" s="88">
        <f t="shared" si="84"/>
        <v>62.229153605015654</v>
      </c>
      <c r="CB58" s="88">
        <f t="shared" si="85"/>
        <v>384.9846</v>
      </c>
      <c r="CC58" s="88">
        <f t="shared" si="86"/>
        <v>19.851099999999992</v>
      </c>
      <c r="CD58" s="1182">
        <v>1925</v>
      </c>
      <c r="CE58" s="1177">
        <v>84.4</v>
      </c>
      <c r="CF58" s="1178">
        <v>312.60000000000002</v>
      </c>
      <c r="CG58" s="1178">
        <v>4.8299999999999956</v>
      </c>
      <c r="CH58" s="1178">
        <v>115</v>
      </c>
      <c r="CI58" s="1178">
        <v>67</v>
      </c>
      <c r="CJ58" s="88">
        <f t="shared" si="87"/>
        <v>63.584900831733826</v>
      </c>
      <c r="CK58" s="88">
        <f t="shared" si="88"/>
        <v>395.83600000000001</v>
      </c>
      <c r="CL58" s="88">
        <f t="shared" si="89"/>
        <v>19.876639999999998</v>
      </c>
      <c r="CM58" s="1182">
        <v>2021</v>
      </c>
      <c r="CN58" s="1177">
        <v>86.9</v>
      </c>
      <c r="CO58" s="1178">
        <v>317.7</v>
      </c>
      <c r="CP58" s="1178">
        <v>4.8299999999999956</v>
      </c>
      <c r="CQ58" s="1178">
        <v>105</v>
      </c>
      <c r="CR58" s="1178">
        <v>65.599999999999994</v>
      </c>
      <c r="CS58" s="88">
        <f t="shared" si="90"/>
        <v>62.265029902423692</v>
      </c>
      <c r="CT58" s="88">
        <f t="shared" si="91"/>
        <v>399.04480000000001</v>
      </c>
      <c r="CU58" s="88">
        <f t="shared" si="92"/>
        <v>19.781600000000008</v>
      </c>
      <c r="CV58" s="1182">
        <v>1778</v>
      </c>
      <c r="CW58" s="1177">
        <v>80.599999999999994</v>
      </c>
      <c r="CX58" s="1178">
        <v>309</v>
      </c>
      <c r="CY58" s="1178">
        <v>4.8299999999999974</v>
      </c>
      <c r="CZ58" s="1178">
        <v>111</v>
      </c>
      <c r="DA58" s="1178">
        <v>65.7</v>
      </c>
      <c r="DB58" s="88">
        <f t="shared" si="93"/>
        <v>62.742071197411022</v>
      </c>
      <c r="DC58" s="88">
        <f t="shared" si="94"/>
        <v>370.67939999999999</v>
      </c>
      <c r="DD58" s="88">
        <f t="shared" si="95"/>
        <v>19.387300000000007</v>
      </c>
      <c r="DE58" s="1182">
        <v>1964</v>
      </c>
    </row>
    <row r="59" spans="1:109" ht="15" x14ac:dyDescent="0.2">
      <c r="A59" s="96">
        <f t="shared" si="60"/>
        <v>71</v>
      </c>
      <c r="B59" s="1177">
        <v>71.2</v>
      </c>
      <c r="C59" s="1178">
        <v>294</v>
      </c>
      <c r="D59" s="1178">
        <v>5.1051051051051051</v>
      </c>
      <c r="E59" s="1178">
        <v>117</v>
      </c>
      <c r="F59" s="1178">
        <v>63.7</v>
      </c>
      <c r="G59" s="88">
        <f t="shared" si="61"/>
        <v>60.360544217687064</v>
      </c>
      <c r="H59" s="88">
        <f t="shared" si="59"/>
        <v>317.48080000000004</v>
      </c>
      <c r="I59" s="88">
        <f t="shared" si="62"/>
        <v>17.745999999999995</v>
      </c>
      <c r="J59" s="1182">
        <v>1736</v>
      </c>
      <c r="K59" s="1177">
        <v>85.7</v>
      </c>
      <c r="L59" s="1178">
        <v>322</v>
      </c>
      <c r="M59" s="1178">
        <v>5.1051051051051051</v>
      </c>
      <c r="N59" s="1178">
        <v>118</v>
      </c>
      <c r="O59" s="1178">
        <v>64.5</v>
      </c>
      <c r="P59" s="88">
        <f t="shared" si="63"/>
        <v>62.774757453416136</v>
      </c>
      <c r="Q59" s="88">
        <f t="shared" si="64"/>
        <v>386.93549999999999</v>
      </c>
      <c r="R59" s="88">
        <f t="shared" si="65"/>
        <v>20.213471899999998</v>
      </c>
      <c r="S59" s="1182">
        <v>1972</v>
      </c>
      <c r="T59" s="1177">
        <v>76</v>
      </c>
      <c r="U59" s="1178">
        <v>301</v>
      </c>
      <c r="V59" s="1178">
        <v>5.2</v>
      </c>
      <c r="W59" s="1178">
        <v>126</v>
      </c>
      <c r="X59" s="1178">
        <v>64.900000000000006</v>
      </c>
      <c r="Y59" s="88">
        <f t="shared" si="66"/>
        <v>61.224252491694344</v>
      </c>
      <c r="Z59" s="88">
        <f t="shared" si="67"/>
        <v>345.26800000000003</v>
      </c>
      <c r="AA59" s="88">
        <f t="shared" si="68"/>
        <v>18.428499999999996</v>
      </c>
      <c r="AB59" s="1182">
        <v>2255</v>
      </c>
      <c r="AC59" s="1177">
        <v>78.5</v>
      </c>
      <c r="AD59" s="1178">
        <v>314</v>
      </c>
      <c r="AE59" s="1178">
        <f>AE58+0.1</f>
        <v>3.9000000000000004</v>
      </c>
      <c r="AF59" s="1178">
        <v>116</v>
      </c>
      <c r="AG59" s="1178">
        <v>65.5</v>
      </c>
      <c r="AH59" s="88">
        <f t="shared" si="69"/>
        <v>63.180891719745219</v>
      </c>
      <c r="AI59" s="88">
        <f t="shared" si="70"/>
        <v>359.92250000000001</v>
      </c>
      <c r="AJ59" s="88">
        <f t="shared" si="71"/>
        <v>19.838799999999999</v>
      </c>
      <c r="AK59" s="1182">
        <v>1965</v>
      </c>
      <c r="AL59" s="1177">
        <v>85.5</v>
      </c>
      <c r="AM59" s="1178">
        <v>322</v>
      </c>
      <c r="AN59" s="1178">
        <f>AN58+0.1</f>
        <v>3.9000000000000004</v>
      </c>
      <c r="AO59" s="1178">
        <v>110</v>
      </c>
      <c r="AP59" s="1178">
        <v>64.3</v>
      </c>
      <c r="AQ59" s="88">
        <f t="shared" si="72"/>
        <v>60.887267080745346</v>
      </c>
      <c r="AR59" s="88">
        <f t="shared" si="73"/>
        <v>384.83549999999997</v>
      </c>
      <c r="AS59" s="88">
        <f t="shared" si="74"/>
        <v>19.605700000000002</v>
      </c>
      <c r="AT59" s="1182">
        <v>1704</v>
      </c>
      <c r="AU59" s="1177">
        <v>82.8</v>
      </c>
      <c r="AV59" s="1178">
        <v>320.10000000000002</v>
      </c>
      <c r="AW59" s="1178">
        <v>5.099999999999989</v>
      </c>
      <c r="AX59" s="1178">
        <v>108</v>
      </c>
      <c r="AY59" s="1178">
        <v>66.400000000000006</v>
      </c>
      <c r="AZ59" s="88">
        <f t="shared" si="75"/>
        <v>62.887597625741975</v>
      </c>
      <c r="BA59" s="88">
        <f t="shared" si="76"/>
        <v>384.8544</v>
      </c>
      <c r="BB59" s="88">
        <f t="shared" si="77"/>
        <v>20.130320000000008</v>
      </c>
      <c r="BC59" s="1182">
        <v>2031</v>
      </c>
      <c r="BD59" s="1177">
        <v>87</v>
      </c>
      <c r="BE59" s="1178">
        <v>331.9</v>
      </c>
      <c r="BF59" s="1178">
        <v>3.4299999999999957</v>
      </c>
      <c r="BG59" s="1178">
        <v>116</v>
      </c>
      <c r="BH59" s="1178">
        <v>64.8</v>
      </c>
      <c r="BI59" s="88">
        <f t="shared" si="78"/>
        <v>62.542151250376634</v>
      </c>
      <c r="BJ59" s="88">
        <f t="shared" si="79"/>
        <v>394.63199999999995</v>
      </c>
      <c r="BK59" s="88">
        <f t="shared" si="80"/>
        <v>20.757740000000005</v>
      </c>
      <c r="BL59" s="1182">
        <v>2100</v>
      </c>
      <c r="BM59" s="1177">
        <v>84</v>
      </c>
      <c r="BN59" s="1178">
        <v>318.85000000000002</v>
      </c>
      <c r="BO59" s="1178">
        <v>4.5999999999999996</v>
      </c>
      <c r="BP59" s="1178">
        <v>107.5</v>
      </c>
      <c r="BQ59" s="1178">
        <v>64</v>
      </c>
      <c r="BR59" s="88">
        <f t="shared" si="81"/>
        <v>60.550415555904038</v>
      </c>
      <c r="BS59" s="88">
        <f t="shared" si="82"/>
        <v>376.32</v>
      </c>
      <c r="BT59" s="88">
        <f t="shared" si="83"/>
        <v>19.306500000000007</v>
      </c>
      <c r="BU59" s="1182">
        <v>1680.0000000000002</v>
      </c>
      <c r="BV59" s="1177">
        <v>85.3</v>
      </c>
      <c r="BW59" s="1178">
        <v>324</v>
      </c>
      <c r="BX59" s="1178">
        <v>4.8</v>
      </c>
      <c r="BY59" s="1178">
        <v>115</v>
      </c>
      <c r="BZ59" s="1178">
        <v>64.099999999999994</v>
      </c>
      <c r="CA59" s="88">
        <f t="shared" si="84"/>
        <v>62.25802469135801</v>
      </c>
      <c r="CB59" s="88">
        <f t="shared" si="85"/>
        <v>382.74109999999996</v>
      </c>
      <c r="CC59" s="88">
        <f t="shared" si="86"/>
        <v>20.171599999999994</v>
      </c>
      <c r="CD59" s="1182">
        <v>1930</v>
      </c>
      <c r="CE59" s="1177">
        <v>83.9</v>
      </c>
      <c r="CF59" s="1178">
        <v>318.3</v>
      </c>
      <c r="CG59" s="1178">
        <v>4.9299999999999953</v>
      </c>
      <c r="CH59" s="1178">
        <v>115</v>
      </c>
      <c r="CI59" s="1178">
        <v>67</v>
      </c>
      <c r="CJ59" s="88">
        <f t="shared" si="87"/>
        <v>63.646057178762156</v>
      </c>
      <c r="CK59" s="88">
        <f t="shared" si="88"/>
        <v>393.49100000000004</v>
      </c>
      <c r="CL59" s="88">
        <f t="shared" si="89"/>
        <v>20.258539999999993</v>
      </c>
      <c r="CM59" s="1182">
        <v>2024</v>
      </c>
      <c r="CN59" s="1177">
        <v>86.4</v>
      </c>
      <c r="CO59" s="1178">
        <v>323.5</v>
      </c>
      <c r="CP59" s="1178">
        <v>4.9299999999999953</v>
      </c>
      <c r="CQ59" s="1178">
        <v>104</v>
      </c>
      <c r="CR59" s="1178">
        <v>65.7</v>
      </c>
      <c r="CS59" s="88">
        <f t="shared" si="90"/>
        <v>62.32661514683155</v>
      </c>
      <c r="CT59" s="88">
        <f t="shared" si="91"/>
        <v>397.35360000000009</v>
      </c>
      <c r="CU59" s="88">
        <f t="shared" si="92"/>
        <v>20.162660000000006</v>
      </c>
      <c r="CV59" s="1182">
        <v>1779</v>
      </c>
      <c r="CW59" s="1177">
        <v>80</v>
      </c>
      <c r="CX59" s="1178">
        <v>314</v>
      </c>
      <c r="CY59" s="1178">
        <v>4.9299999999999971</v>
      </c>
      <c r="CZ59" s="1178">
        <v>111</v>
      </c>
      <c r="DA59" s="1178">
        <v>65.8</v>
      </c>
      <c r="DB59" s="88">
        <f t="shared" si="93"/>
        <v>62.790764331210212</v>
      </c>
      <c r="DC59" s="88">
        <f t="shared" si="94"/>
        <v>368.48</v>
      </c>
      <c r="DD59" s="88">
        <f t="shared" si="95"/>
        <v>19.716300000000007</v>
      </c>
      <c r="DE59" s="1182">
        <v>1965</v>
      </c>
    </row>
    <row r="60" spans="1:109" ht="15" x14ac:dyDescent="0.2">
      <c r="A60" s="96">
        <f t="shared" si="60"/>
        <v>72</v>
      </c>
      <c r="B60" s="1177">
        <v>70.5</v>
      </c>
      <c r="C60" s="1178">
        <v>299</v>
      </c>
      <c r="D60" s="1178">
        <v>5.2052052052052051</v>
      </c>
      <c r="E60" s="1178">
        <v>117</v>
      </c>
      <c r="F60" s="1178">
        <v>63.7</v>
      </c>
      <c r="G60" s="88">
        <f t="shared" si="61"/>
        <v>60.416387959866213</v>
      </c>
      <c r="H60" s="88">
        <f t="shared" si="59"/>
        <v>314.35949999999997</v>
      </c>
      <c r="I60" s="88">
        <f t="shared" si="62"/>
        <v>18.064499999999995</v>
      </c>
      <c r="J60" s="1182">
        <v>1737</v>
      </c>
      <c r="K60" s="1177">
        <v>85.3</v>
      </c>
      <c r="L60" s="1178">
        <v>328</v>
      </c>
      <c r="M60" s="1178">
        <v>5.2052052052052051</v>
      </c>
      <c r="N60" s="1178">
        <v>118</v>
      </c>
      <c r="O60" s="1178">
        <v>64.5</v>
      </c>
      <c r="P60" s="88">
        <f t="shared" si="63"/>
        <v>62.806316768292675</v>
      </c>
      <c r="Q60" s="88">
        <f t="shared" si="64"/>
        <v>385.12950000000001</v>
      </c>
      <c r="R60" s="88">
        <f t="shared" si="65"/>
        <v>20.600471899999999</v>
      </c>
      <c r="S60" s="1182">
        <v>1973</v>
      </c>
      <c r="T60" s="1177">
        <v>75</v>
      </c>
      <c r="U60" s="1178">
        <v>306</v>
      </c>
      <c r="V60" s="1178">
        <v>5.3</v>
      </c>
      <c r="W60" s="1178">
        <v>126</v>
      </c>
      <c r="X60" s="1178">
        <v>65</v>
      </c>
      <c r="Y60" s="88">
        <f t="shared" si="66"/>
        <v>61.285947712418285</v>
      </c>
      <c r="Z60" s="88">
        <f t="shared" si="67"/>
        <v>341.25</v>
      </c>
      <c r="AA60" s="88">
        <f t="shared" si="68"/>
        <v>18.753499999999995</v>
      </c>
      <c r="AB60" s="1182">
        <v>2255</v>
      </c>
      <c r="AC60" s="1177">
        <v>78</v>
      </c>
      <c r="AD60" s="1178">
        <v>319</v>
      </c>
      <c r="AE60" s="1178">
        <v>4</v>
      </c>
      <c r="AF60" s="1178">
        <v>116</v>
      </c>
      <c r="AG60" s="1178">
        <v>65.599999999999994</v>
      </c>
      <c r="AH60" s="88">
        <f t="shared" si="69"/>
        <v>63.218808777429459</v>
      </c>
      <c r="AI60" s="88">
        <f t="shared" si="70"/>
        <v>358.17599999999999</v>
      </c>
      <c r="AJ60" s="88">
        <f t="shared" si="71"/>
        <v>20.166799999999999</v>
      </c>
      <c r="AK60" s="1182">
        <v>1966</v>
      </c>
      <c r="AL60" s="1177">
        <v>85.1</v>
      </c>
      <c r="AM60" s="1178">
        <v>328</v>
      </c>
      <c r="AN60" s="1178">
        <v>4</v>
      </c>
      <c r="AO60" s="1178">
        <v>110</v>
      </c>
      <c r="AP60" s="1178">
        <v>64.400000000000006</v>
      </c>
      <c r="AQ60" s="88">
        <f t="shared" si="72"/>
        <v>60.951524390243904</v>
      </c>
      <c r="AR60" s="88">
        <f t="shared" si="73"/>
        <v>383.63080000000002</v>
      </c>
      <c r="AS60" s="88">
        <f t="shared" si="74"/>
        <v>19.992100000000001</v>
      </c>
      <c r="AT60" s="1182">
        <v>1705</v>
      </c>
      <c r="AU60" s="1177">
        <v>82.2</v>
      </c>
      <c r="AV60" s="1178">
        <v>325.60000000000002</v>
      </c>
      <c r="AW60" s="1178">
        <v>5.2</v>
      </c>
      <c r="AX60" s="1178">
        <v>108</v>
      </c>
      <c r="AY60" s="1178">
        <v>66.5</v>
      </c>
      <c r="AZ60" s="88">
        <f t="shared" si="75"/>
        <v>62.948617936117955</v>
      </c>
      <c r="BA60" s="88">
        <f t="shared" si="76"/>
        <v>382.64100000000002</v>
      </c>
      <c r="BB60" s="88">
        <f t="shared" si="77"/>
        <v>20.496070000000007</v>
      </c>
      <c r="BC60" s="1182">
        <v>2033</v>
      </c>
      <c r="BD60" s="1177">
        <v>86.4</v>
      </c>
      <c r="BE60" s="1178">
        <v>337.7</v>
      </c>
      <c r="BF60" s="1178">
        <v>3.5799999999999956</v>
      </c>
      <c r="BG60" s="1178">
        <v>116</v>
      </c>
      <c r="BH60" s="1178">
        <v>64.900000000000006</v>
      </c>
      <c r="BI60" s="88">
        <f t="shared" si="78"/>
        <v>62.582647320106616</v>
      </c>
      <c r="BJ60" s="88">
        <f t="shared" si="79"/>
        <v>392.51520000000011</v>
      </c>
      <c r="BK60" s="88">
        <f t="shared" si="80"/>
        <v>21.134160000000001</v>
      </c>
      <c r="BL60" s="1182">
        <v>2100</v>
      </c>
      <c r="BM60" s="1177">
        <v>83</v>
      </c>
      <c r="BN60" s="1178">
        <v>324.39999999999998</v>
      </c>
      <c r="BO60" s="1178">
        <v>4.7</v>
      </c>
      <c r="BP60" s="1178">
        <v>107.5</v>
      </c>
      <c r="BQ60" s="1178">
        <v>64</v>
      </c>
      <c r="BR60" s="88">
        <f t="shared" si="81"/>
        <v>60.609432799013575</v>
      </c>
      <c r="BS60" s="88">
        <f t="shared" si="82"/>
        <v>371.84</v>
      </c>
      <c r="BT60" s="88">
        <f t="shared" si="83"/>
        <v>19.6617</v>
      </c>
      <c r="BU60" s="1182">
        <v>1680.0000000000002</v>
      </c>
      <c r="BV60" s="1177">
        <v>84.9</v>
      </c>
      <c r="BW60" s="1178">
        <v>330</v>
      </c>
      <c r="BX60" s="1178">
        <v>4.9000000000000021</v>
      </c>
      <c r="BY60" s="1178">
        <v>115</v>
      </c>
      <c r="BZ60" s="1178">
        <v>64.2</v>
      </c>
      <c r="CA60" s="88">
        <f t="shared" si="84"/>
        <v>62.293333333333315</v>
      </c>
      <c r="CB60" s="88">
        <f t="shared" si="85"/>
        <v>381.54060000000004</v>
      </c>
      <c r="CC60" s="88">
        <f t="shared" si="86"/>
        <v>20.556799999999996</v>
      </c>
      <c r="CD60" s="1182">
        <v>1930</v>
      </c>
      <c r="CE60" s="1177">
        <v>83.4</v>
      </c>
      <c r="CF60" s="1178">
        <v>323.8</v>
      </c>
      <c r="CG60" s="1178">
        <v>5.0399999999999983</v>
      </c>
      <c r="CH60" s="1178">
        <v>115</v>
      </c>
      <c r="CI60" s="1178">
        <v>67.099999999999994</v>
      </c>
      <c r="CJ60" s="88">
        <f t="shared" si="87"/>
        <v>63.704725138974659</v>
      </c>
      <c r="CK60" s="88">
        <f t="shared" si="88"/>
        <v>391.72980000000001</v>
      </c>
      <c r="CL60" s="88">
        <f t="shared" si="89"/>
        <v>20.627589999999994</v>
      </c>
      <c r="CM60" s="1182">
        <v>2026</v>
      </c>
      <c r="CN60" s="1177">
        <v>85.9</v>
      </c>
      <c r="CO60" s="1178">
        <v>329.3</v>
      </c>
      <c r="CP60" s="1178">
        <v>5.0399999999999983</v>
      </c>
      <c r="CQ60" s="1178">
        <v>104</v>
      </c>
      <c r="CR60" s="1178">
        <v>65.7</v>
      </c>
      <c r="CS60" s="88">
        <f t="shared" si="90"/>
        <v>62.386030974795041</v>
      </c>
      <c r="CT60" s="88">
        <f t="shared" si="91"/>
        <v>395.05410000000006</v>
      </c>
      <c r="CU60" s="88">
        <f t="shared" si="92"/>
        <v>20.543720000000008</v>
      </c>
      <c r="CV60" s="1182">
        <v>1780</v>
      </c>
      <c r="CW60" s="1177">
        <v>79.400000000000006</v>
      </c>
      <c r="CX60" s="1178">
        <v>319</v>
      </c>
      <c r="CY60" s="1178">
        <v>5.0399999999999974</v>
      </c>
      <c r="CZ60" s="1178">
        <v>111</v>
      </c>
      <c r="DA60" s="1178">
        <v>65.8</v>
      </c>
      <c r="DB60" s="88">
        <f t="shared" si="93"/>
        <v>62.837931034482779</v>
      </c>
      <c r="DC60" s="88">
        <f t="shared" si="94"/>
        <v>365.71639999999996</v>
      </c>
      <c r="DD60" s="88">
        <f t="shared" si="95"/>
        <v>20.045300000000008</v>
      </c>
      <c r="DE60" s="1182">
        <v>1966</v>
      </c>
    </row>
    <row r="61" spans="1:109" ht="15" x14ac:dyDescent="0.2">
      <c r="A61" s="96">
        <f t="shared" si="60"/>
        <v>73</v>
      </c>
      <c r="B61" s="1177">
        <v>69.8</v>
      </c>
      <c r="C61" s="1178">
        <v>304</v>
      </c>
      <c r="D61" s="1178">
        <v>5.3053053053053052</v>
      </c>
      <c r="E61" s="1178">
        <v>117</v>
      </c>
      <c r="F61" s="1178">
        <v>63.7</v>
      </c>
      <c r="G61" s="88">
        <f t="shared" si="61"/>
        <v>60.470394736842096</v>
      </c>
      <c r="H61" s="88">
        <f t="shared" si="59"/>
        <v>311.23819999999995</v>
      </c>
      <c r="I61" s="88">
        <f t="shared" si="62"/>
        <v>18.382999999999996</v>
      </c>
      <c r="J61" s="1182">
        <v>1738</v>
      </c>
      <c r="K61" s="1177">
        <v>84.9</v>
      </c>
      <c r="L61" s="1178">
        <v>333</v>
      </c>
      <c r="M61" s="1178">
        <v>5.3053053053053052</v>
      </c>
      <c r="N61" s="1178">
        <v>118</v>
      </c>
      <c r="O61" s="1178">
        <v>64.599999999999994</v>
      </c>
      <c r="P61" s="88">
        <f t="shared" si="63"/>
        <v>62.833248948948935</v>
      </c>
      <c r="Q61" s="88">
        <f t="shared" si="64"/>
        <v>383.9178</v>
      </c>
      <c r="R61" s="88">
        <f t="shared" si="65"/>
        <v>20.923471899999996</v>
      </c>
      <c r="S61" s="1182">
        <v>1974</v>
      </c>
      <c r="T61" s="1177">
        <v>75</v>
      </c>
      <c r="U61" s="1178">
        <v>311</v>
      </c>
      <c r="V61" s="1178">
        <v>5.4</v>
      </c>
      <c r="W61" s="1178">
        <v>126</v>
      </c>
      <c r="X61" s="1178">
        <v>65.099999999999994</v>
      </c>
      <c r="Y61" s="88">
        <f t="shared" si="66"/>
        <v>61.347266881028922</v>
      </c>
      <c r="Z61" s="88">
        <f t="shared" si="67"/>
        <v>341.77499999999998</v>
      </c>
      <c r="AA61" s="88">
        <f t="shared" si="68"/>
        <v>19.078999999999997</v>
      </c>
      <c r="AB61" s="1182">
        <v>2260</v>
      </c>
      <c r="AC61" s="1177">
        <v>77.5</v>
      </c>
      <c r="AD61" s="1178">
        <v>324</v>
      </c>
      <c r="AE61" s="1178">
        <f>AE60+0.1</f>
        <v>4.0999999999999996</v>
      </c>
      <c r="AF61" s="1178">
        <v>116</v>
      </c>
      <c r="AG61" s="1178">
        <v>65.599999999999994</v>
      </c>
      <c r="AH61" s="88">
        <f t="shared" si="69"/>
        <v>63.255555555555546</v>
      </c>
      <c r="AI61" s="88">
        <f t="shared" si="70"/>
        <v>355.87999999999994</v>
      </c>
      <c r="AJ61" s="88">
        <f t="shared" si="71"/>
        <v>20.494799999999994</v>
      </c>
      <c r="AK61" s="1182">
        <v>1967</v>
      </c>
      <c r="AL61" s="1177">
        <v>84.8</v>
      </c>
      <c r="AM61" s="1178">
        <v>333</v>
      </c>
      <c r="AN61" s="1178">
        <f>AN60+0.1</f>
        <v>4.0999999999999996</v>
      </c>
      <c r="AO61" s="1178">
        <v>110</v>
      </c>
      <c r="AP61" s="1178">
        <v>64.5</v>
      </c>
      <c r="AQ61" s="88">
        <f t="shared" si="72"/>
        <v>61.004804804804806</v>
      </c>
      <c r="AR61" s="88">
        <f t="shared" si="73"/>
        <v>382.87200000000001</v>
      </c>
      <c r="AS61" s="88">
        <f t="shared" si="74"/>
        <v>20.314600000000002</v>
      </c>
      <c r="AT61" s="1182">
        <v>1705</v>
      </c>
      <c r="AU61" s="1177">
        <v>81.599999999999994</v>
      </c>
      <c r="AV61" s="1178">
        <v>331</v>
      </c>
      <c r="AW61" s="1178">
        <v>5.2999999999999892</v>
      </c>
      <c r="AX61" s="1178">
        <v>108</v>
      </c>
      <c r="AY61" s="1178">
        <v>66.599999999999994</v>
      </c>
      <c r="AZ61" s="88">
        <f t="shared" si="75"/>
        <v>63.008187311178261</v>
      </c>
      <c r="BA61" s="88">
        <f t="shared" si="76"/>
        <v>380.41919999999993</v>
      </c>
      <c r="BB61" s="88">
        <f t="shared" si="77"/>
        <v>20.855710000000006</v>
      </c>
      <c r="BC61" s="1182">
        <v>2035</v>
      </c>
      <c r="BD61" s="1177">
        <v>85.8</v>
      </c>
      <c r="BE61" s="1178">
        <v>343.5</v>
      </c>
      <c r="BF61" s="1178">
        <v>3.7299999999999951</v>
      </c>
      <c r="BG61" s="1178">
        <v>116</v>
      </c>
      <c r="BH61" s="1178">
        <v>64.900000000000006</v>
      </c>
      <c r="BI61" s="88">
        <f t="shared" si="78"/>
        <v>62.621775836972361</v>
      </c>
      <c r="BJ61" s="88">
        <f t="shared" si="79"/>
        <v>389.78940000000006</v>
      </c>
      <c r="BK61" s="88">
        <f t="shared" si="80"/>
        <v>21.510580000000004</v>
      </c>
      <c r="BL61" s="1182">
        <v>2100</v>
      </c>
      <c r="BM61" s="1177">
        <v>83</v>
      </c>
      <c r="BN61" s="1178">
        <v>329.95</v>
      </c>
      <c r="BO61" s="1178">
        <v>4.8</v>
      </c>
      <c r="BP61" s="1178">
        <v>107.5</v>
      </c>
      <c r="BQ61" s="1178">
        <v>64</v>
      </c>
      <c r="BR61" s="88">
        <f t="shared" si="81"/>
        <v>60.666464615850899</v>
      </c>
      <c r="BS61" s="88">
        <f t="shared" si="82"/>
        <v>371.84</v>
      </c>
      <c r="BT61" s="88">
        <f t="shared" si="83"/>
        <v>20.0169</v>
      </c>
      <c r="BU61" s="1182">
        <v>1685</v>
      </c>
      <c r="BV61" s="1177">
        <v>84.4</v>
      </c>
      <c r="BW61" s="1178">
        <v>335</v>
      </c>
      <c r="BX61" s="1178">
        <v>5.0000000000000044</v>
      </c>
      <c r="BY61" s="1178">
        <v>115</v>
      </c>
      <c r="BZ61" s="1178">
        <v>64.2</v>
      </c>
      <c r="CA61" s="88">
        <f t="shared" si="84"/>
        <v>62.321791044776106</v>
      </c>
      <c r="CB61" s="88">
        <f t="shared" si="85"/>
        <v>379.29360000000003</v>
      </c>
      <c r="CC61" s="88">
        <f t="shared" si="86"/>
        <v>20.877799999999997</v>
      </c>
      <c r="CD61" s="1182">
        <v>1930</v>
      </c>
      <c r="CE61" s="1177">
        <v>82.9</v>
      </c>
      <c r="CF61" s="1178">
        <v>329.4</v>
      </c>
      <c r="CG61" s="1178">
        <v>5.1600000000000019</v>
      </c>
      <c r="CH61" s="1178">
        <v>115</v>
      </c>
      <c r="CI61" s="1178">
        <v>67.099999999999994</v>
      </c>
      <c r="CJ61" s="88">
        <f t="shared" si="87"/>
        <v>63.762446873102597</v>
      </c>
      <c r="CK61" s="88">
        <f t="shared" si="88"/>
        <v>389.38130000000001</v>
      </c>
      <c r="CL61" s="88">
        <f t="shared" si="89"/>
        <v>21.003349999999994</v>
      </c>
      <c r="CM61" s="1182">
        <v>2029</v>
      </c>
      <c r="CN61" s="1177">
        <v>85.4</v>
      </c>
      <c r="CO61" s="1178">
        <v>335</v>
      </c>
      <c r="CP61" s="1178">
        <v>5.1600000000000019</v>
      </c>
      <c r="CQ61" s="1178">
        <v>104</v>
      </c>
      <c r="CR61" s="1178">
        <v>65.7</v>
      </c>
      <c r="CS61" s="88">
        <f t="shared" si="90"/>
        <v>62.442417910447787</v>
      </c>
      <c r="CT61" s="88">
        <f t="shared" si="91"/>
        <v>392.75460000000004</v>
      </c>
      <c r="CU61" s="88">
        <f t="shared" si="92"/>
        <v>20.918210000000006</v>
      </c>
      <c r="CV61" s="1182">
        <v>1781</v>
      </c>
      <c r="CW61" s="1177">
        <v>78.7</v>
      </c>
      <c r="CX61" s="1178">
        <v>324</v>
      </c>
      <c r="CY61" s="1178">
        <v>5.1599999999999975</v>
      </c>
      <c r="CZ61" s="1178">
        <v>111</v>
      </c>
      <c r="DA61" s="1178">
        <v>65.900000000000006</v>
      </c>
      <c r="DB61" s="88">
        <f t="shared" si="93"/>
        <v>62.885185185185208</v>
      </c>
      <c r="DC61" s="88">
        <f t="shared" si="94"/>
        <v>363.04310000000004</v>
      </c>
      <c r="DD61" s="88">
        <f t="shared" si="95"/>
        <v>20.374800000000008</v>
      </c>
      <c r="DE61" s="1182">
        <v>1967</v>
      </c>
    </row>
    <row r="62" spans="1:109" ht="15" x14ac:dyDescent="0.2">
      <c r="A62" s="96">
        <f t="shared" si="60"/>
        <v>74</v>
      </c>
      <c r="B62" s="1177">
        <v>69.099999999999994</v>
      </c>
      <c r="C62" s="1178">
        <v>308</v>
      </c>
      <c r="D62" s="1178">
        <v>5.4054054054054053</v>
      </c>
      <c r="E62" s="1178">
        <v>117</v>
      </c>
      <c r="F62" s="1178">
        <v>63.7</v>
      </c>
      <c r="G62" s="88">
        <f t="shared" si="61"/>
        <v>60.51233766233765</v>
      </c>
      <c r="H62" s="88">
        <f t="shared" si="59"/>
        <v>308.11689999999999</v>
      </c>
      <c r="I62" s="88">
        <f t="shared" si="62"/>
        <v>18.637799999999995</v>
      </c>
      <c r="J62" s="1182">
        <v>1739</v>
      </c>
      <c r="K62" s="1177">
        <v>84.5</v>
      </c>
      <c r="L62" s="1178">
        <v>339</v>
      </c>
      <c r="M62" s="1178">
        <v>5.4054054054054053</v>
      </c>
      <c r="N62" s="1178">
        <v>118</v>
      </c>
      <c r="O62" s="1178">
        <v>64.599999999999994</v>
      </c>
      <c r="P62" s="88">
        <f t="shared" si="63"/>
        <v>62.864518879056035</v>
      </c>
      <c r="Q62" s="88">
        <f t="shared" si="64"/>
        <v>382.10899999999998</v>
      </c>
      <c r="R62" s="88">
        <f t="shared" si="65"/>
        <v>21.311071899999995</v>
      </c>
      <c r="S62" s="1182">
        <v>1975</v>
      </c>
      <c r="T62" s="1177">
        <v>74</v>
      </c>
      <c r="U62" s="1178">
        <v>316</v>
      </c>
      <c r="V62" s="1178">
        <v>5.5</v>
      </c>
      <c r="W62" s="1178">
        <v>126</v>
      </c>
      <c r="X62" s="1178">
        <v>65.2</v>
      </c>
      <c r="Y62" s="88">
        <f t="shared" si="66"/>
        <v>61.408227848101255</v>
      </c>
      <c r="Z62" s="88">
        <f t="shared" si="67"/>
        <v>337.73599999999999</v>
      </c>
      <c r="AA62" s="88">
        <f t="shared" si="68"/>
        <v>19.404999999999998</v>
      </c>
      <c r="AB62" s="1182">
        <v>2260</v>
      </c>
      <c r="AC62" s="1177">
        <v>77.3</v>
      </c>
      <c r="AD62" s="1178">
        <v>330</v>
      </c>
      <c r="AE62" s="1178">
        <v>4.3</v>
      </c>
      <c r="AF62" s="1178">
        <v>116</v>
      </c>
      <c r="AG62" s="1178">
        <v>65.599999999999994</v>
      </c>
      <c r="AH62" s="88">
        <f t="shared" si="69"/>
        <v>63.29818181818181</v>
      </c>
      <c r="AI62" s="88">
        <f t="shared" si="70"/>
        <v>354.96159999999998</v>
      </c>
      <c r="AJ62" s="88">
        <f t="shared" si="71"/>
        <v>20.888399999999994</v>
      </c>
      <c r="AK62" s="1182">
        <v>1967</v>
      </c>
      <c r="AL62" s="1177">
        <v>84.5</v>
      </c>
      <c r="AM62" s="1178">
        <v>339</v>
      </c>
      <c r="AN62" s="1178">
        <v>4.3</v>
      </c>
      <c r="AO62" s="1178">
        <v>110</v>
      </c>
      <c r="AP62" s="1178">
        <v>64.599999999999994</v>
      </c>
      <c r="AQ62" s="88">
        <f t="shared" si="72"/>
        <v>61.068436578171095</v>
      </c>
      <c r="AR62" s="88">
        <f t="shared" si="73"/>
        <v>382.10899999999998</v>
      </c>
      <c r="AS62" s="88">
        <f t="shared" si="74"/>
        <v>20.702200000000001</v>
      </c>
      <c r="AT62" s="1182">
        <v>1705</v>
      </c>
      <c r="AU62" s="1177">
        <v>80.900000000000006</v>
      </c>
      <c r="AV62" s="1178">
        <v>336.4</v>
      </c>
      <c r="AW62" s="1178">
        <v>5.4</v>
      </c>
      <c r="AX62" s="1178">
        <v>108</v>
      </c>
      <c r="AY62" s="1178">
        <v>66.599999999999994</v>
      </c>
      <c r="AZ62" s="88">
        <f t="shared" si="75"/>
        <v>63.065844233055891</v>
      </c>
      <c r="BA62" s="88">
        <f t="shared" si="76"/>
        <v>377.1558</v>
      </c>
      <c r="BB62" s="88">
        <f t="shared" si="77"/>
        <v>21.215350000000001</v>
      </c>
      <c r="BC62" s="1182">
        <v>2037</v>
      </c>
      <c r="BD62" s="1177">
        <v>85.2</v>
      </c>
      <c r="BE62" s="1178">
        <v>349.2</v>
      </c>
      <c r="BF62" s="1178">
        <v>3.8799999999999955</v>
      </c>
      <c r="BG62" s="1178">
        <v>116</v>
      </c>
      <c r="BH62" s="1178">
        <v>64.900000000000006</v>
      </c>
      <c r="BI62" s="88">
        <f t="shared" si="78"/>
        <v>62.658963344788106</v>
      </c>
      <c r="BJ62" s="88">
        <f t="shared" si="79"/>
        <v>387.06360000000001</v>
      </c>
      <c r="BK62" s="88">
        <f t="shared" si="80"/>
        <v>21.880510000000005</v>
      </c>
      <c r="BL62" s="1182">
        <v>2100</v>
      </c>
      <c r="BM62" s="1177">
        <v>82</v>
      </c>
      <c r="BN62" s="1178">
        <v>335.45</v>
      </c>
      <c r="BO62" s="1178">
        <v>4.9000000000000004</v>
      </c>
      <c r="BP62" s="1178">
        <v>107.5</v>
      </c>
      <c r="BQ62" s="1178">
        <v>65</v>
      </c>
      <c r="BR62" s="88">
        <f t="shared" si="81"/>
        <v>60.737516768519917</v>
      </c>
      <c r="BS62" s="88">
        <f t="shared" si="82"/>
        <v>373.09999999999997</v>
      </c>
      <c r="BT62" s="88">
        <f t="shared" si="83"/>
        <v>20.374400000000009</v>
      </c>
      <c r="BU62" s="1182">
        <v>1685</v>
      </c>
      <c r="BV62" s="1177">
        <v>83.9</v>
      </c>
      <c r="BW62" s="1178">
        <v>341</v>
      </c>
      <c r="BX62" s="1178">
        <v>5.0000000000000044</v>
      </c>
      <c r="BY62" s="1178">
        <v>115</v>
      </c>
      <c r="BZ62" s="1178">
        <v>64.2</v>
      </c>
      <c r="CA62" s="88">
        <f t="shared" si="84"/>
        <v>62.354838709677409</v>
      </c>
      <c r="CB62" s="88">
        <f t="shared" si="85"/>
        <v>377.04660000000001</v>
      </c>
      <c r="CC62" s="88">
        <f t="shared" si="86"/>
        <v>21.262999999999998</v>
      </c>
      <c r="CD62" s="1182">
        <v>1935</v>
      </c>
      <c r="CE62" s="1177">
        <v>82.4</v>
      </c>
      <c r="CF62" s="1178">
        <v>334.8</v>
      </c>
      <c r="CG62" s="1178">
        <v>5.2799999999999949</v>
      </c>
      <c r="CH62" s="1178">
        <v>115</v>
      </c>
      <c r="CI62" s="1178">
        <v>67.2</v>
      </c>
      <c r="CJ62" s="88">
        <f t="shared" si="87"/>
        <v>63.817891278375143</v>
      </c>
      <c r="CK62" s="88">
        <f t="shared" si="88"/>
        <v>387.60960000000006</v>
      </c>
      <c r="CL62" s="88">
        <f t="shared" si="89"/>
        <v>21.366229999999995</v>
      </c>
      <c r="CM62" s="1182">
        <v>2032</v>
      </c>
      <c r="CN62" s="1177">
        <v>84.9</v>
      </c>
      <c r="CO62" s="1178">
        <v>340.7</v>
      </c>
      <c r="CP62" s="1178">
        <v>5.2799999999999949</v>
      </c>
      <c r="CQ62" s="1178">
        <v>104</v>
      </c>
      <c r="CR62" s="1178">
        <v>65.8</v>
      </c>
      <c r="CS62" s="88">
        <f t="shared" si="90"/>
        <v>62.498591135896717</v>
      </c>
      <c r="CT62" s="88">
        <f t="shared" si="91"/>
        <v>391.04939999999999</v>
      </c>
      <c r="CU62" s="88">
        <f t="shared" si="92"/>
        <v>21.293270000000007</v>
      </c>
      <c r="CV62" s="1182">
        <v>1782</v>
      </c>
      <c r="CW62" s="1177">
        <v>78.099999999999994</v>
      </c>
      <c r="CX62" s="1178">
        <v>330</v>
      </c>
      <c r="CY62" s="1178">
        <v>5.2799999999999976</v>
      </c>
      <c r="CZ62" s="1178">
        <v>111</v>
      </c>
      <c r="DA62" s="1178">
        <v>65.900000000000006</v>
      </c>
      <c r="DB62" s="88">
        <f t="shared" si="93"/>
        <v>62.940000000000019</v>
      </c>
      <c r="DC62" s="88">
        <f t="shared" si="94"/>
        <v>360.27530000000002</v>
      </c>
      <c r="DD62" s="88">
        <f t="shared" si="95"/>
        <v>20.770200000000006</v>
      </c>
      <c r="DE62" s="1182">
        <v>1967</v>
      </c>
    </row>
    <row r="63" spans="1:109" ht="15" x14ac:dyDescent="0.2">
      <c r="A63" s="96">
        <f t="shared" si="60"/>
        <v>75</v>
      </c>
      <c r="B63" s="1177">
        <v>68.400000000000006</v>
      </c>
      <c r="C63" s="1178">
        <v>313</v>
      </c>
      <c r="D63" s="1178">
        <v>5.5055055055055053</v>
      </c>
      <c r="E63" s="1178">
        <v>117</v>
      </c>
      <c r="F63" s="1178">
        <v>63.7</v>
      </c>
      <c r="G63" s="88">
        <f t="shared" si="61"/>
        <v>60.563258785942473</v>
      </c>
      <c r="H63" s="88">
        <f t="shared" si="59"/>
        <v>304.99560000000002</v>
      </c>
      <c r="I63" s="88">
        <f t="shared" si="62"/>
        <v>18.956299999999995</v>
      </c>
      <c r="J63" s="1182">
        <v>1740</v>
      </c>
      <c r="K63" s="1177">
        <v>84.1</v>
      </c>
      <c r="L63" s="1178">
        <v>344</v>
      </c>
      <c r="M63" s="1178">
        <v>5.5055055055055053</v>
      </c>
      <c r="N63" s="1178">
        <v>118</v>
      </c>
      <c r="O63" s="1178">
        <v>64.599999999999994</v>
      </c>
      <c r="P63" s="88">
        <f t="shared" si="63"/>
        <v>62.889743895348822</v>
      </c>
      <c r="Q63" s="88">
        <f t="shared" si="64"/>
        <v>380.30019999999996</v>
      </c>
      <c r="R63" s="88">
        <f t="shared" si="65"/>
        <v>21.634071899999995</v>
      </c>
      <c r="S63" s="1182">
        <v>1976</v>
      </c>
      <c r="T63" s="1177">
        <v>74</v>
      </c>
      <c r="U63" s="1178">
        <v>321</v>
      </c>
      <c r="V63" s="1178">
        <v>5.6</v>
      </c>
      <c r="W63" s="1178">
        <v>126</v>
      </c>
      <c r="X63" s="1178">
        <v>65.3</v>
      </c>
      <c r="Y63" s="88">
        <f t="shared" si="66"/>
        <v>61.468847352024916</v>
      </c>
      <c r="Z63" s="88">
        <f t="shared" si="67"/>
        <v>338.25399999999996</v>
      </c>
      <c r="AA63" s="88">
        <f t="shared" si="68"/>
        <v>19.731499999999997</v>
      </c>
      <c r="AB63" s="1182">
        <v>2265</v>
      </c>
      <c r="AC63" s="1177">
        <v>77</v>
      </c>
      <c r="AD63" s="1178">
        <v>335</v>
      </c>
      <c r="AE63" s="1178">
        <v>4.4000000000000004</v>
      </c>
      <c r="AF63" s="1178">
        <v>116</v>
      </c>
      <c r="AG63" s="1178">
        <v>65.7</v>
      </c>
      <c r="AH63" s="88">
        <f t="shared" si="69"/>
        <v>63.334029850746262</v>
      </c>
      <c r="AI63" s="88">
        <f t="shared" si="70"/>
        <v>354.12300000000005</v>
      </c>
      <c r="AJ63" s="88">
        <f t="shared" si="71"/>
        <v>21.216899999999995</v>
      </c>
      <c r="AK63" s="1182">
        <v>1968</v>
      </c>
      <c r="AL63" s="1177">
        <v>84.2</v>
      </c>
      <c r="AM63" s="1178">
        <v>345</v>
      </c>
      <c r="AN63" s="1178">
        <v>4.4000000000000004</v>
      </c>
      <c r="AO63" s="1178">
        <v>110</v>
      </c>
      <c r="AP63" s="1178">
        <v>64.7</v>
      </c>
      <c r="AQ63" s="88">
        <f t="shared" si="72"/>
        <v>61.131594202898555</v>
      </c>
      <c r="AR63" s="88">
        <f t="shared" si="73"/>
        <v>381.34180000000003</v>
      </c>
      <c r="AS63" s="88">
        <f t="shared" si="74"/>
        <v>21.090400000000002</v>
      </c>
      <c r="AT63" s="1182">
        <v>1705</v>
      </c>
      <c r="AU63" s="1177">
        <v>80.3</v>
      </c>
      <c r="AV63" s="1178">
        <v>341.7</v>
      </c>
      <c r="AW63" s="1178">
        <v>5.5</v>
      </c>
      <c r="AX63" s="1178">
        <v>108</v>
      </c>
      <c r="AY63" s="1178">
        <v>66.7</v>
      </c>
      <c r="AZ63" s="88">
        <f t="shared" si="75"/>
        <v>63.122212467076395</v>
      </c>
      <c r="BA63" s="88">
        <f t="shared" si="76"/>
        <v>374.92070000000001</v>
      </c>
      <c r="BB63" s="88">
        <f t="shared" si="77"/>
        <v>21.568860000000001</v>
      </c>
      <c r="BC63" s="1182">
        <v>2039</v>
      </c>
      <c r="BD63" s="1177">
        <v>84.6</v>
      </c>
      <c r="BE63" s="1178">
        <v>354.9</v>
      </c>
      <c r="BF63" s="1178">
        <v>4.0299999999999958</v>
      </c>
      <c r="BG63" s="1178">
        <v>116</v>
      </c>
      <c r="BH63" s="1178">
        <v>64.900000000000006</v>
      </c>
      <c r="BI63" s="88">
        <f t="shared" si="78"/>
        <v>62.694956325725578</v>
      </c>
      <c r="BJ63" s="88">
        <f t="shared" si="79"/>
        <v>384.33780000000002</v>
      </c>
      <c r="BK63" s="88">
        <f t="shared" si="80"/>
        <v>22.250440000000005</v>
      </c>
      <c r="BL63" s="1182">
        <v>2100</v>
      </c>
      <c r="BM63" s="1177">
        <v>82</v>
      </c>
      <c r="BN63" s="1178">
        <v>340.9</v>
      </c>
      <c r="BO63" s="1178">
        <v>5</v>
      </c>
      <c r="BP63" s="1178">
        <v>106.5</v>
      </c>
      <c r="BQ63" s="1178">
        <v>65</v>
      </c>
      <c r="BR63" s="88">
        <f t="shared" si="81"/>
        <v>60.805661484306263</v>
      </c>
      <c r="BS63" s="88">
        <f t="shared" si="82"/>
        <v>373.09999999999997</v>
      </c>
      <c r="BT63" s="88">
        <f t="shared" si="83"/>
        <v>20.728650000000005</v>
      </c>
      <c r="BU63" s="1182">
        <v>1685</v>
      </c>
      <c r="BV63" s="1177">
        <v>83.4</v>
      </c>
      <c r="BW63" s="1178">
        <v>347</v>
      </c>
      <c r="BX63" s="1178">
        <v>5.0999999999999952</v>
      </c>
      <c r="BY63" s="1178">
        <v>115</v>
      </c>
      <c r="BZ63" s="1178">
        <v>64.3</v>
      </c>
      <c r="CA63" s="88">
        <f t="shared" si="84"/>
        <v>62.388472622478375</v>
      </c>
      <c r="CB63" s="88">
        <f t="shared" si="85"/>
        <v>375.38340000000005</v>
      </c>
      <c r="CC63" s="88">
        <f t="shared" si="86"/>
        <v>21.648799999999998</v>
      </c>
      <c r="CD63" s="1182">
        <v>1935</v>
      </c>
      <c r="CE63" s="1177">
        <v>81.900000000000006</v>
      </c>
      <c r="CF63" s="1178">
        <v>340.3</v>
      </c>
      <c r="CG63" s="1178">
        <v>5.4</v>
      </c>
      <c r="CH63" s="1178">
        <v>114</v>
      </c>
      <c r="CI63" s="1178">
        <v>67.2</v>
      </c>
      <c r="CJ63" s="88">
        <f t="shared" si="87"/>
        <v>63.872553629150751</v>
      </c>
      <c r="CK63" s="88">
        <f t="shared" si="88"/>
        <v>385.25760000000002</v>
      </c>
      <c r="CL63" s="88">
        <f t="shared" si="89"/>
        <v>21.735829999999996</v>
      </c>
      <c r="CM63" s="1182">
        <v>2034</v>
      </c>
      <c r="CN63" s="1177">
        <v>84.4</v>
      </c>
      <c r="CO63" s="1178">
        <v>346.4</v>
      </c>
      <c r="CP63" s="1178">
        <v>5.4</v>
      </c>
      <c r="CQ63" s="1178">
        <v>104</v>
      </c>
      <c r="CR63" s="1178">
        <v>65.8</v>
      </c>
      <c r="CS63" s="88">
        <f t="shared" si="90"/>
        <v>62.552915704388028</v>
      </c>
      <c r="CT63" s="88">
        <f t="shared" si="91"/>
        <v>388.74639999999999</v>
      </c>
      <c r="CU63" s="88">
        <f t="shared" si="92"/>
        <v>21.668330000000008</v>
      </c>
      <c r="CV63" s="1182">
        <v>1783</v>
      </c>
      <c r="CW63" s="1177">
        <v>77.400000000000006</v>
      </c>
      <c r="CX63" s="1178">
        <v>335</v>
      </c>
      <c r="CY63" s="1178">
        <v>5.3999999999999977</v>
      </c>
      <c r="CZ63" s="1178">
        <v>111</v>
      </c>
      <c r="DA63" s="1178">
        <v>66</v>
      </c>
      <c r="DB63" s="88">
        <f t="shared" si="93"/>
        <v>62.985671641791072</v>
      </c>
      <c r="DC63" s="88">
        <f t="shared" si="94"/>
        <v>357.58800000000002</v>
      </c>
      <c r="DD63" s="88">
        <f t="shared" si="95"/>
        <v>21.100200000000008</v>
      </c>
      <c r="DE63" s="1182">
        <v>1968</v>
      </c>
    </row>
    <row r="64" spans="1:109" ht="15" x14ac:dyDescent="0.2">
      <c r="A64" s="96">
        <f t="shared" si="60"/>
        <v>76</v>
      </c>
      <c r="B64" s="1177">
        <v>67.7</v>
      </c>
      <c r="C64" s="1178">
        <v>317</v>
      </c>
      <c r="D64" s="1178">
        <v>5.6056056056056054</v>
      </c>
      <c r="E64" s="1178">
        <v>117</v>
      </c>
      <c r="F64" s="1178">
        <v>63.7</v>
      </c>
      <c r="G64" s="88">
        <f t="shared" si="61"/>
        <v>60.602839116719231</v>
      </c>
      <c r="H64" s="88">
        <f t="shared" si="59"/>
        <v>301.87430000000006</v>
      </c>
      <c r="I64" s="88">
        <f t="shared" si="62"/>
        <v>19.211099999999995</v>
      </c>
      <c r="J64" s="1182">
        <v>1741</v>
      </c>
      <c r="K64" s="1177">
        <v>83.7</v>
      </c>
      <c r="L64" s="1178">
        <v>350</v>
      </c>
      <c r="M64" s="1178">
        <v>5.6056056056056054</v>
      </c>
      <c r="N64" s="1178">
        <v>118</v>
      </c>
      <c r="O64" s="1178">
        <v>64.599999999999994</v>
      </c>
      <c r="P64" s="88">
        <f t="shared" si="63"/>
        <v>62.919062571428555</v>
      </c>
      <c r="Q64" s="88">
        <f t="shared" si="64"/>
        <v>378.4914</v>
      </c>
      <c r="R64" s="88">
        <f t="shared" si="65"/>
        <v>22.021671899999994</v>
      </c>
      <c r="S64" s="1182">
        <v>1977</v>
      </c>
      <c r="T64" s="1177">
        <v>73</v>
      </c>
      <c r="U64" s="1178">
        <v>325</v>
      </c>
      <c r="V64" s="1178">
        <v>5.7</v>
      </c>
      <c r="W64" s="1178">
        <v>126</v>
      </c>
      <c r="X64" s="1178">
        <v>65.400000000000006</v>
      </c>
      <c r="Y64" s="88">
        <f t="shared" si="66"/>
        <v>61.517230769230757</v>
      </c>
      <c r="Z64" s="88">
        <f t="shared" si="67"/>
        <v>334.19400000000002</v>
      </c>
      <c r="AA64" s="88">
        <f t="shared" si="68"/>
        <v>19.993099999999998</v>
      </c>
      <c r="AB64" s="1182">
        <v>2265</v>
      </c>
      <c r="AC64" s="1177">
        <v>76.5</v>
      </c>
      <c r="AD64" s="1178">
        <v>340</v>
      </c>
      <c r="AE64" s="1178">
        <f>AE63+0.1</f>
        <v>4.5</v>
      </c>
      <c r="AF64" s="1178">
        <v>116</v>
      </c>
      <c r="AG64" s="1178">
        <v>65.7</v>
      </c>
      <c r="AH64" s="88">
        <f t="shared" si="69"/>
        <v>63.368823529411763</v>
      </c>
      <c r="AI64" s="88">
        <f t="shared" si="70"/>
        <v>351.82350000000002</v>
      </c>
      <c r="AJ64" s="88">
        <f t="shared" si="71"/>
        <v>21.545400000000001</v>
      </c>
      <c r="AK64" s="1182">
        <v>1968</v>
      </c>
      <c r="AL64" s="1177">
        <v>83.8</v>
      </c>
      <c r="AM64" s="1178">
        <v>350</v>
      </c>
      <c r="AN64" s="1178">
        <f>AN63+0.1</f>
        <v>4.5</v>
      </c>
      <c r="AO64" s="1178">
        <v>110</v>
      </c>
      <c r="AP64" s="1178">
        <v>64.8</v>
      </c>
      <c r="AQ64" s="88">
        <f t="shared" si="72"/>
        <v>61.184000000000005</v>
      </c>
      <c r="AR64" s="88">
        <f t="shared" si="73"/>
        <v>380.11679999999996</v>
      </c>
      <c r="AS64" s="88">
        <f t="shared" si="74"/>
        <v>21.414400000000004</v>
      </c>
      <c r="AT64" s="1182">
        <v>1706</v>
      </c>
      <c r="AU64" s="1177">
        <v>79.599999999999994</v>
      </c>
      <c r="AV64" s="1178">
        <v>346.9</v>
      </c>
      <c r="AW64" s="1178">
        <v>5.5999999999999881</v>
      </c>
      <c r="AX64" s="1178">
        <v>108</v>
      </c>
      <c r="AY64" s="1178">
        <v>66.7</v>
      </c>
      <c r="AZ64" s="88">
        <f t="shared" si="75"/>
        <v>63.175843182473344</v>
      </c>
      <c r="BA64" s="88">
        <f t="shared" si="76"/>
        <v>371.65239999999994</v>
      </c>
      <c r="BB64" s="88">
        <f t="shared" si="77"/>
        <v>21.915700000000005</v>
      </c>
      <c r="BC64" s="1182">
        <v>2041</v>
      </c>
      <c r="BD64" s="1177">
        <v>84</v>
      </c>
      <c r="BE64" s="1178">
        <v>360.5</v>
      </c>
      <c r="BF64" s="1178">
        <v>4.1799999999999953</v>
      </c>
      <c r="BG64" s="1178">
        <v>116</v>
      </c>
      <c r="BH64" s="1178">
        <v>64.900000000000006</v>
      </c>
      <c r="BI64" s="88">
        <f t="shared" si="78"/>
        <v>62.729209431345375</v>
      </c>
      <c r="BJ64" s="88">
        <f t="shared" si="79"/>
        <v>381.61200000000002</v>
      </c>
      <c r="BK64" s="88">
        <f t="shared" si="80"/>
        <v>22.613880000000005</v>
      </c>
      <c r="BL64" s="1182">
        <v>2100</v>
      </c>
      <c r="BM64" s="1177">
        <v>81</v>
      </c>
      <c r="BN64" s="1178">
        <v>346.25</v>
      </c>
      <c r="BO64" s="1178">
        <v>5.0999999999999996</v>
      </c>
      <c r="BP64" s="1178">
        <v>106.5</v>
      </c>
      <c r="BQ64" s="1178">
        <v>65</v>
      </c>
      <c r="BR64" s="88">
        <f t="shared" si="81"/>
        <v>60.870469314079443</v>
      </c>
      <c r="BS64" s="88">
        <f t="shared" si="82"/>
        <v>368.55</v>
      </c>
      <c r="BT64" s="88">
        <f t="shared" si="83"/>
        <v>21.076400000000007</v>
      </c>
      <c r="BU64" s="1182">
        <v>1685</v>
      </c>
      <c r="BV64" s="1177">
        <v>82.9</v>
      </c>
      <c r="BW64" s="1178">
        <v>352</v>
      </c>
      <c r="BX64" s="1178">
        <v>5.1999999999999975</v>
      </c>
      <c r="BY64" s="1178">
        <v>115</v>
      </c>
      <c r="BZ64" s="1178">
        <v>64.3</v>
      </c>
      <c r="CA64" s="88">
        <f t="shared" si="84"/>
        <v>62.415624999999991</v>
      </c>
      <c r="CB64" s="88">
        <f t="shared" si="85"/>
        <v>373.13290000000006</v>
      </c>
      <c r="CC64" s="88">
        <f t="shared" si="86"/>
        <v>21.970299999999995</v>
      </c>
      <c r="CD64" s="1182">
        <v>1940</v>
      </c>
      <c r="CE64" s="1177">
        <v>81.3</v>
      </c>
      <c r="CF64" s="1178">
        <v>345.7</v>
      </c>
      <c r="CG64" s="1178">
        <v>5.5199999999999934</v>
      </c>
      <c r="CH64" s="1178">
        <v>114</v>
      </c>
      <c r="CI64" s="1178">
        <v>67.3</v>
      </c>
      <c r="CJ64" s="88">
        <f t="shared" si="87"/>
        <v>63.926091987272201</v>
      </c>
      <c r="CK64" s="88">
        <f t="shared" si="88"/>
        <v>383.0043</v>
      </c>
      <c r="CL64" s="88">
        <f t="shared" si="89"/>
        <v>22.099249999999998</v>
      </c>
      <c r="CM64" s="1182">
        <v>2036</v>
      </c>
      <c r="CN64" s="1177">
        <v>83.8</v>
      </c>
      <c r="CO64" s="1178">
        <v>352</v>
      </c>
      <c r="CP64" s="1178">
        <v>5.5199999999999934</v>
      </c>
      <c r="CQ64" s="1178">
        <v>104</v>
      </c>
      <c r="CR64" s="1178">
        <v>65.900000000000006</v>
      </c>
      <c r="CS64" s="88">
        <f t="shared" si="90"/>
        <v>62.606164772727311</v>
      </c>
      <c r="CT64" s="88">
        <f t="shared" si="91"/>
        <v>386.56940000000003</v>
      </c>
      <c r="CU64" s="88">
        <f t="shared" si="92"/>
        <v>22.037370000000013</v>
      </c>
      <c r="CV64" s="1182">
        <v>1784</v>
      </c>
      <c r="CW64" s="1177">
        <v>76.8</v>
      </c>
      <c r="CX64" s="1178">
        <v>340</v>
      </c>
      <c r="CY64" s="1178">
        <v>5.5199999999999978</v>
      </c>
      <c r="CZ64" s="1178">
        <v>111</v>
      </c>
      <c r="DA64" s="1178">
        <v>66</v>
      </c>
      <c r="DB64" s="88">
        <f t="shared" si="93"/>
        <v>63.030000000000022</v>
      </c>
      <c r="DC64" s="88">
        <f t="shared" si="94"/>
        <v>354.81600000000003</v>
      </c>
      <c r="DD64" s="88">
        <f t="shared" si="95"/>
        <v>21.430200000000006</v>
      </c>
      <c r="DE64" s="1182">
        <v>1968</v>
      </c>
    </row>
    <row r="65" spans="1:109" ht="15" x14ac:dyDescent="0.2">
      <c r="A65" s="96">
        <f t="shared" si="60"/>
        <v>77</v>
      </c>
      <c r="B65" s="1177">
        <v>67</v>
      </c>
      <c r="C65" s="1178">
        <v>322</v>
      </c>
      <c r="D65" s="1178">
        <v>5.7057057057057055</v>
      </c>
      <c r="E65" s="1178">
        <v>117</v>
      </c>
      <c r="F65" s="1178">
        <v>63.8</v>
      </c>
      <c r="G65" s="88">
        <f t="shared" si="61"/>
        <v>60.652484472049672</v>
      </c>
      <c r="H65" s="88">
        <f t="shared" si="59"/>
        <v>299.22200000000004</v>
      </c>
      <c r="I65" s="88">
        <f t="shared" si="62"/>
        <v>19.530099999999994</v>
      </c>
      <c r="J65" s="1182">
        <v>1742</v>
      </c>
      <c r="K65" s="1177">
        <v>83.2</v>
      </c>
      <c r="L65" s="1178">
        <v>355</v>
      </c>
      <c r="M65" s="1178">
        <v>5.7057057057057055</v>
      </c>
      <c r="N65" s="1178">
        <v>118</v>
      </c>
      <c r="O65" s="1178">
        <v>64.7</v>
      </c>
      <c r="P65" s="88">
        <f t="shared" si="63"/>
        <v>62.94414619718308</v>
      </c>
      <c r="Q65" s="88">
        <f t="shared" si="64"/>
        <v>376.81280000000004</v>
      </c>
      <c r="R65" s="88">
        <f t="shared" si="65"/>
        <v>22.345171899999993</v>
      </c>
      <c r="S65" s="1182">
        <v>1978</v>
      </c>
      <c r="T65" s="1177">
        <v>73</v>
      </c>
      <c r="U65" s="1178">
        <v>330</v>
      </c>
      <c r="V65" s="1178">
        <v>5.8</v>
      </c>
      <c r="W65" s="1178">
        <v>126</v>
      </c>
      <c r="X65" s="1178">
        <v>65.5</v>
      </c>
      <c r="Y65" s="88">
        <f t="shared" si="66"/>
        <v>61.577575757575744</v>
      </c>
      <c r="Z65" s="88">
        <f t="shared" si="67"/>
        <v>334.70499999999998</v>
      </c>
      <c r="AA65" s="88">
        <f t="shared" si="68"/>
        <v>20.320599999999995</v>
      </c>
      <c r="AB65" s="1182">
        <v>2270</v>
      </c>
      <c r="AC65" s="1177">
        <v>76</v>
      </c>
      <c r="AD65" s="1178">
        <v>345</v>
      </c>
      <c r="AE65" s="1178">
        <f>AE64+0.2</f>
        <v>4.7</v>
      </c>
      <c r="AF65" s="1178">
        <v>116</v>
      </c>
      <c r="AG65" s="1178">
        <v>65.7</v>
      </c>
      <c r="AH65" s="88">
        <f t="shared" si="69"/>
        <v>63.40260869565217</v>
      </c>
      <c r="AI65" s="88">
        <f t="shared" si="70"/>
        <v>349.52400000000006</v>
      </c>
      <c r="AJ65" s="88">
        <f t="shared" si="71"/>
        <v>21.873899999999999</v>
      </c>
      <c r="AK65" s="1182">
        <v>1969</v>
      </c>
      <c r="AL65" s="1177">
        <v>83.5</v>
      </c>
      <c r="AM65" s="1178">
        <v>356</v>
      </c>
      <c r="AN65" s="1178">
        <f>AN64+0.2</f>
        <v>4.7</v>
      </c>
      <c r="AO65" s="1178">
        <v>110</v>
      </c>
      <c r="AP65" s="1178">
        <v>64.900000000000006</v>
      </c>
      <c r="AQ65" s="88">
        <f t="shared" si="72"/>
        <v>61.246629213483153</v>
      </c>
      <c r="AR65" s="88">
        <f t="shared" si="73"/>
        <v>379.34050000000002</v>
      </c>
      <c r="AS65" s="88">
        <f t="shared" si="74"/>
        <v>21.803799999999999</v>
      </c>
      <c r="AT65" s="1182">
        <v>1706</v>
      </c>
      <c r="AU65" s="1177">
        <v>78.900000000000006</v>
      </c>
      <c r="AV65" s="1178">
        <v>352.1</v>
      </c>
      <c r="AW65" s="1178">
        <v>5.7</v>
      </c>
      <c r="AX65" s="1178">
        <v>108</v>
      </c>
      <c r="AY65" s="1178">
        <v>66.8</v>
      </c>
      <c r="AZ65" s="88">
        <f t="shared" si="75"/>
        <v>63.22936665719967</v>
      </c>
      <c r="BA65" s="88">
        <f t="shared" si="76"/>
        <v>368.93640000000005</v>
      </c>
      <c r="BB65" s="88">
        <f t="shared" si="77"/>
        <v>22.263060000000003</v>
      </c>
      <c r="BC65" s="1182">
        <v>2043</v>
      </c>
      <c r="BD65" s="1177">
        <v>83.4</v>
      </c>
      <c r="BE65" s="1178">
        <v>366.1</v>
      </c>
      <c r="BF65" s="1178">
        <v>4.3299999999999956</v>
      </c>
      <c r="BG65" s="1178">
        <v>116</v>
      </c>
      <c r="BH65" s="1178">
        <v>65</v>
      </c>
      <c r="BI65" s="88">
        <f t="shared" si="78"/>
        <v>62.763944277519826</v>
      </c>
      <c r="BJ65" s="88">
        <f t="shared" si="79"/>
        <v>379.47000000000008</v>
      </c>
      <c r="BK65" s="88">
        <f t="shared" si="80"/>
        <v>22.97788000000001</v>
      </c>
      <c r="BL65" s="1182">
        <v>2100</v>
      </c>
      <c r="BM65" s="1177">
        <v>80.5</v>
      </c>
      <c r="BN65" s="1178">
        <v>351.6</v>
      </c>
      <c r="BO65" s="1178">
        <v>5.2</v>
      </c>
      <c r="BP65" s="1178">
        <v>106.5</v>
      </c>
      <c r="BQ65" s="1178">
        <v>65</v>
      </c>
      <c r="BR65" s="88">
        <f t="shared" si="81"/>
        <v>60.93330489192266</v>
      </c>
      <c r="BS65" s="88">
        <f t="shared" si="82"/>
        <v>366.27500000000003</v>
      </c>
      <c r="BT65" s="88">
        <f t="shared" si="83"/>
        <v>21.424150000000012</v>
      </c>
      <c r="BU65" s="1182">
        <v>1685</v>
      </c>
      <c r="BV65" s="1177">
        <v>82.4</v>
      </c>
      <c r="BW65" s="1178">
        <v>358</v>
      </c>
      <c r="BX65" s="1178">
        <v>5.3000000000000007</v>
      </c>
      <c r="BY65" s="1178">
        <v>115</v>
      </c>
      <c r="BZ65" s="1178">
        <v>64.3</v>
      </c>
      <c r="CA65" s="88">
        <f t="shared" si="84"/>
        <v>62.447206703910602</v>
      </c>
      <c r="CB65" s="88">
        <f t="shared" si="85"/>
        <v>370.88240000000002</v>
      </c>
      <c r="CC65" s="88">
        <f t="shared" si="86"/>
        <v>22.356099999999994</v>
      </c>
      <c r="CD65" s="1182">
        <v>1940</v>
      </c>
      <c r="CE65" s="1177">
        <v>80.8</v>
      </c>
      <c r="CF65" s="1178">
        <v>351</v>
      </c>
      <c r="CG65" s="1178">
        <v>5.6399999999999979</v>
      </c>
      <c r="CH65" s="1178">
        <v>114</v>
      </c>
      <c r="CI65" s="1178">
        <v>67.3</v>
      </c>
      <c r="CJ65" s="88">
        <f t="shared" si="87"/>
        <v>63.977037037037043</v>
      </c>
      <c r="CK65" s="88">
        <f t="shared" si="88"/>
        <v>380.64879999999994</v>
      </c>
      <c r="CL65" s="88">
        <f t="shared" si="89"/>
        <v>22.455940000000002</v>
      </c>
      <c r="CM65" s="1182">
        <v>2039</v>
      </c>
      <c r="CN65" s="1177">
        <v>83.3</v>
      </c>
      <c r="CO65" s="1178">
        <v>357.5</v>
      </c>
      <c r="CP65" s="1178">
        <v>5.6399999999999979</v>
      </c>
      <c r="CQ65" s="1178">
        <v>104</v>
      </c>
      <c r="CR65" s="1178">
        <v>65.900000000000006</v>
      </c>
      <c r="CS65" s="88">
        <f t="shared" si="90"/>
        <v>62.656839160839198</v>
      </c>
      <c r="CT65" s="88">
        <f t="shared" si="91"/>
        <v>384.2629</v>
      </c>
      <c r="CU65" s="88">
        <f t="shared" si="92"/>
        <v>22.399820000000012</v>
      </c>
      <c r="CV65" s="1182">
        <v>1785</v>
      </c>
      <c r="CW65" s="1177">
        <v>76.2</v>
      </c>
      <c r="CX65" s="1178">
        <v>345</v>
      </c>
      <c r="CY65" s="1178">
        <v>5.6399999999999979</v>
      </c>
      <c r="CZ65" s="1178">
        <v>111</v>
      </c>
      <c r="DA65" s="1178">
        <v>66.099999999999994</v>
      </c>
      <c r="DB65" s="88">
        <f t="shared" si="93"/>
        <v>63.074492753623211</v>
      </c>
      <c r="DC65" s="88">
        <f t="shared" si="94"/>
        <v>352.57739999999995</v>
      </c>
      <c r="DD65" s="88">
        <f t="shared" si="95"/>
        <v>21.760700000000007</v>
      </c>
      <c r="DE65" s="1182">
        <v>1969</v>
      </c>
    </row>
    <row r="66" spans="1:109" ht="15" x14ac:dyDescent="0.2">
      <c r="A66" s="96">
        <f t="shared" si="60"/>
        <v>78</v>
      </c>
      <c r="B66" s="1177">
        <v>66.3</v>
      </c>
      <c r="C66" s="1178">
        <v>326</v>
      </c>
      <c r="D66" s="1178">
        <v>5.7057057057057055</v>
      </c>
      <c r="E66" s="1178">
        <v>117</v>
      </c>
      <c r="F66" s="1178">
        <v>63.8</v>
      </c>
      <c r="G66" s="88">
        <f t="shared" si="61"/>
        <v>60.691104294478514</v>
      </c>
      <c r="H66" s="88">
        <f t="shared" si="59"/>
        <v>296.09579999999994</v>
      </c>
      <c r="I66" s="88">
        <f t="shared" si="62"/>
        <v>19.785299999999992</v>
      </c>
      <c r="J66" s="1182">
        <v>1743</v>
      </c>
      <c r="K66" s="1177">
        <v>82.8</v>
      </c>
      <c r="L66" s="1178">
        <v>361</v>
      </c>
      <c r="M66" s="1178">
        <v>5.8058058058058064</v>
      </c>
      <c r="N66" s="1178">
        <v>118</v>
      </c>
      <c r="O66" s="1178">
        <v>64.7</v>
      </c>
      <c r="P66" s="88">
        <f t="shared" si="63"/>
        <v>62.973329362880868</v>
      </c>
      <c r="Q66" s="88">
        <f t="shared" si="64"/>
        <v>375.00119999999998</v>
      </c>
      <c r="R66" s="88">
        <f t="shared" si="65"/>
        <v>22.733371899999995</v>
      </c>
      <c r="S66" s="1182">
        <v>1979</v>
      </c>
      <c r="T66" s="1177">
        <v>72</v>
      </c>
      <c r="U66" s="1178">
        <v>335</v>
      </c>
      <c r="V66" s="1178">
        <v>5.9</v>
      </c>
      <c r="W66" s="1178">
        <v>126</v>
      </c>
      <c r="X66" s="1178">
        <v>65.599999999999994</v>
      </c>
      <c r="Y66" s="88">
        <f t="shared" si="66"/>
        <v>61.637611940298491</v>
      </c>
      <c r="Z66" s="88">
        <f t="shared" si="67"/>
        <v>330.62399999999997</v>
      </c>
      <c r="AA66" s="88">
        <f t="shared" si="68"/>
        <v>20.648599999999995</v>
      </c>
      <c r="AB66" s="1182">
        <v>2270</v>
      </c>
      <c r="AC66" s="1177">
        <v>75.5</v>
      </c>
      <c r="AD66" s="1178">
        <v>350</v>
      </c>
      <c r="AE66" s="1178">
        <f>AE65+0.1</f>
        <v>4.8</v>
      </c>
      <c r="AF66" s="1178">
        <v>116</v>
      </c>
      <c r="AG66" s="1178">
        <v>65.7</v>
      </c>
      <c r="AH66" s="88">
        <f t="shared" si="69"/>
        <v>63.435428571428567</v>
      </c>
      <c r="AI66" s="88">
        <f t="shared" si="70"/>
        <v>347.22450000000003</v>
      </c>
      <c r="AJ66" s="88">
        <f t="shared" si="71"/>
        <v>22.202399999999997</v>
      </c>
      <c r="AK66" s="1182">
        <v>1969</v>
      </c>
      <c r="AL66" s="1177">
        <v>83.2</v>
      </c>
      <c r="AM66" s="1178">
        <v>361</v>
      </c>
      <c r="AN66" s="1178">
        <f>AN65+0.1</f>
        <v>4.8</v>
      </c>
      <c r="AO66" s="1178">
        <v>110</v>
      </c>
      <c r="AP66" s="1178">
        <v>65</v>
      </c>
      <c r="AQ66" s="88">
        <f t="shared" si="72"/>
        <v>61.298614958448759</v>
      </c>
      <c r="AR66" s="88">
        <f t="shared" si="73"/>
        <v>378.56000000000006</v>
      </c>
      <c r="AS66" s="88">
        <f t="shared" si="74"/>
        <v>22.128800000000002</v>
      </c>
      <c r="AT66" s="1182">
        <v>1706</v>
      </c>
      <c r="AU66" s="1177">
        <v>78.2</v>
      </c>
      <c r="AV66" s="1178">
        <v>357.3</v>
      </c>
      <c r="AW66" s="1178">
        <v>5.7999999999999883</v>
      </c>
      <c r="AX66" s="1178">
        <v>108</v>
      </c>
      <c r="AY66" s="1178">
        <v>66.900000000000006</v>
      </c>
      <c r="AZ66" s="88">
        <f t="shared" si="75"/>
        <v>63.282787573467679</v>
      </c>
      <c r="BA66" s="88">
        <f t="shared" si="76"/>
        <v>366.21060000000006</v>
      </c>
      <c r="BB66" s="88">
        <f t="shared" si="77"/>
        <v>22.610940000000006</v>
      </c>
      <c r="BC66" s="1182">
        <v>2045</v>
      </c>
      <c r="BD66" s="1177">
        <v>82.8</v>
      </c>
      <c r="BE66" s="1178">
        <v>371.6</v>
      </c>
      <c r="BF66" s="1178">
        <v>4.479999999999996</v>
      </c>
      <c r="BG66" s="1178">
        <v>116</v>
      </c>
      <c r="BH66" s="1178">
        <v>65</v>
      </c>
      <c r="BI66" s="88">
        <f t="shared" si="78"/>
        <v>62.797039827771819</v>
      </c>
      <c r="BJ66" s="88">
        <f t="shared" si="79"/>
        <v>376.73999999999995</v>
      </c>
      <c r="BK66" s="88">
        <f t="shared" si="80"/>
        <v>23.335380000000011</v>
      </c>
      <c r="BL66" s="1182">
        <v>2100</v>
      </c>
      <c r="BM66" s="1177">
        <v>80</v>
      </c>
      <c r="BN66" s="1178">
        <v>356.9</v>
      </c>
      <c r="BO66" s="1178">
        <v>5.3</v>
      </c>
      <c r="BP66" s="1178">
        <v>106.5</v>
      </c>
      <c r="BQ66" s="1178">
        <v>65</v>
      </c>
      <c r="BR66" s="88">
        <f t="shared" si="81"/>
        <v>60.993695713084918</v>
      </c>
      <c r="BS66" s="88">
        <f t="shared" si="82"/>
        <v>364.00000000000006</v>
      </c>
      <c r="BT66" s="88">
        <f t="shared" si="83"/>
        <v>21.768650000000004</v>
      </c>
      <c r="BU66" s="1182">
        <v>1685</v>
      </c>
      <c r="BV66" s="1177">
        <v>81.900000000000006</v>
      </c>
      <c r="BW66" s="1178">
        <v>363</v>
      </c>
      <c r="BX66" s="1178">
        <v>5.400000000000003</v>
      </c>
      <c r="BY66" s="1178">
        <v>115</v>
      </c>
      <c r="BZ66" s="1178">
        <v>64.400000000000006</v>
      </c>
      <c r="CA66" s="88">
        <f t="shared" si="84"/>
        <v>62.474104683195577</v>
      </c>
      <c r="CB66" s="88">
        <f t="shared" si="85"/>
        <v>369.20520000000005</v>
      </c>
      <c r="CC66" s="88">
        <f t="shared" si="86"/>
        <v>22.678099999999993</v>
      </c>
      <c r="CD66" s="1182">
        <v>1940</v>
      </c>
      <c r="CE66" s="1177">
        <v>80.3</v>
      </c>
      <c r="CF66" s="1178">
        <v>356.3</v>
      </c>
      <c r="CG66" s="1178">
        <v>5.7600000000000025</v>
      </c>
      <c r="CH66" s="1178">
        <v>114</v>
      </c>
      <c r="CI66" s="1178">
        <v>67.400000000000006</v>
      </c>
      <c r="CJ66" s="88">
        <f t="shared" si="87"/>
        <v>64.02795397137244</v>
      </c>
      <c r="CK66" s="88">
        <f t="shared" si="88"/>
        <v>378.85539999999997</v>
      </c>
      <c r="CL66" s="88">
        <f t="shared" si="89"/>
        <v>22.813160000000003</v>
      </c>
      <c r="CM66" s="1182">
        <v>2041</v>
      </c>
      <c r="CN66" s="1177">
        <v>82.8</v>
      </c>
      <c r="CO66" s="1178">
        <v>363</v>
      </c>
      <c r="CP66" s="1178">
        <v>5.7600000000000025</v>
      </c>
      <c r="CQ66" s="1178">
        <v>104</v>
      </c>
      <c r="CR66" s="1178">
        <v>66</v>
      </c>
      <c r="CS66" s="88">
        <f t="shared" si="90"/>
        <v>62.707493112947695</v>
      </c>
      <c r="CT66" s="88">
        <f t="shared" si="91"/>
        <v>382.53599999999994</v>
      </c>
      <c r="CU66" s="88">
        <f t="shared" si="92"/>
        <v>22.762820000000012</v>
      </c>
      <c r="CV66" s="1182">
        <v>1786</v>
      </c>
      <c r="CW66" s="1177">
        <v>75.599999999999994</v>
      </c>
      <c r="CX66" s="1178">
        <v>350</v>
      </c>
      <c r="CY66" s="1178">
        <v>5.759999999999998</v>
      </c>
      <c r="CZ66" s="1178">
        <v>111</v>
      </c>
      <c r="DA66" s="1178">
        <v>66.099999999999994</v>
      </c>
      <c r="DB66" s="88">
        <f t="shared" si="93"/>
        <v>63.117714285714307</v>
      </c>
      <c r="DC66" s="88">
        <f t="shared" si="94"/>
        <v>349.80119999999988</v>
      </c>
      <c r="DD66" s="88">
        <f t="shared" si="95"/>
        <v>22.091200000000008</v>
      </c>
      <c r="DE66" s="1182">
        <v>1969</v>
      </c>
    </row>
    <row r="67" spans="1:109" ht="15" x14ac:dyDescent="0.2">
      <c r="A67" s="96">
        <f t="shared" si="60"/>
        <v>79</v>
      </c>
      <c r="B67" s="1177">
        <v>65.5</v>
      </c>
      <c r="C67" s="1178">
        <v>330</v>
      </c>
      <c r="D67" s="1178">
        <v>5.8058058058058064</v>
      </c>
      <c r="E67" s="1178">
        <v>117</v>
      </c>
      <c r="F67" s="1178">
        <v>63.8</v>
      </c>
      <c r="G67" s="88">
        <f t="shared" si="61"/>
        <v>60.728787878787863</v>
      </c>
      <c r="H67" s="88">
        <f t="shared" si="59"/>
        <v>292.52299999999997</v>
      </c>
      <c r="I67" s="88">
        <f t="shared" si="62"/>
        <v>20.040499999999994</v>
      </c>
      <c r="J67" s="1182">
        <v>1744</v>
      </c>
      <c r="K67" s="1177">
        <v>82.4</v>
      </c>
      <c r="L67" s="1178">
        <v>366</v>
      </c>
      <c r="M67" s="1178">
        <v>5.9059059059059056</v>
      </c>
      <c r="N67" s="1178">
        <v>118</v>
      </c>
      <c r="O67" s="1178">
        <v>64.7</v>
      </c>
      <c r="P67" s="88">
        <f t="shared" si="63"/>
        <v>62.996917759562827</v>
      </c>
      <c r="Q67" s="88">
        <f t="shared" si="64"/>
        <v>373.18960000000004</v>
      </c>
      <c r="R67" s="88">
        <f t="shared" si="65"/>
        <v>23.056871899999994</v>
      </c>
      <c r="S67" s="1182">
        <v>1980</v>
      </c>
      <c r="T67" s="1177">
        <v>72</v>
      </c>
      <c r="U67" s="1178">
        <v>340</v>
      </c>
      <c r="V67" s="1178">
        <v>6</v>
      </c>
      <c r="W67" s="1178">
        <v>126</v>
      </c>
      <c r="X67" s="1178">
        <v>65.7</v>
      </c>
      <c r="Y67" s="88">
        <f t="shared" si="66"/>
        <v>61.697352941176455</v>
      </c>
      <c r="Z67" s="88">
        <f t="shared" si="67"/>
        <v>331.12800000000004</v>
      </c>
      <c r="AA67" s="88">
        <f t="shared" si="68"/>
        <v>20.977099999999993</v>
      </c>
      <c r="AB67" s="1182">
        <v>2275</v>
      </c>
      <c r="AC67" s="1177">
        <v>75</v>
      </c>
      <c r="AD67" s="1178">
        <v>355</v>
      </c>
      <c r="AE67" s="1178">
        <f>AE66+0.2</f>
        <v>5</v>
      </c>
      <c r="AF67" s="1178">
        <v>116</v>
      </c>
      <c r="AG67" s="1178">
        <v>65.8</v>
      </c>
      <c r="AH67" s="88">
        <f t="shared" si="69"/>
        <v>63.468732394366192</v>
      </c>
      <c r="AI67" s="88">
        <f t="shared" si="70"/>
        <v>345.45</v>
      </c>
      <c r="AJ67" s="88">
        <f t="shared" si="71"/>
        <v>22.531399999999998</v>
      </c>
      <c r="AK67" s="1182">
        <v>1970</v>
      </c>
      <c r="AL67" s="1177">
        <v>82.9</v>
      </c>
      <c r="AM67" s="1178">
        <v>367</v>
      </c>
      <c r="AN67" s="1178">
        <f>AN66+0.2</f>
        <v>5</v>
      </c>
      <c r="AO67" s="1178">
        <v>110</v>
      </c>
      <c r="AP67" s="1178">
        <v>65.099999999999994</v>
      </c>
      <c r="AQ67" s="88">
        <f t="shared" si="72"/>
        <v>61.360762942779303</v>
      </c>
      <c r="AR67" s="88">
        <f t="shared" si="73"/>
        <v>377.77530000000002</v>
      </c>
      <c r="AS67" s="88">
        <f t="shared" si="74"/>
        <v>22.519400000000001</v>
      </c>
      <c r="AT67" s="1182">
        <v>1707</v>
      </c>
      <c r="AU67" s="1177">
        <v>77.5</v>
      </c>
      <c r="AV67" s="1178">
        <v>362.4</v>
      </c>
      <c r="AW67" s="1178">
        <v>5.8999999999999995</v>
      </c>
      <c r="AX67" s="1178">
        <v>108</v>
      </c>
      <c r="AY67" s="1178">
        <v>66.900000000000006</v>
      </c>
      <c r="AZ67" s="88">
        <f t="shared" si="75"/>
        <v>63.33369205298014</v>
      </c>
      <c r="BA67" s="88">
        <f t="shared" si="76"/>
        <v>362.9325</v>
      </c>
      <c r="BB67" s="88">
        <f t="shared" si="77"/>
        <v>22.95213</v>
      </c>
      <c r="BC67" s="1182">
        <v>2048</v>
      </c>
      <c r="BD67" s="1177">
        <v>82.2</v>
      </c>
      <c r="BE67" s="1178">
        <v>377.1</v>
      </c>
      <c r="BF67" s="1178">
        <v>4.6299999999999955</v>
      </c>
      <c r="BG67" s="1178">
        <v>116</v>
      </c>
      <c r="BH67" s="1178">
        <v>65</v>
      </c>
      <c r="BI67" s="88">
        <f t="shared" si="78"/>
        <v>62.829169981437303</v>
      </c>
      <c r="BJ67" s="88">
        <f t="shared" si="79"/>
        <v>374.01000000000005</v>
      </c>
      <c r="BK67" s="88">
        <f t="shared" si="80"/>
        <v>23.692880000000009</v>
      </c>
      <c r="BL67" s="1182">
        <v>2100</v>
      </c>
      <c r="BM67" s="1177">
        <v>80</v>
      </c>
      <c r="BN67" s="1178">
        <v>362.2</v>
      </c>
      <c r="BO67" s="1178">
        <v>5.4</v>
      </c>
      <c r="BP67" s="1178">
        <v>106.5</v>
      </c>
      <c r="BQ67" s="1178">
        <v>65</v>
      </c>
      <c r="BR67" s="88">
        <f t="shared" si="81"/>
        <v>61.052319160684725</v>
      </c>
      <c r="BS67" s="88">
        <f t="shared" si="82"/>
        <v>364.00000000000006</v>
      </c>
      <c r="BT67" s="88">
        <f t="shared" si="83"/>
        <v>22.113150000000005</v>
      </c>
      <c r="BU67" s="1182">
        <v>1685</v>
      </c>
      <c r="BV67" s="1177">
        <v>81.3</v>
      </c>
      <c r="BW67" s="1178">
        <v>368</v>
      </c>
      <c r="BX67" s="1178">
        <v>5.5000000000000053</v>
      </c>
      <c r="BY67" s="1178">
        <v>115</v>
      </c>
      <c r="BZ67" s="1178">
        <v>64.400000000000006</v>
      </c>
      <c r="CA67" s="88">
        <f t="shared" si="84"/>
        <v>62.500271739130419</v>
      </c>
      <c r="CB67" s="88">
        <f t="shared" si="85"/>
        <v>366.50040000000001</v>
      </c>
      <c r="CC67" s="88">
        <f t="shared" si="86"/>
        <v>23.000099999999993</v>
      </c>
      <c r="CD67" s="1182">
        <v>1940</v>
      </c>
      <c r="CE67" s="1177">
        <v>79.7</v>
      </c>
      <c r="CF67" s="1178">
        <v>361.6</v>
      </c>
      <c r="CG67" s="1178">
        <v>5.8799999999999955</v>
      </c>
      <c r="CH67" s="1178">
        <v>114</v>
      </c>
      <c r="CI67" s="1178">
        <v>67.400000000000006</v>
      </c>
      <c r="CJ67" s="88">
        <f t="shared" si="87"/>
        <v>64.077378318584067</v>
      </c>
      <c r="CK67" s="88">
        <f t="shared" si="88"/>
        <v>376.02460000000008</v>
      </c>
      <c r="CL67" s="88">
        <f t="shared" si="89"/>
        <v>23.170380000000002</v>
      </c>
      <c r="CM67" s="1182">
        <v>2044</v>
      </c>
      <c r="CN67" s="1177">
        <v>82.2</v>
      </c>
      <c r="CO67" s="1178">
        <v>368.5</v>
      </c>
      <c r="CP67" s="1178">
        <v>5.8799999999999955</v>
      </c>
      <c r="CQ67" s="1178">
        <v>104</v>
      </c>
      <c r="CR67" s="1178">
        <v>66</v>
      </c>
      <c r="CS67" s="88">
        <f t="shared" si="90"/>
        <v>62.7566350067843</v>
      </c>
      <c r="CT67" s="88">
        <f t="shared" si="91"/>
        <v>379.76400000000001</v>
      </c>
      <c r="CU67" s="88">
        <f t="shared" si="92"/>
        <v>23.125820000000015</v>
      </c>
      <c r="CV67" s="1182">
        <v>1787</v>
      </c>
      <c r="CW67" s="1177">
        <v>75</v>
      </c>
      <c r="CX67" s="1178">
        <v>355</v>
      </c>
      <c r="CY67" s="1178">
        <v>5.8799999999999981</v>
      </c>
      <c r="CZ67" s="1178">
        <v>111</v>
      </c>
      <c r="DA67" s="1178">
        <v>66.099999999999994</v>
      </c>
      <c r="DB67" s="88">
        <f t="shared" si="93"/>
        <v>63.15971830985918</v>
      </c>
      <c r="DC67" s="88">
        <f t="shared" si="94"/>
        <v>347.02499999999998</v>
      </c>
      <c r="DD67" s="88">
        <f t="shared" si="95"/>
        <v>22.421700000000008</v>
      </c>
      <c r="DE67" s="1182">
        <v>1970</v>
      </c>
    </row>
    <row r="68" spans="1:109" ht="15.75" thickBot="1" x14ac:dyDescent="0.25">
      <c r="A68" s="155">
        <f t="shared" si="60"/>
        <v>80</v>
      </c>
      <c r="B68" s="1189">
        <v>64.8</v>
      </c>
      <c r="C68" s="1190">
        <v>335</v>
      </c>
      <c r="D68" s="1190">
        <v>5.9059059059059056</v>
      </c>
      <c r="E68" s="1190">
        <v>117</v>
      </c>
      <c r="F68" s="1190">
        <v>63.8</v>
      </c>
      <c r="G68" s="156">
        <f t="shared" si="61"/>
        <v>60.774626865671628</v>
      </c>
      <c r="H68" s="156">
        <f t="shared" si="59"/>
        <v>289.39680000000004</v>
      </c>
      <c r="I68" s="156">
        <f t="shared" si="62"/>
        <v>20.359499999999997</v>
      </c>
      <c r="J68" s="1191">
        <v>1745</v>
      </c>
      <c r="K68" s="1189">
        <v>81.900000000000006</v>
      </c>
      <c r="L68" s="1190">
        <v>372</v>
      </c>
      <c r="M68" s="1190">
        <v>5.9059059059059056</v>
      </c>
      <c r="N68" s="1190">
        <v>118</v>
      </c>
      <c r="O68" s="1190">
        <v>64.7</v>
      </c>
      <c r="P68" s="156">
        <f t="shared" si="63"/>
        <v>63.024386827956981</v>
      </c>
      <c r="Q68" s="156">
        <f t="shared" si="64"/>
        <v>370.92510000000004</v>
      </c>
      <c r="R68" s="156">
        <f t="shared" si="65"/>
        <v>23.445071899999995</v>
      </c>
      <c r="S68" s="1191">
        <v>1981</v>
      </c>
      <c r="T68" s="1189">
        <v>71</v>
      </c>
      <c r="U68" s="1190">
        <v>345</v>
      </c>
      <c r="V68" s="1190">
        <v>6.1</v>
      </c>
      <c r="W68" s="1190">
        <v>126</v>
      </c>
      <c r="X68" s="1190">
        <v>65.8</v>
      </c>
      <c r="Y68" s="156">
        <f t="shared" si="66"/>
        <v>61.756811594202887</v>
      </c>
      <c r="Z68" s="156">
        <f t="shared" si="67"/>
        <v>327.02599999999995</v>
      </c>
      <c r="AA68" s="156">
        <f t="shared" si="68"/>
        <v>21.306099999999997</v>
      </c>
      <c r="AB68" s="1191">
        <v>2275</v>
      </c>
      <c r="AC68" s="1189">
        <v>74.5</v>
      </c>
      <c r="AD68" s="1190">
        <v>360</v>
      </c>
      <c r="AE68" s="1190">
        <f>AE67+0.1</f>
        <v>5.0999999999999996</v>
      </c>
      <c r="AF68" s="1190">
        <v>116</v>
      </c>
      <c r="AG68" s="1190">
        <v>65.8</v>
      </c>
      <c r="AH68" s="156">
        <f t="shared" si="69"/>
        <v>63.501111111111108</v>
      </c>
      <c r="AI68" s="156">
        <f t="shared" si="70"/>
        <v>343.14699999999999</v>
      </c>
      <c r="AJ68" s="156">
        <f t="shared" si="71"/>
        <v>22.860399999999998</v>
      </c>
      <c r="AK68" s="1191">
        <v>1970</v>
      </c>
      <c r="AL68" s="1189">
        <v>82.5</v>
      </c>
      <c r="AM68" s="1190">
        <v>372</v>
      </c>
      <c r="AN68" s="1190">
        <f>AN67+0.1</f>
        <v>5.0999999999999996</v>
      </c>
      <c r="AO68" s="1190">
        <v>110</v>
      </c>
      <c r="AP68" s="1190">
        <v>65.2</v>
      </c>
      <c r="AQ68" s="156">
        <f t="shared" si="72"/>
        <v>61.412365591397865</v>
      </c>
      <c r="AR68" s="156">
        <f t="shared" si="73"/>
        <v>376.53</v>
      </c>
      <c r="AS68" s="156">
        <f t="shared" si="74"/>
        <v>22.845400000000005</v>
      </c>
      <c r="AT68" s="1191">
        <v>1707</v>
      </c>
      <c r="AU68" s="1189">
        <v>76.8</v>
      </c>
      <c r="AV68" s="1190">
        <v>367.5</v>
      </c>
      <c r="AW68" s="1190">
        <v>6</v>
      </c>
      <c r="AX68" s="1190">
        <v>108</v>
      </c>
      <c r="AY68" s="1190">
        <v>67</v>
      </c>
      <c r="AZ68" s="156">
        <f t="shared" si="75"/>
        <v>63.384571428571441</v>
      </c>
      <c r="BA68" s="156">
        <f t="shared" si="76"/>
        <v>360.19200000000001</v>
      </c>
      <c r="BB68" s="156">
        <f t="shared" si="77"/>
        <v>23.293830000000003</v>
      </c>
      <c r="BC68" s="1191">
        <v>2050</v>
      </c>
      <c r="BD68" s="1189">
        <v>81.599999999999994</v>
      </c>
      <c r="BE68" s="1190">
        <v>382.5</v>
      </c>
      <c r="BF68" s="1190">
        <v>4.7799999999999958</v>
      </c>
      <c r="BG68" s="1190">
        <v>116</v>
      </c>
      <c r="BH68" s="1190">
        <v>65</v>
      </c>
      <c r="BI68" s="156">
        <f t="shared" si="78"/>
        <v>62.859816993464072</v>
      </c>
      <c r="BJ68" s="156">
        <f t="shared" si="79"/>
        <v>371.28</v>
      </c>
      <c r="BK68" s="156">
        <f t="shared" si="80"/>
        <v>24.043880000000009</v>
      </c>
      <c r="BL68" s="1191">
        <v>2100</v>
      </c>
      <c r="BM68" s="1189">
        <v>79</v>
      </c>
      <c r="BN68" s="1190">
        <v>367.4</v>
      </c>
      <c r="BO68" s="1190">
        <v>5.5</v>
      </c>
      <c r="BP68" s="1190">
        <v>106.5</v>
      </c>
      <c r="BQ68" s="1190">
        <v>65</v>
      </c>
      <c r="BR68" s="156">
        <f t="shared" si="81"/>
        <v>61.108192705498112</v>
      </c>
      <c r="BS68" s="156">
        <f t="shared" si="82"/>
        <v>359.45</v>
      </c>
      <c r="BT68" s="156">
        <f t="shared" si="83"/>
        <v>22.451150000000005</v>
      </c>
      <c r="BU68" s="1191">
        <v>1685</v>
      </c>
      <c r="BV68" s="1189">
        <v>80.8</v>
      </c>
      <c r="BW68" s="1190">
        <v>374</v>
      </c>
      <c r="BX68" s="1190">
        <v>5.5999999999999961</v>
      </c>
      <c r="BY68" s="1190">
        <v>115</v>
      </c>
      <c r="BZ68" s="1190">
        <v>64.400000000000006</v>
      </c>
      <c r="CA68" s="156">
        <f t="shared" si="84"/>
        <v>62.530748663101591</v>
      </c>
      <c r="CB68" s="156">
        <f t="shared" si="85"/>
        <v>364.24639999999999</v>
      </c>
      <c r="CC68" s="156">
        <f t="shared" si="86"/>
        <v>23.386499999999995</v>
      </c>
      <c r="CD68" s="1191">
        <v>1940</v>
      </c>
      <c r="CE68" s="1189">
        <v>79.2</v>
      </c>
      <c r="CF68" s="1190">
        <v>366.8</v>
      </c>
      <c r="CG68" s="1190">
        <v>6</v>
      </c>
      <c r="CH68" s="1190">
        <v>114</v>
      </c>
      <c r="CI68" s="1190">
        <v>67.5</v>
      </c>
      <c r="CJ68" s="156">
        <f t="shared" si="87"/>
        <v>64.125899672846231</v>
      </c>
      <c r="CK68" s="156">
        <f t="shared" si="88"/>
        <v>374.22</v>
      </c>
      <c r="CL68" s="156">
        <f t="shared" si="89"/>
        <v>23.521380000000001</v>
      </c>
      <c r="CM68" s="1191">
        <v>2046</v>
      </c>
      <c r="CN68" s="1189">
        <v>81.599999999999994</v>
      </c>
      <c r="CO68" s="1190">
        <v>373.9</v>
      </c>
      <c r="CP68" s="1190">
        <v>6</v>
      </c>
      <c r="CQ68" s="1190">
        <v>104</v>
      </c>
      <c r="CR68" s="1190">
        <v>66.099999999999994</v>
      </c>
      <c r="CS68" s="156">
        <f t="shared" si="90"/>
        <v>62.804921101898941</v>
      </c>
      <c r="CT68" s="156">
        <f t="shared" si="91"/>
        <v>377.56319999999994</v>
      </c>
      <c r="CU68" s="156">
        <f t="shared" si="92"/>
        <v>23.482760000000013</v>
      </c>
      <c r="CV68" s="1191">
        <v>1788</v>
      </c>
      <c r="CW68" s="1189">
        <v>74.400000000000006</v>
      </c>
      <c r="CX68" s="1190">
        <v>359</v>
      </c>
      <c r="CY68" s="1190">
        <v>5.9999999999999982</v>
      </c>
      <c r="CZ68" s="1190">
        <v>111</v>
      </c>
      <c r="DA68" s="1190">
        <v>66.099999999999994</v>
      </c>
      <c r="DB68" s="156">
        <f t="shared" si="93"/>
        <v>63.192479108635119</v>
      </c>
      <c r="DC68" s="156">
        <f t="shared" si="94"/>
        <v>344.24880000000002</v>
      </c>
      <c r="DD68" s="156">
        <f t="shared" si="95"/>
        <v>22.686100000000007</v>
      </c>
      <c r="DE68" s="1191">
        <v>1970</v>
      </c>
    </row>
    <row r="69" spans="1:109" ht="15" x14ac:dyDescent="0.2">
      <c r="A69" s="151">
        <f t="shared" si="60"/>
        <v>81</v>
      </c>
      <c r="B69" s="1179">
        <v>64.099999999999994</v>
      </c>
      <c r="C69" s="1180">
        <v>339</v>
      </c>
      <c r="D69" s="1180">
        <v>6.0060060060060056</v>
      </c>
      <c r="E69" s="1180">
        <v>117</v>
      </c>
      <c r="F69" s="1180">
        <v>63.8</v>
      </c>
      <c r="G69" s="152">
        <f t="shared" si="61"/>
        <v>60.810324483775801</v>
      </c>
      <c r="H69" s="152">
        <f t="shared" si="59"/>
        <v>286.27059999999994</v>
      </c>
      <c r="I69" s="152">
        <f t="shared" si="62"/>
        <v>20.614699999999996</v>
      </c>
      <c r="J69" s="1184">
        <v>1746</v>
      </c>
      <c r="K69" s="1179">
        <v>81.5</v>
      </c>
      <c r="L69" s="1180">
        <v>377</v>
      </c>
      <c r="M69" s="1180">
        <v>6.0060060060060056</v>
      </c>
      <c r="N69" s="1180">
        <v>118</v>
      </c>
      <c r="O69" s="1180">
        <v>64.8</v>
      </c>
      <c r="P69" s="152">
        <f t="shared" si="63"/>
        <v>63.047936074270538</v>
      </c>
      <c r="Q69" s="152">
        <f t="shared" si="64"/>
        <v>369.68399999999997</v>
      </c>
      <c r="R69" s="152">
        <f t="shared" si="65"/>
        <v>23.769071899999997</v>
      </c>
      <c r="S69" s="1184">
        <v>1982</v>
      </c>
      <c r="T69" s="1179">
        <v>71</v>
      </c>
      <c r="U69" s="1180">
        <v>349</v>
      </c>
      <c r="V69" s="1180">
        <f t="shared" ref="V69:V78" si="96">V68+0.12</f>
        <v>6.22</v>
      </c>
      <c r="W69" s="1180">
        <v>126</v>
      </c>
      <c r="X69" s="1180">
        <v>65.900000000000006</v>
      </c>
      <c r="Y69" s="152">
        <f t="shared" si="66"/>
        <v>61.804297994269326</v>
      </c>
      <c r="Z69" s="152">
        <f t="shared" si="67"/>
        <v>327.52300000000002</v>
      </c>
      <c r="AA69" s="152">
        <f t="shared" si="68"/>
        <v>21.569699999999994</v>
      </c>
      <c r="AB69" s="1184">
        <v>2280</v>
      </c>
      <c r="AC69" s="1179">
        <v>74</v>
      </c>
      <c r="AD69" s="1180">
        <v>365</v>
      </c>
      <c r="AE69" s="1180">
        <v>5.3</v>
      </c>
      <c r="AF69" s="1180">
        <v>116</v>
      </c>
      <c r="AG69" s="1180">
        <v>65.8</v>
      </c>
      <c r="AH69" s="152">
        <f t="shared" si="69"/>
        <v>63.532602739726023</v>
      </c>
      <c r="AI69" s="152">
        <f t="shared" si="70"/>
        <v>340.84399999999999</v>
      </c>
      <c r="AJ69" s="152">
        <f t="shared" si="71"/>
        <v>23.189399999999999</v>
      </c>
      <c r="AK69" s="1184">
        <v>1971</v>
      </c>
      <c r="AL69" s="1179">
        <v>82.2</v>
      </c>
      <c r="AM69" s="1180">
        <v>378</v>
      </c>
      <c r="AN69" s="1180">
        <v>5.3</v>
      </c>
      <c r="AO69" s="1180">
        <v>110</v>
      </c>
      <c r="AP69" s="1180">
        <v>65.3</v>
      </c>
      <c r="AQ69" s="152">
        <f t="shared" si="72"/>
        <v>61.474074074074089</v>
      </c>
      <c r="AR69" s="152">
        <f t="shared" si="73"/>
        <v>375.7362</v>
      </c>
      <c r="AS69" s="152">
        <f t="shared" si="74"/>
        <v>23.237200000000005</v>
      </c>
      <c r="AT69" s="1184">
        <v>1707</v>
      </c>
      <c r="AU69" s="1179">
        <v>76</v>
      </c>
      <c r="AV69" s="1180">
        <v>372.5</v>
      </c>
      <c r="AW69" s="1180">
        <v>6.1</v>
      </c>
      <c r="AX69" s="1180">
        <v>107</v>
      </c>
      <c r="AY69" s="1180">
        <v>67</v>
      </c>
      <c r="AZ69" s="152">
        <f t="shared" si="75"/>
        <v>63.433100671140956</v>
      </c>
      <c r="BA69" s="152">
        <f t="shared" si="76"/>
        <v>356.44</v>
      </c>
      <c r="BB69" s="152">
        <f t="shared" si="77"/>
        <v>23.628830000000008</v>
      </c>
      <c r="BC69" s="1184">
        <v>2052</v>
      </c>
      <c r="BD69" s="1179">
        <v>81</v>
      </c>
      <c r="BE69" s="1180">
        <v>387.9</v>
      </c>
      <c r="BF69" s="1180">
        <v>4.9299999999999953</v>
      </c>
      <c r="BG69" s="1180">
        <v>116</v>
      </c>
      <c r="BH69" s="1180">
        <v>65</v>
      </c>
      <c r="BI69" s="152">
        <f t="shared" si="78"/>
        <v>62.889610724413529</v>
      </c>
      <c r="BJ69" s="152">
        <f t="shared" si="79"/>
        <v>368.55</v>
      </c>
      <c r="BK69" s="152">
        <f t="shared" si="80"/>
        <v>24.394880000000008</v>
      </c>
      <c r="BL69" s="1184">
        <v>2100</v>
      </c>
      <c r="BM69" s="1179">
        <v>79</v>
      </c>
      <c r="BN69" s="1180">
        <v>372.65</v>
      </c>
      <c r="BO69" s="1180">
        <v>5.6</v>
      </c>
      <c r="BP69" s="1180">
        <v>106.5</v>
      </c>
      <c r="BQ69" s="1180">
        <v>65</v>
      </c>
      <c r="BR69" s="152">
        <f t="shared" si="81"/>
        <v>61.163021602039471</v>
      </c>
      <c r="BS69" s="152">
        <f t="shared" si="82"/>
        <v>359.45</v>
      </c>
      <c r="BT69" s="152">
        <f t="shared" si="83"/>
        <v>22.792400000000004</v>
      </c>
      <c r="BU69" s="1184">
        <v>1685</v>
      </c>
      <c r="BV69" s="1179">
        <v>80.3</v>
      </c>
      <c r="BW69" s="1180">
        <v>379</v>
      </c>
      <c r="BX69" s="1180">
        <v>5.6999999999999984</v>
      </c>
      <c r="BY69" s="1180">
        <v>115</v>
      </c>
      <c r="BZ69" s="1180">
        <v>64.5</v>
      </c>
      <c r="CA69" s="152">
        <f t="shared" si="84"/>
        <v>62.556728232189961</v>
      </c>
      <c r="CB69" s="152">
        <f t="shared" si="85"/>
        <v>362.55449999999996</v>
      </c>
      <c r="CC69" s="152">
        <f t="shared" si="86"/>
        <v>23.709</v>
      </c>
      <c r="CD69" s="1184">
        <v>1945</v>
      </c>
      <c r="CE69" s="1179">
        <v>78.599999999999994</v>
      </c>
      <c r="CF69" s="1180">
        <v>372</v>
      </c>
      <c r="CG69" s="1180">
        <v>6.1199999999999939</v>
      </c>
      <c r="CH69" s="1180">
        <v>112</v>
      </c>
      <c r="CI69" s="1180">
        <v>67.5</v>
      </c>
      <c r="CJ69" s="152">
        <f t="shared" si="87"/>
        <v>64.173064516129017</v>
      </c>
      <c r="CK69" s="152">
        <f t="shared" si="88"/>
        <v>371.38499999999999</v>
      </c>
      <c r="CL69" s="152">
        <f t="shared" si="89"/>
        <v>23.872379999999996</v>
      </c>
      <c r="CM69" s="1184">
        <v>2047</v>
      </c>
      <c r="CN69" s="1179">
        <v>81.099999999999994</v>
      </c>
      <c r="CO69" s="1180">
        <v>379.3</v>
      </c>
      <c r="CP69" s="1180">
        <v>6.1199999999999939</v>
      </c>
      <c r="CQ69" s="1180">
        <v>103</v>
      </c>
      <c r="CR69" s="1180">
        <v>66.099999999999994</v>
      </c>
      <c r="CS69" s="152">
        <f t="shared" si="90"/>
        <v>62.85183232269975</v>
      </c>
      <c r="CT69" s="152">
        <f t="shared" si="91"/>
        <v>375.24969999999996</v>
      </c>
      <c r="CU69" s="152">
        <f t="shared" si="92"/>
        <v>23.839700000000015</v>
      </c>
      <c r="CV69" s="1184">
        <v>1789</v>
      </c>
      <c r="CW69" s="1179">
        <v>73.900000000000006</v>
      </c>
      <c r="CX69" s="1180">
        <v>364</v>
      </c>
      <c r="CY69" s="1180">
        <f t="shared" ref="CY69:CY78" si="97">CY68+0.12</f>
        <v>6.1199999999999983</v>
      </c>
      <c r="CZ69" s="1180">
        <v>111</v>
      </c>
      <c r="DA69" s="1180">
        <v>66.2</v>
      </c>
      <c r="DB69" s="152">
        <f t="shared" si="93"/>
        <v>63.233791208791231</v>
      </c>
      <c r="DC69" s="152">
        <f t="shared" si="94"/>
        <v>342.45260000000007</v>
      </c>
      <c r="DD69" s="152">
        <f t="shared" si="95"/>
        <v>23.01710000000001</v>
      </c>
      <c r="DE69" s="1184">
        <v>1971</v>
      </c>
    </row>
    <row r="70" spans="1:109" ht="15" x14ac:dyDescent="0.2">
      <c r="A70" s="96">
        <f t="shared" si="60"/>
        <v>82</v>
      </c>
      <c r="B70" s="1177">
        <v>63.4</v>
      </c>
      <c r="C70" s="1178">
        <v>343</v>
      </c>
      <c r="D70" s="1178">
        <v>6.1061061061061057</v>
      </c>
      <c r="E70" s="1178">
        <v>117</v>
      </c>
      <c r="F70" s="1178">
        <v>63.8</v>
      </c>
      <c r="G70" s="88">
        <f t="shared" si="61"/>
        <v>60.845189504373167</v>
      </c>
      <c r="H70" s="88">
        <f t="shared" ref="H70:H101" si="98">B70/100*7*F70</f>
        <v>283.14439999999996</v>
      </c>
      <c r="I70" s="88">
        <f t="shared" si="62"/>
        <v>20.869899999999994</v>
      </c>
      <c r="J70" s="1182">
        <v>1747</v>
      </c>
      <c r="K70" s="1177">
        <v>81</v>
      </c>
      <c r="L70" s="1178">
        <v>382</v>
      </c>
      <c r="M70" s="1178">
        <v>6.1061061061061057</v>
      </c>
      <c r="N70" s="1178">
        <v>118</v>
      </c>
      <c r="O70" s="1178">
        <v>64.8</v>
      </c>
      <c r="P70" s="88">
        <f t="shared" si="63"/>
        <v>63.070868848167521</v>
      </c>
      <c r="Q70" s="88">
        <f t="shared" si="64"/>
        <v>367.416</v>
      </c>
      <c r="R70" s="88">
        <f t="shared" si="65"/>
        <v>24.093071899999995</v>
      </c>
      <c r="S70" s="1182">
        <v>1983</v>
      </c>
      <c r="T70" s="1177">
        <v>70</v>
      </c>
      <c r="U70" s="1178">
        <v>354</v>
      </c>
      <c r="V70" s="1178">
        <f t="shared" si="96"/>
        <v>6.34</v>
      </c>
      <c r="W70" s="1178">
        <v>126</v>
      </c>
      <c r="X70" s="1178">
        <v>66</v>
      </c>
      <c r="Y70" s="88">
        <f t="shared" si="66"/>
        <v>61.863559322033879</v>
      </c>
      <c r="Z70" s="88">
        <f t="shared" si="67"/>
        <v>323.39999999999998</v>
      </c>
      <c r="AA70" s="88">
        <f t="shared" si="68"/>
        <v>21.899699999999992</v>
      </c>
      <c r="AB70" s="1182">
        <v>2280</v>
      </c>
      <c r="AC70" s="1177">
        <v>73.5</v>
      </c>
      <c r="AD70" s="1178">
        <v>370</v>
      </c>
      <c r="AE70" s="1178">
        <f>AE69+0.12</f>
        <v>5.42</v>
      </c>
      <c r="AF70" s="1178">
        <v>116</v>
      </c>
      <c r="AG70" s="1178">
        <v>65.900000000000006</v>
      </c>
      <c r="AH70" s="88">
        <f t="shared" si="69"/>
        <v>63.564594594594588</v>
      </c>
      <c r="AI70" s="88">
        <f t="shared" si="70"/>
        <v>339.05549999999999</v>
      </c>
      <c r="AJ70" s="88">
        <f t="shared" si="71"/>
        <v>23.518899999999999</v>
      </c>
      <c r="AK70" s="1182">
        <v>1971</v>
      </c>
      <c r="AL70" s="1177">
        <v>81.900000000000006</v>
      </c>
      <c r="AM70" s="1178">
        <v>383</v>
      </c>
      <c r="AN70" s="1178">
        <f>AN69+0.12</f>
        <v>5.42</v>
      </c>
      <c r="AO70" s="1178">
        <v>110</v>
      </c>
      <c r="AP70" s="1178">
        <v>65.400000000000006</v>
      </c>
      <c r="AQ70" s="88">
        <f t="shared" si="72"/>
        <v>61.525326370757185</v>
      </c>
      <c r="AR70" s="88">
        <f t="shared" si="73"/>
        <v>374.93820000000005</v>
      </c>
      <c r="AS70" s="88">
        <f t="shared" si="74"/>
        <v>23.564200000000007</v>
      </c>
      <c r="AT70" s="1182">
        <v>1708</v>
      </c>
      <c r="AU70" s="1177">
        <v>75.3</v>
      </c>
      <c r="AV70" s="1178">
        <v>377.4</v>
      </c>
      <c r="AW70" s="1178">
        <v>6.2</v>
      </c>
      <c r="AX70" s="1178">
        <v>107</v>
      </c>
      <c r="AY70" s="1178">
        <v>67.099999999999994</v>
      </c>
      <c r="AZ70" s="88">
        <f t="shared" si="75"/>
        <v>63.480710121886602</v>
      </c>
      <c r="BA70" s="88">
        <f t="shared" si="76"/>
        <v>353.68409999999994</v>
      </c>
      <c r="BB70" s="88">
        <f t="shared" si="77"/>
        <v>23.957620000000002</v>
      </c>
      <c r="BC70" s="1182">
        <v>2054</v>
      </c>
      <c r="BD70" s="1177">
        <v>80.400000000000006</v>
      </c>
      <c r="BE70" s="1178">
        <v>393.2</v>
      </c>
      <c r="BF70" s="1178">
        <v>5.0799999999999956</v>
      </c>
      <c r="BG70" s="1178">
        <v>116</v>
      </c>
      <c r="BH70" s="1178">
        <v>65.099999999999994</v>
      </c>
      <c r="BI70" s="88">
        <f t="shared" si="78"/>
        <v>62.919404883011211</v>
      </c>
      <c r="BJ70" s="88">
        <f t="shared" si="79"/>
        <v>366.38279999999997</v>
      </c>
      <c r="BK70" s="88">
        <f t="shared" si="80"/>
        <v>24.739910000000009</v>
      </c>
      <c r="BL70" s="1182">
        <v>2100</v>
      </c>
      <c r="BM70" s="1177">
        <v>78</v>
      </c>
      <c r="BN70" s="1178">
        <v>377.85</v>
      </c>
      <c r="BO70" s="1178">
        <v>5.6</v>
      </c>
      <c r="BP70" s="1178">
        <v>106.5</v>
      </c>
      <c r="BQ70" s="1178">
        <v>65</v>
      </c>
      <c r="BR70" s="88">
        <f t="shared" si="81"/>
        <v>61.215826386132093</v>
      </c>
      <c r="BS70" s="88">
        <f t="shared" si="82"/>
        <v>354.9</v>
      </c>
      <c r="BT70" s="88">
        <f t="shared" si="83"/>
        <v>23.130400000000012</v>
      </c>
      <c r="BU70" s="1182">
        <v>1685</v>
      </c>
      <c r="BV70" s="1177">
        <v>79.7</v>
      </c>
      <c r="BW70" s="1178">
        <v>384</v>
      </c>
      <c r="BX70" s="1178">
        <v>5.8000000000000007</v>
      </c>
      <c r="BY70" s="1178">
        <v>115</v>
      </c>
      <c r="BZ70" s="1178">
        <v>64.5</v>
      </c>
      <c r="CA70" s="88">
        <f t="shared" si="84"/>
        <v>62.582031249999993</v>
      </c>
      <c r="CB70" s="88">
        <f t="shared" si="85"/>
        <v>359.84550000000002</v>
      </c>
      <c r="CC70" s="88">
        <f t="shared" si="86"/>
        <v>24.031499999999998</v>
      </c>
      <c r="CD70" s="1182">
        <v>1945</v>
      </c>
      <c r="CE70" s="1177">
        <v>78</v>
      </c>
      <c r="CF70" s="1178">
        <v>377.1</v>
      </c>
      <c r="CG70" s="1178">
        <v>6.2399999999999975</v>
      </c>
      <c r="CH70" s="1178">
        <v>112</v>
      </c>
      <c r="CI70" s="1178">
        <v>67.599999999999994</v>
      </c>
      <c r="CJ70" s="88">
        <f t="shared" si="87"/>
        <v>64.219411296738244</v>
      </c>
      <c r="CK70" s="88">
        <f t="shared" si="88"/>
        <v>369.09599999999995</v>
      </c>
      <c r="CL70" s="88">
        <f t="shared" si="89"/>
        <v>24.217139999999993</v>
      </c>
      <c r="CM70" s="1182">
        <v>2048</v>
      </c>
      <c r="CN70" s="1177">
        <v>80.5</v>
      </c>
      <c r="CO70" s="1178">
        <v>384.6</v>
      </c>
      <c r="CP70" s="1178">
        <v>6.2399999999999975</v>
      </c>
      <c r="CQ70" s="1178">
        <v>103</v>
      </c>
      <c r="CR70" s="1178">
        <v>66.099999999999994</v>
      </c>
      <c r="CS70" s="88">
        <f t="shared" si="90"/>
        <v>62.896593863754589</v>
      </c>
      <c r="CT70" s="88">
        <f t="shared" si="91"/>
        <v>372.4735</v>
      </c>
      <c r="CU70" s="88">
        <f t="shared" si="92"/>
        <v>24.190030000000014</v>
      </c>
      <c r="CV70" s="1182">
        <v>1790</v>
      </c>
      <c r="CW70" s="1177">
        <v>73.5</v>
      </c>
      <c r="CX70" s="1178">
        <v>369</v>
      </c>
      <c r="CY70" s="1178">
        <f t="shared" si="97"/>
        <v>6.2399999999999984</v>
      </c>
      <c r="CZ70" s="1178">
        <v>111</v>
      </c>
      <c r="DA70" s="1178">
        <v>66.2</v>
      </c>
      <c r="DB70" s="88">
        <f t="shared" si="93"/>
        <v>63.273983739837419</v>
      </c>
      <c r="DC70" s="88">
        <f t="shared" si="94"/>
        <v>340.59899999999999</v>
      </c>
      <c r="DD70" s="88">
        <f t="shared" si="95"/>
        <v>23.348100000000009</v>
      </c>
      <c r="DE70" s="1182">
        <v>1971</v>
      </c>
    </row>
    <row r="71" spans="1:109" ht="15" x14ac:dyDescent="0.2">
      <c r="A71" s="96">
        <f t="shared" ref="A71:A102" si="99">A70+1</f>
        <v>83</v>
      </c>
      <c r="B71" s="1177">
        <v>62.7</v>
      </c>
      <c r="C71" s="1178">
        <v>347</v>
      </c>
      <c r="D71" s="1178">
        <v>6.2062062062062067</v>
      </c>
      <c r="E71" s="1178">
        <v>117</v>
      </c>
      <c r="F71" s="1178">
        <v>63.8</v>
      </c>
      <c r="G71" s="88">
        <f t="shared" ref="G71:G102" si="100">IF(C71&gt;0,(F71*(C71-C70)/C71)+(G70*C70/C71),0)</f>
        <v>60.879250720461087</v>
      </c>
      <c r="H71" s="88">
        <f t="shared" si="98"/>
        <v>280.01819999999998</v>
      </c>
      <c r="I71" s="88">
        <f t="shared" ref="I71:I102" si="101">(C71-C70)*F71/1000+C70*G70/1000</f>
        <v>21.125099999999996</v>
      </c>
      <c r="J71" s="1182">
        <v>1748</v>
      </c>
      <c r="K71" s="1177">
        <v>80.599999999999994</v>
      </c>
      <c r="L71" s="1178">
        <v>388</v>
      </c>
      <c r="M71" s="1178">
        <v>6.2062062062062067</v>
      </c>
      <c r="N71" s="1178">
        <v>118</v>
      </c>
      <c r="O71" s="1178">
        <v>64.8</v>
      </c>
      <c r="P71" s="88">
        <f t="shared" si="63"/>
        <v>63.097607989690701</v>
      </c>
      <c r="Q71" s="88">
        <f t="shared" si="64"/>
        <v>365.60159999999996</v>
      </c>
      <c r="R71" s="88">
        <f t="shared" si="65"/>
        <v>24.481871899999991</v>
      </c>
      <c r="S71" s="1182">
        <v>1984</v>
      </c>
      <c r="T71" s="1177">
        <v>70</v>
      </c>
      <c r="U71" s="1178">
        <v>359</v>
      </c>
      <c r="V71" s="1178">
        <f t="shared" si="96"/>
        <v>6.46</v>
      </c>
      <c r="W71" s="1178">
        <v>126</v>
      </c>
      <c r="X71" s="1178">
        <v>66.099999999999994</v>
      </c>
      <c r="Y71" s="88">
        <f t="shared" si="66"/>
        <v>61.922562674094692</v>
      </c>
      <c r="Z71" s="88">
        <f t="shared" si="67"/>
        <v>323.88999999999993</v>
      </c>
      <c r="AA71" s="88">
        <f t="shared" si="68"/>
        <v>22.230199999999993</v>
      </c>
      <c r="AB71" s="1182">
        <v>2285</v>
      </c>
      <c r="AC71" s="1177">
        <v>73</v>
      </c>
      <c r="AD71" s="1178">
        <v>375</v>
      </c>
      <c r="AE71" s="1178">
        <v>5.6</v>
      </c>
      <c r="AF71" s="1178">
        <v>116</v>
      </c>
      <c r="AG71" s="1178">
        <v>65.900000000000006</v>
      </c>
      <c r="AH71" s="88">
        <f t="shared" si="69"/>
        <v>63.595733333333328</v>
      </c>
      <c r="AI71" s="88">
        <f t="shared" si="70"/>
        <v>336.74899999999997</v>
      </c>
      <c r="AJ71" s="88">
        <f t="shared" si="71"/>
        <v>23.848399999999998</v>
      </c>
      <c r="AK71" s="1182">
        <v>1972</v>
      </c>
      <c r="AL71" s="1177">
        <v>81.599999999999994</v>
      </c>
      <c r="AM71" s="1178">
        <v>389</v>
      </c>
      <c r="AN71" s="1178">
        <v>5.6</v>
      </c>
      <c r="AO71" s="1178">
        <v>110</v>
      </c>
      <c r="AP71" s="1178">
        <v>65.5</v>
      </c>
      <c r="AQ71" s="88">
        <f t="shared" si="72"/>
        <v>61.5866323907455</v>
      </c>
      <c r="AR71" s="88">
        <f t="shared" si="73"/>
        <v>374.13599999999997</v>
      </c>
      <c r="AS71" s="88">
        <f t="shared" si="74"/>
        <v>23.9572</v>
      </c>
      <c r="AT71" s="1182">
        <v>1708</v>
      </c>
      <c r="AU71" s="1177">
        <v>74.5</v>
      </c>
      <c r="AV71" s="1178">
        <v>382.3</v>
      </c>
      <c r="AW71" s="1178">
        <v>6.3</v>
      </c>
      <c r="AX71" s="1178">
        <v>107</v>
      </c>
      <c r="AY71" s="1178">
        <v>67.099999999999994</v>
      </c>
      <c r="AZ71" s="88">
        <f t="shared" si="75"/>
        <v>63.527099136803564</v>
      </c>
      <c r="BA71" s="88">
        <f t="shared" si="76"/>
        <v>349.92649999999998</v>
      </c>
      <c r="BB71" s="88">
        <f t="shared" si="77"/>
        <v>24.286410000000004</v>
      </c>
      <c r="BC71" s="1182">
        <v>2056</v>
      </c>
      <c r="BD71" s="1177">
        <v>79.8</v>
      </c>
      <c r="BE71" s="1178">
        <v>398.5</v>
      </c>
      <c r="BF71" s="1178">
        <v>5.229999999999996</v>
      </c>
      <c r="BG71" s="1178">
        <v>116</v>
      </c>
      <c r="BH71" s="1178">
        <v>65.099999999999994</v>
      </c>
      <c r="BI71" s="88">
        <f t="shared" si="78"/>
        <v>62.948406524466769</v>
      </c>
      <c r="BJ71" s="88">
        <f t="shared" si="79"/>
        <v>363.64859999999993</v>
      </c>
      <c r="BK71" s="88">
        <f t="shared" si="80"/>
        <v>25.084940000000007</v>
      </c>
      <c r="BL71" s="1182">
        <v>2100</v>
      </c>
      <c r="BM71" s="1177">
        <v>78</v>
      </c>
      <c r="BN71" s="1178">
        <v>382.95</v>
      </c>
      <c r="BO71" s="1178">
        <v>5.7</v>
      </c>
      <c r="BP71" s="1178">
        <v>106.5</v>
      </c>
      <c r="BQ71" s="1178">
        <v>65</v>
      </c>
      <c r="BR71" s="88">
        <f t="shared" si="81"/>
        <v>61.266222744483642</v>
      </c>
      <c r="BS71" s="88">
        <f t="shared" si="82"/>
        <v>354.9</v>
      </c>
      <c r="BT71" s="88">
        <f t="shared" si="83"/>
        <v>23.461900000000011</v>
      </c>
      <c r="BU71" s="1182">
        <v>1690</v>
      </c>
      <c r="BV71" s="1177">
        <v>79.099999999999994</v>
      </c>
      <c r="BW71" s="1178">
        <v>389</v>
      </c>
      <c r="BX71" s="1178">
        <v>5.900000000000003</v>
      </c>
      <c r="BY71" s="1178">
        <v>115</v>
      </c>
      <c r="BZ71" s="1178">
        <v>64.5</v>
      </c>
      <c r="CA71" s="88">
        <f t="shared" si="84"/>
        <v>62.606683804627245</v>
      </c>
      <c r="CB71" s="88">
        <f t="shared" si="85"/>
        <v>357.13649999999996</v>
      </c>
      <c r="CC71" s="88">
        <f t="shared" si="86"/>
        <v>24.353999999999999</v>
      </c>
      <c r="CD71" s="1182">
        <v>1945</v>
      </c>
      <c r="CE71" s="1177">
        <v>77.400000000000006</v>
      </c>
      <c r="CF71" s="1178">
        <v>382.2</v>
      </c>
      <c r="CG71" s="1178">
        <v>6.3600000000000021</v>
      </c>
      <c r="CH71" s="1178">
        <v>112</v>
      </c>
      <c r="CI71" s="1178">
        <v>67.599999999999994</v>
      </c>
      <c r="CJ71" s="88">
        <f t="shared" si="87"/>
        <v>64.264521193092591</v>
      </c>
      <c r="CK71" s="88">
        <f t="shared" si="88"/>
        <v>366.2568</v>
      </c>
      <c r="CL71" s="88">
        <f t="shared" si="89"/>
        <v>24.561899999999991</v>
      </c>
      <c r="CM71" s="1182">
        <v>2049</v>
      </c>
      <c r="CN71" s="1177">
        <v>79.8</v>
      </c>
      <c r="CO71" s="1178">
        <v>389.9</v>
      </c>
      <c r="CP71" s="1178">
        <v>6.3600000000000021</v>
      </c>
      <c r="CQ71" s="1178">
        <v>103</v>
      </c>
      <c r="CR71" s="1178">
        <v>66.2</v>
      </c>
      <c r="CS71" s="88">
        <f t="shared" si="90"/>
        <v>62.941497819953874</v>
      </c>
      <c r="CT71" s="88">
        <f t="shared" si="91"/>
        <v>369.79319999999996</v>
      </c>
      <c r="CU71" s="88">
        <f t="shared" si="92"/>
        <v>24.540890000000015</v>
      </c>
      <c r="CV71" s="1182">
        <v>1791</v>
      </c>
      <c r="CW71" s="1177">
        <v>72.7</v>
      </c>
      <c r="CX71" s="1178">
        <v>374</v>
      </c>
      <c r="CY71" s="1178">
        <f t="shared" si="97"/>
        <v>6.3599999999999985</v>
      </c>
      <c r="CZ71" s="1178">
        <v>111</v>
      </c>
      <c r="DA71" s="1178">
        <v>66.3</v>
      </c>
      <c r="DB71" s="88">
        <f t="shared" si="93"/>
        <v>63.314438502673816</v>
      </c>
      <c r="DC71" s="88">
        <f t="shared" si="94"/>
        <v>337.40069999999997</v>
      </c>
      <c r="DD71" s="88">
        <f t="shared" si="95"/>
        <v>23.679600000000008</v>
      </c>
      <c r="DE71" s="1182">
        <v>1972</v>
      </c>
    </row>
    <row r="72" spans="1:109" ht="15" x14ac:dyDescent="0.2">
      <c r="A72" s="96">
        <f t="shared" si="99"/>
        <v>84</v>
      </c>
      <c r="B72" s="1177">
        <v>62</v>
      </c>
      <c r="C72" s="1178">
        <v>351</v>
      </c>
      <c r="D72" s="1178">
        <v>6.3063063063063058</v>
      </c>
      <c r="E72" s="1178">
        <v>117</v>
      </c>
      <c r="F72" s="1178">
        <v>63.8</v>
      </c>
      <c r="G72" s="88">
        <f t="shared" si="100"/>
        <v>60.912535612535606</v>
      </c>
      <c r="H72" s="88">
        <f t="shared" si="98"/>
        <v>276.892</v>
      </c>
      <c r="I72" s="88">
        <f t="shared" si="101"/>
        <v>21.380299999999998</v>
      </c>
      <c r="J72" s="1182">
        <v>1749</v>
      </c>
      <c r="K72" s="1177">
        <v>80.099999999999994</v>
      </c>
      <c r="L72" s="1178">
        <v>393</v>
      </c>
      <c r="M72" s="1178">
        <v>6.3063063063063058</v>
      </c>
      <c r="N72" s="1178">
        <v>118</v>
      </c>
      <c r="O72" s="1178">
        <v>64.900000000000006</v>
      </c>
      <c r="P72" s="88">
        <f t="shared" si="63"/>
        <v>63.120539185750616</v>
      </c>
      <c r="Q72" s="88">
        <f t="shared" si="64"/>
        <v>363.89429999999999</v>
      </c>
      <c r="R72" s="88">
        <f t="shared" si="65"/>
        <v>24.806371899999991</v>
      </c>
      <c r="S72" s="1182">
        <v>1985</v>
      </c>
      <c r="T72" s="1177">
        <v>69</v>
      </c>
      <c r="U72" s="1178">
        <v>363</v>
      </c>
      <c r="V72" s="1178">
        <f t="shared" si="96"/>
        <v>6.58</v>
      </c>
      <c r="W72" s="1178">
        <v>126</v>
      </c>
      <c r="X72" s="1178">
        <v>66.2</v>
      </c>
      <c r="Y72" s="88">
        <f t="shared" si="66"/>
        <v>61.969696969696948</v>
      </c>
      <c r="Z72" s="88">
        <f t="shared" si="67"/>
        <v>319.74600000000004</v>
      </c>
      <c r="AA72" s="88">
        <f t="shared" si="68"/>
        <v>22.494999999999994</v>
      </c>
      <c r="AB72" s="1182">
        <v>2285</v>
      </c>
      <c r="AC72" s="1177">
        <v>72.3</v>
      </c>
      <c r="AD72" s="1178">
        <v>380</v>
      </c>
      <c r="AE72" s="1178">
        <f>AE71+0.12</f>
        <v>5.72</v>
      </c>
      <c r="AF72" s="1178">
        <v>116</v>
      </c>
      <c r="AG72" s="1178">
        <v>65.900000000000006</v>
      </c>
      <c r="AH72" s="88">
        <f t="shared" si="69"/>
        <v>63.626052631578943</v>
      </c>
      <c r="AI72" s="88">
        <f t="shared" si="70"/>
        <v>333.51990000000001</v>
      </c>
      <c r="AJ72" s="88">
        <f t="shared" si="71"/>
        <v>24.177899999999998</v>
      </c>
      <c r="AK72" s="1182">
        <v>1972</v>
      </c>
      <c r="AL72" s="1177">
        <v>81.2</v>
      </c>
      <c r="AM72" s="1178">
        <v>394</v>
      </c>
      <c r="AN72" s="1178">
        <f>AN71+0.12</f>
        <v>5.72</v>
      </c>
      <c r="AO72" s="1178">
        <v>110</v>
      </c>
      <c r="AP72" s="1178">
        <v>65.599999999999994</v>
      </c>
      <c r="AQ72" s="88">
        <f t="shared" si="72"/>
        <v>61.63756345177665</v>
      </c>
      <c r="AR72" s="88">
        <f t="shared" si="73"/>
        <v>372.87039999999996</v>
      </c>
      <c r="AS72" s="88">
        <f t="shared" si="74"/>
        <v>24.2852</v>
      </c>
      <c r="AT72" s="1182">
        <v>1708</v>
      </c>
      <c r="AU72" s="1177">
        <v>73.7</v>
      </c>
      <c r="AV72" s="1178">
        <v>387.1</v>
      </c>
      <c r="AW72" s="1178">
        <v>6.4</v>
      </c>
      <c r="AX72" s="1178">
        <v>107</v>
      </c>
      <c r="AY72" s="1178">
        <v>67.2</v>
      </c>
      <c r="AZ72" s="88">
        <f t="shared" si="75"/>
        <v>63.572642727977275</v>
      </c>
      <c r="BA72" s="88">
        <f t="shared" si="76"/>
        <v>346.6848</v>
      </c>
      <c r="BB72" s="88">
        <f t="shared" si="77"/>
        <v>24.608970000000003</v>
      </c>
      <c r="BC72" s="1182">
        <v>2058</v>
      </c>
      <c r="BD72" s="1177">
        <v>79.2</v>
      </c>
      <c r="BE72" s="1178">
        <v>403.7</v>
      </c>
      <c r="BF72" s="1178">
        <v>5.3799999999999955</v>
      </c>
      <c r="BG72" s="1178">
        <v>116</v>
      </c>
      <c r="BH72" s="1178">
        <v>65.099999999999994</v>
      </c>
      <c r="BI72" s="88">
        <f t="shared" si="78"/>
        <v>62.976120881842967</v>
      </c>
      <c r="BJ72" s="88">
        <f t="shared" si="79"/>
        <v>360.9144</v>
      </c>
      <c r="BK72" s="88">
        <f t="shared" si="80"/>
        <v>25.423460000000006</v>
      </c>
      <c r="BL72" s="1182">
        <v>2100</v>
      </c>
      <c r="BM72" s="1177">
        <v>77</v>
      </c>
      <c r="BN72" s="1178">
        <v>388.05</v>
      </c>
      <c r="BO72" s="1178">
        <v>5.7</v>
      </c>
      <c r="BP72" s="1178">
        <v>106.5</v>
      </c>
      <c r="BQ72" s="1178">
        <v>65</v>
      </c>
      <c r="BR72" s="88">
        <f t="shared" si="81"/>
        <v>61.315294420822084</v>
      </c>
      <c r="BS72" s="88">
        <f t="shared" si="82"/>
        <v>350.35</v>
      </c>
      <c r="BT72" s="88">
        <f t="shared" si="83"/>
        <v>23.793400000000009</v>
      </c>
      <c r="BU72" s="1182">
        <v>1690</v>
      </c>
      <c r="BV72" s="1177">
        <v>78.5</v>
      </c>
      <c r="BW72" s="1178">
        <v>395</v>
      </c>
      <c r="BX72" s="1178">
        <v>5.900000000000003</v>
      </c>
      <c r="BY72" s="1178">
        <v>115</v>
      </c>
      <c r="BZ72" s="1178">
        <v>64.599999999999994</v>
      </c>
      <c r="CA72" s="88">
        <f t="shared" si="84"/>
        <v>62.636962025316457</v>
      </c>
      <c r="CB72" s="88">
        <f t="shared" si="85"/>
        <v>354.97699999999998</v>
      </c>
      <c r="CC72" s="88">
        <f t="shared" si="86"/>
        <v>24.741599999999998</v>
      </c>
      <c r="CD72" s="1182">
        <v>1950</v>
      </c>
      <c r="CE72" s="1177">
        <v>76.8</v>
      </c>
      <c r="CF72" s="1178">
        <v>387.3</v>
      </c>
      <c r="CG72" s="1178">
        <v>6.4799999999999951</v>
      </c>
      <c r="CH72" s="1178">
        <v>112</v>
      </c>
      <c r="CI72" s="1178">
        <v>67.599999999999994</v>
      </c>
      <c r="CJ72" s="88">
        <f t="shared" si="87"/>
        <v>64.308443067389589</v>
      </c>
      <c r="CK72" s="88">
        <f t="shared" si="88"/>
        <v>363.41759999999999</v>
      </c>
      <c r="CL72" s="88">
        <f t="shared" si="89"/>
        <v>24.906659999999988</v>
      </c>
      <c r="CM72" s="1182">
        <v>2050</v>
      </c>
      <c r="CN72" s="1177">
        <v>79.2</v>
      </c>
      <c r="CO72" s="1178">
        <v>395.1</v>
      </c>
      <c r="CP72" s="1178">
        <v>6.4799999999999951</v>
      </c>
      <c r="CQ72" s="1178">
        <v>103</v>
      </c>
      <c r="CR72" s="1178">
        <v>66.3</v>
      </c>
      <c r="CS72" s="88">
        <f t="shared" si="90"/>
        <v>62.985699822829702</v>
      </c>
      <c r="CT72" s="88">
        <f t="shared" si="91"/>
        <v>367.56720000000001</v>
      </c>
      <c r="CU72" s="88">
        <f t="shared" si="92"/>
        <v>24.88565000000002</v>
      </c>
      <c r="CV72" s="1182">
        <v>1792</v>
      </c>
      <c r="CW72" s="1177">
        <v>72.3</v>
      </c>
      <c r="CX72" s="1178">
        <v>379</v>
      </c>
      <c r="CY72" s="1178">
        <f t="shared" si="97"/>
        <v>6.4799999999999986</v>
      </c>
      <c r="CZ72" s="1178">
        <v>111</v>
      </c>
      <c r="DA72" s="1178">
        <v>66.3</v>
      </c>
      <c r="DB72" s="88">
        <f t="shared" si="93"/>
        <v>63.353825857519801</v>
      </c>
      <c r="DC72" s="88">
        <f t="shared" si="94"/>
        <v>335.54429999999996</v>
      </c>
      <c r="DD72" s="88">
        <f t="shared" si="95"/>
        <v>24.011100000000003</v>
      </c>
      <c r="DE72" s="1182">
        <v>1972</v>
      </c>
    </row>
    <row r="73" spans="1:109" ht="15" x14ac:dyDescent="0.2">
      <c r="A73" s="96">
        <f t="shared" si="99"/>
        <v>85</v>
      </c>
      <c r="B73" s="1177">
        <v>61.3</v>
      </c>
      <c r="C73" s="1178">
        <v>355</v>
      </c>
      <c r="D73" s="1178">
        <v>6.4064064064064059</v>
      </c>
      <c r="E73" s="1178">
        <v>117</v>
      </c>
      <c r="F73" s="1178">
        <v>63.8</v>
      </c>
      <c r="G73" s="88">
        <f t="shared" si="100"/>
        <v>60.94507042253521</v>
      </c>
      <c r="H73" s="88">
        <f t="shared" si="98"/>
        <v>273.76580000000001</v>
      </c>
      <c r="I73" s="88">
        <f t="shared" si="101"/>
        <v>21.635499999999997</v>
      </c>
      <c r="J73" s="1182">
        <v>1750</v>
      </c>
      <c r="K73" s="1177">
        <v>79.599999999999994</v>
      </c>
      <c r="L73" s="1178">
        <v>398</v>
      </c>
      <c r="M73" s="1178">
        <v>6.4064064064064059</v>
      </c>
      <c r="N73" s="1178">
        <v>118</v>
      </c>
      <c r="O73" s="1178">
        <v>64.900000000000006</v>
      </c>
      <c r="P73" s="88">
        <f t="shared" si="63"/>
        <v>63.142894221105507</v>
      </c>
      <c r="Q73" s="88">
        <f t="shared" si="64"/>
        <v>361.62279999999998</v>
      </c>
      <c r="R73" s="88">
        <f t="shared" si="65"/>
        <v>25.130871899999992</v>
      </c>
      <c r="S73" s="1182">
        <v>1986</v>
      </c>
      <c r="T73" s="1177">
        <v>69</v>
      </c>
      <c r="U73" s="1178">
        <v>368</v>
      </c>
      <c r="V73" s="1178">
        <f t="shared" si="96"/>
        <v>6.7</v>
      </c>
      <c r="W73" s="1178">
        <v>126</v>
      </c>
      <c r="X73" s="1178">
        <v>66.3</v>
      </c>
      <c r="Y73" s="88">
        <f t="shared" si="66"/>
        <v>62.028532608695635</v>
      </c>
      <c r="Z73" s="88">
        <f t="shared" si="67"/>
        <v>320.22899999999998</v>
      </c>
      <c r="AA73" s="88">
        <f t="shared" si="68"/>
        <v>22.826499999999992</v>
      </c>
      <c r="AB73" s="1182">
        <v>2290</v>
      </c>
      <c r="AC73" s="1177">
        <v>71.5</v>
      </c>
      <c r="AD73" s="1178">
        <v>385</v>
      </c>
      <c r="AE73" s="1178">
        <v>5.9</v>
      </c>
      <c r="AF73" s="1178">
        <v>116</v>
      </c>
      <c r="AG73" s="1178">
        <v>66</v>
      </c>
      <c r="AH73" s="88">
        <f t="shared" si="69"/>
        <v>63.656883116883108</v>
      </c>
      <c r="AI73" s="88">
        <f t="shared" si="70"/>
        <v>330.33</v>
      </c>
      <c r="AJ73" s="88">
        <f t="shared" si="71"/>
        <v>24.507899999999996</v>
      </c>
      <c r="AK73" s="1182">
        <v>1973</v>
      </c>
      <c r="AL73" s="1177">
        <v>80.900000000000006</v>
      </c>
      <c r="AM73" s="1178">
        <v>399</v>
      </c>
      <c r="AN73" s="1178">
        <v>5.9</v>
      </c>
      <c r="AO73" s="1178">
        <v>110</v>
      </c>
      <c r="AP73" s="1178">
        <v>65.7</v>
      </c>
      <c r="AQ73" s="88">
        <f t="shared" si="72"/>
        <v>61.688471177944862</v>
      </c>
      <c r="AR73" s="88">
        <f t="shared" si="73"/>
        <v>372.05910000000006</v>
      </c>
      <c r="AS73" s="88">
        <f t="shared" si="74"/>
        <v>24.613700000000001</v>
      </c>
      <c r="AT73" s="1182">
        <v>1709</v>
      </c>
      <c r="AU73" s="1177">
        <v>72.900000000000006</v>
      </c>
      <c r="AV73" s="1178">
        <v>391.9</v>
      </c>
      <c r="AW73" s="1178">
        <v>6.5</v>
      </c>
      <c r="AX73" s="1178">
        <v>107</v>
      </c>
      <c r="AY73" s="1178">
        <v>67.2</v>
      </c>
      <c r="AZ73" s="88">
        <f t="shared" si="75"/>
        <v>63.617070681296255</v>
      </c>
      <c r="BA73" s="88">
        <f t="shared" si="76"/>
        <v>342.92160000000007</v>
      </c>
      <c r="BB73" s="88">
        <f t="shared" si="77"/>
        <v>24.931530000000002</v>
      </c>
      <c r="BC73" s="1182">
        <v>2060</v>
      </c>
      <c r="BD73" s="1177">
        <v>78.599999999999994</v>
      </c>
      <c r="BE73" s="1178">
        <v>408.9</v>
      </c>
      <c r="BF73" s="1178">
        <v>5.5299999999999949</v>
      </c>
      <c r="BG73" s="1178">
        <v>116</v>
      </c>
      <c r="BH73" s="1178">
        <v>65.099999999999994</v>
      </c>
      <c r="BI73" s="88">
        <f t="shared" si="78"/>
        <v>63.003130349718781</v>
      </c>
      <c r="BJ73" s="88">
        <f t="shared" si="79"/>
        <v>358.18019999999996</v>
      </c>
      <c r="BK73" s="88">
        <f t="shared" si="80"/>
        <v>25.761980000000005</v>
      </c>
      <c r="BL73" s="1182">
        <v>2100</v>
      </c>
      <c r="BM73" s="1177">
        <v>77</v>
      </c>
      <c r="BN73" s="1178">
        <v>393.15</v>
      </c>
      <c r="BO73" s="1178">
        <v>5.8</v>
      </c>
      <c r="BP73" s="1178">
        <v>106.5</v>
      </c>
      <c r="BQ73" s="1178">
        <v>65</v>
      </c>
      <c r="BR73" s="88">
        <f t="shared" si="81"/>
        <v>61.363092967060943</v>
      </c>
      <c r="BS73" s="88">
        <f t="shared" si="82"/>
        <v>350.35</v>
      </c>
      <c r="BT73" s="88">
        <f t="shared" si="83"/>
        <v>24.124900000000011</v>
      </c>
      <c r="BU73" s="1182">
        <v>1690</v>
      </c>
      <c r="BV73" s="1177">
        <v>77.900000000000006</v>
      </c>
      <c r="BW73" s="1178">
        <v>400</v>
      </c>
      <c r="BX73" s="1178">
        <v>6.0000000000000053</v>
      </c>
      <c r="BY73" s="1178">
        <v>115</v>
      </c>
      <c r="BZ73" s="1178">
        <v>64.599999999999994</v>
      </c>
      <c r="CA73" s="88">
        <f t="shared" si="84"/>
        <v>62.661500000000004</v>
      </c>
      <c r="CB73" s="88">
        <f t="shared" si="85"/>
        <v>352.2638</v>
      </c>
      <c r="CC73" s="88">
        <f t="shared" si="86"/>
        <v>25.064600000000002</v>
      </c>
      <c r="CD73" s="1182">
        <v>1950</v>
      </c>
      <c r="CE73" s="1177">
        <v>76.3</v>
      </c>
      <c r="CF73" s="1178">
        <v>392.3</v>
      </c>
      <c r="CG73" s="1178">
        <v>6.6000000000000005</v>
      </c>
      <c r="CH73" s="1178">
        <v>112</v>
      </c>
      <c r="CI73" s="1178">
        <v>67.7</v>
      </c>
      <c r="CJ73" s="88">
        <f t="shared" si="87"/>
        <v>64.35166964058115</v>
      </c>
      <c r="CK73" s="88">
        <f t="shared" si="88"/>
        <v>361.58570000000003</v>
      </c>
      <c r="CL73" s="88">
        <f t="shared" si="89"/>
        <v>25.245159999999988</v>
      </c>
      <c r="CM73" s="1182">
        <v>2051</v>
      </c>
      <c r="CN73" s="1177">
        <v>78.5</v>
      </c>
      <c r="CO73" s="1178">
        <v>400.3</v>
      </c>
      <c r="CP73" s="1178">
        <v>6.6000000000000005</v>
      </c>
      <c r="CQ73" s="1178">
        <v>103</v>
      </c>
      <c r="CR73" s="1178">
        <v>66.3</v>
      </c>
      <c r="CS73" s="88">
        <f t="shared" si="90"/>
        <v>63.028753434923843</v>
      </c>
      <c r="CT73" s="88">
        <f t="shared" si="91"/>
        <v>364.31849999999997</v>
      </c>
      <c r="CU73" s="88">
        <f t="shared" si="92"/>
        <v>25.230410000000017</v>
      </c>
      <c r="CV73" s="1182">
        <v>1793</v>
      </c>
      <c r="CW73" s="1177">
        <v>71.8</v>
      </c>
      <c r="CX73" s="1178">
        <v>383</v>
      </c>
      <c r="CY73" s="1178">
        <f t="shared" si="97"/>
        <v>6.5999999999999988</v>
      </c>
      <c r="CZ73" s="1178">
        <v>111</v>
      </c>
      <c r="DA73" s="1178">
        <v>66.400000000000006</v>
      </c>
      <c r="DB73" s="88">
        <f t="shared" si="93"/>
        <v>63.385639686684087</v>
      </c>
      <c r="DC73" s="88">
        <f t="shared" si="94"/>
        <v>333.72640000000001</v>
      </c>
      <c r="DD73" s="88">
        <f t="shared" si="95"/>
        <v>24.276700000000005</v>
      </c>
      <c r="DE73" s="1182">
        <v>1973</v>
      </c>
    </row>
    <row r="74" spans="1:109" ht="15" x14ac:dyDescent="0.2">
      <c r="A74" s="96">
        <f t="shared" si="99"/>
        <v>86</v>
      </c>
      <c r="B74" s="1177">
        <v>60.6</v>
      </c>
      <c r="C74" s="1178">
        <v>359</v>
      </c>
      <c r="D74" s="1178">
        <v>6.5065065065065069</v>
      </c>
      <c r="E74" s="1178">
        <v>117</v>
      </c>
      <c r="F74" s="1178">
        <v>63.8</v>
      </c>
      <c r="G74" s="88">
        <f t="shared" si="100"/>
        <v>60.976880222841224</v>
      </c>
      <c r="H74" s="88">
        <f t="shared" si="98"/>
        <v>270.63959999999997</v>
      </c>
      <c r="I74" s="88">
        <f t="shared" si="101"/>
        <v>21.890699999999999</v>
      </c>
      <c r="J74" s="1182">
        <v>1752</v>
      </c>
      <c r="K74" s="1177">
        <v>79.2</v>
      </c>
      <c r="L74" s="1178">
        <v>403</v>
      </c>
      <c r="M74" s="1178">
        <v>6.5065065065065069</v>
      </c>
      <c r="N74" s="1178">
        <v>118</v>
      </c>
      <c r="O74" s="1178">
        <v>64.900000000000006</v>
      </c>
      <c r="P74" s="88">
        <f t="shared" si="63"/>
        <v>63.164694540942904</v>
      </c>
      <c r="Q74" s="88">
        <f t="shared" si="64"/>
        <v>359.80560000000008</v>
      </c>
      <c r="R74" s="88">
        <f t="shared" si="65"/>
        <v>25.455371899999992</v>
      </c>
      <c r="S74" s="1182">
        <v>1987</v>
      </c>
      <c r="T74" s="1177">
        <v>68</v>
      </c>
      <c r="U74" s="1178">
        <v>372</v>
      </c>
      <c r="V74" s="1178">
        <f t="shared" si="96"/>
        <v>6.82</v>
      </c>
      <c r="W74" s="1178">
        <v>126</v>
      </c>
      <c r="X74" s="1178">
        <v>66.400000000000006</v>
      </c>
      <c r="Y74" s="88">
        <f t="shared" si="66"/>
        <v>62.075537634408583</v>
      </c>
      <c r="Z74" s="88">
        <f t="shared" si="67"/>
        <v>316.06400000000008</v>
      </c>
      <c r="AA74" s="88">
        <f t="shared" si="68"/>
        <v>23.092099999999991</v>
      </c>
      <c r="AB74" s="1182">
        <v>2290</v>
      </c>
      <c r="AC74" s="1177">
        <v>71</v>
      </c>
      <c r="AD74" s="1178">
        <v>389</v>
      </c>
      <c r="AE74" s="1178">
        <f>AE73+0.12</f>
        <v>6.0200000000000005</v>
      </c>
      <c r="AF74" s="1178">
        <v>116</v>
      </c>
      <c r="AG74" s="1178">
        <v>66</v>
      </c>
      <c r="AH74" s="88">
        <f t="shared" si="69"/>
        <v>63.680976863753209</v>
      </c>
      <c r="AI74" s="88">
        <f t="shared" si="70"/>
        <v>328.02</v>
      </c>
      <c r="AJ74" s="88">
        <f t="shared" si="71"/>
        <v>24.771899999999999</v>
      </c>
      <c r="AK74" s="1182">
        <v>1973</v>
      </c>
      <c r="AL74" s="1177">
        <v>80.599999999999994</v>
      </c>
      <c r="AM74" s="1178">
        <v>405</v>
      </c>
      <c r="AN74" s="1178">
        <f>AN73+0.12</f>
        <v>6.0200000000000005</v>
      </c>
      <c r="AO74" s="1178">
        <v>110</v>
      </c>
      <c r="AP74" s="1178">
        <v>65.8</v>
      </c>
      <c r="AQ74" s="88">
        <f t="shared" si="72"/>
        <v>61.749382716049382</v>
      </c>
      <c r="AR74" s="88">
        <f t="shared" si="73"/>
        <v>371.24359999999996</v>
      </c>
      <c r="AS74" s="88">
        <f t="shared" si="74"/>
        <v>25.008500000000002</v>
      </c>
      <c r="AT74" s="1182">
        <v>1709</v>
      </c>
      <c r="AU74" s="1177">
        <v>72.099999999999994</v>
      </c>
      <c r="AV74" s="1178">
        <v>396.6</v>
      </c>
      <c r="AW74" s="1178">
        <v>6.6000000000000005</v>
      </c>
      <c r="AX74" s="1178">
        <v>106</v>
      </c>
      <c r="AY74" s="1178">
        <v>67.3</v>
      </c>
      <c r="AZ74" s="88">
        <f t="shared" si="75"/>
        <v>63.660716086737274</v>
      </c>
      <c r="BA74" s="88">
        <f t="shared" si="76"/>
        <v>339.66309999999999</v>
      </c>
      <c r="BB74" s="88">
        <f t="shared" si="77"/>
        <v>25.247840000000004</v>
      </c>
      <c r="BC74" s="1182">
        <v>2062</v>
      </c>
      <c r="BD74" s="1177">
        <v>78</v>
      </c>
      <c r="BE74" s="1178">
        <v>414.1</v>
      </c>
      <c r="BF74" s="1178">
        <v>5.6799999999999953</v>
      </c>
      <c r="BG74" s="1178">
        <v>116</v>
      </c>
      <c r="BH74" s="1178">
        <v>65.2</v>
      </c>
      <c r="BI74" s="88">
        <f t="shared" si="78"/>
        <v>63.030717218063288</v>
      </c>
      <c r="BJ74" s="88">
        <f t="shared" si="79"/>
        <v>355.99200000000002</v>
      </c>
      <c r="BK74" s="88">
        <f t="shared" si="80"/>
        <v>26.101020000000013</v>
      </c>
      <c r="BL74" s="1182">
        <v>2100</v>
      </c>
      <c r="BM74" s="1177">
        <v>76</v>
      </c>
      <c r="BN74" s="1178">
        <v>398.15</v>
      </c>
      <c r="BO74" s="1178">
        <v>5.8</v>
      </c>
      <c r="BP74" s="1178">
        <v>106.5</v>
      </c>
      <c r="BQ74" s="1178">
        <v>65</v>
      </c>
      <c r="BR74" s="88">
        <f t="shared" si="81"/>
        <v>61.408765540625417</v>
      </c>
      <c r="BS74" s="88">
        <f t="shared" si="82"/>
        <v>345.8</v>
      </c>
      <c r="BT74" s="88">
        <f t="shared" si="83"/>
        <v>24.449900000000007</v>
      </c>
      <c r="BU74" s="1182">
        <v>1690</v>
      </c>
      <c r="BV74" s="1177">
        <v>77.3</v>
      </c>
      <c r="BW74" s="1178">
        <v>405</v>
      </c>
      <c r="BX74" s="1178">
        <v>6.0999999999999961</v>
      </c>
      <c r="BY74" s="1178">
        <v>115</v>
      </c>
      <c r="BZ74" s="1178">
        <v>64.599999999999994</v>
      </c>
      <c r="CA74" s="88">
        <f t="shared" si="84"/>
        <v>62.685432098765439</v>
      </c>
      <c r="CB74" s="88">
        <f t="shared" si="85"/>
        <v>349.55059999999997</v>
      </c>
      <c r="CC74" s="88">
        <f t="shared" si="86"/>
        <v>25.387600000000003</v>
      </c>
      <c r="CD74" s="1182">
        <v>1950</v>
      </c>
      <c r="CE74" s="1177">
        <v>75.7</v>
      </c>
      <c r="CF74" s="1178">
        <v>397.2</v>
      </c>
      <c r="CG74" s="1178">
        <v>6.7200000000000051</v>
      </c>
      <c r="CH74" s="1178">
        <v>112</v>
      </c>
      <c r="CI74" s="1178">
        <v>67.7</v>
      </c>
      <c r="CJ74" s="88">
        <f t="shared" si="87"/>
        <v>64.392975830815672</v>
      </c>
      <c r="CK74" s="88">
        <f t="shared" si="88"/>
        <v>358.74230000000006</v>
      </c>
      <c r="CL74" s="88">
        <f t="shared" si="89"/>
        <v>25.576889999999981</v>
      </c>
      <c r="CM74" s="1182">
        <v>2052</v>
      </c>
      <c r="CN74" s="1177">
        <v>77.900000000000006</v>
      </c>
      <c r="CO74" s="1178">
        <v>405.4</v>
      </c>
      <c r="CP74" s="1178">
        <v>6.7200000000000051</v>
      </c>
      <c r="CQ74" s="1178">
        <v>102</v>
      </c>
      <c r="CR74" s="1178">
        <v>66.3</v>
      </c>
      <c r="CS74" s="88">
        <f t="shared" si="90"/>
        <v>63.069906265416904</v>
      </c>
      <c r="CT74" s="88">
        <f t="shared" si="91"/>
        <v>361.53390000000002</v>
      </c>
      <c r="CU74" s="88">
        <f t="shared" si="92"/>
        <v>25.568540000000009</v>
      </c>
      <c r="CV74" s="1182">
        <v>1794</v>
      </c>
      <c r="CW74" s="1177">
        <v>71.3</v>
      </c>
      <c r="CX74" s="1178">
        <v>388</v>
      </c>
      <c r="CY74" s="1178">
        <f t="shared" si="97"/>
        <v>6.7199999999999989</v>
      </c>
      <c r="CZ74" s="1178">
        <v>111</v>
      </c>
      <c r="DA74" s="1178">
        <v>66.400000000000006</v>
      </c>
      <c r="DB74" s="88">
        <f t="shared" si="93"/>
        <v>63.424484536082488</v>
      </c>
      <c r="DC74" s="88">
        <f t="shared" si="94"/>
        <v>331.4024</v>
      </c>
      <c r="DD74" s="88">
        <f t="shared" si="95"/>
        <v>24.608700000000006</v>
      </c>
      <c r="DE74" s="1182">
        <v>1973</v>
      </c>
    </row>
    <row r="75" spans="1:109" ht="15" x14ac:dyDescent="0.2">
      <c r="A75" s="96">
        <f t="shared" si="99"/>
        <v>87</v>
      </c>
      <c r="B75" s="1177">
        <v>59.9</v>
      </c>
      <c r="C75" s="1178">
        <v>363</v>
      </c>
      <c r="D75" s="1178">
        <v>6.606606606606606</v>
      </c>
      <c r="E75" s="1178">
        <v>117</v>
      </c>
      <c r="F75" s="1178">
        <v>63.9</v>
      </c>
      <c r="G75" s="88">
        <f t="shared" si="100"/>
        <v>61.009090909090908</v>
      </c>
      <c r="H75" s="88">
        <f t="shared" si="98"/>
        <v>267.93269999999995</v>
      </c>
      <c r="I75" s="88">
        <f t="shared" si="101"/>
        <v>22.146300000000004</v>
      </c>
      <c r="J75" s="1182">
        <v>1754</v>
      </c>
      <c r="K75" s="1177">
        <v>78.7</v>
      </c>
      <c r="L75" s="1178">
        <v>408</v>
      </c>
      <c r="M75" s="1178">
        <v>6.606606606606606</v>
      </c>
      <c r="N75" s="1178">
        <v>118</v>
      </c>
      <c r="O75" s="1178">
        <v>64.900000000000006</v>
      </c>
      <c r="P75" s="88">
        <f t="shared" si="63"/>
        <v>63.185960539215664</v>
      </c>
      <c r="Q75" s="88">
        <f t="shared" si="64"/>
        <v>357.53410000000008</v>
      </c>
      <c r="R75" s="88">
        <f t="shared" si="65"/>
        <v>25.779871899999993</v>
      </c>
      <c r="S75" s="1182">
        <v>1988</v>
      </c>
      <c r="T75" s="1177">
        <v>68</v>
      </c>
      <c r="U75" s="1178">
        <v>377</v>
      </c>
      <c r="V75" s="1178">
        <f t="shared" si="96"/>
        <v>6.94</v>
      </c>
      <c r="W75" s="1178">
        <v>126</v>
      </c>
      <c r="X75" s="1178">
        <v>66.5</v>
      </c>
      <c r="Y75" s="88">
        <f t="shared" si="66"/>
        <v>62.134217506631281</v>
      </c>
      <c r="Z75" s="88">
        <f t="shared" si="67"/>
        <v>316.54000000000002</v>
      </c>
      <c r="AA75" s="88">
        <f t="shared" si="68"/>
        <v>23.424599999999991</v>
      </c>
      <c r="AB75" s="1182">
        <v>2290</v>
      </c>
      <c r="AC75" s="1177">
        <v>70.5</v>
      </c>
      <c r="AD75" s="1178">
        <v>394</v>
      </c>
      <c r="AE75" s="1178">
        <v>6.2</v>
      </c>
      <c r="AF75" s="1178">
        <v>116</v>
      </c>
      <c r="AG75" s="1178">
        <v>66</v>
      </c>
      <c r="AH75" s="88">
        <f t="shared" si="69"/>
        <v>63.710406091370558</v>
      </c>
      <c r="AI75" s="88">
        <f t="shared" si="70"/>
        <v>325.70999999999998</v>
      </c>
      <c r="AJ75" s="88">
        <f t="shared" si="71"/>
        <v>25.101899999999997</v>
      </c>
      <c r="AK75" s="1182">
        <v>1974</v>
      </c>
      <c r="AL75" s="1177">
        <v>80.2</v>
      </c>
      <c r="AM75" s="1178">
        <v>410</v>
      </c>
      <c r="AN75" s="1178">
        <v>6.2</v>
      </c>
      <c r="AO75" s="1178">
        <v>110</v>
      </c>
      <c r="AP75" s="1178">
        <v>65.900000000000006</v>
      </c>
      <c r="AQ75" s="88">
        <f t="shared" si="72"/>
        <v>61.800000000000004</v>
      </c>
      <c r="AR75" s="88">
        <f t="shared" si="73"/>
        <v>369.96260000000007</v>
      </c>
      <c r="AS75" s="88">
        <f t="shared" si="74"/>
        <v>25.338000000000001</v>
      </c>
      <c r="AT75" s="1182">
        <v>1709</v>
      </c>
      <c r="AU75" s="1177">
        <v>71.3</v>
      </c>
      <c r="AV75" s="1178">
        <v>401.3</v>
      </c>
      <c r="AW75" s="1178">
        <v>6.7000000000000117</v>
      </c>
      <c r="AX75" s="1178">
        <v>106</v>
      </c>
      <c r="AY75" s="1178">
        <v>67.3</v>
      </c>
      <c r="AZ75" s="88">
        <f t="shared" si="75"/>
        <v>63.703339147769753</v>
      </c>
      <c r="BA75" s="88">
        <f t="shared" si="76"/>
        <v>335.89429999999999</v>
      </c>
      <c r="BB75" s="88">
        <f t="shared" si="77"/>
        <v>25.564150000000001</v>
      </c>
      <c r="BC75" s="1182">
        <v>2064</v>
      </c>
      <c r="BD75" s="1177">
        <v>77.400000000000006</v>
      </c>
      <c r="BE75" s="1178">
        <v>419.2</v>
      </c>
      <c r="BF75" s="1178">
        <v>5.8299999999999956</v>
      </c>
      <c r="BG75" s="1178">
        <v>116</v>
      </c>
      <c r="BH75" s="1178">
        <v>65.2</v>
      </c>
      <c r="BI75" s="88">
        <f t="shared" si="78"/>
        <v>63.057108778625974</v>
      </c>
      <c r="BJ75" s="88">
        <f t="shared" si="79"/>
        <v>353.25360000000001</v>
      </c>
      <c r="BK75" s="88">
        <f t="shared" si="80"/>
        <v>26.433540000000008</v>
      </c>
      <c r="BL75" s="1182">
        <v>2100</v>
      </c>
      <c r="BM75" s="1177">
        <v>76</v>
      </c>
      <c r="BN75" s="1178">
        <v>403.15</v>
      </c>
      <c r="BO75" s="1178">
        <v>5.9</v>
      </c>
      <c r="BP75" s="1178">
        <v>106.5</v>
      </c>
      <c r="BQ75" s="1178">
        <v>65</v>
      </c>
      <c r="BR75" s="88">
        <f t="shared" si="81"/>
        <v>61.453305221381648</v>
      </c>
      <c r="BS75" s="88">
        <f t="shared" si="82"/>
        <v>345.8</v>
      </c>
      <c r="BT75" s="88">
        <f t="shared" si="83"/>
        <v>24.774900000000009</v>
      </c>
      <c r="BU75" s="1182">
        <v>1690</v>
      </c>
      <c r="BV75" s="1177">
        <v>76.599999999999994</v>
      </c>
      <c r="BW75" s="1178">
        <v>410</v>
      </c>
      <c r="BX75" s="1178">
        <v>6.1999999999999984</v>
      </c>
      <c r="BY75" s="1178">
        <v>115</v>
      </c>
      <c r="BZ75" s="1178">
        <v>64.599999999999994</v>
      </c>
      <c r="CA75" s="88">
        <f t="shared" si="84"/>
        <v>62.708780487804887</v>
      </c>
      <c r="CB75" s="88">
        <f t="shared" si="85"/>
        <v>346.38519999999994</v>
      </c>
      <c r="CC75" s="88">
        <f t="shared" si="86"/>
        <v>25.710600000000003</v>
      </c>
      <c r="CD75" s="1182">
        <v>1950</v>
      </c>
      <c r="CE75" s="1177">
        <v>75</v>
      </c>
      <c r="CF75" s="1178">
        <v>402.1</v>
      </c>
      <c r="CG75" s="1178">
        <v>6.8399999999999972</v>
      </c>
      <c r="CH75" s="1178">
        <v>112</v>
      </c>
      <c r="CI75" s="1178">
        <v>67.8</v>
      </c>
      <c r="CJ75" s="88">
        <f t="shared" si="87"/>
        <v>64.43449390698828</v>
      </c>
      <c r="CK75" s="88">
        <f t="shared" si="88"/>
        <v>355.95</v>
      </c>
      <c r="CL75" s="88">
        <f t="shared" si="89"/>
        <v>25.909109999999988</v>
      </c>
      <c r="CM75" s="1182">
        <v>2053</v>
      </c>
      <c r="CN75" s="1177">
        <v>77.2</v>
      </c>
      <c r="CO75" s="1178">
        <v>410.5</v>
      </c>
      <c r="CP75" s="1178">
        <v>6.8399999999999972</v>
      </c>
      <c r="CQ75" s="1178">
        <v>102</v>
      </c>
      <c r="CR75" s="1178">
        <v>66.400000000000006</v>
      </c>
      <c r="CS75" s="88">
        <f t="shared" si="90"/>
        <v>63.111278928136457</v>
      </c>
      <c r="CT75" s="88">
        <f t="shared" si="91"/>
        <v>358.82560000000001</v>
      </c>
      <c r="CU75" s="88">
        <f t="shared" si="92"/>
        <v>25.907180000000015</v>
      </c>
      <c r="CV75" s="1182">
        <v>1795</v>
      </c>
      <c r="CW75" s="1177">
        <v>70.8</v>
      </c>
      <c r="CX75" s="1178">
        <v>393</v>
      </c>
      <c r="CY75" s="1178">
        <f t="shared" si="97"/>
        <v>6.839999999999999</v>
      </c>
      <c r="CZ75" s="1178">
        <v>111</v>
      </c>
      <c r="DA75" s="1178">
        <v>66.5</v>
      </c>
      <c r="DB75" s="88">
        <f t="shared" si="93"/>
        <v>63.463613231552173</v>
      </c>
      <c r="DC75" s="88">
        <f t="shared" si="94"/>
        <v>329.57399999999996</v>
      </c>
      <c r="DD75" s="88">
        <f t="shared" si="95"/>
        <v>24.941200000000006</v>
      </c>
      <c r="DE75" s="1182">
        <v>1974</v>
      </c>
    </row>
    <row r="76" spans="1:109" ht="15" x14ac:dyDescent="0.2">
      <c r="A76" s="96">
        <f t="shared" si="99"/>
        <v>88</v>
      </c>
      <c r="B76" s="1177">
        <v>59.2</v>
      </c>
      <c r="C76" s="1178">
        <v>367</v>
      </c>
      <c r="D76" s="1178">
        <v>6.706706706706707</v>
      </c>
      <c r="E76" s="1178">
        <v>117</v>
      </c>
      <c r="F76" s="1178">
        <v>63.9</v>
      </c>
      <c r="G76" s="88">
        <f t="shared" si="100"/>
        <v>61.040599455040869</v>
      </c>
      <c r="H76" s="88">
        <f t="shared" si="98"/>
        <v>264.80160000000001</v>
      </c>
      <c r="I76" s="88">
        <f t="shared" si="101"/>
        <v>22.401900000000001</v>
      </c>
      <c r="J76" s="1182">
        <v>1756</v>
      </c>
      <c r="K76" s="1177">
        <v>78.2</v>
      </c>
      <c r="L76" s="1178">
        <v>414</v>
      </c>
      <c r="M76" s="1178">
        <v>6.706706706706707</v>
      </c>
      <c r="N76" s="1178">
        <v>118</v>
      </c>
      <c r="O76" s="1178">
        <v>65</v>
      </c>
      <c r="P76" s="88">
        <f t="shared" si="63"/>
        <v>63.212250966183554</v>
      </c>
      <c r="Q76" s="88">
        <f t="shared" si="64"/>
        <v>355.81</v>
      </c>
      <c r="R76" s="88">
        <f t="shared" si="65"/>
        <v>26.169871899999993</v>
      </c>
      <c r="S76" s="1182">
        <v>1989</v>
      </c>
      <c r="T76" s="1177">
        <v>67</v>
      </c>
      <c r="U76" s="1178">
        <v>381</v>
      </c>
      <c r="V76" s="1178">
        <f t="shared" si="96"/>
        <v>7.0600000000000005</v>
      </c>
      <c r="W76" s="1178">
        <v>126</v>
      </c>
      <c r="X76" s="1178">
        <v>66.599999999999994</v>
      </c>
      <c r="Y76" s="88">
        <f t="shared" si="66"/>
        <v>62.181102362204705</v>
      </c>
      <c r="Z76" s="88">
        <f t="shared" si="67"/>
        <v>312.35399999999998</v>
      </c>
      <c r="AA76" s="88">
        <f t="shared" si="68"/>
        <v>23.690999999999992</v>
      </c>
      <c r="AB76" s="1182">
        <v>2295</v>
      </c>
      <c r="AC76" s="1177">
        <v>70</v>
      </c>
      <c r="AD76" s="1178">
        <v>399</v>
      </c>
      <c r="AE76" s="1178">
        <f>AE75+0.12</f>
        <v>6.32</v>
      </c>
      <c r="AF76" s="1178">
        <v>116</v>
      </c>
      <c r="AG76" s="1178">
        <v>66</v>
      </c>
      <c r="AH76" s="88">
        <f t="shared" si="69"/>
        <v>63.739097744360905</v>
      </c>
      <c r="AI76" s="88">
        <f t="shared" si="70"/>
        <v>323.39999999999998</v>
      </c>
      <c r="AJ76" s="88">
        <f t="shared" si="71"/>
        <v>25.431899999999999</v>
      </c>
      <c r="AK76" s="1182">
        <v>1974</v>
      </c>
      <c r="AL76" s="1177">
        <v>79.900000000000006</v>
      </c>
      <c r="AM76" s="1178">
        <v>415</v>
      </c>
      <c r="AN76" s="1178">
        <f>AN75+0.12</f>
        <v>6.32</v>
      </c>
      <c r="AO76" s="1178">
        <v>110</v>
      </c>
      <c r="AP76" s="1178">
        <v>65.900000000000006</v>
      </c>
      <c r="AQ76" s="88">
        <f t="shared" si="72"/>
        <v>61.849397590361448</v>
      </c>
      <c r="AR76" s="88">
        <f t="shared" si="73"/>
        <v>368.57870000000003</v>
      </c>
      <c r="AS76" s="88">
        <f t="shared" si="74"/>
        <v>25.6675</v>
      </c>
      <c r="AT76" s="1182">
        <v>1709</v>
      </c>
      <c r="AU76" s="1177">
        <v>70.400000000000006</v>
      </c>
      <c r="AV76" s="1178">
        <v>405.9</v>
      </c>
      <c r="AW76" s="1178">
        <v>6.8000000000000007</v>
      </c>
      <c r="AX76" s="1178">
        <v>106</v>
      </c>
      <c r="AY76" s="1178">
        <v>67.400000000000006</v>
      </c>
      <c r="AZ76" s="88">
        <f t="shared" si="75"/>
        <v>63.745232815964528</v>
      </c>
      <c r="BA76" s="88">
        <f t="shared" si="76"/>
        <v>332.14720000000011</v>
      </c>
      <c r="BB76" s="88">
        <f t="shared" si="77"/>
        <v>25.874189999999999</v>
      </c>
      <c r="BC76" s="1182">
        <v>2066</v>
      </c>
      <c r="BD76" s="1177">
        <v>76.8</v>
      </c>
      <c r="BE76" s="1178">
        <v>424.2</v>
      </c>
      <c r="BF76" s="1178">
        <v>5.979999999999996</v>
      </c>
      <c r="BG76" s="1178">
        <v>116</v>
      </c>
      <c r="BH76" s="1178">
        <v>65.2</v>
      </c>
      <c r="BI76" s="88">
        <f t="shared" si="78"/>
        <v>63.082366808109398</v>
      </c>
      <c r="BJ76" s="88">
        <f t="shared" si="79"/>
        <v>350.51520000000005</v>
      </c>
      <c r="BK76" s="88">
        <f t="shared" si="80"/>
        <v>26.759540000000008</v>
      </c>
      <c r="BL76" s="1182">
        <v>2100</v>
      </c>
      <c r="BM76" s="1177">
        <v>75</v>
      </c>
      <c r="BN76" s="1178">
        <v>408.05</v>
      </c>
      <c r="BO76" s="1178">
        <v>5.9</v>
      </c>
      <c r="BP76" s="1178">
        <v>106.5</v>
      </c>
      <c r="BQ76" s="1178">
        <v>65</v>
      </c>
      <c r="BR76" s="88">
        <f t="shared" si="81"/>
        <v>61.495895110893294</v>
      </c>
      <c r="BS76" s="88">
        <f t="shared" si="82"/>
        <v>341.25</v>
      </c>
      <c r="BT76" s="88">
        <f t="shared" si="83"/>
        <v>25.093400000000013</v>
      </c>
      <c r="BU76" s="1182">
        <v>1690</v>
      </c>
      <c r="BV76" s="1177">
        <v>76</v>
      </c>
      <c r="BW76" s="1178">
        <v>415</v>
      </c>
      <c r="BX76" s="1178">
        <v>6.3000000000000016</v>
      </c>
      <c r="BY76" s="1178">
        <v>115</v>
      </c>
      <c r="BZ76" s="1178">
        <v>64.7</v>
      </c>
      <c r="CA76" s="88">
        <f t="shared" si="84"/>
        <v>62.732771084337358</v>
      </c>
      <c r="CB76" s="88">
        <f t="shared" si="85"/>
        <v>344.20400000000001</v>
      </c>
      <c r="CC76" s="88">
        <f t="shared" si="86"/>
        <v>26.034100000000002</v>
      </c>
      <c r="CD76" s="1182">
        <v>1950</v>
      </c>
      <c r="CE76" s="1177">
        <v>74.400000000000006</v>
      </c>
      <c r="CF76" s="1178">
        <v>406.9</v>
      </c>
      <c r="CG76" s="1178">
        <v>6.9600000000000026</v>
      </c>
      <c r="CH76" s="1178">
        <v>112</v>
      </c>
      <c r="CI76" s="1178">
        <v>67.8</v>
      </c>
      <c r="CJ76" s="88">
        <f t="shared" si="87"/>
        <v>64.474195133939517</v>
      </c>
      <c r="CK76" s="88">
        <f t="shared" si="88"/>
        <v>353.10240000000005</v>
      </c>
      <c r="CL76" s="88">
        <f t="shared" si="89"/>
        <v>26.234549999999988</v>
      </c>
      <c r="CM76" s="1182">
        <v>2054</v>
      </c>
      <c r="CN76" s="1177">
        <v>76.5</v>
      </c>
      <c r="CO76" s="1178">
        <v>415.5</v>
      </c>
      <c r="CP76" s="1178">
        <v>6.9600000000000026</v>
      </c>
      <c r="CQ76" s="1178">
        <v>102</v>
      </c>
      <c r="CR76" s="1178">
        <v>66.400000000000006</v>
      </c>
      <c r="CS76" s="88">
        <f t="shared" si="90"/>
        <v>63.15085439229847</v>
      </c>
      <c r="CT76" s="88">
        <f t="shared" si="91"/>
        <v>355.57200000000006</v>
      </c>
      <c r="CU76" s="88">
        <f t="shared" si="92"/>
        <v>26.239180000000015</v>
      </c>
      <c r="CV76" s="1182">
        <v>1796</v>
      </c>
      <c r="CW76" s="1177">
        <v>70.3</v>
      </c>
      <c r="CX76" s="1178">
        <v>397</v>
      </c>
      <c r="CY76" s="1178">
        <f t="shared" si="97"/>
        <v>6.9599999999999991</v>
      </c>
      <c r="CZ76" s="1178">
        <v>111</v>
      </c>
      <c r="DA76" s="1178">
        <v>66.5</v>
      </c>
      <c r="DB76" s="88">
        <f t="shared" si="93"/>
        <v>63.494206549118395</v>
      </c>
      <c r="DC76" s="88">
        <f t="shared" si="94"/>
        <v>327.24649999999997</v>
      </c>
      <c r="DD76" s="88">
        <f t="shared" si="95"/>
        <v>25.207200000000007</v>
      </c>
      <c r="DE76" s="1182">
        <v>1974</v>
      </c>
    </row>
    <row r="77" spans="1:109" ht="15" x14ac:dyDescent="0.2">
      <c r="A77" s="96">
        <f t="shared" si="99"/>
        <v>89</v>
      </c>
      <c r="B77" s="1177">
        <v>58.5</v>
      </c>
      <c r="C77" s="1178">
        <v>371</v>
      </c>
      <c r="D77" s="1178">
        <v>6.8068068068068071</v>
      </c>
      <c r="E77" s="1178">
        <v>117</v>
      </c>
      <c r="F77" s="1178">
        <v>63.9</v>
      </c>
      <c r="G77" s="88">
        <f t="shared" si="100"/>
        <v>61.071428571428569</v>
      </c>
      <c r="H77" s="88">
        <f t="shared" si="98"/>
        <v>261.6705</v>
      </c>
      <c r="I77" s="88">
        <f t="shared" si="101"/>
        <v>22.657499999999999</v>
      </c>
      <c r="J77" s="1182">
        <v>1758</v>
      </c>
      <c r="K77" s="1177">
        <v>77.8</v>
      </c>
      <c r="L77" s="1178">
        <v>419</v>
      </c>
      <c r="M77" s="1178">
        <v>6.8068068068068071</v>
      </c>
      <c r="N77" s="1178">
        <v>118</v>
      </c>
      <c r="O77" s="1178">
        <v>65</v>
      </c>
      <c r="P77" s="88">
        <f t="shared" si="63"/>
        <v>63.233584486873482</v>
      </c>
      <c r="Q77" s="88">
        <f t="shared" si="64"/>
        <v>353.99</v>
      </c>
      <c r="R77" s="88">
        <f t="shared" si="65"/>
        <v>26.494871899999989</v>
      </c>
      <c r="S77" s="1182">
        <v>1990</v>
      </c>
      <c r="T77" s="1177">
        <v>67</v>
      </c>
      <c r="U77" s="1178">
        <v>386</v>
      </c>
      <c r="V77" s="1178">
        <f t="shared" si="96"/>
        <v>7.1800000000000006</v>
      </c>
      <c r="W77" s="1178">
        <v>126</v>
      </c>
      <c r="X77" s="1178">
        <v>66.7</v>
      </c>
      <c r="Y77" s="88">
        <f t="shared" si="66"/>
        <v>62.239637305699461</v>
      </c>
      <c r="Z77" s="88">
        <f t="shared" si="67"/>
        <v>312.82300000000004</v>
      </c>
      <c r="AA77" s="88">
        <f t="shared" si="68"/>
        <v>24.024499999999993</v>
      </c>
      <c r="AB77" s="1182">
        <v>2295</v>
      </c>
      <c r="AC77" s="1177">
        <v>69.5</v>
      </c>
      <c r="AD77" s="1178">
        <v>404</v>
      </c>
      <c r="AE77" s="1178">
        <v>6.5</v>
      </c>
      <c r="AF77" s="1178">
        <v>116</v>
      </c>
      <c r="AG77" s="1178">
        <v>66.099999999999994</v>
      </c>
      <c r="AH77" s="88">
        <f t="shared" si="69"/>
        <v>63.768316831683173</v>
      </c>
      <c r="AI77" s="88">
        <f t="shared" si="70"/>
        <v>321.57649999999995</v>
      </c>
      <c r="AJ77" s="88">
        <f t="shared" si="71"/>
        <v>25.762400000000003</v>
      </c>
      <c r="AK77" s="1182">
        <v>1975</v>
      </c>
      <c r="AL77" s="1177">
        <v>79.599999999999994</v>
      </c>
      <c r="AM77" s="1178">
        <v>420</v>
      </c>
      <c r="AN77" s="1178">
        <v>6.5</v>
      </c>
      <c r="AO77" s="1178">
        <v>110</v>
      </c>
      <c r="AP77" s="1178">
        <v>66</v>
      </c>
      <c r="AQ77" s="88">
        <f t="shared" si="72"/>
        <v>61.898809523809526</v>
      </c>
      <c r="AR77" s="88">
        <f t="shared" si="73"/>
        <v>367.75199999999995</v>
      </c>
      <c r="AS77" s="88">
        <f t="shared" si="74"/>
        <v>25.997499999999999</v>
      </c>
      <c r="AT77" s="1182">
        <v>1710</v>
      </c>
      <c r="AU77" s="1177">
        <v>69.599999999999994</v>
      </c>
      <c r="AV77" s="1178">
        <v>410.4</v>
      </c>
      <c r="AW77" s="1178">
        <v>6.9000000000000119</v>
      </c>
      <c r="AX77" s="1178">
        <v>106</v>
      </c>
      <c r="AY77" s="1178">
        <v>67.400000000000006</v>
      </c>
      <c r="AZ77" s="88">
        <f t="shared" si="75"/>
        <v>63.785307017543865</v>
      </c>
      <c r="BA77" s="88">
        <f t="shared" si="76"/>
        <v>328.37280000000004</v>
      </c>
      <c r="BB77" s="88">
        <f t="shared" si="77"/>
        <v>26.177489999999999</v>
      </c>
      <c r="BC77" s="1182">
        <v>2068</v>
      </c>
      <c r="BD77" s="1177">
        <v>76.3</v>
      </c>
      <c r="BE77" s="1178">
        <v>429.2</v>
      </c>
      <c r="BF77" s="1178">
        <v>6.1299999999999955</v>
      </c>
      <c r="BG77" s="1178">
        <v>116</v>
      </c>
      <c r="BH77" s="1178">
        <v>65.2</v>
      </c>
      <c r="BI77" s="88">
        <f t="shared" si="78"/>
        <v>63.107036346691537</v>
      </c>
      <c r="BJ77" s="88">
        <f t="shared" si="79"/>
        <v>348.23320000000001</v>
      </c>
      <c r="BK77" s="88">
        <f t="shared" si="80"/>
        <v>27.085540000000005</v>
      </c>
      <c r="BL77" s="1182">
        <v>2100</v>
      </c>
      <c r="BM77" s="1177">
        <v>75</v>
      </c>
      <c r="BN77" s="1178">
        <v>413</v>
      </c>
      <c r="BO77" s="1178">
        <v>6</v>
      </c>
      <c r="BP77" s="1178">
        <v>106.5</v>
      </c>
      <c r="BQ77" s="1178">
        <v>65</v>
      </c>
      <c r="BR77" s="88">
        <f t="shared" si="81"/>
        <v>61.537893462469754</v>
      </c>
      <c r="BS77" s="88">
        <f t="shared" si="82"/>
        <v>341.25</v>
      </c>
      <c r="BT77" s="88">
        <f t="shared" si="83"/>
        <v>25.415150000000008</v>
      </c>
      <c r="BU77" s="1182">
        <v>1690</v>
      </c>
      <c r="BV77" s="1177">
        <v>75.3</v>
      </c>
      <c r="BW77" s="1178">
        <v>420</v>
      </c>
      <c r="BX77" s="1178">
        <v>6.400000000000003</v>
      </c>
      <c r="BY77" s="1178">
        <v>115</v>
      </c>
      <c r="BZ77" s="1178">
        <v>64.7</v>
      </c>
      <c r="CA77" s="88">
        <f t="shared" si="84"/>
        <v>62.756190476190476</v>
      </c>
      <c r="CB77" s="88">
        <f t="shared" si="85"/>
        <v>341.03370000000001</v>
      </c>
      <c r="CC77" s="88">
        <f t="shared" si="86"/>
        <v>26.357600000000001</v>
      </c>
      <c r="CD77" s="1182">
        <v>1955</v>
      </c>
      <c r="CE77" s="1177">
        <v>73.8</v>
      </c>
      <c r="CF77" s="1178">
        <v>411.7</v>
      </c>
      <c r="CG77" s="1178">
        <v>7.0799999999999956</v>
      </c>
      <c r="CH77" s="1178">
        <v>112</v>
      </c>
      <c r="CI77" s="1178">
        <v>67.8</v>
      </c>
      <c r="CJ77" s="88">
        <f t="shared" si="87"/>
        <v>64.512970609667207</v>
      </c>
      <c r="CK77" s="88">
        <f t="shared" si="88"/>
        <v>350.25479999999999</v>
      </c>
      <c r="CL77" s="88">
        <f t="shared" si="89"/>
        <v>26.559989999999988</v>
      </c>
      <c r="CM77" s="1182">
        <v>2054</v>
      </c>
      <c r="CN77" s="1177">
        <v>75.7</v>
      </c>
      <c r="CO77" s="1178">
        <v>420.5</v>
      </c>
      <c r="CP77" s="1178">
        <v>7.0799999999999956</v>
      </c>
      <c r="CQ77" s="1178">
        <v>102</v>
      </c>
      <c r="CR77" s="1178">
        <v>66.5</v>
      </c>
      <c r="CS77" s="88">
        <f t="shared" si="90"/>
        <v>63.190677764566026</v>
      </c>
      <c r="CT77" s="88">
        <f t="shared" si="91"/>
        <v>352.38350000000003</v>
      </c>
      <c r="CU77" s="88">
        <f t="shared" si="92"/>
        <v>26.571680000000015</v>
      </c>
      <c r="CV77" s="1182">
        <v>1796</v>
      </c>
      <c r="CW77" s="1177">
        <v>69.8</v>
      </c>
      <c r="CX77" s="1178">
        <v>402</v>
      </c>
      <c r="CY77" s="1178">
        <f t="shared" si="97"/>
        <v>7.0799999999999992</v>
      </c>
      <c r="CZ77" s="1178">
        <v>111</v>
      </c>
      <c r="DA77" s="1178">
        <v>66.599999999999994</v>
      </c>
      <c r="DB77" s="88">
        <f t="shared" si="93"/>
        <v>63.532835820895535</v>
      </c>
      <c r="DC77" s="88">
        <f t="shared" si="94"/>
        <v>325.40759999999995</v>
      </c>
      <c r="DD77" s="88">
        <f t="shared" si="95"/>
        <v>25.540200000000002</v>
      </c>
      <c r="DE77" s="1182">
        <v>1975</v>
      </c>
    </row>
    <row r="78" spans="1:109" ht="15" x14ac:dyDescent="0.2">
      <c r="A78" s="153">
        <f t="shared" si="99"/>
        <v>90</v>
      </c>
      <c r="B78" s="1185">
        <v>57.8</v>
      </c>
      <c r="C78" s="1186">
        <v>374</v>
      </c>
      <c r="D78" s="1186">
        <v>6.9069069069069062</v>
      </c>
      <c r="E78" s="1186">
        <v>117</v>
      </c>
      <c r="F78" s="1186">
        <v>63.9</v>
      </c>
      <c r="G78" s="154">
        <f t="shared" si="100"/>
        <v>61.094117647058823</v>
      </c>
      <c r="H78" s="154">
        <f t="shared" si="98"/>
        <v>258.53939999999994</v>
      </c>
      <c r="I78" s="154">
        <f t="shared" si="101"/>
        <v>22.8492</v>
      </c>
      <c r="J78" s="1192">
        <v>1760</v>
      </c>
      <c r="K78" s="1185">
        <v>77.3</v>
      </c>
      <c r="L78" s="1186">
        <v>424</v>
      </c>
      <c r="M78" s="1186">
        <v>6.9069069069069062</v>
      </c>
      <c r="N78" s="1186">
        <v>118</v>
      </c>
      <c r="O78" s="1186">
        <v>65</v>
      </c>
      <c r="P78" s="154">
        <f t="shared" si="63"/>
        <v>63.254414858490534</v>
      </c>
      <c r="Q78" s="154">
        <f t="shared" si="64"/>
        <v>351.71500000000003</v>
      </c>
      <c r="R78" s="154">
        <f t="shared" si="65"/>
        <v>26.819871899999988</v>
      </c>
      <c r="S78" s="1192">
        <v>1991</v>
      </c>
      <c r="T78" s="1185">
        <v>66</v>
      </c>
      <c r="U78" s="1186">
        <v>390</v>
      </c>
      <c r="V78" s="1186">
        <f t="shared" si="96"/>
        <v>7.3000000000000007</v>
      </c>
      <c r="W78" s="1186">
        <v>126</v>
      </c>
      <c r="X78" s="1186">
        <v>66.8</v>
      </c>
      <c r="Y78" s="154">
        <f t="shared" si="66"/>
        <v>62.286410256410242</v>
      </c>
      <c r="Z78" s="154">
        <f t="shared" si="67"/>
        <v>308.61599999999999</v>
      </c>
      <c r="AA78" s="154">
        <f t="shared" si="68"/>
        <v>24.291699999999992</v>
      </c>
      <c r="AB78" s="1192">
        <v>2300</v>
      </c>
      <c r="AC78" s="1185">
        <v>69</v>
      </c>
      <c r="AD78" s="1186">
        <v>408</v>
      </c>
      <c r="AE78" s="1186">
        <f>AE77+0.12</f>
        <v>6.62</v>
      </c>
      <c r="AF78" s="1186">
        <v>116</v>
      </c>
      <c r="AG78" s="1186">
        <v>66.099999999999994</v>
      </c>
      <c r="AH78" s="154">
        <f t="shared" si="69"/>
        <v>63.79117647058824</v>
      </c>
      <c r="AI78" s="154">
        <f t="shared" si="70"/>
        <v>319.26299999999998</v>
      </c>
      <c r="AJ78" s="154">
        <f t="shared" si="71"/>
        <v>26.026800000000001</v>
      </c>
      <c r="AK78" s="1192">
        <v>1975</v>
      </c>
      <c r="AL78" s="1185">
        <v>79.3</v>
      </c>
      <c r="AM78" s="1186">
        <v>426</v>
      </c>
      <c r="AN78" s="1186">
        <f>AN77+0.12</f>
        <v>6.62</v>
      </c>
      <c r="AO78" s="1186">
        <v>110</v>
      </c>
      <c r="AP78" s="1186">
        <v>66.099999999999994</v>
      </c>
      <c r="AQ78" s="154">
        <f t="shared" si="72"/>
        <v>61.957981220657274</v>
      </c>
      <c r="AR78" s="154">
        <f t="shared" si="73"/>
        <v>366.92109999999991</v>
      </c>
      <c r="AS78" s="154">
        <f t="shared" si="74"/>
        <v>26.394099999999998</v>
      </c>
      <c r="AT78" s="1192">
        <v>1710</v>
      </c>
      <c r="AU78" s="1185">
        <v>68.7</v>
      </c>
      <c r="AV78" s="1186">
        <v>414.9</v>
      </c>
      <c r="AW78" s="1186">
        <v>7.0000000000000115</v>
      </c>
      <c r="AX78" s="1186">
        <v>106</v>
      </c>
      <c r="AY78" s="1186">
        <v>67.5</v>
      </c>
      <c r="AZ78" s="154">
        <f t="shared" si="75"/>
        <v>63.825596529284169</v>
      </c>
      <c r="BA78" s="154">
        <f t="shared" si="76"/>
        <v>324.60750000000002</v>
      </c>
      <c r="BB78" s="154">
        <f t="shared" si="77"/>
        <v>26.481240000000003</v>
      </c>
      <c r="BC78" s="1192">
        <v>2070</v>
      </c>
      <c r="BD78" s="1185">
        <v>75.8</v>
      </c>
      <c r="BE78" s="1186">
        <v>434.2</v>
      </c>
      <c r="BF78" s="1186">
        <v>6.2799999999999949</v>
      </c>
      <c r="BG78" s="1186">
        <v>116</v>
      </c>
      <c r="BH78" s="1186">
        <v>65.3</v>
      </c>
      <c r="BI78" s="154">
        <f t="shared" si="78"/>
        <v>63.132289267618624</v>
      </c>
      <c r="BJ78" s="154">
        <f t="shared" si="79"/>
        <v>346.48179999999996</v>
      </c>
      <c r="BK78" s="154">
        <f t="shared" si="80"/>
        <v>27.412040000000008</v>
      </c>
      <c r="BL78" s="1192">
        <v>2100</v>
      </c>
      <c r="BM78" s="1185">
        <v>74</v>
      </c>
      <c r="BN78" s="1186">
        <v>417.9</v>
      </c>
      <c r="BO78" s="1186">
        <v>6</v>
      </c>
      <c r="BP78" s="1186">
        <v>106.5</v>
      </c>
      <c r="BQ78" s="1186">
        <v>65</v>
      </c>
      <c r="BR78" s="154">
        <f t="shared" si="81"/>
        <v>61.57848767647765</v>
      </c>
      <c r="BS78" s="154">
        <f t="shared" si="82"/>
        <v>336.7</v>
      </c>
      <c r="BT78" s="154">
        <f t="shared" si="83"/>
        <v>25.733650000000008</v>
      </c>
      <c r="BU78" s="1192">
        <v>1690</v>
      </c>
      <c r="BV78" s="1185">
        <v>74.599999999999994</v>
      </c>
      <c r="BW78" s="1186">
        <v>425</v>
      </c>
      <c r="BX78" s="1186">
        <v>6.4999999999999947</v>
      </c>
      <c r="BY78" s="1186">
        <v>115</v>
      </c>
      <c r="BZ78" s="1186">
        <v>64.7</v>
      </c>
      <c r="CA78" s="154">
        <f t="shared" si="84"/>
        <v>62.779058823529404</v>
      </c>
      <c r="CB78" s="154">
        <f t="shared" si="85"/>
        <v>337.86340000000001</v>
      </c>
      <c r="CC78" s="154">
        <f t="shared" si="86"/>
        <v>26.681099999999997</v>
      </c>
      <c r="CD78" s="1192">
        <v>1955</v>
      </c>
      <c r="CE78" s="1185">
        <v>73.2</v>
      </c>
      <c r="CF78" s="1186">
        <v>416.5</v>
      </c>
      <c r="CG78" s="1186">
        <v>7.1999999999999993</v>
      </c>
      <c r="CH78" s="1186">
        <v>112</v>
      </c>
      <c r="CI78" s="1186">
        <v>67.900000000000006</v>
      </c>
      <c r="CJ78" s="154">
        <f t="shared" si="87"/>
        <v>64.552004801920731</v>
      </c>
      <c r="CK78" s="154">
        <f t="shared" si="88"/>
        <v>347.9196</v>
      </c>
      <c r="CL78" s="154">
        <f t="shared" si="89"/>
        <v>26.885909999999988</v>
      </c>
      <c r="CM78" s="1192">
        <v>2055</v>
      </c>
      <c r="CN78" s="1185">
        <v>75</v>
      </c>
      <c r="CO78" s="1186">
        <v>425.4</v>
      </c>
      <c r="CP78" s="1186">
        <v>7.1999999999999993</v>
      </c>
      <c r="CQ78" s="1186">
        <v>102</v>
      </c>
      <c r="CR78" s="1186">
        <v>66.5</v>
      </c>
      <c r="CS78" s="154">
        <f t="shared" si="90"/>
        <v>63.228796426892373</v>
      </c>
      <c r="CT78" s="154">
        <f t="shared" si="91"/>
        <v>349.125</v>
      </c>
      <c r="CU78" s="154">
        <f t="shared" si="92"/>
        <v>26.897530000000014</v>
      </c>
      <c r="CV78" s="1192">
        <v>1798</v>
      </c>
      <c r="CW78" s="1185">
        <v>69.3</v>
      </c>
      <c r="CX78" s="1186">
        <v>406</v>
      </c>
      <c r="CY78" s="1186">
        <f t="shared" si="97"/>
        <v>7.1999999999999993</v>
      </c>
      <c r="CZ78" s="1186">
        <v>111</v>
      </c>
      <c r="DA78" s="1186">
        <v>66.599999999999994</v>
      </c>
      <c r="DB78" s="154">
        <f t="shared" si="93"/>
        <v>63.563054187192122</v>
      </c>
      <c r="DC78" s="154">
        <f t="shared" si="94"/>
        <v>323.07659999999998</v>
      </c>
      <c r="DD78" s="154">
        <f t="shared" si="95"/>
        <v>25.806600000000007</v>
      </c>
      <c r="DE78" s="1192">
        <v>1975</v>
      </c>
    </row>
    <row r="79" spans="1:109" ht="15" x14ac:dyDescent="0.2">
      <c r="A79" s="96">
        <f t="shared" si="99"/>
        <v>91</v>
      </c>
      <c r="B79" s="1177">
        <v>57.1</v>
      </c>
      <c r="C79" s="1178">
        <v>378</v>
      </c>
      <c r="D79" s="1178">
        <v>7.0070070070070072</v>
      </c>
      <c r="E79" s="1187">
        <v>117</v>
      </c>
      <c r="F79" s="1187">
        <v>63.9</v>
      </c>
      <c r="G79" s="88">
        <f t="shared" si="100"/>
        <v>61.123809523809527</v>
      </c>
      <c r="H79" s="88">
        <f t="shared" si="98"/>
        <v>255.40830000000003</v>
      </c>
      <c r="I79" s="88">
        <f t="shared" si="101"/>
        <v>23.104800000000001</v>
      </c>
      <c r="J79" s="1182">
        <v>1762</v>
      </c>
      <c r="K79" s="87">
        <v>76.900000000000006</v>
      </c>
      <c r="L79" s="88">
        <v>429</v>
      </c>
      <c r="M79" s="88">
        <v>7.0070070070070072</v>
      </c>
      <c r="N79" s="1187">
        <v>118</v>
      </c>
      <c r="O79" s="1187">
        <v>65</v>
      </c>
      <c r="P79" s="88">
        <f t="shared" si="63"/>
        <v>63.274759673659645</v>
      </c>
      <c r="Q79" s="88">
        <f t="shared" si="64"/>
        <v>349.89499999999998</v>
      </c>
      <c r="R79" s="88">
        <f t="shared" si="65"/>
        <v>27.144871899999988</v>
      </c>
      <c r="S79" s="1182">
        <v>1992</v>
      </c>
      <c r="T79" s="87">
        <f t="shared" ref="T79:T88" si="102">T78-AVERAGE((T77-T78),(T76-T77),(T75-T76),(T74-T75))*0.965</f>
        <v>65.517499999999998</v>
      </c>
      <c r="U79" s="88">
        <f t="shared" ref="U79:U108" si="103">U78+(T79/100*7)*(1-(V79-V78))</f>
        <v>393.89829125</v>
      </c>
      <c r="V79" s="88">
        <f t="shared" ref="V79:V98" si="104">V78+0.15</f>
        <v>7.4500000000000011</v>
      </c>
      <c r="W79" s="1187">
        <f t="shared" ref="W79:W108" si="105">W78</f>
        <v>126</v>
      </c>
      <c r="X79" s="1187">
        <f>X78+0.1</f>
        <v>66.899999999999991</v>
      </c>
      <c r="Y79" s="88">
        <f t="shared" si="66"/>
        <v>62.332069546963268</v>
      </c>
      <c r="Z79" s="88">
        <f t="shared" si="67"/>
        <v>306.81845249999992</v>
      </c>
      <c r="AA79" s="88">
        <f t="shared" si="68"/>
        <v>24.552495684624994</v>
      </c>
      <c r="AB79" s="1182">
        <f>AB78+10</f>
        <v>2310</v>
      </c>
      <c r="AC79" s="87">
        <f t="shared" ref="AC79:AC88" si="106">AC78-AVERAGE((AC77-AC78),(AC76-AC77),(AC75-AC76),(AC74-AC75))*0.965</f>
        <v>68.517499999999998</v>
      </c>
      <c r="AD79" s="88">
        <f t="shared" ref="AD79:AD108" si="107">AD78+(AC79/100*7)*(1-(AE79-AE78))</f>
        <v>412.07679124999999</v>
      </c>
      <c r="AE79" s="88">
        <f t="shared" ref="AE79:AE98" si="108">AE78+0.15</f>
        <v>6.7700000000000005</v>
      </c>
      <c r="AF79" s="1187">
        <f t="shared" ref="AF79:AF108" si="109">AF78</f>
        <v>116</v>
      </c>
      <c r="AG79" s="1187">
        <f>AG78+0.1</f>
        <v>66.199999999999989</v>
      </c>
      <c r="AH79" s="88">
        <f t="shared" si="69"/>
        <v>63.815007637244612</v>
      </c>
      <c r="AI79" s="88">
        <f t="shared" si="70"/>
        <v>317.51009499999992</v>
      </c>
      <c r="AJ79" s="88">
        <f t="shared" si="71"/>
        <v>26.296683580749999</v>
      </c>
      <c r="AK79" s="1182">
        <f t="shared" ref="AK79:AK88" si="110">AK78</f>
        <v>1975</v>
      </c>
      <c r="AL79" s="1177">
        <f t="shared" ref="AL79:AL88" si="111">AL78-AVERAGE((AL77-AL78),(AL76-AL77),(AL75-AL76),(AL74-AL75))*0.965</f>
        <v>78.986374999999995</v>
      </c>
      <c r="AM79" s="1178">
        <f t="shared" ref="AM79:AM108" si="112">AM78+(AL79/100*7)*(1-(AN79-AN78))</f>
        <v>430.69968931249997</v>
      </c>
      <c r="AN79" s="1178">
        <f t="shared" ref="AN79:AN98" si="113">AN78+0.15</f>
        <v>6.7700000000000005</v>
      </c>
      <c r="AO79" s="1187">
        <f t="shared" ref="AO79:AO108" si="114">AO78</f>
        <v>110</v>
      </c>
      <c r="AP79" s="1187">
        <f>AP78+0.1</f>
        <v>66.199999999999989</v>
      </c>
      <c r="AQ79" s="88">
        <f t="shared" si="72"/>
        <v>62.004269088550849</v>
      </c>
      <c r="AR79" s="88">
        <f t="shared" si="73"/>
        <v>366.02286174999989</v>
      </c>
      <c r="AS79" s="88">
        <f t="shared" si="74"/>
        <v>26.705219432487496</v>
      </c>
      <c r="AT79" s="1182">
        <f t="shared" ref="AT79:AT88" si="115">AT78</f>
        <v>1710</v>
      </c>
      <c r="AU79" s="1177">
        <v>67.8</v>
      </c>
      <c r="AV79" s="1178">
        <v>419.3</v>
      </c>
      <c r="AW79" s="1178">
        <v>7.1</v>
      </c>
      <c r="AX79" s="1187">
        <v>106</v>
      </c>
      <c r="AY79" s="1187">
        <v>67.5</v>
      </c>
      <c r="AZ79" s="88">
        <f t="shared" si="75"/>
        <v>63.864154543286439</v>
      </c>
      <c r="BA79" s="88">
        <f t="shared" si="76"/>
        <v>320.35499999999996</v>
      </c>
      <c r="BB79" s="88">
        <f t="shared" si="77"/>
        <v>26.778240000000004</v>
      </c>
      <c r="BC79" s="1182">
        <v>2072</v>
      </c>
      <c r="BD79" s="1177">
        <f t="shared" ref="BD79:BD88" si="116">BD78-AVERAGE((BD77-BD78),(BD76-BD77),(BD75-BD76),(BD74-BD75))*0.965</f>
        <v>75.26925</v>
      </c>
      <c r="BE79" s="1178">
        <f t="shared" ref="BE79:BE108" si="117">BE78+(BD79/100*7)*(1-(BF79-BF78))</f>
        <v>438.94196275000002</v>
      </c>
      <c r="BF79" s="1178">
        <f>BF78+0.1</f>
        <v>6.3799999999999946</v>
      </c>
      <c r="BG79" s="1187">
        <f t="shared" ref="BG79:BG108" si="118">BG78</f>
        <v>116</v>
      </c>
      <c r="BH79" s="1187">
        <f>BH78+0.1</f>
        <v>65.399999999999991</v>
      </c>
      <c r="BI79" s="88">
        <f t="shared" si="78"/>
        <v>63.156787722387804</v>
      </c>
      <c r="BJ79" s="88">
        <f t="shared" si="79"/>
        <v>344.58262649999995</v>
      </c>
      <c r="BK79" s="88">
        <f t="shared" si="80"/>
        <v>27.722164363850005</v>
      </c>
      <c r="BL79" s="1182">
        <v>2025</v>
      </c>
      <c r="BM79" s="1177">
        <f t="shared" ref="BM79:BM88" si="119">BM78-AVERAGE((BM77-BM78),(BM76-BM77),(BM75-BM76),(BM74-BM75))*0.965</f>
        <v>73.517499999999998</v>
      </c>
      <c r="BN79" s="1178">
        <f t="shared" ref="BN79:BN108" si="120">BN78+(BM79/100*7)*(1-(BO79-BO78))</f>
        <v>422.01697999999999</v>
      </c>
      <c r="BO79" s="1178">
        <f t="shared" ref="BO79:BO88" si="121">BO78+0.2</f>
        <v>6.2</v>
      </c>
      <c r="BP79" s="1187">
        <f t="shared" ref="BP79:BP108" si="122">BP78</f>
        <v>106.5</v>
      </c>
      <c r="BQ79" s="1187">
        <f>BQ78+0.1</f>
        <v>65.099999999999994</v>
      </c>
      <c r="BR79" s="88">
        <f t="shared" si="81"/>
        <v>61.612841734472411</v>
      </c>
      <c r="BS79" s="88">
        <f t="shared" si="82"/>
        <v>335.01924750000001</v>
      </c>
      <c r="BT79" s="88">
        <f t="shared" si="83"/>
        <v>26.001665398000007</v>
      </c>
      <c r="BU79" s="1182">
        <v>2030</v>
      </c>
      <c r="BV79" s="1177">
        <v>73.945249999999987</v>
      </c>
      <c r="BW79" s="1178">
        <v>429</v>
      </c>
      <c r="BX79" s="1178">
        <v>6.5999999999999979</v>
      </c>
      <c r="BY79" s="1187">
        <v>115</v>
      </c>
      <c r="BZ79" s="1187">
        <v>64.8</v>
      </c>
      <c r="CA79" s="88">
        <f t="shared" si="84"/>
        <v>62.797902097902089</v>
      </c>
      <c r="CB79" s="88">
        <f t="shared" si="85"/>
        <v>335.4156539999999</v>
      </c>
      <c r="CC79" s="88">
        <f t="shared" si="86"/>
        <v>26.940299999999993</v>
      </c>
      <c r="CD79" s="1182">
        <v>1955</v>
      </c>
      <c r="CE79" s="1177">
        <v>72.5</v>
      </c>
      <c r="CF79" s="1178">
        <v>421.2</v>
      </c>
      <c r="CG79" s="1178">
        <v>7.3</v>
      </c>
      <c r="CH79" s="1187">
        <v>112</v>
      </c>
      <c r="CI79" s="1187">
        <v>67.900000000000006</v>
      </c>
      <c r="CJ79" s="88">
        <f t="shared" si="87"/>
        <v>64.58936372269703</v>
      </c>
      <c r="CK79" s="88">
        <f t="shared" si="88"/>
        <v>344.59250000000003</v>
      </c>
      <c r="CL79" s="88">
        <f t="shared" si="89"/>
        <v>27.205039999999983</v>
      </c>
      <c r="CM79" s="1182">
        <v>2056</v>
      </c>
      <c r="CN79" s="87">
        <v>74.2</v>
      </c>
      <c r="CO79" s="88">
        <v>430.2</v>
      </c>
      <c r="CP79" s="88">
        <v>7.1999999999999993</v>
      </c>
      <c r="CQ79" s="1187">
        <v>102</v>
      </c>
      <c r="CR79" s="1187">
        <v>66.599999999999994</v>
      </c>
      <c r="CS79" s="88">
        <f t="shared" si="90"/>
        <v>63.266410971641129</v>
      </c>
      <c r="CT79" s="88">
        <f t="shared" si="91"/>
        <v>345.92039999999997</v>
      </c>
      <c r="CU79" s="88">
        <f t="shared" si="92"/>
        <v>27.217210000000016</v>
      </c>
      <c r="CV79" s="1182">
        <v>1798</v>
      </c>
      <c r="CW79" s="87">
        <f t="shared" ref="CW79:CW88" si="123">CW78-AVERAGE((CW77-CW78),(CW76-CW77),(CW75-CW76),(CW74-CW75))*0.965</f>
        <v>68.817499999999995</v>
      </c>
      <c r="CX79" s="88">
        <f t="shared" ref="CX79:CX108" si="124">CX78+(CW79/100*7)*(1-(CY79-CY78))</f>
        <v>410.09464125</v>
      </c>
      <c r="CY79" s="88">
        <f t="shared" ref="CY79:CY98" si="125">CY78+0.15</f>
        <v>7.35</v>
      </c>
      <c r="CZ79" s="1187">
        <f t="shared" ref="CZ79:CZ108" si="126">CZ78</f>
        <v>111</v>
      </c>
      <c r="DA79" s="1187">
        <f>DA78+0.1</f>
        <v>66.699999999999989</v>
      </c>
      <c r="DB79" s="88">
        <f t="shared" si="93"/>
        <v>63.594375415104267</v>
      </c>
      <c r="DC79" s="88">
        <f t="shared" si="94"/>
        <v>321.30890749999992</v>
      </c>
      <c r="DD79" s="88">
        <f t="shared" si="95"/>
        <v>26.079712571375001</v>
      </c>
      <c r="DE79" s="1182">
        <f>DE78+10</f>
        <v>1985</v>
      </c>
    </row>
    <row r="80" spans="1:109" ht="15" x14ac:dyDescent="0.2">
      <c r="A80" s="96">
        <f t="shared" si="99"/>
        <v>92</v>
      </c>
      <c r="B80" s="1177">
        <v>56.4</v>
      </c>
      <c r="C80" s="1178">
        <v>382</v>
      </c>
      <c r="D80" s="1178">
        <v>7.1071071071071064</v>
      </c>
      <c r="E80" s="1187">
        <v>117</v>
      </c>
      <c r="F80" s="1187">
        <v>63.9</v>
      </c>
      <c r="G80" s="88">
        <f t="shared" si="100"/>
        <v>61.152879581151844</v>
      </c>
      <c r="H80" s="88">
        <f t="shared" si="98"/>
        <v>252.27719999999997</v>
      </c>
      <c r="I80" s="88">
        <f t="shared" si="101"/>
        <v>23.360400000000006</v>
      </c>
      <c r="J80" s="1182">
        <v>1764</v>
      </c>
      <c r="K80" s="87">
        <v>76.400000000000006</v>
      </c>
      <c r="L80" s="88">
        <v>434</v>
      </c>
      <c r="M80" s="88">
        <v>7.1071071071071064</v>
      </c>
      <c r="N80" s="1187">
        <v>118</v>
      </c>
      <c r="O80" s="1187">
        <v>65.099999999999994</v>
      </c>
      <c r="P80" s="88">
        <f t="shared" si="63"/>
        <v>63.295787788018401</v>
      </c>
      <c r="Q80" s="88">
        <f t="shared" si="64"/>
        <v>348.15479999999997</v>
      </c>
      <c r="R80" s="88">
        <f t="shared" si="65"/>
        <v>27.470371899999989</v>
      </c>
      <c r="S80" s="1182">
        <v>1993</v>
      </c>
      <c r="T80" s="87">
        <f t="shared" si="102"/>
        <v>64.918596874999992</v>
      </c>
      <c r="U80" s="88">
        <f t="shared" si="103"/>
        <v>397.76094776406251</v>
      </c>
      <c r="V80" s="88">
        <f t="shared" si="104"/>
        <v>7.6000000000000014</v>
      </c>
      <c r="W80" s="1187">
        <f t="shared" si="105"/>
        <v>126</v>
      </c>
      <c r="X80" s="1187">
        <f>X79+0.1</f>
        <v>66.999999999999986</v>
      </c>
      <c r="Y80" s="88">
        <f t="shared" si="66"/>
        <v>62.377399819009753</v>
      </c>
      <c r="Z80" s="88">
        <f t="shared" si="67"/>
        <v>304.46821934374987</v>
      </c>
      <c r="AA80" s="88">
        <f t="shared" si="68"/>
        <v>24.81129367106718</v>
      </c>
      <c r="AB80" s="1182">
        <f t="shared" ref="AB80:AB90" si="127">AB79</f>
        <v>2310</v>
      </c>
      <c r="AC80" s="87">
        <f t="shared" si="106"/>
        <v>68.039221874999996</v>
      </c>
      <c r="AD80" s="88">
        <f t="shared" si="107"/>
        <v>416.1251249515625</v>
      </c>
      <c r="AE80" s="88">
        <f t="shared" si="108"/>
        <v>6.9200000000000008</v>
      </c>
      <c r="AF80" s="1187">
        <f t="shared" si="109"/>
        <v>116</v>
      </c>
      <c r="AG80" s="1187">
        <f>AG78+0.1</f>
        <v>66.199999999999989</v>
      </c>
      <c r="AH80" s="88">
        <f t="shared" si="69"/>
        <v>63.838210381758628</v>
      </c>
      <c r="AI80" s="88">
        <f t="shared" si="70"/>
        <v>315.29375416874996</v>
      </c>
      <c r="AJ80" s="88">
        <f t="shared" si="71"/>
        <v>26.564683271793442</v>
      </c>
      <c r="AK80" s="1182">
        <f t="shared" si="110"/>
        <v>1975</v>
      </c>
      <c r="AL80" s="1177">
        <f t="shared" si="111"/>
        <v>78.693587968749995</v>
      </c>
      <c r="AM80" s="1178">
        <f t="shared" si="112"/>
        <v>435.38195779664062</v>
      </c>
      <c r="AN80" s="1178">
        <f t="shared" si="113"/>
        <v>6.9200000000000008</v>
      </c>
      <c r="AO80" s="1187">
        <f t="shared" si="114"/>
        <v>110</v>
      </c>
      <c r="AP80" s="1187">
        <f>AP78+0.1</f>
        <v>66.199999999999989</v>
      </c>
      <c r="AQ80" s="88">
        <f t="shared" si="72"/>
        <v>62.049391625814536</v>
      </c>
      <c r="AR80" s="88">
        <f t="shared" si="73"/>
        <v>364.6660866471874</v>
      </c>
      <c r="AS80" s="88">
        <f t="shared" si="74"/>
        <v>27.01518560613761</v>
      </c>
      <c r="AT80" s="1182">
        <f t="shared" si="115"/>
        <v>1710</v>
      </c>
      <c r="AU80" s="1177">
        <v>66.900000000000006</v>
      </c>
      <c r="AV80" s="1178">
        <v>423.6</v>
      </c>
      <c r="AW80" s="1178">
        <v>7.2000000000000117</v>
      </c>
      <c r="AX80" s="1187">
        <v>106</v>
      </c>
      <c r="AY80" s="1187">
        <v>67.5</v>
      </c>
      <c r="AZ80" s="88">
        <f t="shared" si="75"/>
        <v>63.901062322946188</v>
      </c>
      <c r="BA80" s="88">
        <f t="shared" si="76"/>
        <v>316.10249999999996</v>
      </c>
      <c r="BB80" s="88">
        <f t="shared" si="77"/>
        <v>27.068490000000004</v>
      </c>
      <c r="BC80" s="1182">
        <v>2074</v>
      </c>
      <c r="BD80" s="1177">
        <f t="shared" si="116"/>
        <v>74.755206562499993</v>
      </c>
      <c r="BE80" s="1178">
        <f t="shared" si="117"/>
        <v>443.65154076343754</v>
      </c>
      <c r="BF80" s="1178">
        <f>BF79+0.1</f>
        <v>6.4799999999999942</v>
      </c>
      <c r="BG80" s="1187">
        <f t="shared" si="118"/>
        <v>116</v>
      </c>
      <c r="BH80" s="1187">
        <f>BH79</f>
        <v>65.399999999999991</v>
      </c>
      <c r="BI80" s="88">
        <f t="shared" si="78"/>
        <v>63.180600517456512</v>
      </c>
      <c r="BJ80" s="88">
        <f t="shared" si="79"/>
        <v>342.2293356431249</v>
      </c>
      <c r="BK80" s="88">
        <f t="shared" si="80"/>
        <v>28.030170765928819</v>
      </c>
      <c r="BL80" s="1182">
        <v>2025</v>
      </c>
      <c r="BM80" s="1177">
        <f t="shared" si="119"/>
        <v>72.918596874999992</v>
      </c>
      <c r="BN80" s="1178">
        <f t="shared" si="120"/>
        <v>426.10042142499998</v>
      </c>
      <c r="BO80" s="1178">
        <f t="shared" si="121"/>
        <v>6.4</v>
      </c>
      <c r="BP80" s="1187">
        <f t="shared" si="122"/>
        <v>106.5</v>
      </c>
      <c r="BQ80" s="1187">
        <f>BQ79</f>
        <v>65.099999999999994</v>
      </c>
      <c r="BR80" s="88">
        <f t="shared" si="81"/>
        <v>61.646260163089231</v>
      </c>
      <c r="BS80" s="88">
        <f t="shared" si="82"/>
        <v>332.29004595937494</v>
      </c>
      <c r="BT80" s="88">
        <f t="shared" si="83"/>
        <v>26.267497434767506</v>
      </c>
      <c r="BU80" s="1182">
        <v>2030</v>
      </c>
      <c r="BV80" s="1177">
        <v>73.2</v>
      </c>
      <c r="BW80" s="1178">
        <v>434</v>
      </c>
      <c r="BX80" s="1178">
        <v>6.6999999999999993</v>
      </c>
      <c r="BY80" s="1187">
        <v>115</v>
      </c>
      <c r="BZ80" s="1187">
        <v>64.8</v>
      </c>
      <c r="CA80" s="88">
        <f t="shared" si="84"/>
        <v>62.820967741935476</v>
      </c>
      <c r="CB80" s="88">
        <f t="shared" si="85"/>
        <v>332.03519999999997</v>
      </c>
      <c r="CC80" s="88">
        <f t="shared" si="86"/>
        <v>27.264299999999999</v>
      </c>
      <c r="CD80" s="1182">
        <v>1960</v>
      </c>
      <c r="CE80" s="1177">
        <v>71.900000000000006</v>
      </c>
      <c r="CF80" s="1178">
        <v>425.8</v>
      </c>
      <c r="CG80" s="1178">
        <v>7.5</v>
      </c>
      <c r="CH80" s="1187">
        <v>112</v>
      </c>
      <c r="CI80" s="1187">
        <v>67.900000000000006</v>
      </c>
      <c r="CJ80" s="88">
        <f t="shared" si="87"/>
        <v>64.625129168623744</v>
      </c>
      <c r="CK80" s="88">
        <f t="shared" si="88"/>
        <v>341.74070000000006</v>
      </c>
      <c r="CL80" s="88">
        <f t="shared" si="89"/>
        <v>27.517379999999992</v>
      </c>
      <c r="CM80" s="1182">
        <v>2056</v>
      </c>
      <c r="CN80" s="87">
        <v>73.400000000000006</v>
      </c>
      <c r="CO80" s="88">
        <v>435</v>
      </c>
      <c r="CP80" s="88">
        <v>7.3</v>
      </c>
      <c r="CQ80" s="1187">
        <v>102</v>
      </c>
      <c r="CR80" s="1187">
        <v>66.599999999999994</v>
      </c>
      <c r="CS80" s="88">
        <f t="shared" si="90"/>
        <v>63.303195402298883</v>
      </c>
      <c r="CT80" s="88">
        <f t="shared" si="91"/>
        <v>342.19080000000002</v>
      </c>
      <c r="CU80" s="88">
        <f t="shared" si="92"/>
        <v>27.536890000000014</v>
      </c>
      <c r="CV80" s="1182">
        <v>1799</v>
      </c>
      <c r="CW80" s="87">
        <f t="shared" si="123"/>
        <v>68.339221874999993</v>
      </c>
      <c r="CX80" s="88">
        <f t="shared" si="124"/>
        <v>414.16082495156252</v>
      </c>
      <c r="CY80" s="88">
        <f t="shared" si="125"/>
        <v>7.5</v>
      </c>
      <c r="CZ80" s="1187">
        <f t="shared" si="126"/>
        <v>111</v>
      </c>
      <c r="DA80" s="1187">
        <f>DA79</f>
        <v>66.699999999999989</v>
      </c>
      <c r="DB80" s="88">
        <f t="shared" si="93"/>
        <v>63.624866082761571</v>
      </c>
      <c r="DC80" s="88">
        <f t="shared" si="94"/>
        <v>319.0758269343749</v>
      </c>
      <c r="DD80" s="88">
        <f t="shared" si="95"/>
        <v>26.350927024269222</v>
      </c>
      <c r="DE80" s="1182">
        <f>DE79</f>
        <v>1985</v>
      </c>
    </row>
    <row r="81" spans="1:109" ht="15" x14ac:dyDescent="0.2">
      <c r="A81" s="96">
        <f t="shared" si="99"/>
        <v>93</v>
      </c>
      <c r="B81" s="1177">
        <v>55.7</v>
      </c>
      <c r="C81" s="1178">
        <v>385</v>
      </c>
      <c r="D81" s="1178">
        <v>7.2072072072072073</v>
      </c>
      <c r="E81" s="1187">
        <v>117</v>
      </c>
      <c r="F81" s="1187">
        <v>63.9</v>
      </c>
      <c r="G81" s="88">
        <f t="shared" si="100"/>
        <v>61.174285714285723</v>
      </c>
      <c r="H81" s="88">
        <f t="shared" si="98"/>
        <v>249.14610000000002</v>
      </c>
      <c r="I81" s="88">
        <f t="shared" si="101"/>
        <v>23.552100000000006</v>
      </c>
      <c r="J81" s="1182">
        <v>1766</v>
      </c>
      <c r="K81" s="87">
        <v>76</v>
      </c>
      <c r="L81" s="88">
        <v>439</v>
      </c>
      <c r="M81" s="88">
        <v>7.2072072072072073</v>
      </c>
      <c r="N81" s="1187">
        <v>118</v>
      </c>
      <c r="O81" s="1187">
        <v>65.099999999999994</v>
      </c>
      <c r="P81" s="88">
        <f t="shared" si="63"/>
        <v>63.316336902050089</v>
      </c>
      <c r="Q81" s="88">
        <f t="shared" si="64"/>
        <v>346.33199999999999</v>
      </c>
      <c r="R81" s="88">
        <f t="shared" si="65"/>
        <v>27.795871899999987</v>
      </c>
      <c r="S81" s="1182">
        <v>1994</v>
      </c>
      <c r="T81" s="87">
        <f t="shared" si="102"/>
        <v>64.416458371093739</v>
      </c>
      <c r="U81" s="88">
        <f t="shared" si="103"/>
        <v>401.59372703714257</v>
      </c>
      <c r="V81" s="88">
        <f t="shared" si="104"/>
        <v>7.7500000000000018</v>
      </c>
      <c r="W81" s="1187">
        <f t="shared" si="105"/>
        <v>126</v>
      </c>
      <c r="X81" s="1187">
        <f>X80</f>
        <v>66.999999999999986</v>
      </c>
      <c r="Y81" s="88">
        <f t="shared" si="66"/>
        <v>62.42151755534033</v>
      </c>
      <c r="Z81" s="88">
        <f t="shared" si="67"/>
        <v>302.11318976042958</v>
      </c>
      <c r="AA81" s="88">
        <f t="shared" si="68"/>
        <v>25.068089882363548</v>
      </c>
      <c r="AB81" s="1182">
        <f t="shared" si="127"/>
        <v>2310</v>
      </c>
      <c r="AC81" s="87">
        <f t="shared" si="106"/>
        <v>67.566184152343737</v>
      </c>
      <c r="AD81" s="88">
        <f t="shared" si="107"/>
        <v>420.14531290862692</v>
      </c>
      <c r="AE81" s="88">
        <f t="shared" si="108"/>
        <v>7.0700000000000012</v>
      </c>
      <c r="AF81" s="1187">
        <f t="shared" si="109"/>
        <v>116</v>
      </c>
      <c r="AG81" s="1187">
        <f>AG78+0.1</f>
        <v>66.199999999999989</v>
      </c>
      <c r="AH81" s="88">
        <f t="shared" si="69"/>
        <v>63.860809320479717</v>
      </c>
      <c r="AI81" s="88">
        <f t="shared" si="70"/>
        <v>313.10169736196082</v>
      </c>
      <c r="AJ81" s="88">
        <f t="shared" si="71"/>
        <v>26.830819714551112</v>
      </c>
      <c r="AK81" s="1182">
        <f t="shared" si="110"/>
        <v>1975</v>
      </c>
      <c r="AL81" s="1177">
        <f t="shared" si="111"/>
        <v>78.402541066210929</v>
      </c>
      <c r="AM81" s="1178">
        <f t="shared" si="112"/>
        <v>440.04690899008017</v>
      </c>
      <c r="AN81" s="1178">
        <f t="shared" si="113"/>
        <v>7.0700000000000012</v>
      </c>
      <c r="AO81" s="1187">
        <f t="shared" si="114"/>
        <v>110</v>
      </c>
      <c r="AP81" s="1187">
        <f>AP78+0.1</f>
        <v>66.199999999999989</v>
      </c>
      <c r="AQ81" s="88">
        <f t="shared" si="72"/>
        <v>62.093392356402767</v>
      </c>
      <c r="AR81" s="88">
        <f t="shared" si="73"/>
        <v>363.31737530082137</v>
      </c>
      <c r="AS81" s="88">
        <f t="shared" si="74"/>
        <v>27.324005375143308</v>
      </c>
      <c r="AT81" s="1182">
        <f t="shared" si="115"/>
        <v>1710</v>
      </c>
      <c r="AU81" s="1177">
        <v>66</v>
      </c>
      <c r="AV81" s="1178">
        <v>427.9</v>
      </c>
      <c r="AW81" s="1178">
        <v>7.3</v>
      </c>
      <c r="AX81" s="1187">
        <v>106</v>
      </c>
      <c r="AY81" s="1187">
        <v>67.599999999999994</v>
      </c>
      <c r="AZ81" s="88">
        <f t="shared" si="75"/>
        <v>63.938233232063574</v>
      </c>
      <c r="BA81" s="88">
        <f t="shared" si="76"/>
        <v>312.31199999999995</v>
      </c>
      <c r="BB81" s="88">
        <f t="shared" si="77"/>
        <v>27.359170000000002</v>
      </c>
      <c r="BC81" s="1182">
        <v>2076</v>
      </c>
      <c r="BD81" s="1177">
        <f t="shared" si="116"/>
        <v>74.261900145703123</v>
      </c>
      <c r="BE81" s="1178">
        <f t="shared" si="117"/>
        <v>447.81020717159691</v>
      </c>
      <c r="BF81" s="1178">
        <f>BF80+0.2</f>
        <v>6.6799999999999944</v>
      </c>
      <c r="BG81" s="1187">
        <f t="shared" si="118"/>
        <v>116</v>
      </c>
      <c r="BH81" s="1187">
        <f>BH80</f>
        <v>65.399999999999991</v>
      </c>
      <c r="BI81" s="88">
        <f t="shared" si="78"/>
        <v>63.201211351971949</v>
      </c>
      <c r="BJ81" s="88">
        <f t="shared" si="79"/>
        <v>339.9709788670288</v>
      </c>
      <c r="BK81" s="88">
        <f t="shared" si="80"/>
        <v>28.302147549022443</v>
      </c>
      <c r="BL81" s="1182">
        <v>2025</v>
      </c>
      <c r="BM81" s="1177">
        <f t="shared" si="119"/>
        <v>72.416458371093739</v>
      </c>
      <c r="BN81" s="1178">
        <f t="shared" si="120"/>
        <v>430.15574309378121</v>
      </c>
      <c r="BO81" s="1178">
        <f t="shared" si="121"/>
        <v>6.6000000000000005</v>
      </c>
      <c r="BP81" s="1187">
        <f t="shared" si="122"/>
        <v>106.5</v>
      </c>
      <c r="BQ81" s="1187">
        <f>BQ80</f>
        <v>65.099999999999994</v>
      </c>
      <c r="BR81" s="88">
        <f t="shared" si="81"/>
        <v>61.678820523432726</v>
      </c>
      <c r="BS81" s="88">
        <f t="shared" si="82"/>
        <v>330.00180079707417</v>
      </c>
      <c r="BT81" s="88">
        <f t="shared" si="83"/>
        <v>26.531498875405166</v>
      </c>
      <c r="BU81" s="1182">
        <v>2030</v>
      </c>
      <c r="BV81" s="1177">
        <v>72.400000000000006</v>
      </c>
      <c r="BW81" s="1178">
        <v>439</v>
      </c>
      <c r="BX81" s="1178">
        <v>6.8000000000000016</v>
      </c>
      <c r="BY81" s="1187">
        <v>115</v>
      </c>
      <c r="BZ81" s="1187">
        <v>64.8</v>
      </c>
      <c r="CA81" s="88">
        <f t="shared" si="84"/>
        <v>62.843507972665137</v>
      </c>
      <c r="CB81" s="88">
        <f t="shared" si="85"/>
        <v>328.40640000000002</v>
      </c>
      <c r="CC81" s="88">
        <f t="shared" si="86"/>
        <v>27.588299999999997</v>
      </c>
      <c r="CD81" s="1182">
        <v>1960</v>
      </c>
      <c r="CE81" s="1177">
        <v>71.2</v>
      </c>
      <c r="CF81" s="1178">
        <v>430.4</v>
      </c>
      <c r="CG81" s="1178">
        <v>7.6</v>
      </c>
      <c r="CH81" s="1187">
        <v>112</v>
      </c>
      <c r="CI81" s="1187">
        <v>68</v>
      </c>
      <c r="CJ81" s="88">
        <f t="shared" si="87"/>
        <v>64.661198884758335</v>
      </c>
      <c r="CK81" s="88">
        <f t="shared" si="88"/>
        <v>338.91200000000003</v>
      </c>
      <c r="CL81" s="88">
        <f t="shared" si="89"/>
        <v>27.830179999999988</v>
      </c>
      <c r="CM81" s="1182">
        <v>2057</v>
      </c>
      <c r="CN81" s="87">
        <v>72.599999999999994</v>
      </c>
      <c r="CO81" s="88">
        <v>439.8</v>
      </c>
      <c r="CP81" s="88">
        <v>7.3</v>
      </c>
      <c r="CQ81" s="1187">
        <v>102</v>
      </c>
      <c r="CR81" s="1187">
        <v>66.599999999999994</v>
      </c>
      <c r="CS81" s="88">
        <f t="shared" si="90"/>
        <v>63.339176898590296</v>
      </c>
      <c r="CT81" s="88">
        <f t="shared" si="91"/>
        <v>338.46119999999996</v>
      </c>
      <c r="CU81" s="88">
        <f t="shared" si="92"/>
        <v>27.856570000000016</v>
      </c>
      <c r="CV81" s="1182">
        <v>1799</v>
      </c>
      <c r="CW81" s="87">
        <f t="shared" si="123"/>
        <v>67.866184152343735</v>
      </c>
      <c r="CX81" s="88">
        <f t="shared" si="124"/>
        <v>418.19886290862695</v>
      </c>
      <c r="CY81" s="88">
        <f t="shared" si="125"/>
        <v>7.65</v>
      </c>
      <c r="CZ81" s="1187">
        <f t="shared" si="126"/>
        <v>111</v>
      </c>
      <c r="DA81" s="1187">
        <f>DA80</f>
        <v>66.699999999999989</v>
      </c>
      <c r="DB81" s="88">
        <f t="shared" si="93"/>
        <v>63.654558912135855</v>
      </c>
      <c r="DC81" s="88">
        <f t="shared" si="94"/>
        <v>316.86721380729284</v>
      </c>
      <c r="DD81" s="88">
        <f t="shared" si="95"/>
        <v>26.620264156005419</v>
      </c>
      <c r="DE81" s="1182">
        <f>DE80</f>
        <v>1985</v>
      </c>
    </row>
    <row r="82" spans="1:109" ht="15" x14ac:dyDescent="0.2">
      <c r="A82" s="96">
        <f t="shared" si="99"/>
        <v>94</v>
      </c>
      <c r="B82" s="1177">
        <v>55</v>
      </c>
      <c r="C82" s="1178">
        <v>389</v>
      </c>
      <c r="D82" s="1178">
        <v>7.3073073073073074</v>
      </c>
      <c r="E82" s="1187">
        <v>117</v>
      </c>
      <c r="F82" s="1187">
        <v>63.9</v>
      </c>
      <c r="G82" s="88">
        <f t="shared" si="100"/>
        <v>61.202313624678673</v>
      </c>
      <c r="H82" s="88">
        <f t="shared" si="98"/>
        <v>246.01500000000001</v>
      </c>
      <c r="I82" s="88">
        <f t="shared" si="101"/>
        <v>23.807700000000004</v>
      </c>
      <c r="J82" s="1182">
        <v>1768</v>
      </c>
      <c r="K82" s="87">
        <v>75.599999999999994</v>
      </c>
      <c r="L82" s="88">
        <v>443</v>
      </c>
      <c r="M82" s="88">
        <v>7.3073073073073074</v>
      </c>
      <c r="N82" s="1187">
        <v>118</v>
      </c>
      <c r="O82" s="1187">
        <v>65.099999999999994</v>
      </c>
      <c r="P82" s="88">
        <f t="shared" si="63"/>
        <v>63.332442212189591</v>
      </c>
      <c r="Q82" s="88">
        <f t="shared" si="64"/>
        <v>344.50919999999991</v>
      </c>
      <c r="R82" s="88">
        <f t="shared" si="65"/>
        <v>28.056271899999992</v>
      </c>
      <c r="S82" s="1182">
        <v>1995</v>
      </c>
      <c r="T82" s="87">
        <f t="shared" si="102"/>
        <v>63.793178953120105</v>
      </c>
      <c r="U82" s="88">
        <f t="shared" si="103"/>
        <v>405.38942118485323</v>
      </c>
      <c r="V82" s="88">
        <f t="shared" si="104"/>
        <v>7.9000000000000021</v>
      </c>
      <c r="W82" s="1187">
        <f t="shared" si="105"/>
        <v>126</v>
      </c>
      <c r="X82" s="1187">
        <f>X81</f>
        <v>66.999999999999986</v>
      </c>
      <c r="Y82" s="88">
        <f t="shared" si="66"/>
        <v>62.464386259140738</v>
      </c>
      <c r="Z82" s="88">
        <f t="shared" si="67"/>
        <v>299.19000929013316</v>
      </c>
      <c r="AA82" s="88">
        <f t="shared" si="68"/>
        <v>25.322401390260161</v>
      </c>
      <c r="AB82" s="1182">
        <f t="shared" si="127"/>
        <v>2310</v>
      </c>
      <c r="AC82" s="87">
        <f t="shared" si="106"/>
        <v>67.09965107909666</v>
      </c>
      <c r="AD82" s="88">
        <f t="shared" si="107"/>
        <v>424.13774214783319</v>
      </c>
      <c r="AE82" s="88">
        <f t="shared" si="108"/>
        <v>7.2200000000000015</v>
      </c>
      <c r="AF82" s="1187">
        <f t="shared" si="109"/>
        <v>116</v>
      </c>
      <c r="AG82" s="1187">
        <f>AG81+0.1</f>
        <v>66.299999999999983</v>
      </c>
      <c r="AH82" s="88">
        <f t="shared" si="69"/>
        <v>63.883769541231587</v>
      </c>
      <c r="AI82" s="88">
        <f t="shared" si="70"/>
        <v>311.40948065808749</v>
      </c>
      <c r="AJ82" s="88">
        <f t="shared" si="71"/>
        <v>27.095517773110483</v>
      </c>
      <c r="AK82" s="1182">
        <f t="shared" si="110"/>
        <v>1975</v>
      </c>
      <c r="AL82" s="1177">
        <f t="shared" si="111"/>
        <v>78.113654098434324</v>
      </c>
      <c r="AM82" s="1178">
        <f t="shared" si="112"/>
        <v>444.69467140893698</v>
      </c>
      <c r="AN82" s="1178">
        <f t="shared" si="113"/>
        <v>7.2200000000000015</v>
      </c>
      <c r="AO82" s="1187">
        <f t="shared" si="114"/>
        <v>110</v>
      </c>
      <c r="AP82" s="1187">
        <f>AP81+0.1</f>
        <v>66.299999999999983</v>
      </c>
      <c r="AQ82" s="88">
        <f t="shared" si="72"/>
        <v>62.137358057306812</v>
      </c>
      <c r="AR82" s="88">
        <f t="shared" si="73"/>
        <v>362.52546867083362</v>
      </c>
      <c r="AS82" s="88">
        <f t="shared" si="74"/>
        <v>27.632152023513516</v>
      </c>
      <c r="AT82" s="1182">
        <f t="shared" si="115"/>
        <v>1710</v>
      </c>
      <c r="AU82" s="1177">
        <v>65.099999999999994</v>
      </c>
      <c r="AV82" s="1178">
        <v>432.1</v>
      </c>
      <c r="AW82" s="1178">
        <v>7.400000000000011</v>
      </c>
      <c r="AX82" s="1187">
        <v>106</v>
      </c>
      <c r="AY82" s="1187">
        <v>67.599999999999994</v>
      </c>
      <c r="AZ82" s="88">
        <f t="shared" si="75"/>
        <v>63.973825503355712</v>
      </c>
      <c r="BA82" s="88">
        <f t="shared" si="76"/>
        <v>308.05319999999995</v>
      </c>
      <c r="BB82" s="88">
        <f t="shared" si="77"/>
        <v>27.643090000000004</v>
      </c>
      <c r="BC82" s="1182">
        <v>2078</v>
      </c>
      <c r="BD82" s="1177">
        <f t="shared" si="116"/>
        <v>73.770208555853998</v>
      </c>
      <c r="BE82" s="1178">
        <f t="shared" si="117"/>
        <v>452.45773031061572</v>
      </c>
      <c r="BF82" s="1178">
        <f>BF81+0.1</f>
        <v>6.779999999999994</v>
      </c>
      <c r="BG82" s="1187">
        <f t="shared" si="118"/>
        <v>116</v>
      </c>
      <c r="BH82" s="1187">
        <f>BH81</f>
        <v>65.399999999999991</v>
      </c>
      <c r="BI82" s="88">
        <f t="shared" si="78"/>
        <v>63.223796712846443</v>
      </c>
      <c r="BJ82" s="88">
        <f t="shared" si="79"/>
        <v>337.72001476869957</v>
      </c>
      <c r="BK82" s="88">
        <f t="shared" si="80"/>
        <v>28.60609556231427</v>
      </c>
      <c r="BL82" s="1182">
        <v>2025</v>
      </c>
      <c r="BM82" s="1177">
        <f t="shared" si="119"/>
        <v>71.793178953120105</v>
      </c>
      <c r="BN82" s="1178">
        <f t="shared" si="120"/>
        <v>434.17616111515594</v>
      </c>
      <c r="BO82" s="1178">
        <f t="shared" si="121"/>
        <v>6.8000000000000007</v>
      </c>
      <c r="BP82" s="1187">
        <f t="shared" si="122"/>
        <v>106.5</v>
      </c>
      <c r="BQ82" s="1187">
        <f>BQ81</f>
        <v>65.099999999999994</v>
      </c>
      <c r="BR82" s="88">
        <f t="shared" si="81"/>
        <v>61.710500225944763</v>
      </c>
      <c r="BS82" s="88">
        <f t="shared" si="82"/>
        <v>327.1615164893683</v>
      </c>
      <c r="BT82" s="88">
        <f t="shared" si="83"/>
        <v>26.79322808859666</v>
      </c>
      <c r="BU82" s="1182">
        <v>2030</v>
      </c>
      <c r="BV82" s="1177">
        <v>71.7</v>
      </c>
      <c r="BW82" s="1178">
        <v>444</v>
      </c>
      <c r="BX82" s="1178">
        <v>6.8000000000000016</v>
      </c>
      <c r="BY82" s="1187">
        <v>115</v>
      </c>
      <c r="BZ82" s="1187">
        <v>64.899999999999991</v>
      </c>
      <c r="CA82" s="88">
        <f t="shared" si="84"/>
        <v>62.86666666666666</v>
      </c>
      <c r="CB82" s="88">
        <f t="shared" si="85"/>
        <v>325.73309999999998</v>
      </c>
      <c r="CC82" s="88">
        <f t="shared" si="86"/>
        <v>27.912799999999997</v>
      </c>
      <c r="CD82" s="1182">
        <v>1965</v>
      </c>
      <c r="CE82" s="1177">
        <v>70.599999999999994</v>
      </c>
      <c r="CF82" s="1178">
        <v>435</v>
      </c>
      <c r="CG82" s="1178">
        <v>7.8</v>
      </c>
      <c r="CH82" s="1187">
        <v>112</v>
      </c>
      <c r="CI82" s="1187">
        <v>68</v>
      </c>
      <c r="CJ82" s="88">
        <f t="shared" si="87"/>
        <v>64.696505747126409</v>
      </c>
      <c r="CK82" s="88">
        <f t="shared" si="88"/>
        <v>336.05600000000004</v>
      </c>
      <c r="CL82" s="88">
        <f t="shared" si="89"/>
        <v>28.142979999999987</v>
      </c>
      <c r="CM82" s="1182">
        <v>2057</v>
      </c>
      <c r="CN82" s="87">
        <v>71.8</v>
      </c>
      <c r="CO82" s="88">
        <v>444.4</v>
      </c>
      <c r="CP82" s="88">
        <v>7.3999999999999995</v>
      </c>
      <c r="CQ82" s="1187">
        <v>102</v>
      </c>
      <c r="CR82" s="1187">
        <v>66.7</v>
      </c>
      <c r="CS82" s="88">
        <f t="shared" si="90"/>
        <v>63.373964896489674</v>
      </c>
      <c r="CT82" s="88">
        <f t="shared" si="91"/>
        <v>335.23419999999999</v>
      </c>
      <c r="CU82" s="88">
        <f t="shared" si="92"/>
        <v>28.163390000000014</v>
      </c>
      <c r="CV82" s="1182">
        <v>1800</v>
      </c>
      <c r="CW82" s="87">
        <f t="shared" si="123"/>
        <v>67.399651079096657</v>
      </c>
      <c r="CX82" s="88">
        <f t="shared" si="124"/>
        <v>422.20914214783318</v>
      </c>
      <c r="CY82" s="88">
        <f t="shared" si="125"/>
        <v>7.8000000000000007</v>
      </c>
      <c r="CZ82" s="1187">
        <f t="shared" si="126"/>
        <v>111</v>
      </c>
      <c r="DA82" s="1187">
        <f>DA81+0.1</f>
        <v>66.799999999999983</v>
      </c>
      <c r="DB82" s="88">
        <f t="shared" si="93"/>
        <v>63.684435330795672</v>
      </c>
      <c r="DC82" s="88">
        <f t="shared" si="94"/>
        <v>315.16076844585587</v>
      </c>
      <c r="DD82" s="88">
        <f t="shared" si="95"/>
        <v>26.888150809184399</v>
      </c>
      <c r="DE82" s="1182">
        <f>DE81</f>
        <v>1985</v>
      </c>
    </row>
    <row r="83" spans="1:109" ht="15" x14ac:dyDescent="0.2">
      <c r="A83" s="96">
        <f t="shared" si="99"/>
        <v>95</v>
      </c>
      <c r="B83" s="1177">
        <v>54.4</v>
      </c>
      <c r="C83" s="1178">
        <v>393</v>
      </c>
      <c r="D83" s="1178">
        <v>7.4074074074074066</v>
      </c>
      <c r="E83" s="1187">
        <v>117</v>
      </c>
      <c r="F83" s="1187">
        <v>63.9</v>
      </c>
      <c r="G83" s="88">
        <f t="shared" si="100"/>
        <v>61.229770992366426</v>
      </c>
      <c r="H83" s="88">
        <f t="shared" si="98"/>
        <v>243.33120000000002</v>
      </c>
      <c r="I83" s="88">
        <f t="shared" si="101"/>
        <v>24.063300000000005</v>
      </c>
      <c r="J83" s="1182">
        <v>1770</v>
      </c>
      <c r="K83" s="87">
        <v>75.2</v>
      </c>
      <c r="L83" s="88">
        <v>448</v>
      </c>
      <c r="M83" s="88">
        <v>7.4074074074074066</v>
      </c>
      <c r="N83" s="1187">
        <v>118</v>
      </c>
      <c r="O83" s="1187">
        <v>65.099999999999994</v>
      </c>
      <c r="P83" s="88">
        <f t="shared" si="63"/>
        <v>63.352169419642834</v>
      </c>
      <c r="Q83" s="88">
        <f t="shared" si="64"/>
        <v>342.68639999999999</v>
      </c>
      <c r="R83" s="88">
        <f t="shared" si="65"/>
        <v>28.38177189999999</v>
      </c>
      <c r="S83" s="1182">
        <v>1996</v>
      </c>
      <c r="T83" s="87">
        <f t="shared" si="102"/>
        <v>63.260783375560329</v>
      </c>
      <c r="U83" s="88">
        <f t="shared" si="103"/>
        <v>409.15343779569906</v>
      </c>
      <c r="V83" s="88">
        <f t="shared" si="104"/>
        <v>8.0500000000000025</v>
      </c>
      <c r="W83" s="1187">
        <f t="shared" si="105"/>
        <v>126</v>
      </c>
      <c r="X83" s="1187">
        <f>X82+0.1</f>
        <v>67.09999999999998</v>
      </c>
      <c r="Y83" s="88">
        <f t="shared" si="66"/>
        <v>62.507031696060601</v>
      </c>
      <c r="Z83" s="88">
        <f t="shared" si="67"/>
        <v>297.13589951500677</v>
      </c>
      <c r="AA83" s="88">
        <f t="shared" si="68"/>
        <v>25.574966904847919</v>
      </c>
      <c r="AB83" s="1182">
        <f t="shared" si="127"/>
        <v>2310</v>
      </c>
      <c r="AC83" s="87">
        <f t="shared" si="106"/>
        <v>66.641191901928735</v>
      </c>
      <c r="AD83" s="88">
        <f t="shared" si="107"/>
        <v>428.10289306599793</v>
      </c>
      <c r="AE83" s="88">
        <f t="shared" si="108"/>
        <v>7.3700000000000019</v>
      </c>
      <c r="AF83" s="1187">
        <f t="shared" si="109"/>
        <v>116</v>
      </c>
      <c r="AG83" s="1187">
        <f>AG81+0.1</f>
        <v>66.299999999999983</v>
      </c>
      <c r="AH83" s="88">
        <f t="shared" si="69"/>
        <v>63.906149017234341</v>
      </c>
      <c r="AI83" s="88">
        <f t="shared" si="70"/>
        <v>309.28177161685113</v>
      </c>
      <c r="AJ83" s="88">
        <f t="shared" si="71"/>
        <v>27.358407278984803</v>
      </c>
      <c r="AK83" s="1182">
        <f t="shared" si="110"/>
        <v>1975</v>
      </c>
      <c r="AL83" s="1177">
        <f t="shared" si="111"/>
        <v>77.827448149681601</v>
      </c>
      <c r="AM83" s="1178">
        <f t="shared" si="112"/>
        <v>449.32540457384306</v>
      </c>
      <c r="AN83" s="1178">
        <f t="shared" si="113"/>
        <v>7.3700000000000019</v>
      </c>
      <c r="AO83" s="1187">
        <f t="shared" si="114"/>
        <v>110</v>
      </c>
      <c r="AP83" s="1187">
        <f>AP81+0.1</f>
        <v>66.299999999999983</v>
      </c>
      <c r="AQ83" s="88">
        <f t="shared" si="72"/>
        <v>62.180258111257565</v>
      </c>
      <c r="AR83" s="88">
        <f t="shared" si="73"/>
        <v>361.1971868626722</v>
      </c>
      <c r="AS83" s="88">
        <f t="shared" si="74"/>
        <v>27.93916963234679</v>
      </c>
      <c r="AT83" s="1182">
        <f t="shared" si="115"/>
        <v>1710</v>
      </c>
      <c r="AU83" s="1177">
        <v>64.2</v>
      </c>
      <c r="AV83" s="1178">
        <v>436.3</v>
      </c>
      <c r="AW83" s="1178">
        <v>7.5</v>
      </c>
      <c r="AX83" s="1187">
        <v>106</v>
      </c>
      <c r="AY83" s="1187">
        <v>67.599999999999994</v>
      </c>
      <c r="AZ83" s="88">
        <f t="shared" si="75"/>
        <v>64.008732523493009</v>
      </c>
      <c r="BA83" s="88">
        <f t="shared" si="76"/>
        <v>303.79439999999994</v>
      </c>
      <c r="BB83" s="88">
        <f t="shared" si="77"/>
        <v>27.927010000000003</v>
      </c>
      <c r="BC83" s="1182">
        <v>2080</v>
      </c>
      <c r="BD83" s="1177">
        <f t="shared" si="116"/>
        <v>73.280521369953775</v>
      </c>
      <c r="BE83" s="1178">
        <f t="shared" si="117"/>
        <v>456.56143950733315</v>
      </c>
      <c r="BF83" s="1178">
        <f>BF82+0.2</f>
        <v>6.9799999999999942</v>
      </c>
      <c r="BG83" s="1187">
        <f t="shared" si="118"/>
        <v>116</v>
      </c>
      <c r="BH83" s="1187">
        <f>BH82</f>
        <v>65.399999999999991</v>
      </c>
      <c r="BI83" s="88">
        <f t="shared" si="78"/>
        <v>63.243357071366987</v>
      </c>
      <c r="BJ83" s="88">
        <f t="shared" si="79"/>
        <v>335.47822683164833</v>
      </c>
      <c r="BK83" s="88">
        <f t="shared" si="80"/>
        <v>28.874478143779591</v>
      </c>
      <c r="BL83" s="1182">
        <v>2025</v>
      </c>
      <c r="BM83" s="1177">
        <f t="shared" si="119"/>
        <v>71.260783375560337</v>
      </c>
      <c r="BN83" s="1178">
        <f t="shared" si="120"/>
        <v>438.1667649841873</v>
      </c>
      <c r="BO83" s="1178">
        <f t="shared" si="121"/>
        <v>7.0000000000000009</v>
      </c>
      <c r="BP83" s="1187">
        <f t="shared" si="122"/>
        <v>106.5</v>
      </c>
      <c r="BQ83" s="1187">
        <f>BQ82</f>
        <v>65.099999999999994</v>
      </c>
      <c r="BR83" s="88">
        <f t="shared" si="81"/>
        <v>61.741370095577423</v>
      </c>
      <c r="BS83" s="88">
        <f t="shared" si="82"/>
        <v>324.73538984242839</v>
      </c>
      <c r="BT83" s="88">
        <f t="shared" si="83"/>
        <v>27.0530164004706</v>
      </c>
      <c r="BU83" s="1182">
        <v>2030</v>
      </c>
      <c r="BV83" s="1177">
        <v>70.900000000000006</v>
      </c>
      <c r="BW83" s="1178">
        <v>448</v>
      </c>
      <c r="BX83" s="1178">
        <v>6.900000000000003</v>
      </c>
      <c r="BY83" s="1187">
        <v>115</v>
      </c>
      <c r="BZ83" s="1187">
        <v>64.899999999999991</v>
      </c>
      <c r="CA83" s="88">
        <f t="shared" si="84"/>
        <v>62.884821428571421</v>
      </c>
      <c r="CB83" s="88">
        <f t="shared" si="85"/>
        <v>322.09870000000001</v>
      </c>
      <c r="CC83" s="88">
        <f t="shared" si="86"/>
        <v>28.172399999999996</v>
      </c>
      <c r="CD83" s="1182">
        <v>1965</v>
      </c>
      <c r="CE83" s="1177">
        <v>69.900000000000006</v>
      </c>
      <c r="CF83" s="1178">
        <v>439.4</v>
      </c>
      <c r="CG83" s="1178">
        <v>8</v>
      </c>
      <c r="CH83" s="1187">
        <v>112</v>
      </c>
      <c r="CI83" s="1187">
        <v>68</v>
      </c>
      <c r="CJ83" s="88">
        <f t="shared" si="87"/>
        <v>64.729585798816544</v>
      </c>
      <c r="CK83" s="88">
        <f t="shared" si="88"/>
        <v>332.72400000000005</v>
      </c>
      <c r="CL83" s="88">
        <f t="shared" si="89"/>
        <v>28.442179999999986</v>
      </c>
      <c r="CM83" s="1182">
        <v>2058</v>
      </c>
      <c r="CN83" s="87">
        <v>71</v>
      </c>
      <c r="CO83" s="88">
        <v>449</v>
      </c>
      <c r="CP83" s="88">
        <v>7.3999999999999995</v>
      </c>
      <c r="CQ83" s="1187">
        <v>102</v>
      </c>
      <c r="CR83" s="1187">
        <v>66.8</v>
      </c>
      <c r="CS83" s="88">
        <f t="shared" si="90"/>
        <v>63.409064587973305</v>
      </c>
      <c r="CT83" s="88">
        <f t="shared" si="91"/>
        <v>331.99599999999998</v>
      </c>
      <c r="CU83" s="88">
        <f t="shared" si="92"/>
        <v>28.470670000000013</v>
      </c>
      <c r="CV83" s="1182">
        <v>1800</v>
      </c>
      <c r="CW83" s="87">
        <f t="shared" si="123"/>
        <v>66.941191901928732</v>
      </c>
      <c r="CX83" s="88">
        <f t="shared" si="124"/>
        <v>426.19214306599793</v>
      </c>
      <c r="CY83" s="88">
        <f t="shared" si="125"/>
        <v>7.9500000000000011</v>
      </c>
      <c r="CZ83" s="1187">
        <f t="shared" si="126"/>
        <v>111</v>
      </c>
      <c r="DA83" s="1187">
        <f>DA82</f>
        <v>66.799999999999983</v>
      </c>
      <c r="DB83" s="88">
        <f t="shared" si="93"/>
        <v>63.713552003028937</v>
      </c>
      <c r="DC83" s="88">
        <f t="shared" si="94"/>
        <v>313.01701333341867</v>
      </c>
      <c r="DD83" s="88">
        <f t="shared" si="95"/>
        <v>27.154215270517803</v>
      </c>
      <c r="DE83" s="1182">
        <f>DE82</f>
        <v>1985</v>
      </c>
    </row>
    <row r="84" spans="1:109" ht="15" x14ac:dyDescent="0.2">
      <c r="A84" s="96">
        <f t="shared" si="99"/>
        <v>96</v>
      </c>
      <c r="B84" s="1177">
        <v>53.7</v>
      </c>
      <c r="C84" s="1178">
        <v>396</v>
      </c>
      <c r="D84" s="1178">
        <v>7.5075075075075075</v>
      </c>
      <c r="E84" s="1187">
        <v>117</v>
      </c>
      <c r="F84" s="1187">
        <v>63.9</v>
      </c>
      <c r="G84" s="88">
        <f t="shared" si="100"/>
        <v>61.250000000000014</v>
      </c>
      <c r="H84" s="88">
        <f t="shared" si="98"/>
        <v>240.20010000000002</v>
      </c>
      <c r="I84" s="88">
        <f t="shared" si="101"/>
        <v>24.255000000000006</v>
      </c>
      <c r="J84" s="1182">
        <v>1772</v>
      </c>
      <c r="K84" s="87">
        <v>74.8</v>
      </c>
      <c r="L84" s="88">
        <v>453</v>
      </c>
      <c r="M84" s="88">
        <v>7.5075075075075075</v>
      </c>
      <c r="N84" s="1187">
        <v>118</v>
      </c>
      <c r="O84" s="1187">
        <v>65.2</v>
      </c>
      <c r="P84" s="88">
        <f t="shared" si="63"/>
        <v>63.372564900662233</v>
      </c>
      <c r="Q84" s="88">
        <f t="shared" si="64"/>
        <v>341.38720000000001</v>
      </c>
      <c r="R84" s="88">
        <f t="shared" si="65"/>
        <v>28.70777189999999</v>
      </c>
      <c r="S84" s="1182">
        <v>1997</v>
      </c>
      <c r="T84" s="87">
        <f t="shared" si="102"/>
        <v>62.716350489914262</v>
      </c>
      <c r="U84" s="88">
        <f t="shared" si="103"/>
        <v>412.88506064984898</v>
      </c>
      <c r="V84" s="88">
        <f t="shared" si="104"/>
        <v>8.2000000000000028</v>
      </c>
      <c r="W84" s="1187">
        <f t="shared" si="105"/>
        <v>126</v>
      </c>
      <c r="X84" s="1187">
        <f>X83+0.1</f>
        <v>67.199999999999974</v>
      </c>
      <c r="Y84" s="88">
        <f t="shared" si="66"/>
        <v>62.549446376187845</v>
      </c>
      <c r="Z84" s="88">
        <f t="shared" si="67"/>
        <v>295.01771270455657</v>
      </c>
      <c r="AA84" s="88">
        <f t="shared" si="68"/>
        <v>25.825731960646795</v>
      </c>
      <c r="AB84" s="1182">
        <f t="shared" si="127"/>
        <v>2310</v>
      </c>
      <c r="AC84" s="87">
        <f t="shared" si="106"/>
        <v>66.188532573269043</v>
      </c>
      <c r="AD84" s="88">
        <f t="shared" si="107"/>
        <v>432.04111075410742</v>
      </c>
      <c r="AE84" s="88">
        <f t="shared" si="108"/>
        <v>7.5200000000000022</v>
      </c>
      <c r="AF84" s="1187">
        <f t="shared" si="109"/>
        <v>116</v>
      </c>
      <c r="AG84" s="1187">
        <f>AG81+0.1</f>
        <v>66.299999999999983</v>
      </c>
      <c r="AH84" s="88">
        <f t="shared" si="69"/>
        <v>63.927969871889985</v>
      </c>
      <c r="AI84" s="88">
        <f t="shared" si="70"/>
        <v>307.18097967254153</v>
      </c>
      <c r="AJ84" s="88">
        <f t="shared" si="71"/>
        <v>27.619511111706462</v>
      </c>
      <c r="AK84" s="1182">
        <f t="shared" si="110"/>
        <v>1975</v>
      </c>
      <c r="AL84" s="1177">
        <f t="shared" si="111"/>
        <v>77.547857047042285</v>
      </c>
      <c r="AM84" s="1178">
        <f t="shared" si="112"/>
        <v>453.93950206814208</v>
      </c>
      <c r="AN84" s="1178">
        <f t="shared" si="113"/>
        <v>7.5200000000000022</v>
      </c>
      <c r="AO84" s="1187">
        <f t="shared" si="114"/>
        <v>110</v>
      </c>
      <c r="AP84" s="1187">
        <f>AP81+0.1</f>
        <v>66.299999999999983</v>
      </c>
      <c r="AQ84" s="88">
        <f t="shared" si="72"/>
        <v>62.222133494737967</v>
      </c>
      <c r="AR84" s="88">
        <f t="shared" si="73"/>
        <v>359.89960455532321</v>
      </c>
      <c r="AS84" s="88">
        <f t="shared" si="74"/>
        <v>28.245084296218813</v>
      </c>
      <c r="AT84" s="1182">
        <f t="shared" si="115"/>
        <v>1710</v>
      </c>
      <c r="AU84" s="1177">
        <v>63.2</v>
      </c>
      <c r="AV84" s="1178">
        <v>440.4</v>
      </c>
      <c r="AW84" s="1178">
        <v>7.6</v>
      </c>
      <c r="AX84" s="1187">
        <v>106</v>
      </c>
      <c r="AY84" s="1187">
        <v>67.7</v>
      </c>
      <c r="AZ84" s="88">
        <f t="shared" si="75"/>
        <v>64.043097184377842</v>
      </c>
      <c r="BA84" s="88">
        <f t="shared" si="76"/>
        <v>299.50480000000005</v>
      </c>
      <c r="BB84" s="88">
        <f t="shared" si="77"/>
        <v>28.20458</v>
      </c>
      <c r="BC84" s="1182">
        <v>2082</v>
      </c>
      <c r="BD84" s="1177">
        <f t="shared" si="116"/>
        <v>72.800740587955119</v>
      </c>
      <c r="BE84" s="1178">
        <f t="shared" si="117"/>
        <v>461.14788616437431</v>
      </c>
      <c r="BF84" s="1178">
        <f>BF83+0.1</f>
        <v>7.0799999999999939</v>
      </c>
      <c r="BG84" s="1187">
        <f t="shared" si="118"/>
        <v>116</v>
      </c>
      <c r="BH84" s="1187">
        <f>BH83+0.1</f>
        <v>65.499999999999986</v>
      </c>
      <c r="BI84" s="88">
        <f t="shared" si="78"/>
        <v>63.265801004705274</v>
      </c>
      <c r="BJ84" s="88">
        <f t="shared" si="79"/>
        <v>333.79139559577413</v>
      </c>
      <c r="BK84" s="88">
        <f t="shared" si="80"/>
        <v>29.174890399815787</v>
      </c>
      <c r="BL84" s="1182">
        <v>2035</v>
      </c>
      <c r="BM84" s="1177">
        <f t="shared" si="119"/>
        <v>70.716350489914262</v>
      </c>
      <c r="BN84" s="1178">
        <f t="shared" si="120"/>
        <v>442.12688061162248</v>
      </c>
      <c r="BO84" s="1178">
        <f t="shared" si="121"/>
        <v>7.2000000000000011</v>
      </c>
      <c r="BP84" s="1187">
        <f t="shared" si="122"/>
        <v>106.5</v>
      </c>
      <c r="BQ84" s="1187">
        <f>BQ83+0.1</f>
        <v>65.199999999999989</v>
      </c>
      <c r="BR84" s="88">
        <f t="shared" si="81"/>
        <v>61.772348927525101</v>
      </c>
      <c r="BS84" s="88">
        <f t="shared" si="82"/>
        <v>322.74942363596864</v>
      </c>
      <c r="BT84" s="88">
        <f t="shared" si="83"/>
        <v>27.311215939379377</v>
      </c>
      <c r="BU84" s="1182">
        <v>2030</v>
      </c>
      <c r="BV84" s="1177">
        <v>70.099999999999994</v>
      </c>
      <c r="BW84" s="1178">
        <v>453</v>
      </c>
      <c r="BX84" s="1178">
        <v>6.9999999999999947</v>
      </c>
      <c r="BY84" s="1187">
        <v>115</v>
      </c>
      <c r="BZ84" s="1187">
        <v>64.899999999999991</v>
      </c>
      <c r="CA84" s="88">
        <f t="shared" si="84"/>
        <v>62.907064017660041</v>
      </c>
      <c r="CB84" s="88">
        <f t="shared" si="85"/>
        <v>318.46429999999998</v>
      </c>
      <c r="CC84" s="88">
        <f t="shared" si="86"/>
        <v>28.496899999999997</v>
      </c>
      <c r="CD84" s="1182">
        <v>1970</v>
      </c>
      <c r="CE84" s="1177">
        <v>69.3</v>
      </c>
      <c r="CF84" s="1178">
        <v>443.9</v>
      </c>
      <c r="CG84" s="1178">
        <v>8.2000000000000011</v>
      </c>
      <c r="CH84" s="1187">
        <v>112</v>
      </c>
      <c r="CI84" s="1187">
        <v>68.099999999999994</v>
      </c>
      <c r="CJ84" s="88">
        <f t="shared" si="87"/>
        <v>64.76375309754448</v>
      </c>
      <c r="CK84" s="88">
        <f t="shared" si="88"/>
        <v>330.35309999999998</v>
      </c>
      <c r="CL84" s="88">
        <f t="shared" si="89"/>
        <v>28.748629999999991</v>
      </c>
      <c r="CM84" s="1182">
        <v>2059</v>
      </c>
      <c r="CN84" s="87">
        <v>70.099999999999994</v>
      </c>
      <c r="CO84" s="88">
        <v>453.6</v>
      </c>
      <c r="CP84" s="88">
        <v>7.6</v>
      </c>
      <c r="CQ84" s="1187">
        <v>102</v>
      </c>
      <c r="CR84" s="1187">
        <v>66.8</v>
      </c>
      <c r="CS84" s="88">
        <f t="shared" si="90"/>
        <v>63.443452380952408</v>
      </c>
      <c r="CT84" s="88">
        <f t="shared" si="91"/>
        <v>327.7876</v>
      </c>
      <c r="CU84" s="88">
        <f t="shared" si="92"/>
        <v>28.777950000000015</v>
      </c>
      <c r="CV84" s="1182">
        <v>1801</v>
      </c>
      <c r="CW84" s="87">
        <f t="shared" si="123"/>
        <v>66.48853257326904</v>
      </c>
      <c r="CX84" s="88">
        <f t="shared" si="124"/>
        <v>430.14821075410742</v>
      </c>
      <c r="CY84" s="88">
        <f t="shared" si="125"/>
        <v>8.1000000000000014</v>
      </c>
      <c r="CZ84" s="1187">
        <f t="shared" si="126"/>
        <v>111</v>
      </c>
      <c r="DA84" s="1187">
        <f>DA83</f>
        <v>66.799999999999983</v>
      </c>
      <c r="DB84" s="88">
        <f t="shared" si="93"/>
        <v>63.741938026465938</v>
      </c>
      <c r="DC84" s="88">
        <f t="shared" si="94"/>
        <v>310.90037831260594</v>
      </c>
      <c r="DD84" s="88">
        <f t="shared" si="95"/>
        <v>27.418480592083526</v>
      </c>
      <c r="DE84" s="1182">
        <f>DE83</f>
        <v>1985</v>
      </c>
    </row>
    <row r="85" spans="1:109" ht="15" x14ac:dyDescent="0.2">
      <c r="A85" s="96">
        <f t="shared" si="99"/>
        <v>97</v>
      </c>
      <c r="B85" s="1177">
        <v>53</v>
      </c>
      <c r="C85" s="1178">
        <v>399</v>
      </c>
      <c r="D85" s="1178">
        <v>7.6076076076076085</v>
      </c>
      <c r="E85" s="1187">
        <v>117</v>
      </c>
      <c r="F85" s="1187">
        <v>64</v>
      </c>
      <c r="G85" s="88">
        <f t="shared" si="100"/>
        <v>61.270676691729335</v>
      </c>
      <c r="H85" s="88">
        <f t="shared" si="98"/>
        <v>237.44</v>
      </c>
      <c r="I85" s="88">
        <f t="shared" si="101"/>
        <v>24.447000000000006</v>
      </c>
      <c r="J85" s="1182">
        <v>1773</v>
      </c>
      <c r="K85" s="87">
        <v>74.400000000000006</v>
      </c>
      <c r="L85" s="88">
        <v>458</v>
      </c>
      <c r="M85" s="88">
        <v>7.6076076076076085</v>
      </c>
      <c r="N85" s="1187">
        <v>118</v>
      </c>
      <c r="O85" s="1187">
        <v>65.2</v>
      </c>
      <c r="P85" s="88">
        <f t="shared" si="63"/>
        <v>63.392515065502167</v>
      </c>
      <c r="Q85" s="88">
        <f t="shared" si="64"/>
        <v>339.56160000000011</v>
      </c>
      <c r="R85" s="88">
        <f t="shared" si="65"/>
        <v>29.033771899999994</v>
      </c>
      <c r="S85" s="1182">
        <v>1998</v>
      </c>
      <c r="T85" s="87">
        <f t="shared" si="102"/>
        <v>62.185058549512327</v>
      </c>
      <c r="U85" s="88">
        <f t="shared" si="103"/>
        <v>416.58507163354494</v>
      </c>
      <c r="V85" s="88">
        <f t="shared" si="104"/>
        <v>8.3500000000000032</v>
      </c>
      <c r="W85" s="1187">
        <f t="shared" si="105"/>
        <v>126</v>
      </c>
      <c r="X85" s="1187">
        <f>X84</f>
        <v>67.199999999999974</v>
      </c>
      <c r="Y85" s="88">
        <f t="shared" si="66"/>
        <v>62.590751503663725</v>
      </c>
      <c r="Z85" s="88">
        <f t="shared" si="67"/>
        <v>292.51851541690593</v>
      </c>
      <c r="AA85" s="88">
        <f t="shared" si="68"/>
        <v>26.074372698751162</v>
      </c>
      <c r="AB85" s="1182">
        <f t="shared" si="127"/>
        <v>2310</v>
      </c>
      <c r="AC85" s="87">
        <f t="shared" si="106"/>
        <v>65.742053779226453</v>
      </c>
      <c r="AD85" s="88">
        <f t="shared" si="107"/>
        <v>435.95276295397139</v>
      </c>
      <c r="AE85" s="88">
        <f t="shared" si="108"/>
        <v>7.6700000000000026</v>
      </c>
      <c r="AF85" s="1187">
        <f t="shared" si="109"/>
        <v>116</v>
      </c>
      <c r="AG85" s="1187">
        <f>AG84+0.1</f>
        <v>66.399999999999977</v>
      </c>
      <c r="AH85" s="88">
        <f t="shared" si="69"/>
        <v>63.950150536655656</v>
      </c>
      <c r="AI85" s="88">
        <f t="shared" si="70"/>
        <v>305.56906596584446</v>
      </c>
      <c r="AJ85" s="88">
        <f t="shared" si="71"/>
        <v>27.87924481777743</v>
      </c>
      <c r="AK85" s="1182">
        <f t="shared" si="110"/>
        <v>1975</v>
      </c>
      <c r="AL85" s="1177">
        <f t="shared" si="111"/>
        <v>77.2714494621803</v>
      </c>
      <c r="AM85" s="1178">
        <f t="shared" si="112"/>
        <v>458.53715331114182</v>
      </c>
      <c r="AN85" s="1178">
        <f t="shared" si="113"/>
        <v>7.6700000000000026</v>
      </c>
      <c r="AO85" s="1187">
        <f t="shared" si="114"/>
        <v>110</v>
      </c>
      <c r="AP85" s="1187">
        <f>AP84+0.1</f>
        <v>66.399999999999977</v>
      </c>
      <c r="AQ85" s="88">
        <f t="shared" si="72"/>
        <v>62.264024043829359</v>
      </c>
      <c r="AR85" s="88">
        <f t="shared" si="73"/>
        <v>359.15769710021391</v>
      </c>
      <c r="AS85" s="88">
        <f t="shared" si="74"/>
        <v>28.550368338754001</v>
      </c>
      <c r="AT85" s="1182">
        <f t="shared" si="115"/>
        <v>1710</v>
      </c>
      <c r="AU85" s="1177">
        <v>62.2</v>
      </c>
      <c r="AV85" s="1178">
        <v>444.4</v>
      </c>
      <c r="AW85" s="1178">
        <v>7.7000000000000108</v>
      </c>
      <c r="AX85" s="1187">
        <v>106</v>
      </c>
      <c r="AY85" s="1187">
        <v>67.7</v>
      </c>
      <c r="AZ85" s="88">
        <f t="shared" si="75"/>
        <v>64.076012601260132</v>
      </c>
      <c r="BA85" s="88">
        <f t="shared" si="76"/>
        <v>294.76580000000001</v>
      </c>
      <c r="BB85" s="88">
        <f t="shared" si="77"/>
        <v>28.475380000000001</v>
      </c>
      <c r="BC85" s="1182">
        <v>2084</v>
      </c>
      <c r="BD85" s="1177">
        <f t="shared" si="116"/>
        <v>72.329225671596163</v>
      </c>
      <c r="BE85" s="1178">
        <f t="shared" si="117"/>
        <v>465.70462738168487</v>
      </c>
      <c r="BF85" s="1178">
        <f>BF84+0.1</f>
        <v>7.1799999999999935</v>
      </c>
      <c r="BG85" s="1187">
        <f t="shared" si="118"/>
        <v>116</v>
      </c>
      <c r="BH85" s="1187">
        <f>BH84</f>
        <v>65.499999999999986</v>
      </c>
      <c r="BI85" s="88">
        <f t="shared" si="78"/>
        <v>63.287661785232139</v>
      </c>
      <c r="BJ85" s="88">
        <f t="shared" si="79"/>
        <v>331.62949970426837</v>
      </c>
      <c r="BK85" s="88">
        <f t="shared" si="80"/>
        <v>29.473356949549629</v>
      </c>
      <c r="BL85" s="1182">
        <v>2035</v>
      </c>
      <c r="BM85" s="1177">
        <f t="shared" si="119"/>
        <v>70.185058549512334</v>
      </c>
      <c r="BN85" s="1178">
        <f t="shared" si="120"/>
        <v>446.05724389039517</v>
      </c>
      <c r="BO85" s="1178">
        <f t="shared" si="121"/>
        <v>7.4000000000000012</v>
      </c>
      <c r="BP85" s="1187">
        <f t="shared" si="122"/>
        <v>106.5</v>
      </c>
      <c r="BQ85" s="1187">
        <f>BQ84</f>
        <v>65.199999999999989</v>
      </c>
      <c r="BR85" s="88">
        <f t="shared" si="81"/>
        <v>61.80255113608068</v>
      </c>
      <c r="BS85" s="88">
        <f t="shared" si="82"/>
        <v>320.32460721997427</v>
      </c>
      <c r="BT85" s="88">
        <f t="shared" si="83"/>
        <v>27.567475625155357</v>
      </c>
      <c r="BU85" s="1182">
        <v>2030</v>
      </c>
      <c r="BV85" s="1177">
        <v>69.2</v>
      </c>
      <c r="BW85" s="1178">
        <v>457</v>
      </c>
      <c r="BX85" s="1178">
        <v>7.0999999999999979</v>
      </c>
      <c r="BY85" s="1187">
        <v>115</v>
      </c>
      <c r="BZ85" s="1187">
        <v>65</v>
      </c>
      <c r="CA85" s="88">
        <f t="shared" si="84"/>
        <v>62.925382932166301</v>
      </c>
      <c r="CB85" s="88">
        <f t="shared" si="85"/>
        <v>314.86</v>
      </c>
      <c r="CC85" s="88">
        <f t="shared" si="86"/>
        <v>28.756899999999998</v>
      </c>
      <c r="CD85" s="1182">
        <v>1970</v>
      </c>
      <c r="CE85" s="1177">
        <v>68.599999999999994</v>
      </c>
      <c r="CF85" s="1178">
        <v>448.3</v>
      </c>
      <c r="CG85" s="1178">
        <v>8.3000000000000007</v>
      </c>
      <c r="CH85" s="1187">
        <v>112</v>
      </c>
      <c r="CI85" s="1187">
        <v>68.099999999999994</v>
      </c>
      <c r="CJ85" s="88">
        <f t="shared" si="87"/>
        <v>64.796497880883322</v>
      </c>
      <c r="CK85" s="88">
        <f t="shared" si="88"/>
        <v>327.01619999999997</v>
      </c>
      <c r="CL85" s="88">
        <f t="shared" si="89"/>
        <v>29.048269999999999</v>
      </c>
      <c r="CM85" s="1182">
        <v>2059</v>
      </c>
      <c r="CN85" s="87">
        <v>69.2</v>
      </c>
      <c r="CO85" s="88">
        <v>458</v>
      </c>
      <c r="CP85" s="88">
        <v>7.7</v>
      </c>
      <c r="CQ85" s="1187">
        <v>102</v>
      </c>
      <c r="CR85" s="1187">
        <v>66.900000000000006</v>
      </c>
      <c r="CS85" s="88">
        <f t="shared" si="90"/>
        <v>63.476659388646318</v>
      </c>
      <c r="CT85" s="88">
        <f t="shared" si="91"/>
        <v>324.06360000000006</v>
      </c>
      <c r="CU85" s="88">
        <f t="shared" si="92"/>
        <v>29.072310000000012</v>
      </c>
      <c r="CV85" s="1182">
        <v>1801</v>
      </c>
      <c r="CW85" s="87">
        <f t="shared" si="123"/>
        <v>66.04205377922645</v>
      </c>
      <c r="CX85" s="88">
        <f t="shared" si="124"/>
        <v>434.0777129539714</v>
      </c>
      <c r="CY85" s="88">
        <f t="shared" si="125"/>
        <v>8.2500000000000018</v>
      </c>
      <c r="CZ85" s="1187">
        <f t="shared" si="126"/>
        <v>111</v>
      </c>
      <c r="DA85" s="1187">
        <f>DA84+0.1</f>
        <v>66.899999999999977</v>
      </c>
      <c r="DB85" s="88">
        <f t="shared" si="93"/>
        <v>63.770526482177836</v>
      </c>
      <c r="DC85" s="88">
        <f t="shared" si="94"/>
        <v>309.27493784811736</v>
      </c>
      <c r="DD85" s="88">
        <f t="shared" si="95"/>
        <v>27.681364289254425</v>
      </c>
      <c r="DE85" s="1182">
        <f>DE84+10</f>
        <v>1995</v>
      </c>
    </row>
    <row r="86" spans="1:109" ht="15" x14ac:dyDescent="0.2">
      <c r="A86" s="96">
        <f t="shared" si="99"/>
        <v>98</v>
      </c>
      <c r="B86" s="1177">
        <v>52.3</v>
      </c>
      <c r="C86" s="1178">
        <v>403</v>
      </c>
      <c r="D86" s="1178">
        <v>7.7077077077077076</v>
      </c>
      <c r="E86" s="1187">
        <v>117</v>
      </c>
      <c r="F86" s="1187">
        <v>64</v>
      </c>
      <c r="G86" s="88">
        <f t="shared" si="100"/>
        <v>61.297766749379662</v>
      </c>
      <c r="H86" s="88">
        <f t="shared" si="98"/>
        <v>234.304</v>
      </c>
      <c r="I86" s="88">
        <f t="shared" si="101"/>
        <v>24.703000000000003</v>
      </c>
      <c r="J86" s="1182">
        <v>1774</v>
      </c>
      <c r="K86" s="87">
        <v>74</v>
      </c>
      <c r="L86" s="88">
        <v>463</v>
      </c>
      <c r="M86" s="88">
        <v>7.7077077077077076</v>
      </c>
      <c r="N86" s="1187">
        <v>118</v>
      </c>
      <c r="O86" s="1187">
        <v>65.2</v>
      </c>
      <c r="P86" s="88">
        <f t="shared" si="63"/>
        <v>63.412034341252685</v>
      </c>
      <c r="Q86" s="88">
        <f t="shared" si="64"/>
        <v>337.73599999999999</v>
      </c>
      <c r="R86" s="88">
        <f t="shared" si="65"/>
        <v>29.359771899999991</v>
      </c>
      <c r="S86" s="1182">
        <v>1999</v>
      </c>
      <c r="T86" s="87">
        <f t="shared" si="102"/>
        <v>61.646733342555812</v>
      </c>
      <c r="U86" s="88">
        <f t="shared" si="103"/>
        <v>420.25305226742699</v>
      </c>
      <c r="V86" s="88">
        <f t="shared" si="104"/>
        <v>8.5000000000000036</v>
      </c>
      <c r="W86" s="1187">
        <f t="shared" si="105"/>
        <v>126</v>
      </c>
      <c r="X86" s="1187">
        <f>X85</f>
        <v>67.199999999999974</v>
      </c>
      <c r="Y86" s="88">
        <f t="shared" si="66"/>
        <v>62.630981156084083</v>
      </c>
      <c r="Z86" s="88">
        <f t="shared" si="67"/>
        <v>289.98623364338243</v>
      </c>
      <c r="AA86" s="88">
        <f t="shared" si="68"/>
        <v>26.320860997348039</v>
      </c>
      <c r="AB86" s="1182">
        <f t="shared" si="127"/>
        <v>2310</v>
      </c>
      <c r="AC86" s="87">
        <f t="shared" si="106"/>
        <v>65.301982326711908</v>
      </c>
      <c r="AD86" s="88">
        <f t="shared" si="107"/>
        <v>439.83823090241077</v>
      </c>
      <c r="AE86" s="88">
        <f t="shared" si="108"/>
        <v>7.8200000000000029</v>
      </c>
      <c r="AF86" s="1187">
        <f t="shared" si="109"/>
        <v>116</v>
      </c>
      <c r="AG86" s="1187">
        <f>AG84+0.1</f>
        <v>66.399999999999977</v>
      </c>
      <c r="AH86" s="88">
        <f t="shared" si="69"/>
        <v>63.971792156004646</v>
      </c>
      <c r="AI86" s="88">
        <f t="shared" si="70"/>
        <v>303.52361385455686</v>
      </c>
      <c r="AJ86" s="88">
        <f t="shared" si="71"/>
        <v>28.137239889553801</v>
      </c>
      <c r="AK86" s="1182">
        <f t="shared" si="110"/>
        <v>1975</v>
      </c>
      <c r="AL86" s="1177">
        <f t="shared" si="111"/>
        <v>76.998573612707915</v>
      </c>
      <c r="AM86" s="1178">
        <f t="shared" si="112"/>
        <v>463.11856844109792</v>
      </c>
      <c r="AN86" s="1178">
        <f t="shared" si="113"/>
        <v>7.8200000000000029</v>
      </c>
      <c r="AO86" s="1187">
        <f t="shared" si="114"/>
        <v>110</v>
      </c>
      <c r="AP86" s="1187">
        <f>AP84+0.1</f>
        <v>66.399999999999977</v>
      </c>
      <c r="AQ86" s="88">
        <f t="shared" si="72"/>
        <v>62.304939317182608</v>
      </c>
      <c r="AR86" s="88">
        <f t="shared" si="73"/>
        <v>357.88937015186622</v>
      </c>
      <c r="AS86" s="88">
        <f t="shared" si="74"/>
        <v>28.854574303383089</v>
      </c>
      <c r="AT86" s="1182">
        <f t="shared" si="115"/>
        <v>1710</v>
      </c>
      <c r="AU86" s="1177">
        <v>61.3</v>
      </c>
      <c r="AV86" s="1178">
        <v>448.3</v>
      </c>
      <c r="AW86" s="1178">
        <v>7.8</v>
      </c>
      <c r="AX86" s="1187">
        <v>106</v>
      </c>
      <c r="AY86" s="1187">
        <v>67.7</v>
      </c>
      <c r="AZ86" s="88">
        <f t="shared" si="75"/>
        <v>64.107539594021858</v>
      </c>
      <c r="BA86" s="88">
        <f t="shared" si="76"/>
        <v>290.50070000000005</v>
      </c>
      <c r="BB86" s="88">
        <f t="shared" si="77"/>
        <v>28.739410000000003</v>
      </c>
      <c r="BC86" s="1182">
        <v>2086</v>
      </c>
      <c r="BD86" s="1177">
        <f t="shared" si="116"/>
        <v>71.86296795471786</v>
      </c>
      <c r="BE86" s="1178">
        <f t="shared" si="117"/>
        <v>470.2319943628321</v>
      </c>
      <c r="BF86" s="1178">
        <f>BF85+0.1</f>
        <v>7.2799999999999931</v>
      </c>
      <c r="BG86" s="1187">
        <f t="shared" si="118"/>
        <v>116</v>
      </c>
      <c r="BH86" s="1187">
        <f>BH85</f>
        <v>65.499999999999986</v>
      </c>
      <c r="BI86" s="88">
        <f t="shared" si="78"/>
        <v>63.308962052131761</v>
      </c>
      <c r="BJ86" s="88">
        <f t="shared" si="79"/>
        <v>329.4917080723813</v>
      </c>
      <c r="BK86" s="88">
        <f t="shared" si="80"/>
        <v>29.769899486814772</v>
      </c>
      <c r="BL86" s="1182">
        <v>2035</v>
      </c>
      <c r="BM86" s="1177">
        <f t="shared" si="119"/>
        <v>69.646733342555819</v>
      </c>
      <c r="BN86" s="1178">
        <f t="shared" si="120"/>
        <v>449.95746095757829</v>
      </c>
      <c r="BO86" s="1178">
        <f t="shared" si="121"/>
        <v>7.6000000000000014</v>
      </c>
      <c r="BP86" s="1187">
        <f t="shared" si="122"/>
        <v>106.5</v>
      </c>
      <c r="BQ86" s="1187">
        <f>BQ85</f>
        <v>65.199999999999989</v>
      </c>
      <c r="BR86" s="88">
        <f t="shared" si="81"/>
        <v>61.832000115581408</v>
      </c>
      <c r="BS86" s="88">
        <f t="shared" si="82"/>
        <v>317.86769097542469</v>
      </c>
      <c r="BT86" s="88">
        <f t="shared" si="83"/>
        <v>27.8217697779357</v>
      </c>
      <c r="BU86" s="1182">
        <v>2030</v>
      </c>
      <c r="BV86" s="1177">
        <v>68.400000000000006</v>
      </c>
      <c r="BW86" s="1178">
        <v>462</v>
      </c>
      <c r="BX86" s="1178">
        <v>7.1999999999999993</v>
      </c>
      <c r="BY86" s="1187">
        <v>115</v>
      </c>
      <c r="BZ86" s="1187">
        <v>65</v>
      </c>
      <c r="CA86" s="88">
        <f t="shared" si="84"/>
        <v>62.947835497835491</v>
      </c>
      <c r="CB86" s="88">
        <f t="shared" si="85"/>
        <v>311.22000000000003</v>
      </c>
      <c r="CC86" s="88">
        <f t="shared" si="86"/>
        <v>29.081899999999997</v>
      </c>
      <c r="CD86" s="1182">
        <v>1970</v>
      </c>
      <c r="CE86" s="1177">
        <v>67.900000000000006</v>
      </c>
      <c r="CF86" s="1178">
        <v>452.6</v>
      </c>
      <c r="CG86" s="1178">
        <v>8.4</v>
      </c>
      <c r="CH86" s="1187">
        <v>112</v>
      </c>
      <c r="CI86" s="1187">
        <v>68.099999999999994</v>
      </c>
      <c r="CJ86" s="88">
        <f t="shared" si="87"/>
        <v>64.827883340698179</v>
      </c>
      <c r="CK86" s="88">
        <f t="shared" si="88"/>
        <v>323.67929999999996</v>
      </c>
      <c r="CL86" s="88">
        <f t="shared" si="89"/>
        <v>29.341099999999994</v>
      </c>
      <c r="CM86" s="1182">
        <v>2060</v>
      </c>
      <c r="CN86" s="87">
        <v>68.3</v>
      </c>
      <c r="CO86" s="88">
        <v>462.5</v>
      </c>
      <c r="CP86" s="88">
        <v>7.7</v>
      </c>
      <c r="CQ86" s="1187">
        <v>102</v>
      </c>
      <c r="CR86" s="1187">
        <v>66.900000000000006</v>
      </c>
      <c r="CS86" s="88">
        <f t="shared" si="90"/>
        <v>63.509967567567593</v>
      </c>
      <c r="CT86" s="88">
        <f t="shared" si="91"/>
        <v>319.84890000000001</v>
      </c>
      <c r="CU86" s="88">
        <f t="shared" si="92"/>
        <v>29.373360000000012</v>
      </c>
      <c r="CV86" s="1182">
        <v>1802</v>
      </c>
      <c r="CW86" s="87">
        <f t="shared" si="123"/>
        <v>65.601982326711905</v>
      </c>
      <c r="CX86" s="88">
        <f t="shared" si="124"/>
        <v>437.98103090241074</v>
      </c>
      <c r="CY86" s="88">
        <f t="shared" si="125"/>
        <v>8.4000000000000021</v>
      </c>
      <c r="CZ86" s="1187">
        <f t="shared" si="126"/>
        <v>111</v>
      </c>
      <c r="DA86" s="1187">
        <f>DA85</f>
        <v>66.899999999999977</v>
      </c>
      <c r="DB86" s="88">
        <f t="shared" si="93"/>
        <v>63.798416571678089</v>
      </c>
      <c r="DC86" s="88">
        <f t="shared" si="94"/>
        <v>307.21408323599172</v>
      </c>
      <c r="DD86" s="88">
        <f t="shared" si="95"/>
        <v>27.942496260005012</v>
      </c>
      <c r="DE86" s="1182">
        <f>DE85</f>
        <v>1995</v>
      </c>
    </row>
    <row r="87" spans="1:109" ht="15" x14ac:dyDescent="0.2">
      <c r="A87" s="96">
        <f t="shared" si="99"/>
        <v>99</v>
      </c>
      <c r="B87" s="1177">
        <v>51.6</v>
      </c>
      <c r="C87" s="1178">
        <v>406</v>
      </c>
      <c r="D87" s="1178">
        <v>7.8078078078078077</v>
      </c>
      <c r="E87" s="1187">
        <v>117</v>
      </c>
      <c r="F87" s="1187">
        <v>64</v>
      </c>
      <c r="G87" s="88">
        <f t="shared" si="100"/>
        <v>61.317733990147794</v>
      </c>
      <c r="H87" s="88">
        <f t="shared" si="98"/>
        <v>231.16800000000001</v>
      </c>
      <c r="I87" s="88">
        <f t="shared" si="101"/>
        <v>24.895000000000003</v>
      </c>
      <c r="J87" s="1182">
        <v>1775</v>
      </c>
      <c r="K87" s="87">
        <v>73.7</v>
      </c>
      <c r="L87" s="88">
        <v>467</v>
      </c>
      <c r="M87" s="88">
        <v>7.8078078078078077</v>
      </c>
      <c r="N87" s="1187">
        <v>118</v>
      </c>
      <c r="O87" s="1187">
        <v>65.2</v>
      </c>
      <c r="P87" s="88">
        <f t="shared" si="63"/>
        <v>63.427348822269792</v>
      </c>
      <c r="Q87" s="88">
        <f t="shared" si="64"/>
        <v>336.36680000000001</v>
      </c>
      <c r="R87" s="88">
        <f t="shared" si="65"/>
        <v>29.620571899999991</v>
      </c>
      <c r="S87" s="1182">
        <v>2000</v>
      </c>
      <c r="T87" s="87">
        <f t="shared" si="102"/>
        <v>61.128903339007174</v>
      </c>
      <c r="U87" s="88">
        <f t="shared" si="103"/>
        <v>423.89022201609794</v>
      </c>
      <c r="V87" s="88">
        <f t="shared" si="104"/>
        <v>8.6500000000000039</v>
      </c>
      <c r="W87" s="1187">
        <f t="shared" si="105"/>
        <v>126</v>
      </c>
      <c r="X87" s="1187">
        <f>X86+0.1</f>
        <v>67.299999999999969</v>
      </c>
      <c r="Y87" s="88">
        <f t="shared" si="66"/>
        <v>62.671043448661379</v>
      </c>
      <c r="Z87" s="88">
        <f t="shared" si="67"/>
        <v>287.97826363006266</v>
      </c>
      <c r="AA87" s="88">
        <f t="shared" si="68"/>
        <v>26.565642521433592</v>
      </c>
      <c r="AB87" s="1182">
        <f t="shared" si="127"/>
        <v>2310</v>
      </c>
      <c r="AC87" s="87">
        <f t="shared" si="106"/>
        <v>64.86829474019909</v>
      </c>
      <c r="AD87" s="88">
        <f t="shared" si="107"/>
        <v>443.69789443945263</v>
      </c>
      <c r="AE87" s="88">
        <f t="shared" si="108"/>
        <v>7.9700000000000033</v>
      </c>
      <c r="AF87" s="1187">
        <f t="shared" si="109"/>
        <v>116</v>
      </c>
      <c r="AG87" s="1187">
        <f>AG84+0.1</f>
        <v>66.399999999999977</v>
      </c>
      <c r="AH87" s="88">
        <f t="shared" si="69"/>
        <v>63.992914783344737</v>
      </c>
      <c r="AI87" s="88">
        <f t="shared" si="70"/>
        <v>301.50783395244531</v>
      </c>
      <c r="AJ87" s="88">
        <f t="shared" si="71"/>
        <v>28.393521548413382</v>
      </c>
      <c r="AK87" s="1182">
        <f t="shared" si="110"/>
        <v>1975</v>
      </c>
      <c r="AL87" s="1177">
        <f t="shared" si="111"/>
        <v>76.729560445526417</v>
      </c>
      <c r="AM87" s="1178">
        <f t="shared" si="112"/>
        <v>467.68397728760675</v>
      </c>
      <c r="AN87" s="1178">
        <f t="shared" si="113"/>
        <v>7.9700000000000033</v>
      </c>
      <c r="AO87" s="1187">
        <f t="shared" si="114"/>
        <v>110</v>
      </c>
      <c r="AP87" s="1187">
        <f>AP84+0.1</f>
        <v>66.399999999999977</v>
      </c>
      <c r="AQ87" s="88">
        <f t="shared" si="72"/>
        <v>62.344914230107257</v>
      </c>
      <c r="AR87" s="88">
        <f t="shared" si="73"/>
        <v>356.63899695080664</v>
      </c>
      <c r="AS87" s="88">
        <f t="shared" si="74"/>
        <v>29.157717450791274</v>
      </c>
      <c r="AT87" s="1182">
        <f t="shared" si="115"/>
        <v>1710</v>
      </c>
      <c r="AU87" s="1177">
        <v>60.3</v>
      </c>
      <c r="AV87" s="1178">
        <v>452.2</v>
      </c>
      <c r="AW87" s="1178">
        <v>7.900000000000011</v>
      </c>
      <c r="AX87" s="1187">
        <v>106</v>
      </c>
      <c r="AY87" s="1187">
        <v>67.8</v>
      </c>
      <c r="AZ87" s="88">
        <f t="shared" si="75"/>
        <v>64.139385227775321</v>
      </c>
      <c r="BA87" s="88">
        <f t="shared" si="76"/>
        <v>286.18380000000002</v>
      </c>
      <c r="BB87" s="88">
        <f t="shared" si="77"/>
        <v>29.003829999999997</v>
      </c>
      <c r="BC87" s="1182">
        <v>2088</v>
      </c>
      <c r="BD87" s="1177">
        <f t="shared" si="116"/>
        <v>71.402846159693766</v>
      </c>
      <c r="BE87" s="1178">
        <f t="shared" si="117"/>
        <v>474.23055374777493</v>
      </c>
      <c r="BF87" s="1178">
        <f>BF86+0.2</f>
        <v>7.4799999999999933</v>
      </c>
      <c r="BG87" s="1187">
        <f t="shared" si="118"/>
        <v>116</v>
      </c>
      <c r="BH87" s="1187">
        <f>BH86</f>
        <v>65.499999999999986</v>
      </c>
      <c r="BI87" s="88">
        <f t="shared" si="78"/>
        <v>63.327436178861852</v>
      </c>
      <c r="BJ87" s="88">
        <f t="shared" si="79"/>
        <v>327.38204964219585</v>
      </c>
      <c r="BK87" s="88">
        <f t="shared" si="80"/>
        <v>30.031805126528532</v>
      </c>
      <c r="BL87" s="1182">
        <v>2035</v>
      </c>
      <c r="BM87" s="1177">
        <f t="shared" si="119"/>
        <v>69.128903339007181</v>
      </c>
      <c r="BN87" s="1178">
        <f t="shared" si="120"/>
        <v>453.8286795445627</v>
      </c>
      <c r="BO87" s="1178">
        <f t="shared" si="121"/>
        <v>7.8000000000000016</v>
      </c>
      <c r="BP87" s="1187">
        <f t="shared" si="122"/>
        <v>106.5</v>
      </c>
      <c r="BQ87" s="1187">
        <f>BQ86</f>
        <v>65.199999999999989</v>
      </c>
      <c r="BR87" s="88">
        <f t="shared" si="81"/>
        <v>61.860729599506058</v>
      </c>
      <c r="BS87" s="88">
        <f t="shared" si="82"/>
        <v>315.5043148392287</v>
      </c>
      <c r="BT87" s="88">
        <f t="shared" si="83"/>
        <v>28.07417322980708</v>
      </c>
      <c r="BU87" s="1182">
        <v>2030</v>
      </c>
      <c r="BV87" s="1177">
        <v>67.5</v>
      </c>
      <c r="BW87" s="1178">
        <v>466</v>
      </c>
      <c r="BX87" s="1178">
        <v>7.3000000000000025</v>
      </c>
      <c r="BY87" s="1187">
        <v>115</v>
      </c>
      <c r="BZ87" s="1187">
        <v>65</v>
      </c>
      <c r="CA87" s="88">
        <f t="shared" si="84"/>
        <v>62.965450643776819</v>
      </c>
      <c r="CB87" s="88">
        <f t="shared" si="85"/>
        <v>307.12500000000006</v>
      </c>
      <c r="CC87" s="88">
        <f t="shared" si="86"/>
        <v>29.341899999999999</v>
      </c>
      <c r="CD87" s="1182">
        <v>1975</v>
      </c>
      <c r="CE87" s="1177">
        <v>67.2</v>
      </c>
      <c r="CF87" s="1178">
        <v>456.9</v>
      </c>
      <c r="CG87" s="1178">
        <v>8.5</v>
      </c>
      <c r="CH87" s="1187">
        <v>112</v>
      </c>
      <c r="CI87" s="1187">
        <v>68.099999999999994</v>
      </c>
      <c r="CJ87" s="88">
        <f t="shared" si="87"/>
        <v>64.858678047712843</v>
      </c>
      <c r="CK87" s="88">
        <f t="shared" si="88"/>
        <v>320.3424</v>
      </c>
      <c r="CL87" s="88">
        <f t="shared" si="89"/>
        <v>29.633929999999996</v>
      </c>
      <c r="CM87" s="1182">
        <v>2060</v>
      </c>
      <c r="CN87" s="87">
        <v>67.400000000000006</v>
      </c>
      <c r="CO87" s="88">
        <v>466.8</v>
      </c>
      <c r="CP87" s="88">
        <v>7.9</v>
      </c>
      <c r="CQ87" s="1187">
        <v>102</v>
      </c>
      <c r="CR87" s="1187">
        <v>67</v>
      </c>
      <c r="CS87" s="88">
        <f t="shared" si="90"/>
        <v>63.542116538131985</v>
      </c>
      <c r="CT87" s="88">
        <f t="shared" si="91"/>
        <v>316.10599999999999</v>
      </c>
      <c r="CU87" s="88">
        <f t="shared" si="92"/>
        <v>29.661460000000012</v>
      </c>
      <c r="CV87" s="1182">
        <v>1802</v>
      </c>
      <c r="CW87" s="87">
        <f t="shared" si="123"/>
        <v>65.168294740199087</v>
      </c>
      <c r="CX87" s="88">
        <f t="shared" si="124"/>
        <v>441.8585444394526</v>
      </c>
      <c r="CY87" s="88">
        <f t="shared" si="125"/>
        <v>8.5500000000000025</v>
      </c>
      <c r="CZ87" s="1187">
        <f t="shared" si="126"/>
        <v>111</v>
      </c>
      <c r="DA87" s="1187">
        <f>DA86</f>
        <v>66.899999999999977</v>
      </c>
      <c r="DB87" s="88">
        <f t="shared" si="93"/>
        <v>63.82563440390274</v>
      </c>
      <c r="DC87" s="88">
        <f t="shared" si="94"/>
        <v>305.18312426835223</v>
      </c>
      <c r="DD87" s="88">
        <f t="shared" si="95"/>
        <v>28.201901915633112</v>
      </c>
      <c r="DE87" s="1182">
        <f>DE86</f>
        <v>1995</v>
      </c>
    </row>
    <row r="88" spans="1:109" ht="15" x14ac:dyDescent="0.2">
      <c r="A88" s="96">
        <f t="shared" si="99"/>
        <v>100</v>
      </c>
      <c r="B88" s="1177">
        <v>51</v>
      </c>
      <c r="C88" s="1178">
        <v>409</v>
      </c>
      <c r="D88" s="1178">
        <v>7.9079079079079069</v>
      </c>
      <c r="E88" s="1187">
        <v>117</v>
      </c>
      <c r="F88" s="1187">
        <v>64</v>
      </c>
      <c r="G88" s="88">
        <f t="shared" si="100"/>
        <v>61.337408312958445</v>
      </c>
      <c r="H88" s="88">
        <f t="shared" si="98"/>
        <v>228.48000000000002</v>
      </c>
      <c r="I88" s="88">
        <f t="shared" si="101"/>
        <v>25.087000000000003</v>
      </c>
      <c r="J88" s="1182">
        <v>1775</v>
      </c>
      <c r="K88" s="87">
        <v>73.3</v>
      </c>
      <c r="L88" s="88">
        <v>472</v>
      </c>
      <c r="M88" s="88">
        <v>7.9079079079079069</v>
      </c>
      <c r="N88" s="1187">
        <v>118</v>
      </c>
      <c r="O88" s="1187">
        <v>65.3</v>
      </c>
      <c r="P88" s="88">
        <f t="shared" si="63"/>
        <v>63.447186228813543</v>
      </c>
      <c r="Q88" s="88">
        <f t="shared" si="64"/>
        <v>335.05430000000001</v>
      </c>
      <c r="R88" s="88">
        <f t="shared" si="65"/>
        <v>29.94707189999999</v>
      </c>
      <c r="S88" s="1182">
        <v>2000</v>
      </c>
      <c r="T88" s="87">
        <f t="shared" si="102"/>
        <v>60.614587280188722</v>
      </c>
      <c r="U88" s="88">
        <f t="shared" si="103"/>
        <v>427.49678995926917</v>
      </c>
      <c r="V88" s="88">
        <f t="shared" si="104"/>
        <v>8.8000000000000043</v>
      </c>
      <c r="W88" s="1187">
        <f t="shared" si="105"/>
        <v>126</v>
      </c>
      <c r="X88" s="1187">
        <f>X87+0.1</f>
        <v>67.399999999999963</v>
      </c>
      <c r="Y88" s="88">
        <f t="shared" si="66"/>
        <v>62.710939194087516</v>
      </c>
      <c r="Z88" s="88">
        <f t="shared" si="67"/>
        <v>285.97962278793023</v>
      </c>
      <c r="AA88" s="88">
        <f t="shared" si="68"/>
        <v>26.808725200803334</v>
      </c>
      <c r="AB88" s="1182">
        <f t="shared" si="127"/>
        <v>2310</v>
      </c>
      <c r="AC88" s="87">
        <f t="shared" si="106"/>
        <v>64.440583299931816</v>
      </c>
      <c r="AD88" s="88">
        <f t="shared" si="107"/>
        <v>447.53210914579859</v>
      </c>
      <c r="AE88" s="88">
        <f t="shared" si="108"/>
        <v>8.1200000000000028</v>
      </c>
      <c r="AF88" s="1187">
        <f t="shared" si="109"/>
        <v>116</v>
      </c>
      <c r="AG88" s="1187">
        <f>AG87+0.1</f>
        <v>66.499999999999972</v>
      </c>
      <c r="AH88" s="88">
        <f t="shared" si="69"/>
        <v>64.01439414272771</v>
      </c>
      <c r="AI88" s="88">
        <f t="shared" si="70"/>
        <v>299.97091526118248</v>
      </c>
      <c r="AJ88" s="88">
        <f t="shared" si="71"/>
        <v>28.64849682638539</v>
      </c>
      <c r="AK88" s="1182">
        <f t="shared" si="110"/>
        <v>1975</v>
      </c>
      <c r="AL88" s="1177">
        <f t="shared" si="111"/>
        <v>76.464695036898974</v>
      </c>
      <c r="AM88" s="1178">
        <f t="shared" si="112"/>
        <v>472.23362664230223</v>
      </c>
      <c r="AN88" s="1178">
        <f t="shared" si="113"/>
        <v>8.1200000000000028</v>
      </c>
      <c r="AO88" s="1187">
        <f t="shared" si="114"/>
        <v>110</v>
      </c>
      <c r="AP88" s="1187">
        <f>AP87+0.1</f>
        <v>66.499999999999972</v>
      </c>
      <c r="AQ88" s="88">
        <f t="shared" si="72"/>
        <v>62.384945651474077</v>
      </c>
      <c r="AR88" s="88">
        <f t="shared" si="73"/>
        <v>355.94315539676461</v>
      </c>
      <c r="AS88" s="88">
        <f t="shared" si="74"/>
        <v>29.460269132878523</v>
      </c>
      <c r="AT88" s="1182">
        <f t="shared" si="115"/>
        <v>1710</v>
      </c>
      <c r="AU88" s="1177">
        <v>59.2</v>
      </c>
      <c r="AV88" s="1178">
        <v>456</v>
      </c>
      <c r="AW88" s="1178">
        <v>8</v>
      </c>
      <c r="AX88" s="1187">
        <v>106</v>
      </c>
      <c r="AY88" s="1187">
        <v>67.8</v>
      </c>
      <c r="AZ88" s="88">
        <f t="shared" si="75"/>
        <v>64.169890350877196</v>
      </c>
      <c r="BA88" s="88">
        <f t="shared" si="76"/>
        <v>280.96319999999997</v>
      </c>
      <c r="BB88" s="88">
        <f t="shared" si="77"/>
        <v>29.261469999999999</v>
      </c>
      <c r="BC88" s="1182">
        <v>2090</v>
      </c>
      <c r="BD88" s="1177">
        <f t="shared" si="116"/>
        <v>70.949857015218541</v>
      </c>
      <c r="BE88" s="1178">
        <f t="shared" si="117"/>
        <v>478.2037457406272</v>
      </c>
      <c r="BF88" s="1178">
        <f>BF87+0.2</f>
        <v>7.6799999999999935</v>
      </c>
      <c r="BG88" s="1187">
        <f t="shared" si="118"/>
        <v>116</v>
      </c>
      <c r="BH88" s="1187">
        <f>BH87</f>
        <v>65.499999999999986</v>
      </c>
      <c r="BI88" s="88">
        <f t="shared" si="78"/>
        <v>63.345487089702658</v>
      </c>
      <c r="BJ88" s="88">
        <f t="shared" si="79"/>
        <v>325.30509441477699</v>
      </c>
      <c r="BK88" s="88">
        <f t="shared" si="80"/>
        <v>30.292049202060355</v>
      </c>
      <c r="BL88" s="1182">
        <v>2035</v>
      </c>
      <c r="BM88" s="1177">
        <f t="shared" si="119"/>
        <v>68.614587280188729</v>
      </c>
      <c r="BN88" s="1178">
        <f t="shared" si="120"/>
        <v>457.67109643225325</v>
      </c>
      <c r="BO88" s="1178">
        <f t="shared" si="121"/>
        <v>8.0000000000000018</v>
      </c>
      <c r="BP88" s="1187">
        <f t="shared" si="122"/>
        <v>106.5</v>
      </c>
      <c r="BQ88" s="1187">
        <f>BQ87</f>
        <v>65.199999999999989</v>
      </c>
      <c r="BR88" s="88">
        <f t="shared" si="81"/>
        <v>61.888764730147784</v>
      </c>
      <c r="BS88" s="88">
        <f t="shared" si="82"/>
        <v>313.15697634678133</v>
      </c>
      <c r="BT88" s="88">
        <f t="shared" si="83"/>
        <v>28.324698810884502</v>
      </c>
      <c r="BU88" s="1182">
        <v>2030</v>
      </c>
      <c r="BV88" s="1177">
        <v>66.5</v>
      </c>
      <c r="BW88" s="1178">
        <v>470</v>
      </c>
      <c r="BX88" s="1178">
        <v>7.4000000000000039</v>
      </c>
      <c r="BY88" s="1187">
        <v>115</v>
      </c>
      <c r="BZ88" s="1187">
        <v>65</v>
      </c>
      <c r="CA88" s="88">
        <f t="shared" si="84"/>
        <v>62.982765957446802</v>
      </c>
      <c r="CB88" s="88">
        <f t="shared" si="85"/>
        <v>302.57499999999999</v>
      </c>
      <c r="CC88" s="88">
        <f t="shared" si="86"/>
        <v>29.601900000000001</v>
      </c>
      <c r="CD88" s="1182">
        <v>1975</v>
      </c>
      <c r="CE88" s="1177">
        <v>66.5</v>
      </c>
      <c r="CF88" s="1178">
        <v>461.1</v>
      </c>
      <c r="CG88" s="1178">
        <v>8.6</v>
      </c>
      <c r="CH88" s="1187">
        <v>112</v>
      </c>
      <c r="CI88" s="1187">
        <v>68.099999999999994</v>
      </c>
      <c r="CJ88" s="88">
        <f t="shared" si="87"/>
        <v>64.888202125352421</v>
      </c>
      <c r="CK88" s="88">
        <f t="shared" si="88"/>
        <v>317.00549999999998</v>
      </c>
      <c r="CL88" s="88">
        <f t="shared" si="89"/>
        <v>29.91995</v>
      </c>
      <c r="CM88" s="1182">
        <v>2061</v>
      </c>
      <c r="CN88" s="87">
        <v>66.5</v>
      </c>
      <c r="CO88" s="88">
        <v>471.1</v>
      </c>
      <c r="CP88" s="88">
        <v>8.1</v>
      </c>
      <c r="CQ88" s="1187">
        <v>102</v>
      </c>
      <c r="CR88" s="1187">
        <v>67</v>
      </c>
      <c r="CS88" s="88">
        <f t="shared" si="90"/>
        <v>63.573678624495884</v>
      </c>
      <c r="CT88" s="88">
        <f t="shared" si="91"/>
        <v>311.88499999999999</v>
      </c>
      <c r="CU88" s="88">
        <f t="shared" si="92"/>
        <v>29.949560000000009</v>
      </c>
      <c r="CV88" s="1182">
        <v>1803</v>
      </c>
      <c r="CW88" s="87">
        <f t="shared" si="123"/>
        <v>64.740583299931814</v>
      </c>
      <c r="CX88" s="88">
        <f t="shared" si="124"/>
        <v>445.71060914579851</v>
      </c>
      <c r="CY88" s="88">
        <f t="shared" si="125"/>
        <v>8.7000000000000028</v>
      </c>
      <c r="CZ88" s="1187">
        <f t="shared" si="126"/>
        <v>111</v>
      </c>
      <c r="DA88" s="1187">
        <f>DA87+0.1</f>
        <v>66.999999999999972</v>
      </c>
      <c r="DB88" s="88">
        <f t="shared" si="93"/>
        <v>63.853068935248537</v>
      </c>
      <c r="DC88" s="88">
        <f t="shared" si="94"/>
        <v>303.63333567668002</v>
      </c>
      <c r="DD88" s="88">
        <f t="shared" si="95"/>
        <v>28.459990250958288</v>
      </c>
      <c r="DE88" s="1182">
        <f>DE87</f>
        <v>1995</v>
      </c>
    </row>
    <row r="89" spans="1:109" ht="15" x14ac:dyDescent="0.2">
      <c r="A89" s="96">
        <f t="shared" si="99"/>
        <v>101</v>
      </c>
      <c r="B89" s="87">
        <f t="shared" ref="B89:B98" si="128">B88-AVERAGE((B87-B88),(B86-B87),(B85-B86),(B84-B85))*0.96</f>
        <v>50.351999999999997</v>
      </c>
      <c r="C89" s="88">
        <f t="shared" ref="C89:C108" si="129">C88+(B89/100*7)*(1-(D89-D88))</f>
        <v>411.99594400000001</v>
      </c>
      <c r="D89" s="88">
        <f t="shared" ref="D89:D98" si="130">D88+0.15</f>
        <v>8.0579079079079072</v>
      </c>
      <c r="E89" s="1187">
        <f t="shared" ref="E89:E108" si="131">E88</f>
        <v>117</v>
      </c>
      <c r="F89" s="1187">
        <f>F88</f>
        <v>64</v>
      </c>
      <c r="G89" s="88">
        <f t="shared" si="100"/>
        <v>61.356770094804631</v>
      </c>
      <c r="H89" s="88">
        <f t="shared" si="98"/>
        <v>225.57695999999999</v>
      </c>
      <c r="I89" s="88">
        <f t="shared" si="101"/>
        <v>25.278740416000005</v>
      </c>
      <c r="J89" s="1182">
        <f t="shared" ref="J89:J107" si="132">J88+1</f>
        <v>1776</v>
      </c>
      <c r="K89" s="87">
        <f t="shared" ref="K89:K98" si="133">K88-AVERAGE((K87-K88),(K86-K87),(K85-K86),(K84-K85))*0.96</f>
        <v>72.94</v>
      </c>
      <c r="L89" s="88">
        <f t="shared" ref="L89:L108" si="134">L88+(K89/100*7)*(1-(M89-M88))</f>
        <v>476.33992999999998</v>
      </c>
      <c r="M89" s="88">
        <f t="shared" ref="M89:M98" si="135">M88+0.15</f>
        <v>8.0579079079079072</v>
      </c>
      <c r="N89" s="1187">
        <f t="shared" ref="N89:N108" si="136">N88</f>
        <v>118</v>
      </c>
      <c r="O89" s="1187">
        <f>O88</f>
        <v>65.3</v>
      </c>
      <c r="P89" s="88">
        <f t="shared" si="63"/>
        <v>63.464067203016114</v>
      </c>
      <c r="Q89" s="88">
        <f t="shared" si="64"/>
        <v>333.40873999999997</v>
      </c>
      <c r="R89" s="88">
        <f t="shared" si="65"/>
        <v>30.230469328999988</v>
      </c>
      <c r="S89" s="1182">
        <f t="shared" ref="S89:S107" si="137">S88+1</f>
        <v>2001</v>
      </c>
      <c r="T89" s="87">
        <f t="shared" ref="T89:T98" si="138">T88-AVERAGE((T87-T88),(T86-T87),(T85-T86),(T84-T85))*0.96</f>
        <v>60.110164109854594</v>
      </c>
      <c r="U89" s="88">
        <f t="shared" si="103"/>
        <v>431.07334472380552</v>
      </c>
      <c r="V89" s="88">
        <f t="shared" si="104"/>
        <v>8.9500000000000046</v>
      </c>
      <c r="W89" s="1187">
        <f t="shared" si="105"/>
        <v>126</v>
      </c>
      <c r="X89" s="1187">
        <f>X88</f>
        <v>67.399999999999963</v>
      </c>
      <c r="Y89" s="88">
        <f t="shared" si="66"/>
        <v>62.74984367048777</v>
      </c>
      <c r="Z89" s="88">
        <f t="shared" si="67"/>
        <v>283.59975427029383</v>
      </c>
      <c r="AA89" s="88">
        <f t="shared" si="68"/>
        <v>27.04978499193308</v>
      </c>
      <c r="AB89" s="1182">
        <f t="shared" si="127"/>
        <v>2310</v>
      </c>
      <c r="AC89" s="87">
        <f t="shared" ref="AC89:AC98" si="139">AC88-AVERAGE((AC87-AC88),(AC86-AC87),(AC85-AC86),(AC84-AC85))*0.96</f>
        <v>64.021075474330885</v>
      </c>
      <c r="AD89" s="88">
        <f t="shared" si="107"/>
        <v>451.3413631365213</v>
      </c>
      <c r="AE89" s="88">
        <f t="shared" si="108"/>
        <v>8.2700000000000031</v>
      </c>
      <c r="AF89" s="1187">
        <f t="shared" si="109"/>
        <v>116</v>
      </c>
      <c r="AG89" s="1187">
        <f>AG87+0.1</f>
        <v>66.499999999999972</v>
      </c>
      <c r="AH89" s="88">
        <f t="shared" si="69"/>
        <v>64.035372286555216</v>
      </c>
      <c r="AI89" s="88">
        <f t="shared" si="70"/>
        <v>298.01810633301017</v>
      </c>
      <c r="AJ89" s="88">
        <f t="shared" si="71"/>
        <v>28.901812216768448</v>
      </c>
      <c r="AK89" s="1182">
        <f>AK88+10</f>
        <v>1985</v>
      </c>
      <c r="AL89" s="87">
        <f t="shared" ref="AL89:AL98" si="140">AL88-AVERAGE((AL87-AL88),(AL86-AL87),(AL85-AL86),(AL84-AL85))*0.96</f>
        <v>76.204736154464584</v>
      </c>
      <c r="AM89" s="88">
        <f t="shared" si="112"/>
        <v>476.76780844349287</v>
      </c>
      <c r="AN89" s="88">
        <f t="shared" si="113"/>
        <v>8.2700000000000031</v>
      </c>
      <c r="AO89" s="1187">
        <f t="shared" si="114"/>
        <v>110</v>
      </c>
      <c r="AP89" s="1187">
        <f>AP87+0.1</f>
        <v>66.499999999999972</v>
      </c>
      <c r="AQ89" s="88">
        <f t="shared" si="72"/>
        <v>62.424080853573628</v>
      </c>
      <c r="AR89" s="88">
        <f t="shared" si="73"/>
        <v>354.73304679903248</v>
      </c>
      <c r="AS89" s="88">
        <f t="shared" si="74"/>
        <v>29.761792222657704</v>
      </c>
      <c r="AT89" s="1182">
        <f>AT88+10</f>
        <v>1720</v>
      </c>
      <c r="AU89" s="87">
        <f t="shared" ref="AU89:AU98" si="141">AU88-AVERAGE((AU87-AU88),(AU86-AU87),(AU85-AU86),(AU84-AU85))*0.96</f>
        <v>58.24</v>
      </c>
      <c r="AV89" s="88">
        <f t="shared" ref="AV89:AV108" si="142">AV88+(AU89/100*7)*(1-(AW89-AW88))</f>
        <v>459.46528000000001</v>
      </c>
      <c r="AW89" s="88">
        <f t="shared" ref="AW89:AW98" si="143">AW88+0.15</f>
        <v>8.15</v>
      </c>
      <c r="AX89" s="1187">
        <f t="shared" ref="AX89:AX108" si="144">AX88</f>
        <v>106</v>
      </c>
      <c r="AY89" s="1187">
        <f>AY88</f>
        <v>67.8</v>
      </c>
      <c r="AZ89" s="88">
        <f t="shared" si="75"/>
        <v>64.197268581425789</v>
      </c>
      <c r="BA89" s="88">
        <f t="shared" si="76"/>
        <v>276.40703999999999</v>
      </c>
      <c r="BB89" s="88">
        <f t="shared" si="77"/>
        <v>29.496415984000002</v>
      </c>
      <c r="BC89" s="1182">
        <f t="shared" ref="BC89:BC108" si="145">BC88</f>
        <v>2090</v>
      </c>
      <c r="BD89" s="87">
        <f t="shared" ref="BD89:BD98" si="146">BD88-AVERAGE((BD87-BD88),(BD86-BD87),(BD85-BD86),(BD84-BD85))*0.96</f>
        <v>70.50564495776176</v>
      </c>
      <c r="BE89" s="88">
        <f t="shared" si="117"/>
        <v>482.64560137296621</v>
      </c>
      <c r="BF89" s="88">
        <f>BF88+0.1</f>
        <v>7.7799999999999931</v>
      </c>
      <c r="BG89" s="1187">
        <f t="shared" si="118"/>
        <v>116</v>
      </c>
      <c r="BH89" s="1187">
        <f>BH88+0.1</f>
        <v>65.59999999999998</v>
      </c>
      <c r="BI89" s="88">
        <f t="shared" si="78"/>
        <v>63.366235690415678</v>
      </c>
      <c r="BJ89" s="88">
        <f t="shared" si="79"/>
        <v>323.76192164604191</v>
      </c>
      <c r="BK89" s="88">
        <f t="shared" si="80"/>
        <v>30.583434931541792</v>
      </c>
      <c r="BL89" s="1182">
        <v>2045</v>
      </c>
      <c r="BM89" s="87">
        <f t="shared" ref="BM89:BM98" si="147">BM88-AVERAGE((BM87-BM88),(BM86-BM87),(BM85-BM86),(BM84-BM85))*0.96</f>
        <v>68.110164109854608</v>
      </c>
      <c r="BN89" s="88">
        <f t="shared" si="120"/>
        <v>461.3899113926513</v>
      </c>
      <c r="BO89" s="88">
        <f t="shared" ref="BO89:BO98" si="148">BO88+0.22</f>
        <v>8.2200000000000024</v>
      </c>
      <c r="BP89" s="1187">
        <f t="shared" si="122"/>
        <v>106.5</v>
      </c>
      <c r="BQ89" s="1187">
        <f>BQ88+0.1</f>
        <v>65.299999999999983</v>
      </c>
      <c r="BR89" s="88">
        <f t="shared" si="81"/>
        <v>61.916259377173489</v>
      </c>
      <c r="BS89" s="88">
        <f t="shared" si="82"/>
        <v>311.33156014614536</v>
      </c>
      <c r="BT89" s="88">
        <f t="shared" si="83"/>
        <v>28.567537427798491</v>
      </c>
      <c r="BU89" s="1182">
        <v>2050</v>
      </c>
      <c r="BV89" s="87">
        <f t="shared" ref="BV89:BV98" si="149">BV88-AVERAGE((BV87-BV88),(BV86-BV87),(BV85-BV86),(BV84-BV85))*0.96</f>
        <v>65.635999999999996</v>
      </c>
      <c r="BW89" s="88">
        <f t="shared" ref="BW89:BW108" si="150">BW88+(BV89/100*7)*(1-(BX89-BX88))</f>
        <v>473.90534200000002</v>
      </c>
      <c r="BX89" s="88">
        <f t="shared" ref="BX89:BX98" si="151">BX88+0.15</f>
        <v>7.5500000000000043</v>
      </c>
      <c r="BY89" s="1187">
        <f t="shared" ref="BY89:BY108" si="152">BY88</f>
        <v>115</v>
      </c>
      <c r="BZ89" s="1187">
        <f>BZ88</f>
        <v>65</v>
      </c>
      <c r="CA89" s="88">
        <f t="shared" si="84"/>
        <v>62.999389506776225</v>
      </c>
      <c r="CB89" s="88">
        <f t="shared" si="85"/>
        <v>298.64379999999994</v>
      </c>
      <c r="CC89" s="88">
        <f t="shared" si="86"/>
        <v>29.855747229999999</v>
      </c>
      <c r="CD89" s="1182">
        <f t="shared" ref="CD89:CD106" si="153">CD88</f>
        <v>1975</v>
      </c>
      <c r="CE89" s="87">
        <f t="shared" ref="CE89:CE98" si="154">CE88-AVERAGE((CE87-CE88),(CE86-CE87),(CE85-CE86),(CE84-CE85))*0.96</f>
        <v>65.828000000000003</v>
      </c>
      <c r="CF89" s="88">
        <f t="shared" ref="CF89:CF108" si="155">CF88+(CE89/100*7)*(1-(CG89-CG88))</f>
        <v>465.01676600000002</v>
      </c>
      <c r="CG89" s="88">
        <f t="shared" ref="CG89:CG98" si="156">CG88+0.15</f>
        <v>8.75</v>
      </c>
      <c r="CH89" s="1187">
        <f t="shared" ref="CH89:CH108" si="157">CH88</f>
        <v>112</v>
      </c>
      <c r="CI89" s="1187">
        <f>CI88</f>
        <v>68.099999999999994</v>
      </c>
      <c r="CJ89" s="88">
        <f t="shared" si="87"/>
        <v>64.915254613851928</v>
      </c>
      <c r="CK89" s="88">
        <f t="shared" si="88"/>
        <v>313.802076</v>
      </c>
      <c r="CL89" s="88">
        <f t="shared" si="89"/>
        <v>30.186681764600003</v>
      </c>
      <c r="CM89" s="1182">
        <f>CM88</f>
        <v>2061</v>
      </c>
      <c r="CN89" s="87">
        <f t="shared" ref="CN89:CN98" si="158">CN88-AVERAGE((CN87-CN88),(CN86-CN87),(CN85-CN86),(CN84-CN85))*0.96</f>
        <v>65.635999999999996</v>
      </c>
      <c r="CO89" s="88">
        <f t="shared" ref="CO89:CO108" si="159">CO88+(CN89/100*7)*(1-(CP89-CP88))</f>
        <v>475.00534200000004</v>
      </c>
      <c r="CP89" s="88">
        <f t="shared" ref="CP89:CP98" si="160">CP88+0.15</f>
        <v>8.25</v>
      </c>
      <c r="CQ89" s="1187">
        <f t="shared" ref="CQ89:CQ108" si="161">CQ88</f>
        <v>102</v>
      </c>
      <c r="CR89" s="1187">
        <f>CR88</f>
        <v>67</v>
      </c>
      <c r="CS89" s="88">
        <f t="shared" si="90"/>
        <v>63.601848742997944</v>
      </c>
      <c r="CT89" s="88">
        <f t="shared" si="91"/>
        <v>307.83283999999998</v>
      </c>
      <c r="CU89" s="88">
        <f t="shared" si="92"/>
        <v>30.211217914000013</v>
      </c>
      <c r="CV89" s="1182">
        <f>CV88</f>
        <v>1803</v>
      </c>
      <c r="CW89" s="87">
        <f t="shared" ref="CW89:CW98" si="162">CW88-AVERAGE((CW87-CW88),(CW86-CW87),(CW85-CW86),(CW84-CW85))*0.96</f>
        <v>64.321075474330883</v>
      </c>
      <c r="CX89" s="88">
        <f t="shared" si="124"/>
        <v>449.53771313652118</v>
      </c>
      <c r="CY89" s="88">
        <f t="shared" si="125"/>
        <v>8.8500000000000032</v>
      </c>
      <c r="CZ89" s="1187">
        <f t="shared" si="126"/>
        <v>111</v>
      </c>
      <c r="DA89" s="1187">
        <f>DA88</f>
        <v>66.999999999999972</v>
      </c>
      <c r="DB89" s="88">
        <f t="shared" si="93"/>
        <v>63.879860085544713</v>
      </c>
      <c r="DC89" s="88">
        <f t="shared" si="94"/>
        <v>301.66584397461173</v>
      </c>
      <c r="DD89" s="88">
        <f t="shared" si="95"/>
        <v>28.716406218336708</v>
      </c>
      <c r="DE89" s="1182">
        <f>DE88</f>
        <v>1995</v>
      </c>
    </row>
    <row r="90" spans="1:109" ht="15" x14ac:dyDescent="0.2">
      <c r="A90" s="96">
        <f t="shared" si="99"/>
        <v>102</v>
      </c>
      <c r="B90" s="87">
        <f t="shared" si="128"/>
        <v>49.716479999999997</v>
      </c>
      <c r="C90" s="88">
        <f t="shared" si="129"/>
        <v>414.95407455999998</v>
      </c>
      <c r="D90" s="88">
        <f t="shared" si="130"/>
        <v>8.2079079079079076</v>
      </c>
      <c r="E90" s="1187">
        <f t="shared" si="131"/>
        <v>117</v>
      </c>
      <c r="F90" s="1187">
        <f>F89</f>
        <v>64</v>
      </c>
      <c r="G90" s="88">
        <f t="shared" si="100"/>
        <v>61.375613190074759</v>
      </c>
      <c r="H90" s="88">
        <f t="shared" si="98"/>
        <v>222.72983039999997</v>
      </c>
      <c r="I90" s="88">
        <f t="shared" si="101"/>
        <v>25.468060771840005</v>
      </c>
      <c r="J90" s="1182">
        <f t="shared" si="132"/>
        <v>1777</v>
      </c>
      <c r="K90" s="87">
        <f t="shared" si="133"/>
        <v>72.58959999999999</v>
      </c>
      <c r="L90" s="88">
        <f t="shared" si="134"/>
        <v>480.65901119999995</v>
      </c>
      <c r="M90" s="88">
        <f t="shared" si="135"/>
        <v>8.2079079079079076</v>
      </c>
      <c r="N90" s="1187">
        <f t="shared" si="136"/>
        <v>118</v>
      </c>
      <c r="O90" s="1187">
        <f>O89</f>
        <v>65.3</v>
      </c>
      <c r="P90" s="88">
        <f t="shared" si="63"/>
        <v>63.480564434199017</v>
      </c>
      <c r="Q90" s="88">
        <f t="shared" si="64"/>
        <v>331.80706159999994</v>
      </c>
      <c r="R90" s="88">
        <f t="shared" si="65"/>
        <v>30.512505331359986</v>
      </c>
      <c r="S90" s="1182">
        <f t="shared" si="137"/>
        <v>2002</v>
      </c>
      <c r="T90" s="87">
        <f t="shared" si="138"/>
        <v>59.612189444336735</v>
      </c>
      <c r="U90" s="88">
        <f t="shared" si="103"/>
        <v>434.62026999574357</v>
      </c>
      <c r="V90" s="88">
        <f t="shared" si="104"/>
        <v>9.100000000000005</v>
      </c>
      <c r="W90" s="1187">
        <f t="shared" si="105"/>
        <v>126</v>
      </c>
      <c r="X90" s="1187">
        <f>X89</f>
        <v>67.399999999999963</v>
      </c>
      <c r="Y90" s="88">
        <f t="shared" si="66"/>
        <v>62.787793481258838</v>
      </c>
      <c r="Z90" s="88">
        <f t="shared" si="67"/>
        <v>281.25030979838056</v>
      </c>
      <c r="AA90" s="88">
        <f t="shared" si="68"/>
        <v>27.288847755261706</v>
      </c>
      <c r="AB90" s="1182">
        <f t="shared" si="127"/>
        <v>2310</v>
      </c>
      <c r="AC90" s="87">
        <f t="shared" si="139"/>
        <v>63.608040681155948</v>
      </c>
      <c r="AD90" s="88">
        <f t="shared" si="107"/>
        <v>455.12604155705009</v>
      </c>
      <c r="AE90" s="88">
        <f t="shared" si="108"/>
        <v>8.4200000000000035</v>
      </c>
      <c r="AF90" s="1187">
        <f t="shared" si="109"/>
        <v>116</v>
      </c>
      <c r="AG90" s="1187">
        <f>AG87+0.1</f>
        <v>66.499999999999972</v>
      </c>
      <c r="AH90" s="88">
        <f t="shared" si="69"/>
        <v>64.055867319732826</v>
      </c>
      <c r="AI90" s="88">
        <f t="shared" si="70"/>
        <v>296.09542937078083</v>
      </c>
      <c r="AJ90" s="88">
        <f t="shared" si="71"/>
        <v>29.153493331733614</v>
      </c>
      <c r="AK90" s="1182">
        <f t="shared" ref="AK90:AK98" si="163">AK89</f>
        <v>1985</v>
      </c>
      <c r="AL90" s="87">
        <f t="shared" si="140"/>
        <v>75.948724960612807</v>
      </c>
      <c r="AM90" s="88">
        <f t="shared" si="112"/>
        <v>481.28675757864931</v>
      </c>
      <c r="AN90" s="88">
        <f t="shared" si="113"/>
        <v>8.4200000000000035</v>
      </c>
      <c r="AO90" s="1187">
        <f t="shared" si="114"/>
        <v>110</v>
      </c>
      <c r="AP90" s="1187">
        <f>AP87+0.1</f>
        <v>66.499999999999972</v>
      </c>
      <c r="AQ90" s="88">
        <f t="shared" si="72"/>
        <v>62.462350909858522</v>
      </c>
      <c r="AR90" s="88">
        <f t="shared" si="73"/>
        <v>353.54131469165253</v>
      </c>
      <c r="AS90" s="88">
        <f t="shared" si="74"/>
        <v>30.062302340145607</v>
      </c>
      <c r="AT90" s="1182">
        <f t="shared" ref="AT90:AT98" si="164">AT89</f>
        <v>1720</v>
      </c>
      <c r="AU90" s="87">
        <f t="shared" si="141"/>
        <v>57.2896</v>
      </c>
      <c r="AV90" s="88">
        <f t="shared" si="142"/>
        <v>462.87401119999998</v>
      </c>
      <c r="AW90" s="88">
        <f t="shared" si="143"/>
        <v>8.3000000000000007</v>
      </c>
      <c r="AX90" s="1187">
        <f t="shared" si="144"/>
        <v>106</v>
      </c>
      <c r="AY90" s="1187">
        <f>AY89</f>
        <v>67.8</v>
      </c>
      <c r="AZ90" s="88">
        <f t="shared" si="75"/>
        <v>64.223800083939565</v>
      </c>
      <c r="BA90" s="88">
        <f t="shared" si="76"/>
        <v>271.89644159999995</v>
      </c>
      <c r="BB90" s="88">
        <f t="shared" si="77"/>
        <v>29.72752795936</v>
      </c>
      <c r="BC90" s="1182">
        <f t="shared" si="145"/>
        <v>2090</v>
      </c>
      <c r="BD90" s="87">
        <f t="shared" si="146"/>
        <v>70.067985586441509</v>
      </c>
      <c r="BE90" s="88">
        <f t="shared" si="117"/>
        <v>486.47131338598592</v>
      </c>
      <c r="BF90" s="88">
        <f>BF89+0.22</f>
        <v>7.9999999999999929</v>
      </c>
      <c r="BG90" s="1187">
        <f t="shared" si="118"/>
        <v>116</v>
      </c>
      <c r="BH90" s="1187">
        <f t="shared" ref="BH90:BH95" si="165">BH89</f>
        <v>65.59999999999998</v>
      </c>
      <c r="BI90" s="88">
        <f t="shared" si="78"/>
        <v>63.383802479490967</v>
      </c>
      <c r="BJ90" s="88">
        <f t="shared" si="79"/>
        <v>321.75218981293932</v>
      </c>
      <c r="BK90" s="88">
        <f t="shared" si="80"/>
        <v>30.834401639595882</v>
      </c>
      <c r="BL90" s="1182">
        <v>2045</v>
      </c>
      <c r="BM90" s="87">
        <f t="shared" si="147"/>
        <v>67.612189444336749</v>
      </c>
      <c r="BN90" s="88">
        <f t="shared" si="120"/>
        <v>465.08153693631209</v>
      </c>
      <c r="BO90" s="88">
        <f t="shared" si="148"/>
        <v>8.4400000000000031</v>
      </c>
      <c r="BP90" s="1187">
        <f t="shared" si="122"/>
        <v>106.5</v>
      </c>
      <c r="BQ90" s="1187">
        <f t="shared" ref="BQ90:BQ95" si="166">BQ89</f>
        <v>65.299999999999983</v>
      </c>
      <c r="BR90" s="88">
        <f t="shared" si="81"/>
        <v>61.943118115532862</v>
      </c>
      <c r="BS90" s="88">
        <f t="shared" si="82"/>
        <v>309.05531795006317</v>
      </c>
      <c r="BT90" s="88">
        <f t="shared" si="83"/>
        <v>28.808600575799542</v>
      </c>
      <c r="BU90" s="1182">
        <v>2050</v>
      </c>
      <c r="BV90" s="87">
        <f t="shared" si="149"/>
        <v>64.780639999999991</v>
      </c>
      <c r="BW90" s="88">
        <f t="shared" si="150"/>
        <v>477.75979008000002</v>
      </c>
      <c r="BX90" s="88">
        <f t="shared" si="151"/>
        <v>7.7000000000000046</v>
      </c>
      <c r="BY90" s="1187">
        <f t="shared" si="152"/>
        <v>115</v>
      </c>
      <c r="BZ90" s="1187">
        <f>BZ89</f>
        <v>65</v>
      </c>
      <c r="CA90" s="88">
        <f t="shared" si="84"/>
        <v>63.015529938504777</v>
      </c>
      <c r="CB90" s="88">
        <f t="shared" si="85"/>
        <v>294.75191199999995</v>
      </c>
      <c r="CC90" s="88">
        <f t="shared" si="86"/>
        <v>30.106286355200002</v>
      </c>
      <c r="CD90" s="1182">
        <f t="shared" si="153"/>
        <v>1975</v>
      </c>
      <c r="CE90" s="87">
        <f t="shared" si="154"/>
        <v>65.162720000000007</v>
      </c>
      <c r="CF90" s="88">
        <f t="shared" si="155"/>
        <v>468.89394784000001</v>
      </c>
      <c r="CG90" s="88">
        <f t="shared" si="156"/>
        <v>8.9</v>
      </c>
      <c r="CH90" s="1187">
        <f t="shared" si="157"/>
        <v>112</v>
      </c>
      <c r="CI90" s="1187">
        <f>CI89</f>
        <v>68.099999999999994</v>
      </c>
      <c r="CJ90" s="88">
        <f t="shared" si="87"/>
        <v>64.941588579203966</v>
      </c>
      <c r="CK90" s="88">
        <f t="shared" si="88"/>
        <v>310.63068623999999</v>
      </c>
      <c r="CL90" s="88">
        <f t="shared" si="89"/>
        <v>30.450717847904006</v>
      </c>
      <c r="CM90" s="1182">
        <f>CM89</f>
        <v>2061</v>
      </c>
      <c r="CN90" s="87">
        <f t="shared" si="158"/>
        <v>64.780639999999991</v>
      </c>
      <c r="CO90" s="88">
        <f t="shared" si="159"/>
        <v>478.85979008000004</v>
      </c>
      <c r="CP90" s="88">
        <f t="shared" si="160"/>
        <v>8.4</v>
      </c>
      <c r="CQ90" s="1187">
        <f t="shared" si="161"/>
        <v>102</v>
      </c>
      <c r="CR90" s="1187">
        <f>CR89</f>
        <v>67</v>
      </c>
      <c r="CS90" s="88">
        <f t="shared" si="90"/>
        <v>63.629201212049296</v>
      </c>
      <c r="CT90" s="88">
        <f t="shared" si="91"/>
        <v>303.82120159999994</v>
      </c>
      <c r="CU90" s="88">
        <f t="shared" si="92"/>
        <v>30.469465935360013</v>
      </c>
      <c r="CV90" s="1182">
        <f>CV89</f>
        <v>1803</v>
      </c>
      <c r="CW90" s="87">
        <f t="shared" si="162"/>
        <v>63.908040681155946</v>
      </c>
      <c r="CX90" s="88">
        <f t="shared" si="124"/>
        <v>453.34024155704998</v>
      </c>
      <c r="CY90" s="88">
        <f t="shared" si="125"/>
        <v>9.0000000000000036</v>
      </c>
      <c r="CZ90" s="1187">
        <f t="shared" si="126"/>
        <v>111</v>
      </c>
      <c r="DA90" s="1187">
        <f>DA89</f>
        <v>66.999999999999972</v>
      </c>
      <c r="DB90" s="88">
        <f t="shared" si="93"/>
        <v>63.906031202981794</v>
      </c>
      <c r="DC90" s="88">
        <f t="shared" si="94"/>
        <v>299.72871079462124</v>
      </c>
      <c r="DD90" s="88">
        <f t="shared" si="95"/>
        <v>28.971175622512138</v>
      </c>
      <c r="DE90" s="1182">
        <f>DE89</f>
        <v>1995</v>
      </c>
    </row>
    <row r="91" spans="1:109" ht="15" x14ac:dyDescent="0.2">
      <c r="A91" s="96">
        <f t="shared" si="99"/>
        <v>103</v>
      </c>
      <c r="B91" s="87">
        <f t="shared" si="128"/>
        <v>49.096435199999995</v>
      </c>
      <c r="C91" s="88">
        <f t="shared" si="129"/>
        <v>417.87531245439999</v>
      </c>
      <c r="D91" s="88">
        <f t="shared" si="130"/>
        <v>8.3579079079079079</v>
      </c>
      <c r="E91" s="1187">
        <f t="shared" si="131"/>
        <v>117</v>
      </c>
      <c r="F91" s="1187">
        <f>F90+0.1</f>
        <v>64.099999999999994</v>
      </c>
      <c r="G91" s="88">
        <f t="shared" si="100"/>
        <v>61.394658541046581</v>
      </c>
      <c r="H91" s="88">
        <f t="shared" si="98"/>
        <v>220.29570474239998</v>
      </c>
      <c r="I91" s="88">
        <f t="shared" si="101"/>
        <v>25.655312120871038</v>
      </c>
      <c r="J91" s="1182">
        <f t="shared" si="132"/>
        <v>1778</v>
      </c>
      <c r="K91" s="87">
        <f t="shared" si="133"/>
        <v>72.251103999999984</v>
      </c>
      <c r="L91" s="88">
        <f t="shared" si="134"/>
        <v>484.95795188799997</v>
      </c>
      <c r="M91" s="88">
        <f t="shared" si="135"/>
        <v>8.3579079079079079</v>
      </c>
      <c r="N91" s="1187">
        <f t="shared" si="136"/>
        <v>118</v>
      </c>
      <c r="O91" s="1187">
        <f>O90+0.1</f>
        <v>65.399999999999991</v>
      </c>
      <c r="P91" s="88">
        <f t="shared" si="63"/>
        <v>63.497579393165445</v>
      </c>
      <c r="Q91" s="88">
        <f t="shared" si="64"/>
        <v>330.7655541119999</v>
      </c>
      <c r="R91" s="88">
        <f t="shared" si="65"/>
        <v>30.793656052355185</v>
      </c>
      <c r="S91" s="1182">
        <f t="shared" si="137"/>
        <v>2003</v>
      </c>
      <c r="T91" s="87">
        <f t="shared" si="138"/>
        <v>59.123898908764154</v>
      </c>
      <c r="U91" s="88">
        <f t="shared" si="103"/>
        <v>438.13814198081502</v>
      </c>
      <c r="V91" s="88">
        <f t="shared" si="104"/>
        <v>9.2500000000000053</v>
      </c>
      <c r="W91" s="1187">
        <f t="shared" si="105"/>
        <v>126</v>
      </c>
      <c r="X91" s="1187">
        <f>X90+0.1</f>
        <v>67.499999999999957</v>
      </c>
      <c r="Y91" s="88">
        <f t="shared" si="66"/>
        <v>62.825628441769709</v>
      </c>
      <c r="Z91" s="88">
        <f t="shared" si="67"/>
        <v>279.36042234391044</v>
      </c>
      <c r="AA91" s="88">
        <f t="shared" si="68"/>
        <v>27.526304114254025</v>
      </c>
      <c r="AB91" s="1182">
        <f>AB90+10</f>
        <v>2320</v>
      </c>
      <c r="AC91" s="87">
        <f t="shared" si="139"/>
        <v>63.201494686222517</v>
      </c>
      <c r="AD91" s="88">
        <f t="shared" si="107"/>
        <v>458.88653049088032</v>
      </c>
      <c r="AE91" s="88">
        <f t="shared" si="108"/>
        <v>8.5700000000000038</v>
      </c>
      <c r="AF91" s="1187">
        <f t="shared" si="109"/>
        <v>116</v>
      </c>
      <c r="AG91" s="1187">
        <f>AG90+0.1</f>
        <v>66.599999999999966</v>
      </c>
      <c r="AH91" s="88">
        <f t="shared" si="69"/>
        <v>64.076716009233706</v>
      </c>
      <c r="AI91" s="88">
        <f t="shared" si="70"/>
        <v>294.64536822716923</v>
      </c>
      <c r="AJ91" s="88">
        <f t="shared" si="71"/>
        <v>29.4039418947267</v>
      </c>
      <c r="AK91" s="1182">
        <f t="shared" si="163"/>
        <v>1985</v>
      </c>
      <c r="AL91" s="87">
        <f t="shared" si="140"/>
        <v>75.696761284109982</v>
      </c>
      <c r="AM91" s="88">
        <f t="shared" si="112"/>
        <v>485.79071487505388</v>
      </c>
      <c r="AN91" s="88">
        <f t="shared" si="113"/>
        <v>8.5700000000000038</v>
      </c>
      <c r="AO91" s="1187">
        <f t="shared" si="114"/>
        <v>110</v>
      </c>
      <c r="AP91" s="1187">
        <f>AP90+0.1</f>
        <v>66.599999999999966</v>
      </c>
      <c r="AQ91" s="88">
        <f t="shared" si="72"/>
        <v>62.500712686316717</v>
      </c>
      <c r="AR91" s="88">
        <f t="shared" si="73"/>
        <v>352.89830110652053</v>
      </c>
      <c r="AS91" s="88">
        <f t="shared" si="74"/>
        <v>30.362265896086146</v>
      </c>
      <c r="AT91" s="1182">
        <f t="shared" si="164"/>
        <v>1720</v>
      </c>
      <c r="AU91" s="87">
        <f t="shared" si="141"/>
        <v>56.327103999999999</v>
      </c>
      <c r="AV91" s="88">
        <f t="shared" si="142"/>
        <v>466.22547388800001</v>
      </c>
      <c r="AW91" s="88">
        <f t="shared" si="143"/>
        <v>8.4500000000000011</v>
      </c>
      <c r="AX91" s="1187">
        <f t="shared" si="144"/>
        <v>106</v>
      </c>
      <c r="AY91" s="1187">
        <f>AY90</f>
        <v>67.8</v>
      </c>
      <c r="AZ91" s="88">
        <f t="shared" si="75"/>
        <v>64.249507603701531</v>
      </c>
      <c r="BA91" s="88">
        <f t="shared" si="76"/>
        <v>267.32843558399998</v>
      </c>
      <c r="BB91" s="88">
        <f t="shared" si="77"/>
        <v>29.954757129606406</v>
      </c>
      <c r="BC91" s="1182">
        <f t="shared" si="145"/>
        <v>2090</v>
      </c>
      <c r="BD91" s="87">
        <f t="shared" si="146"/>
        <v>69.637189818055191</v>
      </c>
      <c r="BE91" s="88">
        <f t="shared" si="117"/>
        <v>490.8584563445234</v>
      </c>
      <c r="BF91" s="88">
        <f>BF90+0.1</f>
        <v>8.0999999999999925</v>
      </c>
      <c r="BG91" s="1187">
        <f t="shared" si="118"/>
        <v>116</v>
      </c>
      <c r="BH91" s="1187">
        <f t="shared" si="165"/>
        <v>65.59999999999998</v>
      </c>
      <c r="BI91" s="88">
        <f t="shared" si="78"/>
        <v>63.403610176029879</v>
      </c>
      <c r="BJ91" s="88">
        <f t="shared" si="79"/>
        <v>319.77397564450933</v>
      </c>
      <c r="BK91" s="88">
        <f t="shared" si="80"/>
        <v>31.12219821767594</v>
      </c>
      <c r="BL91" s="1182">
        <v>2045</v>
      </c>
      <c r="BM91" s="87">
        <f t="shared" si="147"/>
        <v>67.123898908764176</v>
      </c>
      <c r="BN91" s="88">
        <f t="shared" si="120"/>
        <v>468.74650181673059</v>
      </c>
      <c r="BO91" s="88">
        <f t="shared" si="148"/>
        <v>8.6600000000000037</v>
      </c>
      <c r="BP91" s="1187">
        <f t="shared" si="122"/>
        <v>106.5</v>
      </c>
      <c r="BQ91" s="1187">
        <f t="shared" si="166"/>
        <v>65.299999999999983</v>
      </c>
      <c r="BR91" s="88">
        <f t="shared" si="81"/>
        <v>61.969364400393879</v>
      </c>
      <c r="BS91" s="88">
        <f t="shared" si="82"/>
        <v>306.82334191196099</v>
      </c>
      <c r="BT91" s="88">
        <f t="shared" si="83"/>
        <v>29.047922782490868</v>
      </c>
      <c r="BU91" s="1182">
        <v>2050</v>
      </c>
      <c r="BV91" s="87">
        <f t="shared" si="149"/>
        <v>63.911993599999988</v>
      </c>
      <c r="BW91" s="88">
        <f t="shared" si="150"/>
        <v>481.56255369920001</v>
      </c>
      <c r="BX91" s="88">
        <f t="shared" si="151"/>
        <v>7.850000000000005</v>
      </c>
      <c r="BY91" s="1187">
        <f t="shared" si="152"/>
        <v>115</v>
      </c>
      <c r="BZ91" s="1187">
        <f>BZ90+0.1</f>
        <v>65.099999999999994</v>
      </c>
      <c r="CA91" s="88">
        <f t="shared" si="84"/>
        <v>63.031990410471032</v>
      </c>
      <c r="CB91" s="88">
        <f t="shared" si="85"/>
        <v>291.24695483519986</v>
      </c>
      <c r="CC91" s="88">
        <f t="shared" si="86"/>
        <v>30.353846266809917</v>
      </c>
      <c r="CD91" s="1182">
        <f t="shared" si="153"/>
        <v>1975</v>
      </c>
      <c r="CE91" s="87">
        <f t="shared" si="154"/>
        <v>64.505772800000003</v>
      </c>
      <c r="CF91" s="88">
        <f t="shared" si="155"/>
        <v>472.73204132160004</v>
      </c>
      <c r="CG91" s="88">
        <f t="shared" si="156"/>
        <v>9.0500000000000007</v>
      </c>
      <c r="CH91" s="1187">
        <f t="shared" si="157"/>
        <v>112</v>
      </c>
      <c r="CI91" s="1187">
        <f>CI90+0.1</f>
        <v>68.199999999999989</v>
      </c>
      <c r="CJ91" s="88">
        <f t="shared" si="87"/>
        <v>64.968043497723059</v>
      </c>
      <c r="CK91" s="88">
        <f t="shared" si="88"/>
        <v>307.95055934719994</v>
      </c>
      <c r="CL91" s="88">
        <f t="shared" si="89"/>
        <v>30.712475823349127</v>
      </c>
      <c r="CM91" s="1182">
        <f>CM90+10</f>
        <v>2071</v>
      </c>
      <c r="CN91" s="87">
        <f t="shared" si="158"/>
        <v>63.935993599999989</v>
      </c>
      <c r="CO91" s="88">
        <f t="shared" si="159"/>
        <v>482.66398169920001</v>
      </c>
      <c r="CP91" s="88">
        <f t="shared" si="160"/>
        <v>8.5500000000000007</v>
      </c>
      <c r="CQ91" s="1187">
        <f t="shared" si="161"/>
        <v>102</v>
      </c>
      <c r="CR91" s="1187">
        <f>CR90+0.1</f>
        <v>67.099999999999994</v>
      </c>
      <c r="CS91" s="88">
        <f t="shared" si="90"/>
        <v>63.656556855233134</v>
      </c>
      <c r="CT91" s="88">
        <f t="shared" si="91"/>
        <v>300.30736193919989</v>
      </c>
      <c r="CU91" s="88">
        <f t="shared" si="92"/>
        <v>30.724727193008327</v>
      </c>
      <c r="CV91" s="1182">
        <f>CV90+10</f>
        <v>1813</v>
      </c>
      <c r="CW91" s="87">
        <f t="shared" si="162"/>
        <v>63.501494686222514</v>
      </c>
      <c r="CX91" s="88">
        <f t="shared" si="124"/>
        <v>457.11858049088022</v>
      </c>
      <c r="CY91" s="88">
        <f t="shared" si="125"/>
        <v>9.1500000000000039</v>
      </c>
      <c r="CZ91" s="1187">
        <f t="shared" si="126"/>
        <v>111</v>
      </c>
      <c r="DA91" s="1187">
        <f>DA90+0.1</f>
        <v>67.099999999999966</v>
      </c>
      <c r="DB91" s="88">
        <f t="shared" si="93"/>
        <v>63.932431128896539</v>
      </c>
      <c r="DC91" s="88">
        <f t="shared" si="94"/>
        <v>298.26652054118699</v>
      </c>
      <c r="DD91" s="88">
        <f t="shared" si="95"/>
        <v>29.224702164972147</v>
      </c>
      <c r="DE91" s="1182">
        <f>DE90+10</f>
        <v>2005</v>
      </c>
    </row>
    <row r="92" spans="1:109" ht="15" x14ac:dyDescent="0.2">
      <c r="A92" s="96">
        <f t="shared" si="99"/>
        <v>104</v>
      </c>
      <c r="B92" s="87">
        <f t="shared" si="128"/>
        <v>48.495579647999996</v>
      </c>
      <c r="C92" s="88">
        <f t="shared" si="129"/>
        <v>420.76079944345599</v>
      </c>
      <c r="D92" s="88">
        <f t="shared" si="130"/>
        <v>8.5079079079079083</v>
      </c>
      <c r="E92" s="1187">
        <f t="shared" si="131"/>
        <v>117</v>
      </c>
      <c r="F92" s="1187">
        <f>F91</f>
        <v>64.099999999999994</v>
      </c>
      <c r="G92" s="88">
        <f t="shared" si="100"/>
        <v>61.413211190416689</v>
      </c>
      <c r="H92" s="88">
        <f t="shared" si="98"/>
        <v>217.59966588057597</v>
      </c>
      <c r="I92" s="88">
        <f t="shared" si="101"/>
        <v>25.840271836869526</v>
      </c>
      <c r="J92" s="1182">
        <f t="shared" si="132"/>
        <v>1779</v>
      </c>
      <c r="K92" s="87">
        <f t="shared" si="133"/>
        <v>71.90336895999998</v>
      </c>
      <c r="L92" s="88">
        <f t="shared" si="134"/>
        <v>489.23620234111996</v>
      </c>
      <c r="M92" s="88">
        <f t="shared" si="135"/>
        <v>8.5079079079079083</v>
      </c>
      <c r="N92" s="1187">
        <f t="shared" si="136"/>
        <v>118</v>
      </c>
      <c r="O92" s="1187">
        <f>O91</f>
        <v>65.399999999999991</v>
      </c>
      <c r="P92" s="88">
        <f t="shared" si="63"/>
        <v>63.514215594215713</v>
      </c>
      <c r="Q92" s="88">
        <f t="shared" si="64"/>
        <v>329.17362309887989</v>
      </c>
      <c r="R92" s="88">
        <f t="shared" si="65"/>
        <v>31.073453631989231</v>
      </c>
      <c r="S92" s="1182">
        <f t="shared" si="137"/>
        <v>2004</v>
      </c>
      <c r="T92" s="87">
        <f t="shared" si="138"/>
        <v>58.642697845505829</v>
      </c>
      <c r="U92" s="88">
        <f t="shared" si="103"/>
        <v>441.62738250262259</v>
      </c>
      <c r="V92" s="88">
        <f t="shared" si="104"/>
        <v>9.4000000000000057</v>
      </c>
      <c r="W92" s="1187">
        <f t="shared" si="105"/>
        <v>126</v>
      </c>
      <c r="X92" s="1187">
        <f>X91+0.1</f>
        <v>67.599999999999952</v>
      </c>
      <c r="Y92" s="88">
        <f t="shared" si="66"/>
        <v>62.863350130612325</v>
      </c>
      <c r="Z92" s="88">
        <f t="shared" si="67"/>
        <v>277.49724620493339</v>
      </c>
      <c r="AA92" s="88">
        <f t="shared" si="68"/>
        <v>27.762176773528221</v>
      </c>
      <c r="AB92" s="1182">
        <f t="shared" ref="AB92:AB101" si="167">AB91</f>
        <v>2320</v>
      </c>
      <c r="AC92" s="87">
        <f t="shared" si="139"/>
        <v>62.801462673268141</v>
      </c>
      <c r="AD92" s="88">
        <f t="shared" si="107"/>
        <v>462.62321751993977</v>
      </c>
      <c r="AE92" s="88">
        <f t="shared" si="108"/>
        <v>8.7200000000000042</v>
      </c>
      <c r="AF92" s="1187">
        <f t="shared" si="109"/>
        <v>116</v>
      </c>
      <c r="AG92" s="1187">
        <f>AG90+0.1</f>
        <v>66.599999999999966</v>
      </c>
      <c r="AH92" s="88">
        <f t="shared" si="69"/>
        <v>64.097097006559082</v>
      </c>
      <c r="AI92" s="88">
        <f t="shared" si="70"/>
        <v>292.78041898277593</v>
      </c>
      <c r="AJ92" s="88">
        <f t="shared" si="71"/>
        <v>29.652805250862063</v>
      </c>
      <c r="AK92" s="1182">
        <f t="shared" si="163"/>
        <v>1985</v>
      </c>
      <c r="AL92" s="87">
        <f t="shared" si="140"/>
        <v>75.448889485370032</v>
      </c>
      <c r="AM92" s="88">
        <f t="shared" si="112"/>
        <v>490.27992379943339</v>
      </c>
      <c r="AN92" s="88">
        <f t="shared" si="113"/>
        <v>8.7200000000000042</v>
      </c>
      <c r="AO92" s="1187">
        <f t="shared" si="114"/>
        <v>110</v>
      </c>
      <c r="AP92" s="1187">
        <f>AP90+0.1</f>
        <v>66.599999999999966</v>
      </c>
      <c r="AQ92" s="88">
        <f t="shared" si="72"/>
        <v>62.538247482866353</v>
      </c>
      <c r="AR92" s="88">
        <f t="shared" si="73"/>
        <v>351.74272278079485</v>
      </c>
      <c r="AS92" s="88">
        <f t="shared" si="74"/>
        <v>30.661247210449822</v>
      </c>
      <c r="AT92" s="1182">
        <f t="shared" si="164"/>
        <v>1720</v>
      </c>
      <c r="AU92" s="87">
        <f t="shared" si="141"/>
        <v>55.373608959999999</v>
      </c>
      <c r="AV92" s="88">
        <f t="shared" si="142"/>
        <v>469.52020362112</v>
      </c>
      <c r="AW92" s="88">
        <f t="shared" si="143"/>
        <v>8.6000000000000014</v>
      </c>
      <c r="AX92" s="1187">
        <f t="shared" si="144"/>
        <v>106</v>
      </c>
      <c r="AY92" s="1187">
        <f>AY91</f>
        <v>67.8</v>
      </c>
      <c r="AZ92" s="88">
        <f t="shared" si="75"/>
        <v>64.274422213925078</v>
      </c>
      <c r="BA92" s="88">
        <f t="shared" si="76"/>
        <v>262.80314812415997</v>
      </c>
      <c r="BB92" s="88">
        <f t="shared" si="77"/>
        <v>30.178139805511943</v>
      </c>
      <c r="BC92" s="1182">
        <f t="shared" si="145"/>
        <v>2090</v>
      </c>
      <c r="BD92" s="87">
        <f t="shared" si="146"/>
        <v>69.213432296061939</v>
      </c>
      <c r="BE92" s="88">
        <f t="shared" si="117"/>
        <v>494.63750974788837</v>
      </c>
      <c r="BF92" s="88">
        <f>BF91+0.22</f>
        <v>8.3199999999999932</v>
      </c>
      <c r="BG92" s="1187">
        <f t="shared" si="118"/>
        <v>116</v>
      </c>
      <c r="BH92" s="1187">
        <f t="shared" si="165"/>
        <v>65.59999999999998</v>
      </c>
      <c r="BI92" s="88">
        <f t="shared" si="78"/>
        <v>63.420390695654483</v>
      </c>
      <c r="BJ92" s="88">
        <f t="shared" si="79"/>
        <v>317.82808110351635</v>
      </c>
      <c r="BK92" s="88">
        <f t="shared" si="80"/>
        <v>31.370104120936681</v>
      </c>
      <c r="BL92" s="1182">
        <v>2045</v>
      </c>
      <c r="BM92" s="87">
        <f t="shared" si="147"/>
        <v>66.64269784550585</v>
      </c>
      <c r="BN92" s="88">
        <f t="shared" si="120"/>
        <v>472.38519311909522</v>
      </c>
      <c r="BO92" s="88">
        <f t="shared" si="148"/>
        <v>8.8800000000000043</v>
      </c>
      <c r="BP92" s="1187">
        <f t="shared" si="122"/>
        <v>106.5</v>
      </c>
      <c r="BQ92" s="1187">
        <f t="shared" si="166"/>
        <v>65.299999999999983</v>
      </c>
      <c r="BR92" s="88">
        <f t="shared" si="81"/>
        <v>61.9950196388818</v>
      </c>
      <c r="BS92" s="88">
        <f t="shared" si="82"/>
        <v>304.62377185180713</v>
      </c>
      <c r="BT92" s="88">
        <f t="shared" si="83"/>
        <v>29.285529324535283</v>
      </c>
      <c r="BU92" s="1182">
        <v>2050</v>
      </c>
      <c r="BV92" s="87">
        <f t="shared" si="149"/>
        <v>63.050872063999982</v>
      </c>
      <c r="BW92" s="88">
        <f t="shared" si="150"/>
        <v>485.31408058700799</v>
      </c>
      <c r="BX92" s="88">
        <f t="shared" si="151"/>
        <v>8.0000000000000053</v>
      </c>
      <c r="BY92" s="1187">
        <f t="shared" si="152"/>
        <v>115</v>
      </c>
      <c r="BZ92" s="1187">
        <f>BZ91</f>
        <v>65.099999999999994</v>
      </c>
      <c r="CA92" s="88">
        <f t="shared" si="84"/>
        <v>63.047976333587009</v>
      </c>
      <c r="CB92" s="88">
        <f t="shared" si="85"/>
        <v>287.32282399564792</v>
      </c>
      <c r="CC92" s="88">
        <f t="shared" si="86"/>
        <v>30.598070667206215</v>
      </c>
      <c r="CD92" s="1182">
        <f t="shared" si="153"/>
        <v>1975</v>
      </c>
      <c r="CE92" s="87">
        <f t="shared" si="154"/>
        <v>63.859158272000002</v>
      </c>
      <c r="CF92" s="88">
        <f t="shared" si="155"/>
        <v>476.53166123878401</v>
      </c>
      <c r="CG92" s="88">
        <f t="shared" si="156"/>
        <v>9.2000000000000011</v>
      </c>
      <c r="CH92" s="1187">
        <f t="shared" si="157"/>
        <v>112</v>
      </c>
      <c r="CI92" s="1187">
        <f>CI91</f>
        <v>68.199999999999989</v>
      </c>
      <c r="CJ92" s="88">
        <f t="shared" si="87"/>
        <v>64.993813467058573</v>
      </c>
      <c r="CK92" s="88">
        <f t="shared" si="88"/>
        <v>304.86362159052794</v>
      </c>
      <c r="CL92" s="88">
        <f t="shared" si="89"/>
        <v>30.971609901701076</v>
      </c>
      <c r="CM92" s="1182">
        <f>CM91</f>
        <v>2071</v>
      </c>
      <c r="CN92" s="87">
        <f t="shared" si="158"/>
        <v>63.104632063999986</v>
      </c>
      <c r="CO92" s="88">
        <f t="shared" si="159"/>
        <v>486.41870730700799</v>
      </c>
      <c r="CP92" s="88">
        <f t="shared" si="160"/>
        <v>8.7000000000000011</v>
      </c>
      <c r="CQ92" s="1187">
        <f t="shared" si="161"/>
        <v>102</v>
      </c>
      <c r="CR92" s="1187">
        <f>CR91</f>
        <v>67.099999999999994</v>
      </c>
      <c r="CS92" s="88">
        <f t="shared" si="90"/>
        <v>63.683137214829635</v>
      </c>
      <c r="CT92" s="88">
        <f t="shared" si="91"/>
        <v>296.40245680460794</v>
      </c>
      <c r="CU92" s="88">
        <f t="shared" si="92"/>
        <v>30.976669281292246</v>
      </c>
      <c r="CV92" s="1182">
        <f>CV91</f>
        <v>1813</v>
      </c>
      <c r="CW92" s="87">
        <f t="shared" si="162"/>
        <v>63.101462673268138</v>
      </c>
      <c r="CX92" s="88">
        <f t="shared" si="124"/>
        <v>460.87311751993968</v>
      </c>
      <c r="CY92" s="88">
        <f t="shared" si="125"/>
        <v>9.3000000000000043</v>
      </c>
      <c r="CZ92" s="1187">
        <f t="shared" si="126"/>
        <v>111</v>
      </c>
      <c r="DA92" s="1187">
        <f>DA91</f>
        <v>67.099999999999966</v>
      </c>
      <c r="DB92" s="88">
        <f t="shared" si="93"/>
        <v>63.958235963603876</v>
      </c>
      <c r="DC92" s="88">
        <f t="shared" si="94"/>
        <v>296.38757017634032</v>
      </c>
      <c r="DD92" s="88">
        <f t="shared" si="95"/>
        <v>29.476631599622038</v>
      </c>
      <c r="DE92" s="1182">
        <f>DE91</f>
        <v>2005</v>
      </c>
    </row>
    <row r="93" spans="1:109" ht="15" x14ac:dyDescent="0.2">
      <c r="A93" s="96">
        <f t="shared" si="99"/>
        <v>105</v>
      </c>
      <c r="B93" s="87">
        <f t="shared" si="128"/>
        <v>47.894518763519997</v>
      </c>
      <c r="C93" s="88">
        <f t="shared" si="129"/>
        <v>423.61052330988542</v>
      </c>
      <c r="D93" s="88">
        <f t="shared" si="130"/>
        <v>8.6579079079079087</v>
      </c>
      <c r="E93" s="1187">
        <f t="shared" si="131"/>
        <v>117</v>
      </c>
      <c r="F93" s="1187">
        <f>F92</f>
        <v>64.099999999999994</v>
      </c>
      <c r="G93" s="88">
        <f t="shared" si="100"/>
        <v>61.431285826841915</v>
      </c>
      <c r="H93" s="88">
        <f t="shared" si="98"/>
        <v>214.90270569191421</v>
      </c>
      <c r="I93" s="88">
        <f t="shared" si="101"/>
        <v>26.022939136707649</v>
      </c>
      <c r="J93" s="1182">
        <f t="shared" si="132"/>
        <v>1780</v>
      </c>
      <c r="K93" s="87">
        <f t="shared" si="133"/>
        <v>71.568177510399977</v>
      </c>
      <c r="L93" s="88">
        <f t="shared" si="134"/>
        <v>493.49450890298874</v>
      </c>
      <c r="M93" s="88">
        <f t="shared" si="135"/>
        <v>8.6579079079079087</v>
      </c>
      <c r="N93" s="1187">
        <f t="shared" si="136"/>
        <v>118</v>
      </c>
      <c r="O93" s="1187">
        <f>O92</f>
        <v>65.399999999999991</v>
      </c>
      <c r="P93" s="88">
        <f t="shared" si="63"/>
        <v>63.530487807917282</v>
      </c>
      <c r="Q93" s="88">
        <f t="shared" si="64"/>
        <v>327.63911664261104</v>
      </c>
      <c r="R93" s="88">
        <f t="shared" si="65"/>
        <v>31.351946881135454</v>
      </c>
      <c r="S93" s="1182">
        <f t="shared" si="137"/>
        <v>2005</v>
      </c>
      <c r="T93" s="87">
        <f t="shared" si="138"/>
        <v>58.169444381181933</v>
      </c>
      <c r="U93" s="88">
        <f t="shared" si="103"/>
        <v>445.08846444330294</v>
      </c>
      <c r="V93" s="88">
        <f t="shared" si="104"/>
        <v>9.550000000000006</v>
      </c>
      <c r="W93" s="1187">
        <f t="shared" si="105"/>
        <v>126</v>
      </c>
      <c r="X93" s="1187">
        <f>X92</f>
        <v>67.599999999999952</v>
      </c>
      <c r="Y93" s="88">
        <f t="shared" si="66"/>
        <v>62.900183107945871</v>
      </c>
      <c r="Z93" s="88">
        <f t="shared" si="67"/>
        <v>275.25781081175273</v>
      </c>
      <c r="AA93" s="88">
        <f t="shared" si="68"/>
        <v>27.996145912718209</v>
      </c>
      <c r="AB93" s="1182">
        <f t="shared" si="167"/>
        <v>2320</v>
      </c>
      <c r="AC93" s="87">
        <f t="shared" si="139"/>
        <v>62.408073722868856</v>
      </c>
      <c r="AD93" s="88">
        <f t="shared" si="107"/>
        <v>466.33649790645046</v>
      </c>
      <c r="AE93" s="88">
        <f t="shared" si="108"/>
        <v>8.8700000000000045</v>
      </c>
      <c r="AF93" s="1187">
        <f t="shared" si="109"/>
        <v>116</v>
      </c>
      <c r="AG93" s="1187">
        <f>AG90+0.1</f>
        <v>66.599999999999966</v>
      </c>
      <c r="AH93" s="88">
        <f t="shared" si="69"/>
        <v>64.11702677966629</v>
      </c>
      <c r="AI93" s="88">
        <f t="shared" si="70"/>
        <v>290.94643969601447</v>
      </c>
      <c r="AJ93" s="88">
        <f t="shared" si="71"/>
        <v>29.900109724603674</v>
      </c>
      <c r="AK93" s="1182">
        <f t="shared" si="163"/>
        <v>1985</v>
      </c>
      <c r="AL93" s="87">
        <f t="shared" si="140"/>
        <v>75.205096153003083</v>
      </c>
      <c r="AM93" s="88">
        <f t="shared" si="112"/>
        <v>494.7546270205371</v>
      </c>
      <c r="AN93" s="88">
        <f t="shared" si="113"/>
        <v>8.8700000000000045</v>
      </c>
      <c r="AO93" s="1187">
        <f t="shared" si="114"/>
        <v>110</v>
      </c>
      <c r="AP93" s="1187">
        <f>AP90+0.1</f>
        <v>66.599999999999966</v>
      </c>
      <c r="AQ93" s="88">
        <f t="shared" si="72"/>
        <v>62.574983141471904</v>
      </c>
      <c r="AR93" s="88">
        <f t="shared" si="73"/>
        <v>350.60615826530017</v>
      </c>
      <c r="AS93" s="88">
        <f t="shared" si="74"/>
        <v>30.95926244497533</v>
      </c>
      <c r="AT93" s="1182">
        <f t="shared" si="164"/>
        <v>1720</v>
      </c>
      <c r="AU93" s="87">
        <f t="shared" si="141"/>
        <v>54.455275110399995</v>
      </c>
      <c r="AV93" s="88">
        <f t="shared" si="142"/>
        <v>472.76029249018882</v>
      </c>
      <c r="AW93" s="88">
        <f t="shared" si="143"/>
        <v>8.7500000000000018</v>
      </c>
      <c r="AX93" s="1187">
        <f t="shared" si="144"/>
        <v>106</v>
      </c>
      <c r="AY93" s="1187">
        <f>AY92</f>
        <v>67.8</v>
      </c>
      <c r="AZ93" s="88">
        <f t="shared" si="75"/>
        <v>64.298584956700125</v>
      </c>
      <c r="BA93" s="88">
        <f t="shared" si="76"/>
        <v>258.44473567395835</v>
      </c>
      <c r="BB93" s="88">
        <f t="shared" si="77"/>
        <v>30.397817830834807</v>
      </c>
      <c r="BC93" s="1182">
        <f t="shared" si="145"/>
        <v>2090</v>
      </c>
      <c r="BD93" s="87">
        <f t="shared" si="146"/>
        <v>68.79669036346435</v>
      </c>
      <c r="BE93" s="88">
        <f t="shared" si="117"/>
        <v>498.97170124078662</v>
      </c>
      <c r="BF93" s="88">
        <f>BF92+0.1</f>
        <v>8.4199999999999928</v>
      </c>
      <c r="BG93" s="1187">
        <f t="shared" si="118"/>
        <v>116</v>
      </c>
      <c r="BH93" s="1187">
        <f t="shared" si="165"/>
        <v>65.59999999999998</v>
      </c>
      <c r="BI93" s="88">
        <f t="shared" si="78"/>
        <v>63.43932332065355</v>
      </c>
      <c r="BJ93" s="88">
        <f t="shared" si="79"/>
        <v>315.91440214902821</v>
      </c>
      <c r="BK93" s="88">
        <f t="shared" si="80"/>
        <v>31.654427082870807</v>
      </c>
      <c r="BL93" s="1182">
        <v>2055</v>
      </c>
      <c r="BM93" s="87">
        <f t="shared" si="147"/>
        <v>66.169444381181961</v>
      </c>
      <c r="BN93" s="88">
        <f t="shared" si="120"/>
        <v>475.99804478230777</v>
      </c>
      <c r="BO93" s="88">
        <f t="shared" si="148"/>
        <v>9.100000000000005</v>
      </c>
      <c r="BP93" s="1187">
        <f t="shared" si="122"/>
        <v>106.5</v>
      </c>
      <c r="BQ93" s="1187">
        <f t="shared" si="166"/>
        <v>65.299999999999983</v>
      </c>
      <c r="BR93" s="88">
        <f t="shared" si="81"/>
        <v>62.020104623842215</v>
      </c>
      <c r="BS93" s="88">
        <f t="shared" si="82"/>
        <v>302.46053026638265</v>
      </c>
      <c r="BT93" s="88">
        <f t="shared" si="83"/>
        <v>29.521448538143058</v>
      </c>
      <c r="BU93" s="1182">
        <v>2050</v>
      </c>
      <c r="BV93" s="87">
        <f t="shared" si="149"/>
        <v>62.223081359359981</v>
      </c>
      <c r="BW93" s="88">
        <f t="shared" si="150"/>
        <v>489.0163539278899</v>
      </c>
      <c r="BX93" s="88">
        <f t="shared" si="151"/>
        <v>8.1500000000000057</v>
      </c>
      <c r="BY93" s="1187">
        <f t="shared" si="152"/>
        <v>115</v>
      </c>
      <c r="BZ93" s="1187">
        <f>BZ92</f>
        <v>65.099999999999994</v>
      </c>
      <c r="CA93" s="88">
        <f t="shared" si="84"/>
        <v>63.063511913233782</v>
      </c>
      <c r="CB93" s="88">
        <f t="shared" si="85"/>
        <v>283.5505817546034</v>
      </c>
      <c r="CC93" s="88">
        <f t="shared" si="86"/>
        <v>30.83908866169763</v>
      </c>
      <c r="CD93" s="1182">
        <f t="shared" si="153"/>
        <v>1975</v>
      </c>
      <c r="CE93" s="87">
        <f t="shared" si="154"/>
        <v>63.225356257280005</v>
      </c>
      <c r="CF93" s="88">
        <f t="shared" si="155"/>
        <v>480.29356993609218</v>
      </c>
      <c r="CG93" s="88">
        <f t="shared" si="156"/>
        <v>9.3500000000000014</v>
      </c>
      <c r="CH93" s="1187">
        <f t="shared" si="157"/>
        <v>112</v>
      </c>
      <c r="CI93" s="1187">
        <f>CI92</f>
        <v>68.199999999999989</v>
      </c>
      <c r="CJ93" s="88">
        <f t="shared" si="87"/>
        <v>65.018925985231718</v>
      </c>
      <c r="CK93" s="88">
        <f t="shared" si="88"/>
        <v>301.83785077225468</v>
      </c>
      <c r="CL93" s="88">
        <f t="shared" si="89"/>
        <v>31.228172074857493</v>
      </c>
      <c r="CM93" s="1182">
        <f>CM92</f>
        <v>2071</v>
      </c>
      <c r="CN93" s="87">
        <f t="shared" si="158"/>
        <v>62.289743759359986</v>
      </c>
      <c r="CO93" s="88">
        <f t="shared" si="159"/>
        <v>490.12494706068992</v>
      </c>
      <c r="CP93" s="88">
        <f t="shared" si="160"/>
        <v>8.8500000000000014</v>
      </c>
      <c r="CQ93" s="1187">
        <f t="shared" si="161"/>
        <v>102</v>
      </c>
      <c r="CR93" s="1187">
        <f>CR92</f>
        <v>67.099999999999994</v>
      </c>
      <c r="CS93" s="88">
        <f t="shared" si="90"/>
        <v>63.708974937971909</v>
      </c>
      <c r="CT93" s="88">
        <f t="shared" si="91"/>
        <v>292.57492643771383</v>
      </c>
      <c r="CU93" s="88">
        <f t="shared" si="92"/>
        <v>31.225357968764303</v>
      </c>
      <c r="CV93" s="1182">
        <f>CV92</f>
        <v>1813</v>
      </c>
      <c r="CW93" s="87">
        <f t="shared" si="162"/>
        <v>62.708073722868853</v>
      </c>
      <c r="CX93" s="88">
        <f t="shared" si="124"/>
        <v>464.60424790645038</v>
      </c>
      <c r="CY93" s="88">
        <f t="shared" si="125"/>
        <v>9.4500000000000046</v>
      </c>
      <c r="CZ93" s="1187">
        <f t="shared" si="126"/>
        <v>111</v>
      </c>
      <c r="DA93" s="1187">
        <f>DA92</f>
        <v>67.099999999999966</v>
      </c>
      <c r="DB93" s="88">
        <f t="shared" si="93"/>
        <v>63.983466751562155</v>
      </c>
      <c r="DC93" s="88">
        <f t="shared" si="94"/>
        <v>294.53982227631485</v>
      </c>
      <c r="DD93" s="88">
        <f t="shared" si="95"/>
        <v>29.726990448556908</v>
      </c>
      <c r="DE93" s="1182">
        <f>DE92</f>
        <v>2005</v>
      </c>
    </row>
    <row r="94" spans="1:109" ht="15" x14ac:dyDescent="0.2">
      <c r="A94" s="96">
        <f t="shared" si="99"/>
        <v>106</v>
      </c>
      <c r="B94" s="87">
        <f t="shared" si="128"/>
        <v>47.304723266764796</v>
      </c>
      <c r="C94" s="88">
        <f t="shared" si="129"/>
        <v>426.42515434425792</v>
      </c>
      <c r="D94" s="88">
        <f t="shared" si="130"/>
        <v>8.807907907907909</v>
      </c>
      <c r="E94" s="1187">
        <f t="shared" si="131"/>
        <v>117</v>
      </c>
      <c r="F94" s="1187">
        <f>F93</f>
        <v>64.099999999999994</v>
      </c>
      <c r="G94" s="88">
        <f t="shared" si="100"/>
        <v>61.448900748609816</v>
      </c>
      <c r="H94" s="88">
        <f t="shared" si="98"/>
        <v>212.25629329797363</v>
      </c>
      <c r="I94" s="88">
        <f t="shared" si="101"/>
        <v>26.203356986010927</v>
      </c>
      <c r="J94" s="1182">
        <f t="shared" si="132"/>
        <v>1781</v>
      </c>
      <c r="K94" s="87">
        <f t="shared" si="133"/>
        <v>71.238940112895975</v>
      </c>
      <c r="L94" s="88">
        <f t="shared" si="134"/>
        <v>497.73322583970605</v>
      </c>
      <c r="M94" s="88">
        <f t="shared" si="135"/>
        <v>8.807907907907909</v>
      </c>
      <c r="N94" s="1187">
        <f t="shared" si="136"/>
        <v>118</v>
      </c>
      <c r="O94" s="1187">
        <f>O93</f>
        <v>65.399999999999991</v>
      </c>
      <c r="P94" s="88">
        <f t="shared" si="63"/>
        <v>63.546408651816364</v>
      </c>
      <c r="Q94" s="88">
        <f t="shared" si="64"/>
        <v>326.13186783683778</v>
      </c>
      <c r="R94" s="88">
        <f t="shared" si="65"/>
        <v>31.629158968796766</v>
      </c>
      <c r="S94" s="1182">
        <f t="shared" si="137"/>
        <v>2006</v>
      </c>
      <c r="T94" s="87">
        <f t="shared" si="138"/>
        <v>57.703671646300492</v>
      </c>
      <c r="U94" s="88">
        <f t="shared" si="103"/>
        <v>448.52183290625783</v>
      </c>
      <c r="V94" s="88">
        <f t="shared" si="104"/>
        <v>9.7000000000000064</v>
      </c>
      <c r="W94" s="1187">
        <f t="shared" si="105"/>
        <v>126</v>
      </c>
      <c r="X94" s="1187">
        <f>X93</f>
        <v>67.599999999999952</v>
      </c>
      <c r="Y94" s="88">
        <f t="shared" si="66"/>
        <v>62.936159512916582</v>
      </c>
      <c r="Z94" s="88">
        <f t="shared" si="67"/>
        <v>273.0537742302937</v>
      </c>
      <c r="AA94" s="88">
        <f t="shared" si="68"/>
        <v>28.228241620813961</v>
      </c>
      <c r="AB94" s="1182">
        <f t="shared" si="167"/>
        <v>2320</v>
      </c>
      <c r="AC94" s="87">
        <f t="shared" si="139"/>
        <v>62.020953302517967</v>
      </c>
      <c r="AD94" s="88">
        <f t="shared" si="107"/>
        <v>470.02674462795028</v>
      </c>
      <c r="AE94" s="88">
        <f t="shared" si="108"/>
        <v>9.0200000000000049</v>
      </c>
      <c r="AF94" s="1187">
        <f t="shared" si="109"/>
        <v>116</v>
      </c>
      <c r="AG94" s="1187">
        <f>AG93+0.1</f>
        <v>66.69999999999996</v>
      </c>
      <c r="AH94" s="88">
        <f t="shared" si="69"/>
        <v>64.137306069232253</v>
      </c>
      <c r="AI94" s="88">
        <f t="shared" si="70"/>
        <v>289.57583096945621</v>
      </c>
      <c r="AJ94" s="88">
        <f t="shared" si="71"/>
        <v>30.146249180927715</v>
      </c>
      <c r="AK94" s="1182">
        <f t="shared" si="163"/>
        <v>1985</v>
      </c>
      <c r="AL94" s="87">
        <f t="shared" si="140"/>
        <v>74.965182552652323</v>
      </c>
      <c r="AM94" s="88">
        <f t="shared" si="112"/>
        <v>499.21505538241991</v>
      </c>
      <c r="AN94" s="88">
        <f t="shared" si="113"/>
        <v>9.0200000000000049</v>
      </c>
      <c r="AO94" s="1187">
        <f t="shared" si="114"/>
        <v>110</v>
      </c>
      <c r="AP94" s="1187">
        <f>AP93+0.1</f>
        <v>66.69999999999996</v>
      </c>
      <c r="AQ94" s="88">
        <f t="shared" si="72"/>
        <v>62.611839686543298</v>
      </c>
      <c r="AR94" s="88">
        <f t="shared" si="73"/>
        <v>350.01243733833343</v>
      </c>
      <c r="AS94" s="88">
        <f t="shared" si="74"/>
        <v>31.256773016712909</v>
      </c>
      <c r="AT94" s="1182">
        <f t="shared" si="164"/>
        <v>1720</v>
      </c>
      <c r="AU94" s="87">
        <f t="shared" si="141"/>
        <v>53.546941136895995</v>
      </c>
      <c r="AV94" s="88">
        <f t="shared" si="142"/>
        <v>475.94633548783412</v>
      </c>
      <c r="AW94" s="88">
        <f t="shared" si="143"/>
        <v>8.9000000000000021</v>
      </c>
      <c r="AX94" s="1187">
        <f t="shared" si="144"/>
        <v>106</v>
      </c>
      <c r="AY94" s="1187">
        <f>AY93+0.1</f>
        <v>67.899999999999991</v>
      </c>
      <c r="AZ94" s="88">
        <f t="shared" si="75"/>
        <v>64.322693269601743</v>
      </c>
      <c r="BA94" s="88">
        <f t="shared" si="76"/>
        <v>254.50861122366663</v>
      </c>
      <c r="BB94" s="88">
        <f t="shared" si="77"/>
        <v>30.614150150374922</v>
      </c>
      <c r="BC94" s="1182">
        <f t="shared" si="145"/>
        <v>2090</v>
      </c>
      <c r="BD94" s="87">
        <f t="shared" si="146"/>
        <v>68.386541260832971</v>
      </c>
      <c r="BE94" s="88">
        <f t="shared" si="117"/>
        <v>502.7056063936281</v>
      </c>
      <c r="BF94" s="88">
        <f>BF93+0.22</f>
        <v>8.6399999999999935</v>
      </c>
      <c r="BG94" s="1187">
        <f t="shared" si="118"/>
        <v>116</v>
      </c>
      <c r="BH94" s="1187">
        <f t="shared" si="165"/>
        <v>65.59999999999998</v>
      </c>
      <c r="BI94" s="88">
        <f t="shared" si="78"/>
        <v>63.455372001400342</v>
      </c>
      <c r="BJ94" s="88">
        <f t="shared" si="79"/>
        <v>314.03099746974488</v>
      </c>
      <c r="BK94" s="88">
        <f t="shared" si="80"/>
        <v>31.899371260897212</v>
      </c>
      <c r="BL94" s="1182">
        <v>2055</v>
      </c>
      <c r="BM94" s="87">
        <f t="shared" si="147"/>
        <v>65.703671646300521</v>
      </c>
      <c r="BN94" s="88">
        <f t="shared" si="120"/>
        <v>479.58546525419575</v>
      </c>
      <c r="BO94" s="88">
        <f t="shared" si="148"/>
        <v>9.3200000000000056</v>
      </c>
      <c r="BP94" s="1187">
        <f t="shared" si="122"/>
        <v>106.5</v>
      </c>
      <c r="BQ94" s="1187">
        <f t="shared" si="166"/>
        <v>65.299999999999983</v>
      </c>
      <c r="BR94" s="88">
        <f t="shared" si="81"/>
        <v>62.044639070089133</v>
      </c>
      <c r="BS94" s="88">
        <f t="shared" si="82"/>
        <v>300.33148309523961</v>
      </c>
      <c r="BT94" s="88">
        <f t="shared" si="83"/>
        <v>29.755707094957348</v>
      </c>
      <c r="BU94" s="1182">
        <v>2050</v>
      </c>
      <c r="BV94" s="87">
        <f t="shared" si="149"/>
        <v>61.40398088560638</v>
      </c>
      <c r="BW94" s="88">
        <f t="shared" si="150"/>
        <v>492.66989079058345</v>
      </c>
      <c r="BX94" s="88">
        <f t="shared" si="151"/>
        <v>8.300000000000006</v>
      </c>
      <c r="BY94" s="1187">
        <f t="shared" si="152"/>
        <v>115</v>
      </c>
      <c r="BZ94" s="1187">
        <f>BZ93+0.1</f>
        <v>65.199999999999989</v>
      </c>
      <c r="CA94" s="88">
        <f t="shared" si="84"/>
        <v>63.079355662014898</v>
      </c>
      <c r="CB94" s="88">
        <f t="shared" si="85"/>
        <v>280.24776876190748</v>
      </c>
      <c r="CC94" s="88">
        <f t="shared" si="86"/>
        <v>31.07729926514525</v>
      </c>
      <c r="CD94" s="1182">
        <f t="shared" si="153"/>
        <v>1975</v>
      </c>
      <c r="CE94" s="87">
        <f t="shared" si="154"/>
        <v>62.600721759027202</v>
      </c>
      <c r="CF94" s="88">
        <f t="shared" si="155"/>
        <v>484.01831288075431</v>
      </c>
      <c r="CG94" s="88">
        <f t="shared" si="156"/>
        <v>9.5000000000000018</v>
      </c>
      <c r="CH94" s="1187">
        <f t="shared" si="157"/>
        <v>112</v>
      </c>
      <c r="CI94" s="1187">
        <f>CI93+0.1</f>
        <v>68.299999999999983</v>
      </c>
      <c r="CJ94" s="88">
        <f t="shared" si="87"/>
        <v>65.044175354857188</v>
      </c>
      <c r="CK94" s="88">
        <f t="shared" si="88"/>
        <v>299.29405072990892</v>
      </c>
      <c r="CL94" s="88">
        <f t="shared" si="89"/>
        <v>31.482572017977915</v>
      </c>
      <c r="CM94" s="1182">
        <f>CM93</f>
        <v>2071</v>
      </c>
      <c r="CN94" s="87">
        <f t="shared" si="158"/>
        <v>61.486642261606384</v>
      </c>
      <c r="CO94" s="88">
        <f t="shared" si="159"/>
        <v>493.78340227525553</v>
      </c>
      <c r="CP94" s="88">
        <f t="shared" si="160"/>
        <v>9.0000000000000018</v>
      </c>
      <c r="CQ94" s="1187">
        <f t="shared" si="161"/>
        <v>102</v>
      </c>
      <c r="CR94" s="1187">
        <f>CR93+0.1</f>
        <v>67.199999999999989</v>
      </c>
      <c r="CS94" s="88">
        <f t="shared" si="90"/>
        <v>63.734840041544665</v>
      </c>
      <c r="CT94" s="88">
        <f t="shared" si="91"/>
        <v>289.23316519859634</v>
      </c>
      <c r="CU94" s="88">
        <f t="shared" si="92"/>
        <v>31.471206159183112</v>
      </c>
      <c r="CV94" s="1182">
        <f>CV93</f>
        <v>1813</v>
      </c>
      <c r="CW94" s="87">
        <f t="shared" si="162"/>
        <v>62.320953302517964</v>
      </c>
      <c r="CX94" s="88">
        <f t="shared" si="124"/>
        <v>468.31234462795021</v>
      </c>
      <c r="CY94" s="88">
        <f t="shared" si="125"/>
        <v>9.600000000000005</v>
      </c>
      <c r="CZ94" s="1187">
        <f t="shared" si="126"/>
        <v>111</v>
      </c>
      <c r="DA94" s="1187">
        <f>DA93+0.1</f>
        <v>67.19999999999996</v>
      </c>
      <c r="DB94" s="88">
        <f t="shared" si="93"/>
        <v>64.008935258916154</v>
      </c>
      <c r="DC94" s="88">
        <f t="shared" si="94"/>
        <v>293.15776433504436</v>
      </c>
      <c r="DD94" s="88">
        <f t="shared" si="95"/>
        <v>29.976174548241698</v>
      </c>
      <c r="DE94" s="1182">
        <f>DE93</f>
        <v>2005</v>
      </c>
    </row>
    <row r="95" spans="1:109" ht="15" x14ac:dyDescent="0.2">
      <c r="A95" s="96">
        <f t="shared" si="99"/>
        <v>107</v>
      </c>
      <c r="B95" s="87">
        <f t="shared" si="128"/>
        <v>46.725901650788344</v>
      </c>
      <c r="C95" s="88">
        <f t="shared" si="129"/>
        <v>429.20534549247981</v>
      </c>
      <c r="D95" s="88">
        <f t="shared" si="130"/>
        <v>8.9579079079079094</v>
      </c>
      <c r="E95" s="1187">
        <f t="shared" si="131"/>
        <v>117</v>
      </c>
      <c r="F95" s="1187">
        <f>F94+0.1</f>
        <v>64.199999999999989</v>
      </c>
      <c r="G95" s="88">
        <f t="shared" si="100"/>
        <v>61.466721080688437</v>
      </c>
      <c r="H95" s="88">
        <f t="shared" si="98"/>
        <v>209.98620201864279</v>
      </c>
      <c r="I95" s="88">
        <f t="shared" si="101"/>
        <v>26.381845257726773</v>
      </c>
      <c r="J95" s="1182">
        <f t="shared" si="132"/>
        <v>1782</v>
      </c>
      <c r="K95" s="87">
        <f t="shared" si="133"/>
        <v>70.914781739991014</v>
      </c>
      <c r="L95" s="88">
        <f t="shared" si="134"/>
        <v>501.95265535323551</v>
      </c>
      <c r="M95" s="88">
        <f t="shared" si="135"/>
        <v>8.9579079079079094</v>
      </c>
      <c r="N95" s="1187">
        <f t="shared" si="136"/>
        <v>118</v>
      </c>
      <c r="O95" s="1187">
        <f>O94+0.1</f>
        <v>65.499999999999986</v>
      </c>
      <c r="P95" s="88">
        <f t="shared" si="63"/>
        <v>63.562830600986253</v>
      </c>
      <c r="Q95" s="88">
        <f t="shared" si="64"/>
        <v>325.14427427785876</v>
      </c>
      <c r="R95" s="88">
        <f t="shared" si="65"/>
        <v>31.905531601932946</v>
      </c>
      <c r="S95" s="1182">
        <f t="shared" si="137"/>
        <v>2007</v>
      </c>
      <c r="T95" s="87">
        <f t="shared" si="138"/>
        <v>57.245627374771793</v>
      </c>
      <c r="U95" s="88">
        <f t="shared" si="103"/>
        <v>451.92794773505676</v>
      </c>
      <c r="V95" s="88">
        <f t="shared" si="104"/>
        <v>9.8500000000000068</v>
      </c>
      <c r="W95" s="1187">
        <f t="shared" si="105"/>
        <v>126</v>
      </c>
      <c r="X95" s="1187">
        <f>X94+0.1</f>
        <v>67.699999999999946</v>
      </c>
      <c r="Y95" s="88">
        <f t="shared" si="66"/>
        <v>62.972063881757698</v>
      </c>
      <c r="Z95" s="88">
        <f t="shared" si="67"/>
        <v>271.28702812904334</v>
      </c>
      <c r="AA95" s="88">
        <f t="shared" si="68"/>
        <v>28.458835594723649</v>
      </c>
      <c r="AB95" s="1182">
        <f t="shared" si="167"/>
        <v>2320</v>
      </c>
      <c r="AC95" s="87">
        <f t="shared" si="139"/>
        <v>61.640052331644853</v>
      </c>
      <c r="AD95" s="88">
        <f t="shared" si="107"/>
        <v>473.69432774168314</v>
      </c>
      <c r="AE95" s="88">
        <f t="shared" si="108"/>
        <v>9.1700000000000053</v>
      </c>
      <c r="AF95" s="1187">
        <f t="shared" si="109"/>
        <v>116</v>
      </c>
      <c r="AG95" s="1187">
        <f>AG93+0.1</f>
        <v>66.69999999999996</v>
      </c>
      <c r="AH95" s="88">
        <f t="shared" si="69"/>
        <v>64.157147752857554</v>
      </c>
      <c r="AI95" s="88">
        <f t="shared" si="70"/>
        <v>287.79740433644969</v>
      </c>
      <c r="AJ95" s="88">
        <f t="shared" si="71"/>
        <v>30.390876974613693</v>
      </c>
      <c r="AK95" s="1182">
        <f t="shared" si="163"/>
        <v>1985</v>
      </c>
      <c r="AL95" s="87">
        <f t="shared" si="140"/>
        <v>74.729132374741809</v>
      </c>
      <c r="AM95" s="88">
        <f t="shared" si="112"/>
        <v>503.66143875871705</v>
      </c>
      <c r="AN95" s="88">
        <f t="shared" si="113"/>
        <v>9.1700000000000053</v>
      </c>
      <c r="AO95" s="1187">
        <f t="shared" si="114"/>
        <v>110</v>
      </c>
      <c r="AP95" s="1187">
        <f>AP93+0.1</f>
        <v>66.69999999999996</v>
      </c>
      <c r="AQ95" s="88">
        <f t="shared" si="72"/>
        <v>62.647930454385659</v>
      </c>
      <c r="AR95" s="88">
        <f t="shared" si="73"/>
        <v>348.91031905766931</v>
      </c>
      <c r="AS95" s="88">
        <f t="shared" si="74"/>
        <v>31.553346787911927</v>
      </c>
      <c r="AT95" s="1182">
        <f t="shared" si="164"/>
        <v>1720</v>
      </c>
      <c r="AU95" s="87">
        <f t="shared" si="141"/>
        <v>52.648703009751031</v>
      </c>
      <c r="AV95" s="88">
        <f t="shared" si="142"/>
        <v>479.07893331691429</v>
      </c>
      <c r="AW95" s="88">
        <f t="shared" si="143"/>
        <v>9.0500000000000025</v>
      </c>
      <c r="AX95" s="1187">
        <f t="shared" si="144"/>
        <v>106</v>
      </c>
      <c r="AY95" s="1187">
        <f>AY94</f>
        <v>67.899999999999991</v>
      </c>
      <c r="AZ95" s="88">
        <f t="shared" si="75"/>
        <v>64.346084536715097</v>
      </c>
      <c r="BA95" s="88">
        <f t="shared" si="76"/>
        <v>250.23928540534664</v>
      </c>
      <c r="BB95" s="88">
        <f t="shared" si="77"/>
        <v>30.826853542969467</v>
      </c>
      <c r="BC95" s="1182">
        <f t="shared" si="145"/>
        <v>2090</v>
      </c>
      <c r="BD95" s="87">
        <f t="shared" si="146"/>
        <v>67.982994622686917</v>
      </c>
      <c r="BE95" s="88">
        <f t="shared" si="117"/>
        <v>506.98853505485738</v>
      </c>
      <c r="BF95" s="88">
        <f>BF94+0.1</f>
        <v>8.7399999999999931</v>
      </c>
      <c r="BG95" s="1187">
        <f t="shared" si="118"/>
        <v>116</v>
      </c>
      <c r="BH95" s="1187">
        <f t="shared" si="165"/>
        <v>65.59999999999998</v>
      </c>
      <c r="BI95" s="88">
        <f t="shared" si="78"/>
        <v>63.473489351375292</v>
      </c>
      <c r="BJ95" s="88">
        <f t="shared" si="79"/>
        <v>312.17791130737828</v>
      </c>
      <c r="BK95" s="88">
        <f t="shared" si="80"/>
        <v>32.180331381073849</v>
      </c>
      <c r="BL95" s="1182">
        <v>2055</v>
      </c>
      <c r="BM95" s="87">
        <f t="shared" si="147"/>
        <v>65.245627374771828</v>
      </c>
      <c r="BN95" s="88">
        <f t="shared" si="120"/>
        <v>483.1478765088583</v>
      </c>
      <c r="BO95" s="88">
        <f t="shared" si="148"/>
        <v>9.5400000000000063</v>
      </c>
      <c r="BP95" s="1187">
        <f t="shared" si="122"/>
        <v>106.5</v>
      </c>
      <c r="BQ95" s="1187">
        <f t="shared" si="166"/>
        <v>65.299999999999983</v>
      </c>
      <c r="BR95" s="88">
        <f t="shared" si="81"/>
        <v>62.068641937489694</v>
      </c>
      <c r="BS95" s="88">
        <f t="shared" si="82"/>
        <v>298.23776273008195</v>
      </c>
      <c r="BT95" s="88">
        <f t="shared" si="83"/>
        <v>29.988332549886817</v>
      </c>
      <c r="BU95" s="1182">
        <v>2050</v>
      </c>
      <c r="BV95" s="87">
        <f t="shared" si="149"/>
        <v>60.593582698151913</v>
      </c>
      <c r="BW95" s="88">
        <f t="shared" si="150"/>
        <v>496.2752089611235</v>
      </c>
      <c r="BX95" s="88">
        <f t="shared" si="151"/>
        <v>8.4500000000000064</v>
      </c>
      <c r="BY95" s="1187">
        <f t="shared" si="152"/>
        <v>115</v>
      </c>
      <c r="BZ95" s="1187">
        <f>BZ94</f>
        <v>65.199999999999989</v>
      </c>
      <c r="CA95" s="88">
        <f t="shared" si="84"/>
        <v>63.094761625131603</v>
      </c>
      <c r="CB95" s="88">
        <f t="shared" si="85"/>
        <v>276.54911143436527</v>
      </c>
      <c r="CC95" s="88">
        <f t="shared" si="86"/>
        <v>31.312366009864462</v>
      </c>
      <c r="CD95" s="1182">
        <f t="shared" si="153"/>
        <v>1975</v>
      </c>
      <c r="CE95" s="87">
        <f t="shared" si="154"/>
        <v>61.985842181193732</v>
      </c>
      <c r="CF95" s="88">
        <f t="shared" si="155"/>
        <v>487.70647049053531</v>
      </c>
      <c r="CG95" s="88">
        <f t="shared" si="156"/>
        <v>9.6500000000000021</v>
      </c>
      <c r="CH95" s="1187">
        <f t="shared" si="157"/>
        <v>112</v>
      </c>
      <c r="CI95" s="1187">
        <f>CI94</f>
        <v>68.299999999999983</v>
      </c>
      <c r="CJ95" s="88">
        <f t="shared" si="87"/>
        <v>65.068796710462792</v>
      </c>
      <c r="CK95" s="88">
        <f t="shared" si="88"/>
        <v>296.35431146828716</v>
      </c>
      <c r="CL95" s="88">
        <f t="shared" si="89"/>
        <v>31.734473182725957</v>
      </c>
      <c r="CM95" s="1182">
        <f>CM94</f>
        <v>2071</v>
      </c>
      <c r="CN95" s="87">
        <f t="shared" si="158"/>
        <v>60.696082804391921</v>
      </c>
      <c r="CO95" s="88">
        <f t="shared" si="159"/>
        <v>497.39481920211682</v>
      </c>
      <c r="CP95" s="88">
        <f t="shared" si="160"/>
        <v>9.1500000000000021</v>
      </c>
      <c r="CQ95" s="1187">
        <f t="shared" si="161"/>
        <v>102</v>
      </c>
      <c r="CR95" s="1187">
        <f>CR94</f>
        <v>67.199999999999989</v>
      </c>
      <c r="CS95" s="88">
        <f t="shared" si="90"/>
        <v>63.759999405585333</v>
      </c>
      <c r="CT95" s="88">
        <f t="shared" si="91"/>
        <v>285.51437351185956</v>
      </c>
      <c r="CU95" s="88">
        <f t="shared" si="92"/>
        <v>31.713893376668192</v>
      </c>
      <c r="CV95" s="1182">
        <f>CV94</f>
        <v>1813</v>
      </c>
      <c r="CW95" s="87">
        <f t="shared" si="162"/>
        <v>61.94005233164485</v>
      </c>
      <c r="CX95" s="88">
        <f t="shared" si="124"/>
        <v>471.99777774168308</v>
      </c>
      <c r="CY95" s="88">
        <f t="shared" si="125"/>
        <v>9.7500000000000053</v>
      </c>
      <c r="CZ95" s="1187">
        <f t="shared" si="126"/>
        <v>111</v>
      </c>
      <c r="DA95" s="1187">
        <f>DA94</f>
        <v>67.19999999999996</v>
      </c>
      <c r="DB95" s="88">
        <f t="shared" si="93"/>
        <v>64.033851595855552</v>
      </c>
      <c r="DC95" s="88">
        <f t="shared" si="94"/>
        <v>291.3660061680572</v>
      </c>
      <c r="DD95" s="88">
        <f t="shared" si="95"/>
        <v>30.223835653484542</v>
      </c>
      <c r="DE95" s="1182">
        <f>DE94</f>
        <v>2005</v>
      </c>
    </row>
    <row r="96" spans="1:109" ht="15" x14ac:dyDescent="0.2">
      <c r="A96" s="96">
        <f t="shared" si="99"/>
        <v>108</v>
      </c>
      <c r="B96" s="87">
        <f t="shared" si="128"/>
        <v>46.156973598977551</v>
      </c>
      <c r="C96" s="88">
        <f t="shared" si="129"/>
        <v>431.95168542161895</v>
      </c>
      <c r="D96" s="88">
        <f t="shared" si="130"/>
        <v>9.1079079079079097</v>
      </c>
      <c r="E96" s="1187">
        <f t="shared" si="131"/>
        <v>117</v>
      </c>
      <c r="F96" s="1187">
        <f>F95</f>
        <v>64.199999999999989</v>
      </c>
      <c r="G96" s="88">
        <f t="shared" si="100"/>
        <v>61.484099211824216</v>
      </c>
      <c r="H96" s="88">
        <f t="shared" si="98"/>
        <v>207.42943935380507</v>
      </c>
      <c r="I96" s="88">
        <f t="shared" si="101"/>
        <v>26.558160281177503</v>
      </c>
      <c r="J96" s="1182">
        <f t="shared" si="132"/>
        <v>1783</v>
      </c>
      <c r="K96" s="87">
        <f t="shared" si="133"/>
        <v>70.594064397588866</v>
      </c>
      <c r="L96" s="88">
        <f t="shared" si="134"/>
        <v>506.15300218489205</v>
      </c>
      <c r="M96" s="88">
        <f t="shared" si="135"/>
        <v>9.1079079079079097</v>
      </c>
      <c r="N96" s="1187">
        <f t="shared" si="136"/>
        <v>118</v>
      </c>
      <c r="O96" s="1187">
        <f>O95</f>
        <v>65.499999999999986</v>
      </c>
      <c r="P96" s="88">
        <f t="shared" si="63"/>
        <v>63.578906339572029</v>
      </c>
      <c r="Q96" s="88">
        <f t="shared" si="64"/>
        <v>323.67378526294488</v>
      </c>
      <c r="R96" s="88">
        <f t="shared" si="65"/>
        <v>32.180654319406443</v>
      </c>
      <c r="S96" s="1182">
        <f t="shared" si="137"/>
        <v>2008</v>
      </c>
      <c r="T96" s="87">
        <f t="shared" si="138"/>
        <v>56.794842206613623</v>
      </c>
      <c r="U96" s="88">
        <f t="shared" si="103"/>
        <v>455.30724084635028</v>
      </c>
      <c r="V96" s="88">
        <f t="shared" si="104"/>
        <v>10.000000000000007</v>
      </c>
      <c r="W96" s="1187">
        <f t="shared" si="105"/>
        <v>126</v>
      </c>
      <c r="X96" s="1187">
        <f>X95+0.1</f>
        <v>67.79999999999994</v>
      </c>
      <c r="Y96" s="88">
        <f t="shared" si="66"/>
        <v>63.007896852996666</v>
      </c>
      <c r="Z96" s="88">
        <f t="shared" si="67"/>
        <v>269.54832111258804</v>
      </c>
      <c r="AA96" s="88">
        <f t="shared" si="68"/>
        <v>28.687951667669349</v>
      </c>
      <c r="AB96" s="1182">
        <f t="shared" si="167"/>
        <v>2320</v>
      </c>
      <c r="AC96" s="87">
        <f t="shared" si="139"/>
        <v>61.26530616654621</v>
      </c>
      <c r="AD96" s="88">
        <f t="shared" si="107"/>
        <v>477.33961345859262</v>
      </c>
      <c r="AE96" s="88">
        <f t="shared" si="108"/>
        <v>9.3200000000000056</v>
      </c>
      <c r="AF96" s="1187">
        <f t="shared" si="109"/>
        <v>116</v>
      </c>
      <c r="AG96" s="1187">
        <f>AG93+0.1</f>
        <v>66.69999999999996</v>
      </c>
      <c r="AH96" s="88">
        <f t="shared" si="69"/>
        <v>64.176566679582621</v>
      </c>
      <c r="AI96" s="88">
        <f t="shared" si="70"/>
        <v>286.0477144916041</v>
      </c>
      <c r="AJ96" s="88">
        <f t="shared" si="71"/>
        <v>30.634017531931558</v>
      </c>
      <c r="AK96" s="1182">
        <f t="shared" si="163"/>
        <v>1985</v>
      </c>
      <c r="AL96" s="87">
        <f t="shared" si="140"/>
        <v>74.496901436493445</v>
      </c>
      <c r="AM96" s="88">
        <f t="shared" si="112"/>
        <v>508.0940043941884</v>
      </c>
      <c r="AN96" s="88">
        <f t="shared" si="113"/>
        <v>9.3200000000000056</v>
      </c>
      <c r="AO96" s="1187">
        <f t="shared" si="114"/>
        <v>110</v>
      </c>
      <c r="AP96" s="1187">
        <f>AP93+0.1</f>
        <v>66.69999999999996</v>
      </c>
      <c r="AQ96" s="88">
        <f t="shared" si="72"/>
        <v>62.68328033859035</v>
      </c>
      <c r="AR96" s="88">
        <f t="shared" si="73"/>
        <v>347.82603280698771</v>
      </c>
      <c r="AS96" s="88">
        <f t="shared" si="74"/>
        <v>31.848998915797868</v>
      </c>
      <c r="AT96" s="1182">
        <f t="shared" si="164"/>
        <v>1720</v>
      </c>
      <c r="AU96" s="87">
        <f t="shared" si="141"/>
        <v>51.765886772091278</v>
      </c>
      <c r="AV96" s="88">
        <f t="shared" si="142"/>
        <v>482.15900357985373</v>
      </c>
      <c r="AW96" s="88">
        <f t="shared" si="143"/>
        <v>9.2000000000000028</v>
      </c>
      <c r="AX96" s="1187">
        <f t="shared" si="144"/>
        <v>106</v>
      </c>
      <c r="AY96" s="1187">
        <f>AY95</f>
        <v>67.899999999999991</v>
      </c>
      <c r="AZ96" s="88">
        <f t="shared" si="75"/>
        <v>64.368787232826108</v>
      </c>
      <c r="BA96" s="88">
        <f t="shared" si="76"/>
        <v>246.04325982774978</v>
      </c>
      <c r="BB96" s="88">
        <f t="shared" si="77"/>
        <v>31.035990313823049</v>
      </c>
      <c r="BC96" s="1182">
        <f t="shared" si="145"/>
        <v>2090</v>
      </c>
      <c r="BD96" s="87">
        <f t="shared" si="146"/>
        <v>67.585987775798529</v>
      </c>
      <c r="BE96" s="88">
        <f t="shared" si="117"/>
        <v>510.67872998741598</v>
      </c>
      <c r="BF96" s="88">
        <f>BF95+0.22</f>
        <v>8.9599999999999937</v>
      </c>
      <c r="BG96" s="1187">
        <f t="shared" si="118"/>
        <v>116</v>
      </c>
      <c r="BH96" s="1187">
        <f>BH95+0.1</f>
        <v>65.699999999999974</v>
      </c>
      <c r="BI96" s="88">
        <f t="shared" si="78"/>
        <v>63.489578249992711</v>
      </c>
      <c r="BJ96" s="88">
        <f t="shared" si="79"/>
        <v>310.82795778089729</v>
      </c>
      <c r="BK96" s="88">
        <f t="shared" si="80"/>
        <v>32.422777188142952</v>
      </c>
      <c r="BL96" s="1182">
        <v>2055</v>
      </c>
      <c r="BM96" s="87">
        <f t="shared" si="147"/>
        <v>64.794842206613666</v>
      </c>
      <c r="BN96" s="88">
        <f t="shared" si="120"/>
        <v>486.68567489333941</v>
      </c>
      <c r="BO96" s="88">
        <f t="shared" si="148"/>
        <v>9.7600000000000069</v>
      </c>
      <c r="BP96" s="1187">
        <f t="shared" si="122"/>
        <v>106.5</v>
      </c>
      <c r="BQ96" s="1187">
        <f>BQ95+0.1</f>
        <v>65.399999999999977</v>
      </c>
      <c r="BR96" s="88">
        <f t="shared" si="81"/>
        <v>62.092858128307839</v>
      </c>
      <c r="BS96" s="88">
        <f t="shared" si="82"/>
        <v>296.63078762187729</v>
      </c>
      <c r="BT96" s="88">
        <f t="shared" si="83"/>
        <v>30.219704564231879</v>
      </c>
      <c r="BU96" s="1182">
        <v>2050</v>
      </c>
      <c r="BV96" s="87">
        <f t="shared" si="149"/>
        <v>59.797164081708374</v>
      </c>
      <c r="BW96" s="88">
        <f t="shared" si="150"/>
        <v>499.83314022398514</v>
      </c>
      <c r="BX96" s="88">
        <f t="shared" si="151"/>
        <v>8.6000000000000068</v>
      </c>
      <c r="BY96" s="1187">
        <f t="shared" si="152"/>
        <v>115</v>
      </c>
      <c r="BZ96" s="1187">
        <f>BZ95</f>
        <v>65.199999999999989</v>
      </c>
      <c r="CA96" s="88">
        <f t="shared" si="84"/>
        <v>63.109747212974703</v>
      </c>
      <c r="CB96" s="88">
        <f t="shared" si="85"/>
        <v>272.91425686891694</v>
      </c>
      <c r="CC96" s="88">
        <f t="shared" si="86"/>
        <v>31.544343128203042</v>
      </c>
      <c r="CD96" s="1182">
        <f t="shared" si="153"/>
        <v>1975</v>
      </c>
      <c r="CE96" s="87">
        <f t="shared" si="154"/>
        <v>61.381058832680225</v>
      </c>
      <c r="CF96" s="88">
        <f t="shared" si="155"/>
        <v>491.35864349107976</v>
      </c>
      <c r="CG96" s="88">
        <f t="shared" si="156"/>
        <v>9.8000000000000025</v>
      </c>
      <c r="CH96" s="1187">
        <f t="shared" si="157"/>
        <v>112</v>
      </c>
      <c r="CI96" s="1187">
        <f>CI95</f>
        <v>68.299999999999983</v>
      </c>
      <c r="CJ96" s="88">
        <f t="shared" si="87"/>
        <v>65.092813614550352</v>
      </c>
      <c r="CK96" s="88">
        <f t="shared" si="88"/>
        <v>293.46284227904408</v>
      </c>
      <c r="CL96" s="88">
        <f t="shared" si="89"/>
        <v>31.98391659866315</v>
      </c>
      <c r="CM96" s="1182">
        <f>CM95</f>
        <v>2071</v>
      </c>
      <c r="CN96" s="87">
        <f t="shared" si="158"/>
        <v>59.918504213445985</v>
      </c>
      <c r="CO96" s="88">
        <f t="shared" si="159"/>
        <v>500.95997020281686</v>
      </c>
      <c r="CP96" s="88">
        <f t="shared" si="160"/>
        <v>9.3000000000000025</v>
      </c>
      <c r="CQ96" s="1187">
        <f t="shared" si="161"/>
        <v>102</v>
      </c>
      <c r="CR96" s="1187">
        <f>CR95</f>
        <v>67.199999999999989</v>
      </c>
      <c r="CS96" s="88">
        <f t="shared" si="90"/>
        <v>63.784480646185493</v>
      </c>
      <c r="CT96" s="88">
        <f t="shared" si="91"/>
        <v>281.8566438200499</v>
      </c>
      <c r="CU96" s="88">
        <f t="shared" si="92"/>
        <v>31.953471523915233</v>
      </c>
      <c r="CV96" s="1182">
        <f>CV95</f>
        <v>1813</v>
      </c>
      <c r="CW96" s="87">
        <f t="shared" si="162"/>
        <v>61.565306166546208</v>
      </c>
      <c r="CX96" s="88">
        <f t="shared" si="124"/>
        <v>475.66091345859257</v>
      </c>
      <c r="CY96" s="88">
        <f t="shared" si="125"/>
        <v>9.9000000000000057</v>
      </c>
      <c r="CZ96" s="1187">
        <f t="shared" si="126"/>
        <v>111</v>
      </c>
      <c r="DA96" s="1187">
        <f>DA95</f>
        <v>67.19999999999996</v>
      </c>
      <c r="DB96" s="88">
        <f t="shared" si="93"/>
        <v>64.05823457746304</v>
      </c>
      <c r="DC96" s="88">
        <f t="shared" si="94"/>
        <v>289.60320020743319</v>
      </c>
      <c r="DD96" s="88">
        <f t="shared" si="95"/>
        <v>30.469998373660868</v>
      </c>
      <c r="DE96" s="1182">
        <f>DE95</f>
        <v>2005</v>
      </c>
    </row>
    <row r="97" spans="1:109" ht="15" x14ac:dyDescent="0.2">
      <c r="A97" s="96">
        <f t="shared" si="99"/>
        <v>109</v>
      </c>
      <c r="B97" s="87">
        <f t="shared" si="128"/>
        <v>45.595708147212164</v>
      </c>
      <c r="C97" s="88">
        <f t="shared" si="129"/>
        <v>434.66463005637809</v>
      </c>
      <c r="D97" s="88">
        <f t="shared" si="130"/>
        <v>9.2579079079079101</v>
      </c>
      <c r="E97" s="1187">
        <f t="shared" si="131"/>
        <v>117</v>
      </c>
      <c r="F97" s="1187">
        <f>F96</f>
        <v>64.199999999999989</v>
      </c>
      <c r="G97" s="88">
        <f t="shared" si="100"/>
        <v>61.501050415033149</v>
      </c>
      <c r="H97" s="88">
        <f t="shared" si="98"/>
        <v>204.90711241357144</v>
      </c>
      <c r="I97" s="88">
        <f t="shared" si="101"/>
        <v>26.732331326729039</v>
      </c>
      <c r="J97" s="1182">
        <f t="shared" si="132"/>
        <v>1784</v>
      </c>
      <c r="K97" s="87">
        <f t="shared" si="133"/>
        <v>70.279831302610205</v>
      </c>
      <c r="L97" s="88">
        <f t="shared" si="134"/>
        <v>510.33465214739738</v>
      </c>
      <c r="M97" s="88">
        <f t="shared" si="135"/>
        <v>9.2579079079079101</v>
      </c>
      <c r="N97" s="1187">
        <f t="shared" si="136"/>
        <v>118</v>
      </c>
      <c r="O97" s="1187">
        <f>O96</f>
        <v>65.499999999999986</v>
      </c>
      <c r="P97" s="88">
        <f t="shared" si="63"/>
        <v>63.594647659898392</v>
      </c>
      <c r="Q97" s="88">
        <f t="shared" si="64"/>
        <v>322.2330265224677</v>
      </c>
      <c r="R97" s="88">
        <f t="shared" si="65"/>
        <v>32.45455239195055</v>
      </c>
      <c r="S97" s="1182">
        <f t="shared" si="137"/>
        <v>2009</v>
      </c>
      <c r="T97" s="87">
        <f t="shared" si="138"/>
        <v>56.351356853279491</v>
      </c>
      <c r="U97" s="88">
        <f t="shared" si="103"/>
        <v>458.66014657912041</v>
      </c>
      <c r="V97" s="88">
        <f t="shared" si="104"/>
        <v>10.150000000000007</v>
      </c>
      <c r="W97" s="1187">
        <f t="shared" si="105"/>
        <v>126</v>
      </c>
      <c r="X97" s="1187">
        <f>X96</f>
        <v>67.79999999999994</v>
      </c>
      <c r="Y97" s="88">
        <f t="shared" si="66"/>
        <v>63.042928172446267</v>
      </c>
      <c r="Z97" s="88">
        <f t="shared" si="67"/>
        <v>267.44353962566419</v>
      </c>
      <c r="AA97" s="88">
        <f t="shared" si="68"/>
        <v>28.915278676351164</v>
      </c>
      <c r="AB97" s="1182">
        <f t="shared" si="167"/>
        <v>2320</v>
      </c>
      <c r="AC97" s="87">
        <f t="shared" si="139"/>
        <v>60.89662860493295</v>
      </c>
      <c r="AD97" s="88">
        <f t="shared" si="107"/>
        <v>480.96296286058612</v>
      </c>
      <c r="AE97" s="88">
        <f t="shared" si="108"/>
        <v>9.470000000000006</v>
      </c>
      <c r="AF97" s="1187">
        <f t="shared" si="109"/>
        <v>116</v>
      </c>
      <c r="AG97" s="1187">
        <f>AG96+0.1</f>
        <v>66.799999999999955</v>
      </c>
      <c r="AH97" s="88">
        <f t="shared" si="69"/>
        <v>64.196330395890769</v>
      </c>
      <c r="AI97" s="88">
        <f t="shared" si="70"/>
        <v>284.75263535666625</v>
      </c>
      <c r="AJ97" s="88">
        <f t="shared" si="71"/>
        <v>30.876057271984731</v>
      </c>
      <c r="AK97" s="1182">
        <f t="shared" si="163"/>
        <v>1985</v>
      </c>
      <c r="AL97" s="87">
        <f t="shared" si="140"/>
        <v>74.268424304763059</v>
      </c>
      <c r="AM97" s="88">
        <f t="shared" si="112"/>
        <v>512.51297564032177</v>
      </c>
      <c r="AN97" s="88">
        <f t="shared" si="113"/>
        <v>9.470000000000006</v>
      </c>
      <c r="AO97" s="1187">
        <f t="shared" si="114"/>
        <v>110</v>
      </c>
      <c r="AP97" s="1187">
        <f>AP96+0.1</f>
        <v>66.799999999999955</v>
      </c>
      <c r="AQ97" s="88">
        <f t="shared" si="72"/>
        <v>62.718775373207635</v>
      </c>
      <c r="AR97" s="88">
        <f t="shared" si="73"/>
        <v>347.27915204907185</v>
      </c>
      <c r="AS97" s="88">
        <f t="shared" si="74"/>
        <v>32.14418619503958</v>
      </c>
      <c r="AT97" s="1182">
        <f t="shared" si="164"/>
        <v>1720</v>
      </c>
      <c r="AU97" s="87">
        <f t="shared" si="141"/>
        <v>50.900033446993184</v>
      </c>
      <c r="AV97" s="88">
        <f t="shared" si="142"/>
        <v>485.18755556994984</v>
      </c>
      <c r="AW97" s="88">
        <f t="shared" si="143"/>
        <v>9.3500000000000032</v>
      </c>
      <c r="AX97" s="1187">
        <f t="shared" si="144"/>
        <v>106</v>
      </c>
      <c r="AY97" s="1187">
        <f>AY96</f>
        <v>67.899999999999991</v>
      </c>
      <c r="AZ97" s="88">
        <f t="shared" si="75"/>
        <v>64.390829144929384</v>
      </c>
      <c r="BA97" s="88">
        <f t="shared" si="76"/>
        <v>241.92785897355859</v>
      </c>
      <c r="BB97" s="88">
        <f t="shared" si="77"/>
        <v>31.24162899395057</v>
      </c>
      <c r="BC97" s="1182">
        <f t="shared" si="145"/>
        <v>2090</v>
      </c>
      <c r="BD97" s="87">
        <f t="shared" si="146"/>
        <v>67.195401090935306</v>
      </c>
      <c r="BE97" s="88">
        <f t="shared" si="117"/>
        <v>514.34759888698102</v>
      </c>
      <c r="BF97" s="88">
        <f>BF96+0.22</f>
        <v>9.1799999999999944</v>
      </c>
      <c r="BG97" s="1187">
        <f t="shared" si="118"/>
        <v>116</v>
      </c>
      <c r="BH97" s="1187">
        <f>BH96</f>
        <v>65.699999999999974</v>
      </c>
      <c r="BI97" s="88">
        <f t="shared" si="78"/>
        <v>63.50534530641734</v>
      </c>
      <c r="BJ97" s="88">
        <f t="shared" si="79"/>
        <v>309.03164961721137</v>
      </c>
      <c r="BK97" s="88">
        <f t="shared" si="80"/>
        <v>32.663821874844366</v>
      </c>
      <c r="BL97" s="1182">
        <v>2055</v>
      </c>
      <c r="BM97" s="87">
        <f t="shared" si="147"/>
        <v>64.35135685327954</v>
      </c>
      <c r="BN97" s="88">
        <f t="shared" si="120"/>
        <v>490.19925897752847</v>
      </c>
      <c r="BO97" s="88">
        <f t="shared" si="148"/>
        <v>9.9800000000000075</v>
      </c>
      <c r="BP97" s="1187">
        <f t="shared" si="122"/>
        <v>106.5</v>
      </c>
      <c r="BQ97" s="1187">
        <f>BQ96</f>
        <v>65.399999999999977</v>
      </c>
      <c r="BR97" s="88">
        <f t="shared" si="81"/>
        <v>62.116562613436543</v>
      </c>
      <c r="BS97" s="88">
        <f t="shared" si="82"/>
        <v>294.60051167431362</v>
      </c>
      <c r="BT97" s="88">
        <f t="shared" si="83"/>
        <v>30.449492963337839</v>
      </c>
      <c r="BU97" s="1182">
        <v>2050</v>
      </c>
      <c r="BV97" s="87">
        <f t="shared" si="149"/>
        <v>59.016274165958386</v>
      </c>
      <c r="BW97" s="88">
        <f t="shared" si="150"/>
        <v>503.34460853685965</v>
      </c>
      <c r="BX97" s="88">
        <f t="shared" si="151"/>
        <v>8.7500000000000071</v>
      </c>
      <c r="BY97" s="1187">
        <f t="shared" si="152"/>
        <v>115</v>
      </c>
      <c r="BZ97" s="1187">
        <f>BZ96+0.1</f>
        <v>65.299999999999983</v>
      </c>
      <c r="CA97" s="88">
        <f t="shared" si="84"/>
        <v>63.125027009615778</v>
      </c>
      <c r="CB97" s="88">
        <f t="shared" si="85"/>
        <v>269.76338921259571</v>
      </c>
      <c r="CC97" s="88">
        <f t="shared" si="86"/>
        <v>31.773642009033743</v>
      </c>
      <c r="CD97" s="1182">
        <f t="shared" si="153"/>
        <v>1975</v>
      </c>
      <c r="CE97" s="87">
        <f t="shared" si="154"/>
        <v>60.786314967243477</v>
      </c>
      <c r="CF97" s="88">
        <f t="shared" si="155"/>
        <v>494.97542923163076</v>
      </c>
      <c r="CG97" s="88">
        <f t="shared" si="156"/>
        <v>9.9500000000000028</v>
      </c>
      <c r="CH97" s="1187">
        <f t="shared" si="157"/>
        <v>112</v>
      </c>
      <c r="CI97" s="1187">
        <f>CI96+0.1</f>
        <v>68.399999999999977</v>
      </c>
      <c r="CJ97" s="88">
        <f t="shared" si="87"/>
        <v>65.116979227334014</v>
      </c>
      <c r="CK97" s="88">
        <f t="shared" si="88"/>
        <v>291.04487606316172</v>
      </c>
      <c r="CL97" s="88">
        <f t="shared" si="89"/>
        <v>32.231304743316841</v>
      </c>
      <c r="CM97" s="1182">
        <f>CM96+10</f>
        <v>2081</v>
      </c>
      <c r="CN97" s="87">
        <f t="shared" si="158"/>
        <v>59.153833529313026</v>
      </c>
      <c r="CO97" s="88">
        <f t="shared" si="159"/>
        <v>504.47962329781097</v>
      </c>
      <c r="CP97" s="88">
        <f t="shared" si="160"/>
        <v>9.4500000000000028</v>
      </c>
      <c r="CQ97" s="1187">
        <f t="shared" si="161"/>
        <v>102</v>
      </c>
      <c r="CR97" s="1187">
        <f>CR96+0.1</f>
        <v>67.299999999999983</v>
      </c>
      <c r="CS97" s="88">
        <f t="shared" si="90"/>
        <v>63.809007719238068</v>
      </c>
      <c r="CT97" s="88">
        <f t="shared" si="91"/>
        <v>278.67370975659361</v>
      </c>
      <c r="CU97" s="88">
        <f t="shared" si="92"/>
        <v>32.190344177208338</v>
      </c>
      <c r="CV97" s="1182">
        <f>CV96+10</f>
        <v>1823</v>
      </c>
      <c r="CW97" s="87">
        <f t="shared" si="162"/>
        <v>61.196628604932947</v>
      </c>
      <c r="CX97" s="88">
        <f t="shared" si="124"/>
        <v>479.30211286058608</v>
      </c>
      <c r="CY97" s="88">
        <f t="shared" si="125"/>
        <v>10.050000000000006</v>
      </c>
      <c r="CZ97" s="1187">
        <f t="shared" si="126"/>
        <v>111</v>
      </c>
      <c r="DA97" s="1187">
        <f>DA96+0.1</f>
        <v>67.299999999999955</v>
      </c>
      <c r="DB97" s="88">
        <f t="shared" si="93"/>
        <v>64.082861872025745</v>
      </c>
      <c r="DC97" s="88">
        <f t="shared" si="94"/>
        <v>288.29731735783889</v>
      </c>
      <c r="DD97" s="88">
        <f t="shared" si="95"/>
        <v>30.715051093415035</v>
      </c>
      <c r="DE97" s="1182">
        <f>DE96+10</f>
        <v>2015</v>
      </c>
    </row>
    <row r="98" spans="1:109" ht="15" x14ac:dyDescent="0.2">
      <c r="A98" s="96">
        <f t="shared" si="99"/>
        <v>110</v>
      </c>
      <c r="B98" s="87">
        <f t="shared" si="128"/>
        <v>45.043993599298283</v>
      </c>
      <c r="C98" s="88">
        <f t="shared" si="129"/>
        <v>437.34474767553633</v>
      </c>
      <c r="D98" s="88">
        <f t="shared" si="130"/>
        <v>9.4079079079079104</v>
      </c>
      <c r="E98" s="1187">
        <f t="shared" si="131"/>
        <v>117</v>
      </c>
      <c r="F98" s="1187">
        <f>F97</f>
        <v>64.199999999999989</v>
      </c>
      <c r="G98" s="88">
        <f t="shared" si="100"/>
        <v>61.51759000393718</v>
      </c>
      <c r="H98" s="88">
        <f t="shared" si="98"/>
        <v>202.42770723524643</v>
      </c>
      <c r="I98" s="88">
        <f t="shared" si="101"/>
        <v>26.904394877879</v>
      </c>
      <c r="J98" s="1182">
        <f t="shared" si="132"/>
        <v>1785</v>
      </c>
      <c r="K98" s="87">
        <f t="shared" si="133"/>
        <v>69.970628212740664</v>
      </c>
      <c r="L98" s="88">
        <f t="shared" si="134"/>
        <v>514.49790452605544</v>
      </c>
      <c r="M98" s="88">
        <f t="shared" si="135"/>
        <v>9.4079079079079104</v>
      </c>
      <c r="N98" s="1187">
        <f t="shared" si="136"/>
        <v>118</v>
      </c>
      <c r="O98" s="1187">
        <f>O97</f>
        <v>65.499999999999986</v>
      </c>
      <c r="P98" s="88">
        <f t="shared" si="63"/>
        <v>63.610065531559918</v>
      </c>
      <c r="Q98" s="88">
        <f t="shared" si="64"/>
        <v>320.81533035541582</v>
      </c>
      <c r="R98" s="88">
        <f t="shared" si="65"/>
        <v>32.727245422752645</v>
      </c>
      <c r="S98" s="1182">
        <f t="shared" si="137"/>
        <v>2010</v>
      </c>
      <c r="T98" s="87">
        <f t="shared" si="138"/>
        <v>55.915015846582904</v>
      </c>
      <c r="U98" s="88">
        <f t="shared" si="103"/>
        <v>461.98709002199212</v>
      </c>
      <c r="V98" s="88">
        <f t="shared" si="104"/>
        <v>10.300000000000008</v>
      </c>
      <c r="W98" s="1187">
        <f t="shared" si="105"/>
        <v>126</v>
      </c>
      <c r="X98" s="1187">
        <f>X97</f>
        <v>67.79999999999994</v>
      </c>
      <c r="Y98" s="88">
        <f t="shared" si="66"/>
        <v>63.077185642548294</v>
      </c>
      <c r="Z98" s="88">
        <f t="shared" si="67"/>
        <v>265.37266520788222</v>
      </c>
      <c r="AA98" s="88">
        <f t="shared" si="68"/>
        <v>29.140845441777866</v>
      </c>
      <c r="AB98" s="1182">
        <f t="shared" si="167"/>
        <v>2320</v>
      </c>
      <c r="AC98" s="87">
        <f t="shared" si="139"/>
        <v>60.533881776628334</v>
      </c>
      <c r="AD98" s="88">
        <f t="shared" si="107"/>
        <v>484.56472882629549</v>
      </c>
      <c r="AE98" s="88">
        <f t="shared" si="108"/>
        <v>9.6200000000000063</v>
      </c>
      <c r="AF98" s="1187">
        <f t="shared" si="109"/>
        <v>116</v>
      </c>
      <c r="AG98" s="1187">
        <f>AG96+0.1</f>
        <v>66.799999999999955</v>
      </c>
      <c r="AH98" s="88">
        <f t="shared" si="69"/>
        <v>64.215683452372502</v>
      </c>
      <c r="AI98" s="88">
        <f t="shared" si="70"/>
        <v>283.05643118751391</v>
      </c>
      <c r="AJ98" s="88">
        <f t="shared" si="71"/>
        <v>31.116655238494115</v>
      </c>
      <c r="AK98" s="1182">
        <f t="shared" si="163"/>
        <v>1985</v>
      </c>
      <c r="AL98" s="87">
        <f t="shared" si="140"/>
        <v>74.043623061185457</v>
      </c>
      <c r="AM98" s="88">
        <f t="shared" si="112"/>
        <v>516.91857121246233</v>
      </c>
      <c r="AN98" s="88">
        <f t="shared" si="113"/>
        <v>9.6200000000000063</v>
      </c>
      <c r="AO98" s="1187">
        <f t="shared" si="114"/>
        <v>110</v>
      </c>
      <c r="AP98" s="1187">
        <f>AP96+0.1</f>
        <v>66.799999999999955</v>
      </c>
      <c r="AQ98" s="88">
        <f t="shared" si="72"/>
        <v>62.753558850037521</v>
      </c>
      <c r="AR98" s="88">
        <f t="shared" si="73"/>
        <v>346.22798143410296</v>
      </c>
      <c r="AS98" s="88">
        <f t="shared" si="74"/>
        <v>32.43847997925856</v>
      </c>
      <c r="AT98" s="1182">
        <f t="shared" si="164"/>
        <v>1720</v>
      </c>
      <c r="AU98" s="87">
        <f t="shared" si="141"/>
        <v>50.046775447775552</v>
      </c>
      <c r="AV98" s="88">
        <f t="shared" si="142"/>
        <v>488.16533870909245</v>
      </c>
      <c r="AW98" s="88">
        <f t="shared" si="143"/>
        <v>9.5000000000000036</v>
      </c>
      <c r="AX98" s="1187">
        <f t="shared" si="144"/>
        <v>106</v>
      </c>
      <c r="AY98" s="1187">
        <f>AY97</f>
        <v>67.899999999999991</v>
      </c>
      <c r="AZ98" s="88">
        <f t="shared" si="75"/>
        <v>64.412234904363743</v>
      </c>
      <c r="BA98" s="88">
        <f t="shared" si="76"/>
        <v>237.87232370327717</v>
      </c>
      <c r="BB98" s="88">
        <f t="shared" si="77"/>
        <v>31.443820469098355</v>
      </c>
      <c r="BC98" s="1182">
        <f t="shared" si="145"/>
        <v>2090</v>
      </c>
      <c r="BD98" s="87">
        <f t="shared" si="146"/>
        <v>66.811091665528338</v>
      </c>
      <c r="BE98" s="88">
        <f t="shared" si="117"/>
        <v>518.55669766190931</v>
      </c>
      <c r="BF98" s="88">
        <f>BF97+0.1</f>
        <v>9.279999999999994</v>
      </c>
      <c r="BG98" s="1187">
        <f t="shared" si="118"/>
        <v>116</v>
      </c>
      <c r="BH98" s="1187">
        <f>BH97</f>
        <v>65.699999999999974</v>
      </c>
      <c r="BI98" s="88">
        <f t="shared" si="78"/>
        <v>63.52315920878096</v>
      </c>
      <c r="BJ98" s="88">
        <f t="shared" si="79"/>
        <v>307.26421056976466</v>
      </c>
      <c r="BK98" s="88">
        <f t="shared" si="80"/>
        <v>32.940359664357153</v>
      </c>
      <c r="BL98" s="1182">
        <v>2065</v>
      </c>
      <c r="BM98" s="87">
        <f t="shared" si="147"/>
        <v>63.915015846582961</v>
      </c>
      <c r="BN98" s="88">
        <f t="shared" si="120"/>
        <v>493.68901884275192</v>
      </c>
      <c r="BO98" s="88">
        <f t="shared" si="148"/>
        <v>10.200000000000008</v>
      </c>
      <c r="BP98" s="1187">
        <f t="shared" si="122"/>
        <v>106.5</v>
      </c>
      <c r="BQ98" s="1187">
        <f>BQ97</f>
        <v>65.399999999999977</v>
      </c>
      <c r="BR98" s="88">
        <f t="shared" si="81"/>
        <v>62.139772382287518</v>
      </c>
      <c r="BS98" s="88">
        <f t="shared" si="82"/>
        <v>292.60294254565667</v>
      </c>
      <c r="BT98" s="88">
        <f t="shared" si="83"/>
        <v>30.677723258523457</v>
      </c>
      <c r="BU98" s="1182">
        <v>2050</v>
      </c>
      <c r="BV98" s="87">
        <f t="shared" si="149"/>
        <v>58.246640439542006</v>
      </c>
      <c r="BW98" s="88">
        <f t="shared" si="150"/>
        <v>506.81028364301238</v>
      </c>
      <c r="BX98" s="88">
        <f t="shared" si="151"/>
        <v>8.9000000000000075</v>
      </c>
      <c r="BY98" s="1187">
        <f t="shared" si="152"/>
        <v>115</v>
      </c>
      <c r="BZ98" s="1187">
        <f>BZ97</f>
        <v>65.299999999999983</v>
      </c>
      <c r="CA98" s="88">
        <f t="shared" si="84"/>
        <v>63.139899931481423</v>
      </c>
      <c r="CB98" s="88">
        <f t="shared" si="85"/>
        <v>266.24539344914643</v>
      </c>
      <c r="CC98" s="88">
        <f t="shared" si="86"/>
        <v>31.99995059346552</v>
      </c>
      <c r="CD98" s="1182">
        <f t="shared" si="153"/>
        <v>1975</v>
      </c>
      <c r="CE98" s="87">
        <f t="shared" si="154"/>
        <v>60.200945057634712</v>
      </c>
      <c r="CF98" s="88">
        <f t="shared" si="155"/>
        <v>498.55738546256003</v>
      </c>
      <c r="CG98" s="88">
        <f t="shared" si="156"/>
        <v>10.100000000000003</v>
      </c>
      <c r="CH98" s="1187">
        <f t="shared" si="157"/>
        <v>112</v>
      </c>
      <c r="CI98" s="1187">
        <f>CI97</f>
        <v>68.399999999999977</v>
      </c>
      <c r="CJ98" s="88">
        <f t="shared" si="87"/>
        <v>65.140566555605176</v>
      </c>
      <c r="CK98" s="88">
        <f t="shared" si="88"/>
        <v>288.24212493595496</v>
      </c>
      <c r="CL98" s="88">
        <f t="shared" si="89"/>
        <v>32.476310549512398</v>
      </c>
      <c r="CM98" s="1182">
        <f>CM97</f>
        <v>2081</v>
      </c>
      <c r="CN98" s="87">
        <f t="shared" si="158"/>
        <v>58.401215074101756</v>
      </c>
      <c r="CO98" s="88">
        <f t="shared" si="159"/>
        <v>507.95449559472002</v>
      </c>
      <c r="CP98" s="88">
        <f t="shared" si="160"/>
        <v>9.6000000000000032</v>
      </c>
      <c r="CQ98" s="1187">
        <f t="shared" si="161"/>
        <v>102</v>
      </c>
      <c r="CR98" s="1187">
        <f>CR97</f>
        <v>67.299999999999983</v>
      </c>
      <c r="CS98" s="88">
        <f t="shared" si="90"/>
        <v>63.832889292233965</v>
      </c>
      <c r="CT98" s="88">
        <f t="shared" si="91"/>
        <v>275.1281242140933</v>
      </c>
      <c r="CU98" s="88">
        <f t="shared" si="92"/>
        <v>32.424203082790306</v>
      </c>
      <c r="CV98" s="1182">
        <f>CV97</f>
        <v>1823</v>
      </c>
      <c r="CW98" s="87">
        <f t="shared" si="162"/>
        <v>60.833881776628331</v>
      </c>
      <c r="CX98" s="88">
        <f t="shared" si="124"/>
        <v>482.92172882629546</v>
      </c>
      <c r="CY98" s="88">
        <f t="shared" si="125"/>
        <v>10.200000000000006</v>
      </c>
      <c r="CZ98" s="1187">
        <f t="shared" si="126"/>
        <v>111</v>
      </c>
      <c r="DA98" s="1187">
        <f>DA97</f>
        <v>67.299999999999955</v>
      </c>
      <c r="DB98" s="88">
        <f t="shared" si="93"/>
        <v>64.106975105779398</v>
      </c>
      <c r="DC98" s="88">
        <f t="shared" si="94"/>
        <v>286.58841704969586</v>
      </c>
      <c r="DD98" s="88">
        <f t="shared" si="95"/>
        <v>30.958651247907277</v>
      </c>
      <c r="DE98" s="1182">
        <f>DE97</f>
        <v>2015</v>
      </c>
    </row>
    <row r="99" spans="1:109" ht="15" x14ac:dyDescent="0.2">
      <c r="A99" s="96">
        <f t="shared" si="99"/>
        <v>111</v>
      </c>
      <c r="B99" s="87">
        <f t="shared" ref="B99:B108" si="168">B98-AVERAGE((B97-B98),(B96-B97),(B95-B96),(B94-B95))*0.955</f>
        <v>44.504244391190653</v>
      </c>
      <c r="C99" s="88">
        <f t="shared" si="129"/>
        <v>439.89929130359064</v>
      </c>
      <c r="D99" s="88">
        <f t="shared" ref="D99:D108" si="169">D98+0.18</f>
        <v>9.5879079079079101</v>
      </c>
      <c r="E99" s="1187">
        <f t="shared" si="131"/>
        <v>117</v>
      </c>
      <c r="F99" s="1187">
        <f>F98+0.1</f>
        <v>64.299999999999983</v>
      </c>
      <c r="G99" s="88">
        <f t="shared" si="100"/>
        <v>61.533747765194335</v>
      </c>
      <c r="H99" s="88">
        <f t="shared" si="98"/>
        <v>200.31360400474907</v>
      </c>
      <c r="I99" s="88">
        <f t="shared" si="101"/>
        <v>27.068652033162891</v>
      </c>
      <c r="J99" s="1182">
        <f t="shared" si="132"/>
        <v>1786</v>
      </c>
      <c r="K99" s="87">
        <f t="shared" ref="K99:K108" si="170">K98-AVERAGE((K97-K98),(K96-K97),(K95-K96),(K94-K95))*0.955</f>
        <v>69.66781874657859</v>
      </c>
      <c r="L99" s="88">
        <f t="shared" si="134"/>
        <v>518.49683732210906</v>
      </c>
      <c r="M99" s="88">
        <f t="shared" ref="M99:M108" si="171">M98+0.18</f>
        <v>9.5879079079079101</v>
      </c>
      <c r="N99" s="1187">
        <f t="shared" si="136"/>
        <v>118</v>
      </c>
      <c r="O99" s="1187">
        <f>O98+0.1</f>
        <v>65.59999999999998</v>
      </c>
      <c r="P99" s="88">
        <f t="shared" si="63"/>
        <v>63.625413000695772</v>
      </c>
      <c r="Q99" s="88">
        <f t="shared" si="64"/>
        <v>319.91462368428881</v>
      </c>
      <c r="R99" s="88">
        <f t="shared" si="65"/>
        <v>32.989575414173764</v>
      </c>
      <c r="S99" s="1182">
        <f t="shared" si="137"/>
        <v>2011</v>
      </c>
      <c r="T99" s="87">
        <f t="shared" ref="T99:T108" si="172">T98-AVERAGE((T97-T98),(T96-T97),(T95-T96),(T94-T95))*0.955</f>
        <v>55.487974274400329</v>
      </c>
      <c r="U99" s="88">
        <f t="shared" si="103"/>
        <v>465.17209974534268</v>
      </c>
      <c r="V99" s="88">
        <f t="shared" ref="V99:V108" si="173">V98+0.18</f>
        <v>10.480000000000008</v>
      </c>
      <c r="W99" s="1187">
        <f t="shared" si="105"/>
        <v>126</v>
      </c>
      <c r="X99" s="1187">
        <f>X98</f>
        <v>67.79999999999994</v>
      </c>
      <c r="Y99" s="88">
        <f t="shared" si="66"/>
        <v>63.109522512404197</v>
      </c>
      <c r="Z99" s="88">
        <f t="shared" si="67"/>
        <v>263.34592590630376</v>
      </c>
      <c r="AA99" s="88">
        <f t="shared" si="68"/>
        <v>29.356789101021036</v>
      </c>
      <c r="AB99" s="1182">
        <f t="shared" si="167"/>
        <v>2320</v>
      </c>
      <c r="AC99" s="87">
        <f t="shared" ref="AC99:AC108" si="174">AC98-AVERAGE((AC97-AC98),(AC96-AC97),(AC95-AC96),(AC94-AC95))*0.955</f>
        <v>60.178843449822182</v>
      </c>
      <c r="AD99" s="88">
        <f t="shared" si="107"/>
        <v>488.01899444031528</v>
      </c>
      <c r="AE99" s="88">
        <f t="shared" ref="AE99:AE108" si="175">AE98+0.18</f>
        <v>9.800000000000006</v>
      </c>
      <c r="AF99" s="1187">
        <f t="shared" si="109"/>
        <v>116</v>
      </c>
      <c r="AG99" s="1187">
        <f>AG96+0.1</f>
        <v>66.799999999999955</v>
      </c>
      <c r="AH99" s="88">
        <f t="shared" si="69"/>
        <v>64.233975600604253</v>
      </c>
      <c r="AI99" s="88">
        <f t="shared" si="70"/>
        <v>281.39627197136838</v>
      </c>
      <c r="AJ99" s="88">
        <f t="shared" si="71"/>
        <v>31.347400181510636</v>
      </c>
      <c r="AK99" s="1182">
        <f>AK98+10</f>
        <v>1995</v>
      </c>
      <c r="AL99" s="87">
        <f t="shared" ref="AL99:AL108" si="176">AL98-AVERAGE((AL97-AL98),(AL96-AL97),(AL95-AL96),(AL94-AL95))*0.955</f>
        <v>73.82360073259774</v>
      </c>
      <c r="AM99" s="88">
        <f t="shared" si="112"/>
        <v>521.15604589451345</v>
      </c>
      <c r="AN99" s="88">
        <f t="shared" ref="AN99:AN108" si="177">AN98+0.18</f>
        <v>9.800000000000006</v>
      </c>
      <c r="AO99" s="1187">
        <f t="shared" si="114"/>
        <v>110</v>
      </c>
      <c r="AP99" s="1187">
        <f>AP96+0.1</f>
        <v>66.799999999999955</v>
      </c>
      <c r="AQ99" s="88">
        <f t="shared" si="72"/>
        <v>62.786460112644853</v>
      </c>
      <c r="AR99" s="88">
        <f t="shared" si="73"/>
        <v>345.19915702562679</v>
      </c>
      <c r="AS99" s="88">
        <f t="shared" si="74"/>
        <v>32.721543288019582</v>
      </c>
      <c r="AT99" s="1182">
        <f>AT98+10</f>
        <v>1730</v>
      </c>
      <c r="AU99" s="87">
        <f t="shared" ref="AU99:AU108" si="178">AU98-AVERAGE((AU97-AU98),(AU96-AU97),(AU95-AU96),(AU94-AU95))*0.955</f>
        <v>49.211110889498045</v>
      </c>
      <c r="AV99" s="88">
        <f t="shared" si="142"/>
        <v>490.99005647414964</v>
      </c>
      <c r="AW99" s="88">
        <f t="shared" ref="AW99:AW108" si="179">AW98+0.18</f>
        <v>9.6800000000000033</v>
      </c>
      <c r="AX99" s="1187">
        <f t="shared" si="144"/>
        <v>106</v>
      </c>
      <c r="AY99" s="1187">
        <f>AY98</f>
        <v>67.899999999999991</v>
      </c>
      <c r="AZ99" s="88">
        <f t="shared" si="75"/>
        <v>64.432300386130819</v>
      </c>
      <c r="BA99" s="88">
        <f t="shared" si="76"/>
        <v>233.90041005778417</v>
      </c>
      <c r="BB99" s="88">
        <f t="shared" si="77"/>
        <v>31.635618805345739</v>
      </c>
      <c r="BC99" s="1182">
        <f t="shared" si="145"/>
        <v>2090</v>
      </c>
      <c r="BD99" s="87">
        <f t="shared" ref="BD99:BD108" si="180">BD98-AVERAGE((BD97-BD98),(BD96-BD97),(BD95-BD96),(BD94-BD95))*0.955</f>
        <v>66.434953074649357</v>
      </c>
      <c r="BE99" s="88">
        <f t="shared" si="117"/>
        <v>522.04453269832845</v>
      </c>
      <c r="BF99" s="88">
        <f>BF98+0.25</f>
        <v>9.529999999999994</v>
      </c>
      <c r="BG99" s="1187">
        <f t="shared" si="118"/>
        <v>116</v>
      </c>
      <c r="BH99" s="1187">
        <f>BH98</f>
        <v>65.699999999999974</v>
      </c>
      <c r="BI99" s="88">
        <f t="shared" si="78"/>
        <v>63.537702913589193</v>
      </c>
      <c r="BJ99" s="88">
        <f t="shared" si="79"/>
        <v>305.5343491903123</v>
      </c>
      <c r="BK99" s="88">
        <f t="shared" si="80"/>
        <v>33.1695104262499</v>
      </c>
      <c r="BL99" s="1182">
        <v>2065</v>
      </c>
      <c r="BM99" s="87">
        <f t="shared" ref="BM99:BM108" si="181">BM98-AVERAGE((BM97-BM98),(BM96-BM97),(BM95-BM96),(BM94-BM95))*0.955</f>
        <v>63.487974274400393</v>
      </c>
      <c r="BN99" s="88">
        <f t="shared" si="120"/>
        <v>497.02213749215792</v>
      </c>
      <c r="BO99" s="88">
        <f t="shared" ref="BO99:BO108" si="182">BO98+0.25</f>
        <v>10.450000000000008</v>
      </c>
      <c r="BP99" s="1187">
        <f t="shared" si="122"/>
        <v>106.5</v>
      </c>
      <c r="BQ99" s="1187">
        <f>BQ98</f>
        <v>65.399999999999977</v>
      </c>
      <c r="BR99" s="88">
        <f t="shared" si="81"/>
        <v>62.161636047211452</v>
      </c>
      <c r="BS99" s="88">
        <f t="shared" si="82"/>
        <v>290.64794622820489</v>
      </c>
      <c r="BT99" s="88">
        <f t="shared" si="83"/>
        <v>30.895709218194611</v>
      </c>
      <c r="BU99" s="1182">
        <v>2050</v>
      </c>
      <c r="BV99" s="87">
        <f t="shared" ref="BV99:BV108" si="183">BV98-AVERAGE((BV97-BV98),(BV96-BV97),(BV95-BV96),(BV94-BV95))*0.955</f>
        <v>57.492825408044133</v>
      </c>
      <c r="BW99" s="88">
        <f t="shared" si="150"/>
        <v>510.11037182143411</v>
      </c>
      <c r="BX99" s="88">
        <f t="shared" ref="BX99:BX108" si="184">BX98+0.18</f>
        <v>9.0800000000000072</v>
      </c>
      <c r="BY99" s="1187">
        <f t="shared" si="152"/>
        <v>115</v>
      </c>
      <c r="BZ99" s="1187">
        <f>BZ98</f>
        <v>65.299999999999983</v>
      </c>
      <c r="CA99" s="88">
        <f t="shared" si="84"/>
        <v>63.153874398761651</v>
      </c>
      <c r="CB99" s="88">
        <f t="shared" si="85"/>
        <v>262.7997049401697</v>
      </c>
      <c r="CC99" s="88">
        <f t="shared" si="86"/>
        <v>32.215446351516455</v>
      </c>
      <c r="CD99" s="1182">
        <f t="shared" si="153"/>
        <v>1975</v>
      </c>
      <c r="CE99" s="87">
        <f t="shared" ref="CE99:CE108" si="185">CE98-AVERAGE((CE97-CE98),(CE96-CE97),(CE95-CE96),(CE94-CE95))*0.955</f>
        <v>59.627998370177252</v>
      </c>
      <c r="CF99" s="88">
        <f t="shared" si="155"/>
        <v>501.98003256900819</v>
      </c>
      <c r="CG99" s="88">
        <f t="shared" ref="CG99:CG108" si="186">CG98+0.18</f>
        <v>10.280000000000003</v>
      </c>
      <c r="CH99" s="1187">
        <f t="shared" si="157"/>
        <v>112</v>
      </c>
      <c r="CI99" s="1187">
        <f>CI98</f>
        <v>68.399999999999977</v>
      </c>
      <c r="CJ99" s="88">
        <f t="shared" si="87"/>
        <v>65.162790328909509</v>
      </c>
      <c r="CK99" s="88">
        <f t="shared" si="88"/>
        <v>285.49885619640855</v>
      </c>
      <c r="CL99" s="88">
        <f t="shared" si="89"/>
        <v>32.710419611593451</v>
      </c>
      <c r="CM99" s="1182">
        <f>CM98</f>
        <v>2081</v>
      </c>
      <c r="CN99" s="87">
        <f t="shared" ref="CN99:CN108" si="187">CN98-AVERAGE((CN97-CN98),(CN96-CN97),(CN95-CN96),(CN94-CN95))*0.955</f>
        <v>57.664569333085026</v>
      </c>
      <c r="CO99" s="88">
        <f t="shared" si="159"/>
        <v>511.26444187443911</v>
      </c>
      <c r="CP99" s="88">
        <f t="shared" ref="CP99:CP108" si="188">CP98+0.18</f>
        <v>9.7800000000000029</v>
      </c>
      <c r="CQ99" s="1187">
        <f t="shared" si="161"/>
        <v>102</v>
      </c>
      <c r="CR99" s="1187">
        <f>CR98</f>
        <v>67.299999999999983</v>
      </c>
      <c r="CS99" s="88">
        <f t="shared" si="90"/>
        <v>63.855335504504211</v>
      </c>
      <c r="CT99" s="88">
        <f t="shared" si="91"/>
        <v>271.65778612816348</v>
      </c>
      <c r="CU99" s="88">
        <f t="shared" si="92"/>
        <v>32.646962467415399</v>
      </c>
      <c r="CV99" s="1182">
        <f>CV98</f>
        <v>1823</v>
      </c>
      <c r="CW99" s="87">
        <f t="shared" ref="CW99:CW108" si="189">CW98-AVERAGE((CW97-CW98),(CW96-CW97),(CW95-CW96),(CW94-CW95))*0.955</f>
        <v>60.478843449822179</v>
      </c>
      <c r="CX99" s="88">
        <f t="shared" si="124"/>
        <v>486.39321444031526</v>
      </c>
      <c r="CY99" s="88">
        <f t="shared" ref="CY99:CY108" si="190">CY98+0.18</f>
        <v>10.380000000000006</v>
      </c>
      <c r="CZ99" s="1187">
        <f t="shared" si="126"/>
        <v>111</v>
      </c>
      <c r="DA99" s="1187">
        <f>DA98</f>
        <v>67.299999999999955</v>
      </c>
      <c r="DB99" s="88">
        <f t="shared" si="93"/>
        <v>64.129764362817554</v>
      </c>
      <c r="DC99" s="88">
        <f t="shared" si="94"/>
        <v>284.91583149211215</v>
      </c>
      <c r="DD99" s="88">
        <f t="shared" si="95"/>
        <v>31.192282229730804</v>
      </c>
      <c r="DE99" s="1182">
        <f>DE98</f>
        <v>2015</v>
      </c>
    </row>
    <row r="100" spans="1:109" ht="15" x14ac:dyDescent="0.2">
      <c r="A100" s="96">
        <f t="shared" si="99"/>
        <v>112</v>
      </c>
      <c r="B100" s="87">
        <f t="shared" si="168"/>
        <v>43.973823720461702</v>
      </c>
      <c r="C100" s="88">
        <f t="shared" si="129"/>
        <v>442.42338878514516</v>
      </c>
      <c r="D100" s="88">
        <f t="shared" si="169"/>
        <v>9.7679079079079099</v>
      </c>
      <c r="E100" s="1187">
        <f t="shared" si="131"/>
        <v>117</v>
      </c>
      <c r="F100" s="1187">
        <f>F99</f>
        <v>64.299999999999983</v>
      </c>
      <c r="G100" s="88">
        <f t="shared" si="100"/>
        <v>61.549529684677367</v>
      </c>
      <c r="H100" s="88">
        <f t="shared" si="98"/>
        <v>197.92618056579806</v>
      </c>
      <c r="I100" s="88">
        <f t="shared" si="101"/>
        <v>27.230951501226848</v>
      </c>
      <c r="J100" s="1182">
        <f t="shared" si="132"/>
        <v>1787</v>
      </c>
      <c r="K100" s="87">
        <f t="shared" si="170"/>
        <v>69.370106331901368</v>
      </c>
      <c r="L100" s="88">
        <f t="shared" si="134"/>
        <v>522.47868142556024</v>
      </c>
      <c r="M100" s="88">
        <f t="shared" si="171"/>
        <v>9.7679079079079099</v>
      </c>
      <c r="N100" s="1187">
        <f t="shared" si="136"/>
        <v>118</v>
      </c>
      <c r="O100" s="1187">
        <f>O99</f>
        <v>65.59999999999998</v>
      </c>
      <c r="P100" s="88">
        <f t="shared" si="63"/>
        <v>63.640461456985847</v>
      </c>
      <c r="Q100" s="88">
        <f t="shared" si="64"/>
        <v>318.54752827609099</v>
      </c>
      <c r="R100" s="88">
        <f t="shared" si="65"/>
        <v>33.250784387360156</v>
      </c>
      <c r="S100" s="1182">
        <f t="shared" si="137"/>
        <v>2012</v>
      </c>
      <c r="T100" s="87">
        <f t="shared" si="172"/>
        <v>55.06833459668664</v>
      </c>
      <c r="U100" s="88">
        <f t="shared" si="103"/>
        <v>468.33302215119249</v>
      </c>
      <c r="V100" s="88">
        <f t="shared" si="173"/>
        <v>10.660000000000007</v>
      </c>
      <c r="W100" s="1187">
        <f t="shared" si="105"/>
        <v>126</v>
      </c>
      <c r="X100" s="1187">
        <f>X99</f>
        <v>67.79999999999994</v>
      </c>
      <c r="Y100" s="88">
        <f t="shared" si="66"/>
        <v>63.141179975541377</v>
      </c>
      <c r="Z100" s="88">
        <f t="shared" si="67"/>
        <v>261.35431599587457</v>
      </c>
      <c r="AA100" s="88">
        <f t="shared" si="68"/>
        <v>29.57109964013765</v>
      </c>
      <c r="AB100" s="1182">
        <f t="shared" si="167"/>
        <v>2320</v>
      </c>
      <c r="AC100" s="87">
        <f t="shared" si="174"/>
        <v>59.829979829287019</v>
      </c>
      <c r="AD100" s="88">
        <f t="shared" si="107"/>
        <v>491.45323528251635</v>
      </c>
      <c r="AE100" s="88">
        <f t="shared" si="175"/>
        <v>9.9800000000000058</v>
      </c>
      <c r="AF100" s="1187">
        <f t="shared" si="109"/>
        <v>116</v>
      </c>
      <c r="AG100" s="1187">
        <f>AG99+0.1</f>
        <v>66.899999999999949</v>
      </c>
      <c r="AH100" s="88">
        <f t="shared" si="69"/>
        <v>64.252605592679586</v>
      </c>
      <c r="AI100" s="88">
        <f t="shared" si="70"/>
        <v>280.18379554055088</v>
      </c>
      <c r="AJ100" s="88">
        <f t="shared" si="71"/>
        <v>31.577150893853887</v>
      </c>
      <c r="AK100" s="1182">
        <f t="shared" ref="AK100:AK108" si="191">AK99</f>
        <v>1995</v>
      </c>
      <c r="AL100" s="87">
        <f t="shared" si="176"/>
        <v>73.607405053035848</v>
      </c>
      <c r="AM100" s="88">
        <f t="shared" si="112"/>
        <v>525.38111094455769</v>
      </c>
      <c r="AN100" s="88">
        <f t="shared" si="177"/>
        <v>9.9800000000000058</v>
      </c>
      <c r="AO100" s="1187">
        <f t="shared" si="114"/>
        <v>110</v>
      </c>
      <c r="AP100" s="1187">
        <f>AP99+0.1</f>
        <v>66.899999999999949</v>
      </c>
      <c r="AQ100" s="88">
        <f t="shared" si="72"/>
        <v>62.819540810157527</v>
      </c>
      <c r="AR100" s="88">
        <f t="shared" si="73"/>
        <v>344.70347786336657</v>
      </c>
      <c r="AS100" s="88">
        <f t="shared" si="74"/>
        <v>33.004200139867542</v>
      </c>
      <c r="AT100" s="1182">
        <f t="shared" ref="AT100:AT108" si="192">AT99</f>
        <v>1730</v>
      </c>
      <c r="AU100" s="87">
        <f t="shared" si="178"/>
        <v>48.390385770787645</v>
      </c>
      <c r="AV100" s="88">
        <f t="shared" si="142"/>
        <v>493.76766461739282</v>
      </c>
      <c r="AW100" s="88">
        <f t="shared" si="179"/>
        <v>9.860000000000003</v>
      </c>
      <c r="AX100" s="1187">
        <f t="shared" si="144"/>
        <v>106</v>
      </c>
      <c r="AY100" s="1187">
        <f>AY99+0.1</f>
        <v>67.999999999999986</v>
      </c>
      <c r="AZ100" s="88">
        <f t="shared" si="75"/>
        <v>64.452369888875211</v>
      </c>
      <c r="BA100" s="88">
        <f t="shared" si="76"/>
        <v>230.33823626894915</v>
      </c>
      <c r="BB100" s="88">
        <f t="shared" si="77"/>
        <v>31.82449615908628</v>
      </c>
      <c r="BC100" s="1182">
        <f t="shared" si="145"/>
        <v>2090</v>
      </c>
      <c r="BD100" s="87">
        <f t="shared" si="180"/>
        <v>66.065358155055392</v>
      </c>
      <c r="BE100" s="88">
        <f t="shared" si="117"/>
        <v>525.51296400146884</v>
      </c>
      <c r="BF100" s="88">
        <f>BF99+0.25</f>
        <v>9.779999999999994</v>
      </c>
      <c r="BG100" s="1187">
        <f t="shared" si="118"/>
        <v>116</v>
      </c>
      <c r="BH100" s="1187">
        <f>BH99+0.1</f>
        <v>65.799999999999969</v>
      </c>
      <c r="BI100" s="88">
        <f t="shared" si="78"/>
        <v>63.5526342712702</v>
      </c>
      <c r="BJ100" s="88">
        <f t="shared" si="79"/>
        <v>304.297039662185</v>
      </c>
      <c r="BK100" s="88">
        <f t="shared" si="80"/>
        <v>33.397733205996531</v>
      </c>
      <c r="BL100" s="1182">
        <v>2065</v>
      </c>
      <c r="BM100" s="87">
        <f t="shared" si="181"/>
        <v>63.068334596686711</v>
      </c>
      <c r="BN100" s="88">
        <f t="shared" si="120"/>
        <v>500.333225058484</v>
      </c>
      <c r="BO100" s="88">
        <f t="shared" si="182"/>
        <v>10.700000000000008</v>
      </c>
      <c r="BP100" s="1187">
        <f t="shared" si="122"/>
        <v>106.5</v>
      </c>
      <c r="BQ100" s="1187">
        <f>BQ99+0.1</f>
        <v>65.499999999999972</v>
      </c>
      <c r="BR100" s="88">
        <f t="shared" si="81"/>
        <v>62.183728554409349</v>
      </c>
      <c r="BS100" s="88">
        <f t="shared" si="82"/>
        <v>289.16831412580848</v>
      </c>
      <c r="BT100" s="88">
        <f t="shared" si="83"/>
        <v>31.11258545378897</v>
      </c>
      <c r="BU100" s="1182">
        <v>2050</v>
      </c>
      <c r="BV100" s="87">
        <f t="shared" si="183"/>
        <v>56.752519605030898</v>
      </c>
      <c r="BW100" s="88">
        <f t="shared" si="150"/>
        <v>513.36796644676292</v>
      </c>
      <c r="BX100" s="88">
        <f t="shared" si="184"/>
        <v>9.2600000000000069</v>
      </c>
      <c r="BY100" s="1187">
        <f t="shared" si="152"/>
        <v>115</v>
      </c>
      <c r="BZ100" s="1187">
        <f>BZ99+0.1</f>
        <v>65.399999999999977</v>
      </c>
      <c r="CA100" s="88">
        <f t="shared" si="84"/>
        <v>63.168127268369105</v>
      </c>
      <c r="CB100" s="88">
        <f t="shared" si="85"/>
        <v>259.81303475183131</v>
      </c>
      <c r="CC100" s="88">
        <f t="shared" si="86"/>
        <v>32.42849304001296</v>
      </c>
      <c r="CD100" s="1182">
        <f t="shared" si="153"/>
        <v>1975</v>
      </c>
      <c r="CE100" s="87">
        <f t="shared" si="185"/>
        <v>59.065063160297065</v>
      </c>
      <c r="CF100" s="88">
        <f t="shared" si="155"/>
        <v>505.37036719440925</v>
      </c>
      <c r="CG100" s="88">
        <f t="shared" si="186"/>
        <v>10.460000000000003</v>
      </c>
      <c r="CH100" s="1187">
        <f t="shared" si="157"/>
        <v>112</v>
      </c>
      <c r="CI100" s="1187">
        <f>CI99+0.1</f>
        <v>68.499999999999972</v>
      </c>
      <c r="CJ100" s="88">
        <f t="shared" si="87"/>
        <v>65.185178379801641</v>
      </c>
      <c r="CK100" s="88">
        <f t="shared" si="88"/>
        <v>283.21697785362426</v>
      </c>
      <c r="CL100" s="88">
        <f t="shared" si="89"/>
        <v>32.942657533433419</v>
      </c>
      <c r="CM100" s="1182">
        <f>CM99</f>
        <v>2081</v>
      </c>
      <c r="CN100" s="87">
        <f t="shared" si="187"/>
        <v>56.940795491810505</v>
      </c>
      <c r="CO100" s="88">
        <f t="shared" si="159"/>
        <v>514.53284353566903</v>
      </c>
      <c r="CP100" s="88">
        <f t="shared" si="188"/>
        <v>9.9600000000000026</v>
      </c>
      <c r="CQ100" s="1187">
        <f t="shared" si="161"/>
        <v>102</v>
      </c>
      <c r="CR100" s="1187">
        <f>CR99+0.1</f>
        <v>67.399999999999977</v>
      </c>
      <c r="CS100" s="88">
        <f t="shared" si="90"/>
        <v>63.877851826778155</v>
      </c>
      <c r="CT100" s="88">
        <f t="shared" si="91"/>
        <v>268.64667313036188</v>
      </c>
      <c r="CU100" s="88">
        <f t="shared" si="92"/>
        <v>32.867252739382295</v>
      </c>
      <c r="CV100" s="1182">
        <f>CV99</f>
        <v>1823</v>
      </c>
      <c r="CW100" s="87">
        <f t="shared" si="189"/>
        <v>60.129979829287016</v>
      </c>
      <c r="CX100" s="88">
        <f t="shared" si="124"/>
        <v>489.84467528251633</v>
      </c>
      <c r="CY100" s="88">
        <f t="shared" si="190"/>
        <v>10.560000000000006</v>
      </c>
      <c r="CZ100" s="1187">
        <f t="shared" si="126"/>
        <v>111</v>
      </c>
      <c r="DA100" s="1187">
        <f>DA99+0.1</f>
        <v>67.399999999999949</v>
      </c>
      <c r="DB100" s="88">
        <f t="shared" si="93"/>
        <v>64.152806544994988</v>
      </c>
      <c r="DC100" s="88">
        <f t="shared" si="94"/>
        <v>283.69324483457592</v>
      </c>
      <c r="DD100" s="88">
        <f t="shared" si="95"/>
        <v>31.424910690495157</v>
      </c>
      <c r="DE100" s="1182">
        <f>DE99</f>
        <v>2015</v>
      </c>
    </row>
    <row r="101" spans="1:109" ht="15" x14ac:dyDescent="0.2">
      <c r="A101" s="96">
        <f t="shared" si="99"/>
        <v>113</v>
      </c>
      <c r="B101" s="87">
        <f t="shared" si="168"/>
        <v>43.452596686966046</v>
      </c>
      <c r="C101" s="88">
        <f t="shared" si="129"/>
        <v>444.91756783497704</v>
      </c>
      <c r="D101" s="88">
        <f t="shared" si="169"/>
        <v>9.9479079079079096</v>
      </c>
      <c r="E101" s="1187">
        <f t="shared" si="131"/>
        <v>117</v>
      </c>
      <c r="F101" s="1187">
        <f>F100</f>
        <v>64.299999999999983</v>
      </c>
      <c r="G101" s="88">
        <f t="shared" si="100"/>
        <v>61.564948643004968</v>
      </c>
      <c r="H101" s="88">
        <f t="shared" si="98"/>
        <v>195.58013768803411</v>
      </c>
      <c r="I101" s="88">
        <f t="shared" si="101"/>
        <v>27.391327214131039</v>
      </c>
      <c r="J101" s="1182">
        <f t="shared" si="132"/>
        <v>1788</v>
      </c>
      <c r="K101" s="87">
        <f t="shared" si="170"/>
        <v>69.077886343718475</v>
      </c>
      <c r="L101" s="88">
        <f t="shared" si="134"/>
        <v>526.44375210168971</v>
      </c>
      <c r="M101" s="88">
        <f t="shared" si="171"/>
        <v>9.9479079079079096</v>
      </c>
      <c r="N101" s="1187">
        <f t="shared" si="136"/>
        <v>118</v>
      </c>
      <c r="O101" s="1187">
        <f>O100</f>
        <v>65.59999999999998</v>
      </c>
      <c r="P101" s="88">
        <f t="shared" si="63"/>
        <v>63.65522031542919</v>
      </c>
      <c r="Q101" s="88">
        <f t="shared" si="64"/>
        <v>317.20565409035515</v>
      </c>
      <c r="R101" s="88">
        <f t="shared" si="65"/>
        <v>33.510893023714246</v>
      </c>
      <c r="S101" s="1182">
        <f t="shared" si="137"/>
        <v>2013</v>
      </c>
      <c r="T101" s="87">
        <f t="shared" si="172"/>
        <v>54.656130904816571</v>
      </c>
      <c r="U101" s="88">
        <f t="shared" si="103"/>
        <v>471.47028406512896</v>
      </c>
      <c r="V101" s="88">
        <f t="shared" si="173"/>
        <v>10.840000000000007</v>
      </c>
      <c r="W101" s="1187">
        <f t="shared" si="105"/>
        <v>126</v>
      </c>
      <c r="X101" s="1187">
        <f>X100+0.1</f>
        <v>67.899999999999935</v>
      </c>
      <c r="Y101" s="88">
        <f t="shared" si="66"/>
        <v>63.172846159652245</v>
      </c>
      <c r="Z101" s="88">
        <f t="shared" si="67"/>
        <v>259.78059019059287</v>
      </c>
      <c r="AA101" s="88">
        <f t="shared" si="68"/>
        <v>29.784119724093937</v>
      </c>
      <c r="AB101" s="1182">
        <f t="shared" si="167"/>
        <v>2320</v>
      </c>
      <c r="AC101" s="87">
        <f t="shared" si="174"/>
        <v>59.487295666266391</v>
      </c>
      <c r="AD101" s="88">
        <f t="shared" si="107"/>
        <v>494.86780605376003</v>
      </c>
      <c r="AE101" s="88">
        <f t="shared" si="175"/>
        <v>10.160000000000005</v>
      </c>
      <c r="AF101" s="1187">
        <f t="shared" si="109"/>
        <v>116</v>
      </c>
      <c r="AG101" s="1187">
        <f>AG99+0.1</f>
        <v>66.899999999999949</v>
      </c>
      <c r="AH101" s="88">
        <f t="shared" si="69"/>
        <v>64.270872522660895</v>
      </c>
      <c r="AI101" s="88">
        <f t="shared" si="70"/>
        <v>278.5790056051253</v>
      </c>
      <c r="AJ101" s="88">
        <f t="shared" si="71"/>
        <v>31.80558567845009</v>
      </c>
      <c r="AK101" s="1182">
        <f t="shared" si="191"/>
        <v>1995</v>
      </c>
      <c r="AL101" s="87">
        <f t="shared" si="176"/>
        <v>73.39503779148535</v>
      </c>
      <c r="AM101" s="88">
        <f t="shared" si="112"/>
        <v>529.5939861137889</v>
      </c>
      <c r="AN101" s="88">
        <f t="shared" si="177"/>
        <v>10.160000000000005</v>
      </c>
      <c r="AO101" s="1187">
        <f t="shared" si="114"/>
        <v>110</v>
      </c>
      <c r="AP101" s="1187">
        <f>AP99+0.1</f>
        <v>66.899999999999949</v>
      </c>
      <c r="AQ101" s="88">
        <f t="shared" si="72"/>
        <v>62.852000516367745</v>
      </c>
      <c r="AR101" s="88">
        <f t="shared" si="73"/>
        <v>343.70896197752563</v>
      </c>
      <c r="AS101" s="88">
        <f t="shared" si="74"/>
        <v>33.286041488689108</v>
      </c>
      <c r="AT101" s="1182">
        <f t="shared" si="192"/>
        <v>1730</v>
      </c>
      <c r="AU101" s="87">
        <f t="shared" si="178"/>
        <v>47.584484906726402</v>
      </c>
      <c r="AV101" s="88">
        <f t="shared" si="142"/>
        <v>496.4990140510389</v>
      </c>
      <c r="AW101" s="88">
        <f t="shared" si="179"/>
        <v>10.040000000000003</v>
      </c>
      <c r="AX101" s="1187">
        <f t="shared" si="144"/>
        <v>106</v>
      </c>
      <c r="AY101" s="1187">
        <f>AY100</f>
        <v>67.999999999999986</v>
      </c>
      <c r="AZ101" s="88">
        <f t="shared" si="75"/>
        <v>64.471886176361352</v>
      </c>
      <c r="BA101" s="88">
        <f t="shared" si="76"/>
        <v>226.50214815601765</v>
      </c>
      <c r="BB101" s="88">
        <f t="shared" si="77"/>
        <v>32.010227920574216</v>
      </c>
      <c r="BC101" s="1182">
        <f t="shared" si="145"/>
        <v>2090</v>
      </c>
      <c r="BD101" s="87">
        <f t="shared" si="180"/>
        <v>65.702307833102964</v>
      </c>
      <c r="BE101" s="88">
        <f t="shared" si="117"/>
        <v>529.6522093949543</v>
      </c>
      <c r="BF101" s="88">
        <f>BF100+0.1</f>
        <v>9.8799999999999937</v>
      </c>
      <c r="BG101" s="1187">
        <f t="shared" si="118"/>
        <v>116</v>
      </c>
      <c r="BH101" s="1187">
        <f>BH100</f>
        <v>65.799999999999969</v>
      </c>
      <c r="BI101" s="88">
        <f t="shared" si="78"/>
        <v>63.570197491200403</v>
      </c>
      <c r="BJ101" s="88">
        <f t="shared" si="79"/>
        <v>302.62482987927217</v>
      </c>
      <c r="BK101" s="88">
        <f t="shared" si="80"/>
        <v>33.670095552887872</v>
      </c>
      <c r="BL101" s="1182">
        <v>2065</v>
      </c>
      <c r="BM101" s="87">
        <f t="shared" si="181"/>
        <v>62.656130904816649</v>
      </c>
      <c r="BN101" s="88">
        <f t="shared" si="120"/>
        <v>503.62267193098688</v>
      </c>
      <c r="BO101" s="88">
        <f t="shared" si="182"/>
        <v>10.950000000000008</v>
      </c>
      <c r="BP101" s="1187">
        <f t="shared" si="122"/>
        <v>106.5</v>
      </c>
      <c r="BQ101" s="1187">
        <f>BQ100</f>
        <v>65.499999999999972</v>
      </c>
      <c r="BR101" s="88">
        <f t="shared" si="81"/>
        <v>62.205389014398655</v>
      </c>
      <c r="BS101" s="88">
        <f t="shared" si="82"/>
        <v>287.27836019858427</v>
      </c>
      <c r="BT101" s="88">
        <f t="shared" si="83"/>
        <v>31.328044223937908</v>
      </c>
      <c r="BU101" s="1182">
        <v>2050</v>
      </c>
      <c r="BV101" s="87">
        <f t="shared" si="183"/>
        <v>56.025610736224152</v>
      </c>
      <c r="BW101" s="88">
        <f t="shared" si="150"/>
        <v>516.58383650302221</v>
      </c>
      <c r="BX101" s="88">
        <f t="shared" si="184"/>
        <v>9.4400000000000066</v>
      </c>
      <c r="BY101" s="1187">
        <f t="shared" si="152"/>
        <v>115</v>
      </c>
      <c r="BZ101" s="1187">
        <f>BZ100</f>
        <v>65.399999999999977</v>
      </c>
      <c r="CA101" s="88">
        <f t="shared" si="84"/>
        <v>63.182021262295862</v>
      </c>
      <c r="CB101" s="88">
        <f t="shared" si="85"/>
        <v>256.48524595043409</v>
      </c>
      <c r="CC101" s="88">
        <f t="shared" si="86"/>
        <v>32.63881094169232</v>
      </c>
      <c r="CD101" s="1182">
        <f t="shared" si="153"/>
        <v>1975</v>
      </c>
      <c r="CE101" s="87">
        <f t="shared" si="185"/>
        <v>58.512119193515588</v>
      </c>
      <c r="CF101" s="88">
        <f t="shared" si="155"/>
        <v>508.72896283611703</v>
      </c>
      <c r="CG101" s="88">
        <f t="shared" si="186"/>
        <v>10.640000000000002</v>
      </c>
      <c r="CH101" s="1187">
        <f t="shared" si="157"/>
        <v>112</v>
      </c>
      <c r="CI101" s="1187">
        <f>CI100</f>
        <v>68.499999999999972</v>
      </c>
      <c r="CJ101" s="88">
        <f t="shared" si="87"/>
        <v>65.207062617303222</v>
      </c>
      <c r="CK101" s="88">
        <f t="shared" si="88"/>
        <v>280.56561153290716</v>
      </c>
      <c r="CL101" s="88">
        <f t="shared" si="89"/>
        <v>33.172721334890404</v>
      </c>
      <c r="CM101" s="1182">
        <f>CM100</f>
        <v>2081</v>
      </c>
      <c r="CN101" s="87">
        <f t="shared" si="187"/>
        <v>56.229867534520032</v>
      </c>
      <c r="CO101" s="88">
        <f t="shared" si="159"/>
        <v>517.76043793215047</v>
      </c>
      <c r="CP101" s="88">
        <f t="shared" si="188"/>
        <v>10.140000000000002</v>
      </c>
      <c r="CQ101" s="1187">
        <f t="shared" si="161"/>
        <v>102</v>
      </c>
      <c r="CR101" s="1187">
        <f>CR100</f>
        <v>67.399999999999977</v>
      </c>
      <c r="CS101" s="88">
        <f t="shared" si="90"/>
        <v>63.899808053779338</v>
      </c>
      <c r="CT101" s="88">
        <f t="shared" si="91"/>
        <v>265.29251502786542</v>
      </c>
      <c r="CU101" s="88">
        <f t="shared" si="92"/>
        <v>33.084792601705146</v>
      </c>
      <c r="CV101" s="1182">
        <f>CV100</f>
        <v>1823</v>
      </c>
      <c r="CW101" s="87">
        <f t="shared" si="189"/>
        <v>59.787295666266388</v>
      </c>
      <c r="CX101" s="88">
        <f t="shared" si="124"/>
        <v>493.27646605376003</v>
      </c>
      <c r="CY101" s="88">
        <f t="shared" si="190"/>
        <v>10.740000000000006</v>
      </c>
      <c r="CZ101" s="1187">
        <f t="shared" si="126"/>
        <v>111</v>
      </c>
      <c r="DA101" s="1187">
        <f>DA100</f>
        <v>67.399999999999949</v>
      </c>
      <c r="DB101" s="88">
        <f t="shared" si="93"/>
        <v>64.175397706946171</v>
      </c>
      <c r="DC101" s="88">
        <f t="shared" si="94"/>
        <v>282.07646095344461</v>
      </c>
      <c r="DD101" s="88">
        <f t="shared" si="95"/>
        <v>31.656213388476985</v>
      </c>
      <c r="DE101" s="1182">
        <f>DE100</f>
        <v>2015</v>
      </c>
    </row>
    <row r="102" spans="1:109" ht="15" x14ac:dyDescent="0.2">
      <c r="A102" s="96">
        <f t="shared" si="99"/>
        <v>114</v>
      </c>
      <c r="B102" s="87">
        <f t="shared" si="168"/>
        <v>42.940928825832287</v>
      </c>
      <c r="C102" s="88">
        <f t="shared" si="129"/>
        <v>447.38237714957978</v>
      </c>
      <c r="D102" s="88">
        <f t="shared" si="169"/>
        <v>10.127907907907909</v>
      </c>
      <c r="E102" s="1187">
        <f t="shared" si="131"/>
        <v>117</v>
      </c>
      <c r="F102" s="1187">
        <f>F101</f>
        <v>64.299999999999983</v>
      </c>
      <c r="G102" s="88">
        <f t="shared" si="100"/>
        <v>61.580017140122777</v>
      </c>
      <c r="H102" s="88">
        <f t="shared" ref="H102:H108" si="193">B102/100*7*F102</f>
        <v>193.27712064507108</v>
      </c>
      <c r="I102" s="88">
        <f t="shared" si="101"/>
        <v>27.549814453059998</v>
      </c>
      <c r="J102" s="1182">
        <f t="shared" si="132"/>
        <v>1789</v>
      </c>
      <c r="K102" s="87">
        <f t="shared" si="170"/>
        <v>68.790921984783068</v>
      </c>
      <c r="L102" s="88">
        <f t="shared" si="134"/>
        <v>530.39235102361624</v>
      </c>
      <c r="M102" s="88">
        <f t="shared" si="171"/>
        <v>10.127907907907909</v>
      </c>
      <c r="N102" s="1187">
        <f t="shared" si="136"/>
        <v>118</v>
      </c>
      <c r="O102" s="1187">
        <f>O101</f>
        <v>65.59999999999998</v>
      </c>
      <c r="P102" s="88">
        <f t="shared" si="63"/>
        <v>63.669698569029684</v>
      </c>
      <c r="Q102" s="88">
        <f t="shared" si="64"/>
        <v>315.88791375412376</v>
      </c>
      <c r="R102" s="88">
        <f t="shared" si="65"/>
        <v>33.769921112992627</v>
      </c>
      <c r="S102" s="1182">
        <f t="shared" si="137"/>
        <v>2014</v>
      </c>
      <c r="T102" s="87">
        <f t="shared" si="172"/>
        <v>54.25139570962105</v>
      </c>
      <c r="U102" s="88">
        <f t="shared" si="103"/>
        <v>474.58431417886123</v>
      </c>
      <c r="V102" s="88">
        <f t="shared" si="173"/>
        <v>11.020000000000007</v>
      </c>
      <c r="W102" s="1187">
        <f t="shared" si="105"/>
        <v>126</v>
      </c>
      <c r="X102" s="1187">
        <f>X101+0.1</f>
        <v>67.999999999999929</v>
      </c>
      <c r="Y102" s="88">
        <f t="shared" si="66"/>
        <v>63.204519988671379</v>
      </c>
      <c r="Z102" s="88">
        <f t="shared" si="67"/>
        <v>258.23664357779592</v>
      </c>
      <c r="AA102" s="88">
        <f t="shared" si="68"/>
        <v>29.995873771827732</v>
      </c>
      <c r="AB102" s="1182">
        <f>AB101+10</f>
        <v>2330</v>
      </c>
      <c r="AC102" s="87">
        <f t="shared" si="174"/>
        <v>59.150817427159751</v>
      </c>
      <c r="AD102" s="88">
        <f t="shared" si="107"/>
        <v>498.26306297407899</v>
      </c>
      <c r="AE102" s="88">
        <f t="shared" si="175"/>
        <v>10.340000000000005</v>
      </c>
      <c r="AF102" s="1187">
        <f t="shared" si="109"/>
        <v>116</v>
      </c>
      <c r="AG102" s="1187">
        <f>AG99+0.1</f>
        <v>66.899999999999949</v>
      </c>
      <c r="AH102" s="88">
        <f t="shared" si="69"/>
        <v>64.288787884896564</v>
      </c>
      <c r="AI102" s="88">
        <f t="shared" si="70"/>
        <v>277.00327801138894</v>
      </c>
      <c r="AJ102" s="88">
        <f t="shared" si="71"/>
        <v>32.032728366419427</v>
      </c>
      <c r="AK102" s="1182">
        <f t="shared" si="191"/>
        <v>1995</v>
      </c>
      <c r="AL102" s="87">
        <f t="shared" si="176"/>
        <v>73.186516761440302</v>
      </c>
      <c r="AM102" s="88">
        <f t="shared" si="112"/>
        <v>533.7948921758956</v>
      </c>
      <c r="AN102" s="88">
        <f t="shared" si="177"/>
        <v>10.340000000000005</v>
      </c>
      <c r="AO102" s="1187">
        <f t="shared" si="114"/>
        <v>110</v>
      </c>
      <c r="AP102" s="1187">
        <f>AP99+0.1</f>
        <v>66.899999999999949</v>
      </c>
      <c r="AQ102" s="88">
        <f t="shared" si="72"/>
        <v>62.883857819274638</v>
      </c>
      <c r="AR102" s="88">
        <f t="shared" si="73"/>
        <v>342.73245799382465</v>
      </c>
      <c r="AS102" s="88">
        <f t="shared" si="74"/>
        <v>33.567082104244051</v>
      </c>
      <c r="AT102" s="1182">
        <f t="shared" si="192"/>
        <v>1730</v>
      </c>
      <c r="AU102" s="87">
        <f t="shared" si="178"/>
        <v>46.792897692737711</v>
      </c>
      <c r="AV102" s="88">
        <f t="shared" si="142"/>
        <v>499.18492637860203</v>
      </c>
      <c r="AW102" s="88">
        <f t="shared" si="179"/>
        <v>10.220000000000002</v>
      </c>
      <c r="AX102" s="1187">
        <f t="shared" si="144"/>
        <v>106</v>
      </c>
      <c r="AY102" s="1187">
        <f>AY101</f>
        <v>67.999999999999986</v>
      </c>
      <c r="AZ102" s="88">
        <f t="shared" si="75"/>
        <v>64.490869530848244</v>
      </c>
      <c r="BA102" s="88">
        <f t="shared" si="76"/>
        <v>222.73419301743147</v>
      </c>
      <c r="BB102" s="88">
        <f t="shared" si="77"/>
        <v>32.192869958848512</v>
      </c>
      <c r="BC102" s="1182">
        <f t="shared" si="145"/>
        <v>2090</v>
      </c>
      <c r="BD102" s="87">
        <f t="shared" si="180"/>
        <v>65.345831817795485</v>
      </c>
      <c r="BE102" s="88">
        <f t="shared" si="117"/>
        <v>533.0828655653886</v>
      </c>
      <c r="BF102" s="88">
        <f>BF101+0.25</f>
        <v>10.129999999999994</v>
      </c>
      <c r="BG102" s="1187">
        <f t="shared" si="118"/>
        <v>116</v>
      </c>
      <c r="BH102" s="1187">
        <f>BH101</f>
        <v>65.799999999999969</v>
      </c>
      <c r="BI102" s="88">
        <f t="shared" si="78"/>
        <v>63.584547391056127</v>
      </c>
      <c r="BJ102" s="88">
        <f t="shared" si="79"/>
        <v>300.98290135276585</v>
      </c>
      <c r="BK102" s="88">
        <f t="shared" si="80"/>
        <v>33.895832728902455</v>
      </c>
      <c r="BL102" s="1182">
        <v>2075</v>
      </c>
      <c r="BM102" s="87">
        <f t="shared" si="181"/>
        <v>62.251395709621136</v>
      </c>
      <c r="BN102" s="88">
        <f t="shared" si="120"/>
        <v>506.89087020574198</v>
      </c>
      <c r="BO102" s="88">
        <f t="shared" si="182"/>
        <v>11.200000000000008</v>
      </c>
      <c r="BP102" s="1187">
        <f t="shared" si="122"/>
        <v>106.5</v>
      </c>
      <c r="BQ102" s="1187">
        <f>BQ101</f>
        <v>65.499999999999972</v>
      </c>
      <c r="BR102" s="88">
        <f t="shared" si="81"/>
        <v>62.22663114475062</v>
      </c>
      <c r="BS102" s="88">
        <f t="shared" si="82"/>
        <v>285.42264932861275</v>
      </c>
      <c r="BT102" s="88">
        <f t="shared" si="83"/>
        <v>31.542111210934365</v>
      </c>
      <c r="BU102" s="1182">
        <v>2050</v>
      </c>
      <c r="BV102" s="87">
        <f t="shared" si="183"/>
        <v>55.311589842375106</v>
      </c>
      <c r="BW102" s="88">
        <f t="shared" si="150"/>
        <v>519.75872175997449</v>
      </c>
      <c r="BX102" s="88">
        <f t="shared" si="184"/>
        <v>9.6200000000000063</v>
      </c>
      <c r="BY102" s="1187">
        <f t="shared" si="152"/>
        <v>115</v>
      </c>
      <c r="BZ102" s="1187">
        <f>BZ101</f>
        <v>65.399999999999977</v>
      </c>
      <c r="CA102" s="88">
        <f t="shared" si="84"/>
        <v>63.195569525556799</v>
      </c>
      <c r="CB102" s="88">
        <f t="shared" si="85"/>
        <v>253.21645829839318</v>
      </c>
      <c r="CC102" s="88">
        <f t="shared" si="86"/>
        <v>32.846448437496996</v>
      </c>
      <c r="CD102" s="1182">
        <f t="shared" si="153"/>
        <v>1975</v>
      </c>
      <c r="CE102" s="87">
        <f t="shared" si="185"/>
        <v>57.969154952538055</v>
      </c>
      <c r="CF102" s="88">
        <f t="shared" si="155"/>
        <v>512.05639233039267</v>
      </c>
      <c r="CG102" s="88">
        <f t="shared" si="186"/>
        <v>10.820000000000002</v>
      </c>
      <c r="CH102" s="1187">
        <f t="shared" si="157"/>
        <v>112</v>
      </c>
      <c r="CI102" s="1187">
        <f>CI101</f>
        <v>68.499999999999972</v>
      </c>
      <c r="CJ102" s="88">
        <f t="shared" si="87"/>
        <v>65.228460684262444</v>
      </c>
      <c r="CK102" s="88">
        <f t="shared" si="88"/>
        <v>277.9620979974199</v>
      </c>
      <c r="CL102" s="88">
        <f t="shared" si="89"/>
        <v>33.400650255248287</v>
      </c>
      <c r="CM102" s="1182">
        <f>CM101+10</f>
        <v>2091</v>
      </c>
      <c r="CN102" s="87">
        <f t="shared" si="187"/>
        <v>55.531770653263202</v>
      </c>
      <c r="CO102" s="88">
        <f t="shared" si="159"/>
        <v>520.94796156764778</v>
      </c>
      <c r="CP102" s="88">
        <f t="shared" si="188"/>
        <v>10.320000000000002</v>
      </c>
      <c r="CQ102" s="1187">
        <f t="shared" si="161"/>
        <v>102</v>
      </c>
      <c r="CR102" s="1187">
        <f>CR101</f>
        <v>67.399999999999977</v>
      </c>
      <c r="CS102" s="88">
        <f t="shared" si="90"/>
        <v>63.921224673826721</v>
      </c>
      <c r="CT102" s="88">
        <f t="shared" si="91"/>
        <v>261.99889394209572</v>
      </c>
      <c r="CU102" s="88">
        <f t="shared" si="92"/>
        <v>33.299631694737663</v>
      </c>
      <c r="CV102" s="1182">
        <f>CV101+10</f>
        <v>1833</v>
      </c>
      <c r="CW102" s="87">
        <f t="shared" si="189"/>
        <v>59.450817427159748</v>
      </c>
      <c r="CX102" s="88">
        <f t="shared" si="124"/>
        <v>496.688942974079</v>
      </c>
      <c r="CY102" s="88">
        <f t="shared" si="190"/>
        <v>10.920000000000005</v>
      </c>
      <c r="CZ102" s="1187">
        <f t="shared" si="126"/>
        <v>111</v>
      </c>
      <c r="DA102" s="1187">
        <f>DA101</f>
        <v>67.399999999999949</v>
      </c>
      <c r="DB102" s="88">
        <f t="shared" si="93"/>
        <v>64.197552178185987</v>
      </c>
      <c r="DC102" s="88">
        <f t="shared" si="94"/>
        <v>280.48895662133953</v>
      </c>
      <c r="DD102" s="88">
        <f t="shared" si="95"/>
        <v>31.88621433290648</v>
      </c>
      <c r="DE102" s="1182">
        <f>DE101+10</f>
        <v>2025</v>
      </c>
    </row>
    <row r="103" spans="1:109" ht="15" x14ac:dyDescent="0.2">
      <c r="A103" s="96">
        <f t="shared" ref="A103:A108" si="194">A102+1</f>
        <v>115</v>
      </c>
      <c r="B103" s="87">
        <f t="shared" si="168"/>
        <v>42.438822111167283</v>
      </c>
      <c r="C103" s="88">
        <f t="shared" si="129"/>
        <v>449.81836553876076</v>
      </c>
      <c r="D103" s="88">
        <f t="shared" si="169"/>
        <v>10.307907907907909</v>
      </c>
      <c r="E103" s="1187">
        <f t="shared" si="131"/>
        <v>117</v>
      </c>
      <c r="F103" s="1187">
        <f>F102+0.1</f>
        <v>64.399999999999977</v>
      </c>
      <c r="G103" s="88">
        <f t="shared" ref="G103:G108" si="195">IF(C103&gt;0,(F103*(C103-C102)/C103)+(G102*C102/C103),0)</f>
        <v>61.595288738684836</v>
      </c>
      <c r="H103" s="88">
        <f t="shared" si="193"/>
        <v>191.31421007714204</v>
      </c>
      <c r="I103" s="88">
        <f t="shared" ref="I103:I108" si="196">(C103-C102)*F103/1000+C102*G102/1000</f>
        <v>27.706692105323253</v>
      </c>
      <c r="J103" s="1182">
        <f t="shared" si="132"/>
        <v>1790</v>
      </c>
      <c r="K103" s="87">
        <f t="shared" si="170"/>
        <v>68.509267122858191</v>
      </c>
      <c r="L103" s="88">
        <f t="shared" si="134"/>
        <v>534.32478295646831</v>
      </c>
      <c r="M103" s="88">
        <f t="shared" si="171"/>
        <v>10.307907907907909</v>
      </c>
      <c r="N103" s="1187">
        <f t="shared" si="136"/>
        <v>118</v>
      </c>
      <c r="O103" s="1187">
        <f>O102+0.1</f>
        <v>65.699999999999974</v>
      </c>
      <c r="P103" s="88">
        <f t="shared" si="63"/>
        <v>63.684640833426045</v>
      </c>
      <c r="Q103" s="88">
        <f t="shared" si="64"/>
        <v>315.07411949802469</v>
      </c>
      <c r="R103" s="88">
        <f t="shared" si="65"/>
        <v>34.028281890981006</v>
      </c>
      <c r="S103" s="1182">
        <f t="shared" si="137"/>
        <v>2015</v>
      </c>
      <c r="T103" s="87">
        <f t="shared" si="172"/>
        <v>53.85420640192141</v>
      </c>
      <c r="U103" s="88">
        <f t="shared" si="103"/>
        <v>477.67554562633154</v>
      </c>
      <c r="V103" s="88">
        <f t="shared" si="173"/>
        <v>11.200000000000006</v>
      </c>
      <c r="W103" s="1187">
        <f t="shared" si="105"/>
        <v>126</v>
      </c>
      <c r="X103" s="1187">
        <f>X102</f>
        <v>67.999999999999929</v>
      </c>
      <c r="Y103" s="88">
        <f t="shared" si="66"/>
        <v>63.23555347730705</v>
      </c>
      <c r="Z103" s="88">
        <f t="shared" si="67"/>
        <v>256.34602247314564</v>
      </c>
      <c r="AA103" s="88">
        <f t="shared" si="68"/>
        <v>30.206077510255714</v>
      </c>
      <c r="AB103" s="1182">
        <f t="shared" ref="AB103:AB108" si="197">AB102</f>
        <v>2330</v>
      </c>
      <c r="AC103" s="87">
        <f t="shared" si="174"/>
        <v>58.82061081372413</v>
      </c>
      <c r="AD103" s="88">
        <f t="shared" si="107"/>
        <v>501.63936603478675</v>
      </c>
      <c r="AE103" s="88">
        <f t="shared" si="175"/>
        <v>10.520000000000005</v>
      </c>
      <c r="AF103" s="1187">
        <f t="shared" si="109"/>
        <v>116</v>
      </c>
      <c r="AG103" s="1187">
        <f>AG102+0.1</f>
        <v>66.999999999999943</v>
      </c>
      <c r="AH103" s="88">
        <f t="shared" si="69"/>
        <v>64.30703580238918</v>
      </c>
      <c r="AI103" s="88">
        <f t="shared" si="70"/>
        <v>275.86866471636597</v>
      </c>
      <c r="AJ103" s="88">
        <f t="shared" si="71"/>
        <v>32.25894067148684</v>
      </c>
      <c r="AK103" s="1182">
        <f t="shared" si="191"/>
        <v>1995</v>
      </c>
      <c r="AL103" s="87">
        <f t="shared" si="176"/>
        <v>72.981882632376141</v>
      </c>
      <c r="AM103" s="88">
        <f t="shared" si="112"/>
        <v>537.98405223899397</v>
      </c>
      <c r="AN103" s="88">
        <f t="shared" si="177"/>
        <v>10.520000000000005</v>
      </c>
      <c r="AO103" s="1187">
        <f t="shared" si="114"/>
        <v>110</v>
      </c>
      <c r="AP103" s="1187">
        <f>AP102+0.1</f>
        <v>66.999999999999943</v>
      </c>
      <c r="AQ103" s="88">
        <f t="shared" si="72"/>
        <v>62.915909286907855</v>
      </c>
      <c r="AR103" s="88">
        <f t="shared" si="73"/>
        <v>342.28502954584383</v>
      </c>
      <c r="AS103" s="88">
        <f t="shared" si="74"/>
        <v>33.847755828471641</v>
      </c>
      <c r="AT103" s="1182">
        <f t="shared" si="192"/>
        <v>1730</v>
      </c>
      <c r="AU103" s="87">
        <f t="shared" si="178"/>
        <v>46.016034378722424</v>
      </c>
      <c r="AV103" s="88">
        <f t="shared" si="142"/>
        <v>501.82624675194069</v>
      </c>
      <c r="AW103" s="88">
        <f t="shared" si="179"/>
        <v>10.400000000000002</v>
      </c>
      <c r="AX103" s="1187">
        <f t="shared" si="144"/>
        <v>106</v>
      </c>
      <c r="AY103" s="1187">
        <f>AY102</f>
        <v>67.999999999999986</v>
      </c>
      <c r="AZ103" s="88">
        <f t="shared" si="75"/>
        <v>64.509339544843854</v>
      </c>
      <c r="BA103" s="88">
        <f t="shared" si="76"/>
        <v>219.03632364271871</v>
      </c>
      <c r="BB103" s="88">
        <f t="shared" si="77"/>
        <v>32.372479744235541</v>
      </c>
      <c r="BC103" s="1182">
        <f t="shared" si="145"/>
        <v>2090</v>
      </c>
      <c r="BD103" s="87">
        <f t="shared" si="180"/>
        <v>64.996001029149269</v>
      </c>
      <c r="BE103" s="88">
        <f t="shared" si="117"/>
        <v>536.49515561941894</v>
      </c>
      <c r="BF103" s="88">
        <f>BF102+0.25</f>
        <v>10.379999999999994</v>
      </c>
      <c r="BG103" s="1187">
        <f t="shared" si="118"/>
        <v>116</v>
      </c>
      <c r="BH103" s="1187">
        <f>BH102</f>
        <v>65.799999999999969</v>
      </c>
      <c r="BI103" s="88">
        <f t="shared" si="78"/>
        <v>63.598638416526704</v>
      </c>
      <c r="BJ103" s="88">
        <f t="shared" si="79"/>
        <v>299.37158074026138</v>
      </c>
      <c r="BK103" s="88">
        <f t="shared" si="80"/>
        <v>34.120361414457648</v>
      </c>
      <c r="BL103" s="1182">
        <v>2075</v>
      </c>
      <c r="BM103" s="87">
        <f t="shared" si="181"/>
        <v>61.854206401921502</v>
      </c>
      <c r="BN103" s="88">
        <f t="shared" si="120"/>
        <v>510.13821604184284</v>
      </c>
      <c r="BO103" s="88">
        <f t="shared" si="182"/>
        <v>11.450000000000008</v>
      </c>
      <c r="BP103" s="1187">
        <f t="shared" si="122"/>
        <v>106.5</v>
      </c>
      <c r="BQ103" s="1187">
        <f>BQ102</f>
        <v>65.499999999999972</v>
      </c>
      <c r="BR103" s="88">
        <f t="shared" si="81"/>
        <v>62.247468165753652</v>
      </c>
      <c r="BS103" s="88">
        <f t="shared" si="82"/>
        <v>283.60153635280994</v>
      </c>
      <c r="BT103" s="88">
        <f t="shared" si="83"/>
        <v>31.754812363198972</v>
      </c>
      <c r="BU103" s="1182">
        <v>2050</v>
      </c>
      <c r="BV103" s="87">
        <f t="shared" si="183"/>
        <v>54.610846512301507</v>
      </c>
      <c r="BW103" s="88">
        <f t="shared" si="150"/>
        <v>522.8933843497806</v>
      </c>
      <c r="BX103" s="88">
        <f t="shared" si="184"/>
        <v>9.800000000000006</v>
      </c>
      <c r="BY103" s="1187">
        <f t="shared" si="152"/>
        <v>115</v>
      </c>
      <c r="BZ103" s="1187">
        <f>BZ102+0.1</f>
        <v>65.499999999999972</v>
      </c>
      <c r="CA103" s="88">
        <f t="shared" si="84"/>
        <v>63.209384219364843</v>
      </c>
      <c r="CB103" s="88">
        <f t="shared" si="85"/>
        <v>250.39073125890229</v>
      </c>
      <c r="CC103" s="88">
        <f t="shared" si="86"/>
        <v>33.051768837129295</v>
      </c>
      <c r="CD103" s="1182">
        <f t="shared" si="153"/>
        <v>1975</v>
      </c>
      <c r="CE103" s="87">
        <f t="shared" si="185"/>
        <v>57.436315064946228</v>
      </c>
      <c r="CF103" s="88">
        <f t="shared" si="155"/>
        <v>515.35323681512057</v>
      </c>
      <c r="CG103" s="88">
        <f t="shared" si="186"/>
        <v>11.000000000000002</v>
      </c>
      <c r="CH103" s="1187">
        <f t="shared" si="157"/>
        <v>112</v>
      </c>
      <c r="CI103" s="1187">
        <f>CI102+0.1</f>
        <v>68.599999999999966</v>
      </c>
      <c r="CJ103" s="88">
        <f t="shared" si="87"/>
        <v>65.250029270630165</v>
      </c>
      <c r="CK103" s="88">
        <f t="shared" si="88"/>
        <v>275.80918494187165</v>
      </c>
      <c r="CL103" s="88">
        <f t="shared" si="89"/>
        <v>33.62681378690062</v>
      </c>
      <c r="CM103" s="1182">
        <f>CM102</f>
        <v>2091</v>
      </c>
      <c r="CN103" s="87">
        <f t="shared" si="187"/>
        <v>54.846690797788</v>
      </c>
      <c r="CO103" s="88">
        <f t="shared" si="159"/>
        <v>524.09616161944086</v>
      </c>
      <c r="CP103" s="88">
        <f t="shared" si="188"/>
        <v>10.500000000000002</v>
      </c>
      <c r="CQ103" s="1187">
        <f t="shared" si="161"/>
        <v>102</v>
      </c>
      <c r="CR103" s="1187">
        <f>CR102+0.1</f>
        <v>67.499999999999972</v>
      </c>
      <c r="CS103" s="88">
        <f t="shared" si="90"/>
        <v>63.942722065893861</v>
      </c>
      <c r="CT103" s="88">
        <f t="shared" si="91"/>
        <v>259.15061401954819</v>
      </c>
      <c r="CU103" s="88">
        <f t="shared" si="92"/>
        <v>33.512135198233693</v>
      </c>
      <c r="CV103" s="1182">
        <f>CV102</f>
        <v>1833</v>
      </c>
      <c r="CW103" s="87">
        <f t="shared" si="189"/>
        <v>59.120610813724127</v>
      </c>
      <c r="CX103" s="88">
        <f t="shared" si="124"/>
        <v>500.08246603478676</v>
      </c>
      <c r="CY103" s="88">
        <f t="shared" si="190"/>
        <v>11.100000000000005</v>
      </c>
      <c r="CZ103" s="1187">
        <f t="shared" si="126"/>
        <v>111</v>
      </c>
      <c r="DA103" s="1187">
        <f>DA102+0.1</f>
        <v>67.499999999999943</v>
      </c>
      <c r="DB103" s="88">
        <f t="shared" si="93"/>
        <v>64.219962347710577</v>
      </c>
      <c r="DC103" s="88">
        <f t="shared" si="94"/>
        <v>279.34488609484629</v>
      </c>
      <c r="DD103" s="88">
        <f t="shared" si="95"/>
        <v>32.115277139504258</v>
      </c>
      <c r="DE103" s="1182">
        <f>DE102</f>
        <v>2025</v>
      </c>
    </row>
    <row r="104" spans="1:109" ht="15" x14ac:dyDescent="0.2">
      <c r="A104" s="96">
        <f t="shared" si="194"/>
        <v>116</v>
      </c>
      <c r="B104" s="87">
        <f t="shared" si="168"/>
        <v>41.945702541811706</v>
      </c>
      <c r="C104" s="88">
        <f t="shared" si="129"/>
        <v>452.22604886466075</v>
      </c>
      <c r="D104" s="88">
        <f t="shared" si="169"/>
        <v>10.487907907907909</v>
      </c>
      <c r="E104" s="1187">
        <f t="shared" si="131"/>
        <v>117</v>
      </c>
      <c r="F104" s="1187">
        <f>F103</f>
        <v>64.399999999999977</v>
      </c>
      <c r="G104" s="88">
        <f t="shared" si="195"/>
        <v>61.610221218922952</v>
      </c>
      <c r="H104" s="88">
        <f t="shared" si="193"/>
        <v>189.09122705848714</v>
      </c>
      <c r="I104" s="88">
        <f t="shared" si="196"/>
        <v>27.861746911511208</v>
      </c>
      <c r="J104" s="1182">
        <f t="shared" si="132"/>
        <v>1791</v>
      </c>
      <c r="K104" s="87">
        <f t="shared" si="170"/>
        <v>68.232662922694942</v>
      </c>
      <c r="L104" s="88">
        <f t="shared" si="134"/>
        <v>538.24133780823104</v>
      </c>
      <c r="M104" s="88">
        <f t="shared" si="171"/>
        <v>10.487907907907909</v>
      </c>
      <c r="N104" s="1187">
        <f t="shared" si="136"/>
        <v>118</v>
      </c>
      <c r="O104" s="1187">
        <f>O103</f>
        <v>65.699999999999974</v>
      </c>
      <c r="P104" s="88">
        <f t="shared" si="63"/>
        <v>63.699305750754817</v>
      </c>
      <c r="Q104" s="88">
        <f t="shared" si="64"/>
        <v>313.80201678147392</v>
      </c>
      <c r="R104" s="88">
        <f t="shared" si="65"/>
        <v>34.285599544741814</v>
      </c>
      <c r="S104" s="1182">
        <f t="shared" si="137"/>
        <v>2016</v>
      </c>
      <c r="T104" s="87">
        <f t="shared" si="172"/>
        <v>53.464144322367069</v>
      </c>
      <c r="U104" s="88">
        <f t="shared" si="103"/>
        <v>480.74438751043539</v>
      </c>
      <c r="V104" s="88">
        <f t="shared" si="173"/>
        <v>11.380000000000006</v>
      </c>
      <c r="W104" s="1187">
        <f t="shared" si="105"/>
        <v>126</v>
      </c>
      <c r="X104" s="1187">
        <f>X103</f>
        <v>67.999999999999929</v>
      </c>
      <c r="Y104" s="88">
        <f t="shared" si="66"/>
        <v>63.265967421646856</v>
      </c>
      <c r="Z104" s="88">
        <f t="shared" si="67"/>
        <v>254.48932697446696</v>
      </c>
      <c r="AA104" s="88">
        <f t="shared" si="68"/>
        <v>30.414758758374774</v>
      </c>
      <c r="AB104" s="1182">
        <f t="shared" si="197"/>
        <v>2330</v>
      </c>
      <c r="AC104" s="87">
        <f t="shared" si="174"/>
        <v>58.49633277185572</v>
      </c>
      <c r="AD104" s="88">
        <f t="shared" si="107"/>
        <v>504.99705553589126</v>
      </c>
      <c r="AE104" s="88">
        <f t="shared" si="175"/>
        <v>10.700000000000005</v>
      </c>
      <c r="AF104" s="1187">
        <f t="shared" si="109"/>
        <v>116</v>
      </c>
      <c r="AG104" s="1187">
        <f>AG102+0.1</f>
        <v>66.999999999999943</v>
      </c>
      <c r="AH104" s="88">
        <f t="shared" si="69"/>
        <v>64.324941129784747</v>
      </c>
      <c r="AI104" s="88">
        <f t="shared" si="70"/>
        <v>274.34780070000306</v>
      </c>
      <c r="AJ104" s="88">
        <f t="shared" si="71"/>
        <v>32.483905868060845</v>
      </c>
      <c r="AK104" s="1182">
        <f t="shared" si="191"/>
        <v>1995</v>
      </c>
      <c r="AL104" s="87">
        <f t="shared" si="176"/>
        <v>72.780922435948241</v>
      </c>
      <c r="AM104" s="88">
        <f t="shared" si="112"/>
        <v>542.16167718681743</v>
      </c>
      <c r="AN104" s="88">
        <f t="shared" si="177"/>
        <v>10.700000000000005</v>
      </c>
      <c r="AO104" s="1187">
        <f t="shared" si="114"/>
        <v>110</v>
      </c>
      <c r="AP104" s="1187">
        <f>AP102+0.1</f>
        <v>66.999999999999943</v>
      </c>
      <c r="AQ104" s="88">
        <f t="shared" si="72"/>
        <v>62.947379233918348</v>
      </c>
      <c r="AR104" s="88">
        <f t="shared" si="73"/>
        <v>341.3425262245969</v>
      </c>
      <c r="AS104" s="88">
        <f t="shared" si="74"/>
        <v>34.127656699975816</v>
      </c>
      <c r="AT104" s="1182">
        <f t="shared" si="192"/>
        <v>1730</v>
      </c>
      <c r="AU104" s="87">
        <f t="shared" si="178"/>
        <v>45.253209861774742</v>
      </c>
      <c r="AV104" s="88">
        <f t="shared" si="142"/>
        <v>504.42378099800658</v>
      </c>
      <c r="AW104" s="88">
        <f t="shared" si="179"/>
        <v>10.580000000000002</v>
      </c>
      <c r="AX104" s="1187">
        <f t="shared" si="144"/>
        <v>106</v>
      </c>
      <c r="AY104" s="1187">
        <f>AY103</f>
        <v>67.999999999999986</v>
      </c>
      <c r="AZ104" s="88">
        <f t="shared" si="75"/>
        <v>64.527314728439919</v>
      </c>
      <c r="BA104" s="88">
        <f t="shared" si="76"/>
        <v>215.40527894204772</v>
      </c>
      <c r="BB104" s="88">
        <f t="shared" si="77"/>
        <v>32.549112072968022</v>
      </c>
      <c r="BC104" s="1182">
        <f t="shared" si="145"/>
        <v>2090</v>
      </c>
      <c r="BD104" s="87">
        <f t="shared" si="180"/>
        <v>64.652451228286125</v>
      </c>
      <c r="BE104" s="88">
        <f t="shared" si="117"/>
        <v>540.56826004680102</v>
      </c>
      <c r="BF104" s="88">
        <f>BF103+0.1</f>
        <v>10.479999999999993</v>
      </c>
      <c r="BG104" s="1187">
        <f t="shared" si="118"/>
        <v>116</v>
      </c>
      <c r="BH104" s="1187">
        <f>BH103</f>
        <v>65.799999999999969</v>
      </c>
      <c r="BI104" s="88">
        <f t="shared" si="78"/>
        <v>63.615225360812218</v>
      </c>
      <c r="BJ104" s="88">
        <f t="shared" si="79"/>
        <v>297.78919035748578</v>
      </c>
      <c r="BK104" s="88">
        <f t="shared" si="80"/>
        <v>34.38837168577939</v>
      </c>
      <c r="BL104" s="1182">
        <v>2075</v>
      </c>
      <c r="BM104" s="87">
        <f t="shared" si="181"/>
        <v>61.464144322367169</v>
      </c>
      <c r="BN104" s="88">
        <f t="shared" si="120"/>
        <v>513.36508361876713</v>
      </c>
      <c r="BO104" s="88">
        <f t="shared" si="182"/>
        <v>11.700000000000008</v>
      </c>
      <c r="BP104" s="1187">
        <f t="shared" si="122"/>
        <v>106.5</v>
      </c>
      <c r="BQ104" s="1187">
        <f>BQ103</f>
        <v>65.499999999999972</v>
      </c>
      <c r="BR104" s="88">
        <f t="shared" si="81"/>
        <v>62.267912660039983</v>
      </c>
      <c r="BS104" s="88">
        <f t="shared" si="82"/>
        <v>281.8131017180533</v>
      </c>
      <c r="BT104" s="88">
        <f t="shared" si="83"/>
        <v>31.966172189487512</v>
      </c>
      <c r="BU104" s="1182">
        <v>2050</v>
      </c>
      <c r="BV104" s="87">
        <f t="shared" si="183"/>
        <v>53.922774050942955</v>
      </c>
      <c r="BW104" s="88">
        <f t="shared" si="150"/>
        <v>525.98855158030472</v>
      </c>
      <c r="BX104" s="88">
        <f t="shared" si="184"/>
        <v>9.9800000000000058</v>
      </c>
      <c r="BY104" s="1187">
        <f t="shared" si="152"/>
        <v>115</v>
      </c>
      <c r="BZ104" s="1187">
        <f>BZ103</f>
        <v>65.499999999999972</v>
      </c>
      <c r="CA104" s="88">
        <f t="shared" si="84"/>
        <v>63.222863293920064</v>
      </c>
      <c r="CB104" s="88">
        <f t="shared" si="85"/>
        <v>247.23591902357333</v>
      </c>
      <c r="CC104" s="88">
        <f t="shared" si="86"/>
        <v>33.254502290728624</v>
      </c>
      <c r="CD104" s="1182">
        <f t="shared" si="153"/>
        <v>1975</v>
      </c>
      <c r="CE104" s="87">
        <f t="shared" si="185"/>
        <v>56.913050675822319</v>
      </c>
      <c r="CF104" s="88">
        <f t="shared" si="155"/>
        <v>518.62004592391281</v>
      </c>
      <c r="CG104" s="88">
        <f t="shared" si="186"/>
        <v>11.180000000000001</v>
      </c>
      <c r="CH104" s="1187">
        <f t="shared" si="157"/>
        <v>112</v>
      </c>
      <c r="CI104" s="1187">
        <f>CI103</f>
        <v>68.599999999999966</v>
      </c>
      <c r="CJ104" s="88">
        <f t="shared" si="87"/>
        <v>65.271130874740749</v>
      </c>
      <c r="CK104" s="88">
        <f t="shared" si="88"/>
        <v>273.29646934529865</v>
      </c>
      <c r="CL104" s="88">
        <f t="shared" si="89"/>
        <v>33.850916891763767</v>
      </c>
      <c r="CM104" s="1182">
        <f>CM103</f>
        <v>2091</v>
      </c>
      <c r="CN104" s="87">
        <f t="shared" si="187"/>
        <v>54.173922297485838</v>
      </c>
      <c r="CO104" s="88">
        <f t="shared" si="159"/>
        <v>527.20574475931653</v>
      </c>
      <c r="CP104" s="88">
        <f t="shared" si="188"/>
        <v>10.680000000000001</v>
      </c>
      <c r="CQ104" s="1187">
        <f t="shared" si="161"/>
        <v>102</v>
      </c>
      <c r="CR104" s="1187">
        <f>CR103</f>
        <v>67.499999999999972</v>
      </c>
      <c r="CS104" s="88">
        <f t="shared" si="90"/>
        <v>63.963703725516716</v>
      </c>
      <c r="CT104" s="88">
        <f t="shared" si="91"/>
        <v>255.97178285562046</v>
      </c>
      <c r="CU104" s="88">
        <f t="shared" si="92"/>
        <v>33.722032060175309</v>
      </c>
      <c r="CV104" s="1182">
        <f>CV103</f>
        <v>1833</v>
      </c>
      <c r="CW104" s="87">
        <f t="shared" si="189"/>
        <v>58.796332771855717</v>
      </c>
      <c r="CX104" s="88">
        <f t="shared" si="124"/>
        <v>503.45737553589129</v>
      </c>
      <c r="CY104" s="88">
        <f t="shared" si="190"/>
        <v>11.280000000000005</v>
      </c>
      <c r="CZ104" s="1187">
        <f t="shared" si="126"/>
        <v>111</v>
      </c>
      <c r="DA104" s="1187">
        <f>DA103</f>
        <v>67.499999999999943</v>
      </c>
      <c r="DB104" s="88">
        <f t="shared" si="93"/>
        <v>64.241949969254321</v>
      </c>
      <c r="DC104" s="88">
        <f t="shared" si="94"/>
        <v>277.81267234701801</v>
      </c>
      <c r="DD104" s="88">
        <f t="shared" si="95"/>
        <v>32.343083530828814</v>
      </c>
      <c r="DE104" s="1182">
        <f>DE103</f>
        <v>2025</v>
      </c>
    </row>
    <row r="105" spans="1:109" ht="15" x14ac:dyDescent="0.2">
      <c r="A105" s="96">
        <f t="shared" si="194"/>
        <v>117</v>
      </c>
      <c r="B105" s="87">
        <f t="shared" si="168"/>
        <v>41.46148861040902</v>
      </c>
      <c r="C105" s="88">
        <f t="shared" si="129"/>
        <v>454.60593831089824</v>
      </c>
      <c r="D105" s="88">
        <f t="shared" si="169"/>
        <v>10.667907907907908</v>
      </c>
      <c r="E105" s="1187">
        <f t="shared" si="131"/>
        <v>117</v>
      </c>
      <c r="F105" s="1187">
        <f>F104</f>
        <v>64.399999999999977</v>
      </c>
      <c r="G105" s="88">
        <f t="shared" si="195"/>
        <v>61.624825878736885</v>
      </c>
      <c r="H105" s="88">
        <f t="shared" si="193"/>
        <v>186.90839065572379</v>
      </c>
      <c r="I105" s="88">
        <f t="shared" si="196"/>
        <v>28.015011791848906</v>
      </c>
      <c r="J105" s="1182">
        <f t="shared" si="132"/>
        <v>1792</v>
      </c>
      <c r="K105" s="87">
        <f t="shared" si="170"/>
        <v>67.961098308746912</v>
      </c>
      <c r="L105" s="88">
        <f t="shared" si="134"/>
        <v>542.14230485115309</v>
      </c>
      <c r="M105" s="88">
        <f t="shared" si="171"/>
        <v>10.667907907907908</v>
      </c>
      <c r="N105" s="1187">
        <f t="shared" si="136"/>
        <v>118</v>
      </c>
      <c r="O105" s="1187">
        <f>O104</f>
        <v>65.699999999999974</v>
      </c>
      <c r="P105" s="88">
        <f t="shared" si="63"/>
        <v>63.713701680125077</v>
      </c>
      <c r="Q105" s="88">
        <f t="shared" si="64"/>
        <v>312.55309112192691</v>
      </c>
      <c r="R105" s="88">
        <f t="shared" si="65"/>
        <v>34.541893079461794</v>
      </c>
      <c r="S105" s="1182">
        <f t="shared" si="137"/>
        <v>2017</v>
      </c>
      <c r="T105" s="87">
        <f t="shared" si="172"/>
        <v>53.08114389437327</v>
      </c>
      <c r="U105" s="88">
        <f t="shared" si="103"/>
        <v>483.7912451699724</v>
      </c>
      <c r="V105" s="88">
        <f t="shared" si="173"/>
        <v>11.560000000000006</v>
      </c>
      <c r="W105" s="1187">
        <f t="shared" si="105"/>
        <v>126</v>
      </c>
      <c r="X105" s="1187">
        <f>X104+0.1</f>
        <v>68.099999999999923</v>
      </c>
      <c r="Y105" s="88">
        <f t="shared" si="66"/>
        <v>63.296411563277886</v>
      </c>
      <c r="Z105" s="88">
        <f t="shared" si="67"/>
        <v>253.03781294447711</v>
      </c>
      <c r="AA105" s="88">
        <f t="shared" si="68"/>
        <v>30.622249764989249</v>
      </c>
      <c r="AB105" s="1182">
        <f t="shared" si="197"/>
        <v>2330</v>
      </c>
      <c r="AC105" s="87">
        <f t="shared" si="174"/>
        <v>58.177924536893997</v>
      </c>
      <c r="AD105" s="88">
        <f t="shared" si="107"/>
        <v>508.33646840430896</v>
      </c>
      <c r="AE105" s="88">
        <f t="shared" si="175"/>
        <v>10.880000000000004</v>
      </c>
      <c r="AF105" s="1187">
        <f t="shared" si="109"/>
        <v>116</v>
      </c>
      <c r="AG105" s="1187">
        <f>AG102+0.1</f>
        <v>66.999999999999943</v>
      </c>
      <c r="AH105" s="88">
        <f t="shared" si="69"/>
        <v>64.342514384056685</v>
      </c>
      <c r="AI105" s="88">
        <f t="shared" si="70"/>
        <v>272.8544660780326</v>
      </c>
      <c r="AJ105" s="88">
        <f t="shared" si="71"/>
        <v>32.70764653024483</v>
      </c>
      <c r="AK105" s="1182">
        <f t="shared" si="191"/>
        <v>1995</v>
      </c>
      <c r="AL105" s="87">
        <f t="shared" si="176"/>
        <v>72.58359971111858</v>
      </c>
      <c r="AM105" s="88">
        <f t="shared" si="112"/>
        <v>546.32797581023567</v>
      </c>
      <c r="AN105" s="88">
        <f t="shared" si="177"/>
        <v>10.880000000000004</v>
      </c>
      <c r="AO105" s="1187">
        <f t="shared" si="114"/>
        <v>110</v>
      </c>
      <c r="AP105" s="1187">
        <f>AP102+0.1</f>
        <v>66.999999999999943</v>
      </c>
      <c r="AQ105" s="88">
        <f t="shared" si="72"/>
        <v>62.978284530858197</v>
      </c>
      <c r="AR105" s="88">
        <f t="shared" si="73"/>
        <v>340.41708264514591</v>
      </c>
      <c r="AS105" s="88">
        <f t="shared" si="74"/>
        <v>34.406798707744841</v>
      </c>
      <c r="AT105" s="1182">
        <f t="shared" si="192"/>
        <v>1730</v>
      </c>
      <c r="AU105" s="87">
        <f t="shared" si="178"/>
        <v>44.504209113497915</v>
      </c>
      <c r="AV105" s="88">
        <f t="shared" si="142"/>
        <v>506.97832260112136</v>
      </c>
      <c r="AW105" s="88">
        <f t="shared" si="179"/>
        <v>10.760000000000002</v>
      </c>
      <c r="AX105" s="1187">
        <f t="shared" si="144"/>
        <v>106</v>
      </c>
      <c r="AY105" s="1187">
        <f>AY104</f>
        <v>67.999999999999986</v>
      </c>
      <c r="AZ105" s="88">
        <f t="shared" si="75"/>
        <v>64.544812752724681</v>
      </c>
      <c r="BA105" s="88">
        <f t="shared" si="76"/>
        <v>211.84003538025004</v>
      </c>
      <c r="BB105" s="88">
        <f t="shared" si="77"/>
        <v>32.72282090197983</v>
      </c>
      <c r="BC105" s="1182">
        <f t="shared" si="145"/>
        <v>2090</v>
      </c>
      <c r="BD105" s="87">
        <f t="shared" si="180"/>
        <v>64.315119699519968</v>
      </c>
      <c r="BE105" s="88">
        <f t="shared" si="117"/>
        <v>543.94480383102587</v>
      </c>
      <c r="BF105" s="88">
        <f>BF104+0.25</f>
        <v>10.729999999999993</v>
      </c>
      <c r="BG105" s="1187">
        <f t="shared" si="118"/>
        <v>116</v>
      </c>
      <c r="BH105" s="1187">
        <f>BH104+0.1</f>
        <v>65.899999999999963</v>
      </c>
      <c r="BI105" s="88">
        <f t="shared" si="78"/>
        <v>63.62940812632808</v>
      </c>
      <c r="BJ105" s="88">
        <f t="shared" si="79"/>
        <v>296.68564717388546</v>
      </c>
      <c r="BK105" s="88">
        <f t="shared" si="80"/>
        <v>34.610885921159806</v>
      </c>
      <c r="BL105" s="1182">
        <v>2085</v>
      </c>
      <c r="BM105" s="87">
        <f t="shared" si="181"/>
        <v>61.081143894373376</v>
      </c>
      <c r="BN105" s="88">
        <f t="shared" si="120"/>
        <v>516.57184367322168</v>
      </c>
      <c r="BO105" s="88">
        <f t="shared" si="182"/>
        <v>11.950000000000008</v>
      </c>
      <c r="BP105" s="1187">
        <f t="shared" si="122"/>
        <v>106.5</v>
      </c>
      <c r="BQ105" s="1187">
        <f>BQ104+0.1</f>
        <v>65.599999999999966</v>
      </c>
      <c r="BR105" s="88">
        <f t="shared" si="81"/>
        <v>62.288597497416639</v>
      </c>
      <c r="BS105" s="88">
        <f t="shared" si="82"/>
        <v>280.4846127629624</v>
      </c>
      <c r="BT105" s="88">
        <f t="shared" si="83"/>
        <v>32.176535649059737</v>
      </c>
      <c r="BU105" s="1182">
        <v>2050</v>
      </c>
      <c r="BV105" s="87">
        <f t="shared" si="183"/>
        <v>53.247172299904456</v>
      </c>
      <c r="BW105" s="88">
        <f t="shared" si="150"/>
        <v>529.04493927031922</v>
      </c>
      <c r="BX105" s="88">
        <f t="shared" si="184"/>
        <v>10.160000000000005</v>
      </c>
      <c r="BY105" s="1187">
        <f t="shared" si="152"/>
        <v>115</v>
      </c>
      <c r="BZ105" s="1187">
        <f>BZ104</f>
        <v>65.499999999999972</v>
      </c>
      <c r="CA105" s="88">
        <f t="shared" si="84"/>
        <v>63.236018721900422</v>
      </c>
      <c r="CB105" s="88">
        <f t="shared" si="85"/>
        <v>244.13828499506181</v>
      </c>
      <c r="CC105" s="88">
        <f t="shared" si="86"/>
        <v>33.454695684424571</v>
      </c>
      <c r="CD105" s="1182">
        <f t="shared" si="153"/>
        <v>1975</v>
      </c>
      <c r="CE105" s="87">
        <f t="shared" si="185"/>
        <v>56.39925769515397</v>
      </c>
      <c r="CF105" s="88">
        <f t="shared" si="155"/>
        <v>521.85736331561463</v>
      </c>
      <c r="CG105" s="88">
        <f t="shared" si="186"/>
        <v>11.360000000000001</v>
      </c>
      <c r="CH105" s="1187">
        <f t="shared" si="157"/>
        <v>112</v>
      </c>
      <c r="CI105" s="1187">
        <f>CI104</f>
        <v>68.599999999999966</v>
      </c>
      <c r="CJ105" s="88">
        <f t="shared" si="87"/>
        <v>65.291781356407682</v>
      </c>
      <c r="CK105" s="88">
        <f t="shared" si="88"/>
        <v>270.82923545212924</v>
      </c>
      <c r="CL105" s="88">
        <f t="shared" si="89"/>
        <v>34.072996864834522</v>
      </c>
      <c r="CM105" s="1182">
        <f>CM104</f>
        <v>2091</v>
      </c>
      <c r="CN105" s="87">
        <f t="shared" si="187"/>
        <v>53.513331322340825</v>
      </c>
      <c r="CO105" s="88">
        <f t="shared" si="159"/>
        <v>530.27740997721889</v>
      </c>
      <c r="CP105" s="88">
        <f t="shared" si="188"/>
        <v>10.860000000000001</v>
      </c>
      <c r="CQ105" s="1187">
        <f t="shared" si="161"/>
        <v>102</v>
      </c>
      <c r="CR105" s="1187">
        <f>CR104</f>
        <v>67.499999999999972</v>
      </c>
      <c r="CS105" s="88">
        <f t="shared" si="90"/>
        <v>63.984187943894035</v>
      </c>
      <c r="CT105" s="88">
        <f t="shared" si="91"/>
        <v>252.85049049806031</v>
      </c>
      <c r="CU105" s="88">
        <f t="shared" si="92"/>
        <v>33.929369462383718</v>
      </c>
      <c r="CV105" s="1182">
        <f>CV104</f>
        <v>1833</v>
      </c>
      <c r="CW105" s="87">
        <f t="shared" si="189"/>
        <v>58.477924536893994</v>
      </c>
      <c r="CX105" s="88">
        <f t="shared" si="124"/>
        <v>506.81400840430899</v>
      </c>
      <c r="CY105" s="88">
        <f t="shared" si="190"/>
        <v>11.460000000000004</v>
      </c>
      <c r="CZ105" s="1187">
        <f t="shared" si="126"/>
        <v>111</v>
      </c>
      <c r="DA105" s="1187">
        <f>DA104</f>
        <v>67.499999999999943</v>
      </c>
      <c r="DB105" s="88">
        <f t="shared" si="93"/>
        <v>64.263528058333947</v>
      </c>
      <c r="DC105" s="88">
        <f t="shared" si="94"/>
        <v>276.3081934368239</v>
      </c>
      <c r="DD105" s="88">
        <f t="shared" si="95"/>
        <v>32.569656249447007</v>
      </c>
      <c r="DE105" s="1182">
        <f>DE104</f>
        <v>2025</v>
      </c>
    </row>
    <row r="106" spans="1:109" ht="15" x14ac:dyDescent="0.2">
      <c r="A106" s="96">
        <f t="shared" si="194"/>
        <v>118</v>
      </c>
      <c r="B106" s="87">
        <f t="shared" si="168"/>
        <v>40.986111557131032</v>
      </c>
      <c r="C106" s="88">
        <f t="shared" si="129"/>
        <v>456.95854111427758</v>
      </c>
      <c r="D106" s="88">
        <f t="shared" si="169"/>
        <v>10.847907907907908</v>
      </c>
      <c r="E106" s="1187">
        <f t="shared" si="131"/>
        <v>117</v>
      </c>
      <c r="F106" s="1187">
        <f>F105</f>
        <v>64.399999999999977</v>
      </c>
      <c r="G106" s="88">
        <f t="shared" si="195"/>
        <v>61.639113569698146</v>
      </c>
      <c r="H106" s="88">
        <f t="shared" si="193"/>
        <v>184.76539089954665</v>
      </c>
      <c r="I106" s="88">
        <f t="shared" si="196"/>
        <v>28.166519412386535</v>
      </c>
      <c r="J106" s="1182">
        <f t="shared" si="132"/>
        <v>1793</v>
      </c>
      <c r="K106" s="87">
        <f t="shared" si="170"/>
        <v>67.694465165397446</v>
      </c>
      <c r="L106" s="88">
        <f t="shared" si="134"/>
        <v>546.02796715164686</v>
      </c>
      <c r="M106" s="88">
        <f t="shared" si="171"/>
        <v>10.847907907907908</v>
      </c>
      <c r="N106" s="1187">
        <f t="shared" si="136"/>
        <v>118</v>
      </c>
      <c r="O106" s="1187">
        <f>O105</f>
        <v>65.699999999999974</v>
      </c>
      <c r="P106" s="88">
        <f t="shared" si="63"/>
        <v>63.727836642001357</v>
      </c>
      <c r="Q106" s="88">
        <f t="shared" si="64"/>
        <v>311.32684529566274</v>
      </c>
      <c r="R106" s="88">
        <f t="shared" si="65"/>
        <v>34.797181092604234</v>
      </c>
      <c r="S106" s="1182">
        <f t="shared" si="137"/>
        <v>2018</v>
      </c>
      <c r="T106" s="87">
        <f t="shared" si="172"/>
        <v>52.705115745629932</v>
      </c>
      <c r="U106" s="88">
        <f t="shared" si="103"/>
        <v>486.81651881377155</v>
      </c>
      <c r="V106" s="88">
        <f t="shared" si="173"/>
        <v>11.740000000000006</v>
      </c>
      <c r="W106" s="1187">
        <f t="shared" si="105"/>
        <v>126</v>
      </c>
      <c r="X106" s="1187">
        <f>X105+0.1</f>
        <v>68.199999999999918</v>
      </c>
      <c r="Y106" s="88">
        <f t="shared" si="66"/>
        <v>63.326884434029687</v>
      </c>
      <c r="Z106" s="88">
        <f t="shared" si="67"/>
        <v>251.61422256963698</v>
      </c>
      <c r="AA106" s="88">
        <f t="shared" si="68"/>
        <v>30.828573427496348</v>
      </c>
      <c r="AB106" s="1182">
        <f t="shared" si="197"/>
        <v>2330</v>
      </c>
      <c r="AC106" s="87">
        <f t="shared" si="174"/>
        <v>57.865312179756337</v>
      </c>
      <c r="AD106" s="88">
        <f t="shared" si="107"/>
        <v>511.65793732342695</v>
      </c>
      <c r="AE106" s="88">
        <f t="shared" si="175"/>
        <v>11.060000000000004</v>
      </c>
      <c r="AF106" s="1187">
        <f t="shared" si="109"/>
        <v>116</v>
      </c>
      <c r="AG106" s="1187">
        <f>AG105+0.1</f>
        <v>67.099999999999937</v>
      </c>
      <c r="AH106" s="88">
        <f t="shared" si="69"/>
        <v>64.360414825152517</v>
      </c>
      <c r="AI106" s="88">
        <f t="shared" si="70"/>
        <v>271.79337130831527</v>
      </c>
      <c r="AJ106" s="88">
        <f t="shared" si="71"/>
        <v>32.930517094717644</v>
      </c>
      <c r="AK106" s="1182">
        <f t="shared" si="191"/>
        <v>1995</v>
      </c>
      <c r="AL106" s="87">
        <f t="shared" si="176"/>
        <v>72.389868869431012</v>
      </c>
      <c r="AM106" s="88">
        <f t="shared" si="112"/>
        <v>550.48315428334104</v>
      </c>
      <c r="AN106" s="88">
        <f t="shared" si="177"/>
        <v>11.060000000000004</v>
      </c>
      <c r="AO106" s="1187">
        <f t="shared" si="114"/>
        <v>110</v>
      </c>
      <c r="AP106" s="1187">
        <f>AP105+0.1</f>
        <v>67.099999999999937</v>
      </c>
      <c r="AQ106" s="88">
        <f t="shared" si="72"/>
        <v>63.009396224751789</v>
      </c>
      <c r="AR106" s="88">
        <f t="shared" si="73"/>
        <v>340.01521407971717</v>
      </c>
      <c r="AS106" s="88">
        <f t="shared" si="74"/>
        <v>34.685611183290206</v>
      </c>
      <c r="AT106" s="1182">
        <f t="shared" si="192"/>
        <v>1730</v>
      </c>
      <c r="AU106" s="87">
        <f t="shared" si="178"/>
        <v>43.768793267864616</v>
      </c>
      <c r="AV106" s="88">
        <f t="shared" si="142"/>
        <v>509.49065133469679</v>
      </c>
      <c r="AW106" s="88">
        <f t="shared" si="179"/>
        <v>10.940000000000001</v>
      </c>
      <c r="AX106" s="1187">
        <f t="shared" si="144"/>
        <v>106</v>
      </c>
      <c r="AY106" s="1187">
        <f>AY105+0.1</f>
        <v>68.09999999999998</v>
      </c>
      <c r="AZ106" s="88">
        <f t="shared" si="75"/>
        <v>64.562343592694305</v>
      </c>
      <c r="BA106" s="88">
        <f t="shared" si="76"/>
        <v>208.64583750791056</v>
      </c>
      <c r="BB106" s="88">
        <f t="shared" si="77"/>
        <v>32.893910488736317</v>
      </c>
      <c r="BC106" s="1182">
        <f t="shared" si="145"/>
        <v>2090</v>
      </c>
      <c r="BD106" s="87">
        <f t="shared" si="180"/>
        <v>63.983928532627026</v>
      </c>
      <c r="BE106" s="88">
        <f t="shared" si="117"/>
        <v>547.30396007898878</v>
      </c>
      <c r="BF106" s="88">
        <f>BF105+0.25</f>
        <v>10.979999999999993</v>
      </c>
      <c r="BG106" s="1187">
        <f t="shared" si="118"/>
        <v>116</v>
      </c>
      <c r="BH106" s="1187">
        <f>BH105</f>
        <v>65.899999999999963</v>
      </c>
      <c r="BI106" s="88">
        <f t="shared" si="78"/>
        <v>63.64334420835079</v>
      </c>
      <c r="BJ106" s="88">
        <f t="shared" si="79"/>
        <v>295.15786232100828</v>
      </c>
      <c r="BK106" s="88">
        <f t="shared" si="80"/>
        <v>34.832254317900571</v>
      </c>
      <c r="BL106" s="1182">
        <v>2085</v>
      </c>
      <c r="BM106" s="87">
        <f t="shared" si="181"/>
        <v>60.705115745630046</v>
      </c>
      <c r="BN106" s="88">
        <f t="shared" si="120"/>
        <v>519.75886224986721</v>
      </c>
      <c r="BO106" s="88">
        <f t="shared" si="182"/>
        <v>12.200000000000008</v>
      </c>
      <c r="BP106" s="1187">
        <f t="shared" si="122"/>
        <v>106.5</v>
      </c>
      <c r="BQ106" s="1187">
        <f>BQ105</f>
        <v>65.599999999999966</v>
      </c>
      <c r="BR106" s="88">
        <f t="shared" si="81"/>
        <v>62.30890210799086</v>
      </c>
      <c r="BS106" s="88">
        <f t="shared" si="82"/>
        <v>278.75789150393302</v>
      </c>
      <c r="BT106" s="88">
        <f t="shared" si="83"/>
        <v>32.385604067687673</v>
      </c>
      <c r="BU106" s="1182">
        <v>2050</v>
      </c>
      <c r="BV106" s="87">
        <f t="shared" si="183"/>
        <v>52.583820123233131</v>
      </c>
      <c r="BW106" s="88">
        <f t="shared" si="150"/>
        <v>532.06325054539275</v>
      </c>
      <c r="BX106" s="88">
        <f t="shared" si="184"/>
        <v>10.340000000000005</v>
      </c>
      <c r="BY106" s="1187">
        <f t="shared" si="152"/>
        <v>115</v>
      </c>
      <c r="BZ106" s="1187">
        <f>BZ105+0.1</f>
        <v>65.599999999999966</v>
      </c>
      <c r="CA106" s="88">
        <f t="shared" si="84"/>
        <v>63.249429216495642</v>
      </c>
      <c r="CB106" s="88">
        <f t="shared" si="85"/>
        <v>241.46490200588639</v>
      </c>
      <c r="CC106" s="88">
        <f t="shared" si="86"/>
        <v>33.652696904069401</v>
      </c>
      <c r="CD106" s="1182">
        <f t="shared" si="153"/>
        <v>1975</v>
      </c>
      <c r="CE106" s="87">
        <f t="shared" si="185"/>
        <v>55.894812012420132</v>
      </c>
      <c r="CF106" s="88">
        <f t="shared" si="155"/>
        <v>525.0657255251275</v>
      </c>
      <c r="CG106" s="88">
        <f t="shared" si="186"/>
        <v>11.540000000000001</v>
      </c>
      <c r="CH106" s="1187">
        <f t="shared" si="157"/>
        <v>112</v>
      </c>
      <c r="CI106" s="1187">
        <f>CI105+0.1</f>
        <v>68.69999999999996</v>
      </c>
      <c r="CJ106" s="88">
        <f t="shared" si="87"/>
        <v>65.312606939503823</v>
      </c>
      <c r="CK106" s="88">
        <f t="shared" si="88"/>
        <v>268.7981509677283</v>
      </c>
      <c r="CL106" s="88">
        <f t="shared" si="89"/>
        <v>34.293411348628048</v>
      </c>
      <c r="CM106" s="1182">
        <f>CM105</f>
        <v>2091</v>
      </c>
      <c r="CN106" s="87">
        <f t="shared" si="187"/>
        <v>52.86475830168304</v>
      </c>
      <c r="CO106" s="88">
        <f t="shared" si="159"/>
        <v>533.31184710373554</v>
      </c>
      <c r="CP106" s="88">
        <f t="shared" si="188"/>
        <v>11.040000000000001</v>
      </c>
      <c r="CQ106" s="1187">
        <f t="shared" si="161"/>
        <v>102</v>
      </c>
      <c r="CR106" s="1187">
        <f>CR105+0.1</f>
        <v>67.599999999999966</v>
      </c>
      <c r="CS106" s="88">
        <f t="shared" si="90"/>
        <v>64.004761187119627</v>
      </c>
      <c r="CT106" s="88">
        <f t="shared" si="91"/>
        <v>250.15603628356399</v>
      </c>
      <c r="CU106" s="88">
        <f t="shared" si="92"/>
        <v>34.134497412136241</v>
      </c>
      <c r="CV106" s="1182">
        <f>CV105</f>
        <v>1833</v>
      </c>
      <c r="CW106" s="87">
        <f t="shared" si="189"/>
        <v>58.165312179756334</v>
      </c>
      <c r="CX106" s="88">
        <f t="shared" si="124"/>
        <v>510.15269732342699</v>
      </c>
      <c r="CY106" s="88">
        <f t="shared" si="190"/>
        <v>11.640000000000004</v>
      </c>
      <c r="CZ106" s="1187">
        <f t="shared" si="126"/>
        <v>111</v>
      </c>
      <c r="DA106" s="1187">
        <f>DA105+0.1</f>
        <v>67.599999999999937</v>
      </c>
      <c r="DB106" s="88">
        <f t="shared" si="93"/>
        <v>64.285363563583715</v>
      </c>
      <c r="DC106" s="88">
        <f t="shared" si="94"/>
        <v>275.23825723460669</v>
      </c>
      <c r="DD106" s="88">
        <f t="shared" si="95"/>
        <v>32.795351620379385</v>
      </c>
      <c r="DE106" s="1182">
        <f>DE105</f>
        <v>2025</v>
      </c>
    </row>
    <row r="107" spans="1:109" ht="15" x14ac:dyDescent="0.2">
      <c r="A107" s="96">
        <f t="shared" si="194"/>
        <v>119</v>
      </c>
      <c r="B107" s="87">
        <f t="shared" si="168"/>
        <v>40.519398934228605</v>
      </c>
      <c r="C107" s="88">
        <f t="shared" si="129"/>
        <v>459.28435461310232</v>
      </c>
      <c r="D107" s="88">
        <f t="shared" si="169"/>
        <v>11.027907907907908</v>
      </c>
      <c r="E107" s="1187">
        <f t="shared" si="131"/>
        <v>117</v>
      </c>
      <c r="F107" s="1187">
        <f>F106+0.1</f>
        <v>64.499999999999972</v>
      </c>
      <c r="G107" s="88">
        <f t="shared" si="195"/>
        <v>61.653601083177257</v>
      </c>
      <c r="H107" s="88">
        <f t="shared" si="193"/>
        <v>182.94508618804207</v>
      </c>
      <c r="I107" s="88">
        <f t="shared" si="196"/>
        <v>28.316534383060734</v>
      </c>
      <c r="J107" s="1182">
        <f t="shared" si="132"/>
        <v>1794</v>
      </c>
      <c r="K107" s="87">
        <f t="shared" si="170"/>
        <v>67.432686099769128</v>
      </c>
      <c r="L107" s="88">
        <f t="shared" si="134"/>
        <v>549.89860333377362</v>
      </c>
      <c r="M107" s="88">
        <f t="shared" si="171"/>
        <v>11.027907907907908</v>
      </c>
      <c r="N107" s="1187">
        <f t="shared" si="136"/>
        <v>118</v>
      </c>
      <c r="O107" s="1187">
        <f>O106+0.1</f>
        <v>65.799999999999969</v>
      </c>
      <c r="P107" s="88">
        <f t="shared" si="63"/>
        <v>63.742422222724997</v>
      </c>
      <c r="Q107" s="88">
        <f t="shared" si="64"/>
        <v>310.59495217553643</v>
      </c>
      <c r="R107" s="88">
        <f t="shared" si="65"/>
        <v>35.051868953388173</v>
      </c>
      <c r="S107" s="1182">
        <f t="shared" si="137"/>
        <v>2019</v>
      </c>
      <c r="T107" s="87">
        <f t="shared" si="172"/>
        <v>52.33594140422705</v>
      </c>
      <c r="U107" s="88">
        <f t="shared" si="103"/>
        <v>489.8206018503742</v>
      </c>
      <c r="V107" s="88">
        <f t="shared" si="173"/>
        <v>11.920000000000005</v>
      </c>
      <c r="W107" s="1187">
        <f t="shared" si="105"/>
        <v>126</v>
      </c>
      <c r="X107" s="1187">
        <f>X106</f>
        <v>68.199999999999918</v>
      </c>
      <c r="Y107" s="88">
        <f t="shared" si="66"/>
        <v>63.3567713839698</v>
      </c>
      <c r="Z107" s="88">
        <f t="shared" si="67"/>
        <v>249.85178426377965</v>
      </c>
      <c r="AA107" s="88">
        <f t="shared" si="68"/>
        <v>31.033451890592652</v>
      </c>
      <c r="AB107" s="1182">
        <f t="shared" si="197"/>
        <v>2330</v>
      </c>
      <c r="AC107" s="87">
        <f t="shared" si="174"/>
        <v>57.558397801938774</v>
      </c>
      <c r="AD107" s="88">
        <f t="shared" si="107"/>
        <v>514.96178935725823</v>
      </c>
      <c r="AE107" s="88">
        <f t="shared" si="175"/>
        <v>11.240000000000004</v>
      </c>
      <c r="AF107" s="1187">
        <f t="shared" si="109"/>
        <v>116</v>
      </c>
      <c r="AG107" s="1187">
        <f>AG105+0.1</f>
        <v>67.099999999999937</v>
      </c>
      <c r="AH107" s="88">
        <f t="shared" si="69"/>
        <v>64.377991243905981</v>
      </c>
      <c r="AI107" s="88">
        <f t="shared" si="70"/>
        <v>270.35179447570619</v>
      </c>
      <c r="AJ107" s="88">
        <f t="shared" si="71"/>
        <v>33.152205566187725</v>
      </c>
      <c r="AK107" s="1182">
        <f t="shared" si="191"/>
        <v>1995</v>
      </c>
      <c r="AL107" s="87">
        <f t="shared" si="176"/>
        <v>72.199669185213793</v>
      </c>
      <c r="AM107" s="88">
        <f t="shared" si="112"/>
        <v>554.6274152945723</v>
      </c>
      <c r="AN107" s="88">
        <f t="shared" si="177"/>
        <v>11.240000000000004</v>
      </c>
      <c r="AO107" s="1187">
        <f t="shared" si="114"/>
        <v>110</v>
      </c>
      <c r="AP107" s="1187">
        <f>AP105+0.1</f>
        <v>67.099999999999937</v>
      </c>
      <c r="AQ107" s="88">
        <f t="shared" si="72"/>
        <v>63.039961842805752</v>
      </c>
      <c r="AR107" s="88">
        <f t="shared" si="73"/>
        <v>339.12184616294883</v>
      </c>
      <c r="AS107" s="88">
        <f t="shared" si="74"/>
        <v>34.963691097143823</v>
      </c>
      <c r="AT107" s="1182">
        <f t="shared" si="192"/>
        <v>1730</v>
      </c>
      <c r="AU107" s="87">
        <f t="shared" si="178"/>
        <v>43.046788336426168</v>
      </c>
      <c r="AV107" s="88">
        <f t="shared" si="142"/>
        <v>511.96153698520766</v>
      </c>
      <c r="AW107" s="88">
        <f t="shared" si="179"/>
        <v>11.120000000000001</v>
      </c>
      <c r="AX107" s="1187">
        <f t="shared" si="144"/>
        <v>106</v>
      </c>
      <c r="AY107" s="1187">
        <f>AY106</f>
        <v>68.09999999999998</v>
      </c>
      <c r="AZ107" s="88">
        <f t="shared" si="75"/>
        <v>64.579417423093204</v>
      </c>
      <c r="BA107" s="88">
        <f t="shared" si="76"/>
        <v>205.20403999974346</v>
      </c>
      <c r="BB107" s="88">
        <f t="shared" si="77"/>
        <v>33.062177801536095</v>
      </c>
      <c r="BC107" s="1182">
        <f t="shared" si="145"/>
        <v>2090</v>
      </c>
      <c r="BD107" s="87">
        <f t="shared" si="180"/>
        <v>63.658774123293057</v>
      </c>
      <c r="BE107" s="88">
        <f t="shared" si="117"/>
        <v>551.31446284875619</v>
      </c>
      <c r="BF107" s="88">
        <f>BF106+0.1</f>
        <v>11.079999999999993</v>
      </c>
      <c r="BG107" s="1187">
        <f t="shared" si="118"/>
        <v>116</v>
      </c>
      <c r="BH107" s="1187">
        <f>BH106</f>
        <v>65.899999999999963</v>
      </c>
      <c r="BI107" s="88">
        <f t="shared" si="78"/>
        <v>63.659760110549435</v>
      </c>
      <c r="BJ107" s="88">
        <f t="shared" si="79"/>
        <v>293.65792503075073</v>
      </c>
      <c r="BK107" s="88">
        <f t="shared" si="80"/>
        <v>35.096546450428235</v>
      </c>
      <c r="BL107" s="1182">
        <v>2085</v>
      </c>
      <c r="BM107" s="87">
        <f t="shared" si="181"/>
        <v>60.335941404227171</v>
      </c>
      <c r="BN107" s="88">
        <f t="shared" si="120"/>
        <v>522.92649917358915</v>
      </c>
      <c r="BO107" s="88">
        <f t="shared" si="182"/>
        <v>12.450000000000008</v>
      </c>
      <c r="BP107" s="1187">
        <f t="shared" si="122"/>
        <v>106.5</v>
      </c>
      <c r="BQ107" s="1187">
        <f>BQ106</f>
        <v>65.599999999999966</v>
      </c>
      <c r="BR107" s="88">
        <f t="shared" si="81"/>
        <v>62.328837994236423</v>
      </c>
      <c r="BS107" s="88">
        <f t="shared" si="82"/>
        <v>277.06264292821101</v>
      </c>
      <c r="BT107" s="88">
        <f t="shared" si="83"/>
        <v>32.593401049883838</v>
      </c>
      <c r="BU107" s="1182">
        <v>2050</v>
      </c>
      <c r="BV107" s="87">
        <f t="shared" si="183"/>
        <v>51.932565102787983</v>
      </c>
      <c r="BW107" s="88">
        <f t="shared" si="150"/>
        <v>535.04417978229276</v>
      </c>
      <c r="BX107" s="88">
        <f t="shared" si="184"/>
        <v>10.520000000000005</v>
      </c>
      <c r="BY107" s="1187">
        <f t="shared" si="152"/>
        <v>115</v>
      </c>
      <c r="BZ107" s="1187">
        <f>BZ106</f>
        <v>65.599999999999966</v>
      </c>
      <c r="CA107" s="88">
        <f t="shared" si="84"/>
        <v>63.262525116678688</v>
      </c>
      <c r="CB107" s="88">
        <f t="shared" si="85"/>
        <v>238.47433895200231</v>
      </c>
      <c r="CC107" s="88">
        <f t="shared" si="86"/>
        <v>33.848245862010039</v>
      </c>
      <c r="CD107" s="1182">
        <f>CD106+10</f>
        <v>1985</v>
      </c>
      <c r="CE107" s="87">
        <f t="shared" si="185"/>
        <v>55.399562635466978</v>
      </c>
      <c r="CF107" s="88">
        <f t="shared" si="155"/>
        <v>528.24566042040328</v>
      </c>
      <c r="CG107" s="88">
        <f t="shared" si="186"/>
        <v>11.72</v>
      </c>
      <c r="CH107" s="1187">
        <f t="shared" si="157"/>
        <v>112</v>
      </c>
      <c r="CI107" s="1187">
        <f>CI106</f>
        <v>68.69999999999996</v>
      </c>
      <c r="CJ107" s="88">
        <f t="shared" si="87"/>
        <v>65.332998378949839</v>
      </c>
      <c r="CK107" s="88">
        <f t="shared" si="88"/>
        <v>266.41649671396056</v>
      </c>
      <c r="CL107" s="88">
        <f t="shared" si="89"/>
        <v>34.511872875933499</v>
      </c>
      <c r="CM107" s="1182">
        <f>CM106+10</f>
        <v>2101</v>
      </c>
      <c r="CN107" s="87">
        <f t="shared" si="187"/>
        <v>52.228009102743279</v>
      </c>
      <c r="CO107" s="88">
        <f t="shared" si="159"/>
        <v>536.30973482623301</v>
      </c>
      <c r="CP107" s="88">
        <f t="shared" si="188"/>
        <v>11.22</v>
      </c>
      <c r="CQ107" s="1187">
        <f t="shared" si="161"/>
        <v>102</v>
      </c>
      <c r="CR107" s="1187">
        <f>CR106</f>
        <v>67.599999999999966</v>
      </c>
      <c r="CS107" s="88">
        <f t="shared" si="90"/>
        <v>64.024858011019475</v>
      </c>
      <c r="CT107" s="88">
        <f t="shared" si="91"/>
        <v>247.14293907418104</v>
      </c>
      <c r="CU107" s="88">
        <f t="shared" si="92"/>
        <v>34.337154622177074</v>
      </c>
      <c r="CV107" s="1182">
        <f>CV106+10</f>
        <v>1843</v>
      </c>
      <c r="CW107" s="87">
        <f t="shared" si="189"/>
        <v>57.858397801938771</v>
      </c>
      <c r="CX107" s="88">
        <f t="shared" si="124"/>
        <v>513.47376935725833</v>
      </c>
      <c r="CY107" s="88">
        <f t="shared" si="190"/>
        <v>11.820000000000004</v>
      </c>
      <c r="CZ107" s="1187">
        <f t="shared" si="126"/>
        <v>111</v>
      </c>
      <c r="DA107" s="1187">
        <f>DA106</f>
        <v>67.599999999999937</v>
      </c>
      <c r="DB107" s="88">
        <f t="shared" si="93"/>
        <v>64.306802139472566</v>
      </c>
      <c r="DC107" s="88">
        <f t="shared" si="94"/>
        <v>273.78593839877402</v>
      </c>
      <c r="DD107" s="88">
        <f t="shared" si="95"/>
        <v>33.019856089866387</v>
      </c>
      <c r="DE107" s="1182">
        <f>DE106+10</f>
        <v>2035</v>
      </c>
    </row>
    <row r="108" spans="1:109" ht="15.75" thickBot="1" x14ac:dyDescent="0.25">
      <c r="A108" s="1172">
        <f t="shared" si="194"/>
        <v>120</v>
      </c>
      <c r="B108" s="1173">
        <f t="shared" si="168"/>
        <v>40.061136650734497</v>
      </c>
      <c r="C108" s="1174">
        <f t="shared" si="129"/>
        <v>461.58386385685446</v>
      </c>
      <c r="D108" s="1174">
        <f t="shared" si="169"/>
        <v>11.207907907907908</v>
      </c>
      <c r="E108" s="1188">
        <f t="shared" si="131"/>
        <v>117</v>
      </c>
      <c r="F108" s="1188">
        <f>F107</f>
        <v>64.499999999999972</v>
      </c>
      <c r="G108" s="1174">
        <f t="shared" si="195"/>
        <v>61.667781216264991</v>
      </c>
      <c r="H108" s="1174">
        <f t="shared" si="193"/>
        <v>180.87603197806618</v>
      </c>
      <c r="I108" s="1174">
        <f t="shared" si="196"/>
        <v>28.464852729282747</v>
      </c>
      <c r="J108" s="1183">
        <v>2050</v>
      </c>
      <c r="K108" s="1173">
        <f t="shared" si="170"/>
        <v>67.175652380506619</v>
      </c>
      <c r="L108" s="1174">
        <f t="shared" si="134"/>
        <v>553.75448578041471</v>
      </c>
      <c r="M108" s="1174">
        <f t="shared" si="171"/>
        <v>11.207907907907908</v>
      </c>
      <c r="N108" s="1188">
        <f t="shared" si="136"/>
        <v>118</v>
      </c>
      <c r="O108" s="1188">
        <f>O107</f>
        <v>65.799999999999969</v>
      </c>
      <c r="P108" s="1174">
        <f t="shared" si="63"/>
        <v>63.756749471059265</v>
      </c>
      <c r="Q108" s="1174">
        <f t="shared" si="64"/>
        <v>309.41105486461333</v>
      </c>
      <c r="R108" s="1174">
        <f t="shared" si="65"/>
        <v>35.305586018377156</v>
      </c>
      <c r="S108" s="1183">
        <v>2050</v>
      </c>
      <c r="T108" s="1173">
        <f t="shared" si="172"/>
        <v>51.973455636027523</v>
      </c>
      <c r="U108" s="1174">
        <f t="shared" si="103"/>
        <v>492.80387820388216</v>
      </c>
      <c r="V108" s="1174">
        <f t="shared" si="173"/>
        <v>12.100000000000005</v>
      </c>
      <c r="W108" s="1188">
        <f t="shared" si="105"/>
        <v>126</v>
      </c>
      <c r="X108" s="1188">
        <f>X107</f>
        <v>68.199999999999918</v>
      </c>
      <c r="Y108" s="1174">
        <f t="shared" si="66"/>
        <v>63.386090734007176</v>
      </c>
      <c r="Z108" s="1174">
        <f t="shared" si="67"/>
        <v>248.12127720639509</v>
      </c>
      <c r="AA108" s="1174">
        <f t="shared" si="68"/>
        <v>31.236911337901894</v>
      </c>
      <c r="AB108" s="1183">
        <f t="shared" si="197"/>
        <v>2330</v>
      </c>
      <c r="AC108" s="1173">
        <f t="shared" si="174"/>
        <v>57.257044445375023</v>
      </c>
      <c r="AD108" s="1174">
        <f t="shared" si="107"/>
        <v>518.24834370842279</v>
      </c>
      <c r="AE108" s="1174">
        <f t="shared" si="175"/>
        <v>11.420000000000003</v>
      </c>
      <c r="AF108" s="1188">
        <f t="shared" si="109"/>
        <v>116</v>
      </c>
      <c r="AG108" s="1188">
        <f>AG105+0.1</f>
        <v>67.099999999999937</v>
      </c>
      <c r="AH108" s="1174">
        <f t="shared" si="69"/>
        <v>64.395253295642092</v>
      </c>
      <c r="AI108" s="1174">
        <f t="shared" si="70"/>
        <v>268.93633775992629</v>
      </c>
      <c r="AJ108" s="1174">
        <f t="shared" si="71"/>
        <v>33.372733363150864</v>
      </c>
      <c r="AK108" s="1183">
        <f t="shared" si="191"/>
        <v>1995</v>
      </c>
      <c r="AL108" s="1173">
        <f t="shared" si="176"/>
        <v>72.012915724703788</v>
      </c>
      <c r="AM108" s="1174">
        <f t="shared" si="112"/>
        <v>558.76095665717025</v>
      </c>
      <c r="AN108" s="1174">
        <f t="shared" si="177"/>
        <v>11.420000000000003</v>
      </c>
      <c r="AO108" s="1188">
        <f t="shared" si="114"/>
        <v>110</v>
      </c>
      <c r="AP108" s="1188">
        <f>AP105+0.1</f>
        <v>67.099999999999937</v>
      </c>
      <c r="AQ108" s="1174">
        <f t="shared" si="72"/>
        <v>63.069996753900639</v>
      </c>
      <c r="AR108" s="1174">
        <f t="shared" si="73"/>
        <v>338.2446651589334</v>
      </c>
      <c r="AS108" s="1174">
        <f t="shared" si="74"/>
        <v>35.241051722574142</v>
      </c>
      <c r="AT108" s="1183">
        <f t="shared" si="192"/>
        <v>1730</v>
      </c>
      <c r="AU108" s="1173">
        <f t="shared" si="178"/>
        <v>42.337880843827939</v>
      </c>
      <c r="AV108" s="1174">
        <f t="shared" si="142"/>
        <v>514.39173134564339</v>
      </c>
      <c r="AW108" s="1174">
        <f t="shared" si="179"/>
        <v>11.3</v>
      </c>
      <c r="AX108" s="1188">
        <f t="shared" si="144"/>
        <v>106</v>
      </c>
      <c r="AY108" s="1188">
        <f>AY107</f>
        <v>68.09999999999998</v>
      </c>
      <c r="AZ108" s="1174">
        <f t="shared" si="75"/>
        <v>64.596050077551837</v>
      </c>
      <c r="BA108" s="1174">
        <f t="shared" si="76"/>
        <v>201.82467798252773</v>
      </c>
      <c r="BB108" s="1174">
        <f t="shared" si="77"/>
        <v>33.227674037481769</v>
      </c>
      <c r="BC108" s="1183">
        <f t="shared" si="145"/>
        <v>2090</v>
      </c>
      <c r="BD108" s="1173">
        <f t="shared" si="180"/>
        <v>63.339511199519883</v>
      </c>
      <c r="BE108" s="1174">
        <f t="shared" si="117"/>
        <v>554.63978718673104</v>
      </c>
      <c r="BF108" s="1174">
        <f>BF107+0.25</f>
        <v>11.329999999999993</v>
      </c>
      <c r="BG108" s="1188">
        <f t="shared" si="118"/>
        <v>116</v>
      </c>
      <c r="BH108" s="1188">
        <f>BH107</f>
        <v>65.899999999999963</v>
      </c>
      <c r="BI108" s="1174">
        <f t="shared" si="78"/>
        <v>63.673191394058819</v>
      </c>
      <c r="BJ108" s="1174">
        <f t="shared" si="79"/>
        <v>292.18516516338502</v>
      </c>
      <c r="BK108" s="1174">
        <f t="shared" si="80"/>
        <v>35.31568532430078</v>
      </c>
      <c r="BL108" s="1183">
        <v>2085</v>
      </c>
      <c r="BM108" s="1173">
        <f t="shared" si="181"/>
        <v>59.973455636027651</v>
      </c>
      <c r="BN108" s="1174">
        <f t="shared" si="120"/>
        <v>526.07510559448065</v>
      </c>
      <c r="BO108" s="1174">
        <f t="shared" si="182"/>
        <v>12.700000000000008</v>
      </c>
      <c r="BP108" s="1188">
        <f t="shared" si="122"/>
        <v>106.5</v>
      </c>
      <c r="BQ108" s="1188">
        <f>BQ107</f>
        <v>65.599999999999966</v>
      </c>
      <c r="BR108" s="1174">
        <f t="shared" si="81"/>
        <v>62.348416190554012</v>
      </c>
      <c r="BS108" s="1174">
        <f t="shared" si="82"/>
        <v>275.39810828063884</v>
      </c>
      <c r="BT108" s="1174">
        <f t="shared" si="83"/>
        <v>32.799949631094329</v>
      </c>
      <c r="BU108" s="1183">
        <v>2050</v>
      </c>
      <c r="BV108" s="1173">
        <f t="shared" si="183"/>
        <v>51.293125416266626</v>
      </c>
      <c r="BW108" s="1174">
        <f t="shared" si="150"/>
        <v>537.98840518118641</v>
      </c>
      <c r="BX108" s="1174">
        <f t="shared" si="184"/>
        <v>10.700000000000005</v>
      </c>
      <c r="BY108" s="1188">
        <f t="shared" si="152"/>
        <v>115</v>
      </c>
      <c r="BZ108" s="1188">
        <f>BZ107</f>
        <v>65.599999999999966</v>
      </c>
      <c r="CA108" s="1174">
        <f t="shared" si="84"/>
        <v>63.2753173122994</v>
      </c>
      <c r="CB108" s="1174">
        <f t="shared" si="85"/>
        <v>235.53803191149623</v>
      </c>
      <c r="CC108" s="1174">
        <f t="shared" si="86"/>
        <v>34.041387048177469</v>
      </c>
      <c r="CD108" s="1183">
        <f>CD107</f>
        <v>1985</v>
      </c>
      <c r="CE108" s="1173">
        <f t="shared" si="185"/>
        <v>54.913287992928808</v>
      </c>
      <c r="CF108" s="1174">
        <f t="shared" si="155"/>
        <v>531.39768315119738</v>
      </c>
      <c r="CG108" s="1174">
        <f t="shared" si="186"/>
        <v>11.9</v>
      </c>
      <c r="CH108" s="1188">
        <f t="shared" si="157"/>
        <v>112</v>
      </c>
      <c r="CI108" s="1188">
        <f>CI107</f>
        <v>68.69999999999996</v>
      </c>
      <c r="CJ108" s="1174">
        <f t="shared" si="87"/>
        <v>65.352969985866224</v>
      </c>
      <c r="CK108" s="1174">
        <f t="shared" si="88"/>
        <v>264.0780019579945</v>
      </c>
      <c r="CL108" s="1174">
        <f t="shared" si="89"/>
        <v>34.728416837539044</v>
      </c>
      <c r="CM108" s="1183">
        <f>CM107</f>
        <v>2101</v>
      </c>
      <c r="CN108" s="1173">
        <f t="shared" si="187"/>
        <v>51.60279884805135</v>
      </c>
      <c r="CO108" s="1174">
        <f t="shared" si="159"/>
        <v>539.27173548011115</v>
      </c>
      <c r="CP108" s="1174">
        <f t="shared" si="188"/>
        <v>11.4</v>
      </c>
      <c r="CQ108" s="1188">
        <f t="shared" si="161"/>
        <v>102</v>
      </c>
      <c r="CR108" s="1188">
        <f>CR107</f>
        <v>67.599999999999966</v>
      </c>
      <c r="CS108" s="1174">
        <f t="shared" si="90"/>
        <v>64.044494814160373</v>
      </c>
      <c r="CT108" s="1174">
        <f t="shared" si="91"/>
        <v>244.18444414897883</v>
      </c>
      <c r="CU108" s="1174">
        <f t="shared" si="92"/>
        <v>34.537385866379239</v>
      </c>
      <c r="CV108" s="1183">
        <f>CV107</f>
        <v>1843</v>
      </c>
      <c r="CW108" s="1173">
        <f t="shared" si="189"/>
        <v>57.55704444537502</v>
      </c>
      <c r="CX108" s="1174">
        <f t="shared" si="124"/>
        <v>516.77754370842285</v>
      </c>
      <c r="CY108" s="1174">
        <f t="shared" si="190"/>
        <v>12.000000000000004</v>
      </c>
      <c r="CZ108" s="1188">
        <f t="shared" si="126"/>
        <v>111</v>
      </c>
      <c r="DA108" s="1188">
        <f>DA107</f>
        <v>67.599999999999937</v>
      </c>
      <c r="DB108" s="1174">
        <f t="shared" si="93"/>
        <v>64.327855652260382</v>
      </c>
      <c r="DC108" s="1174">
        <f t="shared" si="94"/>
        <v>272.35993431551435</v>
      </c>
      <c r="DD108" s="1174">
        <f t="shared" si="95"/>
        <v>33.24319123600511</v>
      </c>
      <c r="DE108" s="1183">
        <f>DE107</f>
        <v>2035</v>
      </c>
    </row>
    <row r="109" spans="1:109" x14ac:dyDescent="0.25">
      <c r="A109" s="1166"/>
      <c r="B109" s="1166" t="s">
        <v>134</v>
      </c>
      <c r="C109" s="1166" t="s">
        <v>134</v>
      </c>
      <c r="D109" s="1166" t="s">
        <v>134</v>
      </c>
      <c r="E109" s="1166" t="s">
        <v>134</v>
      </c>
      <c r="F109" s="1166" t="s">
        <v>134</v>
      </c>
      <c r="G109" s="1166" t="s">
        <v>134</v>
      </c>
      <c r="H109" s="1166"/>
      <c r="I109" s="1166"/>
      <c r="J109" s="1166" t="s">
        <v>134</v>
      </c>
      <c r="K109" s="1166" t="s">
        <v>134</v>
      </c>
      <c r="L109" s="1166" t="s">
        <v>134</v>
      </c>
      <c r="M109" s="1166" t="s">
        <v>134</v>
      </c>
      <c r="N109" s="1166" t="s">
        <v>134</v>
      </c>
      <c r="O109" s="1166" t="s">
        <v>134</v>
      </c>
      <c r="P109" s="1166" t="s">
        <v>134</v>
      </c>
      <c r="Q109" s="1166"/>
      <c r="R109" s="1166"/>
      <c r="S109" s="1166" t="s">
        <v>134</v>
      </c>
      <c r="T109" s="1166" t="s">
        <v>134</v>
      </c>
      <c r="U109" s="1166" t="s">
        <v>134</v>
      </c>
      <c r="V109" s="1166" t="s">
        <v>134</v>
      </c>
      <c r="W109" s="1166" t="s">
        <v>134</v>
      </c>
      <c r="X109" s="1166" t="s">
        <v>134</v>
      </c>
      <c r="Y109" s="1166" t="s">
        <v>134</v>
      </c>
      <c r="Z109" s="1166"/>
      <c r="AA109" s="1166"/>
      <c r="AB109" s="1166" t="s">
        <v>134</v>
      </c>
      <c r="AC109" s="1166" t="s">
        <v>134</v>
      </c>
      <c r="AD109" s="1166" t="s">
        <v>134</v>
      </c>
      <c r="AE109" s="1166" t="s">
        <v>134</v>
      </c>
      <c r="AF109" s="1166" t="s">
        <v>134</v>
      </c>
      <c r="AG109" s="1166" t="s">
        <v>134</v>
      </c>
      <c r="AH109" s="1166" t="s">
        <v>134</v>
      </c>
      <c r="AI109" s="1166"/>
      <c r="AJ109" s="1166"/>
      <c r="AK109" s="1166" t="s">
        <v>134</v>
      </c>
      <c r="AL109" s="1166" t="s">
        <v>134</v>
      </c>
      <c r="AM109" s="1166" t="s">
        <v>134</v>
      </c>
      <c r="AN109" s="1166" t="s">
        <v>134</v>
      </c>
      <c r="AO109" s="1166" t="s">
        <v>134</v>
      </c>
      <c r="AP109" s="1166" t="s">
        <v>134</v>
      </c>
      <c r="AQ109" s="1166" t="s">
        <v>134</v>
      </c>
      <c r="AR109" s="1166"/>
      <c r="AS109" s="1166"/>
      <c r="AT109" s="1166" t="s">
        <v>134</v>
      </c>
      <c r="AU109" s="1166" t="s">
        <v>134</v>
      </c>
      <c r="AV109" s="1166" t="s">
        <v>134</v>
      </c>
      <c r="AW109" s="1166" t="s">
        <v>134</v>
      </c>
      <c r="AX109" s="1166" t="s">
        <v>134</v>
      </c>
      <c r="AY109" s="1166" t="s">
        <v>134</v>
      </c>
      <c r="AZ109" s="1166" t="s">
        <v>134</v>
      </c>
      <c r="BA109" s="1166"/>
      <c r="BB109" s="1166"/>
      <c r="BC109" s="1166" t="s">
        <v>134</v>
      </c>
      <c r="BD109" s="1166" t="s">
        <v>134</v>
      </c>
      <c r="BE109" s="1166" t="s">
        <v>134</v>
      </c>
      <c r="BF109" s="1166" t="s">
        <v>134</v>
      </c>
      <c r="BG109" s="1166" t="s">
        <v>134</v>
      </c>
      <c r="BH109" s="1166" t="s">
        <v>134</v>
      </c>
      <c r="BI109" s="1166" t="s">
        <v>134</v>
      </c>
      <c r="BJ109" s="1166"/>
      <c r="BK109" s="1166"/>
      <c r="BL109" s="1166" t="s">
        <v>134</v>
      </c>
      <c r="BM109" s="1166" t="s">
        <v>134</v>
      </c>
      <c r="BN109" s="1166" t="s">
        <v>134</v>
      </c>
      <c r="BO109" s="1166" t="s">
        <v>134</v>
      </c>
      <c r="BP109" s="1166" t="s">
        <v>134</v>
      </c>
      <c r="BQ109" s="1166" t="s">
        <v>134</v>
      </c>
      <c r="BR109" s="1166" t="s">
        <v>134</v>
      </c>
      <c r="BS109" s="1166"/>
      <c r="BT109" s="1166"/>
      <c r="BU109" s="1166" t="s">
        <v>134</v>
      </c>
      <c r="BV109" s="1166" t="s">
        <v>134</v>
      </c>
      <c r="BW109" s="1166" t="s">
        <v>134</v>
      </c>
      <c r="BX109" s="1166" t="s">
        <v>134</v>
      </c>
      <c r="BY109" s="1166" t="s">
        <v>134</v>
      </c>
      <c r="BZ109" s="1166" t="s">
        <v>134</v>
      </c>
      <c r="CA109" s="1166" t="s">
        <v>134</v>
      </c>
      <c r="CB109" s="1166"/>
      <c r="CC109" s="1166"/>
      <c r="CD109" s="1166" t="s">
        <v>134</v>
      </c>
      <c r="CE109" s="1166" t="s">
        <v>134</v>
      </c>
      <c r="CF109" s="1166" t="s">
        <v>134</v>
      </c>
      <c r="CG109" s="1166" t="s">
        <v>134</v>
      </c>
      <c r="CH109" s="1166" t="s">
        <v>134</v>
      </c>
      <c r="CI109" s="1166" t="s">
        <v>134</v>
      </c>
      <c r="CJ109" s="1166" t="s">
        <v>134</v>
      </c>
      <c r="CK109" s="1166"/>
      <c r="CL109" s="1166"/>
      <c r="CM109" s="1166" t="s">
        <v>134</v>
      </c>
      <c r="CN109" s="1166" t="s">
        <v>134</v>
      </c>
      <c r="CO109" s="1166" t="s">
        <v>134</v>
      </c>
      <c r="CP109" s="1166" t="s">
        <v>134</v>
      </c>
      <c r="CQ109" s="1166" t="s">
        <v>134</v>
      </c>
      <c r="CR109" s="1166" t="s">
        <v>134</v>
      </c>
      <c r="CS109" s="1166" t="s">
        <v>134</v>
      </c>
      <c r="CT109" s="1166"/>
      <c r="CU109" s="1166"/>
      <c r="CV109" s="1166" t="s">
        <v>134</v>
      </c>
      <c r="CW109" s="1166" t="s">
        <v>134</v>
      </c>
      <c r="CX109" s="1166" t="s">
        <v>134</v>
      </c>
      <c r="CY109" s="1166" t="s">
        <v>134</v>
      </c>
      <c r="CZ109" s="1166" t="s">
        <v>134</v>
      </c>
      <c r="DA109" s="1166" t="s">
        <v>134</v>
      </c>
      <c r="DB109" s="1166" t="s">
        <v>134</v>
      </c>
      <c r="DC109" s="1166"/>
      <c r="DD109" s="1166"/>
      <c r="DE109" s="1166" t="s">
        <v>134</v>
      </c>
    </row>
  </sheetData>
  <sheetProtection algorithmName="SHA-512" hashValue="NxLmlzXD6QLFi8cktCBYQnxoiSXDwtrNOzA/OTWAEfDeYbLllJN2zXIxbCGk5pwlKXv8xuvmOIBdZWK4V1tO2Q==" saltValue="SYpYDXVH/hkzNYGPvV7/sw==" spinCount="100000" sheet="1" objects="1" scenarios="1"/>
  <mergeCells count="12">
    <mergeCell ref="CE3:CM3"/>
    <mergeCell ref="CN3:CV3"/>
    <mergeCell ref="CW3:DE3"/>
    <mergeCell ref="BD3:BL3"/>
    <mergeCell ref="B3:J3"/>
    <mergeCell ref="T3:AB3"/>
    <mergeCell ref="K3:S3"/>
    <mergeCell ref="AC3:AK3"/>
    <mergeCell ref="BV3:CD3"/>
    <mergeCell ref="AL3:AT3"/>
    <mergeCell ref="AU3:BC3"/>
    <mergeCell ref="BM3:BU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tabColor indexed="12"/>
    <pageSetUpPr fitToPage="1"/>
  </sheetPr>
  <dimension ref="A1:DA191"/>
  <sheetViews>
    <sheetView showGridLines="0" showRowColHeaders="0" showZeros="0" topLeftCell="A3" zoomScaleNormal="100" zoomScaleSheetLayoutView="100" workbookViewId="0">
      <pane ySplit="3" topLeftCell="A6" activePane="bottomLeft" state="frozen"/>
      <selection activeCell="A3" sqref="A3"/>
      <selection pane="bottomLeft" activeCell="B5" sqref="B5"/>
    </sheetView>
  </sheetViews>
  <sheetFormatPr baseColWidth="10" defaultColWidth="8.125" defaultRowHeight="17.25" x14ac:dyDescent="0.3"/>
  <cols>
    <col min="1" max="1" width="4.25" style="43" bestFit="1" customWidth="1"/>
    <col min="2" max="2" width="7.125" style="43" customWidth="1"/>
    <col min="3" max="3" width="6.125" style="30" customWidth="1"/>
    <col min="4" max="4" width="5.375" style="30" customWidth="1"/>
    <col min="5" max="5" width="8.125" style="43" bestFit="1" customWidth="1"/>
    <col min="6" max="6" width="9.25" style="43" customWidth="1"/>
    <col min="7" max="8" width="7.75" style="43" customWidth="1"/>
    <col min="9" max="9" width="8.125" style="43" bestFit="1" customWidth="1"/>
    <col min="10" max="10" width="9.625" style="43" customWidth="1"/>
    <col min="11" max="11" width="8.25" style="43" customWidth="1"/>
    <col min="12" max="12" width="9.125" style="43" bestFit="1" customWidth="1"/>
    <col min="13" max="13" width="9.875" style="43" customWidth="1"/>
    <col min="14" max="14" width="6.875" style="43" customWidth="1"/>
    <col min="15" max="15" width="6.625" style="30" customWidth="1"/>
    <col min="16" max="16" width="6.5" style="30" customWidth="1"/>
    <col min="17" max="17" width="8.125" style="43" bestFit="1" customWidth="1"/>
    <col min="18" max="18" width="7.875" style="43" customWidth="1"/>
    <col min="19" max="19" width="8.125" style="43" customWidth="1"/>
    <col min="20" max="20" width="10.25" style="43" customWidth="1"/>
    <col min="21" max="21" width="9.25" style="43" customWidth="1"/>
    <col min="22" max="23" width="7.375" style="30" customWidth="1"/>
    <col min="24" max="24" width="8.125" style="43" bestFit="1" customWidth="1"/>
    <col min="25" max="25" width="9.875" style="43" customWidth="1"/>
    <col min="26" max="26" width="10.125" style="43" customWidth="1"/>
    <col min="27" max="27" width="6.25" style="43" customWidth="1"/>
    <col min="28" max="28" width="6.25" style="1" customWidth="1"/>
    <col min="29" max="29" width="7.5" style="97" customWidth="1"/>
    <col min="30" max="30" width="8.625" style="1" customWidth="1"/>
    <col min="31" max="33" width="7.875" style="1" customWidth="1"/>
    <col min="34" max="34" width="10.25" style="1" bestFit="1" customWidth="1"/>
    <col min="35" max="37" width="8.625" style="1" customWidth="1"/>
    <col min="38" max="38" width="7.875" style="1" customWidth="1"/>
    <col min="39" max="39" width="11.5" style="1" customWidth="1"/>
    <col min="40" max="40" width="9.375" style="1" customWidth="1"/>
    <col min="41" max="41" width="7.875" style="1" customWidth="1"/>
    <col min="42" max="43" width="8" style="1" customWidth="1"/>
    <col min="44" max="44" width="7.875" style="1" customWidth="1"/>
    <col min="45" max="45" width="8.125" customWidth="1"/>
    <col min="46" max="46" width="7.125" style="1" customWidth="1"/>
    <col min="47" max="47" width="7.25" style="1" customWidth="1"/>
    <col min="48" max="49" width="8.125" style="1" customWidth="1"/>
    <col min="50" max="50" width="10.625" style="1" customWidth="1"/>
    <col min="51" max="51" width="8.625" style="1" customWidth="1"/>
    <col min="52" max="52" width="9.125" style="1" customWidth="1"/>
    <col min="53" max="53" width="10.625" style="1" customWidth="1"/>
    <col min="54" max="54" width="7.125" style="1" customWidth="1"/>
    <col min="55" max="55" width="8.875" style="1" customWidth="1"/>
    <col min="56" max="56" width="9" style="1" customWidth="1"/>
    <col min="57" max="57" width="10.625" style="1" customWidth="1"/>
    <col min="58" max="58" width="9" style="1" customWidth="1"/>
    <col min="59" max="59" width="8.75" style="1" customWidth="1"/>
    <col min="60" max="60" width="10.625" style="1" customWidth="1"/>
    <col min="61" max="61" width="10.125" style="1" customWidth="1"/>
    <col min="62" max="62" width="8.25" style="1" customWidth="1"/>
    <col min="63" max="63" width="8.125" style="1" customWidth="1"/>
    <col min="64" max="64" width="10.375" style="1" customWidth="1"/>
    <col min="65" max="66" width="8.625" style="1" customWidth="1"/>
    <col min="67" max="67" width="9.5" style="1" customWidth="1"/>
    <col min="68" max="68" width="13.75" style="1" customWidth="1"/>
    <col min="69" max="69" width="13" style="1" customWidth="1"/>
    <col min="70" max="70" width="9.5" style="1" customWidth="1"/>
    <col min="71" max="73" width="8.75" style="1" customWidth="1"/>
    <col min="74" max="74" width="7.5" style="97" customWidth="1"/>
    <col min="75" max="75" width="7.75" style="97" bestFit="1" customWidth="1"/>
    <col min="76" max="81" width="7.75" style="97" customWidth="1"/>
    <col min="82" max="84" width="6.125" style="97" customWidth="1"/>
    <col min="85" max="85" width="10.125" style="97" bestFit="1" customWidth="1"/>
    <col min="86" max="87" width="7.875" style="97" customWidth="1"/>
    <col min="88" max="88" width="9.5" style="97" bestFit="1" customWidth="1"/>
    <col min="89" max="89" width="10.625" style="1" customWidth="1"/>
    <col min="90" max="91" width="7.5" style="198" customWidth="1"/>
    <col min="92" max="92" width="8.125" style="198" customWidth="1"/>
    <col min="93" max="97" width="10.625" style="1" customWidth="1"/>
    <col min="98" max="128" width="8.125" style="1" customWidth="1"/>
    <col min="129" max="129" width="12.75" style="1" customWidth="1"/>
    <col min="130" max="149" width="8.125" style="1" customWidth="1"/>
    <col min="150" max="150" width="12.25" style="1" customWidth="1"/>
    <col min="151" max="184" width="8.125" style="1" customWidth="1"/>
    <col min="185" max="185" width="11.5" style="1" customWidth="1"/>
    <col min="186" max="234" width="8.125" style="1" customWidth="1"/>
    <col min="235" max="235" width="16.25" style="1" customWidth="1"/>
    <col min="236" max="236" width="8.125" style="1" customWidth="1"/>
    <col min="237" max="237" width="8.25" style="1" customWidth="1"/>
    <col min="238" max="16384" width="8.125" style="1"/>
  </cols>
  <sheetData>
    <row r="1" spans="1:93" ht="16.5" hidden="1" customHeight="1" x14ac:dyDescent="0.3"/>
    <row r="2" spans="1:93" ht="15.75" hidden="1" customHeight="1" thickBot="1" x14ac:dyDescent="0.35"/>
    <row r="3" spans="1:93" ht="20.25" thickBot="1" x14ac:dyDescent="0.35">
      <c r="A3" s="61"/>
      <c r="B3" s="2025">
        <f>Linea</f>
        <v>0</v>
      </c>
      <c r="C3" s="2025"/>
      <c r="D3" s="2025"/>
      <c r="E3" s="2025"/>
      <c r="F3" s="988" t="str">
        <f>CONCATENATE("Granja de Levante ",Levante!G2)</f>
        <v xml:space="preserve">Granja de Levante </v>
      </c>
      <c r="G3" s="888"/>
      <c r="H3" s="888"/>
      <c r="I3" s="888"/>
      <c r="J3" s="888"/>
      <c r="K3" s="888"/>
      <c r="L3" s="888"/>
      <c r="M3" s="888"/>
      <c r="N3" s="888"/>
      <c r="O3" s="889"/>
      <c r="P3" s="889"/>
      <c r="Q3" s="83"/>
      <c r="R3" s="83"/>
      <c r="S3" s="83"/>
      <c r="T3" s="83"/>
      <c r="U3" s="83"/>
      <c r="X3" s="83"/>
      <c r="Y3" s="83"/>
      <c r="Z3" s="83"/>
      <c r="AD3" s="102">
        <f>Linea</f>
        <v>0</v>
      </c>
      <c r="AE3" s="103"/>
      <c r="AF3" s="103"/>
      <c r="AG3" s="103"/>
      <c r="AH3" s="47"/>
      <c r="AI3" s="47"/>
      <c r="AJ3" s="47"/>
      <c r="AK3" s="47"/>
      <c r="AL3" s="103"/>
      <c r="AM3" s="47"/>
      <c r="AN3" s="47"/>
      <c r="AO3" s="47"/>
      <c r="AP3" s="47"/>
      <c r="AQ3" s="47"/>
      <c r="AR3" s="47"/>
      <c r="AT3" s="77"/>
      <c r="AU3" s="103"/>
      <c r="AV3" s="77"/>
      <c r="AW3" s="77"/>
      <c r="AX3" s="77"/>
      <c r="AY3" s="77"/>
      <c r="AZ3" s="103"/>
      <c r="BA3" s="77"/>
      <c r="BB3" s="77"/>
      <c r="BC3" s="103"/>
      <c r="BD3" s="77"/>
      <c r="BE3" s="103"/>
      <c r="BF3" s="77"/>
      <c r="BG3" s="77"/>
      <c r="BH3" s="103"/>
      <c r="BI3" s="77"/>
      <c r="BJ3" s="77"/>
      <c r="BK3" s="104"/>
      <c r="BL3" s="77"/>
      <c r="BM3" s="77"/>
      <c r="BN3" s="77"/>
      <c r="BO3" s="77"/>
      <c r="BP3" s="77"/>
      <c r="BQ3" s="77"/>
      <c r="BR3" s="77"/>
      <c r="BS3" s="77"/>
      <c r="BT3" s="77"/>
      <c r="BU3" s="77"/>
      <c r="BW3" s="2021" t="str">
        <f>CONCATENATE("Semanas en Producción : ",BK4)</f>
        <v xml:space="preserve">Semanas en Producción : </v>
      </c>
      <c r="BX3" s="2021"/>
      <c r="BY3" s="2021"/>
      <c r="BZ3" s="2021"/>
      <c r="CA3" s="2021"/>
      <c r="CB3" s="2021"/>
      <c r="CC3" s="2021"/>
      <c r="CD3" s="2021"/>
      <c r="CE3" s="2021"/>
      <c r="CF3" s="2021"/>
      <c r="CO3" s="31"/>
    </row>
    <row r="4" spans="1:93" ht="18" thickBot="1" x14ac:dyDescent="0.35">
      <c r="A4" s="61" t="s">
        <v>260</v>
      </c>
      <c r="B4" s="881" t="str">
        <f>IFERROR(LOOKUP($AA$23,$A$6:$A$23,B$6:B$23),"")</f>
        <v/>
      </c>
      <c r="C4" s="882" t="str">
        <f>IFERROR(LOOKUP($AA$23,$A$6:$A$23,C$6:C$23),"")</f>
        <v/>
      </c>
      <c r="D4" s="882" t="str">
        <f>IFERROR(LOOKUP($AA$23,$A$6:$A$23,D$6:D$23),"")</f>
        <v/>
      </c>
      <c r="E4" s="984" t="str">
        <f>IFERROR(ROUND(LOOKUP($AA$23,$A$6:$A$23,E$6:E$23),2),"")</f>
        <v/>
      </c>
      <c r="F4" s="84" t="str">
        <f>IFERROR(LOOKUP($AA$23,$A$6:$A$23,F$6:F$23),"")</f>
        <v/>
      </c>
      <c r="G4" s="84" t="str">
        <f>IFERROR(LOOKUP($AA$23,$A$6:$A$23,G$6:G$23),"")</f>
        <v/>
      </c>
      <c r="H4" s="84" t="str">
        <f>IFERROR(LOOKUP($AA$23,$A$6:$A$23,H$6:H$23),"")</f>
        <v/>
      </c>
      <c r="I4" s="985" t="str">
        <f>IFERROR(ROUND(LOOKUP($AA$23,$A$6:$A$23,I$6:I$23),2),"")</f>
        <v/>
      </c>
      <c r="J4" s="186" t="str">
        <f>IFERROR(LOOKUP($AA$23,$A$6:$A$23,J$6:J$23),"")</f>
        <v/>
      </c>
      <c r="K4" s="896" t="str">
        <f>IFERROR(LOOKUP($AA$23,$A$6:$A$23,K$6:K$23),"")</f>
        <v/>
      </c>
      <c r="L4" s="900" t="str">
        <f t="shared" ref="L4:X4" si="0">IFERROR(ROUND(LOOKUP($AA$23,$A$6:$A$23,L$6:L$23),2),"")</f>
        <v/>
      </c>
      <c r="M4" s="914" t="str">
        <f t="shared" si="0"/>
        <v/>
      </c>
      <c r="N4" s="909" t="str">
        <f t="shared" si="0"/>
        <v/>
      </c>
      <c r="O4" s="910" t="str">
        <f t="shared" si="0"/>
        <v/>
      </c>
      <c r="P4" s="910" t="str">
        <f t="shared" si="0"/>
        <v/>
      </c>
      <c r="Q4" s="986" t="str">
        <f t="shared" si="0"/>
        <v/>
      </c>
      <c r="R4" s="930" t="str">
        <f t="shared" si="0"/>
        <v/>
      </c>
      <c r="S4" s="910" t="str">
        <f t="shared" si="0"/>
        <v/>
      </c>
      <c r="T4" s="919" t="str">
        <f t="shared" si="0"/>
        <v/>
      </c>
      <c r="U4" s="923" t="str">
        <f t="shared" si="0"/>
        <v/>
      </c>
      <c r="V4" s="918" t="str">
        <f t="shared" si="0"/>
        <v/>
      </c>
      <c r="W4" s="918" t="str">
        <f t="shared" si="0"/>
        <v/>
      </c>
      <c r="X4" s="987" t="str">
        <f t="shared" si="0"/>
        <v/>
      </c>
      <c r="Y4" s="81" t="str">
        <f>IFERROR(ROUND(LOOKUP($AA$23,$A$6:$A$23,Y$6:Y$23)*100,2),"")</f>
        <v/>
      </c>
      <c r="Z4" s="85" t="str">
        <f>IFERROR(ROUND(LOOKUP($AA$23,$A$6:$A$23,Z$6:Z$23)*100,2),"")</f>
        <v/>
      </c>
      <c r="AA4" s="34" t="str">
        <f>CONCATENATE(AA23," Sem")</f>
        <v>0 Sem</v>
      </c>
      <c r="AB4" s="43"/>
      <c r="AC4" s="2014" t="s">
        <v>0</v>
      </c>
      <c r="AD4" s="805" t="str">
        <f>IF($CK$108&gt;0,ROUND(LOOKUP($CK$108,TP!$A$6:$A$108,AD$6:AD$108),2),"")</f>
        <v/>
      </c>
      <c r="AE4" s="141" t="str">
        <f>IF($CK$108&gt;0,ROUND(LOOKUP($CK$108,TP!$A$6:$A$108,AE$6:AE$108),2),"")</f>
        <v/>
      </c>
      <c r="AF4" s="141" t="str">
        <f>IF($CK$108&gt;0,ROUND(LOOKUP($CK$108,TP!$A$6:$A$108,AF$6:AF$108),2),"")</f>
        <v/>
      </c>
      <c r="AG4" s="141">
        <f>'Pr-Sem'!$BJ$4</f>
        <v>3</v>
      </c>
      <c r="AH4" s="806" t="str">
        <f>IF($CK$108&gt;0,ROUND(LOOKUP($CK$108,TP!$A$6:$A$108,AH$6:AH$108),2),"")</f>
        <v/>
      </c>
      <c r="AI4" s="807" t="str">
        <f>IF($CK$108&gt;0,ROUND(LOOKUP($CK$108,TP!$A$6:$A$108,AI$6:AI$108),2),"")</f>
        <v/>
      </c>
      <c r="AJ4" s="105" t="str">
        <f>IF($CK$108&gt;0,ROUND(LOOKUP($CK$108,TP!$A$6:$A$108,AJ$6:AJ$108),2),"")</f>
        <v/>
      </c>
      <c r="AK4" s="105" t="str">
        <f>IF($CK$108&gt;0,ROUND(LOOKUP($CK$108,TP!$A$6:$A$108,AK$6:AK$108),2),"")</f>
        <v/>
      </c>
      <c r="AL4" s="141">
        <f>'Pr-Sem'!$BJ$4</f>
        <v>3</v>
      </c>
      <c r="AM4" s="808" t="str">
        <f>IF($CK$108&gt;0,ROUND(LOOKUP(CK108,TP!A6:A108,AM6:AM108),2),"")</f>
        <v/>
      </c>
      <c r="AN4" s="809" t="str">
        <f>IF($CK$108&gt;0,ROUND(LOOKUP($CK$108,TP!$A$6:$A$108,AN$6:AN$108),2),"")</f>
        <v/>
      </c>
      <c r="AO4" s="168" t="str">
        <f>IF($CK$108&gt;0,ROUND(LOOKUP($CK$108,TP!$A$6:$A$108,AO$6:AO$108),2),"")</f>
        <v/>
      </c>
      <c r="AP4" s="105" t="str">
        <f>IF($CK$108&gt;0,ROUND(LOOKUP($CK$108,TP!$A$6:$A$108,AP$6:AP$108),2),"")</f>
        <v/>
      </c>
      <c r="AQ4" s="105" t="str">
        <f>IF($CK$108&gt;0,ROUND(LOOKUP($CK$108,TP!$A$6:$A$108,AQ$6:AQ$108),2),"")</f>
        <v/>
      </c>
      <c r="AR4" s="105" t="str">
        <f>IF($CK$108&gt;0,ROUND(LOOKUP($CK$108,TP!$A$6:$A$108,AR$6:AR$108),2),"")</f>
        <v/>
      </c>
      <c r="AS4" s="630" t="str">
        <f>IF($CK$108&gt;0,ROUND(LOOKUP($CK$108,TP!$A$6:$A$108,AS$6:AS$108),2),"")</f>
        <v/>
      </c>
      <c r="AT4" s="624" t="str">
        <f>IF($CK$108&gt;0,ROUND(LOOKUP($CK$108,TP!$A$6:$A$108,AT$6:AT$108),2),"")</f>
        <v/>
      </c>
      <c r="AU4" s="141" t="str">
        <f>IF($CK$108&gt;0,ROUND(LOOKUP($CK$108,TP!$A$6:$A$108,AU$6:AU$108),2),"")</f>
        <v/>
      </c>
      <c r="AV4" s="810" t="str">
        <f>IF($CK$108&gt;0,ROUND(LOOKUP($CK$108,TP!$A$6:$A$108,AV$6:AV$108),2),"")</f>
        <v/>
      </c>
      <c r="AW4" s="1083" t="str">
        <f>IF($CK$108&gt;0,ROUND(LOOKUP($CK$108,TP!$A$6:$A$108,AW$6:AW$108),2),"")</f>
        <v/>
      </c>
      <c r="AX4" s="1084" t="str">
        <f>IF($CK$108&gt;0,ROUND(LOOKUP($CK$108,TP!$A$6:$A$108,AX$6:AX$108),2),"")</f>
        <v/>
      </c>
      <c r="AY4" s="142" t="str">
        <f>IF($CK$108&gt;0,ROUND(LOOKUP($CK$108,TP!$A$6:$A$108,AY$6:AY$108),2),"")</f>
        <v/>
      </c>
      <c r="AZ4" s="112" t="str">
        <f>IF($CK$108&gt;0,ROUND(LOOKUP($CK$108,TP!$A$6:$A$108,AZ$6:AZ$108),2),"")</f>
        <v/>
      </c>
      <c r="BA4" s="811" t="str">
        <f>IF($CK$108&gt;0,ROUND(LOOKUP($CK$108,TP!$A$6:$A$108,BA$6:BA$108),2),"")</f>
        <v/>
      </c>
      <c r="BB4" s="116" t="str">
        <f>IF($CK$108&gt;0,ROUND(LOOKUP($CK$108,TP!$A$6:$A$108,BB$6:BB$108),2),"")</f>
        <v/>
      </c>
      <c r="BC4" s="116" t="str">
        <f>IF($CK$108&gt;0,ROUND(LOOKUP($CK$108,TP!$A$6:$A$108,BC$6:BC$108),2),"")</f>
        <v/>
      </c>
      <c r="BD4" s="143" t="str">
        <f>IF($CK$108&gt;0,ROUND(LOOKUP($CK$108,TP!$A$6:$A$108,BD$6:BD$108),2),"")</f>
        <v/>
      </c>
      <c r="BE4" s="120" t="str">
        <f>IF($CK$108&gt;0,ROUND(LOOKUP($CK$108,TP!$A$6:$A$108,BE$6:BE$108),2),"")</f>
        <v/>
      </c>
      <c r="BF4" s="812" t="str">
        <f>IF($CK$108&gt;0,ROUND(LOOKUP($CK$108,TP!$A$6:$A$108,BF$6:BF$108),2),"")</f>
        <v/>
      </c>
      <c r="BG4" s="144" t="str">
        <f>IF($CK$108&gt;0,ROUND(LOOKUP($CK$108,TP!$A$6:$A$108,BG$6:BG$108),2),"")</f>
        <v/>
      </c>
      <c r="BH4" s="120" t="str">
        <f>IF($CK$108&gt;0,ROUND(LOOKUP($CK$108,TP!$A$6:$A$108,BH$6:BH$108),2),"")</f>
        <v/>
      </c>
      <c r="BI4" s="810" t="str">
        <f>IF($CK$108&gt;0,ROUND(LOOKUP($CK$108,TP!$A$6:$A$108,BI$6:BI$108),2),"")</f>
        <v/>
      </c>
      <c r="BJ4" s="509" t="str">
        <f>IF($CK$108&gt;0,ROUND(LOOKUP($CK$108,TP!$A$6:$A$108,BJ$6:BJ$108),2),"")</f>
        <v/>
      </c>
      <c r="BK4" s="510" t="str">
        <f>IF($CK$108&gt;0,ROUND(LOOKUP($CK$108,TP!$A$6:$A$108,BK$6:BK$108),2),"")</f>
        <v/>
      </c>
      <c r="BL4" s="813" t="str">
        <f>IF($CK$108&gt;0,ROUND(LOOKUP($CK$108,TP!$A$6:$A$108,BL$6:BL$108),2),"")</f>
        <v/>
      </c>
      <c r="BM4" s="131" t="str">
        <f>IF($CK$108&gt;0,IF($BM$5="Gr X H",ROUND(LOOKUP($CK$108,TP!$A$6:$A$108,BM$6:BM$108),2),ROUND(LOOKUP($CK$108,TP!$A$6:$A$108,BM$6:BM$108),2)/100),"")</f>
        <v/>
      </c>
      <c r="BN4" s="132" t="str">
        <f>IF($CK$108&gt;0,IF($BM$5="Gr X H",ROUND(LOOKUP($CK$108,TP!$A$6:$A$108,BN$6:BN$108),2),ROUND(LOOKUP($CK$108,TP!$A$6:$A$108,BN$6:BN$108),2)/100),"")</f>
        <v/>
      </c>
      <c r="BO4" s="810" t="str">
        <f>IF($CK$108&gt;0,ROUND(LOOKUP($CK$108,TP!$A$6:$A$108,BO$6:BO$108),2),"")</f>
        <v/>
      </c>
      <c r="BP4" s="131" t="str">
        <f>IF($CK$108&gt;0,IF($BM$5="Gr X H",ROUND(LOOKUP($CK$108,TP!$A$6:$A$108,BP$6:BP$108),2),ROUND(LOOKUP($CK$108,TP!$A$6:$A$108,BP$6:BP$108),2)/100),"")</f>
        <v/>
      </c>
      <c r="BQ4" s="132" t="str">
        <f>IF($CK$108&gt;0,IF($BM$5="Gr X H",ROUND(LOOKUP($CK$108,TP!$A$6:$A$108,BQ$6:BQ$108),2),ROUND(LOOKUP($CK$108,TP!$A$6:$A$108,BQ$6:BQ$108),2)/100),"")</f>
        <v/>
      </c>
      <c r="BR4" s="810" t="str">
        <f>IF($CK$108&gt;0,ROUND(LOOKUP($CK$108,TP!$A$6:$A$108,BR$6:BR$108),2),"")</f>
        <v/>
      </c>
      <c r="BS4" s="131" t="str">
        <f>IF($CK$108&gt;0,ROUND(LOOKUP($CK$108,TP!$A$6:$A$108,BS$6:BS$108),2),"")</f>
        <v/>
      </c>
      <c r="BT4" s="132" t="str">
        <f>IF($CK$108&gt;0,ROUND(LOOKUP($CK$108,TP!$A$6:$A$108,BT$6:BT$108),2),"")</f>
        <v/>
      </c>
      <c r="BU4" s="814" t="str">
        <f>IF($CK$108&gt;0,ROUND(LOOKUP($CK$108,TP!$A$6:$A$108,BU$6:BU$108),2),"")</f>
        <v/>
      </c>
      <c r="BV4" s="2012" t="s">
        <v>0</v>
      </c>
      <c r="BW4" s="2022" t="s">
        <v>336</v>
      </c>
      <c r="BX4" s="2023"/>
      <c r="BY4" s="2023"/>
      <c r="BZ4" s="2023"/>
      <c r="CA4" s="2023"/>
      <c r="CB4" s="2023"/>
      <c r="CC4" s="2023"/>
      <c r="CD4" s="2023"/>
      <c r="CE4" s="2023"/>
      <c r="CF4" s="2024"/>
      <c r="CG4" s="2009" t="s">
        <v>266</v>
      </c>
      <c r="CH4" s="2010"/>
      <c r="CI4" s="2010"/>
      <c r="CJ4" s="2011"/>
      <c r="CK4" s="34" t="str">
        <f>CONCATENATE(CK108," Sem")</f>
        <v>0 Sem</v>
      </c>
      <c r="CL4" s="2005" t="s">
        <v>384</v>
      </c>
      <c r="CM4" s="2006"/>
      <c r="CN4" s="2007"/>
      <c r="CO4"/>
    </row>
    <row r="5" spans="1:93" ht="41.25" thickBot="1" x14ac:dyDescent="0.3">
      <c r="A5" s="933" t="s">
        <v>0</v>
      </c>
      <c r="B5" s="934" t="str">
        <f>'Sem-L'!U5</f>
        <v>Peso Real ▼</v>
      </c>
      <c r="C5" s="932" t="str">
        <f>TL!$B$5</f>
        <v>Peso Min</v>
      </c>
      <c r="D5" s="932" t="str">
        <f>TL!$C$5</f>
        <v>Peso Max</v>
      </c>
      <c r="E5" s="935" t="s">
        <v>244</v>
      </c>
      <c r="F5" s="936" t="s">
        <v>240</v>
      </c>
      <c r="G5" s="936" t="str">
        <f>'Sem-L'!AB5</f>
        <v>Gan. P. min Tab</v>
      </c>
      <c r="H5" s="936" t="str">
        <f>'Sem-L'!AC5</f>
        <v>Gan. P. máx Tab</v>
      </c>
      <c r="I5" s="936" t="s">
        <v>250</v>
      </c>
      <c r="J5" s="936" t="str">
        <f>'Sem-L'!Z5</f>
        <v>Dias adelanto / atraso</v>
      </c>
      <c r="K5" s="937" t="s">
        <v>241</v>
      </c>
      <c r="L5" s="938" t="s">
        <v>417</v>
      </c>
      <c r="M5" s="939" t="s">
        <v>418</v>
      </c>
      <c r="N5" s="934" t="s">
        <v>242</v>
      </c>
      <c r="O5" s="932" t="str">
        <f>TL!$D$5</f>
        <v>Gr.A.D. TABLA Min</v>
      </c>
      <c r="P5" s="932" t="str">
        <f>TL!$E$5</f>
        <v>Gr.A.D. TABLA Máx</v>
      </c>
      <c r="Q5" s="939" t="s">
        <v>251</v>
      </c>
      <c r="R5" s="943" t="s">
        <v>419</v>
      </c>
      <c r="S5" s="904" t="s">
        <v>422</v>
      </c>
      <c r="T5" s="944" t="s">
        <v>423</v>
      </c>
      <c r="U5" s="931" t="s">
        <v>243</v>
      </c>
      <c r="V5" s="932" t="str">
        <f>TL!$F$5</f>
        <v>CONS AC TAB Min</v>
      </c>
      <c r="W5" s="932" t="str">
        <f>TL!$G$5</f>
        <v>CONS AC TAB Máx</v>
      </c>
      <c r="X5" s="940" t="s">
        <v>245</v>
      </c>
      <c r="Y5" s="936" t="s">
        <v>256</v>
      </c>
      <c r="Z5" s="941" t="s">
        <v>257</v>
      </c>
      <c r="AA5" s="942" t="s">
        <v>259</v>
      </c>
      <c r="AC5" s="2015"/>
      <c r="AD5" s="561" t="s">
        <v>409</v>
      </c>
      <c r="AE5" s="562" t="s">
        <v>282</v>
      </c>
      <c r="AF5" s="562" t="s">
        <v>286</v>
      </c>
      <c r="AG5" s="562" t="s">
        <v>287</v>
      </c>
      <c r="AH5" s="563" t="s">
        <v>253</v>
      </c>
      <c r="AI5" s="561" t="s">
        <v>133</v>
      </c>
      <c r="AJ5" s="562" t="s">
        <v>281</v>
      </c>
      <c r="AK5" s="562" t="s">
        <v>288</v>
      </c>
      <c r="AL5" s="562" t="s">
        <v>289</v>
      </c>
      <c r="AM5" s="564" t="s">
        <v>290</v>
      </c>
      <c r="AN5" s="565" t="s">
        <v>172</v>
      </c>
      <c r="AO5" s="566" t="s">
        <v>230</v>
      </c>
      <c r="AP5" s="567" t="s">
        <v>132</v>
      </c>
      <c r="AQ5" s="567" t="s">
        <v>352</v>
      </c>
      <c r="AR5" s="568" t="s">
        <v>278</v>
      </c>
      <c r="AS5" s="815" t="s">
        <v>400</v>
      </c>
      <c r="AT5" s="566" t="s">
        <v>130</v>
      </c>
      <c r="AU5" s="569" t="s">
        <v>279</v>
      </c>
      <c r="AV5" s="564" t="s">
        <v>246</v>
      </c>
      <c r="AW5" s="570" t="s">
        <v>422</v>
      </c>
      <c r="AX5" s="571" t="s">
        <v>423</v>
      </c>
      <c r="AY5" s="572" t="s">
        <v>284</v>
      </c>
      <c r="AZ5" s="562" t="s">
        <v>283</v>
      </c>
      <c r="BA5" s="563" t="s">
        <v>254</v>
      </c>
      <c r="BB5" s="573" t="s">
        <v>229</v>
      </c>
      <c r="BC5" s="568" t="s">
        <v>280</v>
      </c>
      <c r="BD5" s="561" t="s">
        <v>231</v>
      </c>
      <c r="BE5" s="562" t="s">
        <v>275</v>
      </c>
      <c r="BF5" s="563" t="str">
        <f>CONCATENATE("% Cumpl  ",BD5)</f>
        <v>% Cumpl  Masa Sem Huevo</v>
      </c>
      <c r="BG5" s="574" t="s">
        <v>412</v>
      </c>
      <c r="BH5" s="562" t="s">
        <v>277</v>
      </c>
      <c r="BI5" s="563" t="str">
        <f>CONCATENATE("% Cumpl  ",BG5)</f>
        <v>% Cumpl  Masa H. Ac A. Alj</v>
      </c>
      <c r="BJ5" s="575" t="s">
        <v>239</v>
      </c>
      <c r="BK5" s="576" t="s">
        <v>274</v>
      </c>
      <c r="BL5" s="563" t="s">
        <v>408</v>
      </c>
      <c r="BM5" s="561" t="str">
        <f>PROD!AG5</f>
        <v>Gr X H</v>
      </c>
      <c r="BN5" s="567" t="str">
        <f>CONCATENATE(BM5," Tab")</f>
        <v>Gr X H Tab</v>
      </c>
      <c r="BO5" s="563" t="str">
        <f>CONCATENATE("% Cumpl  ",BM5)</f>
        <v>% Cumpl  Gr X H</v>
      </c>
      <c r="BP5" s="561" t="str">
        <f>PROD!AG6</f>
        <v>Gr X H Acm</v>
      </c>
      <c r="BQ5" s="567" t="str">
        <f>CONCATENATE(BP5," Tab")</f>
        <v>Gr X H Acm Tab</v>
      </c>
      <c r="BR5" s="563" t="str">
        <f>CONCATENATE("% Cumpl  ",BP5)</f>
        <v>% Cumpl  Gr X H Acm</v>
      </c>
      <c r="BS5" s="561" t="s">
        <v>247</v>
      </c>
      <c r="BT5" s="567" t="str">
        <f>CONCATENATE(BS5," Tab")</f>
        <v>IPP Tab</v>
      </c>
      <c r="BU5" s="563" t="str">
        <f>CONCATENATE("% Cumpl  ",BS5," ▼")</f>
        <v>% Cumpl  IPP ▼</v>
      </c>
      <c r="BV5" s="2013"/>
      <c r="BW5" s="816" t="str">
        <f>'Pr-Sem'!AO5</f>
        <v>AAAA</v>
      </c>
      <c r="BX5" s="817" t="str">
        <f>'Pr-Sem'!AP5</f>
        <v>AAA</v>
      </c>
      <c r="BY5" s="817" t="str">
        <f>'Pr-Sem'!AQ5</f>
        <v>AA</v>
      </c>
      <c r="BZ5" s="817" t="str">
        <f>'Pr-Sem'!AR5</f>
        <v>A</v>
      </c>
      <c r="CA5" s="817" t="str">
        <f>'Pr-Sem'!AS5</f>
        <v>B</v>
      </c>
      <c r="CB5" s="817" t="str">
        <f>'Pr-Sem'!AT5</f>
        <v>C</v>
      </c>
      <c r="CC5" s="817" t="str">
        <f>'Pr-Sem'!AU5</f>
        <v>Congolo</v>
      </c>
      <c r="CD5" s="818" t="str">
        <f>'Pr-Sem'!AV5</f>
        <v>Rev. Gr.</v>
      </c>
      <c r="CE5" s="818" t="str">
        <f>'Pr-Sem'!AW5</f>
        <v>Rev. Med</v>
      </c>
      <c r="CF5" s="819" t="str">
        <f>'Pr-Sem'!AX5</f>
        <v>Rev. Peq</v>
      </c>
      <c r="CG5" s="820" t="str">
        <f>PROD!AW4</f>
        <v>Prob Color</v>
      </c>
      <c r="CH5" s="821" t="str">
        <f>PROD!AX4</f>
        <v>Prob Cásc</v>
      </c>
      <c r="CI5" s="821" t="str">
        <f>PROD!AY4</f>
        <v>Vencido</v>
      </c>
      <c r="CJ5" s="822" t="str">
        <f>PROD!AZ4</f>
        <v>Roto</v>
      </c>
      <c r="CK5" s="86" t="s">
        <v>259</v>
      </c>
      <c r="CL5" s="253" t="s">
        <v>385</v>
      </c>
      <c r="CM5" s="213" t="s">
        <v>386</v>
      </c>
      <c r="CN5" s="254" t="s">
        <v>387</v>
      </c>
      <c r="CO5" s="32"/>
    </row>
    <row r="6" spans="1:93" ht="20.100000000000001" customHeight="1" thickTop="1" x14ac:dyDescent="0.3">
      <c r="A6" s="969">
        <v>1</v>
      </c>
      <c r="B6" s="890">
        <f>'Sem-L'!U6</f>
        <v>0</v>
      </c>
      <c r="C6" s="884">
        <f>IFERROR(LOOKUP(Linea,TL!$B$3:$BP$3,TL!$B6:$BP6),0)</f>
        <v>0</v>
      </c>
      <c r="D6" s="884">
        <f>IFERROR(LOOKUP(Linea,TL!$B$3:$BP$3,TL!$C6:$BQ6),0)</f>
        <v>0</v>
      </c>
      <c r="E6" s="970">
        <f>IF(AND(C6&gt;0,D6&gt;0,B6&gt;0),(B6-(IF(B6&gt;D6,D6,IF(B6&lt;C6,C6,B6))))/(IF(B6&gt;D6,D6,IF(B6&lt;C6,C6,B6)))*100,0)</f>
        <v>0</v>
      </c>
      <c r="F6" s="891">
        <f>IF(B6&gt;0,B6-IF('Sem-L'!U4&gt;0,'Sem-L'!U4,37),0)</f>
        <v>0</v>
      </c>
      <c r="G6" s="891">
        <f>'Sem-L'!AB6</f>
        <v>0</v>
      </c>
      <c r="H6" s="891">
        <f>'Sem-L'!AC6</f>
        <v>0</v>
      </c>
      <c r="I6" s="971">
        <f>IF(AND(G6&gt;0,H6&gt;0,F6&gt;0),(F6-(IF(F6&gt;H6,H6,IF(F6&lt;G6,G6,F6))))/(IF(F6&gt;H6,H6,IF(F6&lt;G6,G6,F6)))*100,0)</f>
        <v>0</v>
      </c>
      <c r="J6" s="892">
        <f>IF(AND(AvesIni&gt;0,OR(N6&gt;0,'Sem-L'!C6&gt;0),B6&gt;0),IF(B6&lt;C6,(B6-C6)/(G6/7),IF(B6&gt;D6,(B6-D6)/(H6/7),0)),0)</f>
        <v>0</v>
      </c>
      <c r="K6" s="897">
        <f>'Sem-L'!AG6</f>
        <v>0</v>
      </c>
      <c r="L6" s="901">
        <f>SUMIF(Levante!$A$6:$A$131,GSh!$A6,Levante!O$6:O$131)*Levante!$B$1/1000</f>
        <v>0</v>
      </c>
      <c r="M6" s="915">
        <f>SUMIF(Levante!$A$6:$A$131,GSh!$A6,Levante!P$6:P$131)*Levante!$B$1/1000</f>
        <v>0</v>
      </c>
      <c r="N6" s="911">
        <f>LOOKUP($A6,Levante!$B$6:$B$131,Levante!$X$6:$X$131)</f>
        <v>0</v>
      </c>
      <c r="O6" s="884">
        <f>IFERROR(LOOKUP(Linea,TL!$B$3:$BP$3,TL!$D6:$BR6),0)</f>
        <v>0</v>
      </c>
      <c r="P6" s="884">
        <f>IFERROR(LOOKUP(Linea,TL!$B$3:$BP$3,TL!$E6:$BS6),0)</f>
        <v>0</v>
      </c>
      <c r="Q6" s="972">
        <f>IF(AND(O6&gt;0,P6&gt;0,N6&gt;0),(N6-(IF(N6&gt;P6,P6,IF(N6&lt;O6,O6,N6))))/(IF(N6&gt;P6,P6,IF(N6&lt;O6,O6,N6)))*100,0)</f>
        <v>0</v>
      </c>
      <c r="R6" s="927">
        <f>SUMIF(Levante!$A$6:$A$131,A6,Levante!$K$6:$K$131)</f>
        <v>0</v>
      </c>
      <c r="S6" s="905">
        <f>IFERROR(R6*1000/7/'Sem-L'!B6,0)</f>
        <v>0</v>
      </c>
      <c r="T6" s="920">
        <f t="shared" ref="T6:T23" si="1">IFERROR(S6/N6,0)</f>
        <v>0</v>
      </c>
      <c r="U6" s="924">
        <f ca="1">LOOKUP($A6,Levante!$B$6:$B$131,Levante!$X$8:$X$134)</f>
        <v>0</v>
      </c>
      <c r="V6" s="884">
        <f>IFERROR(LOOKUP(Linea,TL!$B$3:$BP$3,TL!$F6:$BT6),0)</f>
        <v>0</v>
      </c>
      <c r="W6" s="884">
        <f>IFERROR(LOOKUP(Linea,TL!$B$3:$BP$3,TL!$G6:$BU6),0)</f>
        <v>0</v>
      </c>
      <c r="X6" s="973">
        <f ca="1">IF(AND(V6&gt;0,W6&gt;0,U6&gt;0),(U6-(IF(U6&gt;W6,W6,IF(U6&lt;V6,V6,U6))))/(IF(U6&gt;W6,W6,IF(U6&lt;V6,V6,U6)))*100,0)</f>
        <v>0</v>
      </c>
      <c r="Y6" s="893">
        <f>LOOKUP($A6,Levante!$B$6:$B$131,Levante!$J$9:$J$134)</f>
        <v>0</v>
      </c>
      <c r="Z6" s="894">
        <f>LOOKUP($A6,Levante!$B$6:$B$131,Levante!$J$11:$J$136)</f>
        <v>0</v>
      </c>
      <c r="AA6" s="34">
        <f>IF(OR(B6&gt;0,N6&gt;0,Y6&gt;0),A6,0)</f>
        <v>0</v>
      </c>
      <c r="AC6" s="1193">
        <f t="shared" ref="AC6:AC37" si="2">BV6</f>
        <v>18</v>
      </c>
      <c r="AD6" s="823">
        <f>LOOKUP(TP!$A6,PROD!$A$5:$A$725,PROD!$O$5:$O$725)</f>
        <v>0</v>
      </c>
      <c r="AE6" s="100">
        <f>IFERROR(LOOKUP(Linea,TP!$B$3:$DE$3,TP!B6:DE6),0)</f>
        <v>0</v>
      </c>
      <c r="AF6" s="100"/>
      <c r="AG6" s="101">
        <f>AE6-AF6</f>
        <v>0</v>
      </c>
      <c r="AH6" s="824">
        <f t="shared" ref="AH6:AH37" si="3">IF(AND(AD6&gt;0,AE6&gt;0),AD6-AE6,0)</f>
        <v>0</v>
      </c>
      <c r="AI6" s="825">
        <f>LOOKUP(TP!$A6,PROD!$A$5:$A$725,PROD!$O$6:$O$726)</f>
        <v>0</v>
      </c>
      <c r="AJ6" s="100">
        <f>IFERROR(LOOKUP(Linea,TP!$B$3:$DE$3,TP!C6:DF6),0)</f>
        <v>0</v>
      </c>
      <c r="AK6" s="100"/>
      <c r="AL6" s="101">
        <f>AJ6-AK6</f>
        <v>0</v>
      </c>
      <c r="AM6" s="826">
        <f t="shared" ref="AM6:AM37" si="4">IF(AND(AI6&gt;0,AJ6&gt;0),AI6-AJ6,0)</f>
        <v>0</v>
      </c>
      <c r="AN6" s="174">
        <f>LOOKUP(TP!$A6,PROD!$A$5:$A$725,PROD!$I$11:$I$731)</f>
        <v>0</v>
      </c>
      <c r="AO6" s="169">
        <f>LOOKUP(TP!$A6,PROD!$A$5:$A$725,PROD!$K$5:$K$725)*100</f>
        <v>0</v>
      </c>
      <c r="AP6" s="106">
        <f>LOOKUP(TP!$A6,PROD!$A$5:$A$725,PROD!$K$8:$K$728)*100</f>
        <v>0</v>
      </c>
      <c r="AQ6" s="106">
        <f t="shared" ref="AQ6:AQ37" si="5">100-AP6</f>
        <v>100</v>
      </c>
      <c r="AR6" s="107">
        <f>IFERROR(LOOKUP(Linea,TP!$B$3:$DE$3,TP!D6:DG6),0)</f>
        <v>0</v>
      </c>
      <c r="AS6" s="827">
        <f>SUMIF(PROD!$BF$5:$BF$725,GSh!$BV6,PROD!$V$5:$V$725)/1000*PROD!$A$1</f>
        <v>0</v>
      </c>
      <c r="AT6" s="625">
        <f>LOOKUP(TP!$A6,PROD!$A$5:$A$725,PROD!$AD$5:$AD$725)</f>
        <v>0</v>
      </c>
      <c r="AU6" s="100">
        <f>IFERROR(LOOKUP(Linea,TP!$B$3:$DE$3,TP!E6:DH6),0)</f>
        <v>0</v>
      </c>
      <c r="AV6" s="828">
        <f t="shared" ref="AV6:AV37" si="6">IF(AND(AT6&gt;0,AU6&gt;0),(AT6-AU6)/AU6*100,0)</f>
        <v>0</v>
      </c>
      <c r="AW6" s="1079">
        <f>LOOKUP($BV6,PROD!$A$5:$A$725,PROD!$AE$10:$AE$730)</f>
        <v>0</v>
      </c>
      <c r="AX6" s="1074">
        <f>LOOKUP($BV6,PROD!$A$5:$A$725,PROD!$AE$11:$AE$731)</f>
        <v>0</v>
      </c>
      <c r="AY6" s="113">
        <f>'Pr-Sem'!Z6</f>
        <v>0</v>
      </c>
      <c r="AZ6" s="100">
        <f>IFERROR(LOOKUP(Linea,TP!$B$3:$DE$3,TP!F6:DI6),0)</f>
        <v>0</v>
      </c>
      <c r="BA6" s="829">
        <f>LOOKUP(TP!$A6,PROD!$A$5:$A$725,PROD!$Q$7:$Q$727)</f>
        <v>0</v>
      </c>
      <c r="BB6" s="117">
        <f>AY6</f>
        <v>0</v>
      </c>
      <c r="BC6" s="107">
        <f>AZ6</f>
        <v>0</v>
      </c>
      <c r="BD6" s="121">
        <f>LOOKUP(TP!$A6,PROD!$A$5:$A$725,PROD!$AH$7:$AH$727)</f>
        <v>0</v>
      </c>
      <c r="BE6" s="100">
        <f t="shared" ref="BE6:BE37" si="7">AE6/100*7*AZ6</f>
        <v>0</v>
      </c>
      <c r="BF6" s="830">
        <f t="shared" ref="BF6:BF69" si="8">IF(AND(BD6&gt;0,BE6&gt;0),(BD6-BE6)/BE6*100,0)</f>
        <v>0</v>
      </c>
      <c r="BG6" s="127">
        <f>LOOKUP(TP!$A6,PROD!$A$5:$A$725,PROD!$AH$8:$AH$728)</f>
        <v>0</v>
      </c>
      <c r="BH6" s="122">
        <f>AJ6*AZ6/1000</f>
        <v>0</v>
      </c>
      <c r="BI6" s="831">
        <f t="shared" ref="BI6:BI69" si="9">IF(AND(BG6&gt;0,BH6&gt;0),(BG6-BH6)/BH6*100,0)</f>
        <v>0</v>
      </c>
      <c r="BJ6" s="511">
        <f>'Pr-Sem'!AC6*10</f>
        <v>0</v>
      </c>
      <c r="BK6" s="512">
        <f>IFERROR(LOOKUP(Linea,TP!$B$3:$DE$3,TP!J6:DJ6),0)</f>
        <v>0</v>
      </c>
      <c r="BL6" s="832">
        <f t="shared" ref="BL6:BL69" si="10">IF(AND(BJ6&gt;0,BK6&gt;0),(BJ6-BK6)/BK6*100,0)</f>
        <v>0</v>
      </c>
      <c r="BM6" s="135">
        <f>LOOKUP($BV6,PROD!$A$5:$A$725,PROD!$AH$5:$AH$725)*IF($BM$5="Gr X H",1,100)</f>
        <v>0</v>
      </c>
      <c r="BN6" s="136">
        <f>LOOKUP($BV6,PROD!$A$5:$A$725,PROD!$AI$5:$AI$725)*IF($BM$5="Gr X H",1,100)</f>
        <v>0</v>
      </c>
      <c r="BO6" s="831">
        <f>IF(AND(BM6&gt;0,BN6&gt;0),(BM6-BN6)/BN6*100,0)</f>
        <v>0</v>
      </c>
      <c r="BP6" s="135">
        <f>LOOKUP($BV6,PROD!$A$5:$A$725,PROD!$AH$6:$AH$726)*IF($BM$5="Gr X H",1,100)</f>
        <v>0</v>
      </c>
      <c r="BQ6" s="136">
        <f>LOOKUP($BV6,PROD!$A$5:$A$725,PROD!$AI$6:$AI$726)*IF($BM$5="Gr X H",1,100)</f>
        <v>0</v>
      </c>
      <c r="BR6" s="831">
        <f>IF(AND(BP6&gt;0,BQ6&gt;0),(BP6-BQ6)/BQ6*100,0)</f>
        <v>0</v>
      </c>
      <c r="BS6" s="133">
        <f>LOOKUP(TP!$A6,PROD!$A$5:$A$725,PROD!$AH$9:$AH$729)</f>
        <v>0</v>
      </c>
      <c r="BT6" s="134">
        <f>LOOKUP(TP!$A6,PROD!$A$5:$A$725,PROD!$AI$9:$AI$729)</f>
        <v>0</v>
      </c>
      <c r="BU6" s="831">
        <f t="shared" ref="BU6:BU69" si="11">IF(AND(BS6&gt;0,BT6&gt;0),(BS6-BT6)/BT6*100,0)</f>
        <v>0</v>
      </c>
      <c r="BV6" s="833">
        <f>'Pr-Sem'!A6</f>
        <v>18</v>
      </c>
      <c r="BW6" s="191">
        <f ca="1">LOOKUP($BV6,INVENTARIOS!$A$4:$A$718,ECONO!$T$4:$T$724)*100</f>
        <v>0</v>
      </c>
      <c r="BX6" s="606">
        <f ca="1">LOOKUP($BV6,INVENTARIOS!$A$4:$A$718,ECONO!$T$5:$T$725)*100</f>
        <v>0</v>
      </c>
      <c r="BY6" s="606">
        <f ca="1">LOOKUP($BV6,INVENTARIOS!$A$4:$A$718,ECONO!$T$6:$T$726)*100</f>
        <v>0</v>
      </c>
      <c r="BZ6" s="606">
        <f ca="1">LOOKUP($BV6,INVENTARIOS!$A$4:$A$718,ECONO!$T$7:$T$727)*100</f>
        <v>0</v>
      </c>
      <c r="CA6" s="606">
        <f ca="1">LOOKUP($BV6,INVENTARIOS!$A$4:$A$718,ECONO!$T$8:$T$728)*100</f>
        <v>0</v>
      </c>
      <c r="CB6" s="606">
        <f ca="1">LOOKUP($BV6,INVENTARIOS!$A$4:$A$718,ECONO!$T$9:$T$729)*100</f>
        <v>0</v>
      </c>
      <c r="CC6" s="606">
        <f ca="1">LOOKUP($BV6,INVENTARIOS!$A$4:$A$718,ECONO!$T$10:$T$730)*100</f>
        <v>0</v>
      </c>
      <c r="CD6" s="99">
        <f ca="1">LOOKUP($BV6,INVENTARIOS!$A$4:$A$718,ECONO!$X$8:$X$728)*100</f>
        <v>0</v>
      </c>
      <c r="CE6" s="99">
        <f ca="1">LOOKUP($BV6,INVENTARIOS!$A$4:$A$718,ECONO!$X$9:$X$729)*100</f>
        <v>0</v>
      </c>
      <c r="CF6" s="192">
        <f ca="1">LOOKUP($BV6,INVENTARIOS!$A$4:$A$718,ECONO!$X$10:$X$730)*100</f>
        <v>0</v>
      </c>
      <c r="CG6" s="193">
        <f ca="1">LOOKUP(GSh!$BV6,INVENTARIOS!$A$4:$A$718,ECONO!$X$4:$X$724)*100</f>
        <v>0</v>
      </c>
      <c r="CH6" s="98">
        <f ca="1">LOOKUP(GSh!$BV6,INVENTARIOS!$A$4:$A$718,ECONO!$X$5:$X$725)*100</f>
        <v>0</v>
      </c>
      <c r="CI6" s="98">
        <f ca="1">LOOKUP(GSh!$BV6,INVENTARIOS!$A$4:$A$718,ECONO!$X$6:$X$726)*100</f>
        <v>0</v>
      </c>
      <c r="CJ6" s="194">
        <f ca="1">LOOKUP(GSh!$BV6,INVENTARIOS!$A$4:$A$718,ECONO!$X$7:$X$727)*100</f>
        <v>0</v>
      </c>
      <c r="CK6" s="34">
        <f>IF(OR(AO6&gt;0,AT6&gt;0,AD6&gt;0),TP!A6,0)</f>
        <v>0</v>
      </c>
      <c r="CL6" s="255">
        <f>LOOKUP($BV6,INVENTARIOS!$A$4:$A$724,ECONO!$O$10:$O$730)</f>
        <v>0</v>
      </c>
      <c r="CM6" s="256">
        <f>LOOKUP($BV6,INVENTARIOS!$A$4:$A$724,ECONO!$Z$9:$Z$729)</f>
        <v>0</v>
      </c>
      <c r="CN6" s="259">
        <f t="shared" ref="CN6:CN37" si="12">CM6-CL6</f>
        <v>0</v>
      </c>
    </row>
    <row r="7" spans="1:93" ht="20.100000000000001" customHeight="1" x14ac:dyDescent="0.3">
      <c r="A7" s="974">
        <f t="shared" ref="A7:A23" si="13">A6+1</f>
        <v>2</v>
      </c>
      <c r="B7" s="883">
        <f>'Sem-L'!U7</f>
        <v>0</v>
      </c>
      <c r="C7" s="885">
        <f>IFERROR(LOOKUP(Linea,TL!$B$3:$BP$3,TL!$B7:$BP7),0)</f>
        <v>0</v>
      </c>
      <c r="D7" s="885">
        <f>IFERROR(LOOKUP(Linea,TL!$B$3:$BP$3,TL!$C7:$BQ7),0)</f>
        <v>0</v>
      </c>
      <c r="E7" s="975">
        <f t="shared" ref="E7:E23" si="14">IF(AND(C7&gt;0,D7&gt;0,B7&gt;0),(B7-(IF(B7&gt;D7,D7,IF(B7&lt;C7,C7,B7))))/(IF(B7&gt;D7,D7,IF(B7&lt;C7,C7,B7)))*100,0)</f>
        <v>0</v>
      </c>
      <c r="F7" s="535">
        <f t="shared" ref="F7:F23" si="15">IF(AND(B7&gt;0,B6&gt;0),(B7-B6),0)</f>
        <v>0</v>
      </c>
      <c r="G7" s="535">
        <f>'Sem-L'!AB7</f>
        <v>0</v>
      </c>
      <c r="H7" s="535">
        <f>'Sem-L'!AC7</f>
        <v>0</v>
      </c>
      <c r="I7" s="976">
        <f t="shared" ref="I7:I23" si="16">IF(AND(G7&gt;0,H7&gt;0,F7&gt;0),(F7-(IF(F7&gt;H7,H7,IF(F7&lt;G7,G7,F7))))/(IF(F7&gt;H7,H7,IF(F7&lt;G7,G7,F7)))*100,0)</f>
        <v>0</v>
      </c>
      <c r="J7" s="185">
        <f>IF(AND(AvesIni&gt;0,OR(N7&gt;0,'Sem-L'!C7&gt;0),B7&gt;0),IF(B7&lt;C7,(B7-C7)/(G7/7),IF(B7&gt;D7,(B7-D7)/(H7/7),0)),0)</f>
        <v>0</v>
      </c>
      <c r="K7" s="898">
        <f>'Sem-L'!AG7</f>
        <v>0</v>
      </c>
      <c r="L7" s="902">
        <f>SUMIF(Levante!$A$6:$A$131,GSh!$A7,Levante!O$6:O$131)*Levante!$B$1/1000</f>
        <v>0</v>
      </c>
      <c r="M7" s="916">
        <f>SUMIF(Levante!$A$6:$A$131,GSh!$A7,Levante!P$6:P$131)*Levante!$B$1/1000</f>
        <v>0</v>
      </c>
      <c r="N7" s="912">
        <f>LOOKUP($A7,Levante!$B$6:$B$131,Levante!$X$6:$X$131)</f>
        <v>0</v>
      </c>
      <c r="O7" s="885">
        <f>IFERROR(LOOKUP(Linea,TL!$B$3:$BP$3,TL!$D7:$BR7),0)</f>
        <v>0</v>
      </c>
      <c r="P7" s="885">
        <f>IFERROR(LOOKUP(Linea,TL!$B$3:$BP$3,TL!$E7:$BS7),0)</f>
        <v>0</v>
      </c>
      <c r="Q7" s="977">
        <f t="shared" ref="Q7:Q23" si="17">IF(AND(O7&gt;0,P7&gt;0,N7&gt;0),(N7-(IF(N7&gt;P7,P7,IF(N7&lt;O7,O7,N7))))/(IF(N7&gt;P7,P7,IF(N7&lt;O7,O7,N7)))*100,0)</f>
        <v>0</v>
      </c>
      <c r="R7" s="928">
        <f>SUMIF(Levante!$A$6:$A$131,A7,Levante!$K$6:$K$131)</f>
        <v>0</v>
      </c>
      <c r="S7" s="906">
        <f>IFERROR(R7*1000/7/'Sem-L'!B7,0)</f>
        <v>0</v>
      </c>
      <c r="T7" s="921">
        <f t="shared" si="1"/>
        <v>0</v>
      </c>
      <c r="U7" s="925">
        <f ca="1">LOOKUP($A7,Levante!$B$6:$B$131,Levante!$X$8:$X$134)</f>
        <v>0</v>
      </c>
      <c r="V7" s="885">
        <f>IFERROR(LOOKUP(Linea,TL!$B$3:$BP$3,TL!$F7:$BT7),0)</f>
        <v>0</v>
      </c>
      <c r="W7" s="885">
        <f>IFERROR(LOOKUP(Linea,TL!$B$3:$BP$3,TL!$G7:$BU7),0)</f>
        <v>0</v>
      </c>
      <c r="X7" s="978">
        <f t="shared" ref="X7:X23" ca="1" si="18">IF(AND(V7&gt;0,W7&gt;0,U7&gt;0),(U7-(IF(U7&gt;W7,W7,IF(U7&lt;V7,V7,U7))))/(IF(U7&gt;W7,W7,IF(U7&lt;V7,V7,U7)))*100,0)</f>
        <v>0</v>
      </c>
      <c r="Y7" s="72">
        <f>LOOKUP($A7,Levante!$B$6:$B$131,Levante!$J$9:$J$134)</f>
        <v>0</v>
      </c>
      <c r="Z7" s="75">
        <f>LOOKUP($A7,Levante!$B$6:$B$131,Levante!$J$11:$J$136)</f>
        <v>0</v>
      </c>
      <c r="AA7" s="34">
        <f t="shared" ref="AA7:AA23" si="19">IF(OR(B7&gt;0,N7&gt;0,Y7&gt;0),A7,AA6)</f>
        <v>0</v>
      </c>
      <c r="AC7" s="1193">
        <f t="shared" si="2"/>
        <v>19</v>
      </c>
      <c r="AD7" s="834">
        <f>LOOKUP(TP!$A7,PROD!$A$5:$A$725,PROD!$O$5:$O$725)</f>
        <v>0</v>
      </c>
      <c r="AE7" s="101">
        <f>IFERROR(LOOKUP(Linea,TP!$B$3:$DE$3,TP!B7:DE7),0)</f>
        <v>0</v>
      </c>
      <c r="AF7" s="101">
        <f>AE6*(1-2*$AG$4/100)</f>
        <v>0</v>
      </c>
      <c r="AG7" s="101">
        <f>AE7-AF7</f>
        <v>0</v>
      </c>
      <c r="AH7" s="835">
        <f t="shared" si="3"/>
        <v>0</v>
      </c>
      <c r="AI7" s="836">
        <f>LOOKUP(TP!$A7,PROD!$A$5:$A$725,PROD!$O$6:$O$726)</f>
        <v>0</v>
      </c>
      <c r="AJ7" s="101">
        <f>IFERROR(LOOKUP(Linea,TP!$B$3:$DE$3,TP!C7:DF7),0)</f>
        <v>0</v>
      </c>
      <c r="AK7" s="101">
        <f>AJ6*(1-2*$AL$4/100)</f>
        <v>0</v>
      </c>
      <c r="AL7" s="101">
        <f>AJ7-AK7</f>
        <v>0</v>
      </c>
      <c r="AM7" s="837">
        <f>IF(AND(AI7&gt;0,AJ7&gt;0),AI7-AJ7,0)</f>
        <v>0</v>
      </c>
      <c r="AN7" s="175">
        <f>LOOKUP(TP!$A7,PROD!$A$5:$A$725,PROD!$I$11:$I$731)</f>
        <v>0</v>
      </c>
      <c r="AO7" s="170">
        <f>LOOKUP(TP!$A7,PROD!$A$5:$A$725,PROD!$K$5:$K$725)*100</f>
        <v>0</v>
      </c>
      <c r="AP7" s="108">
        <f>LOOKUP(TP!$A7,PROD!$A$5:$A$725,PROD!$K$8:$K$728)*100</f>
        <v>0</v>
      </c>
      <c r="AQ7" s="108">
        <f t="shared" si="5"/>
        <v>100</v>
      </c>
      <c r="AR7" s="109">
        <f>IFERROR(LOOKUP(Linea,TP!$B$3:$DE$3,TP!D7:DG7),0)</f>
        <v>0</v>
      </c>
      <c r="AS7" s="838">
        <f>SUMIF(PROD!$BF$5:$BF$725,GSh!$BV7,PROD!$V$5:$V$725)/1000*PROD!$A$1</f>
        <v>0</v>
      </c>
      <c r="AT7" s="626">
        <f>LOOKUP(TP!$A7,PROD!$A$5:$A$725,PROD!$AD$5:$AD$725)</f>
        <v>0</v>
      </c>
      <c r="AU7" s="101">
        <f>IFERROR(LOOKUP(Linea,TP!$B$3:$DE$3,TP!E7:DH7),0)</f>
        <v>0</v>
      </c>
      <c r="AV7" s="839">
        <f t="shared" si="6"/>
        <v>0</v>
      </c>
      <c r="AW7" s="1080">
        <f>LOOKUP($BV7,PROD!$A$5:$A$725,PROD!$AE$10:$AE$730)</f>
        <v>0</v>
      </c>
      <c r="AX7" s="1075">
        <f>LOOKUP($BV7,PROD!$A$5:$A$725,PROD!$AE$11:$AE$731)</f>
        <v>0</v>
      </c>
      <c r="AY7" s="114">
        <f>'Pr-Sem'!Z7</f>
        <v>0</v>
      </c>
      <c r="AZ7" s="101">
        <f>IFERROR(LOOKUP(Linea,TP!$B$3:$DE$3,TP!F7:DI7),0)</f>
        <v>0</v>
      </c>
      <c r="BA7" s="840">
        <f>LOOKUP(TP!$A7,PROD!$A$5:$A$725,PROD!$Q$7:$Q$727)</f>
        <v>0</v>
      </c>
      <c r="BB7" s="118">
        <f t="shared" ref="BB7:BB38" si="20">IF(AI7&gt;0,(AY7*(AI7-AI6)/AI7)+(BB6*AI6/AI7),0)</f>
        <v>0</v>
      </c>
      <c r="BC7" s="109">
        <f>IF(AJ7&gt;0,(AZ7*(AJ7-AJ6)/AJ7)+(BC6*AJ6/AJ7),0)</f>
        <v>0</v>
      </c>
      <c r="BD7" s="123">
        <f>LOOKUP(TP!$A7,PROD!$A$5:$A$725,PROD!$AH$7:$AH$727)</f>
        <v>0</v>
      </c>
      <c r="BE7" s="101">
        <f t="shared" si="7"/>
        <v>0</v>
      </c>
      <c r="BF7" s="841">
        <f t="shared" si="8"/>
        <v>0</v>
      </c>
      <c r="BG7" s="128">
        <f>LOOKUP(TP!$A7,PROD!$A$5:$A$725,PROD!$AH$8:$AH$728)</f>
        <v>0</v>
      </c>
      <c r="BH7" s="124">
        <f t="shared" ref="BH7:BH38" si="21">(AJ7-AJ6)*AZ7/1000+AJ6*BC6/1000</f>
        <v>0</v>
      </c>
      <c r="BI7" s="842">
        <f t="shared" si="9"/>
        <v>0</v>
      </c>
      <c r="BJ7" s="513">
        <f>'Pr-Sem'!AC7*10</f>
        <v>0</v>
      </c>
      <c r="BK7" s="514">
        <f>IFERROR(LOOKUP(Linea,TP!$B$3:$DE$3,TP!J7:DJ7),0)</f>
        <v>0</v>
      </c>
      <c r="BL7" s="843">
        <f t="shared" si="10"/>
        <v>0</v>
      </c>
      <c r="BM7" s="135">
        <f>LOOKUP($BV7,PROD!$A$5:$A$725,PROD!$AH$5:$AH$725)*IF($BM$5="Gr X H",1,100)</f>
        <v>0</v>
      </c>
      <c r="BN7" s="136">
        <f>LOOKUP($BV7,PROD!$A$5:$A$725,PROD!$AI$5:$AI$725)*IF($BM$5="Gr X H",1,100)</f>
        <v>0</v>
      </c>
      <c r="BO7" s="842">
        <f>IF(AND(BM7&gt;0,BN7&gt;0),(BM7-BN7)/BN7*100,0)</f>
        <v>0</v>
      </c>
      <c r="BP7" s="135">
        <f>LOOKUP(BV7,PROD!$A$5:$A$725,PROD!$AH$6:$AH$726)*IF($BM$5="Gr X H",1,100)</f>
        <v>0</v>
      </c>
      <c r="BQ7" s="136">
        <f>LOOKUP($BV7,PROD!$A$5:$A$725,PROD!$AI$6:$AI$726)*IF($BM$5="Gr X H",1,100)</f>
        <v>0</v>
      </c>
      <c r="BR7" s="842">
        <f t="shared" ref="BR7:BR69" si="22">IF(AND(BP7&gt;0,BQ7&gt;0),(BP7-BQ7)/BQ7*100,0)</f>
        <v>0</v>
      </c>
      <c r="BS7" s="135">
        <f>LOOKUP(TP!$A7,PROD!$A$5:$A$725,PROD!$AH$9:$AH$729)</f>
        <v>0</v>
      </c>
      <c r="BT7" s="136">
        <f>LOOKUP(TP!$A7,PROD!$A$5:$A$725,PROD!$AI$9:$AI$729)</f>
        <v>0</v>
      </c>
      <c r="BU7" s="842">
        <f t="shared" si="11"/>
        <v>0</v>
      </c>
      <c r="BV7" s="833">
        <f t="shared" ref="BV7:BV38" si="23">BV6+1</f>
        <v>19</v>
      </c>
      <c r="BW7" s="191">
        <f ca="1">LOOKUP($BV7,INVENTARIOS!$A$4:$A$718,ECONO!$T$4:$T$724)*100</f>
        <v>0</v>
      </c>
      <c r="BX7" s="606">
        <f ca="1">LOOKUP($BV7,INVENTARIOS!$A$4:$A$718,ECONO!$T$5:$T$725)*100</f>
        <v>0</v>
      </c>
      <c r="BY7" s="606">
        <f ca="1">LOOKUP($BV7,INVENTARIOS!$A$4:$A$718,ECONO!$T$6:$T$726)*100</f>
        <v>0</v>
      </c>
      <c r="BZ7" s="606">
        <f ca="1">LOOKUP($BV7,INVENTARIOS!$A$4:$A$718,ECONO!$T$7:$T$727)*100</f>
        <v>0</v>
      </c>
      <c r="CA7" s="606">
        <f ca="1">LOOKUP($BV7,INVENTARIOS!$A$4:$A$718,ECONO!$T$8:$T$728)*100</f>
        <v>0</v>
      </c>
      <c r="CB7" s="606">
        <f ca="1">LOOKUP($BV7,INVENTARIOS!$A$4:$A$718,ECONO!$T$9:$T$729)*100</f>
        <v>0</v>
      </c>
      <c r="CC7" s="606">
        <f ca="1">LOOKUP($BV7,INVENTARIOS!$A$4:$A$718,ECONO!$T$10:$T$730)*100</f>
        <v>0</v>
      </c>
      <c r="CD7" s="99">
        <f ca="1">LOOKUP($BV7,INVENTARIOS!$A$4:$A$718,ECONO!$X$8:$X$728)*100</f>
        <v>0</v>
      </c>
      <c r="CE7" s="99">
        <f ca="1">LOOKUP($BV7,INVENTARIOS!$A$4:$A$718,ECONO!$X$9:$X$729)*100</f>
        <v>0</v>
      </c>
      <c r="CF7" s="192">
        <f ca="1">LOOKUP($BV7,INVENTARIOS!$A$4:$A$718,ECONO!$X$10:$X$730)*100</f>
        <v>0</v>
      </c>
      <c r="CG7" s="195">
        <f ca="1">LOOKUP(GSh!$BV7,INVENTARIOS!$A$4:$A$718,ECONO!$X$4:$X$724)*100</f>
        <v>0</v>
      </c>
      <c r="CH7" s="98">
        <f ca="1">LOOKUP(GSh!$BV7,INVENTARIOS!$A$4:$A$718,ECONO!$X$5:$X$725)*100</f>
        <v>0</v>
      </c>
      <c r="CI7" s="98">
        <f ca="1">LOOKUP(GSh!$BV7,INVENTARIOS!$A$4:$A$718,ECONO!$X$6:$X$726)*100</f>
        <v>0</v>
      </c>
      <c r="CJ7" s="194">
        <f ca="1">LOOKUP(GSh!$BV7,INVENTARIOS!$A$4:$A$718,ECONO!$X$7:$X$727)*100</f>
        <v>0</v>
      </c>
      <c r="CK7" s="34">
        <f>IF(OR(AO7&gt;0,AT7&gt;0,AD7&gt;0),TP!A7,CK6)</f>
        <v>0</v>
      </c>
      <c r="CL7" s="257">
        <f>LOOKUP($BV7,INVENTARIOS!$A$4:$A$724,ECONO!$O$10:$O$730)</f>
        <v>0</v>
      </c>
      <c r="CM7" s="258">
        <f>LOOKUP($BV7,INVENTARIOS!$A$4:$A$724,ECONO!$Z$9:$Z$729)</f>
        <v>0</v>
      </c>
      <c r="CN7" s="260">
        <f t="shared" si="12"/>
        <v>0</v>
      </c>
      <c r="CO7"/>
    </row>
    <row r="8" spans="1:93" ht="20.100000000000001" customHeight="1" x14ac:dyDescent="0.3">
      <c r="A8" s="974">
        <f t="shared" si="13"/>
        <v>3</v>
      </c>
      <c r="B8" s="883">
        <f>'Sem-L'!U8</f>
        <v>0</v>
      </c>
      <c r="C8" s="885">
        <f>IFERROR(LOOKUP(Linea,TL!$B$3:$BP$3,TL!$B8:$BP8),0)</f>
        <v>0</v>
      </c>
      <c r="D8" s="885">
        <f>IFERROR(LOOKUP(Linea,TL!$B$3:$BP$3,TL!$C8:$BQ8),0)</f>
        <v>0</v>
      </c>
      <c r="E8" s="975">
        <f t="shared" si="14"/>
        <v>0</v>
      </c>
      <c r="F8" s="71">
        <f t="shared" si="15"/>
        <v>0</v>
      </c>
      <c r="G8" s="71">
        <f>'Sem-L'!AB8</f>
        <v>0</v>
      </c>
      <c r="H8" s="71">
        <f>'Sem-L'!AC8</f>
        <v>0</v>
      </c>
      <c r="I8" s="976">
        <f>IF(AND(G8&gt;0,H8&gt;0,F8&gt;0),(F8-(IF(F8&gt;H8,H8,IF(F8&lt;G8,G8,F8))))/(IF(F8&gt;H8,H8,IF(F8&lt;G8,G8,F8)))*100,0)</f>
        <v>0</v>
      </c>
      <c r="J8" s="185">
        <f>IF(AND(AvesIni&gt;0,OR(N8&gt;0,'Sem-L'!C8&gt;0),B8&gt;0),IF(B8&lt;C8,(B8-C8)/(G8/7),IF(B8&gt;D8,(B8-D8)/(H8/7),0)),0)</f>
        <v>0</v>
      </c>
      <c r="K8" s="898">
        <f>'Sem-L'!AG8</f>
        <v>0</v>
      </c>
      <c r="L8" s="902">
        <f>SUMIF(Levante!$A$6:$A$131,GSh!$A8,Levante!O$6:O$131)*Levante!$B$1/1000</f>
        <v>0</v>
      </c>
      <c r="M8" s="916">
        <f>SUMIF(Levante!$A$6:$A$131,GSh!$A8,Levante!P$6:P$131)*Levante!$B$1/1000</f>
        <v>0</v>
      </c>
      <c r="N8" s="912">
        <f>LOOKUP($A8,Levante!$B$6:$B$131,Levante!$X$6:$X$131)</f>
        <v>0</v>
      </c>
      <c r="O8" s="885">
        <f>IFERROR(LOOKUP(Linea,TL!$B$3:$BP$3,TL!$D8:$BR8),0)</f>
        <v>0</v>
      </c>
      <c r="P8" s="885">
        <f>IFERROR(LOOKUP(Linea,TL!$B$3:$BP$3,TL!$E8:$BS8),0)</f>
        <v>0</v>
      </c>
      <c r="Q8" s="977">
        <f t="shared" si="17"/>
        <v>0</v>
      </c>
      <c r="R8" s="928">
        <f>SUMIF(Levante!$A$6:$A$131,A8,Levante!$K$6:$K$131)</f>
        <v>0</v>
      </c>
      <c r="S8" s="906">
        <f>IFERROR(R8*1000/7/'Sem-L'!B8,0)</f>
        <v>0</v>
      </c>
      <c r="T8" s="921">
        <f t="shared" si="1"/>
        <v>0</v>
      </c>
      <c r="U8" s="925">
        <f ca="1">LOOKUP($A8,Levante!$B$6:$B$131,Levante!$X$8:$X$134)</f>
        <v>0</v>
      </c>
      <c r="V8" s="885">
        <f>IFERROR(LOOKUP(Linea,TL!$B$3:$BP$3,TL!$F8:$BT8),0)</f>
        <v>0</v>
      </c>
      <c r="W8" s="885">
        <f>IFERROR(LOOKUP(Linea,TL!$B$3:$BP$3,TL!$G8:$BU8),0)</f>
        <v>0</v>
      </c>
      <c r="X8" s="978">
        <f t="shared" ca="1" si="18"/>
        <v>0</v>
      </c>
      <c r="Y8" s="72">
        <f>LOOKUP($A8,Levante!$B$6:$B$131,Levante!$J$9:$J$134)</f>
        <v>0</v>
      </c>
      <c r="Z8" s="75">
        <f>LOOKUP($A8,Levante!$B$6:$B$131,Levante!$J$11:$J$136)</f>
        <v>0</v>
      </c>
      <c r="AA8" s="34">
        <f t="shared" si="19"/>
        <v>0</v>
      </c>
      <c r="AC8" s="1193">
        <f t="shared" si="2"/>
        <v>20</v>
      </c>
      <c r="AD8" s="844">
        <f>LOOKUP(TP!$A8,PROD!$A$5:$A$725,PROD!$O$5:$O$725)</f>
        <v>0</v>
      </c>
      <c r="AE8" s="101">
        <f>IFERROR(LOOKUP(Linea,TP!$B$3:$DE$3,TP!B8:DE8),0)</f>
        <v>0</v>
      </c>
      <c r="AF8" s="101">
        <f t="shared" ref="AF8:AF71" si="24">AE7*(1-2*$AG$4/100)</f>
        <v>0</v>
      </c>
      <c r="AG8" s="101">
        <f t="shared" ref="AG8:AG71" si="25">AE8-AF8</f>
        <v>0</v>
      </c>
      <c r="AH8" s="845">
        <f t="shared" si="3"/>
        <v>0</v>
      </c>
      <c r="AI8" s="846">
        <f>LOOKUP(TP!$A8,PROD!$A$5:$A$725,PROD!$O$6:$O$726)</f>
        <v>0</v>
      </c>
      <c r="AJ8" s="101">
        <f>IFERROR(LOOKUP(Linea,TP!$B$3:$DE$3,TP!C8:DF8),0)</f>
        <v>0</v>
      </c>
      <c r="AK8" s="101">
        <f>AJ7*(1-2*$AL$4/100)</f>
        <v>0</v>
      </c>
      <c r="AL8" s="101">
        <f t="shared" ref="AL8:AL71" si="26">AJ8-AK8</f>
        <v>0</v>
      </c>
      <c r="AM8" s="837">
        <f>IF(AND(AI8&gt;0,AJ8&gt;0),AI8-AJ8,0)</f>
        <v>0</v>
      </c>
      <c r="AN8" s="175">
        <f>LOOKUP(TP!$A8,PROD!$A$5:$A$725,PROD!$I$11:$I$731)</f>
        <v>0</v>
      </c>
      <c r="AO8" s="171">
        <f>LOOKUP(TP!$A8,PROD!$A$5:$A$725,PROD!$K$5:$K$725)*100</f>
        <v>0</v>
      </c>
      <c r="AP8" s="110">
        <f>LOOKUP(TP!$A8,PROD!$A$5:$A$725,PROD!$K$8:$K$728)*100</f>
        <v>0</v>
      </c>
      <c r="AQ8" s="110">
        <f t="shared" si="5"/>
        <v>100</v>
      </c>
      <c r="AR8" s="109">
        <f>IFERROR(LOOKUP(Linea,TP!$B$3:$DE$3,TP!D8:DG8),0)</f>
        <v>0</v>
      </c>
      <c r="AS8" s="838">
        <f>SUMIF(PROD!$BF$5:$BF$725,GSh!$BV8,PROD!$V$5:$V$725)/1000*PROD!$A$1</f>
        <v>0</v>
      </c>
      <c r="AT8" s="627">
        <f>LOOKUP(TP!$A8,PROD!$A$5:$A$725,PROD!$AD$5:$AD$725)</f>
        <v>0</v>
      </c>
      <c r="AU8" s="101">
        <f>IFERROR(LOOKUP(Linea,TP!$B$3:$DE$3,TP!E8:DH8),0)</f>
        <v>0</v>
      </c>
      <c r="AV8" s="847">
        <f t="shared" si="6"/>
        <v>0</v>
      </c>
      <c r="AW8" s="1081">
        <f>LOOKUP($BV8,PROD!$A$5:$A$725,PROD!$AE$10:$AE$730)</f>
        <v>0</v>
      </c>
      <c r="AX8" s="1076">
        <f>LOOKUP($BV8,PROD!$A$5:$A$725,PROD!$AE$11:$AE$731)</f>
        <v>0</v>
      </c>
      <c r="AY8" s="114">
        <f>'Pr-Sem'!Z8</f>
        <v>0</v>
      </c>
      <c r="AZ8" s="101">
        <f>IFERROR(LOOKUP(Linea,TP!$B$3:$DE$3,TP!F8:DI8),0)</f>
        <v>0</v>
      </c>
      <c r="BA8" s="840">
        <f>LOOKUP(TP!$A8,PROD!$A$5:$A$725,PROD!$Q$7:$Q$727)</f>
        <v>0</v>
      </c>
      <c r="BB8" s="118">
        <f t="shared" si="20"/>
        <v>0</v>
      </c>
      <c r="BC8" s="109">
        <f t="shared" ref="BC8:BC38" si="27">IF(AJ8&gt;0,(AZ8*(AJ8-AJ7)/AJ8)+(BC7*AJ7/AJ8),0)</f>
        <v>0</v>
      </c>
      <c r="BD8" s="123">
        <f>LOOKUP(TP!$A8,PROD!$A$5:$A$725,PROD!$AH$7:$AH$727)</f>
        <v>0</v>
      </c>
      <c r="BE8" s="101">
        <f t="shared" si="7"/>
        <v>0</v>
      </c>
      <c r="BF8" s="841">
        <f t="shared" si="8"/>
        <v>0</v>
      </c>
      <c r="BG8" s="128">
        <f>LOOKUP(TP!$A8,PROD!$A$5:$A$725,PROD!$AH$8:$AH$728)</f>
        <v>0</v>
      </c>
      <c r="BH8" s="124">
        <f t="shared" si="21"/>
        <v>0</v>
      </c>
      <c r="BI8" s="842">
        <f t="shared" si="9"/>
        <v>0</v>
      </c>
      <c r="BJ8" s="513">
        <f>'Pr-Sem'!AC8*10</f>
        <v>0</v>
      </c>
      <c r="BK8" s="514">
        <f>IFERROR(LOOKUP(Linea,TP!$B$3:$DE$3,TP!J8:DJ8),0)</f>
        <v>0</v>
      </c>
      <c r="BL8" s="848">
        <f t="shared" si="10"/>
        <v>0</v>
      </c>
      <c r="BM8" s="135">
        <f>LOOKUP($BV8,PROD!$A$5:$A$725,PROD!$AH$5:$AH$725)*IF($BM$5="Gr X H",1,100)</f>
        <v>0</v>
      </c>
      <c r="BN8" s="138">
        <f>LOOKUP($BV8,PROD!$A$5:$A$725,PROD!$AI$5:$AI$725)*IF($BM$5="Gr X H",1,100)</f>
        <v>0</v>
      </c>
      <c r="BO8" s="849">
        <f>IF(AND(BM8&gt;0,BN8&gt;0),(BM8-BN8)/BN8*100,0)</f>
        <v>0</v>
      </c>
      <c r="BP8" s="135">
        <f>LOOKUP(BV8,PROD!$A$5:$A$725,PROD!$AH$6:$AH$726)*IF($BM$5="Gr X H",1,100)</f>
        <v>0</v>
      </c>
      <c r="BQ8" s="138">
        <f>LOOKUP($BV8,PROD!$A$5:$A$725,PROD!$AI$6:$AI$726)*IF($BM$5="Gr X H",1,100)</f>
        <v>0</v>
      </c>
      <c r="BR8" s="849">
        <f t="shared" si="22"/>
        <v>0</v>
      </c>
      <c r="BS8" s="137">
        <f>LOOKUP(TP!$A8,PROD!$A$5:$A$725,PROD!$AH$9:$AH$729)</f>
        <v>0</v>
      </c>
      <c r="BT8" s="138">
        <f>LOOKUP(TP!$A8,PROD!$A$5:$A$725,PROD!$AI$9:$AI$729)</f>
        <v>0</v>
      </c>
      <c r="BU8" s="849">
        <f t="shared" si="11"/>
        <v>0</v>
      </c>
      <c r="BV8" s="833">
        <f t="shared" si="23"/>
        <v>20</v>
      </c>
      <c r="BW8" s="191">
        <f ca="1">LOOKUP($BV8,INVENTARIOS!$A$4:$A$718,ECONO!$T$4:$T$724)*100</f>
        <v>0</v>
      </c>
      <c r="BX8" s="606">
        <f ca="1">LOOKUP($BV8,INVENTARIOS!$A$4:$A$718,ECONO!$T$5:$T$725)*100</f>
        <v>0</v>
      </c>
      <c r="BY8" s="606">
        <f ca="1">LOOKUP($BV8,INVENTARIOS!$A$4:$A$718,ECONO!$T$6:$T$726)*100</f>
        <v>0</v>
      </c>
      <c r="BZ8" s="606">
        <f ca="1">LOOKUP($BV8,INVENTARIOS!$A$4:$A$718,ECONO!$T$7:$T$727)*100</f>
        <v>0</v>
      </c>
      <c r="CA8" s="606">
        <f ca="1">LOOKUP($BV8,INVENTARIOS!$A$4:$A$718,ECONO!$T$8:$T$728)*100</f>
        <v>0</v>
      </c>
      <c r="CB8" s="606">
        <f ca="1">LOOKUP($BV8,INVENTARIOS!$A$4:$A$718,ECONO!$T$9:$T$729)*100</f>
        <v>0</v>
      </c>
      <c r="CC8" s="606">
        <f ca="1">LOOKUP($BV8,INVENTARIOS!$A$4:$A$718,ECONO!$T$10:$T$730)*100</f>
        <v>0</v>
      </c>
      <c r="CD8" s="99">
        <f ca="1">LOOKUP($BV8,INVENTARIOS!$A$4:$A$718,ECONO!$X$8:$X$728)*100</f>
        <v>0</v>
      </c>
      <c r="CE8" s="99">
        <f ca="1">LOOKUP($BV8,INVENTARIOS!$A$4:$A$718,ECONO!$X$9:$X$729)*100</f>
        <v>0</v>
      </c>
      <c r="CF8" s="192">
        <f ca="1">LOOKUP($BV8,INVENTARIOS!$A$4:$A$718,ECONO!$X$10:$X$730)*100</f>
        <v>0</v>
      </c>
      <c r="CG8" s="195">
        <f ca="1">LOOKUP(GSh!$BV8,INVENTARIOS!$A$4:$A$718,ECONO!$X$4:$X$724)*100</f>
        <v>0</v>
      </c>
      <c r="CH8" s="98">
        <f ca="1">LOOKUP(GSh!$BV8,INVENTARIOS!$A$4:$A$718,ECONO!$X$5:$X$725)*100</f>
        <v>0</v>
      </c>
      <c r="CI8" s="98">
        <f ca="1">LOOKUP(GSh!$BV8,INVENTARIOS!$A$4:$A$718,ECONO!$X$6:$X$726)*100</f>
        <v>0</v>
      </c>
      <c r="CJ8" s="194">
        <f ca="1">LOOKUP(GSh!$BV8,INVENTARIOS!$A$4:$A$718,ECONO!$X$7:$X$727)*100</f>
        <v>0</v>
      </c>
      <c r="CK8" s="34">
        <f>IF(OR(AO8&gt;0,AT8&gt;0,AD8&gt;0),TP!A8,CK7)</f>
        <v>0</v>
      </c>
      <c r="CL8" s="257">
        <f>LOOKUP($BV8,INVENTARIOS!$A$4:$A$724,ECONO!$O$10:$O$730)</f>
        <v>0</v>
      </c>
      <c r="CM8" s="258">
        <f>LOOKUP($BV8,INVENTARIOS!$A$4:$A$724,ECONO!$Z$9:$Z$729)</f>
        <v>0</v>
      </c>
      <c r="CN8" s="260">
        <f t="shared" si="12"/>
        <v>0</v>
      </c>
      <c r="CO8"/>
    </row>
    <row r="9" spans="1:93" ht="20.100000000000001" customHeight="1" x14ac:dyDescent="0.3">
      <c r="A9" s="974">
        <f t="shared" si="13"/>
        <v>4</v>
      </c>
      <c r="B9" s="883">
        <f>'Sem-L'!U9</f>
        <v>0</v>
      </c>
      <c r="C9" s="885">
        <f>IFERROR(LOOKUP(Linea,TL!$B$3:$BP$3,TL!$B9:$BP9),0)</f>
        <v>0</v>
      </c>
      <c r="D9" s="885">
        <f>IFERROR(LOOKUP(Linea,TL!$B$3:$BP$3,TL!$C9:$BQ9),0)</f>
        <v>0</v>
      </c>
      <c r="E9" s="975">
        <f t="shared" si="14"/>
        <v>0</v>
      </c>
      <c r="F9" s="71">
        <f t="shared" si="15"/>
        <v>0</v>
      </c>
      <c r="G9" s="71">
        <f>'Sem-L'!AB9</f>
        <v>0</v>
      </c>
      <c r="H9" s="71">
        <f>'Sem-L'!AC9</f>
        <v>0</v>
      </c>
      <c r="I9" s="976">
        <f t="shared" si="16"/>
        <v>0</v>
      </c>
      <c r="J9" s="185">
        <f>IF(AND(AvesIni&gt;0,OR(N9&gt;0,'Sem-L'!C9&gt;0),B9&gt;0),IF(B9&lt;C9,(B9-C9)/(G9/7),IF(B9&gt;D9,(B9-D9)/(H9/7),0)),0)</f>
        <v>0</v>
      </c>
      <c r="K9" s="898">
        <f>'Sem-L'!AG9</f>
        <v>0</v>
      </c>
      <c r="L9" s="902">
        <f>SUMIF(Levante!$A$6:$A$131,GSh!$A9,Levante!O$6:O$131)*Levante!$B$1/1000</f>
        <v>0</v>
      </c>
      <c r="M9" s="916">
        <f>SUMIF(Levante!$A$6:$A$131,GSh!$A9,Levante!P$6:P$131)*Levante!$B$1/1000</f>
        <v>0</v>
      </c>
      <c r="N9" s="912">
        <f>LOOKUP($A9,Levante!$B$6:$B$131,Levante!$X$6:$X$131)</f>
        <v>0</v>
      </c>
      <c r="O9" s="885">
        <f>IFERROR(LOOKUP(Linea,TL!$B$3:$BP$3,TL!$D9:$BR9),0)</f>
        <v>0</v>
      </c>
      <c r="P9" s="885">
        <f>IFERROR(LOOKUP(Linea,TL!$B$3:$BP$3,TL!$E9:$BS9),0)</f>
        <v>0</v>
      </c>
      <c r="Q9" s="977">
        <f t="shared" si="17"/>
        <v>0</v>
      </c>
      <c r="R9" s="928">
        <f>SUMIF(Levante!$A$6:$A$131,A9,Levante!$K$6:$K$131)</f>
        <v>0</v>
      </c>
      <c r="S9" s="906">
        <f>IFERROR(R9*1000/7/'Sem-L'!B9,0)</f>
        <v>0</v>
      </c>
      <c r="T9" s="921">
        <f t="shared" si="1"/>
        <v>0</v>
      </c>
      <c r="U9" s="925">
        <f ca="1">LOOKUP($A9,Levante!$B$6:$B$131,Levante!$X$8:$X$134)</f>
        <v>0</v>
      </c>
      <c r="V9" s="885">
        <f>IFERROR(LOOKUP(Linea,TL!$B$3:$BP$3,TL!$F9:$BT9),0)</f>
        <v>0</v>
      </c>
      <c r="W9" s="885">
        <f>IFERROR(LOOKUP(Linea,TL!$B$3:$BP$3,TL!$G9:$BU9),0)</f>
        <v>0</v>
      </c>
      <c r="X9" s="978">
        <f t="shared" ca="1" si="18"/>
        <v>0</v>
      </c>
      <c r="Y9" s="72">
        <f>LOOKUP($A9,Levante!$B$6:$B$131,Levante!$J$9:$J$134)</f>
        <v>0</v>
      </c>
      <c r="Z9" s="75">
        <f>LOOKUP($A9,Levante!$B$6:$B$131,Levante!$J$11:$J$136)</f>
        <v>0</v>
      </c>
      <c r="AA9" s="34">
        <f t="shared" si="19"/>
        <v>0</v>
      </c>
      <c r="AC9" s="1193">
        <f t="shared" si="2"/>
        <v>21</v>
      </c>
      <c r="AD9" s="844">
        <f>LOOKUP(TP!$A9,PROD!$A$5:$A$725,PROD!$O$5:$O$725)</f>
        <v>0</v>
      </c>
      <c r="AE9" s="101">
        <f>IFERROR(LOOKUP(Linea,TP!$B$3:$DE$3,TP!B9:DE9),0)</f>
        <v>0</v>
      </c>
      <c r="AF9" s="101">
        <f t="shared" si="24"/>
        <v>0</v>
      </c>
      <c r="AG9" s="101">
        <f t="shared" si="25"/>
        <v>0</v>
      </c>
      <c r="AH9" s="845">
        <f>IF(AND(AD9&gt;0,AE9&gt;0),AD9-AE9,0)</f>
        <v>0</v>
      </c>
      <c r="AI9" s="846">
        <f>LOOKUP(TP!$A9,PROD!$A$5:$A$725,PROD!$O$6:$O$726)</f>
        <v>0</v>
      </c>
      <c r="AJ9" s="101">
        <f>IFERROR(LOOKUP(Linea,TP!$B$3:$DE$3,TP!C9:DF9),0)</f>
        <v>0</v>
      </c>
      <c r="AK9" s="101">
        <f t="shared" ref="AK9:AK71" si="28">AJ8*(1-2*$AL$4/100)</f>
        <v>0</v>
      </c>
      <c r="AL9" s="101">
        <f>AJ9-AK9</f>
        <v>0</v>
      </c>
      <c r="AM9" s="837">
        <f>IF(AND(AI9&gt;0,AJ9&gt;0),AI9-AJ9,0)</f>
        <v>0</v>
      </c>
      <c r="AN9" s="175">
        <f>LOOKUP(TP!$A9,PROD!$A$5:$A$725,PROD!$I$11:$I$731)</f>
        <v>0</v>
      </c>
      <c r="AO9" s="171">
        <f>LOOKUP(TP!$A9,PROD!$A$5:$A$725,PROD!$K$5:$K$725)*100</f>
        <v>0</v>
      </c>
      <c r="AP9" s="110">
        <f>LOOKUP(TP!$A9,PROD!$A$5:$A$725,PROD!$K$8:$K$728)*100</f>
        <v>0</v>
      </c>
      <c r="AQ9" s="110">
        <f t="shared" si="5"/>
        <v>100</v>
      </c>
      <c r="AR9" s="109">
        <f>IFERROR(LOOKUP(Linea,TP!$B$3:$DE$3,TP!D9:DG9),0)</f>
        <v>0</v>
      </c>
      <c r="AS9" s="838">
        <f>SUMIF(PROD!$BF$5:$BF$725,GSh!$BV9,PROD!$V$5:$V$725)/1000*PROD!$A$1</f>
        <v>0</v>
      </c>
      <c r="AT9" s="627">
        <f>LOOKUP(TP!$A9,PROD!$A$5:$A$725,PROD!$AD$5:$AD$725)</f>
        <v>0</v>
      </c>
      <c r="AU9" s="101">
        <f>IFERROR(LOOKUP(Linea,TP!$B$3:$DE$3,TP!E9:DH9),0)</f>
        <v>0</v>
      </c>
      <c r="AV9" s="847">
        <f t="shared" si="6"/>
        <v>0</v>
      </c>
      <c r="AW9" s="1081">
        <f>LOOKUP($BV9,PROD!$A$5:$A$725,PROD!$AE$10:$AE$730)</f>
        <v>0</v>
      </c>
      <c r="AX9" s="1076">
        <f>LOOKUP($BV9,PROD!$A$5:$A$725,PROD!$AE$11:$AE$731)</f>
        <v>0</v>
      </c>
      <c r="AY9" s="114">
        <f>'Pr-Sem'!Z9</f>
        <v>0</v>
      </c>
      <c r="AZ9" s="101">
        <f>IFERROR(LOOKUP(Linea,TP!$B$3:$DE$3,TP!F9:DI9),0)</f>
        <v>0</v>
      </c>
      <c r="BA9" s="840">
        <f>LOOKUP(TP!$A9,PROD!$A$5:$A$725,PROD!$Q$7:$Q$727)</f>
        <v>0</v>
      </c>
      <c r="BB9" s="118">
        <f t="shared" si="20"/>
        <v>0</v>
      </c>
      <c r="BC9" s="109">
        <f t="shared" si="27"/>
        <v>0</v>
      </c>
      <c r="BD9" s="123">
        <f>LOOKUP(TP!$A9,PROD!$A$5:$A$725,PROD!$AH$7:$AH$727)</f>
        <v>0</v>
      </c>
      <c r="BE9" s="101">
        <f t="shared" si="7"/>
        <v>0</v>
      </c>
      <c r="BF9" s="841">
        <f t="shared" si="8"/>
        <v>0</v>
      </c>
      <c r="BG9" s="128">
        <f>LOOKUP(TP!$A9,PROD!$A$5:$A$725,PROD!$AH$8:$AH$728)</f>
        <v>0</v>
      </c>
      <c r="BH9" s="124">
        <f t="shared" si="21"/>
        <v>0</v>
      </c>
      <c r="BI9" s="842">
        <f t="shared" si="9"/>
        <v>0</v>
      </c>
      <c r="BJ9" s="513">
        <f>'Pr-Sem'!AC9*10</f>
        <v>0</v>
      </c>
      <c r="BK9" s="514">
        <f>IFERROR(LOOKUP(Linea,TP!$B$3:$DE$3,TP!J9:DJ9),0)</f>
        <v>0</v>
      </c>
      <c r="BL9" s="848">
        <f t="shared" si="10"/>
        <v>0</v>
      </c>
      <c r="BM9" s="135">
        <f>LOOKUP($BV9,PROD!$A$5:$A$725,PROD!$AH$5:$AH$725)*IF($BM$5="Gr X H",1,100)</f>
        <v>0</v>
      </c>
      <c r="BN9" s="138">
        <f>LOOKUP($BV9,PROD!$A$5:$A$725,PROD!$AI$5:$AI$725)*IF($BM$5="Gr X H",1,100)</f>
        <v>0</v>
      </c>
      <c r="BO9" s="849">
        <f>IF(AND(BM9&gt;0,BN9&gt;0),(BM9-BN9)/BN9*100,0)</f>
        <v>0</v>
      </c>
      <c r="BP9" s="135">
        <f>LOOKUP(BV9,PROD!$A$5:$A$725,PROD!$AH$6:$AH$726)*IF($BM$5="Gr X H",1,100)</f>
        <v>0</v>
      </c>
      <c r="BQ9" s="138">
        <f>LOOKUP($BV9,PROD!$A$5:$A$725,PROD!$AI$6:$AI$726)*IF($BM$5="Gr X H",1,100)</f>
        <v>0</v>
      </c>
      <c r="BR9" s="849">
        <f t="shared" si="22"/>
        <v>0</v>
      </c>
      <c r="BS9" s="137">
        <f>LOOKUP(TP!$A9,PROD!$A$5:$A$725,PROD!$AH$9:$AH$729)</f>
        <v>0</v>
      </c>
      <c r="BT9" s="138">
        <f>LOOKUP(TP!$A9,PROD!$A$5:$A$725,PROD!$AI$9:$AI$729)</f>
        <v>0</v>
      </c>
      <c r="BU9" s="849">
        <f t="shared" si="11"/>
        <v>0</v>
      </c>
      <c r="BV9" s="833">
        <f t="shared" si="23"/>
        <v>21</v>
      </c>
      <c r="BW9" s="191">
        <f ca="1">LOOKUP($BV9,INVENTARIOS!$A$4:$A$718,ECONO!$T$4:$T$724)*100</f>
        <v>0</v>
      </c>
      <c r="BX9" s="606">
        <f ca="1">LOOKUP($BV9,INVENTARIOS!$A$4:$A$718,ECONO!$T$5:$T$725)*100</f>
        <v>0</v>
      </c>
      <c r="BY9" s="606">
        <f ca="1">LOOKUP($BV9,INVENTARIOS!$A$4:$A$718,ECONO!$T$6:$T$726)*100</f>
        <v>0</v>
      </c>
      <c r="BZ9" s="606">
        <f ca="1">LOOKUP($BV9,INVENTARIOS!$A$4:$A$718,ECONO!$T$7:$T$727)*100</f>
        <v>0</v>
      </c>
      <c r="CA9" s="606">
        <f ca="1">LOOKUP($BV9,INVENTARIOS!$A$4:$A$718,ECONO!$T$8:$T$728)*100</f>
        <v>0</v>
      </c>
      <c r="CB9" s="606">
        <f ca="1">LOOKUP($BV9,INVENTARIOS!$A$4:$A$718,ECONO!$T$9:$T$729)*100</f>
        <v>0</v>
      </c>
      <c r="CC9" s="606">
        <f ca="1">LOOKUP($BV9,INVENTARIOS!$A$4:$A$718,ECONO!$T$10:$T$730)*100</f>
        <v>0</v>
      </c>
      <c r="CD9" s="99">
        <f ca="1">LOOKUP($BV9,INVENTARIOS!$A$4:$A$718,ECONO!$X$8:$X$728)*100</f>
        <v>0</v>
      </c>
      <c r="CE9" s="99">
        <f ca="1">LOOKUP($BV9,INVENTARIOS!$A$4:$A$718,ECONO!$X$9:$X$729)*100</f>
        <v>0</v>
      </c>
      <c r="CF9" s="192">
        <f ca="1">LOOKUP($BV9,INVENTARIOS!$A$4:$A$718,ECONO!$X$10:$X$730)*100</f>
        <v>0</v>
      </c>
      <c r="CG9" s="195">
        <f ca="1">LOOKUP(GSh!$BV9,INVENTARIOS!$A$4:$A$718,ECONO!$X$4:$X$724)*100</f>
        <v>0</v>
      </c>
      <c r="CH9" s="98">
        <f ca="1">LOOKUP(GSh!$BV9,INVENTARIOS!$A$4:$A$718,ECONO!$X$5:$X$725)*100</f>
        <v>0</v>
      </c>
      <c r="CI9" s="98">
        <f ca="1">LOOKUP(GSh!$BV9,INVENTARIOS!$A$4:$A$718,ECONO!$X$6:$X$726)*100</f>
        <v>0</v>
      </c>
      <c r="CJ9" s="194">
        <f ca="1">LOOKUP(GSh!$BV9,INVENTARIOS!$A$4:$A$718,ECONO!$X$7:$X$727)*100</f>
        <v>0</v>
      </c>
      <c r="CK9" s="34">
        <f>IF(OR(AO9&gt;0,AT9&gt;0,AD9&gt;0),TP!A9,CK8)</f>
        <v>0</v>
      </c>
      <c r="CL9" s="257">
        <f>LOOKUP($BV9,INVENTARIOS!$A$4:$A$724,ECONO!$O$10:$O$730)</f>
        <v>0</v>
      </c>
      <c r="CM9" s="258">
        <f>LOOKUP($BV9,INVENTARIOS!$A$4:$A$724,ECONO!$Z$9:$Z$729)</f>
        <v>0</v>
      </c>
      <c r="CN9" s="260">
        <f t="shared" si="12"/>
        <v>0</v>
      </c>
      <c r="CO9"/>
    </row>
    <row r="10" spans="1:93" ht="20.100000000000001" customHeight="1" x14ac:dyDescent="0.3">
      <c r="A10" s="974">
        <f t="shared" si="13"/>
        <v>5</v>
      </c>
      <c r="B10" s="883">
        <f>'Sem-L'!U10</f>
        <v>0</v>
      </c>
      <c r="C10" s="885">
        <f>IFERROR(LOOKUP(Linea,TL!$B$3:$BP$3,TL!$B10:$BP10),0)</f>
        <v>0</v>
      </c>
      <c r="D10" s="885">
        <f>IFERROR(LOOKUP(Linea,TL!$B$3:$BP$3,TL!$C10:$BQ10),0)</f>
        <v>0</v>
      </c>
      <c r="E10" s="975">
        <f t="shared" si="14"/>
        <v>0</v>
      </c>
      <c r="F10" s="71">
        <f t="shared" si="15"/>
        <v>0</v>
      </c>
      <c r="G10" s="71">
        <f>'Sem-L'!AB10</f>
        <v>0</v>
      </c>
      <c r="H10" s="71">
        <f>'Sem-L'!AC10</f>
        <v>0</v>
      </c>
      <c r="I10" s="976">
        <f t="shared" si="16"/>
        <v>0</v>
      </c>
      <c r="J10" s="185">
        <f>IF(AND(AvesIni&gt;0,OR(N10&gt;0,'Sem-L'!C10&gt;0),B10&gt;0),IF(B10&lt;C10,(B10-C10)/(G10/7),IF(B10&gt;D10,(B10-D10)/(H10/7),0)),0)</f>
        <v>0</v>
      </c>
      <c r="K10" s="898">
        <f>'Sem-L'!AG10</f>
        <v>0</v>
      </c>
      <c r="L10" s="902">
        <f>SUMIF(Levante!$A$6:$A$131,GSh!$A10,Levante!O$6:O$131)*Levante!$B$1/1000</f>
        <v>0</v>
      </c>
      <c r="M10" s="916">
        <f>SUMIF(Levante!$A$6:$A$131,GSh!$A10,Levante!P$6:P$131)*Levante!$B$1/1000</f>
        <v>0</v>
      </c>
      <c r="N10" s="912">
        <f>LOOKUP($A10,Levante!$B$6:$B$131,Levante!$X$6:$X$131)</f>
        <v>0</v>
      </c>
      <c r="O10" s="885">
        <f>IFERROR(LOOKUP(Linea,TL!$B$3:$BP$3,TL!$D10:$BR10),0)</f>
        <v>0</v>
      </c>
      <c r="P10" s="885">
        <f>IFERROR(LOOKUP(Linea,TL!$B$3:$BP$3,TL!$E10:$BS10),0)</f>
        <v>0</v>
      </c>
      <c r="Q10" s="977">
        <f t="shared" si="17"/>
        <v>0</v>
      </c>
      <c r="R10" s="928">
        <f>SUMIF(Levante!$A$6:$A$131,A10,Levante!$K$6:$K$131)</f>
        <v>0</v>
      </c>
      <c r="S10" s="906">
        <f>IFERROR(R10*1000/7/'Sem-L'!B10,0)</f>
        <v>0</v>
      </c>
      <c r="T10" s="921">
        <f t="shared" si="1"/>
        <v>0</v>
      </c>
      <c r="U10" s="925">
        <f ca="1">LOOKUP($A10,Levante!$B$6:$B$131,Levante!$X$8:$X$134)</f>
        <v>0</v>
      </c>
      <c r="V10" s="885">
        <f>IFERROR(LOOKUP(Linea,TL!$B$3:$BP$3,TL!$F10:$BT10),0)</f>
        <v>0</v>
      </c>
      <c r="W10" s="885">
        <f>IFERROR(LOOKUP(Linea,TL!$B$3:$BP$3,TL!$G10:$BU10),0)</f>
        <v>0</v>
      </c>
      <c r="X10" s="978">
        <f t="shared" ca="1" si="18"/>
        <v>0</v>
      </c>
      <c r="Y10" s="72">
        <f>LOOKUP($A10,Levante!$B$6:$B$131,Levante!$J$9:$J$134)</f>
        <v>0</v>
      </c>
      <c r="Z10" s="75">
        <f>LOOKUP($A10,Levante!$B$6:$B$131,Levante!$J$11:$J$136)</f>
        <v>0</v>
      </c>
      <c r="AA10" s="34">
        <f t="shared" si="19"/>
        <v>0</v>
      </c>
      <c r="AC10" s="1193">
        <f t="shared" si="2"/>
        <v>22</v>
      </c>
      <c r="AD10" s="844">
        <f>LOOKUP(TP!$A10,PROD!$A$5:$A$725,PROD!$O$5:$O$725)</f>
        <v>0</v>
      </c>
      <c r="AE10" s="101">
        <f>IFERROR(LOOKUP(Linea,TP!$B$3:$DE$3,TP!B10:DE10),0)</f>
        <v>0</v>
      </c>
      <c r="AF10" s="101">
        <f t="shared" si="24"/>
        <v>0</v>
      </c>
      <c r="AG10" s="101">
        <f t="shared" si="25"/>
        <v>0</v>
      </c>
      <c r="AH10" s="845">
        <f>IF(AND(AD10&gt;0,AE10&gt;0),AD10-AE10,0)</f>
        <v>0</v>
      </c>
      <c r="AI10" s="846">
        <f>LOOKUP(TP!$A10,PROD!$A$5:$A$725,PROD!$O$6:$O$726)</f>
        <v>0</v>
      </c>
      <c r="AJ10" s="101">
        <f>IFERROR(LOOKUP(Linea,TP!$B$3:$DE$3,TP!C10:DF10),0)</f>
        <v>0</v>
      </c>
      <c r="AK10" s="101">
        <f t="shared" si="28"/>
        <v>0</v>
      </c>
      <c r="AL10" s="101">
        <f t="shared" si="26"/>
        <v>0</v>
      </c>
      <c r="AM10" s="837">
        <f>IF(AND(AI10&gt;0,AJ10&gt;0),AI10-AJ10,0)</f>
        <v>0</v>
      </c>
      <c r="AN10" s="175">
        <f>LOOKUP(TP!$A10,PROD!$A$5:$A$725,PROD!$I$11:$I$731)</f>
        <v>0</v>
      </c>
      <c r="AO10" s="171">
        <f>LOOKUP(TP!$A10,PROD!$A$5:$A$725,PROD!$K$5:$K$725)*100</f>
        <v>0</v>
      </c>
      <c r="AP10" s="110">
        <f>LOOKUP(TP!$A10,PROD!$A$5:$A$725,PROD!$K$8:$K$728)*100</f>
        <v>0</v>
      </c>
      <c r="AQ10" s="110">
        <f t="shared" si="5"/>
        <v>100</v>
      </c>
      <c r="AR10" s="109">
        <f>IFERROR(LOOKUP(Linea,TP!$B$3:$DE$3,TP!D10:DG10),0)</f>
        <v>0</v>
      </c>
      <c r="AS10" s="838">
        <f>SUMIF(PROD!$BF$5:$BF$725,GSh!$BV10,PROD!$V$5:$V$725)/1000*PROD!$A$1</f>
        <v>0</v>
      </c>
      <c r="AT10" s="627">
        <f>LOOKUP(TP!$A10,PROD!$A$5:$A$725,PROD!$AD$5:$AD$725)</f>
        <v>0</v>
      </c>
      <c r="AU10" s="101">
        <f>IFERROR(LOOKUP(Linea,TP!$B$3:$DE$3,TP!E10:DH10),0)</f>
        <v>0</v>
      </c>
      <c r="AV10" s="847">
        <f t="shared" si="6"/>
        <v>0</v>
      </c>
      <c r="AW10" s="1081">
        <f>LOOKUP($BV10,PROD!$A$5:$A$725,PROD!$AE$10:$AE$730)</f>
        <v>0</v>
      </c>
      <c r="AX10" s="1076">
        <f>LOOKUP($BV10,PROD!$A$5:$A$725,PROD!$AE$11:$AE$731)</f>
        <v>0</v>
      </c>
      <c r="AY10" s="114">
        <f>'Pr-Sem'!Z10</f>
        <v>0</v>
      </c>
      <c r="AZ10" s="101">
        <f>IFERROR(LOOKUP(Linea,TP!$B$3:$DE$3,TP!F10:DI10),0)</f>
        <v>0</v>
      </c>
      <c r="BA10" s="840">
        <f>LOOKUP(TP!$A10,PROD!$A$5:$A$725,PROD!$Q$7:$Q$727)</f>
        <v>0</v>
      </c>
      <c r="BB10" s="118">
        <f t="shared" si="20"/>
        <v>0</v>
      </c>
      <c r="BC10" s="109">
        <f t="shared" si="27"/>
        <v>0</v>
      </c>
      <c r="BD10" s="125">
        <f>LOOKUP(TP!$A10,PROD!$A$5:$A$725,PROD!$AH$7:$AH$727)</f>
        <v>0</v>
      </c>
      <c r="BE10" s="101">
        <f t="shared" si="7"/>
        <v>0</v>
      </c>
      <c r="BF10" s="850">
        <f t="shared" si="8"/>
        <v>0</v>
      </c>
      <c r="BG10" s="129">
        <f>LOOKUP(TP!$A10,PROD!$A$5:$A$725,PROD!$AH$8:$AH$728)</f>
        <v>0</v>
      </c>
      <c r="BH10" s="124">
        <f t="shared" si="21"/>
        <v>0</v>
      </c>
      <c r="BI10" s="849">
        <f t="shared" si="9"/>
        <v>0</v>
      </c>
      <c r="BJ10" s="513">
        <f>'Pr-Sem'!AC10*10</f>
        <v>0</v>
      </c>
      <c r="BK10" s="514">
        <f>IFERROR(LOOKUP(Linea,TP!$B$3:$DE$3,TP!J10:DJ10),0)</f>
        <v>0</v>
      </c>
      <c r="BL10" s="848">
        <f t="shared" si="10"/>
        <v>0</v>
      </c>
      <c r="BM10" s="137">
        <f>LOOKUP($BV10,PROD!$A$5:$A$725,PROD!$AH$5:$AH$725)*IF($BM$5="Gr X H",1,100)</f>
        <v>0</v>
      </c>
      <c r="BN10" s="138">
        <f>LOOKUP($BV10,PROD!$A$5:$A$725,PROD!$AI$5:$AI$725)*IF($BM$5="Gr X H",1,100)</f>
        <v>0</v>
      </c>
      <c r="BO10" s="849">
        <f t="shared" ref="BO10:BO69" si="29">IF(AND(BM10&gt;0,BN10&gt;0),(BM10-BN10)/BN10*100,0)</f>
        <v>0</v>
      </c>
      <c r="BP10" s="137">
        <f>LOOKUP(BV10,PROD!$A$5:$A$725,PROD!$AH$6:$AH$726)*IF($BM$5="Gr X H",1,100)</f>
        <v>0</v>
      </c>
      <c r="BQ10" s="138">
        <f>LOOKUP($BV10,PROD!$A$5:$A$725,PROD!$AI$6:$AI$726)*IF($BM$5="Gr X H",1,100)</f>
        <v>0</v>
      </c>
      <c r="BR10" s="849">
        <f t="shared" si="22"/>
        <v>0</v>
      </c>
      <c r="BS10" s="137">
        <f>LOOKUP(TP!$A10,PROD!$A$5:$A$725,PROD!$AH$9:$AH$729)</f>
        <v>0</v>
      </c>
      <c r="BT10" s="138">
        <f>LOOKUP(TP!$A10,PROD!$A$5:$A$725,PROD!$AI$9:$AI$729)</f>
        <v>0</v>
      </c>
      <c r="BU10" s="849">
        <f t="shared" si="11"/>
        <v>0</v>
      </c>
      <c r="BV10" s="833">
        <f t="shared" si="23"/>
        <v>22</v>
      </c>
      <c r="BW10" s="191">
        <f ca="1">LOOKUP($BV10,INVENTARIOS!$A$4:$A$718,ECONO!$T$4:$T$724)*100</f>
        <v>0</v>
      </c>
      <c r="BX10" s="606">
        <f ca="1">LOOKUP($BV10,INVENTARIOS!$A$4:$A$718,ECONO!$T$5:$T$725)*100</f>
        <v>0</v>
      </c>
      <c r="BY10" s="606">
        <f ca="1">LOOKUP($BV10,INVENTARIOS!$A$4:$A$718,ECONO!$T$6:$T$726)*100</f>
        <v>0</v>
      </c>
      <c r="BZ10" s="606">
        <f ca="1">LOOKUP($BV10,INVENTARIOS!$A$4:$A$718,ECONO!$T$7:$T$727)*100</f>
        <v>0</v>
      </c>
      <c r="CA10" s="606">
        <f ca="1">LOOKUP($BV10,INVENTARIOS!$A$4:$A$718,ECONO!$T$8:$T$728)*100</f>
        <v>0</v>
      </c>
      <c r="CB10" s="606">
        <f ca="1">LOOKUP($BV10,INVENTARIOS!$A$4:$A$718,ECONO!$T$9:$T$729)*100</f>
        <v>0</v>
      </c>
      <c r="CC10" s="606">
        <f ca="1">LOOKUP($BV10,INVENTARIOS!$A$4:$A$718,ECONO!$T$10:$T$730)*100</f>
        <v>0</v>
      </c>
      <c r="CD10" s="99">
        <f ca="1">LOOKUP($BV10,INVENTARIOS!$A$4:$A$718,ECONO!$X$8:$X$728)*100</f>
        <v>0</v>
      </c>
      <c r="CE10" s="99">
        <f ca="1">LOOKUP($BV10,INVENTARIOS!$A$4:$A$718,ECONO!$X$9:$X$729)*100</f>
        <v>0</v>
      </c>
      <c r="CF10" s="192">
        <f ca="1">LOOKUP($BV10,INVENTARIOS!$A$4:$A$718,ECONO!$X$10:$X$730)*100</f>
        <v>0</v>
      </c>
      <c r="CG10" s="195">
        <f ca="1">LOOKUP(GSh!$BV10,INVENTARIOS!$A$4:$A$718,ECONO!$X$4:$X$724)*100</f>
        <v>0</v>
      </c>
      <c r="CH10" s="98">
        <f ca="1">LOOKUP(GSh!$BV10,INVENTARIOS!$A$4:$A$718,ECONO!$X$5:$X$725)*100</f>
        <v>0</v>
      </c>
      <c r="CI10" s="98">
        <f ca="1">LOOKUP(GSh!$BV10,INVENTARIOS!$A$4:$A$718,ECONO!$X$6:$X$726)*100</f>
        <v>0</v>
      </c>
      <c r="CJ10" s="194">
        <f ca="1">LOOKUP(GSh!$BV10,INVENTARIOS!$A$4:$A$718,ECONO!$X$7:$X$727)*100</f>
        <v>0</v>
      </c>
      <c r="CK10" s="34">
        <f>IF(OR(AO10&gt;0,AT10&gt;0,AD10&gt;0),TP!A10,CK9)</f>
        <v>0</v>
      </c>
      <c r="CL10" s="257">
        <f>LOOKUP($BV10,INVENTARIOS!$A$4:$A$724,ECONO!$O$10:$O$730)</f>
        <v>0</v>
      </c>
      <c r="CM10" s="258">
        <f>LOOKUP($BV10,INVENTARIOS!$A$4:$A$724,ECONO!$Z$9:$Z$729)</f>
        <v>0</v>
      </c>
      <c r="CN10" s="260">
        <f t="shared" si="12"/>
        <v>0</v>
      </c>
      <c r="CO10"/>
    </row>
    <row r="11" spans="1:93" ht="20.100000000000001" customHeight="1" x14ac:dyDescent="0.3">
      <c r="A11" s="974">
        <f t="shared" si="13"/>
        <v>6</v>
      </c>
      <c r="B11" s="883">
        <f>'Sem-L'!U11</f>
        <v>0</v>
      </c>
      <c r="C11" s="885">
        <f>IFERROR(LOOKUP(Linea,TL!$B$3:$BP$3,TL!$B11:$BP11),0)</f>
        <v>0</v>
      </c>
      <c r="D11" s="885">
        <f>IFERROR(LOOKUP(Linea,TL!$B$3:$BP$3,TL!$C11:$BQ11),0)</f>
        <v>0</v>
      </c>
      <c r="E11" s="975">
        <f t="shared" si="14"/>
        <v>0</v>
      </c>
      <c r="F11" s="71">
        <f t="shared" si="15"/>
        <v>0</v>
      </c>
      <c r="G11" s="71">
        <f>'Sem-L'!AB11</f>
        <v>0</v>
      </c>
      <c r="H11" s="71">
        <f>'Sem-L'!AC11</f>
        <v>0</v>
      </c>
      <c r="I11" s="976">
        <f t="shared" si="16"/>
        <v>0</v>
      </c>
      <c r="J11" s="185">
        <f>IF(AND(AvesIni&gt;0,OR(N11&gt;0,'Sem-L'!C11&gt;0),B11&gt;0),IF(B11&lt;C11,(B11-C11)/(G11/7),IF(B11&gt;D11,(B11-D11)/(H11/7),0)),0)</f>
        <v>0</v>
      </c>
      <c r="K11" s="898">
        <f>'Sem-L'!AG11</f>
        <v>0</v>
      </c>
      <c r="L11" s="902">
        <f>SUMIF(Levante!$A$6:$A$131,GSh!$A11,Levante!O$6:O$131)*Levante!$B$1/1000</f>
        <v>0</v>
      </c>
      <c r="M11" s="916">
        <f>SUMIF(Levante!$A$6:$A$131,GSh!$A11,Levante!P$6:P$131)*Levante!$B$1/1000</f>
        <v>0</v>
      </c>
      <c r="N11" s="912">
        <f>LOOKUP($A11,Levante!$B$6:$B$131,Levante!$X$6:$X$131)</f>
        <v>0</v>
      </c>
      <c r="O11" s="885">
        <f>IFERROR(LOOKUP(Linea,TL!$B$3:$BP$3,TL!$D11:$BR11),0)</f>
        <v>0</v>
      </c>
      <c r="P11" s="885">
        <f>IFERROR(LOOKUP(Linea,TL!$B$3:$BP$3,TL!$E11:$BS11),0)</f>
        <v>0</v>
      </c>
      <c r="Q11" s="977">
        <f t="shared" si="17"/>
        <v>0</v>
      </c>
      <c r="R11" s="928">
        <f>SUMIF(Levante!$A$6:$A$131,A11,Levante!$K$6:$K$131)</f>
        <v>0</v>
      </c>
      <c r="S11" s="906">
        <f>IFERROR(R11*1000/7/'Sem-L'!B11,0)</f>
        <v>0</v>
      </c>
      <c r="T11" s="921">
        <f t="shared" si="1"/>
        <v>0</v>
      </c>
      <c r="U11" s="925">
        <f ca="1">LOOKUP($A11,Levante!$B$6:$B$131,Levante!$X$8:$X$134)</f>
        <v>0</v>
      </c>
      <c r="V11" s="885">
        <f>IFERROR(LOOKUP(Linea,TL!$B$3:$BP$3,TL!$F11:$BT11),0)</f>
        <v>0</v>
      </c>
      <c r="W11" s="885">
        <f>IFERROR(LOOKUP(Linea,TL!$B$3:$BP$3,TL!$G11:$BU11),0)</f>
        <v>0</v>
      </c>
      <c r="X11" s="978">
        <f t="shared" ca="1" si="18"/>
        <v>0</v>
      </c>
      <c r="Y11" s="72">
        <f>LOOKUP($A11,Levante!$B$6:$B$131,Levante!$J$9:$J$134)</f>
        <v>0</v>
      </c>
      <c r="Z11" s="75">
        <f>LOOKUP($A11,Levante!$B$6:$B$131,Levante!$J$11:$J$136)</f>
        <v>0</v>
      </c>
      <c r="AA11" s="34">
        <f t="shared" si="19"/>
        <v>0</v>
      </c>
      <c r="AC11" s="1193">
        <f t="shared" si="2"/>
        <v>23</v>
      </c>
      <c r="AD11" s="844">
        <f>LOOKUP(TP!$A11,PROD!$A$5:$A$725,PROD!$O$5:$O$725)</f>
        <v>0</v>
      </c>
      <c r="AE11" s="101">
        <f>IFERROR(LOOKUP(Linea,TP!$B$3:$DE$3,TP!B11:DE11),0)</f>
        <v>0</v>
      </c>
      <c r="AF11" s="101">
        <f>AE10*(1-2*$AG$4/100)</f>
        <v>0</v>
      </c>
      <c r="AG11" s="101">
        <f>AE11-AF11</f>
        <v>0</v>
      </c>
      <c r="AH11" s="845">
        <f>IF(AND(AD11&gt;0,AE11&gt;0),AD11-AE11,0)</f>
        <v>0</v>
      </c>
      <c r="AI11" s="846">
        <f>LOOKUP(TP!$A11,PROD!$A$5:$A$725,PROD!$O$6:$O$726)</f>
        <v>0</v>
      </c>
      <c r="AJ11" s="101">
        <f>IFERROR(LOOKUP(Linea,TP!$B$3:$DE$3,TP!C11:DF11),0)</f>
        <v>0</v>
      </c>
      <c r="AK11" s="101">
        <f t="shared" si="28"/>
        <v>0</v>
      </c>
      <c r="AL11" s="101">
        <f t="shared" si="26"/>
        <v>0</v>
      </c>
      <c r="AM11" s="837">
        <f t="shared" si="4"/>
        <v>0</v>
      </c>
      <c r="AN11" s="175">
        <f>LOOKUP(TP!$A11,PROD!$A$5:$A$725,PROD!$I$11:$I$731)</f>
        <v>0</v>
      </c>
      <c r="AO11" s="171">
        <f>LOOKUP(TP!$A11,PROD!$A$5:$A$725,PROD!$K$5:$K$725)*100</f>
        <v>0</v>
      </c>
      <c r="AP11" s="110">
        <f>LOOKUP(TP!$A11,PROD!$A$5:$A$725,PROD!$K$8:$K$728)*100</f>
        <v>0</v>
      </c>
      <c r="AQ11" s="110">
        <f t="shared" si="5"/>
        <v>100</v>
      </c>
      <c r="AR11" s="109">
        <f>IFERROR(LOOKUP(Linea,TP!$B$3:$DE$3,TP!D11:DG11),0)</f>
        <v>0</v>
      </c>
      <c r="AS11" s="838">
        <f>SUMIF(PROD!$BF$5:$BF$725,GSh!$BV11,PROD!$V$5:$V$725)/1000*PROD!$A$1</f>
        <v>0</v>
      </c>
      <c r="AT11" s="627">
        <f>LOOKUP(TP!$A11,PROD!$A$5:$A$725,PROD!$AD$5:$AD$725)</f>
        <v>0</v>
      </c>
      <c r="AU11" s="101">
        <f>IFERROR(LOOKUP(Linea,TP!$B$3:$DE$3,TP!E11:DH11),0)</f>
        <v>0</v>
      </c>
      <c r="AV11" s="847">
        <f t="shared" si="6"/>
        <v>0</v>
      </c>
      <c r="AW11" s="1081">
        <f>LOOKUP($BV11,PROD!$A$5:$A$725,PROD!$AE$10:$AE$730)</f>
        <v>0</v>
      </c>
      <c r="AX11" s="1076">
        <f>LOOKUP($BV11,PROD!$A$5:$A$725,PROD!$AE$11:$AE$731)</f>
        <v>0</v>
      </c>
      <c r="AY11" s="114">
        <f>'Pr-Sem'!Z11</f>
        <v>0</v>
      </c>
      <c r="AZ11" s="101">
        <f>IFERROR(LOOKUP(Linea,TP!$B$3:$DE$3,TP!F11:DI11),0)</f>
        <v>0</v>
      </c>
      <c r="BA11" s="840">
        <f>LOOKUP(TP!$A11,PROD!$A$5:$A$725,PROD!$Q$7:$Q$727)</f>
        <v>0</v>
      </c>
      <c r="BB11" s="118">
        <f t="shared" si="20"/>
        <v>0</v>
      </c>
      <c r="BC11" s="109">
        <f t="shared" si="27"/>
        <v>0</v>
      </c>
      <c r="BD11" s="125">
        <f>LOOKUP(TP!$A11,PROD!$A$5:$A$725,PROD!$AH$7:$AH$727)</f>
        <v>0</v>
      </c>
      <c r="BE11" s="101">
        <f t="shared" si="7"/>
        <v>0</v>
      </c>
      <c r="BF11" s="850">
        <f t="shared" si="8"/>
        <v>0</v>
      </c>
      <c r="BG11" s="129">
        <f>LOOKUP(TP!$A11,PROD!$A$5:$A$725,PROD!$AH$8:$AH$728)</f>
        <v>0</v>
      </c>
      <c r="BH11" s="124">
        <f t="shared" si="21"/>
        <v>0</v>
      </c>
      <c r="BI11" s="849">
        <f t="shared" si="9"/>
        <v>0</v>
      </c>
      <c r="BJ11" s="513">
        <f>'Pr-Sem'!AC11*10</f>
        <v>0</v>
      </c>
      <c r="BK11" s="514">
        <f>IFERROR(LOOKUP(Linea,TP!$B$3:$DE$3,TP!J11:DJ11),0)</f>
        <v>0</v>
      </c>
      <c r="BL11" s="848">
        <f t="shared" si="10"/>
        <v>0</v>
      </c>
      <c r="BM11" s="137">
        <f>LOOKUP($BV11,PROD!$A$5:$A$725,PROD!$AH$5:$AH$725)*IF($BM$5="Gr X H",1,100)</f>
        <v>0</v>
      </c>
      <c r="BN11" s="138">
        <f>LOOKUP($BV11,PROD!$A$5:$A$725,PROD!$AI$5:$AI$725)*IF($BM$5="Gr X H",1,100)</f>
        <v>0</v>
      </c>
      <c r="BO11" s="849">
        <f>IF(AND(BM11&gt;0,BN11&gt;0),(BM11-BN11)/BN11*100,0)</f>
        <v>0</v>
      </c>
      <c r="BP11" s="137">
        <f>LOOKUP(BV11,PROD!$A$5:$A$725,PROD!$AH$6:$AH$726)*IF($BM$5="Gr X H",1,100)</f>
        <v>0</v>
      </c>
      <c r="BQ11" s="138">
        <f>LOOKUP($BV11,PROD!$A$5:$A$725,PROD!$AI$6:$AI$726)*IF($BM$5="Gr X H",1,100)</f>
        <v>0</v>
      </c>
      <c r="BR11" s="849">
        <f t="shared" si="22"/>
        <v>0</v>
      </c>
      <c r="BS11" s="137">
        <f>LOOKUP(TP!$A11,PROD!$A$5:$A$725,PROD!$AH$9:$AH$729)</f>
        <v>0</v>
      </c>
      <c r="BT11" s="138">
        <f>LOOKUP(TP!$A11,PROD!$A$5:$A$725,PROD!$AI$9:$AI$729)</f>
        <v>0</v>
      </c>
      <c r="BU11" s="849">
        <f t="shared" si="11"/>
        <v>0</v>
      </c>
      <c r="BV11" s="833">
        <f t="shared" si="23"/>
        <v>23</v>
      </c>
      <c r="BW11" s="191">
        <f ca="1">LOOKUP($BV11,INVENTARIOS!$A$4:$A$718,ECONO!$T$4:$T$724)*100</f>
        <v>0</v>
      </c>
      <c r="BX11" s="606">
        <f ca="1">LOOKUP($BV11,INVENTARIOS!$A$4:$A$718,ECONO!$T$5:$T$725)*100</f>
        <v>0</v>
      </c>
      <c r="BY11" s="606">
        <f ca="1">LOOKUP($BV11,INVENTARIOS!$A$4:$A$718,ECONO!$T$6:$T$726)*100</f>
        <v>0</v>
      </c>
      <c r="BZ11" s="606">
        <f ca="1">LOOKUP($BV11,INVENTARIOS!$A$4:$A$718,ECONO!$T$7:$T$727)*100</f>
        <v>0</v>
      </c>
      <c r="CA11" s="606">
        <f ca="1">LOOKUP($BV11,INVENTARIOS!$A$4:$A$718,ECONO!$T$8:$T$728)*100</f>
        <v>0</v>
      </c>
      <c r="CB11" s="606">
        <f ca="1">LOOKUP($BV11,INVENTARIOS!$A$4:$A$718,ECONO!$T$9:$T$729)*100</f>
        <v>0</v>
      </c>
      <c r="CC11" s="606">
        <f ca="1">LOOKUP($BV11,INVENTARIOS!$A$4:$A$718,ECONO!$T$10:$T$730)*100</f>
        <v>0</v>
      </c>
      <c r="CD11" s="99">
        <f ca="1">LOOKUP($BV11,INVENTARIOS!$A$4:$A$718,ECONO!$X$8:$X$728)*100</f>
        <v>0</v>
      </c>
      <c r="CE11" s="99">
        <f ca="1">LOOKUP($BV11,INVENTARIOS!$A$4:$A$718,ECONO!$X$9:$X$729)*100</f>
        <v>0</v>
      </c>
      <c r="CF11" s="192">
        <f ca="1">LOOKUP($BV11,INVENTARIOS!$A$4:$A$718,ECONO!$X$10:$X$730)*100</f>
        <v>0</v>
      </c>
      <c r="CG11" s="195">
        <f ca="1">LOOKUP(GSh!$BV11,INVENTARIOS!$A$4:$A$718,ECONO!$X$4:$X$724)*100</f>
        <v>0</v>
      </c>
      <c r="CH11" s="98">
        <f ca="1">LOOKUP(GSh!$BV11,INVENTARIOS!$A$4:$A$718,ECONO!$X$5:$X$725)*100</f>
        <v>0</v>
      </c>
      <c r="CI11" s="98">
        <f ca="1">LOOKUP(GSh!$BV11,INVENTARIOS!$A$4:$A$718,ECONO!$X$6:$X$726)*100</f>
        <v>0</v>
      </c>
      <c r="CJ11" s="194">
        <f ca="1">LOOKUP(GSh!$BV11,INVENTARIOS!$A$4:$A$718,ECONO!$X$7:$X$727)*100</f>
        <v>0</v>
      </c>
      <c r="CK11" s="34">
        <f>IF(OR(AO11&gt;0,AT11&gt;0,AD11&gt;0),TP!A11,CK10)</f>
        <v>0</v>
      </c>
      <c r="CL11" s="257">
        <f>LOOKUP($BV11,INVENTARIOS!$A$4:$A$724,ECONO!$O$10:$O$730)</f>
        <v>0</v>
      </c>
      <c r="CM11" s="258">
        <f>LOOKUP($BV11,INVENTARIOS!$A$4:$A$724,ECONO!$Z$9:$Z$729)</f>
        <v>0</v>
      </c>
      <c r="CN11" s="260">
        <f t="shared" si="12"/>
        <v>0</v>
      </c>
      <c r="CO11"/>
    </row>
    <row r="12" spans="1:93" ht="20.100000000000001" customHeight="1" x14ac:dyDescent="0.3">
      <c r="A12" s="974">
        <f t="shared" si="13"/>
        <v>7</v>
      </c>
      <c r="B12" s="883">
        <f>'Sem-L'!U12</f>
        <v>0</v>
      </c>
      <c r="C12" s="885">
        <f>IFERROR(LOOKUP(Linea,TL!$B$3:$BP$3,TL!$B12:$BP12),0)</f>
        <v>0</v>
      </c>
      <c r="D12" s="885">
        <f>IFERROR(LOOKUP(Linea,TL!$B$3:$BP$3,TL!$C12:$BQ12),0)</f>
        <v>0</v>
      </c>
      <c r="E12" s="975">
        <f t="shared" si="14"/>
        <v>0</v>
      </c>
      <c r="F12" s="71">
        <f t="shared" si="15"/>
        <v>0</v>
      </c>
      <c r="G12" s="71">
        <f>'Sem-L'!AB12</f>
        <v>0</v>
      </c>
      <c r="H12" s="71">
        <f>'Sem-L'!AC12</f>
        <v>0</v>
      </c>
      <c r="I12" s="976">
        <f t="shared" si="16"/>
        <v>0</v>
      </c>
      <c r="J12" s="185">
        <f>IF(AND(AvesIni&gt;0,OR(N12&gt;0,'Sem-L'!C12&gt;0),B12&gt;0),IF(B12&lt;C12,(B12-C12)/(G12/7),IF(B12&gt;D12,(B12-D12)/(H12/7),0)),0)</f>
        <v>0</v>
      </c>
      <c r="K12" s="898">
        <f>'Sem-L'!AG12</f>
        <v>0</v>
      </c>
      <c r="L12" s="902">
        <f>SUMIF(Levante!$A$6:$A$131,GSh!$A12,Levante!O$6:O$131)*Levante!$B$1/1000</f>
        <v>0</v>
      </c>
      <c r="M12" s="916">
        <f>SUMIF(Levante!$A$6:$A$131,GSh!$A12,Levante!P$6:P$131)*Levante!$B$1/1000</f>
        <v>0</v>
      </c>
      <c r="N12" s="912">
        <f>LOOKUP($A12,Levante!$B$6:$B$131,Levante!$X$6:$X$131)</f>
        <v>0</v>
      </c>
      <c r="O12" s="885">
        <f>IFERROR(LOOKUP(Linea,TL!$B$3:$BP$3,TL!$D12:$BR12),0)</f>
        <v>0</v>
      </c>
      <c r="P12" s="885">
        <f>IFERROR(LOOKUP(Linea,TL!$B$3:$BP$3,TL!$E12:$BS12),0)</f>
        <v>0</v>
      </c>
      <c r="Q12" s="977">
        <f t="shared" si="17"/>
        <v>0</v>
      </c>
      <c r="R12" s="928">
        <f>SUMIF(Levante!$A$6:$A$131,A12,Levante!$K$6:$K$131)</f>
        <v>0</v>
      </c>
      <c r="S12" s="906">
        <f>IFERROR(R12*1000/7/'Sem-L'!B12,0)</f>
        <v>0</v>
      </c>
      <c r="T12" s="921">
        <f t="shared" si="1"/>
        <v>0</v>
      </c>
      <c r="U12" s="925">
        <f ca="1">LOOKUP($A12,Levante!$B$6:$B$131,Levante!$X$8:$X$134)</f>
        <v>0</v>
      </c>
      <c r="V12" s="885">
        <f>IFERROR(LOOKUP(Linea,TL!$B$3:$BP$3,TL!$F12:$BT12),0)</f>
        <v>0</v>
      </c>
      <c r="W12" s="885">
        <f>IFERROR(LOOKUP(Linea,TL!$B$3:$BP$3,TL!$G12:$BU12),0)</f>
        <v>0</v>
      </c>
      <c r="X12" s="978">
        <f t="shared" ca="1" si="18"/>
        <v>0</v>
      </c>
      <c r="Y12" s="72">
        <f>LOOKUP($A12,Levante!$B$6:$B$131,Levante!$J$9:$J$134)</f>
        <v>0</v>
      </c>
      <c r="Z12" s="75">
        <f>LOOKUP($A12,Levante!$B$6:$B$131,Levante!$J$11:$J$136)</f>
        <v>0</v>
      </c>
      <c r="AA12" s="34">
        <f t="shared" si="19"/>
        <v>0</v>
      </c>
      <c r="AC12" s="1193">
        <f t="shared" si="2"/>
        <v>24</v>
      </c>
      <c r="AD12" s="844">
        <f>LOOKUP(TP!$A12,PROD!$A$5:$A$725,PROD!$O$5:$O$725)</f>
        <v>0</v>
      </c>
      <c r="AE12" s="101">
        <f>IFERROR(LOOKUP(Linea,TP!$B$3:$DE$3,TP!B12:DE12),0)</f>
        <v>0</v>
      </c>
      <c r="AF12" s="101">
        <f>AE11*(1-2*$AG$4/100)</f>
        <v>0</v>
      </c>
      <c r="AG12" s="101">
        <f t="shared" si="25"/>
        <v>0</v>
      </c>
      <c r="AH12" s="845">
        <f t="shared" si="3"/>
        <v>0</v>
      </c>
      <c r="AI12" s="846">
        <f>LOOKUP(TP!$A12,PROD!$A$5:$A$725,PROD!$O$6:$O$726)</f>
        <v>0</v>
      </c>
      <c r="AJ12" s="101">
        <f>IFERROR(LOOKUP(Linea,TP!$B$3:$DE$3,TP!C12:DF12),0)</f>
        <v>0</v>
      </c>
      <c r="AK12" s="101">
        <f t="shared" si="28"/>
        <v>0</v>
      </c>
      <c r="AL12" s="101">
        <f t="shared" si="26"/>
        <v>0</v>
      </c>
      <c r="AM12" s="837">
        <f t="shared" si="4"/>
        <v>0</v>
      </c>
      <c r="AN12" s="175">
        <f>LOOKUP(TP!$A12,PROD!$A$5:$A$725,PROD!$I$11:$I$731)</f>
        <v>0</v>
      </c>
      <c r="AO12" s="171">
        <f>LOOKUP(TP!$A12,PROD!$A$5:$A$725,PROD!$K$5:$K$725)*100</f>
        <v>0</v>
      </c>
      <c r="AP12" s="110">
        <f>LOOKUP(TP!$A12,PROD!$A$5:$A$725,PROD!$K$8:$K$728)*100</f>
        <v>0</v>
      </c>
      <c r="AQ12" s="110">
        <f t="shared" si="5"/>
        <v>100</v>
      </c>
      <c r="AR12" s="109">
        <f>IFERROR(LOOKUP(Linea,TP!$B$3:$DE$3,TP!D12:DG12),0)</f>
        <v>0</v>
      </c>
      <c r="AS12" s="838">
        <f>SUMIF(PROD!$BF$5:$BF$725,GSh!$BV12,PROD!$V$5:$V$725)/1000*PROD!$A$1</f>
        <v>0</v>
      </c>
      <c r="AT12" s="627">
        <f>LOOKUP(TP!$A12,PROD!$A$5:$A$725,PROD!$AD$5:$AD$725)</f>
        <v>0</v>
      </c>
      <c r="AU12" s="101">
        <f>IFERROR(LOOKUP(Linea,TP!$B$3:$DE$3,TP!E12:DH12),0)</f>
        <v>0</v>
      </c>
      <c r="AV12" s="847">
        <f t="shared" si="6"/>
        <v>0</v>
      </c>
      <c r="AW12" s="1081">
        <f>LOOKUP($BV12,PROD!$A$5:$A$725,PROD!$AE$10:$AE$730)</f>
        <v>0</v>
      </c>
      <c r="AX12" s="1076">
        <f>LOOKUP($BV12,PROD!$A$5:$A$725,PROD!$AE$11:$AE$731)</f>
        <v>0</v>
      </c>
      <c r="AY12" s="114">
        <f>'Pr-Sem'!Z12</f>
        <v>0</v>
      </c>
      <c r="AZ12" s="101">
        <f>IFERROR(LOOKUP(Linea,TP!$B$3:$DE$3,TP!F12:DI12),0)</f>
        <v>0</v>
      </c>
      <c r="BA12" s="840">
        <f>LOOKUP(TP!$A12,PROD!$A$5:$A$725,PROD!$Q$7:$Q$727)</f>
        <v>0</v>
      </c>
      <c r="BB12" s="118">
        <f t="shared" si="20"/>
        <v>0</v>
      </c>
      <c r="BC12" s="109">
        <f t="shared" si="27"/>
        <v>0</v>
      </c>
      <c r="BD12" s="125">
        <f>LOOKUP(TP!$A12,PROD!$A$5:$A$725,PROD!$AH$7:$AH$727)</f>
        <v>0</v>
      </c>
      <c r="BE12" s="101">
        <f t="shared" si="7"/>
        <v>0</v>
      </c>
      <c r="BF12" s="850">
        <f t="shared" si="8"/>
        <v>0</v>
      </c>
      <c r="BG12" s="129">
        <f>LOOKUP(TP!$A12,PROD!$A$5:$A$725,PROD!$AH$8:$AH$728)</f>
        <v>0</v>
      </c>
      <c r="BH12" s="124">
        <f t="shared" si="21"/>
        <v>0</v>
      </c>
      <c r="BI12" s="849">
        <f t="shared" si="9"/>
        <v>0</v>
      </c>
      <c r="BJ12" s="513">
        <f>'Pr-Sem'!AC12*10</f>
        <v>0</v>
      </c>
      <c r="BK12" s="514">
        <f>IFERROR(LOOKUP(Linea,TP!$B$3:$DE$3,TP!J12:DJ12),0)</f>
        <v>0</v>
      </c>
      <c r="BL12" s="848">
        <f t="shared" si="10"/>
        <v>0</v>
      </c>
      <c r="BM12" s="137">
        <f>LOOKUP($BV12,PROD!$A$5:$A$725,PROD!$AH$5:$AH$725)*IF($BM$5="Gr X H",1,100)</f>
        <v>0</v>
      </c>
      <c r="BN12" s="138">
        <f>LOOKUP($BV12,PROD!$A$5:$A$725,PROD!$AI$5:$AI$725)*IF($BM$5="Gr X H",1,100)</f>
        <v>0</v>
      </c>
      <c r="BO12" s="849">
        <f t="shared" si="29"/>
        <v>0</v>
      </c>
      <c r="BP12" s="137">
        <f>LOOKUP(BV12,PROD!$A$5:$A$725,PROD!$AH$6:$AH$726)*IF($BM$5="Gr X H",1,100)</f>
        <v>0</v>
      </c>
      <c r="BQ12" s="138">
        <f>LOOKUP($BV12,PROD!$A$5:$A$725,PROD!$AI$6:$AI$726)*IF($BM$5="Gr X H",1,100)</f>
        <v>0</v>
      </c>
      <c r="BR12" s="849">
        <f t="shared" si="22"/>
        <v>0</v>
      </c>
      <c r="BS12" s="137">
        <f>LOOKUP(TP!$A12,PROD!$A$5:$A$725,PROD!$AH$9:$AH$729)</f>
        <v>0</v>
      </c>
      <c r="BT12" s="138">
        <f>LOOKUP(TP!$A12,PROD!$A$5:$A$725,PROD!$AI$9:$AI$729)</f>
        <v>0</v>
      </c>
      <c r="BU12" s="849">
        <f t="shared" si="11"/>
        <v>0</v>
      </c>
      <c r="BV12" s="833">
        <f t="shared" si="23"/>
        <v>24</v>
      </c>
      <c r="BW12" s="191">
        <f ca="1">LOOKUP($BV12,INVENTARIOS!$A$4:$A$718,ECONO!$T$4:$T$724)*100</f>
        <v>0</v>
      </c>
      <c r="BX12" s="606">
        <f ca="1">LOOKUP($BV12,INVENTARIOS!$A$4:$A$718,ECONO!$T$5:$T$725)*100</f>
        <v>0</v>
      </c>
      <c r="BY12" s="606">
        <f ca="1">LOOKUP($BV12,INVENTARIOS!$A$4:$A$718,ECONO!$T$6:$T$726)*100</f>
        <v>0</v>
      </c>
      <c r="BZ12" s="606">
        <f ca="1">LOOKUP($BV12,INVENTARIOS!$A$4:$A$718,ECONO!$T$7:$T$727)*100</f>
        <v>0</v>
      </c>
      <c r="CA12" s="606">
        <f ca="1">LOOKUP($BV12,INVENTARIOS!$A$4:$A$718,ECONO!$T$8:$T$728)*100</f>
        <v>0</v>
      </c>
      <c r="CB12" s="606">
        <f ca="1">LOOKUP($BV12,INVENTARIOS!$A$4:$A$718,ECONO!$T$9:$T$729)*100</f>
        <v>0</v>
      </c>
      <c r="CC12" s="606">
        <f ca="1">LOOKUP($BV12,INVENTARIOS!$A$4:$A$718,ECONO!$T$10:$T$730)*100</f>
        <v>0</v>
      </c>
      <c r="CD12" s="99">
        <f ca="1">LOOKUP($BV12,INVENTARIOS!$A$4:$A$718,ECONO!$X$8:$X$728)*100</f>
        <v>0</v>
      </c>
      <c r="CE12" s="99">
        <f ca="1">LOOKUP($BV12,INVENTARIOS!$A$4:$A$718,ECONO!$X$9:$X$729)*100</f>
        <v>0</v>
      </c>
      <c r="CF12" s="192">
        <f ca="1">LOOKUP($BV12,INVENTARIOS!$A$4:$A$718,ECONO!$X$10:$X$730)*100</f>
        <v>0</v>
      </c>
      <c r="CG12" s="195">
        <f ca="1">LOOKUP(GSh!$BV12,INVENTARIOS!$A$4:$A$718,ECONO!$X$4:$X$724)*100</f>
        <v>0</v>
      </c>
      <c r="CH12" s="98">
        <f ca="1">LOOKUP(GSh!$BV12,INVENTARIOS!$A$4:$A$718,ECONO!$X$5:$X$725)*100</f>
        <v>0</v>
      </c>
      <c r="CI12" s="98">
        <f ca="1">LOOKUP(GSh!$BV12,INVENTARIOS!$A$4:$A$718,ECONO!$X$6:$X$726)*100</f>
        <v>0</v>
      </c>
      <c r="CJ12" s="194">
        <f ca="1">LOOKUP(GSh!$BV12,INVENTARIOS!$A$4:$A$718,ECONO!$X$7:$X$727)*100</f>
        <v>0</v>
      </c>
      <c r="CK12" s="34">
        <f>IF(OR(AO12&gt;0,AT12&gt;0,AD12&gt;0),TP!A12,CK11)</f>
        <v>0</v>
      </c>
      <c r="CL12" s="257">
        <f>LOOKUP($BV12,INVENTARIOS!$A$4:$A$724,ECONO!$O$10:$O$730)</f>
        <v>0</v>
      </c>
      <c r="CM12" s="258">
        <f>LOOKUP($BV12,INVENTARIOS!$A$4:$A$724,ECONO!$Z$9:$Z$729)</f>
        <v>0</v>
      </c>
      <c r="CN12" s="260">
        <f t="shared" si="12"/>
        <v>0</v>
      </c>
      <c r="CO12"/>
    </row>
    <row r="13" spans="1:93" ht="20.100000000000001" customHeight="1" x14ac:dyDescent="0.3">
      <c r="A13" s="974">
        <f t="shared" si="13"/>
        <v>8</v>
      </c>
      <c r="B13" s="883">
        <f>'Sem-L'!U13</f>
        <v>0</v>
      </c>
      <c r="C13" s="885">
        <f>IFERROR(LOOKUP(Linea,TL!$B$3:$BP$3,TL!$B13:$BP13),0)</f>
        <v>0</v>
      </c>
      <c r="D13" s="885">
        <f>IFERROR(LOOKUP(Linea,TL!$B$3:$BP$3,TL!$C13:$BQ13),0)</f>
        <v>0</v>
      </c>
      <c r="E13" s="975">
        <f t="shared" si="14"/>
        <v>0</v>
      </c>
      <c r="F13" s="71">
        <f t="shared" si="15"/>
        <v>0</v>
      </c>
      <c r="G13" s="71">
        <f>'Sem-L'!AB13</f>
        <v>0</v>
      </c>
      <c r="H13" s="71">
        <f>'Sem-L'!AC13</f>
        <v>0</v>
      </c>
      <c r="I13" s="976">
        <f t="shared" si="16"/>
        <v>0</v>
      </c>
      <c r="J13" s="185">
        <f>IF(AND(AvesIni&gt;0,OR(N13&gt;0,'Sem-L'!C13&gt;0),B13&gt;0),IF(B13&lt;C13,(B13-C13)/(G13/7),IF(B13&gt;D13,(B13-D13)/(H13/7),0)),0)</f>
        <v>0</v>
      </c>
      <c r="K13" s="898">
        <f>'Sem-L'!AG13</f>
        <v>0</v>
      </c>
      <c r="L13" s="902">
        <f>SUMIF(Levante!$A$6:$A$131,GSh!$A13,Levante!O$6:O$131)*Levante!$B$1/1000</f>
        <v>0</v>
      </c>
      <c r="M13" s="916">
        <f>SUMIF(Levante!$A$6:$A$131,GSh!$A13,Levante!P$6:P$131)*Levante!$B$1/1000</f>
        <v>0</v>
      </c>
      <c r="N13" s="912">
        <f>LOOKUP($A13,Levante!$B$6:$B$131,Levante!$X$6:$X$131)</f>
        <v>0</v>
      </c>
      <c r="O13" s="885">
        <f>IFERROR(LOOKUP(Linea,TL!$B$3:$BP$3,TL!$D13:$BR13),0)</f>
        <v>0</v>
      </c>
      <c r="P13" s="885">
        <f>IFERROR(LOOKUP(Linea,TL!$B$3:$BP$3,TL!$E13:$BS13),0)</f>
        <v>0</v>
      </c>
      <c r="Q13" s="977">
        <f t="shared" si="17"/>
        <v>0</v>
      </c>
      <c r="R13" s="928">
        <f>SUMIF(Levante!$A$6:$A$131,A13,Levante!$K$6:$K$131)</f>
        <v>0</v>
      </c>
      <c r="S13" s="906">
        <f>IFERROR(R13*1000/7/'Sem-L'!B13,0)</f>
        <v>0</v>
      </c>
      <c r="T13" s="921">
        <f t="shared" si="1"/>
        <v>0</v>
      </c>
      <c r="U13" s="925">
        <f ca="1">LOOKUP($A13,Levante!$B$6:$B$131,Levante!$X$8:$X$134)</f>
        <v>0</v>
      </c>
      <c r="V13" s="885">
        <f>IFERROR(LOOKUP(Linea,TL!$B$3:$BP$3,TL!$F13:$BT13),0)</f>
        <v>0</v>
      </c>
      <c r="W13" s="885">
        <f>IFERROR(LOOKUP(Linea,TL!$B$3:$BP$3,TL!$G13:$BU13),0)</f>
        <v>0</v>
      </c>
      <c r="X13" s="978">
        <f t="shared" ca="1" si="18"/>
        <v>0</v>
      </c>
      <c r="Y13" s="72">
        <f>LOOKUP($A13,Levante!$B$6:$B$131,Levante!$J$9:$J$134)</f>
        <v>0</v>
      </c>
      <c r="Z13" s="75">
        <f>LOOKUP($A13,Levante!$B$6:$B$131,Levante!$J$11:$J$136)</f>
        <v>0</v>
      </c>
      <c r="AA13" s="34">
        <f t="shared" si="19"/>
        <v>0</v>
      </c>
      <c r="AC13" s="1193">
        <f t="shared" si="2"/>
        <v>25</v>
      </c>
      <c r="AD13" s="844">
        <f>LOOKUP(TP!$A13,PROD!$A$5:$A$725,PROD!$O$5:$O$725)</f>
        <v>0</v>
      </c>
      <c r="AE13" s="101">
        <f>IFERROR(LOOKUP(Linea,TP!$B$3:$DE$3,TP!B13:DE13),0)</f>
        <v>0</v>
      </c>
      <c r="AF13" s="101">
        <f t="shared" si="24"/>
        <v>0</v>
      </c>
      <c r="AG13" s="101">
        <f t="shared" si="25"/>
        <v>0</v>
      </c>
      <c r="AH13" s="845">
        <f t="shared" si="3"/>
        <v>0</v>
      </c>
      <c r="AI13" s="846">
        <f>LOOKUP(TP!$A13,PROD!$A$5:$A$725,PROD!$O$6:$O$726)</f>
        <v>0</v>
      </c>
      <c r="AJ13" s="101">
        <f>IFERROR(LOOKUP(Linea,TP!$B$3:$DE$3,TP!C13:DF13),0)</f>
        <v>0</v>
      </c>
      <c r="AK13" s="101">
        <f t="shared" si="28"/>
        <v>0</v>
      </c>
      <c r="AL13" s="101">
        <f t="shared" si="26"/>
        <v>0</v>
      </c>
      <c r="AM13" s="837">
        <f t="shared" si="4"/>
        <v>0</v>
      </c>
      <c r="AN13" s="175">
        <f>LOOKUP(TP!$A13,PROD!$A$5:$A$725,PROD!$I$11:$I$731)</f>
        <v>0</v>
      </c>
      <c r="AO13" s="171">
        <f>LOOKUP(TP!$A13,PROD!$A$5:$A$725,PROD!$K$5:$K$725)*100</f>
        <v>0</v>
      </c>
      <c r="AP13" s="110">
        <f>LOOKUP(TP!$A13,PROD!$A$5:$A$725,PROD!$K$8:$K$728)*100</f>
        <v>0</v>
      </c>
      <c r="AQ13" s="110">
        <f t="shared" si="5"/>
        <v>100</v>
      </c>
      <c r="AR13" s="109">
        <f>IFERROR(LOOKUP(Linea,TP!$B$3:$DE$3,TP!D13:DG13),0)</f>
        <v>0</v>
      </c>
      <c r="AS13" s="838">
        <f>SUMIF(PROD!$BF$5:$BF$725,GSh!$BV13,PROD!$V$5:$V$725)/1000*PROD!$A$1</f>
        <v>0</v>
      </c>
      <c r="AT13" s="627">
        <f>LOOKUP(TP!$A13,PROD!$A$5:$A$725,PROD!$AD$5:$AD$725)</f>
        <v>0</v>
      </c>
      <c r="AU13" s="101">
        <f>IFERROR(LOOKUP(Linea,TP!$B$3:$DE$3,TP!E13:DH13),0)</f>
        <v>0</v>
      </c>
      <c r="AV13" s="847">
        <f t="shared" si="6"/>
        <v>0</v>
      </c>
      <c r="AW13" s="1081">
        <f>LOOKUP($BV13,PROD!$A$5:$A$725,PROD!$AE$10:$AE$730)</f>
        <v>0</v>
      </c>
      <c r="AX13" s="1076">
        <f>LOOKUP($BV13,PROD!$A$5:$A$725,PROD!$AE$11:$AE$731)</f>
        <v>0</v>
      </c>
      <c r="AY13" s="114">
        <f>'Pr-Sem'!Z13</f>
        <v>0</v>
      </c>
      <c r="AZ13" s="101">
        <f>IFERROR(LOOKUP(Linea,TP!$B$3:$DE$3,TP!F13:DI13),0)</f>
        <v>0</v>
      </c>
      <c r="BA13" s="840">
        <f>LOOKUP(TP!$A13,PROD!$A$5:$A$725,PROD!$Q$7:$Q$727)</f>
        <v>0</v>
      </c>
      <c r="BB13" s="118">
        <f t="shared" si="20"/>
        <v>0</v>
      </c>
      <c r="BC13" s="109">
        <f t="shared" si="27"/>
        <v>0</v>
      </c>
      <c r="BD13" s="125">
        <f>LOOKUP(TP!$A13,PROD!$A$5:$A$725,PROD!$AH$7:$AH$727)</f>
        <v>0</v>
      </c>
      <c r="BE13" s="101">
        <f t="shared" si="7"/>
        <v>0</v>
      </c>
      <c r="BF13" s="850">
        <f t="shared" si="8"/>
        <v>0</v>
      </c>
      <c r="BG13" s="129">
        <f>LOOKUP(TP!$A13,PROD!$A$5:$A$725,PROD!$AH$8:$AH$728)</f>
        <v>0</v>
      </c>
      <c r="BH13" s="124">
        <f t="shared" si="21"/>
        <v>0</v>
      </c>
      <c r="BI13" s="849">
        <f t="shared" si="9"/>
        <v>0</v>
      </c>
      <c r="BJ13" s="513">
        <f>'Pr-Sem'!AC13*10</f>
        <v>0</v>
      </c>
      <c r="BK13" s="514">
        <f>IFERROR(LOOKUP(Linea,TP!$B$3:$DE$3,TP!J13:DJ13),0)</f>
        <v>0</v>
      </c>
      <c r="BL13" s="848">
        <f t="shared" si="10"/>
        <v>0</v>
      </c>
      <c r="BM13" s="137">
        <f>LOOKUP($BV13,PROD!$A$5:$A$725,PROD!$AH$5:$AH$725)*IF($BM$5="Gr X H",1,100)</f>
        <v>0</v>
      </c>
      <c r="BN13" s="138">
        <f>LOOKUP($BV13,PROD!$A$5:$A$725,PROD!$AI$5:$AI$725)*IF($BM$5="Gr X H",1,100)</f>
        <v>0</v>
      </c>
      <c r="BO13" s="849">
        <f t="shared" si="29"/>
        <v>0</v>
      </c>
      <c r="BP13" s="137">
        <f>LOOKUP(BV13,PROD!$A$5:$A$725,PROD!$AH$6:$AH$726)*IF($BM$5="Gr X H",1,100)</f>
        <v>0</v>
      </c>
      <c r="BQ13" s="138">
        <f>LOOKUP($BV13,PROD!$A$5:$A$725,PROD!$AI$6:$AI$726)*IF($BM$5="Gr X H",1,100)</f>
        <v>0</v>
      </c>
      <c r="BR13" s="849">
        <f t="shared" si="22"/>
        <v>0</v>
      </c>
      <c r="BS13" s="137">
        <f>LOOKUP(TP!$A13,PROD!$A$5:$A$725,PROD!$AH$9:$AH$729)</f>
        <v>0</v>
      </c>
      <c r="BT13" s="138">
        <f>LOOKUP(TP!$A13,PROD!$A$5:$A$725,PROD!$AI$9:$AI$729)</f>
        <v>0</v>
      </c>
      <c r="BU13" s="849">
        <f t="shared" si="11"/>
        <v>0</v>
      </c>
      <c r="BV13" s="833">
        <f t="shared" si="23"/>
        <v>25</v>
      </c>
      <c r="BW13" s="191">
        <f ca="1">LOOKUP($BV13,INVENTARIOS!$A$4:$A$718,ECONO!$T$4:$T$724)*100</f>
        <v>0</v>
      </c>
      <c r="BX13" s="606">
        <f ca="1">LOOKUP($BV13,INVENTARIOS!$A$4:$A$718,ECONO!$T$5:$T$725)*100</f>
        <v>0</v>
      </c>
      <c r="BY13" s="606">
        <f ca="1">LOOKUP($BV13,INVENTARIOS!$A$4:$A$718,ECONO!$T$6:$T$726)*100</f>
        <v>0</v>
      </c>
      <c r="BZ13" s="606">
        <f ca="1">LOOKUP($BV13,INVENTARIOS!$A$4:$A$718,ECONO!$T$7:$T$727)*100</f>
        <v>0</v>
      </c>
      <c r="CA13" s="606">
        <f ca="1">LOOKUP($BV13,INVENTARIOS!$A$4:$A$718,ECONO!$T$8:$T$728)*100</f>
        <v>0</v>
      </c>
      <c r="CB13" s="606">
        <f ca="1">LOOKUP($BV13,INVENTARIOS!$A$4:$A$718,ECONO!$T$9:$T$729)*100</f>
        <v>0</v>
      </c>
      <c r="CC13" s="606">
        <f ca="1">LOOKUP($BV13,INVENTARIOS!$A$4:$A$718,ECONO!$T$10:$T$730)*100</f>
        <v>0</v>
      </c>
      <c r="CD13" s="99">
        <f ca="1">LOOKUP($BV13,INVENTARIOS!$A$4:$A$718,ECONO!$X$8:$X$728)*100</f>
        <v>0</v>
      </c>
      <c r="CE13" s="99">
        <f ca="1">LOOKUP($BV13,INVENTARIOS!$A$4:$A$718,ECONO!$X$9:$X$729)*100</f>
        <v>0</v>
      </c>
      <c r="CF13" s="192">
        <f ca="1">LOOKUP($BV13,INVENTARIOS!$A$4:$A$718,ECONO!$X$10:$X$730)*100</f>
        <v>0</v>
      </c>
      <c r="CG13" s="195">
        <f ca="1">LOOKUP(GSh!$BV13,INVENTARIOS!$A$4:$A$718,ECONO!$X$4:$X$724)*100</f>
        <v>0</v>
      </c>
      <c r="CH13" s="98">
        <f ca="1">LOOKUP(GSh!$BV13,INVENTARIOS!$A$4:$A$718,ECONO!$X$5:$X$725)*100</f>
        <v>0</v>
      </c>
      <c r="CI13" s="98">
        <f ca="1">LOOKUP(GSh!$BV13,INVENTARIOS!$A$4:$A$718,ECONO!$X$6:$X$726)*100</f>
        <v>0</v>
      </c>
      <c r="CJ13" s="194">
        <f ca="1">LOOKUP(GSh!$BV13,INVENTARIOS!$A$4:$A$718,ECONO!$X$7:$X$727)*100</f>
        <v>0</v>
      </c>
      <c r="CK13" s="34">
        <f>IF(OR(AO13&gt;0,AT13&gt;0,AD13&gt;0),TP!A13,CK12)</f>
        <v>0</v>
      </c>
      <c r="CL13" s="257">
        <f>LOOKUP($BV13,INVENTARIOS!$A$4:$A$724,ECONO!$O$10:$O$730)</f>
        <v>0</v>
      </c>
      <c r="CM13" s="258">
        <f>LOOKUP($BV13,INVENTARIOS!$A$4:$A$724,ECONO!$Z$9:$Z$729)</f>
        <v>0</v>
      </c>
      <c r="CN13" s="260">
        <f t="shared" si="12"/>
        <v>0</v>
      </c>
      <c r="CO13"/>
    </row>
    <row r="14" spans="1:93" ht="20.100000000000001" customHeight="1" x14ac:dyDescent="0.3">
      <c r="A14" s="974">
        <f t="shared" si="13"/>
        <v>9</v>
      </c>
      <c r="B14" s="883">
        <f>'Sem-L'!U14</f>
        <v>0</v>
      </c>
      <c r="C14" s="885">
        <f>IFERROR(LOOKUP(Linea,TL!$B$3:$BP$3,TL!$B14:$BP14),0)</f>
        <v>0</v>
      </c>
      <c r="D14" s="885">
        <f>IFERROR(LOOKUP(Linea,TL!$B$3:$BP$3,TL!$C14:$BQ14),0)</f>
        <v>0</v>
      </c>
      <c r="E14" s="975">
        <f t="shared" si="14"/>
        <v>0</v>
      </c>
      <c r="F14" s="71">
        <f t="shared" si="15"/>
        <v>0</v>
      </c>
      <c r="G14" s="71">
        <f>'Sem-L'!AB14</f>
        <v>0</v>
      </c>
      <c r="H14" s="71">
        <f>'Sem-L'!AC14</f>
        <v>0</v>
      </c>
      <c r="I14" s="976">
        <f t="shared" si="16"/>
        <v>0</v>
      </c>
      <c r="J14" s="185">
        <f>IF(AND(AvesIni&gt;0,OR(N14&gt;0,'Sem-L'!C14&gt;0),B14&gt;0),IF(B14&lt;C14,(B14-C14)/(G14/7),IF(B14&gt;D14,(B14-D14)/(H14/7),0)),0)</f>
        <v>0</v>
      </c>
      <c r="K14" s="898">
        <f>'Sem-L'!AG14</f>
        <v>0</v>
      </c>
      <c r="L14" s="902">
        <f>SUMIF(Levante!$A$6:$A$131,GSh!$A14,Levante!O$6:O$131)*Levante!$B$1/1000</f>
        <v>0</v>
      </c>
      <c r="M14" s="916">
        <f>SUMIF(Levante!$A$6:$A$131,GSh!$A14,Levante!P$6:P$131)*Levante!$B$1/1000</f>
        <v>0</v>
      </c>
      <c r="N14" s="912">
        <f>LOOKUP($A14,Levante!$B$6:$B$131,Levante!$X$6:$X$131)</f>
        <v>0</v>
      </c>
      <c r="O14" s="885">
        <f>IFERROR(LOOKUP(Linea,TL!$B$3:$BP$3,TL!$D14:$BR14),0)</f>
        <v>0</v>
      </c>
      <c r="P14" s="885">
        <f>IFERROR(LOOKUP(Linea,TL!$B$3:$BP$3,TL!$E14:$BS14),0)</f>
        <v>0</v>
      </c>
      <c r="Q14" s="977">
        <f t="shared" si="17"/>
        <v>0</v>
      </c>
      <c r="R14" s="928">
        <f>SUMIF(Levante!$A$6:$A$131,A14,Levante!$K$6:$K$131)</f>
        <v>0</v>
      </c>
      <c r="S14" s="906">
        <f>IFERROR(R14*1000/7/'Sem-L'!B14,0)</f>
        <v>0</v>
      </c>
      <c r="T14" s="921">
        <f t="shared" si="1"/>
        <v>0</v>
      </c>
      <c r="U14" s="925">
        <f ca="1">LOOKUP($A14,Levante!$B$6:$B$131,Levante!$X$8:$X$134)</f>
        <v>0</v>
      </c>
      <c r="V14" s="885">
        <f>IFERROR(LOOKUP(Linea,TL!$B$3:$BP$3,TL!$F14:$BT14),0)</f>
        <v>0</v>
      </c>
      <c r="W14" s="885">
        <f>IFERROR(LOOKUP(Linea,TL!$B$3:$BP$3,TL!$G14:$BU14),0)</f>
        <v>0</v>
      </c>
      <c r="X14" s="978">
        <f t="shared" ca="1" si="18"/>
        <v>0</v>
      </c>
      <c r="Y14" s="72">
        <f>LOOKUP($A14,Levante!$B$6:$B$131,Levante!$J$9:$J$134)</f>
        <v>0</v>
      </c>
      <c r="Z14" s="75">
        <f>LOOKUP($A14,Levante!$B$6:$B$131,Levante!$J$11:$J$136)</f>
        <v>0</v>
      </c>
      <c r="AA14" s="34">
        <f t="shared" si="19"/>
        <v>0</v>
      </c>
      <c r="AC14" s="1193">
        <f t="shared" si="2"/>
        <v>26</v>
      </c>
      <c r="AD14" s="844">
        <f>LOOKUP(TP!$A14,PROD!$A$5:$A$725,PROD!$O$5:$O$725)</f>
        <v>0</v>
      </c>
      <c r="AE14" s="101">
        <f>IFERROR(LOOKUP(Linea,TP!$B$3:$DE$3,TP!B14:DE14),0)</f>
        <v>0</v>
      </c>
      <c r="AF14" s="101">
        <f t="shared" si="24"/>
        <v>0</v>
      </c>
      <c r="AG14" s="101">
        <f t="shared" si="25"/>
        <v>0</v>
      </c>
      <c r="AH14" s="845">
        <f t="shared" si="3"/>
        <v>0</v>
      </c>
      <c r="AI14" s="846">
        <f>LOOKUP(TP!$A14,PROD!$A$5:$A$725,PROD!$O$6:$O$726)</f>
        <v>0</v>
      </c>
      <c r="AJ14" s="101">
        <f>IFERROR(LOOKUP(Linea,TP!$B$3:$DE$3,TP!C14:DF14),0)</f>
        <v>0</v>
      </c>
      <c r="AK14" s="101">
        <f t="shared" si="28"/>
        <v>0</v>
      </c>
      <c r="AL14" s="101">
        <f t="shared" si="26"/>
        <v>0</v>
      </c>
      <c r="AM14" s="837">
        <f t="shared" si="4"/>
        <v>0</v>
      </c>
      <c r="AN14" s="175">
        <f>LOOKUP(TP!$A14,PROD!$A$5:$A$725,PROD!$I$11:$I$731)</f>
        <v>0</v>
      </c>
      <c r="AO14" s="171">
        <f>LOOKUP(TP!$A14,PROD!$A$5:$A$725,PROD!$K$5:$K$725)*100</f>
        <v>0</v>
      </c>
      <c r="AP14" s="110">
        <f>LOOKUP(TP!$A14,PROD!$A$5:$A$725,PROD!$K$8:$K$728)*100</f>
        <v>0</v>
      </c>
      <c r="AQ14" s="110">
        <f t="shared" si="5"/>
        <v>100</v>
      </c>
      <c r="AR14" s="109">
        <f>IFERROR(LOOKUP(Linea,TP!$B$3:$DE$3,TP!D14:DG14),0)</f>
        <v>0</v>
      </c>
      <c r="AS14" s="838">
        <f>SUMIF(PROD!$BF$5:$BF$725,GSh!$BV14,PROD!$V$5:$V$725)/1000*PROD!$A$1</f>
        <v>0</v>
      </c>
      <c r="AT14" s="627">
        <f>LOOKUP(TP!$A14,PROD!$A$5:$A$725,PROD!$AD$5:$AD$725)</f>
        <v>0</v>
      </c>
      <c r="AU14" s="101">
        <f>IFERROR(LOOKUP(Linea,TP!$B$3:$DE$3,TP!E14:DH14),0)</f>
        <v>0</v>
      </c>
      <c r="AV14" s="847">
        <f t="shared" si="6"/>
        <v>0</v>
      </c>
      <c r="AW14" s="1081">
        <f>LOOKUP($BV14,PROD!$A$5:$A$725,PROD!$AE$10:$AE$730)</f>
        <v>0</v>
      </c>
      <c r="AX14" s="1076">
        <f>LOOKUP($BV14,PROD!$A$5:$A$725,PROD!$AE$11:$AE$731)</f>
        <v>0</v>
      </c>
      <c r="AY14" s="114">
        <f>'Pr-Sem'!Z14</f>
        <v>0</v>
      </c>
      <c r="AZ14" s="101">
        <f>IFERROR(LOOKUP(Linea,TP!$B$3:$DE$3,TP!F14:DI14),0)</f>
        <v>0</v>
      </c>
      <c r="BA14" s="840">
        <f>LOOKUP(TP!$A14,PROD!$A$5:$A$725,PROD!$Q$7:$Q$727)</f>
        <v>0</v>
      </c>
      <c r="BB14" s="118">
        <f t="shared" si="20"/>
        <v>0</v>
      </c>
      <c r="BC14" s="109">
        <f t="shared" si="27"/>
        <v>0</v>
      </c>
      <c r="BD14" s="125">
        <f>LOOKUP(TP!$A14,PROD!$A$5:$A$725,PROD!$AH$7:$AH$727)</f>
        <v>0</v>
      </c>
      <c r="BE14" s="101">
        <f t="shared" si="7"/>
        <v>0</v>
      </c>
      <c r="BF14" s="850">
        <f t="shared" si="8"/>
        <v>0</v>
      </c>
      <c r="BG14" s="129">
        <f>LOOKUP(TP!$A14,PROD!$A$5:$A$725,PROD!$AH$8:$AH$728)</f>
        <v>0</v>
      </c>
      <c r="BH14" s="124">
        <f t="shared" si="21"/>
        <v>0</v>
      </c>
      <c r="BI14" s="849">
        <f t="shared" si="9"/>
        <v>0</v>
      </c>
      <c r="BJ14" s="513">
        <f>'Pr-Sem'!AC14*10</f>
        <v>0</v>
      </c>
      <c r="BK14" s="514">
        <f>IFERROR(LOOKUP(Linea,TP!$B$3:$DE$3,TP!J14:DJ14),0)</f>
        <v>0</v>
      </c>
      <c r="BL14" s="848">
        <f t="shared" si="10"/>
        <v>0</v>
      </c>
      <c r="BM14" s="137">
        <f>LOOKUP($BV14,PROD!$A$5:$A$725,PROD!$AH$5:$AH$725)*IF($BM$5="Gr X H",1,100)</f>
        <v>0</v>
      </c>
      <c r="BN14" s="138">
        <f>LOOKUP($BV14,PROD!$A$5:$A$725,PROD!$AI$5:$AI$725)*IF($BM$5="Gr X H",1,100)</f>
        <v>0</v>
      </c>
      <c r="BO14" s="849">
        <f t="shared" si="29"/>
        <v>0</v>
      </c>
      <c r="BP14" s="137">
        <f>LOOKUP(BV14,PROD!$A$5:$A$725,PROD!$AH$6:$AH$726)*IF($BM$5="Gr X H",1,100)</f>
        <v>0</v>
      </c>
      <c r="BQ14" s="138">
        <f>LOOKUP($BV14,PROD!$A$5:$A$725,PROD!$AI$6:$AI$726)*IF($BM$5="Gr X H",1,100)</f>
        <v>0</v>
      </c>
      <c r="BR14" s="849">
        <f t="shared" si="22"/>
        <v>0</v>
      </c>
      <c r="BS14" s="137">
        <f>LOOKUP(TP!$A14,PROD!$A$5:$A$725,PROD!$AH$9:$AH$729)</f>
        <v>0</v>
      </c>
      <c r="BT14" s="138">
        <f>LOOKUP(TP!$A14,PROD!$A$5:$A$725,PROD!$AI$9:$AI$729)</f>
        <v>0</v>
      </c>
      <c r="BU14" s="849">
        <f t="shared" si="11"/>
        <v>0</v>
      </c>
      <c r="BV14" s="833">
        <f t="shared" si="23"/>
        <v>26</v>
      </c>
      <c r="BW14" s="191">
        <f ca="1">LOOKUP($BV14,INVENTARIOS!$A$4:$A$718,ECONO!$T$4:$T$724)*100</f>
        <v>0</v>
      </c>
      <c r="BX14" s="606">
        <f ca="1">LOOKUP($BV14,INVENTARIOS!$A$4:$A$718,ECONO!$T$5:$T$725)*100</f>
        <v>0</v>
      </c>
      <c r="BY14" s="606">
        <f ca="1">LOOKUP($BV14,INVENTARIOS!$A$4:$A$718,ECONO!$T$6:$T$726)*100</f>
        <v>0</v>
      </c>
      <c r="BZ14" s="606">
        <f ca="1">LOOKUP($BV14,INVENTARIOS!$A$4:$A$718,ECONO!$T$7:$T$727)*100</f>
        <v>0</v>
      </c>
      <c r="CA14" s="606">
        <f ca="1">LOOKUP($BV14,INVENTARIOS!$A$4:$A$718,ECONO!$T$8:$T$728)*100</f>
        <v>0</v>
      </c>
      <c r="CB14" s="606">
        <f ca="1">LOOKUP($BV14,INVENTARIOS!$A$4:$A$718,ECONO!$T$9:$T$729)*100</f>
        <v>0</v>
      </c>
      <c r="CC14" s="606">
        <f ca="1">LOOKUP($BV14,INVENTARIOS!$A$4:$A$718,ECONO!$T$10:$T$730)*100</f>
        <v>0</v>
      </c>
      <c r="CD14" s="99">
        <f ca="1">LOOKUP($BV14,INVENTARIOS!$A$4:$A$718,ECONO!$X$8:$X$728)*100</f>
        <v>0</v>
      </c>
      <c r="CE14" s="99">
        <f ca="1">LOOKUP($BV14,INVENTARIOS!$A$4:$A$718,ECONO!$X$9:$X$729)*100</f>
        <v>0</v>
      </c>
      <c r="CF14" s="192">
        <f ca="1">LOOKUP($BV14,INVENTARIOS!$A$4:$A$718,ECONO!$X$10:$X$730)*100</f>
        <v>0</v>
      </c>
      <c r="CG14" s="195">
        <f ca="1">LOOKUP(GSh!$BV14,INVENTARIOS!$A$4:$A$718,ECONO!$X$4:$X$724)*100</f>
        <v>0</v>
      </c>
      <c r="CH14" s="98">
        <f ca="1">LOOKUP(GSh!$BV14,INVENTARIOS!$A$4:$A$718,ECONO!$X$5:$X$725)*100</f>
        <v>0</v>
      </c>
      <c r="CI14" s="98">
        <f ca="1">LOOKUP(GSh!$BV14,INVENTARIOS!$A$4:$A$718,ECONO!$X$6:$X$726)*100</f>
        <v>0</v>
      </c>
      <c r="CJ14" s="194">
        <f ca="1">LOOKUP(GSh!$BV14,INVENTARIOS!$A$4:$A$718,ECONO!$X$7:$X$727)*100</f>
        <v>0</v>
      </c>
      <c r="CK14" s="34">
        <f>IF(OR(AO14&gt;0,AT14&gt;0,AD14&gt;0),TP!A14,CK13)</f>
        <v>0</v>
      </c>
      <c r="CL14" s="257">
        <f>LOOKUP($BV14,INVENTARIOS!$A$4:$A$724,ECONO!$O$10:$O$730)</f>
        <v>0</v>
      </c>
      <c r="CM14" s="258">
        <f>LOOKUP($BV14,INVENTARIOS!$A$4:$A$724,ECONO!$Z$9:$Z$729)</f>
        <v>0</v>
      </c>
      <c r="CN14" s="260">
        <f t="shared" si="12"/>
        <v>0</v>
      </c>
      <c r="CO14"/>
    </row>
    <row r="15" spans="1:93" ht="20.100000000000001" customHeight="1" x14ac:dyDescent="0.3">
      <c r="A15" s="974">
        <f t="shared" si="13"/>
        <v>10</v>
      </c>
      <c r="B15" s="883">
        <f>'Sem-L'!U15</f>
        <v>0</v>
      </c>
      <c r="C15" s="885">
        <f>IFERROR(LOOKUP(Linea,TL!$B$3:$BP$3,TL!$B15:$BP15),0)</f>
        <v>0</v>
      </c>
      <c r="D15" s="885">
        <f>IFERROR(LOOKUP(Linea,TL!$B$3:$BP$3,TL!$C15:$BQ15),0)</f>
        <v>0</v>
      </c>
      <c r="E15" s="975">
        <f t="shared" si="14"/>
        <v>0</v>
      </c>
      <c r="F15" s="71">
        <f t="shared" si="15"/>
        <v>0</v>
      </c>
      <c r="G15" s="71">
        <f>'Sem-L'!AB15</f>
        <v>0</v>
      </c>
      <c r="H15" s="71">
        <f>'Sem-L'!AC15</f>
        <v>0</v>
      </c>
      <c r="I15" s="976">
        <f t="shared" si="16"/>
        <v>0</v>
      </c>
      <c r="J15" s="185">
        <f>IF(AND(AvesIni&gt;0,OR(N15&gt;0,'Sem-L'!C15&gt;0),B15&gt;0),IF(B15&lt;C15,(B15-C15)/(G15/7),IF(B15&gt;D15,(B15-D15)/(H15/7),0)),0)</f>
        <v>0</v>
      </c>
      <c r="K15" s="898">
        <f>'Sem-L'!AG15</f>
        <v>0</v>
      </c>
      <c r="L15" s="902">
        <f>SUMIF(Levante!$A$6:$A$131,GSh!$A15,Levante!O$6:O$131)*Levante!$B$1/1000</f>
        <v>0</v>
      </c>
      <c r="M15" s="916">
        <f>SUMIF(Levante!$A$6:$A$131,GSh!$A15,Levante!P$6:P$131)*Levante!$B$1/1000</f>
        <v>0</v>
      </c>
      <c r="N15" s="912">
        <f>LOOKUP($A15,Levante!$B$6:$B$131,Levante!$X$6:$X$131)</f>
        <v>0</v>
      </c>
      <c r="O15" s="885">
        <f>IFERROR(LOOKUP(Linea,TL!$B$3:$BP$3,TL!$D15:$BR15),0)</f>
        <v>0</v>
      </c>
      <c r="P15" s="885">
        <f>IFERROR(LOOKUP(Linea,TL!$B$3:$BP$3,TL!$E15:$BS15),0)</f>
        <v>0</v>
      </c>
      <c r="Q15" s="977">
        <f t="shared" si="17"/>
        <v>0</v>
      </c>
      <c r="R15" s="928">
        <f>SUMIF(Levante!$A$6:$A$131,A15,Levante!$K$6:$K$131)</f>
        <v>0</v>
      </c>
      <c r="S15" s="906">
        <f>IFERROR(R15*1000/7/'Sem-L'!B15,0)</f>
        <v>0</v>
      </c>
      <c r="T15" s="921">
        <f t="shared" si="1"/>
        <v>0</v>
      </c>
      <c r="U15" s="925">
        <f ca="1">LOOKUP($A15,Levante!$B$6:$B$131,Levante!$X$8:$X$134)</f>
        <v>0</v>
      </c>
      <c r="V15" s="885">
        <f>IFERROR(LOOKUP(Linea,TL!$B$3:$BP$3,TL!$F15:$BT15),0)</f>
        <v>0</v>
      </c>
      <c r="W15" s="885">
        <f>IFERROR(LOOKUP(Linea,TL!$B$3:$BP$3,TL!$G15:$BU15),0)</f>
        <v>0</v>
      </c>
      <c r="X15" s="978">
        <f t="shared" ca="1" si="18"/>
        <v>0</v>
      </c>
      <c r="Y15" s="72">
        <f>LOOKUP($A15,Levante!$B$6:$B$131,Levante!$J$9:$J$134)</f>
        <v>0</v>
      </c>
      <c r="Z15" s="75">
        <f>LOOKUP($A15,Levante!$B$6:$B$131,Levante!$J$11:$J$136)</f>
        <v>0</v>
      </c>
      <c r="AA15" s="34">
        <f t="shared" si="19"/>
        <v>0</v>
      </c>
      <c r="AC15" s="1193">
        <f t="shared" si="2"/>
        <v>27</v>
      </c>
      <c r="AD15" s="844">
        <f>LOOKUP(TP!$A15,PROD!$A$5:$A$725,PROD!$O$5:$O$725)</f>
        <v>0</v>
      </c>
      <c r="AE15" s="101">
        <f>IFERROR(LOOKUP(Linea,TP!$B$3:$DE$3,TP!B15:DE15),0)</f>
        <v>0</v>
      </c>
      <c r="AF15" s="101">
        <f t="shared" si="24"/>
        <v>0</v>
      </c>
      <c r="AG15" s="101">
        <f t="shared" si="25"/>
        <v>0</v>
      </c>
      <c r="AH15" s="845">
        <f t="shared" si="3"/>
        <v>0</v>
      </c>
      <c r="AI15" s="846">
        <f>LOOKUP(TP!$A15,PROD!$A$5:$A$725,PROD!$O$6:$O$726)</f>
        <v>0</v>
      </c>
      <c r="AJ15" s="101">
        <f>IFERROR(LOOKUP(Linea,TP!$B$3:$DE$3,TP!C15:DF15),0)</f>
        <v>0</v>
      </c>
      <c r="AK15" s="101">
        <f t="shared" si="28"/>
        <v>0</v>
      </c>
      <c r="AL15" s="101">
        <f t="shared" si="26"/>
        <v>0</v>
      </c>
      <c r="AM15" s="837">
        <f t="shared" si="4"/>
        <v>0</v>
      </c>
      <c r="AN15" s="175">
        <f>LOOKUP(TP!$A15,PROD!$A$5:$A$725,PROD!$I$11:$I$731)</f>
        <v>0</v>
      </c>
      <c r="AO15" s="171">
        <f>LOOKUP(TP!$A15,PROD!$A$5:$A$725,PROD!$K$5:$K$725)*100</f>
        <v>0</v>
      </c>
      <c r="AP15" s="110">
        <f>LOOKUP(TP!$A15,PROD!$A$5:$A$725,PROD!$K$8:$K$728)*100</f>
        <v>0</v>
      </c>
      <c r="AQ15" s="110">
        <f t="shared" si="5"/>
        <v>100</v>
      </c>
      <c r="AR15" s="109">
        <f>IFERROR(LOOKUP(Linea,TP!$B$3:$DE$3,TP!D15:DG15),0)</f>
        <v>0</v>
      </c>
      <c r="AS15" s="838">
        <f>SUMIF(PROD!$BF$5:$BF$725,GSh!$BV15,PROD!$V$5:$V$725)/1000*PROD!$A$1</f>
        <v>0</v>
      </c>
      <c r="AT15" s="627">
        <f>LOOKUP(TP!$A15,PROD!$A$5:$A$725,PROD!$AD$5:$AD$725)</f>
        <v>0</v>
      </c>
      <c r="AU15" s="101">
        <f>IFERROR(LOOKUP(Linea,TP!$B$3:$DE$3,TP!E15:DH15),0)</f>
        <v>0</v>
      </c>
      <c r="AV15" s="847">
        <f t="shared" si="6"/>
        <v>0</v>
      </c>
      <c r="AW15" s="1081">
        <f>LOOKUP($BV15,PROD!$A$5:$A$725,PROD!$AE$10:$AE$730)</f>
        <v>0</v>
      </c>
      <c r="AX15" s="1076">
        <f>LOOKUP($BV15,PROD!$A$5:$A$725,PROD!$AE$11:$AE$731)</f>
        <v>0</v>
      </c>
      <c r="AY15" s="114">
        <f>'Pr-Sem'!Z15</f>
        <v>0</v>
      </c>
      <c r="AZ15" s="101">
        <f>IFERROR(LOOKUP(Linea,TP!$B$3:$DE$3,TP!F15:DI15),0)</f>
        <v>0</v>
      </c>
      <c r="BA15" s="840">
        <f>LOOKUP(TP!$A15,PROD!$A$5:$A$725,PROD!$Q$7:$Q$727)</f>
        <v>0</v>
      </c>
      <c r="BB15" s="118">
        <f t="shared" si="20"/>
        <v>0</v>
      </c>
      <c r="BC15" s="109">
        <f t="shared" si="27"/>
        <v>0</v>
      </c>
      <c r="BD15" s="125">
        <f>LOOKUP(TP!$A15,PROD!$A$5:$A$725,PROD!$AH$7:$AH$727)</f>
        <v>0</v>
      </c>
      <c r="BE15" s="101">
        <f t="shared" si="7"/>
        <v>0</v>
      </c>
      <c r="BF15" s="850">
        <f t="shared" si="8"/>
        <v>0</v>
      </c>
      <c r="BG15" s="129">
        <f>LOOKUP(TP!$A15,PROD!$A$5:$A$725,PROD!$AH$8:$AH$728)</f>
        <v>0</v>
      </c>
      <c r="BH15" s="124">
        <f t="shared" si="21"/>
        <v>0</v>
      </c>
      <c r="BI15" s="849">
        <f t="shared" si="9"/>
        <v>0</v>
      </c>
      <c r="BJ15" s="513">
        <f>'Pr-Sem'!AC15*10</f>
        <v>0</v>
      </c>
      <c r="BK15" s="514">
        <f>IFERROR(LOOKUP(Linea,TP!$B$3:$DE$3,TP!J15:DJ15),0)</f>
        <v>0</v>
      </c>
      <c r="BL15" s="848">
        <f t="shared" si="10"/>
        <v>0</v>
      </c>
      <c r="BM15" s="137">
        <f>LOOKUP($BV15,PROD!$A$5:$A$725,PROD!$AH$5:$AH$725)*IF($BM$5="Gr X H",1,100)</f>
        <v>0</v>
      </c>
      <c r="BN15" s="138">
        <f>LOOKUP($BV15,PROD!$A$5:$A$725,PROD!$AI$5:$AI$725)*IF($BM$5="Gr X H",1,100)</f>
        <v>0</v>
      </c>
      <c r="BO15" s="849">
        <f t="shared" si="29"/>
        <v>0</v>
      </c>
      <c r="BP15" s="137">
        <f>LOOKUP(BV15,PROD!$A$5:$A$725,PROD!$AH$6:$AH$726)*IF($BM$5="Gr X H",1,100)</f>
        <v>0</v>
      </c>
      <c r="BQ15" s="138">
        <f>LOOKUP($BV15,PROD!$A$5:$A$725,PROD!$AI$6:$AI$726)*IF($BM$5="Gr X H",1,100)</f>
        <v>0</v>
      </c>
      <c r="BR15" s="849">
        <f t="shared" si="22"/>
        <v>0</v>
      </c>
      <c r="BS15" s="137">
        <f>LOOKUP(TP!$A15,PROD!$A$5:$A$725,PROD!$AH$9:$AH$729)</f>
        <v>0</v>
      </c>
      <c r="BT15" s="138">
        <f>LOOKUP(TP!$A15,PROD!$A$5:$A$725,PROD!$AI$9:$AI$729)</f>
        <v>0</v>
      </c>
      <c r="BU15" s="849">
        <f t="shared" si="11"/>
        <v>0</v>
      </c>
      <c r="BV15" s="833">
        <f t="shared" si="23"/>
        <v>27</v>
      </c>
      <c r="BW15" s="191">
        <f ca="1">LOOKUP($BV15,INVENTARIOS!$A$4:$A$718,ECONO!$T$4:$T$724)*100</f>
        <v>0</v>
      </c>
      <c r="BX15" s="606">
        <f ca="1">LOOKUP($BV15,INVENTARIOS!$A$4:$A$718,ECONO!$T$5:$T$725)*100</f>
        <v>0</v>
      </c>
      <c r="BY15" s="606">
        <f ca="1">LOOKUP($BV15,INVENTARIOS!$A$4:$A$718,ECONO!$T$6:$T$726)*100</f>
        <v>0</v>
      </c>
      <c r="BZ15" s="606">
        <f ca="1">LOOKUP($BV15,INVENTARIOS!$A$4:$A$718,ECONO!$T$7:$T$727)*100</f>
        <v>0</v>
      </c>
      <c r="CA15" s="606">
        <f ca="1">LOOKUP($BV15,INVENTARIOS!$A$4:$A$718,ECONO!$T$8:$T$728)*100</f>
        <v>0</v>
      </c>
      <c r="CB15" s="606">
        <f ca="1">LOOKUP($BV15,INVENTARIOS!$A$4:$A$718,ECONO!$T$9:$T$729)*100</f>
        <v>0</v>
      </c>
      <c r="CC15" s="606">
        <f ca="1">LOOKUP($BV15,INVENTARIOS!$A$4:$A$718,ECONO!$T$10:$T$730)*100</f>
        <v>0</v>
      </c>
      <c r="CD15" s="99">
        <f ca="1">LOOKUP($BV15,INVENTARIOS!$A$4:$A$718,ECONO!$X$8:$X$728)*100</f>
        <v>0</v>
      </c>
      <c r="CE15" s="99">
        <f ca="1">LOOKUP($BV15,INVENTARIOS!$A$4:$A$718,ECONO!$X$9:$X$729)*100</f>
        <v>0</v>
      </c>
      <c r="CF15" s="192">
        <f ca="1">LOOKUP($BV15,INVENTARIOS!$A$4:$A$718,ECONO!$X$10:$X$730)*100</f>
        <v>0</v>
      </c>
      <c r="CG15" s="195">
        <f ca="1">LOOKUP(GSh!$BV15,INVENTARIOS!$A$4:$A$718,ECONO!$X$4:$X$724)*100</f>
        <v>0</v>
      </c>
      <c r="CH15" s="98">
        <f ca="1">LOOKUP(GSh!$BV15,INVENTARIOS!$A$4:$A$718,ECONO!$X$5:$X$725)*100</f>
        <v>0</v>
      </c>
      <c r="CI15" s="98">
        <f ca="1">LOOKUP(GSh!$BV15,INVENTARIOS!$A$4:$A$718,ECONO!$X$6:$X$726)*100</f>
        <v>0</v>
      </c>
      <c r="CJ15" s="194">
        <f ca="1">LOOKUP(GSh!$BV15,INVENTARIOS!$A$4:$A$718,ECONO!$X$7:$X$727)*100</f>
        <v>0</v>
      </c>
      <c r="CK15" s="34">
        <f>IF(OR(AO15&gt;0,AT15&gt;0,AD15&gt;0),TP!A15,CK14)</f>
        <v>0</v>
      </c>
      <c r="CL15" s="257">
        <f>LOOKUP($BV15,INVENTARIOS!$A$4:$A$724,ECONO!$O$10:$O$730)</f>
        <v>0</v>
      </c>
      <c r="CM15" s="258">
        <f>LOOKUP($BV15,INVENTARIOS!$A$4:$A$724,ECONO!$Z$9:$Z$729)</f>
        <v>0</v>
      </c>
      <c r="CN15" s="260">
        <f t="shared" si="12"/>
        <v>0</v>
      </c>
      <c r="CO15"/>
    </row>
    <row r="16" spans="1:93" ht="20.100000000000001" customHeight="1" x14ac:dyDescent="0.3">
      <c r="A16" s="974">
        <f t="shared" si="13"/>
        <v>11</v>
      </c>
      <c r="B16" s="883">
        <f>'Sem-L'!U16</f>
        <v>0</v>
      </c>
      <c r="C16" s="885">
        <f>IFERROR(LOOKUP(Linea,TL!$B$3:$BP$3,TL!$B16:$BP16),0)</f>
        <v>0</v>
      </c>
      <c r="D16" s="885">
        <f>IFERROR(LOOKUP(Linea,TL!$B$3:$BP$3,TL!$C16:$BQ16),0)</f>
        <v>0</v>
      </c>
      <c r="E16" s="975">
        <f t="shared" si="14"/>
        <v>0</v>
      </c>
      <c r="F16" s="71">
        <f t="shared" si="15"/>
        <v>0</v>
      </c>
      <c r="G16" s="71">
        <f>'Sem-L'!AB16</f>
        <v>0</v>
      </c>
      <c r="H16" s="71">
        <f>'Sem-L'!AC16</f>
        <v>0</v>
      </c>
      <c r="I16" s="976">
        <f t="shared" si="16"/>
        <v>0</v>
      </c>
      <c r="J16" s="185">
        <f>IF(AND(AvesIni&gt;0,OR(N16&gt;0,'Sem-L'!C16&gt;0),B16&gt;0),IF(B16&lt;C16,(B16-C16)/(G16/7),IF(B16&gt;D16,(B16-D16)/(H16/7),0)),0)</f>
        <v>0</v>
      </c>
      <c r="K16" s="898">
        <f>'Sem-L'!AG16</f>
        <v>0</v>
      </c>
      <c r="L16" s="902">
        <f>SUMIF(Levante!$A$6:$A$131,GSh!$A16,Levante!O$6:O$131)*Levante!$B$1/1000</f>
        <v>0</v>
      </c>
      <c r="M16" s="916">
        <f>SUMIF(Levante!$A$6:$A$131,GSh!$A16,Levante!P$6:P$131)*Levante!$B$1/1000</f>
        <v>0</v>
      </c>
      <c r="N16" s="912">
        <f>LOOKUP($A16,Levante!$B$6:$B$131,Levante!$X$6:$X$131)</f>
        <v>0</v>
      </c>
      <c r="O16" s="885">
        <f>IFERROR(LOOKUP(Linea,TL!$B$3:$BP$3,TL!$D16:$BR16),0)</f>
        <v>0</v>
      </c>
      <c r="P16" s="885">
        <f>IFERROR(LOOKUP(Linea,TL!$B$3:$BP$3,TL!$E16:$BS16),0)</f>
        <v>0</v>
      </c>
      <c r="Q16" s="977">
        <f t="shared" si="17"/>
        <v>0</v>
      </c>
      <c r="R16" s="928">
        <f>SUMIF(Levante!$A$6:$A$131,A16,Levante!$K$6:$K$131)</f>
        <v>0</v>
      </c>
      <c r="S16" s="906">
        <f>IFERROR(R16*1000/7/'Sem-L'!B16,0)</f>
        <v>0</v>
      </c>
      <c r="T16" s="921">
        <f t="shared" si="1"/>
        <v>0</v>
      </c>
      <c r="U16" s="925">
        <f ca="1">LOOKUP($A16,Levante!$B$6:$B$131,Levante!$X$8:$X$134)</f>
        <v>0</v>
      </c>
      <c r="V16" s="885">
        <f>IFERROR(LOOKUP(Linea,TL!$B$3:$BP$3,TL!$F16:$BT16),0)</f>
        <v>0</v>
      </c>
      <c r="W16" s="885">
        <f>IFERROR(LOOKUP(Linea,TL!$B$3:$BP$3,TL!$G16:$BU16),0)</f>
        <v>0</v>
      </c>
      <c r="X16" s="978">
        <f t="shared" ca="1" si="18"/>
        <v>0</v>
      </c>
      <c r="Y16" s="72">
        <f>LOOKUP($A16,Levante!$B$6:$B$131,Levante!$J$9:$J$134)</f>
        <v>0</v>
      </c>
      <c r="Z16" s="75">
        <f>LOOKUP($A16,Levante!$B$6:$B$131,Levante!$J$11:$J$136)</f>
        <v>0</v>
      </c>
      <c r="AA16" s="34">
        <f t="shared" si="19"/>
        <v>0</v>
      </c>
      <c r="AC16" s="1193">
        <f t="shared" si="2"/>
        <v>28</v>
      </c>
      <c r="AD16" s="844">
        <f>LOOKUP(TP!$A16,PROD!$A$5:$A$725,PROD!$O$5:$O$725)</f>
        <v>0</v>
      </c>
      <c r="AE16" s="101">
        <f>IFERROR(LOOKUP(Linea,TP!$B$3:$DE$3,TP!B16:DE16),0)</f>
        <v>0</v>
      </c>
      <c r="AF16" s="101">
        <f t="shared" si="24"/>
        <v>0</v>
      </c>
      <c r="AG16" s="101">
        <f t="shared" si="25"/>
        <v>0</v>
      </c>
      <c r="AH16" s="845">
        <f t="shared" si="3"/>
        <v>0</v>
      </c>
      <c r="AI16" s="846">
        <f>LOOKUP(TP!$A16,PROD!$A$5:$A$725,PROD!$O$6:$O$726)</f>
        <v>0</v>
      </c>
      <c r="AJ16" s="101">
        <f>IFERROR(LOOKUP(Linea,TP!$B$3:$DE$3,TP!C16:DF16),0)</f>
        <v>0</v>
      </c>
      <c r="AK16" s="101">
        <f t="shared" si="28"/>
        <v>0</v>
      </c>
      <c r="AL16" s="101">
        <f t="shared" si="26"/>
        <v>0</v>
      </c>
      <c r="AM16" s="837">
        <f t="shared" si="4"/>
        <v>0</v>
      </c>
      <c r="AN16" s="175">
        <f>LOOKUP(TP!$A16,PROD!$A$5:$A$725,PROD!$I$11:$I$731)</f>
        <v>0</v>
      </c>
      <c r="AO16" s="171">
        <f>LOOKUP(TP!$A16,PROD!$A$5:$A$725,PROD!$K$5:$K$725)*100</f>
        <v>0</v>
      </c>
      <c r="AP16" s="110">
        <f>LOOKUP(TP!$A16,PROD!$A$5:$A$725,PROD!$K$8:$K$728)*100</f>
        <v>0</v>
      </c>
      <c r="AQ16" s="110">
        <f t="shared" si="5"/>
        <v>100</v>
      </c>
      <c r="AR16" s="109">
        <f>IFERROR(LOOKUP(Linea,TP!$B$3:$DE$3,TP!D16:DG16),0)</f>
        <v>0</v>
      </c>
      <c r="AS16" s="838">
        <f>SUMIF(PROD!$BF$5:$BF$725,GSh!$BV16,PROD!$V$5:$V$725)/1000*PROD!$A$1</f>
        <v>0</v>
      </c>
      <c r="AT16" s="627">
        <f>LOOKUP(TP!$A16,PROD!$A$5:$A$725,PROD!$AD$5:$AD$725)</f>
        <v>0</v>
      </c>
      <c r="AU16" s="101">
        <f>IFERROR(LOOKUP(Linea,TP!$B$3:$DE$3,TP!E16:DH16),0)</f>
        <v>0</v>
      </c>
      <c r="AV16" s="847">
        <f t="shared" si="6"/>
        <v>0</v>
      </c>
      <c r="AW16" s="1081">
        <f>LOOKUP($BV16,PROD!$A$5:$A$725,PROD!$AE$10:$AE$730)</f>
        <v>0</v>
      </c>
      <c r="AX16" s="1076">
        <f>LOOKUP($BV16,PROD!$A$5:$A$725,PROD!$AE$11:$AE$731)</f>
        <v>0</v>
      </c>
      <c r="AY16" s="114">
        <f>'Pr-Sem'!Z16</f>
        <v>0</v>
      </c>
      <c r="AZ16" s="101">
        <f>IFERROR(LOOKUP(Linea,TP!$B$3:$DE$3,TP!F16:DI16),0)</f>
        <v>0</v>
      </c>
      <c r="BA16" s="840">
        <f>LOOKUP(TP!$A16,PROD!$A$5:$A$725,PROD!$Q$7:$Q$727)</f>
        <v>0</v>
      </c>
      <c r="BB16" s="118">
        <f t="shared" si="20"/>
        <v>0</v>
      </c>
      <c r="BC16" s="109">
        <f t="shared" si="27"/>
        <v>0</v>
      </c>
      <c r="BD16" s="125">
        <f>LOOKUP(TP!$A16,PROD!$A$5:$A$725,PROD!$AH$7:$AH$727)</f>
        <v>0</v>
      </c>
      <c r="BE16" s="101">
        <f t="shared" si="7"/>
        <v>0</v>
      </c>
      <c r="BF16" s="850">
        <f t="shared" si="8"/>
        <v>0</v>
      </c>
      <c r="BG16" s="129">
        <f>LOOKUP(TP!$A16,PROD!$A$5:$A$725,PROD!$AH$8:$AH$728)</f>
        <v>0</v>
      </c>
      <c r="BH16" s="124">
        <f t="shared" si="21"/>
        <v>0</v>
      </c>
      <c r="BI16" s="849">
        <f t="shared" si="9"/>
        <v>0</v>
      </c>
      <c r="BJ16" s="513">
        <f>'Pr-Sem'!AC16*10</f>
        <v>0</v>
      </c>
      <c r="BK16" s="514">
        <f>IFERROR(LOOKUP(Linea,TP!$B$3:$DE$3,TP!J16:DJ16),0)</f>
        <v>0</v>
      </c>
      <c r="BL16" s="848">
        <f t="shared" si="10"/>
        <v>0</v>
      </c>
      <c r="BM16" s="137">
        <f>LOOKUP($BV16,PROD!$A$5:$A$725,PROD!$AH$5:$AH$725)*IF($BM$5="Gr X H",1,100)</f>
        <v>0</v>
      </c>
      <c r="BN16" s="138">
        <f>LOOKUP($BV16,PROD!$A$5:$A$725,PROD!$AI$5:$AI$725)*IF($BM$5="Gr X H",1,100)</f>
        <v>0</v>
      </c>
      <c r="BO16" s="849">
        <f t="shared" si="29"/>
        <v>0</v>
      </c>
      <c r="BP16" s="137">
        <f>LOOKUP(BV16,PROD!$A$5:$A$725,PROD!$AH$6:$AH$726)*IF($BM$5="Gr X H",1,100)</f>
        <v>0</v>
      </c>
      <c r="BQ16" s="138">
        <f>LOOKUP($BV16,PROD!$A$5:$A$725,PROD!$AI$6:$AI$726)*IF($BM$5="Gr X H",1,100)</f>
        <v>0</v>
      </c>
      <c r="BR16" s="849">
        <f t="shared" si="22"/>
        <v>0</v>
      </c>
      <c r="BS16" s="137">
        <f>LOOKUP(TP!$A16,PROD!$A$5:$A$725,PROD!$AH$9:$AH$729)</f>
        <v>0</v>
      </c>
      <c r="BT16" s="138">
        <f>LOOKUP(TP!$A16,PROD!$A$5:$A$725,PROD!$AI$9:$AI$729)</f>
        <v>0</v>
      </c>
      <c r="BU16" s="849">
        <f t="shared" si="11"/>
        <v>0</v>
      </c>
      <c r="BV16" s="833">
        <f t="shared" si="23"/>
        <v>28</v>
      </c>
      <c r="BW16" s="191">
        <f ca="1">LOOKUP($BV16,INVENTARIOS!$A$4:$A$718,ECONO!$T$4:$T$724)*100</f>
        <v>0</v>
      </c>
      <c r="BX16" s="606">
        <f ca="1">LOOKUP($BV16,INVENTARIOS!$A$4:$A$718,ECONO!$T$5:$T$725)*100</f>
        <v>0</v>
      </c>
      <c r="BY16" s="606">
        <f ca="1">LOOKUP($BV16,INVENTARIOS!$A$4:$A$718,ECONO!$T$6:$T$726)*100</f>
        <v>0</v>
      </c>
      <c r="BZ16" s="606">
        <f ca="1">LOOKUP($BV16,INVENTARIOS!$A$4:$A$718,ECONO!$T$7:$T$727)*100</f>
        <v>0</v>
      </c>
      <c r="CA16" s="606">
        <f ca="1">LOOKUP($BV16,INVENTARIOS!$A$4:$A$718,ECONO!$T$8:$T$728)*100</f>
        <v>0</v>
      </c>
      <c r="CB16" s="606">
        <f ca="1">LOOKUP($BV16,INVENTARIOS!$A$4:$A$718,ECONO!$T$9:$T$729)*100</f>
        <v>0</v>
      </c>
      <c r="CC16" s="606">
        <f ca="1">LOOKUP($BV16,INVENTARIOS!$A$4:$A$718,ECONO!$T$10:$T$730)*100</f>
        <v>0</v>
      </c>
      <c r="CD16" s="99">
        <f ca="1">LOOKUP($BV16,INVENTARIOS!$A$4:$A$718,ECONO!$X$8:$X$728)*100</f>
        <v>0</v>
      </c>
      <c r="CE16" s="99">
        <f ca="1">LOOKUP($BV16,INVENTARIOS!$A$4:$A$718,ECONO!$X$9:$X$729)*100</f>
        <v>0</v>
      </c>
      <c r="CF16" s="192">
        <f ca="1">LOOKUP($BV16,INVENTARIOS!$A$4:$A$718,ECONO!$X$10:$X$730)*100</f>
        <v>0</v>
      </c>
      <c r="CG16" s="195">
        <f ca="1">LOOKUP(GSh!$BV16,INVENTARIOS!$A$4:$A$718,ECONO!$X$4:$X$724)*100</f>
        <v>0</v>
      </c>
      <c r="CH16" s="98">
        <f ca="1">LOOKUP(GSh!$BV16,INVENTARIOS!$A$4:$A$718,ECONO!$X$5:$X$725)*100</f>
        <v>0</v>
      </c>
      <c r="CI16" s="98">
        <f ca="1">LOOKUP(GSh!$BV16,INVENTARIOS!$A$4:$A$718,ECONO!$X$6:$X$726)*100</f>
        <v>0</v>
      </c>
      <c r="CJ16" s="194">
        <f ca="1">LOOKUP(GSh!$BV16,INVENTARIOS!$A$4:$A$718,ECONO!$X$7:$X$727)*100</f>
        <v>0</v>
      </c>
      <c r="CK16" s="34">
        <f>IF(OR(AO16&gt;0,AT16&gt;0,AD16&gt;0),TP!A16,CK15)</f>
        <v>0</v>
      </c>
      <c r="CL16" s="257">
        <f>LOOKUP($BV16,INVENTARIOS!$A$4:$A$724,ECONO!$O$10:$O$730)</f>
        <v>0</v>
      </c>
      <c r="CM16" s="258">
        <f>LOOKUP($BV16,INVENTARIOS!$A$4:$A$724,ECONO!$Z$9:$Z$729)</f>
        <v>0</v>
      </c>
      <c r="CN16" s="260">
        <f t="shared" si="12"/>
        <v>0</v>
      </c>
      <c r="CO16"/>
    </row>
    <row r="17" spans="1:93" ht="20.100000000000001" customHeight="1" x14ac:dyDescent="0.3">
      <c r="A17" s="974">
        <f t="shared" si="13"/>
        <v>12</v>
      </c>
      <c r="B17" s="883">
        <f>'Sem-L'!U17</f>
        <v>0</v>
      </c>
      <c r="C17" s="885">
        <f>IFERROR(LOOKUP(Linea,TL!$B$3:$BP$3,TL!$B17:$BP17),0)</f>
        <v>0</v>
      </c>
      <c r="D17" s="885">
        <f>IFERROR(LOOKUP(Linea,TL!$B$3:$BP$3,TL!$C17:$BQ17),0)</f>
        <v>0</v>
      </c>
      <c r="E17" s="975">
        <f t="shared" si="14"/>
        <v>0</v>
      </c>
      <c r="F17" s="71">
        <f t="shared" si="15"/>
        <v>0</v>
      </c>
      <c r="G17" s="71">
        <f>'Sem-L'!AB17</f>
        <v>0</v>
      </c>
      <c r="H17" s="71">
        <f>'Sem-L'!AC17</f>
        <v>0</v>
      </c>
      <c r="I17" s="976">
        <f t="shared" si="16"/>
        <v>0</v>
      </c>
      <c r="J17" s="185">
        <f>IF(AND(AvesIni&gt;0,OR(N17&gt;0,'Sem-L'!C17&gt;0),B17&gt;0),IF(B17&lt;C17,(B17-C17)/(G17/7),IF(B17&gt;D17,(B17-D17)/(H17/7),0)),0)</f>
        <v>0</v>
      </c>
      <c r="K17" s="898">
        <f>'Sem-L'!AG17</f>
        <v>0</v>
      </c>
      <c r="L17" s="902">
        <f>SUMIF(Levante!$A$6:$A$131,GSh!$A17,Levante!O$6:O$131)*Levante!$B$1/1000</f>
        <v>0</v>
      </c>
      <c r="M17" s="916">
        <f>SUMIF(Levante!$A$6:$A$131,GSh!$A17,Levante!P$6:P$131)*Levante!$B$1/1000</f>
        <v>0</v>
      </c>
      <c r="N17" s="912">
        <f>LOOKUP($A17,Levante!$B$6:$B$131,Levante!$X$6:$X$131)</f>
        <v>0</v>
      </c>
      <c r="O17" s="885">
        <f>IFERROR(LOOKUP(Linea,TL!$B$3:$BP$3,TL!$D17:$BR17),0)</f>
        <v>0</v>
      </c>
      <c r="P17" s="885">
        <f>IFERROR(LOOKUP(Linea,TL!$B$3:$BP$3,TL!$E17:$BS17),0)</f>
        <v>0</v>
      </c>
      <c r="Q17" s="977">
        <f t="shared" si="17"/>
        <v>0</v>
      </c>
      <c r="R17" s="928">
        <f>SUMIF(Levante!$A$6:$A$131,A17,Levante!$K$6:$K$131)</f>
        <v>0</v>
      </c>
      <c r="S17" s="906">
        <f>IFERROR(R17*1000/7/'Sem-L'!B17,0)</f>
        <v>0</v>
      </c>
      <c r="T17" s="921">
        <f t="shared" si="1"/>
        <v>0</v>
      </c>
      <c r="U17" s="925">
        <f ca="1">LOOKUP($A17,Levante!$B$6:$B$131,Levante!$X$8:$X$134)</f>
        <v>0</v>
      </c>
      <c r="V17" s="885">
        <f>IFERROR(LOOKUP(Linea,TL!$B$3:$BP$3,TL!$F17:$BT17),0)</f>
        <v>0</v>
      </c>
      <c r="W17" s="885">
        <f>IFERROR(LOOKUP(Linea,TL!$B$3:$BP$3,TL!$G17:$BU17),0)</f>
        <v>0</v>
      </c>
      <c r="X17" s="978">
        <f t="shared" ca="1" si="18"/>
        <v>0</v>
      </c>
      <c r="Y17" s="72">
        <f>LOOKUP($A17,Levante!$B$6:$B$131,Levante!$J$9:$J$134)</f>
        <v>0</v>
      </c>
      <c r="Z17" s="75">
        <f>LOOKUP($A17,Levante!$B$6:$B$131,Levante!$J$11:$J$136)</f>
        <v>0</v>
      </c>
      <c r="AA17" s="34">
        <f t="shared" si="19"/>
        <v>0</v>
      </c>
      <c r="AC17" s="1193">
        <f t="shared" si="2"/>
        <v>29</v>
      </c>
      <c r="AD17" s="844">
        <f>LOOKUP(TP!$A17,PROD!$A$5:$A$725,PROD!$O$5:$O$725)</f>
        <v>0</v>
      </c>
      <c r="AE17" s="101">
        <f>IFERROR(LOOKUP(Linea,TP!$B$3:$DE$3,TP!B17:DE17),0)</f>
        <v>0</v>
      </c>
      <c r="AF17" s="101">
        <f t="shared" si="24"/>
        <v>0</v>
      </c>
      <c r="AG17" s="101">
        <f t="shared" si="25"/>
        <v>0</v>
      </c>
      <c r="AH17" s="845">
        <f t="shared" si="3"/>
        <v>0</v>
      </c>
      <c r="AI17" s="846">
        <f>LOOKUP(TP!$A17,PROD!$A$5:$A$725,PROD!$O$6:$O$726)</f>
        <v>0</v>
      </c>
      <c r="AJ17" s="101">
        <f>IFERROR(LOOKUP(Linea,TP!$B$3:$DE$3,TP!C17:DF17),0)</f>
        <v>0</v>
      </c>
      <c r="AK17" s="101">
        <f t="shared" si="28"/>
        <v>0</v>
      </c>
      <c r="AL17" s="101">
        <f t="shared" si="26"/>
        <v>0</v>
      </c>
      <c r="AM17" s="837">
        <f t="shared" si="4"/>
        <v>0</v>
      </c>
      <c r="AN17" s="175">
        <f>LOOKUP(TP!$A17,PROD!$A$5:$A$725,PROD!$I$11:$I$731)</f>
        <v>0</v>
      </c>
      <c r="AO17" s="171">
        <f>LOOKUP(TP!$A17,PROD!$A$5:$A$725,PROD!$K$5:$K$725)*100</f>
        <v>0</v>
      </c>
      <c r="AP17" s="110">
        <f>LOOKUP(TP!$A17,PROD!$A$5:$A$725,PROD!$K$8:$K$728)*100</f>
        <v>0</v>
      </c>
      <c r="AQ17" s="110">
        <f t="shared" si="5"/>
        <v>100</v>
      </c>
      <c r="AR17" s="109">
        <f>IFERROR(LOOKUP(Linea,TP!$B$3:$DE$3,TP!D17:DG17),0)</f>
        <v>0</v>
      </c>
      <c r="AS17" s="838">
        <f>SUMIF(PROD!$BF$5:$BF$725,GSh!$BV17,PROD!$V$5:$V$725)/1000*PROD!$A$1</f>
        <v>0</v>
      </c>
      <c r="AT17" s="627">
        <f>LOOKUP(TP!$A17,PROD!$A$5:$A$725,PROD!$AD$5:$AD$725)</f>
        <v>0</v>
      </c>
      <c r="AU17" s="101">
        <f>IFERROR(LOOKUP(Linea,TP!$B$3:$DE$3,TP!E17:DH17),0)</f>
        <v>0</v>
      </c>
      <c r="AV17" s="847">
        <f t="shared" si="6"/>
        <v>0</v>
      </c>
      <c r="AW17" s="1081">
        <f>LOOKUP($BV17,PROD!$A$5:$A$725,PROD!$AE$10:$AE$730)</f>
        <v>0</v>
      </c>
      <c r="AX17" s="1076">
        <f>LOOKUP($BV17,PROD!$A$5:$A$725,PROD!$AE$11:$AE$731)</f>
        <v>0</v>
      </c>
      <c r="AY17" s="114">
        <f>'Pr-Sem'!Z17</f>
        <v>0</v>
      </c>
      <c r="AZ17" s="101">
        <f>IFERROR(LOOKUP(Linea,TP!$B$3:$DE$3,TP!F17:DI17),0)</f>
        <v>0</v>
      </c>
      <c r="BA17" s="840">
        <f>LOOKUP(TP!$A17,PROD!$A$5:$A$725,PROD!$Q$7:$Q$727)</f>
        <v>0</v>
      </c>
      <c r="BB17" s="118">
        <f t="shared" si="20"/>
        <v>0</v>
      </c>
      <c r="BC17" s="109">
        <f t="shared" si="27"/>
        <v>0</v>
      </c>
      <c r="BD17" s="125">
        <f>LOOKUP(TP!$A17,PROD!$A$5:$A$725,PROD!$AH$7:$AH$727)</f>
        <v>0</v>
      </c>
      <c r="BE17" s="101">
        <f t="shared" si="7"/>
        <v>0</v>
      </c>
      <c r="BF17" s="850">
        <f t="shared" si="8"/>
        <v>0</v>
      </c>
      <c r="BG17" s="129">
        <f>LOOKUP(TP!$A17,PROD!$A$5:$A$725,PROD!$AH$8:$AH$728)</f>
        <v>0</v>
      </c>
      <c r="BH17" s="101">
        <f t="shared" si="21"/>
        <v>0</v>
      </c>
      <c r="BI17" s="849">
        <f t="shared" si="9"/>
        <v>0</v>
      </c>
      <c r="BJ17" s="513">
        <f>'Pr-Sem'!AC17*10</f>
        <v>0</v>
      </c>
      <c r="BK17" s="514">
        <f>IFERROR(LOOKUP(Linea,TP!$B$3:$DE$3,TP!J17:DJ17),0)</f>
        <v>0</v>
      </c>
      <c r="BL17" s="848">
        <f t="shared" si="10"/>
        <v>0</v>
      </c>
      <c r="BM17" s="137">
        <f>LOOKUP($BV17,PROD!$A$5:$A$725,PROD!$AH$5:$AH$725)*IF($BM$5="Gr X H",1,100)</f>
        <v>0</v>
      </c>
      <c r="BN17" s="138">
        <f>LOOKUP($BV17,PROD!$A$5:$A$725,PROD!$AI$5:$AI$725)*IF($BM$5="Gr X H",1,100)</f>
        <v>0</v>
      </c>
      <c r="BO17" s="849">
        <f t="shared" si="29"/>
        <v>0</v>
      </c>
      <c r="BP17" s="137">
        <f>LOOKUP(BV17,PROD!$A$5:$A$725,PROD!$AH$6:$AH$726)*IF($BM$5="Gr X H",1,100)</f>
        <v>0</v>
      </c>
      <c r="BQ17" s="138">
        <f>LOOKUP($BV17,PROD!$A$5:$A$725,PROD!$AI$6:$AI$726)*IF($BM$5="Gr X H",1,100)</f>
        <v>0</v>
      </c>
      <c r="BR17" s="849">
        <f t="shared" si="22"/>
        <v>0</v>
      </c>
      <c r="BS17" s="137">
        <f>LOOKUP(TP!$A17,PROD!$A$5:$A$725,PROD!$AH$9:$AH$729)</f>
        <v>0</v>
      </c>
      <c r="BT17" s="138">
        <f>LOOKUP(TP!$A17,PROD!$A$5:$A$725,PROD!$AI$9:$AI$729)</f>
        <v>0</v>
      </c>
      <c r="BU17" s="849">
        <f t="shared" si="11"/>
        <v>0</v>
      </c>
      <c r="BV17" s="833">
        <f t="shared" si="23"/>
        <v>29</v>
      </c>
      <c r="BW17" s="191">
        <f ca="1">LOOKUP($BV17,INVENTARIOS!$A$4:$A$718,ECONO!$T$4:$T$724)*100</f>
        <v>0</v>
      </c>
      <c r="BX17" s="606">
        <f ca="1">LOOKUP($BV17,INVENTARIOS!$A$4:$A$718,ECONO!$T$5:$T$725)*100</f>
        <v>0</v>
      </c>
      <c r="BY17" s="606">
        <f ca="1">LOOKUP($BV17,INVENTARIOS!$A$4:$A$718,ECONO!$T$6:$T$726)*100</f>
        <v>0</v>
      </c>
      <c r="BZ17" s="606">
        <f ca="1">LOOKUP($BV17,INVENTARIOS!$A$4:$A$718,ECONO!$T$7:$T$727)*100</f>
        <v>0</v>
      </c>
      <c r="CA17" s="606">
        <f ca="1">LOOKUP($BV17,INVENTARIOS!$A$4:$A$718,ECONO!$T$8:$T$728)*100</f>
        <v>0</v>
      </c>
      <c r="CB17" s="606">
        <f ca="1">LOOKUP($BV17,INVENTARIOS!$A$4:$A$718,ECONO!$T$9:$T$729)*100</f>
        <v>0</v>
      </c>
      <c r="CC17" s="606">
        <f ca="1">LOOKUP($BV17,INVENTARIOS!$A$4:$A$718,ECONO!$T$10:$T$730)*100</f>
        <v>0</v>
      </c>
      <c r="CD17" s="99">
        <f ca="1">LOOKUP($BV17,INVENTARIOS!$A$4:$A$718,ECONO!$X$8:$X$728)*100</f>
        <v>0</v>
      </c>
      <c r="CE17" s="99">
        <f ca="1">LOOKUP($BV17,INVENTARIOS!$A$4:$A$718,ECONO!$X$9:$X$729)*100</f>
        <v>0</v>
      </c>
      <c r="CF17" s="192">
        <f ca="1">LOOKUP($BV17,INVENTARIOS!$A$4:$A$718,ECONO!$X$10:$X$730)*100</f>
        <v>0</v>
      </c>
      <c r="CG17" s="195">
        <f ca="1">LOOKUP(GSh!$BV17,INVENTARIOS!$A$4:$A$718,ECONO!$X$4:$X$724)*100</f>
        <v>0</v>
      </c>
      <c r="CH17" s="98">
        <f ca="1">LOOKUP(GSh!$BV17,INVENTARIOS!$A$4:$A$718,ECONO!$X$5:$X$725)*100</f>
        <v>0</v>
      </c>
      <c r="CI17" s="98">
        <f ca="1">LOOKUP(GSh!$BV17,INVENTARIOS!$A$4:$A$718,ECONO!$X$6:$X$726)*100</f>
        <v>0</v>
      </c>
      <c r="CJ17" s="194">
        <f ca="1">LOOKUP(GSh!$BV17,INVENTARIOS!$A$4:$A$718,ECONO!$X$7:$X$727)*100</f>
        <v>0</v>
      </c>
      <c r="CK17" s="34">
        <f>IF(OR(AO17&gt;0,AT17&gt;0,AD17&gt;0),TP!A17,CK16)</f>
        <v>0</v>
      </c>
      <c r="CL17" s="257">
        <f>LOOKUP($BV17,INVENTARIOS!$A$4:$A$724,ECONO!$O$10:$O$730)</f>
        <v>0</v>
      </c>
      <c r="CM17" s="258">
        <f>LOOKUP($BV17,INVENTARIOS!$A$4:$A$724,ECONO!$Z$9:$Z$729)</f>
        <v>0</v>
      </c>
      <c r="CN17" s="260">
        <f t="shared" si="12"/>
        <v>0</v>
      </c>
      <c r="CO17"/>
    </row>
    <row r="18" spans="1:93" ht="20.100000000000001" customHeight="1" x14ac:dyDescent="0.3">
      <c r="A18" s="974">
        <f t="shared" si="13"/>
        <v>13</v>
      </c>
      <c r="B18" s="883">
        <f>'Sem-L'!U18</f>
        <v>0</v>
      </c>
      <c r="C18" s="885">
        <f>IFERROR(LOOKUP(Linea,TL!$B$3:$BP$3,TL!$B18:$BP18),0)</f>
        <v>0</v>
      </c>
      <c r="D18" s="885">
        <f>IFERROR(LOOKUP(Linea,TL!$B$3:$BP$3,TL!$C18:$BQ18),0)</f>
        <v>0</v>
      </c>
      <c r="E18" s="975">
        <f t="shared" si="14"/>
        <v>0</v>
      </c>
      <c r="F18" s="71">
        <f t="shared" si="15"/>
        <v>0</v>
      </c>
      <c r="G18" s="71">
        <f>'Sem-L'!AB18</f>
        <v>0</v>
      </c>
      <c r="H18" s="71">
        <f>'Sem-L'!AC18</f>
        <v>0</v>
      </c>
      <c r="I18" s="976">
        <f t="shared" si="16"/>
        <v>0</v>
      </c>
      <c r="J18" s="185">
        <f>IF(AND(AvesIni&gt;0,OR(N18&gt;0,'Sem-L'!C18&gt;0),B18&gt;0),IF(B18&lt;C18,(B18-C18)/(G18/7),IF(B18&gt;D18,(B18-D18)/(H18/7),0)),0)</f>
        <v>0</v>
      </c>
      <c r="K18" s="898">
        <f>'Sem-L'!AG18</f>
        <v>0</v>
      </c>
      <c r="L18" s="902">
        <f>SUMIF(Levante!$A$6:$A$131,GSh!$A18,Levante!O$6:O$131)*Levante!$B$1/1000</f>
        <v>0</v>
      </c>
      <c r="M18" s="916">
        <f>SUMIF(Levante!$A$6:$A$131,GSh!$A18,Levante!P$6:P$131)*Levante!$B$1/1000</f>
        <v>0</v>
      </c>
      <c r="N18" s="912">
        <f>LOOKUP($A18,Levante!$B$6:$B$131,Levante!$X$6:$X$131)</f>
        <v>0</v>
      </c>
      <c r="O18" s="885">
        <f>IFERROR(LOOKUP(Linea,TL!$B$3:$BP$3,TL!$D18:$BR18),0)</f>
        <v>0</v>
      </c>
      <c r="P18" s="885">
        <f>IFERROR(LOOKUP(Linea,TL!$B$3:$BP$3,TL!$E18:$BS18),0)</f>
        <v>0</v>
      </c>
      <c r="Q18" s="977">
        <f t="shared" si="17"/>
        <v>0</v>
      </c>
      <c r="R18" s="928">
        <f>SUMIF(Levante!$A$6:$A$131,A18,Levante!$K$6:$K$131)</f>
        <v>0</v>
      </c>
      <c r="S18" s="906">
        <f>IFERROR(R18*1000/7/'Sem-L'!B18,0)</f>
        <v>0</v>
      </c>
      <c r="T18" s="921">
        <f t="shared" si="1"/>
        <v>0</v>
      </c>
      <c r="U18" s="925">
        <f ca="1">LOOKUP($A18,Levante!$B$6:$B$131,Levante!$X$8:$X$134)</f>
        <v>0</v>
      </c>
      <c r="V18" s="885">
        <f>IFERROR(LOOKUP(Linea,TL!$B$3:$BP$3,TL!$F18:$BT18),0)</f>
        <v>0</v>
      </c>
      <c r="W18" s="885">
        <f>IFERROR(LOOKUP(Linea,TL!$B$3:$BP$3,TL!$G18:$BU18),0)</f>
        <v>0</v>
      </c>
      <c r="X18" s="978">
        <f t="shared" ca="1" si="18"/>
        <v>0</v>
      </c>
      <c r="Y18" s="72">
        <f>LOOKUP($A18,Levante!$B$6:$B$131,Levante!$J$9:$J$134)</f>
        <v>0</v>
      </c>
      <c r="Z18" s="75">
        <f>LOOKUP($A18,Levante!$B$6:$B$131,Levante!$J$11:$J$136)</f>
        <v>0</v>
      </c>
      <c r="AA18" s="34">
        <f t="shared" si="19"/>
        <v>0</v>
      </c>
      <c r="AC18" s="1193">
        <f t="shared" si="2"/>
        <v>30</v>
      </c>
      <c r="AD18" s="844">
        <f>LOOKUP(TP!$A18,PROD!$A$5:$A$725,PROD!$O$5:$O$725)</f>
        <v>0</v>
      </c>
      <c r="AE18" s="101">
        <f>IFERROR(LOOKUP(Linea,TP!$B$3:$DE$3,TP!B18:DE18),0)</f>
        <v>0</v>
      </c>
      <c r="AF18" s="101">
        <f t="shared" si="24"/>
        <v>0</v>
      </c>
      <c r="AG18" s="101">
        <f t="shared" si="25"/>
        <v>0</v>
      </c>
      <c r="AH18" s="845">
        <f t="shared" si="3"/>
        <v>0</v>
      </c>
      <c r="AI18" s="846">
        <f>LOOKUP(TP!$A18,PROD!$A$5:$A$725,PROD!$O$6:$O$726)</f>
        <v>0</v>
      </c>
      <c r="AJ18" s="101">
        <f>IFERROR(LOOKUP(Linea,TP!$B$3:$DE$3,TP!C18:DF18),0)</f>
        <v>0</v>
      </c>
      <c r="AK18" s="101">
        <f t="shared" si="28"/>
        <v>0</v>
      </c>
      <c r="AL18" s="101">
        <f t="shared" si="26"/>
        <v>0</v>
      </c>
      <c r="AM18" s="837">
        <f t="shared" si="4"/>
        <v>0</v>
      </c>
      <c r="AN18" s="175">
        <f>LOOKUP(TP!$A18,PROD!$A$5:$A$725,PROD!$I$11:$I$731)</f>
        <v>0</v>
      </c>
      <c r="AO18" s="171">
        <f>LOOKUP(TP!$A18,PROD!$A$5:$A$725,PROD!$K$5:$K$725)*100</f>
        <v>0</v>
      </c>
      <c r="AP18" s="110">
        <f>LOOKUP(TP!$A18,PROD!$A$5:$A$725,PROD!$K$8:$K$728)*100</f>
        <v>0</v>
      </c>
      <c r="AQ18" s="110">
        <f t="shared" si="5"/>
        <v>100</v>
      </c>
      <c r="AR18" s="109">
        <f>IFERROR(LOOKUP(Linea,TP!$B$3:$DE$3,TP!D18:DG18),0)</f>
        <v>0</v>
      </c>
      <c r="AS18" s="838">
        <f>SUMIF(PROD!$BF$5:$BF$725,GSh!$BV18,PROD!$V$5:$V$725)/1000*PROD!$A$1</f>
        <v>0</v>
      </c>
      <c r="AT18" s="627">
        <f>LOOKUP(TP!$A18,PROD!$A$5:$A$725,PROD!$AD$5:$AD$725)</f>
        <v>0</v>
      </c>
      <c r="AU18" s="101">
        <f>IFERROR(LOOKUP(Linea,TP!$B$3:$DE$3,TP!E18:DH18),0)</f>
        <v>0</v>
      </c>
      <c r="AV18" s="847">
        <f t="shared" si="6"/>
        <v>0</v>
      </c>
      <c r="AW18" s="1081">
        <f>LOOKUP($BV18,PROD!$A$5:$A$725,PROD!$AE$10:$AE$730)</f>
        <v>0</v>
      </c>
      <c r="AX18" s="1076">
        <f>LOOKUP($BV18,PROD!$A$5:$A$725,PROD!$AE$11:$AE$731)</f>
        <v>0</v>
      </c>
      <c r="AY18" s="114">
        <f>'Pr-Sem'!Z18</f>
        <v>0</v>
      </c>
      <c r="AZ18" s="101">
        <f>IFERROR(LOOKUP(Linea,TP!$B$3:$DE$3,TP!F18:DI18),0)</f>
        <v>0</v>
      </c>
      <c r="BA18" s="840">
        <f>LOOKUP(TP!$A18,PROD!$A$5:$A$725,PROD!$Q$7:$Q$727)</f>
        <v>0</v>
      </c>
      <c r="BB18" s="118">
        <f t="shared" si="20"/>
        <v>0</v>
      </c>
      <c r="BC18" s="109">
        <f t="shared" si="27"/>
        <v>0</v>
      </c>
      <c r="BD18" s="125">
        <f>LOOKUP(TP!$A18,PROD!$A$5:$A$725,PROD!$AH$7:$AH$727)</f>
        <v>0</v>
      </c>
      <c r="BE18" s="101">
        <f t="shared" si="7"/>
        <v>0</v>
      </c>
      <c r="BF18" s="850">
        <f t="shared" si="8"/>
        <v>0</v>
      </c>
      <c r="BG18" s="129">
        <f>LOOKUP(TP!$A18,PROD!$A$5:$A$725,PROD!$AH$8:$AH$728)</f>
        <v>0</v>
      </c>
      <c r="BH18" s="101">
        <f t="shared" si="21"/>
        <v>0</v>
      </c>
      <c r="BI18" s="849">
        <f t="shared" si="9"/>
        <v>0</v>
      </c>
      <c r="BJ18" s="513">
        <f>'Pr-Sem'!AC18*10</f>
        <v>0</v>
      </c>
      <c r="BK18" s="514">
        <f>IFERROR(LOOKUP(Linea,TP!$B$3:$DE$3,TP!J18:DJ18),0)</f>
        <v>0</v>
      </c>
      <c r="BL18" s="848">
        <f t="shared" si="10"/>
        <v>0</v>
      </c>
      <c r="BM18" s="137">
        <f>LOOKUP($BV18,PROD!$A$5:$A$725,PROD!$AH$5:$AH$725)*IF($BM$5="Gr X H",1,100)</f>
        <v>0</v>
      </c>
      <c r="BN18" s="138">
        <f>LOOKUP($BV18,PROD!$A$5:$A$725,PROD!$AI$5:$AI$725)*IF($BM$5="Gr X H",1,100)</f>
        <v>0</v>
      </c>
      <c r="BO18" s="849">
        <f t="shared" si="29"/>
        <v>0</v>
      </c>
      <c r="BP18" s="137">
        <f>LOOKUP(BV18,PROD!$A$5:$A$725,PROD!$AH$6:$AH$726)*IF($BM$5="Gr X H",1,100)</f>
        <v>0</v>
      </c>
      <c r="BQ18" s="138">
        <f>LOOKUP($BV18,PROD!$A$5:$A$725,PROD!$AI$6:$AI$726)*IF($BM$5="Gr X H",1,100)</f>
        <v>0</v>
      </c>
      <c r="BR18" s="849">
        <f t="shared" si="22"/>
        <v>0</v>
      </c>
      <c r="BS18" s="137">
        <f>LOOKUP(TP!$A18,PROD!$A$5:$A$725,PROD!$AH$9:$AH$729)</f>
        <v>0</v>
      </c>
      <c r="BT18" s="138">
        <f>LOOKUP(TP!$A18,PROD!$A$5:$A$725,PROD!$AI$9:$AI$729)</f>
        <v>0</v>
      </c>
      <c r="BU18" s="849">
        <f t="shared" si="11"/>
        <v>0</v>
      </c>
      <c r="BV18" s="833">
        <f t="shared" si="23"/>
        <v>30</v>
      </c>
      <c r="BW18" s="191">
        <f ca="1">LOOKUP($BV18,INVENTARIOS!$A$4:$A$718,ECONO!$T$4:$T$724)*100</f>
        <v>0</v>
      </c>
      <c r="BX18" s="606">
        <f ca="1">LOOKUP($BV18,INVENTARIOS!$A$4:$A$718,ECONO!$T$5:$T$725)*100</f>
        <v>0</v>
      </c>
      <c r="BY18" s="606">
        <f ca="1">LOOKUP($BV18,INVENTARIOS!$A$4:$A$718,ECONO!$T$6:$T$726)*100</f>
        <v>0</v>
      </c>
      <c r="BZ18" s="606">
        <f ca="1">LOOKUP($BV18,INVENTARIOS!$A$4:$A$718,ECONO!$T$7:$T$727)*100</f>
        <v>0</v>
      </c>
      <c r="CA18" s="606">
        <f ca="1">LOOKUP($BV18,INVENTARIOS!$A$4:$A$718,ECONO!$T$8:$T$728)*100</f>
        <v>0</v>
      </c>
      <c r="CB18" s="606">
        <f ca="1">LOOKUP($BV18,INVENTARIOS!$A$4:$A$718,ECONO!$T$9:$T$729)*100</f>
        <v>0</v>
      </c>
      <c r="CC18" s="606">
        <f ca="1">LOOKUP($BV18,INVENTARIOS!$A$4:$A$718,ECONO!$T$10:$T$730)*100</f>
        <v>0</v>
      </c>
      <c r="CD18" s="99">
        <f ca="1">LOOKUP($BV18,INVENTARIOS!$A$4:$A$718,ECONO!$X$8:$X$728)*100</f>
        <v>0</v>
      </c>
      <c r="CE18" s="99">
        <f ca="1">LOOKUP($BV18,INVENTARIOS!$A$4:$A$718,ECONO!$X$9:$X$729)*100</f>
        <v>0</v>
      </c>
      <c r="CF18" s="192">
        <f ca="1">LOOKUP($BV18,INVENTARIOS!$A$4:$A$718,ECONO!$X$10:$X$730)*100</f>
        <v>0</v>
      </c>
      <c r="CG18" s="195">
        <f ca="1">LOOKUP(GSh!$BV18,INVENTARIOS!$A$4:$A$718,ECONO!$X$4:$X$724)*100</f>
        <v>0</v>
      </c>
      <c r="CH18" s="98">
        <f ca="1">LOOKUP(GSh!$BV18,INVENTARIOS!$A$4:$A$718,ECONO!$X$5:$X$725)*100</f>
        <v>0</v>
      </c>
      <c r="CI18" s="98">
        <f ca="1">LOOKUP(GSh!$BV18,INVENTARIOS!$A$4:$A$718,ECONO!$X$6:$X$726)*100</f>
        <v>0</v>
      </c>
      <c r="CJ18" s="194">
        <f ca="1">LOOKUP(GSh!$BV18,INVENTARIOS!$A$4:$A$718,ECONO!$X$7:$X$727)*100</f>
        <v>0</v>
      </c>
      <c r="CK18" s="34">
        <f>IF(OR(AO18&gt;0,AT18&gt;0,AD18&gt;0),TP!A18,CK17)</f>
        <v>0</v>
      </c>
      <c r="CL18" s="257">
        <f>LOOKUP($BV18,INVENTARIOS!$A$4:$A$724,ECONO!$O$10:$O$730)</f>
        <v>0</v>
      </c>
      <c r="CM18" s="258">
        <f>LOOKUP($BV18,INVENTARIOS!$A$4:$A$724,ECONO!$Z$9:$Z$729)</f>
        <v>0</v>
      </c>
      <c r="CN18" s="260">
        <f t="shared" si="12"/>
        <v>0</v>
      </c>
      <c r="CO18"/>
    </row>
    <row r="19" spans="1:93" ht="20.100000000000001" customHeight="1" x14ac:dyDescent="0.3">
      <c r="A19" s="974">
        <f t="shared" si="13"/>
        <v>14</v>
      </c>
      <c r="B19" s="883">
        <f>'Sem-L'!U19</f>
        <v>0</v>
      </c>
      <c r="C19" s="885">
        <f>IFERROR(LOOKUP(Linea,TL!$B$3:$BP$3,TL!$B19:$BP19),0)</f>
        <v>0</v>
      </c>
      <c r="D19" s="885">
        <f>IFERROR(LOOKUP(Linea,TL!$B$3:$BP$3,TL!$C19:$BQ19),0)</f>
        <v>0</v>
      </c>
      <c r="E19" s="975">
        <f t="shared" si="14"/>
        <v>0</v>
      </c>
      <c r="F19" s="71">
        <f t="shared" si="15"/>
        <v>0</v>
      </c>
      <c r="G19" s="71">
        <f>'Sem-L'!AB19</f>
        <v>0</v>
      </c>
      <c r="H19" s="71">
        <f>'Sem-L'!AC19</f>
        <v>0</v>
      </c>
      <c r="I19" s="976">
        <f t="shared" si="16"/>
        <v>0</v>
      </c>
      <c r="J19" s="185">
        <f>IF(AND(AvesIni&gt;0,OR(N19&gt;0,'Sem-L'!C19&gt;0),B19&gt;0),IF(B19&lt;C19,(B19-C19)/(G19/7),IF(B19&gt;D19,(B19-D19)/(H19/7),0)),0)</f>
        <v>0</v>
      </c>
      <c r="K19" s="898">
        <f>'Sem-L'!AG19</f>
        <v>0</v>
      </c>
      <c r="L19" s="902">
        <f>SUMIF(Levante!$A$6:$A$131,GSh!$A19,Levante!O$6:O$131)*Levante!$B$1/1000</f>
        <v>0</v>
      </c>
      <c r="M19" s="916">
        <f>SUMIF(Levante!$A$6:$A$131,GSh!$A19,Levante!P$6:P$131)*Levante!$B$1/1000</f>
        <v>0</v>
      </c>
      <c r="N19" s="912">
        <f>LOOKUP($A19,Levante!$B$6:$B$131,Levante!$X$6:$X$131)</f>
        <v>0</v>
      </c>
      <c r="O19" s="885">
        <f>IFERROR(LOOKUP(Linea,TL!$B$3:$BP$3,TL!$D19:$BR19),0)</f>
        <v>0</v>
      </c>
      <c r="P19" s="885">
        <f>IFERROR(LOOKUP(Linea,TL!$B$3:$BP$3,TL!$E19:$BS19),0)</f>
        <v>0</v>
      </c>
      <c r="Q19" s="977">
        <f t="shared" si="17"/>
        <v>0</v>
      </c>
      <c r="R19" s="928">
        <f>SUMIF(Levante!$A$6:$A$131,A19,Levante!$K$6:$K$131)</f>
        <v>0</v>
      </c>
      <c r="S19" s="906">
        <f>IFERROR(R19*1000/7/'Sem-L'!B19,0)</f>
        <v>0</v>
      </c>
      <c r="T19" s="921">
        <f t="shared" si="1"/>
        <v>0</v>
      </c>
      <c r="U19" s="925">
        <f ca="1">LOOKUP($A19,Levante!$B$6:$B$131,Levante!$X$8:$X$134)</f>
        <v>0</v>
      </c>
      <c r="V19" s="885">
        <f>IFERROR(LOOKUP(Linea,TL!$B$3:$BP$3,TL!$F19:$BT19),0)</f>
        <v>0</v>
      </c>
      <c r="W19" s="885">
        <f>IFERROR(LOOKUP(Linea,TL!$B$3:$BP$3,TL!$G19:$BU19),0)</f>
        <v>0</v>
      </c>
      <c r="X19" s="978">
        <f t="shared" ca="1" si="18"/>
        <v>0</v>
      </c>
      <c r="Y19" s="72">
        <f>LOOKUP($A19,Levante!$B$6:$B$131,Levante!$J$9:$J$134)</f>
        <v>0</v>
      </c>
      <c r="Z19" s="75">
        <f>LOOKUP($A19,Levante!$B$6:$B$131,Levante!$J$11:$J$136)</f>
        <v>0</v>
      </c>
      <c r="AA19" s="34">
        <f t="shared" si="19"/>
        <v>0</v>
      </c>
      <c r="AC19" s="1193">
        <f t="shared" si="2"/>
        <v>31</v>
      </c>
      <c r="AD19" s="844">
        <f>LOOKUP(TP!$A19,PROD!$A$5:$A$725,PROD!$O$5:$O$725)</f>
        <v>0</v>
      </c>
      <c r="AE19" s="101">
        <f>IFERROR(LOOKUP(Linea,TP!$B$3:$DE$3,TP!B19:DE19),0)</f>
        <v>0</v>
      </c>
      <c r="AF19" s="101">
        <f t="shared" si="24"/>
        <v>0</v>
      </c>
      <c r="AG19" s="101">
        <f t="shared" si="25"/>
        <v>0</v>
      </c>
      <c r="AH19" s="845">
        <f t="shared" si="3"/>
        <v>0</v>
      </c>
      <c r="AI19" s="846">
        <f>LOOKUP(TP!$A19,PROD!$A$5:$A$725,PROD!$O$6:$O$726)</f>
        <v>0</v>
      </c>
      <c r="AJ19" s="101">
        <f>IFERROR(LOOKUP(Linea,TP!$B$3:$DE$3,TP!C19:DF19),0)</f>
        <v>0</v>
      </c>
      <c r="AK19" s="101">
        <f t="shared" si="28"/>
        <v>0</v>
      </c>
      <c r="AL19" s="101">
        <f t="shared" si="26"/>
        <v>0</v>
      </c>
      <c r="AM19" s="837">
        <f t="shared" si="4"/>
        <v>0</v>
      </c>
      <c r="AN19" s="175">
        <f>LOOKUP(TP!$A19,PROD!$A$5:$A$725,PROD!$I$11:$I$731)</f>
        <v>0</v>
      </c>
      <c r="AO19" s="171">
        <f>LOOKUP(TP!$A19,PROD!$A$5:$A$725,PROD!$K$5:$K$725)*100</f>
        <v>0</v>
      </c>
      <c r="AP19" s="110">
        <f>LOOKUP(TP!$A19,PROD!$A$5:$A$725,PROD!$K$8:$K$728)*100</f>
        <v>0</v>
      </c>
      <c r="AQ19" s="110">
        <f t="shared" si="5"/>
        <v>100</v>
      </c>
      <c r="AR19" s="109">
        <f>IFERROR(LOOKUP(Linea,TP!$B$3:$DE$3,TP!D19:DG19),0)</f>
        <v>0</v>
      </c>
      <c r="AS19" s="838">
        <f>SUMIF(PROD!$BF$5:$BF$725,GSh!$BV19,PROD!$V$5:$V$725)/1000*PROD!$A$1</f>
        <v>0</v>
      </c>
      <c r="AT19" s="627">
        <f>LOOKUP(TP!$A19,PROD!$A$5:$A$725,PROD!$AD$5:$AD$725)</f>
        <v>0</v>
      </c>
      <c r="AU19" s="101">
        <f>IFERROR(LOOKUP(Linea,TP!$B$3:$DE$3,TP!E19:DH19),0)</f>
        <v>0</v>
      </c>
      <c r="AV19" s="847">
        <f t="shared" si="6"/>
        <v>0</v>
      </c>
      <c r="AW19" s="1081">
        <f>LOOKUP($BV19,PROD!$A$5:$A$725,PROD!$AE$10:$AE$730)</f>
        <v>0</v>
      </c>
      <c r="AX19" s="1076">
        <f>LOOKUP($BV19,PROD!$A$5:$A$725,PROD!$AE$11:$AE$731)</f>
        <v>0</v>
      </c>
      <c r="AY19" s="114">
        <f>'Pr-Sem'!Z19</f>
        <v>0</v>
      </c>
      <c r="AZ19" s="101">
        <f>IFERROR(LOOKUP(Linea,TP!$B$3:$DE$3,TP!F19:DI19),0)</f>
        <v>0</v>
      </c>
      <c r="BA19" s="840">
        <f>LOOKUP(TP!$A19,PROD!$A$5:$A$725,PROD!$Q$7:$Q$727)</f>
        <v>0</v>
      </c>
      <c r="BB19" s="118">
        <f t="shared" si="20"/>
        <v>0</v>
      </c>
      <c r="BC19" s="109">
        <f t="shared" si="27"/>
        <v>0</v>
      </c>
      <c r="BD19" s="125">
        <f>LOOKUP(TP!$A19,PROD!$A$5:$A$725,PROD!$AH$7:$AH$727)</f>
        <v>0</v>
      </c>
      <c r="BE19" s="101">
        <f t="shared" si="7"/>
        <v>0</v>
      </c>
      <c r="BF19" s="850">
        <f t="shared" si="8"/>
        <v>0</v>
      </c>
      <c r="BG19" s="129">
        <f>LOOKUP(TP!$A19,PROD!$A$5:$A$725,PROD!$AH$8:$AH$728)</f>
        <v>0</v>
      </c>
      <c r="BH19" s="101">
        <f t="shared" si="21"/>
        <v>0</v>
      </c>
      <c r="BI19" s="849">
        <f t="shared" si="9"/>
        <v>0</v>
      </c>
      <c r="BJ19" s="513">
        <f>'Pr-Sem'!AC19*10</f>
        <v>0</v>
      </c>
      <c r="BK19" s="514">
        <f>IFERROR(LOOKUP(Linea,TP!$B$3:$DE$3,TP!J19:DJ19),0)</f>
        <v>0</v>
      </c>
      <c r="BL19" s="848">
        <f t="shared" si="10"/>
        <v>0</v>
      </c>
      <c r="BM19" s="137">
        <f>LOOKUP($BV19,PROD!$A$5:$A$725,PROD!$AH$5:$AH$725)*IF($BM$5="Gr X H",1,100)</f>
        <v>0</v>
      </c>
      <c r="BN19" s="138">
        <f>LOOKUP($BV19,PROD!$A$5:$A$725,PROD!$AI$5:$AI$725)*IF($BM$5="Gr X H",1,100)</f>
        <v>0</v>
      </c>
      <c r="BO19" s="849">
        <f t="shared" si="29"/>
        <v>0</v>
      </c>
      <c r="BP19" s="137">
        <f>LOOKUP(BV19,PROD!$A$5:$A$725,PROD!$AH$6:$AH$726)*IF($BM$5="Gr X H",1,100)</f>
        <v>0</v>
      </c>
      <c r="BQ19" s="138">
        <f>LOOKUP($BV19,PROD!$A$5:$A$725,PROD!$AI$6:$AI$726)*IF($BM$5="Gr X H",1,100)</f>
        <v>0</v>
      </c>
      <c r="BR19" s="849">
        <f t="shared" si="22"/>
        <v>0</v>
      </c>
      <c r="BS19" s="137">
        <f>LOOKUP(TP!$A19,PROD!$A$5:$A$725,PROD!$AH$9:$AH$729)</f>
        <v>0</v>
      </c>
      <c r="BT19" s="138">
        <f>LOOKUP(TP!$A19,PROD!$A$5:$A$725,PROD!$AI$9:$AI$729)</f>
        <v>0</v>
      </c>
      <c r="BU19" s="849">
        <f t="shared" si="11"/>
        <v>0</v>
      </c>
      <c r="BV19" s="833">
        <f t="shared" si="23"/>
        <v>31</v>
      </c>
      <c r="BW19" s="191">
        <f ca="1">LOOKUP($BV19,INVENTARIOS!$A$4:$A$718,ECONO!$T$4:$T$724)*100</f>
        <v>0</v>
      </c>
      <c r="BX19" s="606">
        <f ca="1">LOOKUP($BV19,INVENTARIOS!$A$4:$A$718,ECONO!$T$5:$T$725)*100</f>
        <v>0</v>
      </c>
      <c r="BY19" s="606">
        <f ca="1">LOOKUP($BV19,INVENTARIOS!$A$4:$A$718,ECONO!$T$6:$T$726)*100</f>
        <v>0</v>
      </c>
      <c r="BZ19" s="606">
        <f ca="1">LOOKUP($BV19,INVENTARIOS!$A$4:$A$718,ECONO!$T$7:$T$727)*100</f>
        <v>0</v>
      </c>
      <c r="CA19" s="606">
        <f ca="1">LOOKUP($BV19,INVENTARIOS!$A$4:$A$718,ECONO!$T$8:$T$728)*100</f>
        <v>0</v>
      </c>
      <c r="CB19" s="606">
        <f ca="1">LOOKUP($BV19,INVENTARIOS!$A$4:$A$718,ECONO!$T$9:$T$729)*100</f>
        <v>0</v>
      </c>
      <c r="CC19" s="606">
        <f ca="1">LOOKUP($BV19,INVENTARIOS!$A$4:$A$718,ECONO!$T$10:$T$730)*100</f>
        <v>0</v>
      </c>
      <c r="CD19" s="99">
        <f ca="1">LOOKUP($BV19,INVENTARIOS!$A$4:$A$718,ECONO!$X$8:$X$728)*100</f>
        <v>0</v>
      </c>
      <c r="CE19" s="99">
        <f ca="1">LOOKUP($BV19,INVENTARIOS!$A$4:$A$718,ECONO!$X$9:$X$729)*100</f>
        <v>0</v>
      </c>
      <c r="CF19" s="192">
        <f ca="1">LOOKUP($BV19,INVENTARIOS!$A$4:$A$718,ECONO!$X$10:$X$730)*100</f>
        <v>0</v>
      </c>
      <c r="CG19" s="195">
        <f ca="1">LOOKUP(GSh!$BV19,INVENTARIOS!$A$4:$A$718,ECONO!$X$4:$X$724)*100</f>
        <v>0</v>
      </c>
      <c r="CH19" s="98">
        <f ca="1">LOOKUP(GSh!$BV19,INVENTARIOS!$A$4:$A$718,ECONO!$X$5:$X$725)*100</f>
        <v>0</v>
      </c>
      <c r="CI19" s="98">
        <f ca="1">LOOKUP(GSh!$BV19,INVENTARIOS!$A$4:$A$718,ECONO!$X$6:$X$726)*100</f>
        <v>0</v>
      </c>
      <c r="CJ19" s="194">
        <f ca="1">LOOKUP(GSh!$BV19,INVENTARIOS!$A$4:$A$718,ECONO!$X$7:$X$727)*100</f>
        <v>0</v>
      </c>
      <c r="CK19" s="34">
        <f>IF(OR(AO19&gt;0,AT19&gt;0,AD19&gt;0),TP!A19,CK18)</f>
        <v>0</v>
      </c>
      <c r="CL19" s="257">
        <f>LOOKUP($BV19,INVENTARIOS!$A$4:$A$724,ECONO!$O$10:$O$730)</f>
        <v>0</v>
      </c>
      <c r="CM19" s="258">
        <f>LOOKUP($BV19,INVENTARIOS!$A$4:$A$724,ECONO!$Z$9:$Z$729)</f>
        <v>0</v>
      </c>
      <c r="CN19" s="260">
        <f t="shared" si="12"/>
        <v>0</v>
      </c>
      <c r="CO19"/>
    </row>
    <row r="20" spans="1:93" ht="20.100000000000001" customHeight="1" x14ac:dyDescent="0.3">
      <c r="A20" s="974">
        <f t="shared" si="13"/>
        <v>15</v>
      </c>
      <c r="B20" s="883">
        <f>'Sem-L'!U20</f>
        <v>0</v>
      </c>
      <c r="C20" s="885">
        <f>IFERROR(LOOKUP(Linea,TL!$B$3:$BP$3,TL!$B20:$BP20),0)</f>
        <v>0</v>
      </c>
      <c r="D20" s="885">
        <f>IFERROR(LOOKUP(Linea,TL!$B$3:$BP$3,TL!$C20:$BQ20),0)</f>
        <v>0</v>
      </c>
      <c r="E20" s="975">
        <f t="shared" si="14"/>
        <v>0</v>
      </c>
      <c r="F20" s="71">
        <f t="shared" si="15"/>
        <v>0</v>
      </c>
      <c r="G20" s="71">
        <f>'Sem-L'!AB20</f>
        <v>0</v>
      </c>
      <c r="H20" s="71">
        <f>'Sem-L'!AC20</f>
        <v>0</v>
      </c>
      <c r="I20" s="976">
        <f t="shared" si="16"/>
        <v>0</v>
      </c>
      <c r="J20" s="185">
        <f>IF(AND(AvesIni&gt;0,OR(N20&gt;0,'Sem-L'!C20&gt;0),B20&gt;0),IF(B20&lt;C20,(B20-C20)/(G20/7),IF(B20&gt;D20,(B20-D20)/(H20/7),0)),0)</f>
        <v>0</v>
      </c>
      <c r="K20" s="898">
        <f>'Sem-L'!AG20</f>
        <v>0</v>
      </c>
      <c r="L20" s="902">
        <f>SUMIF(Levante!$A$6:$A$131,GSh!$A20,Levante!O$6:O$131)*Levante!$B$1/1000</f>
        <v>0</v>
      </c>
      <c r="M20" s="916">
        <f>SUMIF(Levante!$A$6:$A$131,GSh!$A20,Levante!P$6:P$131)*Levante!$B$1/1000</f>
        <v>0</v>
      </c>
      <c r="N20" s="912">
        <f>LOOKUP($A20,Levante!$B$6:$B$131,Levante!$X$6:$X$131)</f>
        <v>0</v>
      </c>
      <c r="O20" s="885">
        <f>IFERROR(LOOKUP(Linea,TL!$B$3:$BP$3,TL!$D20:$BR20),0)</f>
        <v>0</v>
      </c>
      <c r="P20" s="885">
        <f>IFERROR(LOOKUP(Linea,TL!$B$3:$BP$3,TL!$E20:$BS20),0)</f>
        <v>0</v>
      </c>
      <c r="Q20" s="977">
        <f t="shared" si="17"/>
        <v>0</v>
      </c>
      <c r="R20" s="928">
        <f>SUMIF(Levante!$A$6:$A$131,A20,Levante!$K$6:$K$131)</f>
        <v>0</v>
      </c>
      <c r="S20" s="906">
        <f>IFERROR(R20*1000/7/'Sem-L'!B20,0)</f>
        <v>0</v>
      </c>
      <c r="T20" s="921">
        <f t="shared" si="1"/>
        <v>0</v>
      </c>
      <c r="U20" s="925">
        <f ca="1">LOOKUP($A20,Levante!$B$6:$B$131,Levante!$X$8:$X$134)</f>
        <v>0</v>
      </c>
      <c r="V20" s="885">
        <f>IFERROR(LOOKUP(Linea,TL!$B$3:$BP$3,TL!$F20:$BT20),0)</f>
        <v>0</v>
      </c>
      <c r="W20" s="885">
        <f>IFERROR(LOOKUP(Linea,TL!$B$3:$BP$3,TL!$G20:$BU20),0)</f>
        <v>0</v>
      </c>
      <c r="X20" s="978">
        <f t="shared" ca="1" si="18"/>
        <v>0</v>
      </c>
      <c r="Y20" s="72">
        <f>LOOKUP($A20,Levante!$B$6:$B$131,Levante!$J$9:$J$134)</f>
        <v>0</v>
      </c>
      <c r="Z20" s="75">
        <f>LOOKUP($A20,Levante!$B$6:$B$131,Levante!$J$11:$J$136)</f>
        <v>0</v>
      </c>
      <c r="AA20" s="34">
        <f t="shared" si="19"/>
        <v>0</v>
      </c>
      <c r="AC20" s="1193">
        <f t="shared" si="2"/>
        <v>32</v>
      </c>
      <c r="AD20" s="844">
        <f>LOOKUP(TP!$A20,PROD!$A$5:$A$725,PROD!$O$5:$O$725)</f>
        <v>0</v>
      </c>
      <c r="AE20" s="101">
        <f>IFERROR(LOOKUP(Linea,TP!$B$3:$DE$3,TP!B20:DE20),0)</f>
        <v>0</v>
      </c>
      <c r="AF20" s="101">
        <f t="shared" si="24"/>
        <v>0</v>
      </c>
      <c r="AG20" s="101">
        <f t="shared" si="25"/>
        <v>0</v>
      </c>
      <c r="AH20" s="845">
        <f t="shared" si="3"/>
        <v>0</v>
      </c>
      <c r="AI20" s="846">
        <f>LOOKUP(TP!$A20,PROD!$A$5:$A$725,PROD!$O$6:$O$726)</f>
        <v>0</v>
      </c>
      <c r="AJ20" s="101">
        <f>IFERROR(LOOKUP(Linea,TP!$B$3:$DE$3,TP!C20:DF20),0)</f>
        <v>0</v>
      </c>
      <c r="AK20" s="101">
        <f t="shared" si="28"/>
        <v>0</v>
      </c>
      <c r="AL20" s="101">
        <f t="shared" si="26"/>
        <v>0</v>
      </c>
      <c r="AM20" s="837">
        <f t="shared" si="4"/>
        <v>0</v>
      </c>
      <c r="AN20" s="175">
        <f>LOOKUP(TP!$A20,PROD!$A$5:$A$725,PROD!$I$11:$I$731)</f>
        <v>0</v>
      </c>
      <c r="AO20" s="171">
        <f>LOOKUP(TP!$A20,PROD!$A$5:$A$725,PROD!$K$5:$K$725)*100</f>
        <v>0</v>
      </c>
      <c r="AP20" s="110">
        <f>LOOKUP(TP!$A20,PROD!$A$5:$A$725,PROD!$K$8:$K$728)*100</f>
        <v>0</v>
      </c>
      <c r="AQ20" s="110">
        <f t="shared" si="5"/>
        <v>100</v>
      </c>
      <c r="AR20" s="109">
        <f>IFERROR(LOOKUP(Linea,TP!$B$3:$DE$3,TP!D20:DG20),0)</f>
        <v>0</v>
      </c>
      <c r="AS20" s="838">
        <f>SUMIF(PROD!$BF$5:$BF$725,GSh!$BV20,PROD!$V$5:$V$725)/1000*PROD!$A$1</f>
        <v>0</v>
      </c>
      <c r="AT20" s="627">
        <f>LOOKUP(TP!$A20,PROD!$A$5:$A$725,PROD!$AD$5:$AD$725)</f>
        <v>0</v>
      </c>
      <c r="AU20" s="101">
        <f>IFERROR(LOOKUP(Linea,TP!$B$3:$DE$3,TP!E20:DH20),0)</f>
        <v>0</v>
      </c>
      <c r="AV20" s="847">
        <f t="shared" si="6"/>
        <v>0</v>
      </c>
      <c r="AW20" s="1081">
        <f>LOOKUP($BV20,PROD!$A$5:$A$725,PROD!$AE$10:$AE$730)</f>
        <v>0</v>
      </c>
      <c r="AX20" s="1076">
        <f>LOOKUP($BV20,PROD!$A$5:$A$725,PROD!$AE$11:$AE$731)</f>
        <v>0</v>
      </c>
      <c r="AY20" s="114">
        <f>'Pr-Sem'!Z20</f>
        <v>0</v>
      </c>
      <c r="AZ20" s="101">
        <f>IFERROR(LOOKUP(Linea,TP!$B$3:$DE$3,TP!F20:DI20),0)</f>
        <v>0</v>
      </c>
      <c r="BA20" s="840">
        <f>LOOKUP(TP!$A20,PROD!$A$5:$A$725,PROD!$Q$7:$Q$727)</f>
        <v>0</v>
      </c>
      <c r="BB20" s="118">
        <f t="shared" si="20"/>
        <v>0</v>
      </c>
      <c r="BC20" s="109">
        <f t="shared" si="27"/>
        <v>0</v>
      </c>
      <c r="BD20" s="125">
        <f>LOOKUP(TP!$A20,PROD!$A$5:$A$725,PROD!$AH$7:$AH$727)</f>
        <v>0</v>
      </c>
      <c r="BE20" s="101">
        <f t="shared" si="7"/>
        <v>0</v>
      </c>
      <c r="BF20" s="850">
        <f t="shared" si="8"/>
        <v>0</v>
      </c>
      <c r="BG20" s="129">
        <f>LOOKUP(TP!$A20,PROD!$A$5:$A$725,PROD!$AH$8:$AH$728)</f>
        <v>0</v>
      </c>
      <c r="BH20" s="101">
        <f t="shared" si="21"/>
        <v>0</v>
      </c>
      <c r="BI20" s="849">
        <f t="shared" si="9"/>
        <v>0</v>
      </c>
      <c r="BJ20" s="513">
        <f>'Pr-Sem'!AC20*10</f>
        <v>0</v>
      </c>
      <c r="BK20" s="514">
        <f>IFERROR(LOOKUP(Linea,TP!$B$3:$DE$3,TP!J20:DJ20),0)</f>
        <v>0</v>
      </c>
      <c r="BL20" s="848">
        <f t="shared" si="10"/>
        <v>0</v>
      </c>
      <c r="BM20" s="137">
        <f>LOOKUP($BV20,PROD!$A$5:$A$725,PROD!$AH$5:$AH$725)*IF($BM$5="Gr X H",1,100)</f>
        <v>0</v>
      </c>
      <c r="BN20" s="138">
        <f>LOOKUP($BV20,PROD!$A$5:$A$725,PROD!$AI$5:$AI$725)*IF($BM$5="Gr X H",1,100)</f>
        <v>0</v>
      </c>
      <c r="BO20" s="849">
        <f t="shared" si="29"/>
        <v>0</v>
      </c>
      <c r="BP20" s="137">
        <f>LOOKUP(BV20,PROD!$A$5:$A$725,PROD!$AH$6:$AH$726)*IF($BM$5="Gr X H",1,100)</f>
        <v>0</v>
      </c>
      <c r="BQ20" s="138">
        <f>LOOKUP($BV20,PROD!$A$5:$A$725,PROD!$AI$6:$AI$726)*IF($BM$5="Gr X H",1,100)</f>
        <v>0</v>
      </c>
      <c r="BR20" s="849">
        <f t="shared" si="22"/>
        <v>0</v>
      </c>
      <c r="BS20" s="137">
        <f>LOOKUP(TP!$A20,PROD!$A$5:$A$725,PROD!$AH$9:$AH$729)</f>
        <v>0</v>
      </c>
      <c r="BT20" s="138">
        <f>LOOKUP(TP!$A20,PROD!$A$5:$A$725,PROD!$AI$9:$AI$729)</f>
        <v>0</v>
      </c>
      <c r="BU20" s="849">
        <f t="shared" si="11"/>
        <v>0</v>
      </c>
      <c r="BV20" s="833">
        <f t="shared" si="23"/>
        <v>32</v>
      </c>
      <c r="BW20" s="191">
        <f ca="1">LOOKUP($BV20,INVENTARIOS!$A$4:$A$718,ECONO!$T$4:$T$724)*100</f>
        <v>0</v>
      </c>
      <c r="BX20" s="606">
        <f ca="1">LOOKUP($BV20,INVENTARIOS!$A$4:$A$718,ECONO!$T$5:$T$725)*100</f>
        <v>0</v>
      </c>
      <c r="BY20" s="606">
        <f ca="1">LOOKUP($BV20,INVENTARIOS!$A$4:$A$718,ECONO!$T$6:$T$726)*100</f>
        <v>0</v>
      </c>
      <c r="BZ20" s="606">
        <f ca="1">LOOKUP($BV20,INVENTARIOS!$A$4:$A$718,ECONO!$T$7:$T$727)*100</f>
        <v>0</v>
      </c>
      <c r="CA20" s="606">
        <f ca="1">LOOKUP($BV20,INVENTARIOS!$A$4:$A$718,ECONO!$T$8:$T$728)*100</f>
        <v>0</v>
      </c>
      <c r="CB20" s="606">
        <f ca="1">LOOKUP($BV20,INVENTARIOS!$A$4:$A$718,ECONO!$T$9:$T$729)*100</f>
        <v>0</v>
      </c>
      <c r="CC20" s="606">
        <f ca="1">LOOKUP($BV20,INVENTARIOS!$A$4:$A$718,ECONO!$T$10:$T$730)*100</f>
        <v>0</v>
      </c>
      <c r="CD20" s="99">
        <f ca="1">LOOKUP($BV20,INVENTARIOS!$A$4:$A$718,ECONO!$X$8:$X$728)*100</f>
        <v>0</v>
      </c>
      <c r="CE20" s="99">
        <f ca="1">LOOKUP($BV20,INVENTARIOS!$A$4:$A$718,ECONO!$X$9:$X$729)*100</f>
        <v>0</v>
      </c>
      <c r="CF20" s="192">
        <f ca="1">LOOKUP($BV20,INVENTARIOS!$A$4:$A$718,ECONO!$X$10:$X$730)*100</f>
        <v>0</v>
      </c>
      <c r="CG20" s="195">
        <f ca="1">LOOKUP(GSh!$BV20,INVENTARIOS!$A$4:$A$718,ECONO!$X$4:$X$724)*100</f>
        <v>0</v>
      </c>
      <c r="CH20" s="98">
        <f ca="1">LOOKUP(GSh!$BV20,INVENTARIOS!$A$4:$A$718,ECONO!$X$5:$X$725)*100</f>
        <v>0</v>
      </c>
      <c r="CI20" s="98">
        <f ca="1">LOOKUP(GSh!$BV20,INVENTARIOS!$A$4:$A$718,ECONO!$X$6:$X$726)*100</f>
        <v>0</v>
      </c>
      <c r="CJ20" s="194">
        <f ca="1">LOOKUP(GSh!$BV20,INVENTARIOS!$A$4:$A$718,ECONO!$X$7:$X$727)*100</f>
        <v>0</v>
      </c>
      <c r="CK20" s="34">
        <f>IF(OR(AO20&gt;0,AT20&gt;0,AD20&gt;0),TP!A20,CK19)</f>
        <v>0</v>
      </c>
      <c r="CL20" s="257">
        <f>LOOKUP($BV20,INVENTARIOS!$A$4:$A$724,ECONO!$O$10:$O$730)</f>
        <v>0</v>
      </c>
      <c r="CM20" s="258">
        <f>LOOKUP($BV20,INVENTARIOS!$A$4:$A$724,ECONO!$Z$9:$Z$729)</f>
        <v>0</v>
      </c>
      <c r="CN20" s="260">
        <f t="shared" si="12"/>
        <v>0</v>
      </c>
      <c r="CO20"/>
    </row>
    <row r="21" spans="1:93" ht="20.100000000000001" customHeight="1" x14ac:dyDescent="0.3">
      <c r="A21" s="974">
        <f t="shared" si="13"/>
        <v>16</v>
      </c>
      <c r="B21" s="883">
        <f>'Sem-L'!U21</f>
        <v>0</v>
      </c>
      <c r="C21" s="885">
        <f>IFERROR(LOOKUP(Linea,TL!$B$3:$BP$3,TL!$B21:$BP21),0)</f>
        <v>0</v>
      </c>
      <c r="D21" s="885">
        <f>IFERROR(LOOKUP(Linea,TL!$B$3:$BP$3,TL!$C21:$BQ21),0)</f>
        <v>0</v>
      </c>
      <c r="E21" s="975">
        <f t="shared" si="14"/>
        <v>0</v>
      </c>
      <c r="F21" s="71">
        <f t="shared" si="15"/>
        <v>0</v>
      </c>
      <c r="G21" s="71">
        <f>'Sem-L'!AB21</f>
        <v>0</v>
      </c>
      <c r="H21" s="71">
        <f>'Sem-L'!AC21</f>
        <v>0</v>
      </c>
      <c r="I21" s="976">
        <f t="shared" si="16"/>
        <v>0</v>
      </c>
      <c r="J21" s="185">
        <f>IF(AND(AvesIni&gt;0,OR(N21&gt;0,'Sem-L'!C21&gt;0),B21&gt;0),IF(B21&lt;C21,(B21-C21)/(G21/7),IF(B21&gt;D21,(B21-D21)/(H21/7),0)),0)</f>
        <v>0</v>
      </c>
      <c r="K21" s="898">
        <f>'Sem-L'!AG21</f>
        <v>0</v>
      </c>
      <c r="L21" s="902">
        <f>SUMIF(Levante!$A$6:$A$131,GSh!$A21,Levante!O$6:O$131)*Levante!$B$1/1000</f>
        <v>0</v>
      </c>
      <c r="M21" s="916">
        <f>SUMIF(Levante!$A$6:$A$131,GSh!$A21,Levante!P$6:P$131)*Levante!$B$1/1000</f>
        <v>0</v>
      </c>
      <c r="N21" s="912">
        <f>LOOKUP($A21,Levante!$B$6:$B$131,Levante!$X$6:$X$131)</f>
        <v>0</v>
      </c>
      <c r="O21" s="885">
        <f>IFERROR(LOOKUP(Linea,TL!$B$3:$BP$3,TL!$D21:$BR21),0)</f>
        <v>0</v>
      </c>
      <c r="P21" s="885">
        <f>IFERROR(LOOKUP(Linea,TL!$B$3:$BP$3,TL!$E21:$BS21),0)</f>
        <v>0</v>
      </c>
      <c r="Q21" s="977">
        <f t="shared" si="17"/>
        <v>0</v>
      </c>
      <c r="R21" s="928">
        <f>SUMIF(Levante!$A$6:$A$131,A21,Levante!$K$6:$K$131)</f>
        <v>0</v>
      </c>
      <c r="S21" s="906">
        <f>IFERROR(R21*1000/7/'Sem-L'!B21,0)</f>
        <v>0</v>
      </c>
      <c r="T21" s="921">
        <f t="shared" si="1"/>
        <v>0</v>
      </c>
      <c r="U21" s="925">
        <f ca="1">LOOKUP($A21,Levante!$B$6:$B$131,Levante!$X$8:$X$134)</f>
        <v>0</v>
      </c>
      <c r="V21" s="885">
        <f>IFERROR(LOOKUP(Linea,TL!$B$3:$BP$3,TL!$F21:$BT21),0)</f>
        <v>0</v>
      </c>
      <c r="W21" s="885">
        <f>IFERROR(LOOKUP(Linea,TL!$B$3:$BP$3,TL!$G21:$BU21),0)</f>
        <v>0</v>
      </c>
      <c r="X21" s="978">
        <f t="shared" ca="1" si="18"/>
        <v>0</v>
      </c>
      <c r="Y21" s="72">
        <f>LOOKUP($A21,Levante!$B$6:$B$131,Levante!$J$9:$J$134)</f>
        <v>0</v>
      </c>
      <c r="Z21" s="75">
        <f>LOOKUP($A21,Levante!$B$6:$B$131,Levante!$J$11:$J$136)</f>
        <v>0</v>
      </c>
      <c r="AA21" s="34">
        <f t="shared" si="19"/>
        <v>0</v>
      </c>
      <c r="AC21" s="1193">
        <f t="shared" si="2"/>
        <v>33</v>
      </c>
      <c r="AD21" s="844">
        <f>LOOKUP(TP!$A21,PROD!$A$5:$A$725,PROD!$O$5:$O$725)</f>
        <v>0</v>
      </c>
      <c r="AE21" s="101">
        <f>IFERROR(LOOKUP(Linea,TP!$B$3:$DE$3,TP!B21:DE21),0)</f>
        <v>0</v>
      </c>
      <c r="AF21" s="101">
        <f t="shared" si="24"/>
        <v>0</v>
      </c>
      <c r="AG21" s="101">
        <f t="shared" si="25"/>
        <v>0</v>
      </c>
      <c r="AH21" s="845">
        <f t="shared" si="3"/>
        <v>0</v>
      </c>
      <c r="AI21" s="846">
        <f>LOOKUP(TP!$A21,PROD!$A$5:$A$725,PROD!$O$6:$O$726)</f>
        <v>0</v>
      </c>
      <c r="AJ21" s="101">
        <f>IFERROR(LOOKUP(Linea,TP!$B$3:$DE$3,TP!C21:DF21),0)</f>
        <v>0</v>
      </c>
      <c r="AK21" s="101">
        <f t="shared" si="28"/>
        <v>0</v>
      </c>
      <c r="AL21" s="101">
        <f t="shared" si="26"/>
        <v>0</v>
      </c>
      <c r="AM21" s="837">
        <f t="shared" si="4"/>
        <v>0</v>
      </c>
      <c r="AN21" s="175">
        <f>LOOKUP(TP!$A21,PROD!$A$5:$A$725,PROD!$I$11:$I$731)</f>
        <v>0</v>
      </c>
      <c r="AO21" s="171">
        <f>LOOKUP(TP!$A21,PROD!$A$5:$A$725,PROD!$K$5:$K$725)*100</f>
        <v>0</v>
      </c>
      <c r="AP21" s="110">
        <f>LOOKUP(TP!$A21,PROD!$A$5:$A$725,PROD!$K$8:$K$728)*100</f>
        <v>0</v>
      </c>
      <c r="AQ21" s="110">
        <f t="shared" si="5"/>
        <v>100</v>
      </c>
      <c r="AR21" s="109">
        <f>IFERROR(LOOKUP(Linea,TP!$B$3:$DE$3,TP!D21:DG21),0)</f>
        <v>0</v>
      </c>
      <c r="AS21" s="838">
        <f>SUMIF(PROD!$BF$5:$BF$725,GSh!$BV21,PROD!$V$5:$V$725)/1000*PROD!$A$1</f>
        <v>0</v>
      </c>
      <c r="AT21" s="627">
        <f>LOOKUP(TP!$A21,PROD!$A$5:$A$725,PROD!$AD$5:$AD$725)</f>
        <v>0</v>
      </c>
      <c r="AU21" s="101">
        <f>IFERROR(LOOKUP(Linea,TP!$B$3:$DE$3,TP!E21:DH21),0)</f>
        <v>0</v>
      </c>
      <c r="AV21" s="847">
        <f t="shared" si="6"/>
        <v>0</v>
      </c>
      <c r="AW21" s="1081">
        <f>LOOKUP($BV21,PROD!$A$5:$A$725,PROD!$AE$10:$AE$730)</f>
        <v>0</v>
      </c>
      <c r="AX21" s="1076">
        <f>LOOKUP($BV21,PROD!$A$5:$A$725,PROD!$AE$11:$AE$731)</f>
        <v>0</v>
      </c>
      <c r="AY21" s="114">
        <f>'Pr-Sem'!Z21</f>
        <v>0</v>
      </c>
      <c r="AZ21" s="101">
        <f>IFERROR(LOOKUP(Linea,TP!$B$3:$DE$3,TP!F21:DI21),0)</f>
        <v>0</v>
      </c>
      <c r="BA21" s="840">
        <f>LOOKUP(TP!$A21,PROD!$A$5:$A$725,PROD!$Q$7:$Q$727)</f>
        <v>0</v>
      </c>
      <c r="BB21" s="118">
        <f t="shared" si="20"/>
        <v>0</v>
      </c>
      <c r="BC21" s="109">
        <f t="shared" si="27"/>
        <v>0</v>
      </c>
      <c r="BD21" s="125">
        <f>LOOKUP(TP!$A21,PROD!$A$5:$A$725,PROD!$AH$7:$AH$727)</f>
        <v>0</v>
      </c>
      <c r="BE21" s="101">
        <f t="shared" si="7"/>
        <v>0</v>
      </c>
      <c r="BF21" s="850">
        <f t="shared" si="8"/>
        <v>0</v>
      </c>
      <c r="BG21" s="129">
        <f>LOOKUP(TP!$A21,PROD!$A$5:$A$725,PROD!$AH$8:$AH$728)</f>
        <v>0</v>
      </c>
      <c r="BH21" s="101">
        <f t="shared" si="21"/>
        <v>0</v>
      </c>
      <c r="BI21" s="849">
        <f t="shared" si="9"/>
        <v>0</v>
      </c>
      <c r="BJ21" s="513">
        <f>'Pr-Sem'!AC21*10</f>
        <v>0</v>
      </c>
      <c r="BK21" s="514">
        <f>IFERROR(LOOKUP(Linea,TP!$B$3:$DE$3,TP!J21:DJ21),0)</f>
        <v>0</v>
      </c>
      <c r="BL21" s="848">
        <f t="shared" si="10"/>
        <v>0</v>
      </c>
      <c r="BM21" s="137">
        <f>LOOKUP($BV21,PROD!$A$5:$A$725,PROD!$AH$5:$AH$725)*IF($BM$5="Gr X H",1,100)</f>
        <v>0</v>
      </c>
      <c r="BN21" s="138">
        <f>LOOKUP($BV21,PROD!$A$5:$A$725,PROD!$AI$5:$AI$725)*IF($BM$5="Gr X H",1,100)</f>
        <v>0</v>
      </c>
      <c r="BO21" s="849">
        <f t="shared" si="29"/>
        <v>0</v>
      </c>
      <c r="BP21" s="137">
        <f>LOOKUP(BV21,PROD!$A$5:$A$725,PROD!$AH$6:$AH$726)*IF($BM$5="Gr X H",1,100)</f>
        <v>0</v>
      </c>
      <c r="BQ21" s="138">
        <f>LOOKUP($BV21,PROD!$A$5:$A$725,PROD!$AI$6:$AI$726)*IF($BM$5="Gr X H",1,100)</f>
        <v>0</v>
      </c>
      <c r="BR21" s="849">
        <f t="shared" si="22"/>
        <v>0</v>
      </c>
      <c r="BS21" s="137">
        <f>LOOKUP(TP!$A21,PROD!$A$5:$A$725,PROD!$AH$9:$AH$729)</f>
        <v>0</v>
      </c>
      <c r="BT21" s="138">
        <f>LOOKUP(TP!$A21,PROD!$A$5:$A$725,PROD!$AI$9:$AI$729)</f>
        <v>0</v>
      </c>
      <c r="BU21" s="849">
        <f t="shared" si="11"/>
        <v>0</v>
      </c>
      <c r="BV21" s="833">
        <f t="shared" si="23"/>
        <v>33</v>
      </c>
      <c r="BW21" s="191">
        <f ca="1">LOOKUP($BV21,INVENTARIOS!$A$4:$A$718,ECONO!$T$4:$T$724)*100</f>
        <v>0</v>
      </c>
      <c r="BX21" s="606">
        <f ca="1">LOOKUP($BV21,INVENTARIOS!$A$4:$A$718,ECONO!$T$5:$T$725)*100</f>
        <v>0</v>
      </c>
      <c r="BY21" s="606">
        <f ca="1">LOOKUP($BV21,INVENTARIOS!$A$4:$A$718,ECONO!$T$6:$T$726)*100</f>
        <v>0</v>
      </c>
      <c r="BZ21" s="606">
        <f ca="1">LOOKUP($BV21,INVENTARIOS!$A$4:$A$718,ECONO!$T$7:$T$727)*100</f>
        <v>0</v>
      </c>
      <c r="CA21" s="606">
        <f ca="1">LOOKUP($BV21,INVENTARIOS!$A$4:$A$718,ECONO!$T$8:$T$728)*100</f>
        <v>0</v>
      </c>
      <c r="CB21" s="606">
        <f ca="1">LOOKUP($BV21,INVENTARIOS!$A$4:$A$718,ECONO!$T$9:$T$729)*100</f>
        <v>0</v>
      </c>
      <c r="CC21" s="606">
        <f ca="1">LOOKUP($BV21,INVENTARIOS!$A$4:$A$718,ECONO!$T$10:$T$730)*100</f>
        <v>0</v>
      </c>
      <c r="CD21" s="99">
        <f ca="1">LOOKUP($BV21,INVENTARIOS!$A$4:$A$718,ECONO!$X$8:$X$728)*100</f>
        <v>0</v>
      </c>
      <c r="CE21" s="99">
        <f ca="1">LOOKUP($BV21,INVENTARIOS!$A$4:$A$718,ECONO!$X$9:$X$729)*100</f>
        <v>0</v>
      </c>
      <c r="CF21" s="192">
        <f ca="1">LOOKUP($BV21,INVENTARIOS!$A$4:$A$718,ECONO!$X$10:$X$730)*100</f>
        <v>0</v>
      </c>
      <c r="CG21" s="195">
        <f ca="1">LOOKUP(GSh!$BV21,INVENTARIOS!$A$4:$A$718,ECONO!$X$4:$X$724)*100</f>
        <v>0</v>
      </c>
      <c r="CH21" s="98">
        <f ca="1">LOOKUP(GSh!$BV21,INVENTARIOS!$A$4:$A$718,ECONO!$X$5:$X$725)*100</f>
        <v>0</v>
      </c>
      <c r="CI21" s="98">
        <f ca="1">LOOKUP(GSh!$BV21,INVENTARIOS!$A$4:$A$718,ECONO!$X$6:$X$726)*100</f>
        <v>0</v>
      </c>
      <c r="CJ21" s="194">
        <f ca="1">LOOKUP(GSh!$BV21,INVENTARIOS!$A$4:$A$718,ECONO!$X$7:$X$727)*100</f>
        <v>0</v>
      </c>
      <c r="CK21" s="34">
        <f>IF(OR(AO21&gt;0,AT21&gt;0,AD21&gt;0),TP!A21,CK20)</f>
        <v>0</v>
      </c>
      <c r="CL21" s="257">
        <f>LOOKUP($BV21,INVENTARIOS!$A$4:$A$724,ECONO!$O$10:$O$730)</f>
        <v>0</v>
      </c>
      <c r="CM21" s="258">
        <f>LOOKUP($BV21,INVENTARIOS!$A$4:$A$724,ECONO!$Z$9:$Z$729)</f>
        <v>0</v>
      </c>
      <c r="CN21" s="260">
        <f t="shared" si="12"/>
        <v>0</v>
      </c>
      <c r="CO21"/>
    </row>
    <row r="22" spans="1:93" ht="20.100000000000001" customHeight="1" x14ac:dyDescent="0.3">
      <c r="A22" s="974">
        <f t="shared" si="13"/>
        <v>17</v>
      </c>
      <c r="B22" s="883">
        <f>'Sem-L'!U22</f>
        <v>0</v>
      </c>
      <c r="C22" s="885">
        <f>IFERROR(LOOKUP(Linea,TL!$B$3:$BP$3,TL!$B22:$BP22),0)</f>
        <v>0</v>
      </c>
      <c r="D22" s="885">
        <f>IFERROR(LOOKUP(Linea,TL!$B$3:$BP$3,TL!$C22:$BQ22),0)</f>
        <v>0</v>
      </c>
      <c r="E22" s="975">
        <f t="shared" si="14"/>
        <v>0</v>
      </c>
      <c r="F22" s="71">
        <f t="shared" si="15"/>
        <v>0</v>
      </c>
      <c r="G22" s="71">
        <f>'Sem-L'!AB22</f>
        <v>0</v>
      </c>
      <c r="H22" s="71">
        <f>'Sem-L'!AC22</f>
        <v>0</v>
      </c>
      <c r="I22" s="976">
        <f t="shared" si="16"/>
        <v>0</v>
      </c>
      <c r="J22" s="185">
        <f>IF(AND(AvesIni&gt;0,OR(N22&gt;0,'Sem-L'!C22&gt;0),B22&gt;0),IF(B22&lt;C22,(B22-C22)/(G22/7),IF(B22&gt;D22,(B22-D22)/(H22/7),0)),0)</f>
        <v>0</v>
      </c>
      <c r="K22" s="898">
        <f>'Sem-L'!AG22</f>
        <v>0</v>
      </c>
      <c r="L22" s="902">
        <f>SUMIF(Levante!$A$6:$A$131,GSh!$A22,Levante!O$6:O$131)*Levante!$B$1/1000</f>
        <v>0</v>
      </c>
      <c r="M22" s="916">
        <f>SUMIF(Levante!$A$6:$A$131,GSh!$A22,Levante!P$6:P$131)*Levante!$B$1/1000</f>
        <v>0</v>
      </c>
      <c r="N22" s="912">
        <f>LOOKUP($A22,Levante!$B$6:$B$131,Levante!$X$6:$X$131)</f>
        <v>0</v>
      </c>
      <c r="O22" s="885">
        <f>IFERROR(LOOKUP(Linea,TL!$B$3:$BP$3,TL!$D22:$BR22),0)</f>
        <v>0</v>
      </c>
      <c r="P22" s="885">
        <f>IFERROR(LOOKUP(Linea,TL!$B$3:$BP$3,TL!$E22:$BS22),0)</f>
        <v>0</v>
      </c>
      <c r="Q22" s="977">
        <f t="shared" si="17"/>
        <v>0</v>
      </c>
      <c r="R22" s="928">
        <f>SUMIF(Levante!$A$6:$A$131,A22,Levante!$K$6:$K$131)</f>
        <v>0</v>
      </c>
      <c r="S22" s="906">
        <f>IFERROR(R22*1000/7/'Sem-L'!B22,0)</f>
        <v>0</v>
      </c>
      <c r="T22" s="921">
        <f t="shared" si="1"/>
        <v>0</v>
      </c>
      <c r="U22" s="925">
        <f ca="1">LOOKUP($A22,Levante!$B$6:$B$131,Levante!$X$8:$X$134)</f>
        <v>0</v>
      </c>
      <c r="V22" s="885">
        <f>IFERROR(LOOKUP(Linea,TL!$B$3:$BP$3,TL!$F22:$BT22),0)</f>
        <v>0</v>
      </c>
      <c r="W22" s="885">
        <f>IFERROR(LOOKUP(Linea,TL!$B$3:$BP$3,TL!$G22:$BU22),0)</f>
        <v>0</v>
      </c>
      <c r="X22" s="978">
        <f t="shared" ca="1" si="18"/>
        <v>0</v>
      </c>
      <c r="Y22" s="72">
        <f>LOOKUP($A22,Levante!$B$6:$B$131,Levante!$J$9:$J$134)</f>
        <v>0</v>
      </c>
      <c r="Z22" s="75">
        <f>LOOKUP($A22,Levante!$B$6:$B$131,Levante!$J$11:$J$136)</f>
        <v>0</v>
      </c>
      <c r="AA22" s="34">
        <f t="shared" si="19"/>
        <v>0</v>
      </c>
      <c r="AC22" s="1193">
        <f t="shared" si="2"/>
        <v>34</v>
      </c>
      <c r="AD22" s="844">
        <f>LOOKUP(TP!$A22,PROD!$A$5:$A$725,PROD!$O$5:$O$725)</f>
        <v>0</v>
      </c>
      <c r="AE22" s="101">
        <f>IFERROR(LOOKUP(Linea,TP!$B$3:$DE$3,TP!B22:DE22),0)</f>
        <v>0</v>
      </c>
      <c r="AF22" s="101">
        <f t="shared" si="24"/>
        <v>0</v>
      </c>
      <c r="AG22" s="101">
        <f t="shared" si="25"/>
        <v>0</v>
      </c>
      <c r="AH22" s="845">
        <f t="shared" si="3"/>
        <v>0</v>
      </c>
      <c r="AI22" s="846">
        <f>LOOKUP(TP!$A22,PROD!$A$5:$A$725,PROD!$O$6:$O$726)</f>
        <v>0</v>
      </c>
      <c r="AJ22" s="101">
        <f>IFERROR(LOOKUP(Linea,TP!$B$3:$DE$3,TP!C22:DF22),0)</f>
        <v>0</v>
      </c>
      <c r="AK22" s="101">
        <f t="shared" si="28"/>
        <v>0</v>
      </c>
      <c r="AL22" s="101">
        <f t="shared" si="26"/>
        <v>0</v>
      </c>
      <c r="AM22" s="837">
        <f t="shared" si="4"/>
        <v>0</v>
      </c>
      <c r="AN22" s="175">
        <f>LOOKUP(TP!$A22,PROD!$A$5:$A$725,PROD!$I$11:$I$731)</f>
        <v>0</v>
      </c>
      <c r="AO22" s="171">
        <f>LOOKUP(TP!$A22,PROD!$A$5:$A$725,PROD!$K$5:$K$725)*100</f>
        <v>0</v>
      </c>
      <c r="AP22" s="110">
        <f>LOOKUP(TP!$A22,PROD!$A$5:$A$725,PROD!$K$8:$K$728)*100</f>
        <v>0</v>
      </c>
      <c r="AQ22" s="110">
        <f t="shared" si="5"/>
        <v>100</v>
      </c>
      <c r="AR22" s="109">
        <f>IFERROR(LOOKUP(Linea,TP!$B$3:$DE$3,TP!D22:DG22),0)</f>
        <v>0</v>
      </c>
      <c r="AS22" s="838">
        <f>SUMIF(PROD!$BF$5:$BF$725,GSh!$BV22,PROD!$V$5:$V$725)/1000*PROD!$A$1</f>
        <v>0</v>
      </c>
      <c r="AT22" s="627">
        <f>LOOKUP(TP!$A22,PROD!$A$5:$A$725,PROD!$AD$5:$AD$725)</f>
        <v>0</v>
      </c>
      <c r="AU22" s="101">
        <f>IFERROR(LOOKUP(Linea,TP!$B$3:$DE$3,TP!E22:DH22),0)</f>
        <v>0</v>
      </c>
      <c r="AV22" s="847">
        <f t="shared" si="6"/>
        <v>0</v>
      </c>
      <c r="AW22" s="1081">
        <f>LOOKUP($BV22,PROD!$A$5:$A$725,PROD!$AE$10:$AE$730)</f>
        <v>0</v>
      </c>
      <c r="AX22" s="1076">
        <f>LOOKUP($BV22,PROD!$A$5:$A$725,PROD!$AE$11:$AE$731)</f>
        <v>0</v>
      </c>
      <c r="AY22" s="114">
        <f>'Pr-Sem'!Z22</f>
        <v>0</v>
      </c>
      <c r="AZ22" s="101">
        <f>IFERROR(LOOKUP(Linea,TP!$B$3:$DE$3,TP!F22:DI22),0)</f>
        <v>0</v>
      </c>
      <c r="BA22" s="840">
        <f>LOOKUP(TP!$A22,PROD!$A$5:$A$725,PROD!$Q$7:$Q$727)</f>
        <v>0</v>
      </c>
      <c r="BB22" s="118">
        <f t="shared" si="20"/>
        <v>0</v>
      </c>
      <c r="BC22" s="109">
        <f t="shared" si="27"/>
        <v>0</v>
      </c>
      <c r="BD22" s="125">
        <f>LOOKUP(TP!$A22,PROD!$A$5:$A$725,PROD!$AH$7:$AH$727)</f>
        <v>0</v>
      </c>
      <c r="BE22" s="101">
        <f t="shared" si="7"/>
        <v>0</v>
      </c>
      <c r="BF22" s="850">
        <f t="shared" si="8"/>
        <v>0</v>
      </c>
      <c r="BG22" s="129">
        <f>LOOKUP(TP!$A22,PROD!$A$5:$A$725,PROD!$AH$8:$AH$728)</f>
        <v>0</v>
      </c>
      <c r="BH22" s="101">
        <f t="shared" si="21"/>
        <v>0</v>
      </c>
      <c r="BI22" s="849">
        <f t="shared" si="9"/>
        <v>0</v>
      </c>
      <c r="BJ22" s="513">
        <f>'Pr-Sem'!AC22*10</f>
        <v>0</v>
      </c>
      <c r="BK22" s="514">
        <f>IFERROR(LOOKUP(Linea,TP!$B$3:$DE$3,TP!J22:DJ22),0)</f>
        <v>0</v>
      </c>
      <c r="BL22" s="848">
        <f t="shared" si="10"/>
        <v>0</v>
      </c>
      <c r="BM22" s="137">
        <f>LOOKUP($BV22,PROD!$A$5:$A$725,PROD!$AH$5:$AH$725)*IF($BM$5="Gr X H",1,100)</f>
        <v>0</v>
      </c>
      <c r="BN22" s="138">
        <f>LOOKUP($BV22,PROD!$A$5:$A$725,PROD!$AI$5:$AI$725)*IF($BM$5="Gr X H",1,100)</f>
        <v>0</v>
      </c>
      <c r="BO22" s="849">
        <f t="shared" si="29"/>
        <v>0</v>
      </c>
      <c r="BP22" s="137">
        <f>LOOKUP(BV22,PROD!$A$5:$A$725,PROD!$AH$6:$AH$726)*IF($BM$5="Gr X H",1,100)</f>
        <v>0</v>
      </c>
      <c r="BQ22" s="138">
        <f>LOOKUP($BV22,PROD!$A$5:$A$725,PROD!$AI$6:$AI$726)*IF($BM$5="Gr X H",1,100)</f>
        <v>0</v>
      </c>
      <c r="BR22" s="849">
        <f t="shared" si="22"/>
        <v>0</v>
      </c>
      <c r="BS22" s="137">
        <f>LOOKUP(TP!$A22,PROD!$A$5:$A$725,PROD!$AH$9:$AH$729)</f>
        <v>0</v>
      </c>
      <c r="BT22" s="138">
        <f>LOOKUP(TP!$A22,PROD!$A$5:$A$725,PROD!$AI$9:$AI$729)</f>
        <v>0</v>
      </c>
      <c r="BU22" s="849">
        <f t="shared" si="11"/>
        <v>0</v>
      </c>
      <c r="BV22" s="833">
        <f t="shared" si="23"/>
        <v>34</v>
      </c>
      <c r="BW22" s="191">
        <f ca="1">LOOKUP($BV22,INVENTARIOS!$A$4:$A$718,ECONO!$T$4:$T$724)*100</f>
        <v>0</v>
      </c>
      <c r="BX22" s="606">
        <f ca="1">LOOKUP($BV22,INVENTARIOS!$A$4:$A$718,ECONO!$T$5:$T$725)*100</f>
        <v>0</v>
      </c>
      <c r="BY22" s="606">
        <f ca="1">LOOKUP($BV22,INVENTARIOS!$A$4:$A$718,ECONO!$T$6:$T$726)*100</f>
        <v>0</v>
      </c>
      <c r="BZ22" s="606">
        <f ca="1">LOOKUP($BV22,INVENTARIOS!$A$4:$A$718,ECONO!$T$7:$T$727)*100</f>
        <v>0</v>
      </c>
      <c r="CA22" s="606">
        <f ca="1">LOOKUP($BV22,INVENTARIOS!$A$4:$A$718,ECONO!$T$8:$T$728)*100</f>
        <v>0</v>
      </c>
      <c r="CB22" s="606">
        <f ca="1">LOOKUP($BV22,INVENTARIOS!$A$4:$A$718,ECONO!$T$9:$T$729)*100</f>
        <v>0</v>
      </c>
      <c r="CC22" s="606">
        <f ca="1">LOOKUP($BV22,INVENTARIOS!$A$4:$A$718,ECONO!$T$10:$T$730)*100</f>
        <v>0</v>
      </c>
      <c r="CD22" s="99">
        <f ca="1">LOOKUP($BV22,INVENTARIOS!$A$4:$A$718,ECONO!$X$8:$X$728)*100</f>
        <v>0</v>
      </c>
      <c r="CE22" s="99">
        <f ca="1">LOOKUP($BV22,INVENTARIOS!$A$4:$A$718,ECONO!$X$9:$X$729)*100</f>
        <v>0</v>
      </c>
      <c r="CF22" s="192">
        <f ca="1">LOOKUP($BV22,INVENTARIOS!$A$4:$A$718,ECONO!$X$10:$X$730)*100</f>
        <v>0</v>
      </c>
      <c r="CG22" s="195">
        <f ca="1">LOOKUP(GSh!$BV22,INVENTARIOS!$A$4:$A$718,ECONO!$X$4:$X$724)*100</f>
        <v>0</v>
      </c>
      <c r="CH22" s="98">
        <f ca="1">LOOKUP(GSh!$BV22,INVENTARIOS!$A$4:$A$718,ECONO!$X$5:$X$725)*100</f>
        <v>0</v>
      </c>
      <c r="CI22" s="98">
        <f ca="1">LOOKUP(GSh!$BV22,INVENTARIOS!$A$4:$A$718,ECONO!$X$6:$X$726)*100</f>
        <v>0</v>
      </c>
      <c r="CJ22" s="194">
        <f ca="1">LOOKUP(GSh!$BV22,INVENTARIOS!$A$4:$A$718,ECONO!$X$7:$X$727)*100</f>
        <v>0</v>
      </c>
      <c r="CK22" s="34">
        <f>IF(OR(AO22&gt;0,AT22&gt;0,AD22&gt;0),TP!A22,CK21)</f>
        <v>0</v>
      </c>
      <c r="CL22" s="257">
        <f>LOOKUP($BV22,INVENTARIOS!$A$4:$A$724,ECONO!$O$10:$O$730)</f>
        <v>0</v>
      </c>
      <c r="CM22" s="258">
        <f>LOOKUP($BV22,INVENTARIOS!$A$4:$A$724,ECONO!$Z$9:$Z$729)</f>
        <v>0</v>
      </c>
      <c r="CN22" s="260">
        <f t="shared" si="12"/>
        <v>0</v>
      </c>
      <c r="CO22"/>
    </row>
    <row r="23" spans="1:93" ht="18" thickBot="1" x14ac:dyDescent="0.35">
      <c r="A23" s="979">
        <f t="shared" si="13"/>
        <v>18</v>
      </c>
      <c r="B23" s="886">
        <f>'Sem-L'!U23</f>
        <v>0</v>
      </c>
      <c r="C23" s="887">
        <f>IFERROR(LOOKUP(Linea,TL!$B$3:$BP$3,TL!$B23:$BP23),0)</f>
        <v>0</v>
      </c>
      <c r="D23" s="887">
        <f>IFERROR(LOOKUP(Linea,TL!$B$3:$BP$3,TL!$C23:$BQ23),0)</f>
        <v>0</v>
      </c>
      <c r="E23" s="980">
        <f t="shared" si="14"/>
        <v>0</v>
      </c>
      <c r="F23" s="73">
        <f t="shared" si="15"/>
        <v>0</v>
      </c>
      <c r="G23" s="73">
        <f>'Sem-L'!AB23</f>
        <v>0</v>
      </c>
      <c r="H23" s="73">
        <f>'Sem-L'!AC23</f>
        <v>0</v>
      </c>
      <c r="I23" s="981">
        <f t="shared" si="16"/>
        <v>0</v>
      </c>
      <c r="J23" s="185">
        <f>IF(AND(AvesIni&gt;0,OR(N23&gt;0,'Sem-L'!C23&gt;0),B23&gt;0),IF(B23&lt;C23,(B23-C23)/(G23/7),IF(B23&gt;D23,(B23-D23)/(H23/7),0)),0)</f>
        <v>0</v>
      </c>
      <c r="K23" s="899">
        <f>'Sem-L'!AG23</f>
        <v>0</v>
      </c>
      <c r="L23" s="903">
        <f>SUMIF(Levante!$A$6:$A$131,GSh!$A23,Levante!O$6:O$131)*Levante!$B$1/1000</f>
        <v>0</v>
      </c>
      <c r="M23" s="917">
        <f>SUMIF(Levante!$A$6:$A$131,GSh!$A23,Levante!P$6:P$131)*Levante!$B$1/1000</f>
        <v>0</v>
      </c>
      <c r="N23" s="913">
        <f>LOOKUP($A23,Levante!$B$6:$B$131,Levante!$X$6:$X$131)</f>
        <v>0</v>
      </c>
      <c r="O23" s="908">
        <f>IFERROR(LOOKUP(Linea,TL!$B$3:$BP$3,TL!$D23:$BR23),0)</f>
        <v>0</v>
      </c>
      <c r="P23" s="908">
        <f>IFERROR(LOOKUP(Linea,TL!$B$3:$BP$3,TL!$E23:$BS23),0)</f>
        <v>0</v>
      </c>
      <c r="Q23" s="982">
        <f t="shared" si="17"/>
        <v>0</v>
      </c>
      <c r="R23" s="929">
        <f>SUMIF(Levante!$A$6:$A$131,A23,Levante!$K$6:$K$131)</f>
        <v>0</v>
      </c>
      <c r="S23" s="907">
        <f>IFERROR(R23*1000/7/'Sem-L'!B23,0)</f>
        <v>0</v>
      </c>
      <c r="T23" s="922">
        <f t="shared" si="1"/>
        <v>0</v>
      </c>
      <c r="U23" s="926">
        <f ca="1">LOOKUP($A23,Levante!$B$6:$B$131,Levante!$X$8:$X$134)</f>
        <v>0</v>
      </c>
      <c r="V23" s="908">
        <f>IFERROR(LOOKUP(Linea,TL!$B$3:$BP$3,TL!$F23:$BT23),0)</f>
        <v>0</v>
      </c>
      <c r="W23" s="908">
        <f>IFERROR(LOOKUP(Linea,TL!$B$3:$BP$3,TL!$G23:$BU23),0)</f>
        <v>0</v>
      </c>
      <c r="X23" s="983">
        <f t="shared" ca="1" si="18"/>
        <v>0</v>
      </c>
      <c r="Y23" s="74">
        <f>LOOKUP($A23,Levante!$B$6:$B$131,Levante!$J$9:$J$134)</f>
        <v>0</v>
      </c>
      <c r="Z23" s="76">
        <f>LOOKUP($A23,Levante!$B$6:$B$131,Levante!$J$11:$J$136)</f>
        <v>0</v>
      </c>
      <c r="AA23" s="34">
        <f t="shared" si="19"/>
        <v>0</v>
      </c>
      <c r="AC23" s="1193">
        <f t="shared" si="2"/>
        <v>35</v>
      </c>
      <c r="AD23" s="844">
        <f>LOOKUP(TP!$A23,PROD!$A$5:$A$725,PROD!$O$5:$O$725)</f>
        <v>0</v>
      </c>
      <c r="AE23" s="101">
        <f>IFERROR(LOOKUP(Linea,TP!$B$3:$DE$3,TP!B23:DE23),0)</f>
        <v>0</v>
      </c>
      <c r="AF23" s="101">
        <f t="shared" si="24"/>
        <v>0</v>
      </c>
      <c r="AG23" s="101">
        <f t="shared" si="25"/>
        <v>0</v>
      </c>
      <c r="AH23" s="845">
        <f t="shared" si="3"/>
        <v>0</v>
      </c>
      <c r="AI23" s="846">
        <f>LOOKUP(TP!$A23,PROD!$A$5:$A$725,PROD!$O$6:$O$726)</f>
        <v>0</v>
      </c>
      <c r="AJ23" s="101">
        <f>IFERROR(LOOKUP(Linea,TP!$B$3:$DE$3,TP!C23:DF23),0)</f>
        <v>0</v>
      </c>
      <c r="AK23" s="101">
        <f t="shared" si="28"/>
        <v>0</v>
      </c>
      <c r="AL23" s="101">
        <f t="shared" si="26"/>
        <v>0</v>
      </c>
      <c r="AM23" s="837">
        <f t="shared" si="4"/>
        <v>0</v>
      </c>
      <c r="AN23" s="175">
        <f>LOOKUP(TP!$A23,PROD!$A$5:$A$725,PROD!$I$11:$I$731)</f>
        <v>0</v>
      </c>
      <c r="AO23" s="171">
        <f>LOOKUP(TP!$A23,PROD!$A$5:$A$725,PROD!$K$5:$K$725)*100</f>
        <v>0</v>
      </c>
      <c r="AP23" s="110">
        <f>LOOKUP(TP!$A23,PROD!$A$5:$A$725,PROD!$K$8:$K$728)*100</f>
        <v>0</v>
      </c>
      <c r="AQ23" s="110">
        <f t="shared" si="5"/>
        <v>100</v>
      </c>
      <c r="AR23" s="109">
        <f>IFERROR(LOOKUP(Linea,TP!$B$3:$DE$3,TP!D23:DG23),0)</f>
        <v>0</v>
      </c>
      <c r="AS23" s="838">
        <f>SUMIF(PROD!$BF$5:$BF$725,GSh!$BV23,PROD!$V$5:$V$725)/1000*PROD!$A$1</f>
        <v>0</v>
      </c>
      <c r="AT23" s="627">
        <f>LOOKUP(TP!$A23,PROD!$A$5:$A$725,PROD!$AD$5:$AD$725)</f>
        <v>0</v>
      </c>
      <c r="AU23" s="101">
        <f>IFERROR(LOOKUP(Linea,TP!$B$3:$DE$3,TP!E23:DH23),0)</f>
        <v>0</v>
      </c>
      <c r="AV23" s="847">
        <f t="shared" si="6"/>
        <v>0</v>
      </c>
      <c r="AW23" s="1081">
        <f>LOOKUP($BV23,PROD!$A$5:$A$725,PROD!$AE$10:$AE$730)</f>
        <v>0</v>
      </c>
      <c r="AX23" s="1076">
        <f>LOOKUP($BV23,PROD!$A$5:$A$725,PROD!$AE$11:$AE$731)</f>
        <v>0</v>
      </c>
      <c r="AY23" s="114">
        <f>'Pr-Sem'!Z23</f>
        <v>0</v>
      </c>
      <c r="AZ23" s="101">
        <f>IFERROR(LOOKUP(Linea,TP!$B$3:$DE$3,TP!F23:DI23),0)</f>
        <v>0</v>
      </c>
      <c r="BA23" s="840">
        <f>LOOKUP(TP!$A23,PROD!$A$5:$A$725,PROD!$Q$7:$Q$727)</f>
        <v>0</v>
      </c>
      <c r="BB23" s="118">
        <f t="shared" si="20"/>
        <v>0</v>
      </c>
      <c r="BC23" s="109">
        <f t="shared" si="27"/>
        <v>0</v>
      </c>
      <c r="BD23" s="125">
        <f>LOOKUP(TP!$A23,PROD!$A$5:$A$725,PROD!$AH$7:$AH$727)</f>
        <v>0</v>
      </c>
      <c r="BE23" s="101">
        <f t="shared" si="7"/>
        <v>0</v>
      </c>
      <c r="BF23" s="850">
        <f t="shared" si="8"/>
        <v>0</v>
      </c>
      <c r="BG23" s="129">
        <f>LOOKUP(TP!$A23,PROD!$A$5:$A$725,PROD!$AH$8:$AH$728)</f>
        <v>0</v>
      </c>
      <c r="BH23" s="101">
        <f t="shared" si="21"/>
        <v>0</v>
      </c>
      <c r="BI23" s="849">
        <f t="shared" si="9"/>
        <v>0</v>
      </c>
      <c r="BJ23" s="513">
        <f>'Pr-Sem'!AC23*10</f>
        <v>0</v>
      </c>
      <c r="BK23" s="514">
        <f>IFERROR(LOOKUP(Linea,TP!$B$3:$DE$3,TP!J23:DJ23),0)</f>
        <v>0</v>
      </c>
      <c r="BL23" s="848">
        <f t="shared" si="10"/>
        <v>0</v>
      </c>
      <c r="BM23" s="137">
        <f>LOOKUP($BV23,PROD!$A$5:$A$725,PROD!$AH$5:$AH$725)*IF($BM$5="Gr X H",1,100)</f>
        <v>0</v>
      </c>
      <c r="BN23" s="138">
        <f>LOOKUP($BV23,PROD!$A$5:$A$725,PROD!$AI$5:$AI$725)*IF($BM$5="Gr X H",1,100)</f>
        <v>0</v>
      </c>
      <c r="BO23" s="849">
        <f t="shared" si="29"/>
        <v>0</v>
      </c>
      <c r="BP23" s="137">
        <f>LOOKUP(BV23,PROD!$A$5:$A$725,PROD!$AH$6:$AH$726)*IF($BM$5="Gr X H",1,100)</f>
        <v>0</v>
      </c>
      <c r="BQ23" s="138">
        <f>LOOKUP($BV23,PROD!$A$5:$A$725,PROD!$AI$6:$AI$726)*IF($BM$5="Gr X H",1,100)</f>
        <v>0</v>
      </c>
      <c r="BR23" s="849">
        <f t="shared" si="22"/>
        <v>0</v>
      </c>
      <c r="BS23" s="137">
        <f>LOOKUP(TP!$A23,PROD!$A$5:$A$725,PROD!$AH$9:$AH$729)</f>
        <v>0</v>
      </c>
      <c r="BT23" s="138">
        <f>LOOKUP(TP!$A23,PROD!$A$5:$A$725,PROD!$AI$9:$AI$729)</f>
        <v>0</v>
      </c>
      <c r="BU23" s="849">
        <f t="shared" si="11"/>
        <v>0</v>
      </c>
      <c r="BV23" s="833">
        <f t="shared" si="23"/>
        <v>35</v>
      </c>
      <c r="BW23" s="191">
        <f ca="1">LOOKUP($BV23,INVENTARIOS!$A$4:$A$718,ECONO!$T$4:$T$724)*100</f>
        <v>0</v>
      </c>
      <c r="BX23" s="606">
        <f ca="1">LOOKUP($BV23,INVENTARIOS!$A$4:$A$718,ECONO!$T$5:$T$725)*100</f>
        <v>0</v>
      </c>
      <c r="BY23" s="606">
        <f ca="1">LOOKUP($BV23,INVENTARIOS!$A$4:$A$718,ECONO!$T$6:$T$726)*100</f>
        <v>0</v>
      </c>
      <c r="BZ23" s="606">
        <f ca="1">LOOKUP($BV23,INVENTARIOS!$A$4:$A$718,ECONO!$T$7:$T$727)*100</f>
        <v>0</v>
      </c>
      <c r="CA23" s="606">
        <f ca="1">LOOKUP($BV23,INVENTARIOS!$A$4:$A$718,ECONO!$T$8:$T$728)*100</f>
        <v>0</v>
      </c>
      <c r="CB23" s="606">
        <f ca="1">LOOKUP($BV23,INVENTARIOS!$A$4:$A$718,ECONO!$T$9:$T$729)*100</f>
        <v>0</v>
      </c>
      <c r="CC23" s="606">
        <f ca="1">LOOKUP($BV23,INVENTARIOS!$A$4:$A$718,ECONO!$T$10:$T$730)*100</f>
        <v>0</v>
      </c>
      <c r="CD23" s="99">
        <f ca="1">LOOKUP($BV23,INVENTARIOS!$A$4:$A$718,ECONO!$X$8:$X$728)*100</f>
        <v>0</v>
      </c>
      <c r="CE23" s="99">
        <f ca="1">LOOKUP($BV23,INVENTARIOS!$A$4:$A$718,ECONO!$X$9:$X$729)*100</f>
        <v>0</v>
      </c>
      <c r="CF23" s="192">
        <f ca="1">LOOKUP($BV23,INVENTARIOS!$A$4:$A$718,ECONO!$X$10:$X$730)*100</f>
        <v>0</v>
      </c>
      <c r="CG23" s="195">
        <f ca="1">LOOKUP(GSh!$BV23,INVENTARIOS!$A$4:$A$718,ECONO!$X$4:$X$724)*100</f>
        <v>0</v>
      </c>
      <c r="CH23" s="98">
        <f ca="1">LOOKUP(GSh!$BV23,INVENTARIOS!$A$4:$A$718,ECONO!$X$5:$X$725)*100</f>
        <v>0</v>
      </c>
      <c r="CI23" s="98">
        <f ca="1">LOOKUP(GSh!$BV23,INVENTARIOS!$A$4:$A$718,ECONO!$X$6:$X$726)*100</f>
        <v>0</v>
      </c>
      <c r="CJ23" s="194">
        <f ca="1">LOOKUP(GSh!$BV23,INVENTARIOS!$A$4:$A$718,ECONO!$X$7:$X$727)*100</f>
        <v>0</v>
      </c>
      <c r="CK23" s="34">
        <f>IF(OR(AO23&gt;0,AT23&gt;0,AD23&gt;0),TP!A23,CK22)</f>
        <v>0</v>
      </c>
      <c r="CL23" s="257">
        <f>LOOKUP($BV23,INVENTARIOS!$A$4:$A$724,ECONO!$O$10:$O$730)</f>
        <v>0</v>
      </c>
      <c r="CM23" s="258">
        <f>LOOKUP($BV23,INVENTARIOS!$A$4:$A$724,ECONO!$Z$9:$Z$729)</f>
        <v>0</v>
      </c>
      <c r="CN23" s="260">
        <f t="shared" si="12"/>
        <v>0</v>
      </c>
      <c r="CO23"/>
    </row>
    <row r="24" spans="1:93" x14ac:dyDescent="0.3">
      <c r="A24"/>
      <c r="B24" s="2002" t="e">
        <f>CONCATENATE(B5,": ",FIXED(B4,1)," Gr")</f>
        <v>#VALUE!</v>
      </c>
      <c r="C24" s="2002"/>
      <c r="D24" s="2003" t="str">
        <f>CONCATENATE(E5,": ",E25,E4)</f>
        <v>% Cumpl Peso: +</v>
      </c>
      <c r="E24" s="2003"/>
      <c r="F24" s="2003" t="str">
        <f>CONCATENATE(F5,": ",F4," Gr")</f>
        <v>Ganancia P Real:  Gr</v>
      </c>
      <c r="G24" s="2003"/>
      <c r="H24" s="2003" t="str">
        <f>CONCATENATE(I5,": ",I25,I4)</f>
        <v>% Cumpl Ganan. Peso: +</v>
      </c>
      <c r="I24" s="2003"/>
      <c r="J24" s="2003"/>
      <c r="K24" s="2004" t="str">
        <f>CONCATENATE(K5,": ",K4," %")</f>
        <v>Unif. Real:  %</v>
      </c>
      <c r="L24" s="2004"/>
      <c r="M24" s="875"/>
      <c r="N24" s="2001" t="str">
        <f>CONCATENATE(N5,": ",N4)</f>
        <v xml:space="preserve">Gr. A. D. Real: </v>
      </c>
      <c r="O24" s="2001"/>
      <c r="P24" s="2001"/>
      <c r="Q24" s="875"/>
      <c r="R24" s="875"/>
      <c r="S24" s="875"/>
      <c r="T24" s="875"/>
      <c r="U24" s="2001" t="e">
        <f>CONCATENATE(U5,": ",FIXED(U4,0))</f>
        <v>#VALUE!</v>
      </c>
      <c r="V24" s="2001"/>
      <c r="W24" s="2001"/>
      <c r="X24" s="875"/>
      <c r="Y24" s="2008" t="str">
        <f>CONCATENATE(Y5,": ",Y4," %")</f>
        <v>% Sem Mort + Sel:  %</v>
      </c>
      <c r="Z24" s="2008"/>
      <c r="AC24" s="1193">
        <f t="shared" si="2"/>
        <v>36</v>
      </c>
      <c r="AD24" s="844">
        <f>LOOKUP(TP!$A24,PROD!$A$5:$A$725,PROD!$O$5:$O$725)</f>
        <v>0</v>
      </c>
      <c r="AE24" s="101">
        <f>IFERROR(LOOKUP(Linea,TP!$B$3:$DE$3,TP!B24:DE24),0)</f>
        <v>0</v>
      </c>
      <c r="AF24" s="101">
        <f t="shared" si="24"/>
        <v>0</v>
      </c>
      <c r="AG24" s="101">
        <f t="shared" si="25"/>
        <v>0</v>
      </c>
      <c r="AH24" s="845">
        <f t="shared" si="3"/>
        <v>0</v>
      </c>
      <c r="AI24" s="846">
        <f>LOOKUP(TP!$A24,PROD!$A$5:$A$725,PROD!$O$6:$O$726)</f>
        <v>0</v>
      </c>
      <c r="AJ24" s="101">
        <f>IFERROR(LOOKUP(Linea,TP!$B$3:$DE$3,TP!C24:DF24),0)</f>
        <v>0</v>
      </c>
      <c r="AK24" s="101">
        <f t="shared" si="28"/>
        <v>0</v>
      </c>
      <c r="AL24" s="101">
        <f t="shared" si="26"/>
        <v>0</v>
      </c>
      <c r="AM24" s="837">
        <f t="shared" si="4"/>
        <v>0</v>
      </c>
      <c r="AN24" s="175">
        <f>LOOKUP(TP!$A24,PROD!$A$5:$A$725,PROD!$I$11:$I$731)</f>
        <v>0</v>
      </c>
      <c r="AO24" s="171">
        <f>LOOKUP(TP!$A24,PROD!$A$5:$A$725,PROD!$K$5:$K$725)*100</f>
        <v>0</v>
      </c>
      <c r="AP24" s="110">
        <f>LOOKUP(TP!$A24,PROD!$A$5:$A$725,PROD!$K$8:$K$728)*100</f>
        <v>0</v>
      </c>
      <c r="AQ24" s="110">
        <f t="shared" si="5"/>
        <v>100</v>
      </c>
      <c r="AR24" s="109">
        <f>IFERROR(LOOKUP(Linea,TP!$B$3:$DE$3,TP!D24:DG24),0)</f>
        <v>0</v>
      </c>
      <c r="AS24" s="838">
        <f>SUMIF(PROD!$BF$5:$BF$725,GSh!$BV24,PROD!$V$5:$V$725)/1000*PROD!$A$1</f>
        <v>0</v>
      </c>
      <c r="AT24" s="627">
        <f>LOOKUP(TP!$A24,PROD!$A$5:$A$725,PROD!$AD$5:$AD$725)</f>
        <v>0</v>
      </c>
      <c r="AU24" s="101">
        <f>IFERROR(LOOKUP(Linea,TP!$B$3:$DE$3,TP!E24:DH24),0)</f>
        <v>0</v>
      </c>
      <c r="AV24" s="847">
        <f t="shared" si="6"/>
        <v>0</v>
      </c>
      <c r="AW24" s="1081">
        <f>LOOKUP($BV24,PROD!$A$5:$A$725,PROD!$AE$10:$AE$730)</f>
        <v>0</v>
      </c>
      <c r="AX24" s="1076">
        <f>LOOKUP($BV24,PROD!$A$5:$A$725,PROD!$AE$11:$AE$731)</f>
        <v>0</v>
      </c>
      <c r="AY24" s="114">
        <f>'Pr-Sem'!Z24</f>
        <v>0</v>
      </c>
      <c r="AZ24" s="101">
        <f>IFERROR(LOOKUP(Linea,TP!$B$3:$DE$3,TP!F24:DI24),0)</f>
        <v>0</v>
      </c>
      <c r="BA24" s="840">
        <f>LOOKUP(TP!$A24,PROD!$A$5:$A$725,PROD!$Q$7:$Q$727)</f>
        <v>0</v>
      </c>
      <c r="BB24" s="118">
        <f t="shared" si="20"/>
        <v>0</v>
      </c>
      <c r="BC24" s="109">
        <f t="shared" si="27"/>
        <v>0</v>
      </c>
      <c r="BD24" s="125">
        <f>LOOKUP(TP!$A24,PROD!$A$5:$A$725,PROD!$AH$7:$AH$727)</f>
        <v>0</v>
      </c>
      <c r="BE24" s="101">
        <f t="shared" si="7"/>
        <v>0</v>
      </c>
      <c r="BF24" s="850">
        <f t="shared" si="8"/>
        <v>0</v>
      </c>
      <c r="BG24" s="129">
        <f>LOOKUP(TP!$A24,PROD!$A$5:$A$725,PROD!$AH$8:$AH$728)</f>
        <v>0</v>
      </c>
      <c r="BH24" s="101">
        <f t="shared" si="21"/>
        <v>0</v>
      </c>
      <c r="BI24" s="849">
        <f t="shared" si="9"/>
        <v>0</v>
      </c>
      <c r="BJ24" s="513">
        <f>'Pr-Sem'!AC24*10</f>
        <v>0</v>
      </c>
      <c r="BK24" s="514">
        <f>IFERROR(LOOKUP(Linea,TP!$B$3:$DE$3,TP!J24:DJ24),0)</f>
        <v>0</v>
      </c>
      <c r="BL24" s="848">
        <f t="shared" si="10"/>
        <v>0</v>
      </c>
      <c r="BM24" s="137">
        <f>LOOKUP($BV24,PROD!$A$5:$A$725,PROD!$AH$5:$AH$725)*IF($BM$5="Gr X H",1,100)</f>
        <v>0</v>
      </c>
      <c r="BN24" s="138">
        <f>LOOKUP($BV24,PROD!$A$5:$A$725,PROD!$AI$5:$AI$725)*IF($BM$5="Gr X H",1,100)</f>
        <v>0</v>
      </c>
      <c r="BO24" s="849">
        <f t="shared" si="29"/>
        <v>0</v>
      </c>
      <c r="BP24" s="137">
        <f>LOOKUP(BV24,PROD!$A$5:$A$725,PROD!$AH$6:$AH$726)*IF($BM$5="Gr X H",1,100)</f>
        <v>0</v>
      </c>
      <c r="BQ24" s="138">
        <f>LOOKUP($BV24,PROD!$A$5:$A$725,PROD!$AI$6:$AI$726)*IF($BM$5="Gr X H",1,100)</f>
        <v>0</v>
      </c>
      <c r="BR24" s="849">
        <f t="shared" si="22"/>
        <v>0</v>
      </c>
      <c r="BS24" s="137">
        <f>LOOKUP(TP!$A24,PROD!$A$5:$A$725,PROD!$AH$9:$AH$729)</f>
        <v>0</v>
      </c>
      <c r="BT24" s="138">
        <f>LOOKUP(TP!$A24,PROD!$A$5:$A$725,PROD!$AI$9:$AI$729)</f>
        <v>0</v>
      </c>
      <c r="BU24" s="849">
        <f t="shared" si="11"/>
        <v>0</v>
      </c>
      <c r="BV24" s="833">
        <f t="shared" si="23"/>
        <v>36</v>
      </c>
      <c r="BW24" s="191">
        <f ca="1">LOOKUP($BV24,INVENTARIOS!$A$4:$A$718,ECONO!$T$4:$T$724)*100</f>
        <v>0</v>
      </c>
      <c r="BX24" s="606">
        <f ca="1">LOOKUP($BV24,INVENTARIOS!$A$4:$A$718,ECONO!$T$5:$T$725)*100</f>
        <v>0</v>
      </c>
      <c r="BY24" s="606">
        <f ca="1">LOOKUP($BV24,INVENTARIOS!$A$4:$A$718,ECONO!$T$6:$T$726)*100</f>
        <v>0</v>
      </c>
      <c r="BZ24" s="606">
        <f ca="1">LOOKUP($BV24,INVENTARIOS!$A$4:$A$718,ECONO!$T$7:$T$727)*100</f>
        <v>0</v>
      </c>
      <c r="CA24" s="606">
        <f ca="1">LOOKUP($BV24,INVENTARIOS!$A$4:$A$718,ECONO!$T$8:$T$728)*100</f>
        <v>0</v>
      </c>
      <c r="CB24" s="606">
        <f ca="1">LOOKUP($BV24,INVENTARIOS!$A$4:$A$718,ECONO!$T$9:$T$729)*100</f>
        <v>0</v>
      </c>
      <c r="CC24" s="606">
        <f ca="1">LOOKUP($BV24,INVENTARIOS!$A$4:$A$718,ECONO!$T$10:$T$730)*100</f>
        <v>0</v>
      </c>
      <c r="CD24" s="99">
        <f ca="1">LOOKUP($BV24,INVENTARIOS!$A$4:$A$718,ECONO!$X$8:$X$728)*100</f>
        <v>0</v>
      </c>
      <c r="CE24" s="99">
        <f ca="1">LOOKUP($BV24,INVENTARIOS!$A$4:$A$718,ECONO!$X$9:$X$729)*100</f>
        <v>0</v>
      </c>
      <c r="CF24" s="192">
        <f ca="1">LOOKUP($BV24,INVENTARIOS!$A$4:$A$718,ECONO!$X$10:$X$730)*100</f>
        <v>0</v>
      </c>
      <c r="CG24" s="195">
        <f ca="1">LOOKUP(GSh!$BV24,INVENTARIOS!$A$4:$A$718,ECONO!$X$4:$X$724)*100</f>
        <v>0</v>
      </c>
      <c r="CH24" s="98">
        <f ca="1">LOOKUP(GSh!$BV24,INVENTARIOS!$A$4:$A$718,ECONO!$X$5:$X$725)*100</f>
        <v>0</v>
      </c>
      <c r="CI24" s="98">
        <f ca="1">LOOKUP(GSh!$BV24,INVENTARIOS!$A$4:$A$718,ECONO!$X$6:$X$726)*100</f>
        <v>0</v>
      </c>
      <c r="CJ24" s="194">
        <f ca="1">LOOKUP(GSh!$BV24,INVENTARIOS!$A$4:$A$718,ECONO!$X$7:$X$727)*100</f>
        <v>0</v>
      </c>
      <c r="CK24" s="34">
        <f>IF(OR(AO24&gt;0,AT24&gt;0,AD24&gt;0),TP!A24,CK23)</f>
        <v>0</v>
      </c>
      <c r="CL24" s="257">
        <f>LOOKUP($BV24,INVENTARIOS!$A$4:$A$724,ECONO!$O$10:$O$730)</f>
        <v>0</v>
      </c>
      <c r="CM24" s="258">
        <f>LOOKUP($BV24,INVENTARIOS!$A$4:$A$724,ECONO!$Z$9:$Z$729)</f>
        <v>0</v>
      </c>
      <c r="CN24" s="260">
        <f t="shared" si="12"/>
        <v>0</v>
      </c>
      <c r="CO24"/>
    </row>
    <row r="25" spans="1:93" x14ac:dyDescent="0.3">
      <c r="E25" s="35" t="str">
        <f>IF(E4&gt;0,"+",IF(E4&lt;0,"",""))</f>
        <v>+</v>
      </c>
      <c r="F25" s="35" t="str">
        <f>IF(F4&gt;0,"+",IF(F4&lt;0,"",""))</f>
        <v>+</v>
      </c>
      <c r="G25" s="35" t="str">
        <f>IF(G4&gt;0,"+",IF(G4&lt;0,"",""))</f>
        <v>+</v>
      </c>
      <c r="H25" s="895"/>
      <c r="I25" s="35" t="str">
        <f>IF(I4&gt;0,"+",IF(I4&lt;0,"",""))</f>
        <v>+</v>
      </c>
      <c r="J25" s="35" t="str">
        <f>IF(I4&gt;0,"+",IF(I4&lt;0,"",""))</f>
        <v>+</v>
      </c>
      <c r="L25" s="875"/>
      <c r="M25" s="875"/>
      <c r="N25" s="2001" t="str">
        <f>CONCATENATE(Q5,": ",N26,Q4)</f>
        <v>% Cumpl Gr.A.D.: +</v>
      </c>
      <c r="O25" s="2001"/>
      <c r="P25" s="2001"/>
      <c r="Q25" s="875"/>
      <c r="R25" s="875"/>
      <c r="S25" s="875"/>
      <c r="T25" s="875"/>
      <c r="U25" s="2001" t="str">
        <f>CONCATENATE(X5,": ",U26,X4)</f>
        <v>% Cumpl Cons Ac: +</v>
      </c>
      <c r="V25" s="2001"/>
      <c r="W25" s="2001"/>
      <c r="X25" s="875"/>
      <c r="Y25" s="2001" t="str">
        <f>CONCATENATE(Z5,": ",Z4," %")</f>
        <v>% Acm Mort + Sel:  %</v>
      </c>
      <c r="Z25" s="2001"/>
      <c r="AC25" s="1194">
        <f t="shared" si="2"/>
        <v>37</v>
      </c>
      <c r="AD25" s="844">
        <f>LOOKUP(TP!$A25,PROD!$A$5:$A$725,PROD!$O$5:$O$725)</f>
        <v>0</v>
      </c>
      <c r="AE25" s="101">
        <f>IFERROR(LOOKUP(Linea,TP!$B$3:$DE$3,TP!B25:DE25),0)</f>
        <v>0</v>
      </c>
      <c r="AF25" s="101">
        <f t="shared" si="24"/>
        <v>0</v>
      </c>
      <c r="AG25" s="101">
        <f t="shared" si="25"/>
        <v>0</v>
      </c>
      <c r="AH25" s="845">
        <f t="shared" si="3"/>
        <v>0</v>
      </c>
      <c r="AI25" s="846">
        <f>LOOKUP(TP!$A25,PROD!$A$5:$A$725,PROD!$O$6:$O$726)</f>
        <v>0</v>
      </c>
      <c r="AJ25" s="101">
        <f>IFERROR(LOOKUP(Linea,TP!$B$3:$DE$3,TP!C25:DF25),0)</f>
        <v>0</v>
      </c>
      <c r="AK25" s="101">
        <f t="shared" si="28"/>
        <v>0</v>
      </c>
      <c r="AL25" s="101">
        <f t="shared" si="26"/>
        <v>0</v>
      </c>
      <c r="AM25" s="837">
        <f t="shared" si="4"/>
        <v>0</v>
      </c>
      <c r="AN25" s="175">
        <f>LOOKUP(TP!$A25,PROD!$A$5:$A$725,PROD!$I$11:$I$731)</f>
        <v>0</v>
      </c>
      <c r="AO25" s="171">
        <f>LOOKUP(TP!$A25,PROD!$A$5:$A$725,PROD!$K$5:$K$725)*100</f>
        <v>0</v>
      </c>
      <c r="AP25" s="110">
        <f>LOOKUP(TP!$A25,PROD!$A$5:$A$725,PROD!$K$8:$K$728)*100</f>
        <v>0</v>
      </c>
      <c r="AQ25" s="110">
        <f t="shared" si="5"/>
        <v>100</v>
      </c>
      <c r="AR25" s="109">
        <f>IFERROR(LOOKUP(Linea,TP!$B$3:$DE$3,TP!D25:DG25),0)</f>
        <v>0</v>
      </c>
      <c r="AS25" s="956">
        <f>SUMIF(PROD!$BF$5:$BF$725,GSh!$BV25,PROD!$V$5:$V$725)/1000*PROD!$A$1</f>
        <v>0</v>
      </c>
      <c r="AT25" s="627">
        <f>LOOKUP(TP!$A25,PROD!$A$5:$A$725,PROD!$AD$5:$AD$725)</f>
        <v>0</v>
      </c>
      <c r="AU25" s="101">
        <f>IFERROR(LOOKUP(Linea,TP!$B$3:$DE$3,TP!E25:DH25),0)</f>
        <v>0</v>
      </c>
      <c r="AV25" s="847">
        <f t="shared" si="6"/>
        <v>0</v>
      </c>
      <c r="AW25" s="1081">
        <f>LOOKUP($BV25,PROD!$A$5:$A$725,PROD!$AE$10:$AE$730)</f>
        <v>0</v>
      </c>
      <c r="AX25" s="1076">
        <f>LOOKUP($BV25,PROD!$A$5:$A$725,PROD!$AE$11:$AE$731)</f>
        <v>0</v>
      </c>
      <c r="AY25" s="114">
        <f>'Pr-Sem'!Z25</f>
        <v>0</v>
      </c>
      <c r="AZ25" s="101">
        <f>IFERROR(LOOKUP(Linea,TP!$B$3:$DE$3,TP!F25:DI25),0)</f>
        <v>0</v>
      </c>
      <c r="BA25" s="840">
        <f>LOOKUP(TP!$A25,PROD!$A$5:$A$725,PROD!$Q$7:$Q$727)</f>
        <v>0</v>
      </c>
      <c r="BB25" s="118">
        <f t="shared" si="20"/>
        <v>0</v>
      </c>
      <c r="BC25" s="109">
        <f t="shared" si="27"/>
        <v>0</v>
      </c>
      <c r="BD25" s="125">
        <f>LOOKUP(TP!$A25,PROD!$A$5:$A$725,PROD!$AH$7:$AH$727)</f>
        <v>0</v>
      </c>
      <c r="BE25" s="101">
        <f t="shared" si="7"/>
        <v>0</v>
      </c>
      <c r="BF25" s="850">
        <f t="shared" si="8"/>
        <v>0</v>
      </c>
      <c r="BG25" s="129">
        <f>LOOKUP(TP!$A25,PROD!$A$5:$A$725,PROD!$AH$8:$AH$728)</f>
        <v>0</v>
      </c>
      <c r="BH25" s="101">
        <f t="shared" si="21"/>
        <v>0</v>
      </c>
      <c r="BI25" s="849">
        <f t="shared" si="9"/>
        <v>0</v>
      </c>
      <c r="BJ25" s="513">
        <f>'Pr-Sem'!AC25*10</f>
        <v>0</v>
      </c>
      <c r="BK25" s="514">
        <f>IFERROR(LOOKUP(Linea,TP!$B$3:$DE$3,TP!J25:DJ25),0)</f>
        <v>0</v>
      </c>
      <c r="BL25" s="848">
        <f t="shared" si="10"/>
        <v>0</v>
      </c>
      <c r="BM25" s="137">
        <f>LOOKUP($BV25,PROD!$A$5:$A$725,PROD!$AH$5:$AH$725)*IF($BM$5="Gr X H",1,100)</f>
        <v>0</v>
      </c>
      <c r="BN25" s="138">
        <f>LOOKUP($BV25,PROD!$A$5:$A$725,PROD!$AI$5:$AI$725)*IF($BM$5="Gr X H",1,100)</f>
        <v>0</v>
      </c>
      <c r="BO25" s="849">
        <f t="shared" si="29"/>
        <v>0</v>
      </c>
      <c r="BP25" s="137">
        <f>LOOKUP(BV25,PROD!$A$5:$A$725,PROD!$AH$6:$AH$726)*IF($BM$5="Gr X H",1,100)</f>
        <v>0</v>
      </c>
      <c r="BQ25" s="138">
        <f>LOOKUP($BV25,PROD!$A$5:$A$725,PROD!$AI$6:$AI$726)*IF($BM$5="Gr X H",1,100)</f>
        <v>0</v>
      </c>
      <c r="BR25" s="849">
        <f t="shared" si="22"/>
        <v>0</v>
      </c>
      <c r="BS25" s="137">
        <f>LOOKUP(TP!$A25,PROD!$A$5:$A$725,PROD!$AH$9:$AH$729)</f>
        <v>0</v>
      </c>
      <c r="BT25" s="138">
        <f>LOOKUP(TP!$A25,PROD!$A$5:$A$725,PROD!$AI$9:$AI$729)</f>
        <v>0</v>
      </c>
      <c r="BU25" s="849">
        <f t="shared" si="11"/>
        <v>0</v>
      </c>
      <c r="BV25" s="957">
        <f t="shared" si="23"/>
        <v>37</v>
      </c>
      <c r="BW25" s="958">
        <f ca="1">LOOKUP($BV25,INVENTARIOS!$A$4:$A$718,ECONO!$T$4:$T$724)*100</f>
        <v>0</v>
      </c>
      <c r="BX25" s="959">
        <f ca="1">LOOKUP($BV25,INVENTARIOS!$A$4:$A$718,ECONO!$T$5:$T$725)*100</f>
        <v>0</v>
      </c>
      <c r="BY25" s="959">
        <f ca="1">LOOKUP($BV25,INVENTARIOS!$A$4:$A$718,ECONO!$T$6:$T$726)*100</f>
        <v>0</v>
      </c>
      <c r="BZ25" s="959">
        <f ca="1">LOOKUP($BV25,INVENTARIOS!$A$4:$A$718,ECONO!$T$7:$T$727)*100</f>
        <v>0</v>
      </c>
      <c r="CA25" s="959">
        <f ca="1">LOOKUP($BV25,INVENTARIOS!$A$4:$A$718,ECONO!$T$8:$T$728)*100</f>
        <v>0</v>
      </c>
      <c r="CB25" s="959">
        <f ca="1">LOOKUP($BV25,INVENTARIOS!$A$4:$A$718,ECONO!$T$9:$T$729)*100</f>
        <v>0</v>
      </c>
      <c r="CC25" s="959">
        <f ca="1">LOOKUP($BV25,INVENTARIOS!$A$4:$A$718,ECONO!$T$10:$T$730)*100</f>
        <v>0</v>
      </c>
      <c r="CD25" s="960">
        <f ca="1">LOOKUP($BV25,INVENTARIOS!$A$4:$A$718,ECONO!$X$8:$X$728)*100</f>
        <v>0</v>
      </c>
      <c r="CE25" s="960">
        <f ca="1">LOOKUP($BV25,INVENTARIOS!$A$4:$A$718,ECONO!$X$9:$X$729)*100</f>
        <v>0</v>
      </c>
      <c r="CF25" s="961">
        <f ca="1">LOOKUP($BV25,INVENTARIOS!$A$4:$A$718,ECONO!$X$10:$X$730)*100</f>
        <v>0</v>
      </c>
      <c r="CG25" s="962">
        <f ca="1">LOOKUP(GSh!$BV25,INVENTARIOS!$A$4:$A$718,ECONO!$X$4:$X$724)*100</f>
        <v>0</v>
      </c>
      <c r="CH25" s="963">
        <f ca="1">LOOKUP(GSh!$BV25,INVENTARIOS!$A$4:$A$718,ECONO!$X$5:$X$725)*100</f>
        <v>0</v>
      </c>
      <c r="CI25" s="963">
        <f ca="1">LOOKUP(GSh!$BV25,INVENTARIOS!$A$4:$A$718,ECONO!$X$6:$X$726)*100</f>
        <v>0</v>
      </c>
      <c r="CJ25" s="964">
        <f ca="1">LOOKUP(GSh!$BV25,INVENTARIOS!$A$4:$A$718,ECONO!$X$7:$X$727)*100</f>
        <v>0</v>
      </c>
      <c r="CK25" s="965">
        <f>IF(OR(AO25&gt;0,AT25&gt;0,AD25&gt;0),TP!A25,CK24)</f>
        <v>0</v>
      </c>
      <c r="CL25" s="966">
        <f>LOOKUP($BV25,INVENTARIOS!$A$4:$A$724,ECONO!$O$10:$O$730)</f>
        <v>0</v>
      </c>
      <c r="CM25" s="967">
        <f>LOOKUP($BV25,INVENTARIOS!$A$4:$A$724,ECONO!$Z$9:$Z$729)</f>
        <v>0</v>
      </c>
      <c r="CN25" s="968">
        <f t="shared" si="12"/>
        <v>0</v>
      </c>
      <c r="CO25"/>
    </row>
    <row r="26" spans="1:93" x14ac:dyDescent="0.3">
      <c r="A26" s="61"/>
      <c r="E26" s="875"/>
      <c r="N26" s="2018" t="str">
        <f>IF(Q4&gt;0,"+",IF(Q4&lt;0,"",""))</f>
        <v>+</v>
      </c>
      <c r="O26" s="2018"/>
      <c r="P26" s="2018"/>
      <c r="U26" s="35" t="str">
        <f>IF(X4&gt;0,"+",IF(X4&lt;0,"",""))</f>
        <v>+</v>
      </c>
      <c r="AC26" s="1193">
        <f t="shared" si="2"/>
        <v>38</v>
      </c>
      <c r="AD26" s="844">
        <f>LOOKUP(TP!$A26,PROD!$A$5:$A$725,PROD!$O$5:$O$725)</f>
        <v>0</v>
      </c>
      <c r="AE26" s="101">
        <f>IFERROR(LOOKUP(Linea,TP!$B$3:$DE$3,TP!B26:DE26),0)</f>
        <v>0</v>
      </c>
      <c r="AF26" s="101">
        <f t="shared" si="24"/>
        <v>0</v>
      </c>
      <c r="AG26" s="101">
        <f t="shared" si="25"/>
        <v>0</v>
      </c>
      <c r="AH26" s="845">
        <f t="shared" si="3"/>
        <v>0</v>
      </c>
      <c r="AI26" s="846">
        <f>LOOKUP(TP!$A26,PROD!$A$5:$A$725,PROD!$O$6:$O$726)</f>
        <v>0</v>
      </c>
      <c r="AJ26" s="101">
        <f>IFERROR(LOOKUP(Linea,TP!$B$3:$DE$3,TP!C26:DF26),0)</f>
        <v>0</v>
      </c>
      <c r="AK26" s="101">
        <f t="shared" si="28"/>
        <v>0</v>
      </c>
      <c r="AL26" s="101">
        <f t="shared" si="26"/>
        <v>0</v>
      </c>
      <c r="AM26" s="837">
        <f t="shared" si="4"/>
        <v>0</v>
      </c>
      <c r="AN26" s="175">
        <f>LOOKUP(TP!$A26,PROD!$A$5:$A$725,PROD!$I$11:$I$731)</f>
        <v>0</v>
      </c>
      <c r="AO26" s="171">
        <f>LOOKUP(TP!$A26,PROD!$A$5:$A$725,PROD!$K$5:$K$725)*100</f>
        <v>0</v>
      </c>
      <c r="AP26" s="110">
        <f>LOOKUP(TP!$A26,PROD!$A$5:$A$725,PROD!$K$8:$K$728)*100</f>
        <v>0</v>
      </c>
      <c r="AQ26" s="110">
        <f t="shared" si="5"/>
        <v>100</v>
      </c>
      <c r="AR26" s="109">
        <f>IFERROR(LOOKUP(Linea,TP!$B$3:$DE$3,TP!D26:DG26),0)</f>
        <v>0</v>
      </c>
      <c r="AS26" s="838">
        <f>SUMIF(PROD!$BF$5:$BF$725,GSh!$BV26,PROD!$V$5:$V$725)/1000*PROD!$A$1</f>
        <v>0</v>
      </c>
      <c r="AT26" s="627">
        <f>LOOKUP(TP!$A26,PROD!$A$5:$A$725,PROD!$AD$5:$AD$725)</f>
        <v>0</v>
      </c>
      <c r="AU26" s="101">
        <f>IFERROR(LOOKUP(Linea,TP!$B$3:$DE$3,TP!E26:DH26),0)</f>
        <v>0</v>
      </c>
      <c r="AV26" s="847">
        <f t="shared" si="6"/>
        <v>0</v>
      </c>
      <c r="AW26" s="1081">
        <f>LOOKUP($BV26,PROD!$A$5:$A$725,PROD!$AE$10:$AE$730)</f>
        <v>0</v>
      </c>
      <c r="AX26" s="1076">
        <f>LOOKUP($BV26,PROD!$A$5:$A$725,PROD!$AE$11:$AE$731)</f>
        <v>0</v>
      </c>
      <c r="AY26" s="114">
        <f>'Pr-Sem'!Z26</f>
        <v>0</v>
      </c>
      <c r="AZ26" s="101">
        <f>IFERROR(LOOKUP(Linea,TP!$B$3:$DE$3,TP!F26:DI26),0)</f>
        <v>0</v>
      </c>
      <c r="BA26" s="840">
        <f>LOOKUP(TP!$A26,PROD!$A$5:$A$725,PROD!$Q$7:$Q$727)</f>
        <v>0</v>
      </c>
      <c r="BB26" s="118">
        <f t="shared" si="20"/>
        <v>0</v>
      </c>
      <c r="BC26" s="109">
        <f t="shared" si="27"/>
        <v>0</v>
      </c>
      <c r="BD26" s="125">
        <f>LOOKUP(TP!$A26,PROD!$A$5:$A$725,PROD!$AH$7:$AH$727)</f>
        <v>0</v>
      </c>
      <c r="BE26" s="101">
        <f t="shared" si="7"/>
        <v>0</v>
      </c>
      <c r="BF26" s="850">
        <f t="shared" si="8"/>
        <v>0</v>
      </c>
      <c r="BG26" s="129">
        <f>LOOKUP(TP!$A26,PROD!$A$5:$A$725,PROD!$AH$8:$AH$728)</f>
        <v>0</v>
      </c>
      <c r="BH26" s="101">
        <f t="shared" si="21"/>
        <v>0</v>
      </c>
      <c r="BI26" s="849">
        <f t="shared" si="9"/>
        <v>0</v>
      </c>
      <c r="BJ26" s="513">
        <f>'Pr-Sem'!AC26*10</f>
        <v>0</v>
      </c>
      <c r="BK26" s="514">
        <f>IFERROR(LOOKUP(Linea,TP!$B$3:$DE$3,TP!J26:DJ26),0)</f>
        <v>0</v>
      </c>
      <c r="BL26" s="848">
        <f t="shared" si="10"/>
        <v>0</v>
      </c>
      <c r="BM26" s="137">
        <f>LOOKUP($BV26,PROD!$A$5:$A$725,PROD!$AH$5:$AH$725)*IF($BM$5="Gr X H",1,100)</f>
        <v>0</v>
      </c>
      <c r="BN26" s="138">
        <f>LOOKUP($BV26,PROD!$A$5:$A$725,PROD!$AI$5:$AI$725)*IF($BM$5="Gr X H",1,100)</f>
        <v>0</v>
      </c>
      <c r="BO26" s="849">
        <f t="shared" si="29"/>
        <v>0</v>
      </c>
      <c r="BP26" s="137">
        <f>LOOKUP(BV26,PROD!$A$5:$A$725,PROD!$AH$6:$AH$726)*IF($BM$5="Gr X H",1,100)</f>
        <v>0</v>
      </c>
      <c r="BQ26" s="138">
        <f>LOOKUP($BV26,PROD!$A$5:$A$725,PROD!$AI$6:$AI$726)*IF($BM$5="Gr X H",1,100)</f>
        <v>0</v>
      </c>
      <c r="BR26" s="849">
        <f t="shared" si="22"/>
        <v>0</v>
      </c>
      <c r="BS26" s="137">
        <f>LOOKUP(TP!$A26,PROD!$A$5:$A$725,PROD!$AH$9:$AH$729)</f>
        <v>0</v>
      </c>
      <c r="BT26" s="138">
        <f>LOOKUP(TP!$A26,PROD!$A$5:$A$725,PROD!$AI$9:$AI$729)</f>
        <v>0</v>
      </c>
      <c r="BU26" s="849">
        <f t="shared" si="11"/>
        <v>0</v>
      </c>
      <c r="BV26" s="833">
        <f t="shared" si="23"/>
        <v>38</v>
      </c>
      <c r="BW26" s="191">
        <f ca="1">LOOKUP($BV26,INVENTARIOS!$A$4:$A$718,ECONO!$T$4:$T$724)*100</f>
        <v>0</v>
      </c>
      <c r="BX26" s="606">
        <f ca="1">LOOKUP($BV26,INVENTARIOS!$A$4:$A$718,ECONO!$T$5:$T$725)*100</f>
        <v>0</v>
      </c>
      <c r="BY26" s="606">
        <f ca="1">LOOKUP($BV26,INVENTARIOS!$A$4:$A$718,ECONO!$T$6:$T$726)*100</f>
        <v>0</v>
      </c>
      <c r="BZ26" s="606">
        <f ca="1">LOOKUP($BV26,INVENTARIOS!$A$4:$A$718,ECONO!$T$7:$T$727)*100</f>
        <v>0</v>
      </c>
      <c r="CA26" s="606">
        <f ca="1">LOOKUP($BV26,INVENTARIOS!$A$4:$A$718,ECONO!$T$8:$T$728)*100</f>
        <v>0</v>
      </c>
      <c r="CB26" s="606">
        <f ca="1">LOOKUP($BV26,INVENTARIOS!$A$4:$A$718,ECONO!$T$9:$T$729)*100</f>
        <v>0</v>
      </c>
      <c r="CC26" s="606">
        <f ca="1">LOOKUP($BV26,INVENTARIOS!$A$4:$A$718,ECONO!$T$10:$T$730)*100</f>
        <v>0</v>
      </c>
      <c r="CD26" s="99">
        <f ca="1">LOOKUP($BV26,INVENTARIOS!$A$4:$A$718,ECONO!$X$8:$X$728)*100</f>
        <v>0</v>
      </c>
      <c r="CE26" s="99">
        <f ca="1">LOOKUP($BV26,INVENTARIOS!$A$4:$A$718,ECONO!$X$9:$X$729)*100</f>
        <v>0</v>
      </c>
      <c r="CF26" s="192">
        <f ca="1">LOOKUP($BV26,INVENTARIOS!$A$4:$A$718,ECONO!$X$10:$X$730)*100</f>
        <v>0</v>
      </c>
      <c r="CG26" s="195">
        <f ca="1">LOOKUP(GSh!$BV26,INVENTARIOS!$A$4:$A$718,ECONO!$X$4:$X$724)*100</f>
        <v>0</v>
      </c>
      <c r="CH26" s="98">
        <f ca="1">LOOKUP(GSh!$BV26,INVENTARIOS!$A$4:$A$718,ECONO!$X$5:$X$725)*100</f>
        <v>0</v>
      </c>
      <c r="CI26" s="98">
        <f ca="1">LOOKUP(GSh!$BV26,INVENTARIOS!$A$4:$A$718,ECONO!$X$6:$X$726)*100</f>
        <v>0</v>
      </c>
      <c r="CJ26" s="194">
        <f ca="1">LOOKUP(GSh!$BV26,INVENTARIOS!$A$4:$A$718,ECONO!$X$7:$X$727)*100</f>
        <v>0</v>
      </c>
      <c r="CK26" s="34">
        <f>IF(OR(AO26&gt;0,AT26&gt;0,AD26&gt;0),TP!A26,CK25)</f>
        <v>0</v>
      </c>
      <c r="CL26" s="257">
        <f>LOOKUP($BV26,INVENTARIOS!$A$4:$A$724,ECONO!$O$10:$O$730)</f>
        <v>0</v>
      </c>
      <c r="CM26" s="258">
        <f>LOOKUP($BV26,INVENTARIOS!$A$4:$A$724,ECONO!$Z$9:$Z$729)</f>
        <v>0</v>
      </c>
      <c r="CN26" s="260">
        <f t="shared" si="12"/>
        <v>0</v>
      </c>
      <c r="CO26"/>
    </row>
    <row r="27" spans="1:93" x14ac:dyDescent="0.3">
      <c r="A27" s="61"/>
      <c r="U27" s="80"/>
      <c r="AC27" s="1193">
        <f t="shared" si="2"/>
        <v>39</v>
      </c>
      <c r="AD27" s="844">
        <f>LOOKUP(TP!$A27,PROD!$A$5:$A$725,PROD!$O$5:$O$725)</f>
        <v>0</v>
      </c>
      <c r="AE27" s="101">
        <f>IFERROR(LOOKUP(Linea,TP!$B$3:$DE$3,TP!B27:DE27),0)</f>
        <v>0</v>
      </c>
      <c r="AF27" s="101">
        <f t="shared" si="24"/>
        <v>0</v>
      </c>
      <c r="AG27" s="101">
        <f t="shared" si="25"/>
        <v>0</v>
      </c>
      <c r="AH27" s="845">
        <f t="shared" si="3"/>
        <v>0</v>
      </c>
      <c r="AI27" s="846">
        <f>LOOKUP(TP!$A27,PROD!$A$5:$A$725,PROD!$O$6:$O$726)</f>
        <v>0</v>
      </c>
      <c r="AJ27" s="101">
        <f>IFERROR(LOOKUP(Linea,TP!$B$3:$DE$3,TP!C27:DF27),0)</f>
        <v>0</v>
      </c>
      <c r="AK27" s="101">
        <f t="shared" si="28"/>
        <v>0</v>
      </c>
      <c r="AL27" s="101">
        <f t="shared" si="26"/>
        <v>0</v>
      </c>
      <c r="AM27" s="837">
        <f t="shared" si="4"/>
        <v>0</v>
      </c>
      <c r="AN27" s="175">
        <f>LOOKUP(TP!$A27,PROD!$A$5:$A$725,PROD!$I$11:$I$731)</f>
        <v>0</v>
      </c>
      <c r="AO27" s="171">
        <f>LOOKUP(TP!$A27,PROD!$A$5:$A$725,PROD!$K$5:$K$725)*100</f>
        <v>0</v>
      </c>
      <c r="AP27" s="110">
        <f>LOOKUP(TP!$A27,PROD!$A$5:$A$725,PROD!$K$8:$K$728)*100</f>
        <v>0</v>
      </c>
      <c r="AQ27" s="110">
        <f t="shared" si="5"/>
        <v>100</v>
      </c>
      <c r="AR27" s="109">
        <f>IFERROR(LOOKUP(Linea,TP!$B$3:$DE$3,TP!D27:DG27),0)</f>
        <v>0</v>
      </c>
      <c r="AS27" s="838">
        <f>SUMIF(PROD!$BF$5:$BF$725,GSh!$BV27,PROD!$V$5:$V$725)/1000*PROD!$A$1</f>
        <v>0</v>
      </c>
      <c r="AT27" s="627">
        <f>LOOKUP(TP!$A27,PROD!$A$5:$A$725,PROD!$AD$5:$AD$725)</f>
        <v>0</v>
      </c>
      <c r="AU27" s="101">
        <f>IFERROR(LOOKUP(Linea,TP!$B$3:$DE$3,TP!E27:DH27),0)</f>
        <v>0</v>
      </c>
      <c r="AV27" s="847">
        <f t="shared" si="6"/>
        <v>0</v>
      </c>
      <c r="AW27" s="1081">
        <f>LOOKUP($BV27,PROD!$A$5:$A$725,PROD!$AE$10:$AE$730)</f>
        <v>0</v>
      </c>
      <c r="AX27" s="1076">
        <f>LOOKUP($BV27,PROD!$A$5:$A$725,PROD!$AE$11:$AE$731)</f>
        <v>0</v>
      </c>
      <c r="AY27" s="114">
        <f>'Pr-Sem'!Z27</f>
        <v>0</v>
      </c>
      <c r="AZ27" s="101">
        <f>IFERROR(LOOKUP(Linea,TP!$B$3:$DE$3,TP!F27:DI27),0)</f>
        <v>0</v>
      </c>
      <c r="BA27" s="840">
        <f>LOOKUP(TP!$A27,PROD!$A$5:$A$725,PROD!$Q$7:$Q$727)</f>
        <v>0</v>
      </c>
      <c r="BB27" s="118">
        <f t="shared" si="20"/>
        <v>0</v>
      </c>
      <c r="BC27" s="109">
        <f t="shared" si="27"/>
        <v>0</v>
      </c>
      <c r="BD27" s="125">
        <f>LOOKUP(TP!$A27,PROD!$A$5:$A$725,PROD!$AH$7:$AH$727)</f>
        <v>0</v>
      </c>
      <c r="BE27" s="101">
        <f t="shared" si="7"/>
        <v>0</v>
      </c>
      <c r="BF27" s="850">
        <f t="shared" si="8"/>
        <v>0</v>
      </c>
      <c r="BG27" s="129">
        <f>LOOKUP(TP!$A27,PROD!$A$5:$A$725,PROD!$AH$8:$AH$728)</f>
        <v>0</v>
      </c>
      <c r="BH27" s="101">
        <f t="shared" si="21"/>
        <v>0</v>
      </c>
      <c r="BI27" s="849">
        <f t="shared" si="9"/>
        <v>0</v>
      </c>
      <c r="BJ27" s="513">
        <f>'Pr-Sem'!AC27*10</f>
        <v>0</v>
      </c>
      <c r="BK27" s="514">
        <f>IFERROR(LOOKUP(Linea,TP!$B$3:$DE$3,TP!J27:DJ27),0)</f>
        <v>0</v>
      </c>
      <c r="BL27" s="848">
        <f t="shared" si="10"/>
        <v>0</v>
      </c>
      <c r="BM27" s="137">
        <f>LOOKUP($BV27,PROD!$A$5:$A$725,PROD!$AH$5:$AH$725)*IF($BM$5="Gr X H",1,100)</f>
        <v>0</v>
      </c>
      <c r="BN27" s="138">
        <f>LOOKUP($BV27,PROD!$A$5:$A$725,PROD!$AI$5:$AI$725)*IF($BM$5="Gr X H",1,100)</f>
        <v>0</v>
      </c>
      <c r="BO27" s="849">
        <f t="shared" si="29"/>
        <v>0</v>
      </c>
      <c r="BP27" s="137">
        <f>LOOKUP(BV27,PROD!$A$5:$A$725,PROD!$AH$6:$AH$726)*IF($BM$5="Gr X H",1,100)</f>
        <v>0</v>
      </c>
      <c r="BQ27" s="138">
        <f>LOOKUP($BV27,PROD!$A$5:$A$725,PROD!$AI$6:$AI$726)*IF($BM$5="Gr X H",1,100)</f>
        <v>0</v>
      </c>
      <c r="BR27" s="849">
        <f t="shared" si="22"/>
        <v>0</v>
      </c>
      <c r="BS27" s="137">
        <f>LOOKUP(TP!$A27,PROD!$A$5:$A$725,PROD!$AH$9:$AH$729)</f>
        <v>0</v>
      </c>
      <c r="BT27" s="138">
        <f>LOOKUP(TP!$A27,PROD!$A$5:$A$725,PROD!$AI$9:$AI$729)</f>
        <v>0</v>
      </c>
      <c r="BU27" s="849">
        <f t="shared" si="11"/>
        <v>0</v>
      </c>
      <c r="BV27" s="833">
        <f t="shared" si="23"/>
        <v>39</v>
      </c>
      <c r="BW27" s="191">
        <f ca="1">LOOKUP($BV27,INVENTARIOS!$A$4:$A$718,ECONO!$T$4:$T$724)*100</f>
        <v>0</v>
      </c>
      <c r="BX27" s="606">
        <f ca="1">LOOKUP($BV27,INVENTARIOS!$A$4:$A$718,ECONO!$T$5:$T$725)*100</f>
        <v>0</v>
      </c>
      <c r="BY27" s="606">
        <f ca="1">LOOKUP($BV27,INVENTARIOS!$A$4:$A$718,ECONO!$T$6:$T$726)*100</f>
        <v>0</v>
      </c>
      <c r="BZ27" s="606">
        <f ca="1">LOOKUP($BV27,INVENTARIOS!$A$4:$A$718,ECONO!$T$7:$T$727)*100</f>
        <v>0</v>
      </c>
      <c r="CA27" s="606">
        <f ca="1">LOOKUP($BV27,INVENTARIOS!$A$4:$A$718,ECONO!$T$8:$T$728)*100</f>
        <v>0</v>
      </c>
      <c r="CB27" s="606">
        <f ca="1">LOOKUP($BV27,INVENTARIOS!$A$4:$A$718,ECONO!$T$9:$T$729)*100</f>
        <v>0</v>
      </c>
      <c r="CC27" s="606">
        <f ca="1">LOOKUP($BV27,INVENTARIOS!$A$4:$A$718,ECONO!$T$10:$T$730)*100</f>
        <v>0</v>
      </c>
      <c r="CD27" s="99">
        <f ca="1">LOOKUP($BV27,INVENTARIOS!$A$4:$A$718,ECONO!$X$8:$X$728)*100</f>
        <v>0</v>
      </c>
      <c r="CE27" s="99">
        <f ca="1">LOOKUP($BV27,INVENTARIOS!$A$4:$A$718,ECONO!$X$9:$X$729)*100</f>
        <v>0</v>
      </c>
      <c r="CF27" s="192">
        <f ca="1">LOOKUP($BV27,INVENTARIOS!$A$4:$A$718,ECONO!$X$10:$X$730)*100</f>
        <v>0</v>
      </c>
      <c r="CG27" s="195">
        <f ca="1">LOOKUP(GSh!$BV27,INVENTARIOS!$A$4:$A$718,ECONO!$X$4:$X$724)*100</f>
        <v>0</v>
      </c>
      <c r="CH27" s="98">
        <f ca="1">LOOKUP(GSh!$BV27,INVENTARIOS!$A$4:$A$718,ECONO!$X$5:$X$725)*100</f>
        <v>0</v>
      </c>
      <c r="CI27" s="98">
        <f ca="1">LOOKUP(GSh!$BV27,INVENTARIOS!$A$4:$A$718,ECONO!$X$6:$X$726)*100</f>
        <v>0</v>
      </c>
      <c r="CJ27" s="194">
        <f ca="1">LOOKUP(GSh!$BV27,INVENTARIOS!$A$4:$A$718,ECONO!$X$7:$X$727)*100</f>
        <v>0</v>
      </c>
      <c r="CK27" s="34">
        <f>IF(OR(AO27&gt;0,AT27&gt;0,AD27&gt;0),TP!A27,CK26)</f>
        <v>0</v>
      </c>
      <c r="CL27" s="257">
        <f>LOOKUP($BV27,INVENTARIOS!$A$4:$A$724,ECONO!$O$10:$O$730)</f>
        <v>0</v>
      </c>
      <c r="CM27" s="258">
        <f>LOOKUP($BV27,INVENTARIOS!$A$4:$A$724,ECONO!$Z$9:$Z$729)</f>
        <v>0</v>
      </c>
      <c r="CN27" s="260">
        <f t="shared" si="12"/>
        <v>0</v>
      </c>
      <c r="CO27"/>
    </row>
    <row r="28" spans="1:93" x14ac:dyDescent="0.3">
      <c r="A28" s="62"/>
      <c r="AC28" s="1193">
        <f t="shared" si="2"/>
        <v>40</v>
      </c>
      <c r="AD28" s="844">
        <f>LOOKUP(TP!$A28,PROD!$A$5:$A$725,PROD!$O$5:$O$725)</f>
        <v>0</v>
      </c>
      <c r="AE28" s="101">
        <f>IFERROR(LOOKUP(Linea,TP!$B$3:$DE$3,TP!B28:DE28),0)</f>
        <v>0</v>
      </c>
      <c r="AF28" s="101">
        <f t="shared" si="24"/>
        <v>0</v>
      </c>
      <c r="AG28" s="101">
        <f t="shared" si="25"/>
        <v>0</v>
      </c>
      <c r="AH28" s="845">
        <f t="shared" si="3"/>
        <v>0</v>
      </c>
      <c r="AI28" s="846">
        <f>LOOKUP(TP!$A28,PROD!$A$5:$A$725,PROD!$O$6:$O$726)</f>
        <v>0</v>
      </c>
      <c r="AJ28" s="101">
        <f>IFERROR(LOOKUP(Linea,TP!$B$3:$DE$3,TP!C28:DF28),0)</f>
        <v>0</v>
      </c>
      <c r="AK28" s="101">
        <f t="shared" si="28"/>
        <v>0</v>
      </c>
      <c r="AL28" s="101">
        <f t="shared" si="26"/>
        <v>0</v>
      </c>
      <c r="AM28" s="837">
        <f t="shared" si="4"/>
        <v>0</v>
      </c>
      <c r="AN28" s="175">
        <f>LOOKUP(TP!$A28,PROD!$A$5:$A$725,PROD!$I$11:$I$731)</f>
        <v>0</v>
      </c>
      <c r="AO28" s="171">
        <f>LOOKUP(TP!$A28,PROD!$A$5:$A$725,PROD!$K$5:$K$725)*100</f>
        <v>0</v>
      </c>
      <c r="AP28" s="110">
        <f>LOOKUP(TP!$A28,PROD!$A$5:$A$725,PROD!$K$8:$K$728)*100</f>
        <v>0</v>
      </c>
      <c r="AQ28" s="110">
        <f t="shared" si="5"/>
        <v>100</v>
      </c>
      <c r="AR28" s="109">
        <f>IFERROR(LOOKUP(Linea,TP!$B$3:$DE$3,TP!D28:DG28),0)</f>
        <v>0</v>
      </c>
      <c r="AS28" s="838">
        <f>SUMIF(PROD!$BF$5:$BF$725,GSh!$BV28,PROD!$V$5:$V$725)/1000*PROD!$A$1</f>
        <v>0</v>
      </c>
      <c r="AT28" s="627">
        <f>LOOKUP(TP!$A28,PROD!$A$5:$A$725,PROD!$AD$5:$AD$725)</f>
        <v>0</v>
      </c>
      <c r="AU28" s="101">
        <f>IFERROR(LOOKUP(Linea,TP!$B$3:$DE$3,TP!E28:DH28),0)</f>
        <v>0</v>
      </c>
      <c r="AV28" s="847">
        <f t="shared" si="6"/>
        <v>0</v>
      </c>
      <c r="AW28" s="1081">
        <f>LOOKUP($BV28,PROD!$A$5:$A$725,PROD!$AE$10:$AE$730)</f>
        <v>0</v>
      </c>
      <c r="AX28" s="1076">
        <f>LOOKUP($BV28,PROD!$A$5:$A$725,PROD!$AE$11:$AE$731)</f>
        <v>0</v>
      </c>
      <c r="AY28" s="114">
        <f>'Pr-Sem'!Z28</f>
        <v>0</v>
      </c>
      <c r="AZ28" s="101">
        <f>IFERROR(LOOKUP(Linea,TP!$B$3:$DE$3,TP!F28:DI28),0)</f>
        <v>0</v>
      </c>
      <c r="BA28" s="840">
        <f>LOOKUP(TP!$A28,PROD!$A$5:$A$725,PROD!$Q$7:$Q$727)</f>
        <v>0</v>
      </c>
      <c r="BB28" s="118">
        <f t="shared" si="20"/>
        <v>0</v>
      </c>
      <c r="BC28" s="109">
        <f t="shared" si="27"/>
        <v>0</v>
      </c>
      <c r="BD28" s="125">
        <f>LOOKUP(TP!$A28,PROD!$A$5:$A$725,PROD!$AH$7:$AH$727)</f>
        <v>0</v>
      </c>
      <c r="BE28" s="101">
        <f t="shared" si="7"/>
        <v>0</v>
      </c>
      <c r="BF28" s="850">
        <f t="shared" si="8"/>
        <v>0</v>
      </c>
      <c r="BG28" s="129">
        <f>LOOKUP(TP!$A28,PROD!$A$5:$A$725,PROD!$AH$8:$AH$728)</f>
        <v>0</v>
      </c>
      <c r="BH28" s="101">
        <f t="shared" si="21"/>
        <v>0</v>
      </c>
      <c r="BI28" s="849">
        <f t="shared" si="9"/>
        <v>0</v>
      </c>
      <c r="BJ28" s="513">
        <f>'Pr-Sem'!AC28*10</f>
        <v>0</v>
      </c>
      <c r="BK28" s="514">
        <f>IFERROR(LOOKUP(Linea,TP!$B$3:$DE$3,TP!J28:DJ28),0)</f>
        <v>0</v>
      </c>
      <c r="BL28" s="848">
        <f t="shared" si="10"/>
        <v>0</v>
      </c>
      <c r="BM28" s="137">
        <f>LOOKUP($BV28,PROD!$A$5:$A$725,PROD!$AH$5:$AH$725)*IF($BM$5="Gr X H",1,100)</f>
        <v>0</v>
      </c>
      <c r="BN28" s="138">
        <f>LOOKUP($BV28,PROD!$A$5:$A$725,PROD!$AI$5:$AI$725)*IF($BM$5="Gr X H",1,100)</f>
        <v>0</v>
      </c>
      <c r="BO28" s="849">
        <f t="shared" si="29"/>
        <v>0</v>
      </c>
      <c r="BP28" s="137">
        <f>LOOKUP(BV28,PROD!$A$5:$A$725,PROD!$AH$6:$AH$726)*IF($BM$5="Gr X H",1,100)</f>
        <v>0</v>
      </c>
      <c r="BQ28" s="138">
        <f>LOOKUP($BV28,PROD!$A$5:$A$725,PROD!$AI$6:$AI$726)*IF($BM$5="Gr X H",1,100)</f>
        <v>0</v>
      </c>
      <c r="BR28" s="849">
        <f t="shared" si="22"/>
        <v>0</v>
      </c>
      <c r="BS28" s="137">
        <f>LOOKUP(TP!$A28,PROD!$A$5:$A$725,PROD!$AH$9:$AH$729)</f>
        <v>0</v>
      </c>
      <c r="BT28" s="138">
        <f>LOOKUP(TP!$A28,PROD!$A$5:$A$725,PROD!$AI$9:$AI$729)</f>
        <v>0</v>
      </c>
      <c r="BU28" s="849">
        <f t="shared" si="11"/>
        <v>0</v>
      </c>
      <c r="BV28" s="833">
        <f t="shared" si="23"/>
        <v>40</v>
      </c>
      <c r="BW28" s="191">
        <f ca="1">LOOKUP($BV28,INVENTARIOS!$A$4:$A$718,ECONO!$T$4:$T$724)*100</f>
        <v>0</v>
      </c>
      <c r="BX28" s="606">
        <f ca="1">LOOKUP($BV28,INVENTARIOS!$A$4:$A$718,ECONO!$T$5:$T$725)*100</f>
        <v>0</v>
      </c>
      <c r="BY28" s="606">
        <f ca="1">LOOKUP($BV28,INVENTARIOS!$A$4:$A$718,ECONO!$T$6:$T$726)*100</f>
        <v>0</v>
      </c>
      <c r="BZ28" s="606">
        <f ca="1">LOOKUP($BV28,INVENTARIOS!$A$4:$A$718,ECONO!$T$7:$T$727)*100</f>
        <v>0</v>
      </c>
      <c r="CA28" s="606">
        <f ca="1">LOOKUP($BV28,INVENTARIOS!$A$4:$A$718,ECONO!$T$8:$T$728)*100</f>
        <v>0</v>
      </c>
      <c r="CB28" s="606">
        <f ca="1">LOOKUP($BV28,INVENTARIOS!$A$4:$A$718,ECONO!$T$9:$T$729)*100</f>
        <v>0</v>
      </c>
      <c r="CC28" s="606">
        <f ca="1">LOOKUP($BV28,INVENTARIOS!$A$4:$A$718,ECONO!$T$10:$T$730)*100</f>
        <v>0</v>
      </c>
      <c r="CD28" s="99">
        <f ca="1">LOOKUP($BV28,INVENTARIOS!$A$4:$A$718,ECONO!$X$8:$X$728)*100</f>
        <v>0</v>
      </c>
      <c r="CE28" s="99">
        <f ca="1">LOOKUP($BV28,INVENTARIOS!$A$4:$A$718,ECONO!$X$9:$X$729)*100</f>
        <v>0</v>
      </c>
      <c r="CF28" s="192">
        <f ca="1">LOOKUP($BV28,INVENTARIOS!$A$4:$A$718,ECONO!$X$10:$X$730)*100</f>
        <v>0</v>
      </c>
      <c r="CG28" s="195">
        <f ca="1">LOOKUP(GSh!$BV28,INVENTARIOS!$A$4:$A$718,ECONO!$X$4:$X$724)*100</f>
        <v>0</v>
      </c>
      <c r="CH28" s="98">
        <f ca="1">LOOKUP(GSh!$BV28,INVENTARIOS!$A$4:$A$718,ECONO!$X$5:$X$725)*100</f>
        <v>0</v>
      </c>
      <c r="CI28" s="98">
        <f ca="1">LOOKUP(GSh!$BV28,INVENTARIOS!$A$4:$A$718,ECONO!$X$6:$X$726)*100</f>
        <v>0</v>
      </c>
      <c r="CJ28" s="194">
        <f ca="1">LOOKUP(GSh!$BV28,INVENTARIOS!$A$4:$A$718,ECONO!$X$7:$X$727)*100</f>
        <v>0</v>
      </c>
      <c r="CK28" s="34">
        <f>IF(OR(AO28&gt;0,AT28&gt;0,AD28&gt;0),TP!A28,CK27)</f>
        <v>0</v>
      </c>
      <c r="CL28" s="257">
        <f>LOOKUP($BV28,INVENTARIOS!$A$4:$A$724,ECONO!$O$10:$O$730)</f>
        <v>0</v>
      </c>
      <c r="CM28" s="258">
        <f>LOOKUP($BV28,INVENTARIOS!$A$4:$A$724,ECONO!$Z$9:$Z$729)</f>
        <v>0</v>
      </c>
      <c r="CN28" s="260">
        <f t="shared" si="12"/>
        <v>0</v>
      </c>
      <c r="CO28"/>
    </row>
    <row r="29" spans="1:93" x14ac:dyDescent="0.3">
      <c r="AC29" s="1193">
        <f t="shared" si="2"/>
        <v>41</v>
      </c>
      <c r="AD29" s="844">
        <f>LOOKUP(TP!$A29,PROD!$A$5:$A$725,PROD!$O$5:$O$725)</f>
        <v>0</v>
      </c>
      <c r="AE29" s="101">
        <f>IFERROR(LOOKUP(Linea,TP!$B$3:$DE$3,TP!B29:DE29),0)</f>
        <v>0</v>
      </c>
      <c r="AF29" s="101">
        <f t="shared" si="24"/>
        <v>0</v>
      </c>
      <c r="AG29" s="101">
        <f t="shared" si="25"/>
        <v>0</v>
      </c>
      <c r="AH29" s="845">
        <f t="shared" si="3"/>
        <v>0</v>
      </c>
      <c r="AI29" s="846">
        <f>LOOKUP(TP!$A29,PROD!$A$5:$A$725,PROD!$O$6:$O$726)</f>
        <v>0</v>
      </c>
      <c r="AJ29" s="101">
        <f>IFERROR(LOOKUP(Linea,TP!$B$3:$DE$3,TP!C29:DF29),0)</f>
        <v>0</v>
      </c>
      <c r="AK29" s="101">
        <f t="shared" si="28"/>
        <v>0</v>
      </c>
      <c r="AL29" s="101">
        <f t="shared" si="26"/>
        <v>0</v>
      </c>
      <c r="AM29" s="837">
        <f t="shared" si="4"/>
        <v>0</v>
      </c>
      <c r="AN29" s="175">
        <f>LOOKUP(TP!$A29,PROD!$A$5:$A$725,PROD!$I$11:$I$731)</f>
        <v>0</v>
      </c>
      <c r="AO29" s="171">
        <f>LOOKUP(TP!$A29,PROD!$A$5:$A$725,PROD!$K$5:$K$725)*100</f>
        <v>0</v>
      </c>
      <c r="AP29" s="110">
        <f>LOOKUP(TP!$A29,PROD!$A$5:$A$725,PROD!$K$8:$K$728)*100</f>
        <v>0</v>
      </c>
      <c r="AQ29" s="110">
        <f t="shared" si="5"/>
        <v>100</v>
      </c>
      <c r="AR29" s="109">
        <f>IFERROR(LOOKUP(Linea,TP!$B$3:$DE$3,TP!D29:DG29),0)</f>
        <v>0</v>
      </c>
      <c r="AS29" s="838">
        <f>SUMIF(PROD!$BF$5:$BF$725,GSh!$BV29,PROD!$V$5:$V$725)/1000*PROD!$A$1</f>
        <v>0</v>
      </c>
      <c r="AT29" s="627">
        <f>LOOKUP(TP!$A29,PROD!$A$5:$A$725,PROD!$AD$5:$AD$725)</f>
        <v>0</v>
      </c>
      <c r="AU29" s="101">
        <f>IFERROR(LOOKUP(Linea,TP!$B$3:$DE$3,TP!E29:DH29),0)</f>
        <v>0</v>
      </c>
      <c r="AV29" s="847">
        <f t="shared" si="6"/>
        <v>0</v>
      </c>
      <c r="AW29" s="1081">
        <f>LOOKUP($BV29,PROD!$A$5:$A$725,PROD!$AE$10:$AE$730)</f>
        <v>0</v>
      </c>
      <c r="AX29" s="1076">
        <f>LOOKUP($BV29,PROD!$A$5:$A$725,PROD!$AE$11:$AE$731)</f>
        <v>0</v>
      </c>
      <c r="AY29" s="114">
        <f>'Pr-Sem'!Z29</f>
        <v>0</v>
      </c>
      <c r="AZ29" s="101">
        <f>IFERROR(LOOKUP(Linea,TP!$B$3:$DE$3,TP!F29:DI29),0)</f>
        <v>0</v>
      </c>
      <c r="BA29" s="840">
        <f>LOOKUP(TP!$A29,PROD!$A$5:$A$725,PROD!$Q$7:$Q$727)</f>
        <v>0</v>
      </c>
      <c r="BB29" s="118">
        <f t="shared" si="20"/>
        <v>0</v>
      </c>
      <c r="BC29" s="109">
        <f t="shared" si="27"/>
        <v>0</v>
      </c>
      <c r="BD29" s="125">
        <f>LOOKUP(TP!$A29,PROD!$A$5:$A$725,PROD!$AH$7:$AH$727)</f>
        <v>0</v>
      </c>
      <c r="BE29" s="101">
        <f t="shared" si="7"/>
        <v>0</v>
      </c>
      <c r="BF29" s="850">
        <f t="shared" si="8"/>
        <v>0</v>
      </c>
      <c r="BG29" s="129">
        <f>LOOKUP(TP!$A29,PROD!$A$5:$A$725,PROD!$AH$8:$AH$728)</f>
        <v>0</v>
      </c>
      <c r="BH29" s="101">
        <f t="shared" si="21"/>
        <v>0</v>
      </c>
      <c r="BI29" s="849">
        <f t="shared" si="9"/>
        <v>0</v>
      </c>
      <c r="BJ29" s="513">
        <f>'Pr-Sem'!AC29*10</f>
        <v>0</v>
      </c>
      <c r="BK29" s="514">
        <f>IFERROR(LOOKUP(Linea,TP!$B$3:$DE$3,TP!J29:DJ29),0)</f>
        <v>0</v>
      </c>
      <c r="BL29" s="848">
        <f t="shared" si="10"/>
        <v>0</v>
      </c>
      <c r="BM29" s="137">
        <f>LOOKUP($BV29,PROD!$A$5:$A$725,PROD!$AH$5:$AH$725)*IF($BM$5="Gr X H",1,100)</f>
        <v>0</v>
      </c>
      <c r="BN29" s="138">
        <f>LOOKUP($BV29,PROD!$A$5:$A$725,PROD!$AI$5:$AI$725)*IF($BM$5="Gr X H",1,100)</f>
        <v>0</v>
      </c>
      <c r="BO29" s="849">
        <f t="shared" si="29"/>
        <v>0</v>
      </c>
      <c r="BP29" s="137">
        <f>LOOKUP(BV29,PROD!$A$5:$A$725,PROD!$AH$6:$AH$726)*IF($BM$5="Gr X H",1,100)</f>
        <v>0</v>
      </c>
      <c r="BQ29" s="138">
        <f>LOOKUP($BV29,PROD!$A$5:$A$725,PROD!$AI$6:$AI$726)*IF($BM$5="Gr X H",1,100)</f>
        <v>0</v>
      </c>
      <c r="BR29" s="849">
        <f t="shared" si="22"/>
        <v>0</v>
      </c>
      <c r="BS29" s="137">
        <f>LOOKUP(TP!$A29,PROD!$A$5:$A$725,PROD!$AH$9:$AH$729)</f>
        <v>0</v>
      </c>
      <c r="BT29" s="138">
        <f>LOOKUP(TP!$A29,PROD!$A$5:$A$725,PROD!$AI$9:$AI$729)</f>
        <v>0</v>
      </c>
      <c r="BU29" s="849">
        <f t="shared" si="11"/>
        <v>0</v>
      </c>
      <c r="BV29" s="833">
        <f t="shared" si="23"/>
        <v>41</v>
      </c>
      <c r="BW29" s="191">
        <f ca="1">LOOKUP($BV29,INVENTARIOS!$A$4:$A$718,ECONO!$T$4:$T$724)*100</f>
        <v>0</v>
      </c>
      <c r="BX29" s="606">
        <f ca="1">LOOKUP($BV29,INVENTARIOS!$A$4:$A$718,ECONO!$T$5:$T$725)*100</f>
        <v>0</v>
      </c>
      <c r="BY29" s="606">
        <f ca="1">LOOKUP($BV29,INVENTARIOS!$A$4:$A$718,ECONO!$T$6:$T$726)*100</f>
        <v>0</v>
      </c>
      <c r="BZ29" s="606">
        <f ca="1">LOOKUP($BV29,INVENTARIOS!$A$4:$A$718,ECONO!$T$7:$T$727)*100</f>
        <v>0</v>
      </c>
      <c r="CA29" s="606">
        <f ca="1">LOOKUP($BV29,INVENTARIOS!$A$4:$A$718,ECONO!$T$8:$T$728)*100</f>
        <v>0</v>
      </c>
      <c r="CB29" s="606">
        <f ca="1">LOOKUP($BV29,INVENTARIOS!$A$4:$A$718,ECONO!$T$9:$T$729)*100</f>
        <v>0</v>
      </c>
      <c r="CC29" s="606">
        <f ca="1">LOOKUP($BV29,INVENTARIOS!$A$4:$A$718,ECONO!$T$10:$T$730)*100</f>
        <v>0</v>
      </c>
      <c r="CD29" s="99">
        <f ca="1">LOOKUP($BV29,INVENTARIOS!$A$4:$A$718,ECONO!$X$8:$X$728)*100</f>
        <v>0</v>
      </c>
      <c r="CE29" s="99">
        <f ca="1">LOOKUP($BV29,INVENTARIOS!$A$4:$A$718,ECONO!$X$9:$X$729)*100</f>
        <v>0</v>
      </c>
      <c r="CF29" s="192">
        <f ca="1">LOOKUP($BV29,INVENTARIOS!$A$4:$A$718,ECONO!$X$10:$X$730)*100</f>
        <v>0</v>
      </c>
      <c r="CG29" s="195">
        <f ca="1">LOOKUP(GSh!$BV29,INVENTARIOS!$A$4:$A$718,ECONO!$X$4:$X$724)*100</f>
        <v>0</v>
      </c>
      <c r="CH29" s="98">
        <f ca="1">LOOKUP(GSh!$BV29,INVENTARIOS!$A$4:$A$718,ECONO!$X$5:$X$725)*100</f>
        <v>0</v>
      </c>
      <c r="CI29" s="98">
        <f ca="1">LOOKUP(GSh!$BV29,INVENTARIOS!$A$4:$A$718,ECONO!$X$6:$X$726)*100</f>
        <v>0</v>
      </c>
      <c r="CJ29" s="194">
        <f ca="1">LOOKUP(GSh!$BV29,INVENTARIOS!$A$4:$A$718,ECONO!$X$7:$X$727)*100</f>
        <v>0</v>
      </c>
      <c r="CK29" s="34">
        <f>IF(OR(AO29&gt;0,AT29&gt;0,AD29&gt;0),TP!A29,CK28)</f>
        <v>0</v>
      </c>
      <c r="CL29" s="257">
        <f>LOOKUP($BV29,INVENTARIOS!$A$4:$A$724,ECONO!$O$10:$O$730)</f>
        <v>0</v>
      </c>
      <c r="CM29" s="258">
        <f>LOOKUP($BV29,INVENTARIOS!$A$4:$A$724,ECONO!$Z$9:$Z$729)</f>
        <v>0</v>
      </c>
      <c r="CN29" s="260">
        <f t="shared" si="12"/>
        <v>0</v>
      </c>
      <c r="CO29"/>
    </row>
    <row r="30" spans="1:93" x14ac:dyDescent="0.3">
      <c r="AC30" s="1193">
        <f t="shared" si="2"/>
        <v>42</v>
      </c>
      <c r="AD30" s="844">
        <f>LOOKUP(TP!$A30,PROD!$A$5:$A$725,PROD!$O$5:$O$725)</f>
        <v>0</v>
      </c>
      <c r="AE30" s="101">
        <f>IFERROR(LOOKUP(Linea,TP!$B$3:$DE$3,TP!B30:DE30),0)</f>
        <v>0</v>
      </c>
      <c r="AF30" s="101">
        <f t="shared" si="24"/>
        <v>0</v>
      </c>
      <c r="AG30" s="101">
        <f t="shared" si="25"/>
        <v>0</v>
      </c>
      <c r="AH30" s="845">
        <f t="shared" si="3"/>
        <v>0</v>
      </c>
      <c r="AI30" s="846">
        <f>LOOKUP(TP!$A30,PROD!$A$5:$A$725,PROD!$O$6:$O$726)</f>
        <v>0</v>
      </c>
      <c r="AJ30" s="101">
        <f>IFERROR(LOOKUP(Linea,TP!$B$3:$DE$3,TP!C30:DF30),0)</f>
        <v>0</v>
      </c>
      <c r="AK30" s="101">
        <f t="shared" si="28"/>
        <v>0</v>
      </c>
      <c r="AL30" s="101">
        <f t="shared" si="26"/>
        <v>0</v>
      </c>
      <c r="AM30" s="837">
        <f t="shared" si="4"/>
        <v>0</v>
      </c>
      <c r="AN30" s="175">
        <f>LOOKUP(TP!$A30,PROD!$A$5:$A$725,PROD!$I$11:$I$731)</f>
        <v>0</v>
      </c>
      <c r="AO30" s="171">
        <f>LOOKUP(TP!$A30,PROD!$A$5:$A$725,PROD!$K$5:$K$725)*100</f>
        <v>0</v>
      </c>
      <c r="AP30" s="110">
        <f>LOOKUP(TP!$A30,PROD!$A$5:$A$725,PROD!$K$8:$K$728)*100</f>
        <v>0</v>
      </c>
      <c r="AQ30" s="110">
        <f t="shared" si="5"/>
        <v>100</v>
      </c>
      <c r="AR30" s="109">
        <f>IFERROR(LOOKUP(Linea,TP!$B$3:$DE$3,TP!D30:DG30),0)</f>
        <v>0</v>
      </c>
      <c r="AS30" s="838">
        <f>SUMIF(PROD!$BF$5:$BF$725,GSh!$BV30,PROD!$V$5:$V$725)/1000*PROD!$A$1</f>
        <v>0</v>
      </c>
      <c r="AT30" s="627">
        <f>LOOKUP(TP!$A30,PROD!$A$5:$A$725,PROD!$AD$5:$AD$725)</f>
        <v>0</v>
      </c>
      <c r="AU30" s="101">
        <f>IFERROR(LOOKUP(Linea,TP!$B$3:$DE$3,TP!E30:DH30),0)</f>
        <v>0</v>
      </c>
      <c r="AV30" s="847">
        <f t="shared" si="6"/>
        <v>0</v>
      </c>
      <c r="AW30" s="1081">
        <f>LOOKUP($BV30,PROD!$A$5:$A$725,PROD!$AE$10:$AE$730)</f>
        <v>0</v>
      </c>
      <c r="AX30" s="1076">
        <f>LOOKUP($BV30,PROD!$A$5:$A$725,PROD!$AE$11:$AE$731)</f>
        <v>0</v>
      </c>
      <c r="AY30" s="114">
        <f>'Pr-Sem'!Z30</f>
        <v>0</v>
      </c>
      <c r="AZ30" s="101">
        <f>IFERROR(LOOKUP(Linea,TP!$B$3:$DE$3,TP!F30:DI30),0)</f>
        <v>0</v>
      </c>
      <c r="BA30" s="840">
        <f>LOOKUP(TP!$A30,PROD!$A$5:$A$725,PROD!$Q$7:$Q$727)</f>
        <v>0</v>
      </c>
      <c r="BB30" s="118">
        <f t="shared" si="20"/>
        <v>0</v>
      </c>
      <c r="BC30" s="109">
        <f t="shared" si="27"/>
        <v>0</v>
      </c>
      <c r="BD30" s="125">
        <f>LOOKUP(TP!$A30,PROD!$A$5:$A$725,PROD!$AH$7:$AH$727)</f>
        <v>0</v>
      </c>
      <c r="BE30" s="101">
        <f t="shared" si="7"/>
        <v>0</v>
      </c>
      <c r="BF30" s="850">
        <f t="shared" si="8"/>
        <v>0</v>
      </c>
      <c r="BG30" s="129">
        <f>LOOKUP(TP!$A30,PROD!$A$5:$A$725,PROD!$AH$8:$AH$728)</f>
        <v>0</v>
      </c>
      <c r="BH30" s="101">
        <f t="shared" si="21"/>
        <v>0</v>
      </c>
      <c r="BI30" s="849">
        <f t="shared" si="9"/>
        <v>0</v>
      </c>
      <c r="BJ30" s="513">
        <f>'Pr-Sem'!AC30*10</f>
        <v>0</v>
      </c>
      <c r="BK30" s="514">
        <f>IFERROR(LOOKUP(Linea,TP!$B$3:$DE$3,TP!J30:DJ30),0)</f>
        <v>0</v>
      </c>
      <c r="BL30" s="848">
        <f t="shared" si="10"/>
        <v>0</v>
      </c>
      <c r="BM30" s="137">
        <f>LOOKUP($BV30,PROD!$A$5:$A$725,PROD!$AH$5:$AH$725)*IF($BM$5="Gr X H",1,100)</f>
        <v>0</v>
      </c>
      <c r="BN30" s="138">
        <f>LOOKUP($BV30,PROD!$A$5:$A$725,PROD!$AI$5:$AI$725)*IF($BM$5="Gr X H",1,100)</f>
        <v>0</v>
      </c>
      <c r="BO30" s="849">
        <f t="shared" si="29"/>
        <v>0</v>
      </c>
      <c r="BP30" s="137">
        <f>LOOKUP(BV30,PROD!$A$5:$A$725,PROD!$AH$6:$AH$726)*IF($BM$5="Gr X H",1,100)</f>
        <v>0</v>
      </c>
      <c r="BQ30" s="138">
        <f>LOOKUP($BV30,PROD!$A$5:$A$725,PROD!$AI$6:$AI$726)*IF($BM$5="Gr X H",1,100)</f>
        <v>0</v>
      </c>
      <c r="BR30" s="849">
        <f t="shared" si="22"/>
        <v>0</v>
      </c>
      <c r="BS30" s="137">
        <f>LOOKUP(TP!$A30,PROD!$A$5:$A$725,PROD!$AH$9:$AH$729)</f>
        <v>0</v>
      </c>
      <c r="BT30" s="138">
        <f>LOOKUP(TP!$A30,PROD!$A$5:$A$725,PROD!$AI$9:$AI$729)</f>
        <v>0</v>
      </c>
      <c r="BU30" s="849">
        <f t="shared" si="11"/>
        <v>0</v>
      </c>
      <c r="BV30" s="833">
        <f t="shared" si="23"/>
        <v>42</v>
      </c>
      <c r="BW30" s="191">
        <f ca="1">LOOKUP($BV30,INVENTARIOS!$A$4:$A$718,ECONO!$T$4:$T$724)*100</f>
        <v>0</v>
      </c>
      <c r="BX30" s="606">
        <f ca="1">LOOKUP($BV30,INVENTARIOS!$A$4:$A$718,ECONO!$T$5:$T$725)*100</f>
        <v>0</v>
      </c>
      <c r="BY30" s="606">
        <f ca="1">LOOKUP($BV30,INVENTARIOS!$A$4:$A$718,ECONO!$T$6:$T$726)*100</f>
        <v>0</v>
      </c>
      <c r="BZ30" s="606">
        <f ca="1">LOOKUP($BV30,INVENTARIOS!$A$4:$A$718,ECONO!$T$7:$T$727)*100</f>
        <v>0</v>
      </c>
      <c r="CA30" s="606">
        <f ca="1">LOOKUP($BV30,INVENTARIOS!$A$4:$A$718,ECONO!$T$8:$T$728)*100</f>
        <v>0</v>
      </c>
      <c r="CB30" s="606">
        <f ca="1">LOOKUP($BV30,INVENTARIOS!$A$4:$A$718,ECONO!$T$9:$T$729)*100</f>
        <v>0</v>
      </c>
      <c r="CC30" s="606">
        <f ca="1">LOOKUP($BV30,INVENTARIOS!$A$4:$A$718,ECONO!$T$10:$T$730)*100</f>
        <v>0</v>
      </c>
      <c r="CD30" s="99">
        <f ca="1">LOOKUP($BV30,INVENTARIOS!$A$4:$A$718,ECONO!$X$8:$X$728)*100</f>
        <v>0</v>
      </c>
      <c r="CE30" s="99">
        <f ca="1">LOOKUP($BV30,INVENTARIOS!$A$4:$A$718,ECONO!$X$9:$X$729)*100</f>
        <v>0</v>
      </c>
      <c r="CF30" s="192">
        <f ca="1">LOOKUP($BV30,INVENTARIOS!$A$4:$A$718,ECONO!$X$10:$X$730)*100</f>
        <v>0</v>
      </c>
      <c r="CG30" s="195">
        <f ca="1">LOOKUP(GSh!$BV30,INVENTARIOS!$A$4:$A$718,ECONO!$X$4:$X$724)*100</f>
        <v>0</v>
      </c>
      <c r="CH30" s="98">
        <f ca="1">LOOKUP(GSh!$BV30,INVENTARIOS!$A$4:$A$718,ECONO!$X$5:$X$725)*100</f>
        <v>0</v>
      </c>
      <c r="CI30" s="98">
        <f ca="1">LOOKUP(GSh!$BV30,INVENTARIOS!$A$4:$A$718,ECONO!$X$6:$X$726)*100</f>
        <v>0</v>
      </c>
      <c r="CJ30" s="194">
        <f ca="1">LOOKUP(GSh!$BV30,INVENTARIOS!$A$4:$A$718,ECONO!$X$7:$X$727)*100</f>
        <v>0</v>
      </c>
      <c r="CK30" s="34">
        <f>IF(OR(AO30&gt;0,AT30&gt;0,AD30&gt;0),TP!A30,CK29)</f>
        <v>0</v>
      </c>
      <c r="CL30" s="257">
        <f>LOOKUP($BV30,INVENTARIOS!$A$4:$A$724,ECONO!$O$10:$O$730)</f>
        <v>0</v>
      </c>
      <c r="CM30" s="258">
        <f>LOOKUP($BV30,INVENTARIOS!$A$4:$A$724,ECONO!$Z$9:$Z$729)</f>
        <v>0</v>
      </c>
      <c r="CN30" s="260">
        <f t="shared" si="12"/>
        <v>0</v>
      </c>
      <c r="CO30"/>
    </row>
    <row r="31" spans="1:93" x14ac:dyDescent="0.3">
      <c r="AC31" s="1193">
        <f t="shared" si="2"/>
        <v>43</v>
      </c>
      <c r="AD31" s="844">
        <f>LOOKUP(TP!$A31,PROD!$A$5:$A$725,PROD!$O$5:$O$725)</f>
        <v>0</v>
      </c>
      <c r="AE31" s="101">
        <f>IFERROR(LOOKUP(Linea,TP!$B$3:$DE$3,TP!B31:DE31),0)</f>
        <v>0</v>
      </c>
      <c r="AF31" s="101">
        <f t="shared" si="24"/>
        <v>0</v>
      </c>
      <c r="AG31" s="101">
        <f t="shared" si="25"/>
        <v>0</v>
      </c>
      <c r="AH31" s="845">
        <f t="shared" si="3"/>
        <v>0</v>
      </c>
      <c r="AI31" s="846">
        <f>LOOKUP(TP!$A31,PROD!$A$5:$A$725,PROD!$O$6:$O$726)</f>
        <v>0</v>
      </c>
      <c r="AJ31" s="101">
        <f>IFERROR(LOOKUP(Linea,TP!$B$3:$DE$3,TP!C31:DF31),0)</f>
        <v>0</v>
      </c>
      <c r="AK31" s="101">
        <f t="shared" si="28"/>
        <v>0</v>
      </c>
      <c r="AL31" s="101">
        <f t="shared" si="26"/>
        <v>0</v>
      </c>
      <c r="AM31" s="837">
        <f t="shared" si="4"/>
        <v>0</v>
      </c>
      <c r="AN31" s="175">
        <f>LOOKUP(TP!$A31,PROD!$A$5:$A$725,PROD!$I$11:$I$731)</f>
        <v>0</v>
      </c>
      <c r="AO31" s="171">
        <f>LOOKUP(TP!$A31,PROD!$A$5:$A$725,PROD!$K$5:$K$725)*100</f>
        <v>0</v>
      </c>
      <c r="AP31" s="110">
        <f>LOOKUP(TP!$A31,PROD!$A$5:$A$725,PROD!$K$8:$K$728)*100</f>
        <v>0</v>
      </c>
      <c r="AQ31" s="110">
        <f t="shared" si="5"/>
        <v>100</v>
      </c>
      <c r="AR31" s="109">
        <f>IFERROR(LOOKUP(Linea,TP!$B$3:$DE$3,TP!D31:DG31),0)</f>
        <v>0</v>
      </c>
      <c r="AS31" s="838">
        <f>SUMIF(PROD!$BF$5:$BF$725,GSh!$BV31,PROD!$V$5:$V$725)/1000*PROD!$A$1</f>
        <v>0</v>
      </c>
      <c r="AT31" s="627">
        <f>LOOKUP(TP!$A31,PROD!$A$5:$A$725,PROD!$AD$5:$AD$725)</f>
        <v>0</v>
      </c>
      <c r="AU31" s="101">
        <f>IFERROR(LOOKUP(Linea,TP!$B$3:$DE$3,TP!E31:DH31),0)</f>
        <v>0</v>
      </c>
      <c r="AV31" s="847">
        <f t="shared" si="6"/>
        <v>0</v>
      </c>
      <c r="AW31" s="1081">
        <f>LOOKUP($BV31,PROD!$A$5:$A$725,PROD!$AE$10:$AE$730)</f>
        <v>0</v>
      </c>
      <c r="AX31" s="1076">
        <f>LOOKUP($BV31,PROD!$A$5:$A$725,PROD!$AE$11:$AE$731)</f>
        <v>0</v>
      </c>
      <c r="AY31" s="114">
        <f>'Pr-Sem'!Z31</f>
        <v>0</v>
      </c>
      <c r="AZ31" s="101">
        <f>IFERROR(LOOKUP(Linea,TP!$B$3:$DE$3,TP!F31:DI31),0)</f>
        <v>0</v>
      </c>
      <c r="BA31" s="840">
        <f>LOOKUP(TP!$A31,PROD!$A$5:$A$725,PROD!$Q$7:$Q$727)</f>
        <v>0</v>
      </c>
      <c r="BB31" s="118">
        <f t="shared" si="20"/>
        <v>0</v>
      </c>
      <c r="BC31" s="109">
        <f t="shared" si="27"/>
        <v>0</v>
      </c>
      <c r="BD31" s="125">
        <f>LOOKUP(TP!$A31,PROD!$A$5:$A$725,PROD!$AH$7:$AH$727)</f>
        <v>0</v>
      </c>
      <c r="BE31" s="101">
        <f t="shared" si="7"/>
        <v>0</v>
      </c>
      <c r="BF31" s="850">
        <f t="shared" si="8"/>
        <v>0</v>
      </c>
      <c r="BG31" s="129">
        <f>LOOKUP(TP!$A31,PROD!$A$5:$A$725,PROD!$AH$8:$AH$728)</f>
        <v>0</v>
      </c>
      <c r="BH31" s="101">
        <f t="shared" si="21"/>
        <v>0</v>
      </c>
      <c r="BI31" s="849">
        <f t="shared" si="9"/>
        <v>0</v>
      </c>
      <c r="BJ31" s="513">
        <f>'Pr-Sem'!AC31*10</f>
        <v>0</v>
      </c>
      <c r="BK31" s="514">
        <f>IFERROR(LOOKUP(Linea,TP!$B$3:$DE$3,TP!J31:DJ31),0)</f>
        <v>0</v>
      </c>
      <c r="BL31" s="848">
        <f t="shared" si="10"/>
        <v>0</v>
      </c>
      <c r="BM31" s="137">
        <f>LOOKUP($BV31,PROD!$A$5:$A$725,PROD!$AH$5:$AH$725)*IF($BM$5="Gr X H",1,100)</f>
        <v>0</v>
      </c>
      <c r="BN31" s="138">
        <f>LOOKUP($BV31,PROD!$A$5:$A$725,PROD!$AI$5:$AI$725)*IF($BM$5="Gr X H",1,100)</f>
        <v>0</v>
      </c>
      <c r="BO31" s="849">
        <f t="shared" si="29"/>
        <v>0</v>
      </c>
      <c r="BP31" s="137">
        <f>LOOKUP(BV31,PROD!$A$5:$A$725,PROD!$AH$6:$AH$726)*IF($BM$5="Gr X H",1,100)</f>
        <v>0</v>
      </c>
      <c r="BQ31" s="138">
        <f>LOOKUP($BV31,PROD!$A$5:$A$725,PROD!$AI$6:$AI$726)*IF($BM$5="Gr X H",1,100)</f>
        <v>0</v>
      </c>
      <c r="BR31" s="849">
        <f t="shared" si="22"/>
        <v>0</v>
      </c>
      <c r="BS31" s="137">
        <f>LOOKUP(TP!$A31,PROD!$A$5:$A$725,PROD!$AH$9:$AH$729)</f>
        <v>0</v>
      </c>
      <c r="BT31" s="138">
        <f>LOOKUP(TP!$A31,PROD!$A$5:$A$725,PROD!$AI$9:$AI$729)</f>
        <v>0</v>
      </c>
      <c r="BU31" s="849">
        <f t="shared" si="11"/>
        <v>0</v>
      </c>
      <c r="BV31" s="833">
        <f t="shared" si="23"/>
        <v>43</v>
      </c>
      <c r="BW31" s="191">
        <f ca="1">LOOKUP($BV31,INVENTARIOS!$A$4:$A$718,ECONO!$T$4:$T$724)*100</f>
        <v>0</v>
      </c>
      <c r="BX31" s="606">
        <f ca="1">LOOKUP($BV31,INVENTARIOS!$A$4:$A$718,ECONO!$T$5:$T$725)*100</f>
        <v>0</v>
      </c>
      <c r="BY31" s="606">
        <f ca="1">LOOKUP($BV31,INVENTARIOS!$A$4:$A$718,ECONO!$T$6:$T$726)*100</f>
        <v>0</v>
      </c>
      <c r="BZ31" s="606">
        <f ca="1">LOOKUP($BV31,INVENTARIOS!$A$4:$A$718,ECONO!$T$7:$T$727)*100</f>
        <v>0</v>
      </c>
      <c r="CA31" s="606">
        <f ca="1">LOOKUP($BV31,INVENTARIOS!$A$4:$A$718,ECONO!$T$8:$T$728)*100</f>
        <v>0</v>
      </c>
      <c r="CB31" s="606">
        <f ca="1">LOOKUP($BV31,INVENTARIOS!$A$4:$A$718,ECONO!$T$9:$T$729)*100</f>
        <v>0</v>
      </c>
      <c r="CC31" s="606">
        <f ca="1">LOOKUP($BV31,INVENTARIOS!$A$4:$A$718,ECONO!$T$10:$T$730)*100</f>
        <v>0</v>
      </c>
      <c r="CD31" s="99">
        <f ca="1">LOOKUP($BV31,INVENTARIOS!$A$4:$A$718,ECONO!$X$8:$X$728)*100</f>
        <v>0</v>
      </c>
      <c r="CE31" s="99">
        <f ca="1">LOOKUP($BV31,INVENTARIOS!$A$4:$A$718,ECONO!$X$9:$X$729)*100</f>
        <v>0</v>
      </c>
      <c r="CF31" s="192">
        <f ca="1">LOOKUP($BV31,INVENTARIOS!$A$4:$A$718,ECONO!$X$10:$X$730)*100</f>
        <v>0</v>
      </c>
      <c r="CG31" s="195">
        <f ca="1">LOOKUP(GSh!$BV31,INVENTARIOS!$A$4:$A$718,ECONO!$X$4:$X$724)*100</f>
        <v>0</v>
      </c>
      <c r="CH31" s="98">
        <f ca="1">LOOKUP(GSh!$BV31,INVENTARIOS!$A$4:$A$718,ECONO!$X$5:$X$725)*100</f>
        <v>0</v>
      </c>
      <c r="CI31" s="98">
        <f ca="1">LOOKUP(GSh!$BV31,INVENTARIOS!$A$4:$A$718,ECONO!$X$6:$X$726)*100</f>
        <v>0</v>
      </c>
      <c r="CJ31" s="194">
        <f ca="1">LOOKUP(GSh!$BV31,INVENTARIOS!$A$4:$A$718,ECONO!$X$7:$X$727)*100</f>
        <v>0</v>
      </c>
      <c r="CK31" s="34">
        <f>IF(OR(AO31&gt;0,AT31&gt;0,AD31&gt;0),TP!A31,CK30)</f>
        <v>0</v>
      </c>
      <c r="CL31" s="257">
        <f>LOOKUP($BV31,INVENTARIOS!$A$4:$A$724,ECONO!$O$10:$O$730)</f>
        <v>0</v>
      </c>
      <c r="CM31" s="258">
        <f>LOOKUP($BV31,INVENTARIOS!$A$4:$A$724,ECONO!$Z$9:$Z$729)</f>
        <v>0</v>
      </c>
      <c r="CN31" s="260">
        <f t="shared" si="12"/>
        <v>0</v>
      </c>
      <c r="CO31"/>
    </row>
    <row r="32" spans="1:93" x14ac:dyDescent="0.3">
      <c r="AC32" s="1193">
        <f t="shared" si="2"/>
        <v>44</v>
      </c>
      <c r="AD32" s="844">
        <f>LOOKUP(TP!$A32,PROD!$A$5:$A$725,PROD!$O$5:$O$725)</f>
        <v>0</v>
      </c>
      <c r="AE32" s="101">
        <f>IFERROR(LOOKUP(Linea,TP!$B$3:$DE$3,TP!B32:DE32),0)</f>
        <v>0</v>
      </c>
      <c r="AF32" s="101">
        <f t="shared" si="24"/>
        <v>0</v>
      </c>
      <c r="AG32" s="101">
        <f t="shared" si="25"/>
        <v>0</v>
      </c>
      <c r="AH32" s="845">
        <f t="shared" si="3"/>
        <v>0</v>
      </c>
      <c r="AI32" s="846">
        <f>LOOKUP(TP!$A32,PROD!$A$5:$A$725,PROD!$O$6:$O$726)</f>
        <v>0</v>
      </c>
      <c r="AJ32" s="101">
        <f>IFERROR(LOOKUP(Linea,TP!$B$3:$DE$3,TP!C32:DF32),0)</f>
        <v>0</v>
      </c>
      <c r="AK32" s="101">
        <f t="shared" si="28"/>
        <v>0</v>
      </c>
      <c r="AL32" s="101">
        <f t="shared" si="26"/>
        <v>0</v>
      </c>
      <c r="AM32" s="837">
        <f t="shared" si="4"/>
        <v>0</v>
      </c>
      <c r="AN32" s="175">
        <f>LOOKUP(TP!$A32,PROD!$A$5:$A$725,PROD!$I$11:$I$731)</f>
        <v>0</v>
      </c>
      <c r="AO32" s="171">
        <f>LOOKUP(TP!$A32,PROD!$A$5:$A$725,PROD!$K$5:$K$725)*100</f>
        <v>0</v>
      </c>
      <c r="AP32" s="110">
        <f>LOOKUP(TP!$A32,PROD!$A$5:$A$725,PROD!$K$8:$K$728)*100</f>
        <v>0</v>
      </c>
      <c r="AQ32" s="110">
        <f t="shared" si="5"/>
        <v>100</v>
      </c>
      <c r="AR32" s="109">
        <f>IFERROR(LOOKUP(Linea,TP!$B$3:$DE$3,TP!D32:DG32),0)</f>
        <v>0</v>
      </c>
      <c r="AS32" s="838">
        <f>SUMIF(PROD!$BF$5:$BF$725,GSh!$BV32,PROD!$V$5:$V$725)/1000*PROD!$A$1</f>
        <v>0</v>
      </c>
      <c r="AT32" s="627">
        <f>LOOKUP(TP!$A32,PROD!$A$5:$A$725,PROD!$AD$5:$AD$725)</f>
        <v>0</v>
      </c>
      <c r="AU32" s="101">
        <f>IFERROR(LOOKUP(Linea,TP!$B$3:$DE$3,TP!E32:DH32),0)</f>
        <v>0</v>
      </c>
      <c r="AV32" s="847">
        <f t="shared" si="6"/>
        <v>0</v>
      </c>
      <c r="AW32" s="1081">
        <f>LOOKUP($BV32,PROD!$A$5:$A$725,PROD!$AE$10:$AE$730)</f>
        <v>0</v>
      </c>
      <c r="AX32" s="1076">
        <f>LOOKUP($BV32,PROD!$A$5:$A$725,PROD!$AE$11:$AE$731)</f>
        <v>0</v>
      </c>
      <c r="AY32" s="114">
        <f>'Pr-Sem'!Z32</f>
        <v>0</v>
      </c>
      <c r="AZ32" s="101">
        <f>IFERROR(LOOKUP(Linea,TP!$B$3:$DE$3,TP!F32:DI32),0)</f>
        <v>0</v>
      </c>
      <c r="BA32" s="840">
        <f>LOOKUP(TP!$A32,PROD!$A$5:$A$725,PROD!$Q$7:$Q$727)</f>
        <v>0</v>
      </c>
      <c r="BB32" s="118">
        <f t="shared" si="20"/>
        <v>0</v>
      </c>
      <c r="BC32" s="109">
        <f t="shared" si="27"/>
        <v>0</v>
      </c>
      <c r="BD32" s="125">
        <f>LOOKUP(TP!$A32,PROD!$A$5:$A$725,PROD!$AH$7:$AH$727)</f>
        <v>0</v>
      </c>
      <c r="BE32" s="101">
        <f t="shared" si="7"/>
        <v>0</v>
      </c>
      <c r="BF32" s="850">
        <f t="shared" si="8"/>
        <v>0</v>
      </c>
      <c r="BG32" s="129">
        <f>LOOKUP(TP!$A32,PROD!$A$5:$A$725,PROD!$AH$8:$AH$728)</f>
        <v>0</v>
      </c>
      <c r="BH32" s="101">
        <f t="shared" si="21"/>
        <v>0</v>
      </c>
      <c r="BI32" s="849">
        <f t="shared" si="9"/>
        <v>0</v>
      </c>
      <c r="BJ32" s="513">
        <f>'Pr-Sem'!AC32*10</f>
        <v>0</v>
      </c>
      <c r="BK32" s="514">
        <f>IFERROR(LOOKUP(Linea,TP!$B$3:$DE$3,TP!J32:DJ32),0)</f>
        <v>0</v>
      </c>
      <c r="BL32" s="848">
        <f t="shared" si="10"/>
        <v>0</v>
      </c>
      <c r="BM32" s="137">
        <f>LOOKUP($BV32,PROD!$A$5:$A$725,PROD!$AH$5:$AH$725)*IF($BM$5="Gr X H",1,100)</f>
        <v>0</v>
      </c>
      <c r="BN32" s="138">
        <f>LOOKUP($BV32,PROD!$A$5:$A$725,PROD!$AI$5:$AI$725)*IF($BM$5="Gr X H",1,100)</f>
        <v>0</v>
      </c>
      <c r="BO32" s="849">
        <f t="shared" si="29"/>
        <v>0</v>
      </c>
      <c r="BP32" s="137">
        <f>LOOKUP(BV32,PROD!$A$5:$A$725,PROD!$AH$6:$AH$726)*IF($BM$5="Gr X H",1,100)</f>
        <v>0</v>
      </c>
      <c r="BQ32" s="138">
        <f>LOOKUP($BV32,PROD!$A$5:$A$725,PROD!$AI$6:$AI$726)*IF($BM$5="Gr X H",1,100)</f>
        <v>0</v>
      </c>
      <c r="BR32" s="849">
        <f t="shared" si="22"/>
        <v>0</v>
      </c>
      <c r="BS32" s="137">
        <f>LOOKUP(TP!$A32,PROD!$A$5:$A$725,PROD!$AH$9:$AH$729)</f>
        <v>0</v>
      </c>
      <c r="BT32" s="138">
        <f>LOOKUP(TP!$A32,PROD!$A$5:$A$725,PROD!$AI$9:$AI$729)</f>
        <v>0</v>
      </c>
      <c r="BU32" s="849">
        <f t="shared" si="11"/>
        <v>0</v>
      </c>
      <c r="BV32" s="833">
        <f t="shared" si="23"/>
        <v>44</v>
      </c>
      <c r="BW32" s="191">
        <f ca="1">LOOKUP($BV32,INVENTARIOS!$A$4:$A$718,ECONO!$T$4:$T$724)*100</f>
        <v>0</v>
      </c>
      <c r="BX32" s="606">
        <f ca="1">LOOKUP($BV32,INVENTARIOS!$A$4:$A$718,ECONO!$T$5:$T$725)*100</f>
        <v>0</v>
      </c>
      <c r="BY32" s="606">
        <f ca="1">LOOKUP($BV32,INVENTARIOS!$A$4:$A$718,ECONO!$T$6:$T$726)*100</f>
        <v>0</v>
      </c>
      <c r="BZ32" s="606">
        <f ca="1">LOOKUP($BV32,INVENTARIOS!$A$4:$A$718,ECONO!$T$7:$T$727)*100</f>
        <v>0</v>
      </c>
      <c r="CA32" s="606">
        <f ca="1">LOOKUP($BV32,INVENTARIOS!$A$4:$A$718,ECONO!$T$8:$T$728)*100</f>
        <v>0</v>
      </c>
      <c r="CB32" s="606">
        <f ca="1">LOOKUP($BV32,INVENTARIOS!$A$4:$A$718,ECONO!$T$9:$T$729)*100</f>
        <v>0</v>
      </c>
      <c r="CC32" s="606">
        <f ca="1">LOOKUP($BV32,INVENTARIOS!$A$4:$A$718,ECONO!$T$10:$T$730)*100</f>
        <v>0</v>
      </c>
      <c r="CD32" s="99">
        <f ca="1">LOOKUP($BV32,INVENTARIOS!$A$4:$A$718,ECONO!$X$8:$X$728)*100</f>
        <v>0</v>
      </c>
      <c r="CE32" s="99">
        <f ca="1">LOOKUP($BV32,INVENTARIOS!$A$4:$A$718,ECONO!$X$9:$X$729)*100</f>
        <v>0</v>
      </c>
      <c r="CF32" s="192">
        <f ca="1">LOOKUP($BV32,INVENTARIOS!$A$4:$A$718,ECONO!$X$10:$X$730)*100</f>
        <v>0</v>
      </c>
      <c r="CG32" s="195">
        <f ca="1">LOOKUP(GSh!$BV32,INVENTARIOS!$A$4:$A$718,ECONO!$X$4:$X$724)*100</f>
        <v>0</v>
      </c>
      <c r="CH32" s="98">
        <f ca="1">LOOKUP(GSh!$BV32,INVENTARIOS!$A$4:$A$718,ECONO!$X$5:$X$725)*100</f>
        <v>0</v>
      </c>
      <c r="CI32" s="98">
        <f ca="1">LOOKUP(GSh!$BV32,INVENTARIOS!$A$4:$A$718,ECONO!$X$6:$X$726)*100</f>
        <v>0</v>
      </c>
      <c r="CJ32" s="194">
        <f ca="1">LOOKUP(GSh!$BV32,INVENTARIOS!$A$4:$A$718,ECONO!$X$7:$X$727)*100</f>
        <v>0</v>
      </c>
      <c r="CK32" s="34">
        <f>IF(OR(AO32&gt;0,AT32&gt;0,AD32&gt;0),TP!A32,CK31)</f>
        <v>0</v>
      </c>
      <c r="CL32" s="257">
        <f>LOOKUP($BV32,INVENTARIOS!$A$4:$A$724,ECONO!$O$10:$O$730)</f>
        <v>0</v>
      </c>
      <c r="CM32" s="258">
        <f>LOOKUP($BV32,INVENTARIOS!$A$4:$A$724,ECONO!$Z$9:$Z$729)</f>
        <v>0</v>
      </c>
      <c r="CN32" s="260">
        <f t="shared" si="12"/>
        <v>0</v>
      </c>
      <c r="CO32"/>
    </row>
    <row r="33" spans="2:93" x14ac:dyDescent="0.3">
      <c r="AC33" s="1193">
        <f t="shared" si="2"/>
        <v>45</v>
      </c>
      <c r="AD33" s="844">
        <f>LOOKUP(TP!$A33,PROD!$A$5:$A$725,PROD!$O$5:$O$725)</f>
        <v>0</v>
      </c>
      <c r="AE33" s="101">
        <f>IFERROR(LOOKUP(Linea,TP!$B$3:$DE$3,TP!B33:DE33),0)</f>
        <v>0</v>
      </c>
      <c r="AF33" s="101">
        <f t="shared" si="24"/>
        <v>0</v>
      </c>
      <c r="AG33" s="101">
        <f t="shared" si="25"/>
        <v>0</v>
      </c>
      <c r="AH33" s="845">
        <f t="shared" si="3"/>
        <v>0</v>
      </c>
      <c r="AI33" s="846">
        <f>LOOKUP(TP!$A33,PROD!$A$5:$A$725,PROD!$O$6:$O$726)</f>
        <v>0</v>
      </c>
      <c r="AJ33" s="101">
        <f>IFERROR(LOOKUP(Linea,TP!$B$3:$DE$3,TP!C33:DF33),0)</f>
        <v>0</v>
      </c>
      <c r="AK33" s="101">
        <f t="shared" si="28"/>
        <v>0</v>
      </c>
      <c r="AL33" s="101">
        <f t="shared" si="26"/>
        <v>0</v>
      </c>
      <c r="AM33" s="837">
        <f t="shared" si="4"/>
        <v>0</v>
      </c>
      <c r="AN33" s="175">
        <f>LOOKUP(TP!$A33,PROD!$A$5:$A$725,PROD!$I$11:$I$731)</f>
        <v>0</v>
      </c>
      <c r="AO33" s="171">
        <f>LOOKUP(TP!$A33,PROD!$A$5:$A$725,PROD!$K$5:$K$725)*100</f>
        <v>0</v>
      </c>
      <c r="AP33" s="110">
        <f>LOOKUP(TP!$A33,PROD!$A$5:$A$725,PROD!$K$8:$K$728)*100</f>
        <v>0</v>
      </c>
      <c r="AQ33" s="110">
        <f t="shared" si="5"/>
        <v>100</v>
      </c>
      <c r="AR33" s="109">
        <f>IFERROR(LOOKUP(Linea,TP!$B$3:$DE$3,TP!D33:DG33),0)</f>
        <v>0</v>
      </c>
      <c r="AS33" s="838">
        <f>SUMIF(PROD!$BF$5:$BF$725,GSh!$BV33,PROD!$V$5:$V$725)/1000*PROD!$A$1</f>
        <v>0</v>
      </c>
      <c r="AT33" s="627">
        <f>LOOKUP(TP!$A33,PROD!$A$5:$A$725,PROD!$AD$5:$AD$725)</f>
        <v>0</v>
      </c>
      <c r="AU33" s="101">
        <f>IFERROR(LOOKUP(Linea,TP!$B$3:$DE$3,TP!E33:DH33),0)</f>
        <v>0</v>
      </c>
      <c r="AV33" s="847">
        <f t="shared" si="6"/>
        <v>0</v>
      </c>
      <c r="AW33" s="1081">
        <f>LOOKUP($BV33,PROD!$A$5:$A$725,PROD!$AE$10:$AE$730)</f>
        <v>0</v>
      </c>
      <c r="AX33" s="1076">
        <f>LOOKUP($BV33,PROD!$A$5:$A$725,PROD!$AE$11:$AE$731)</f>
        <v>0</v>
      </c>
      <c r="AY33" s="114">
        <f>'Pr-Sem'!Z33</f>
        <v>0</v>
      </c>
      <c r="AZ33" s="101">
        <f>IFERROR(LOOKUP(Linea,TP!$B$3:$DE$3,TP!F33:DI33),0)</f>
        <v>0</v>
      </c>
      <c r="BA33" s="840">
        <f>LOOKUP(TP!$A33,PROD!$A$5:$A$725,PROD!$Q$7:$Q$727)</f>
        <v>0</v>
      </c>
      <c r="BB33" s="118">
        <f t="shared" si="20"/>
        <v>0</v>
      </c>
      <c r="BC33" s="109">
        <f t="shared" si="27"/>
        <v>0</v>
      </c>
      <c r="BD33" s="125">
        <f>LOOKUP(TP!$A33,PROD!$A$5:$A$725,PROD!$AH$7:$AH$727)</f>
        <v>0</v>
      </c>
      <c r="BE33" s="101">
        <f t="shared" si="7"/>
        <v>0</v>
      </c>
      <c r="BF33" s="850">
        <f t="shared" si="8"/>
        <v>0</v>
      </c>
      <c r="BG33" s="129">
        <f>LOOKUP(TP!$A33,PROD!$A$5:$A$725,PROD!$AH$8:$AH$728)</f>
        <v>0</v>
      </c>
      <c r="BH33" s="101">
        <f t="shared" si="21"/>
        <v>0</v>
      </c>
      <c r="BI33" s="849">
        <f t="shared" si="9"/>
        <v>0</v>
      </c>
      <c r="BJ33" s="513">
        <f>'Pr-Sem'!AC33*10</f>
        <v>0</v>
      </c>
      <c r="BK33" s="514">
        <f>IFERROR(LOOKUP(Linea,TP!$B$3:$DE$3,TP!J33:DJ33),0)</f>
        <v>0</v>
      </c>
      <c r="BL33" s="848">
        <f t="shared" si="10"/>
        <v>0</v>
      </c>
      <c r="BM33" s="137">
        <f>LOOKUP($BV33,PROD!$A$5:$A$725,PROD!$AH$5:$AH$725)*IF($BM$5="Gr X H",1,100)</f>
        <v>0</v>
      </c>
      <c r="BN33" s="138">
        <f>LOOKUP($BV33,PROD!$A$5:$A$725,PROD!$AI$5:$AI$725)*IF($BM$5="Gr X H",1,100)</f>
        <v>0</v>
      </c>
      <c r="BO33" s="849">
        <f t="shared" si="29"/>
        <v>0</v>
      </c>
      <c r="BP33" s="137">
        <f>LOOKUP(BV33,PROD!$A$5:$A$725,PROD!$AH$6:$AH$726)*IF($BM$5="Gr X H",1,100)</f>
        <v>0</v>
      </c>
      <c r="BQ33" s="138">
        <f>LOOKUP($BV33,PROD!$A$5:$A$725,PROD!$AI$6:$AI$726)*IF($BM$5="Gr X H",1,100)</f>
        <v>0</v>
      </c>
      <c r="BR33" s="849">
        <f t="shared" si="22"/>
        <v>0</v>
      </c>
      <c r="BS33" s="137">
        <f>LOOKUP(TP!$A33,PROD!$A$5:$A$725,PROD!$AH$9:$AH$729)</f>
        <v>0</v>
      </c>
      <c r="BT33" s="138">
        <f>LOOKUP(TP!$A33,PROD!$A$5:$A$725,PROD!$AI$9:$AI$729)</f>
        <v>0</v>
      </c>
      <c r="BU33" s="849">
        <f t="shared" si="11"/>
        <v>0</v>
      </c>
      <c r="BV33" s="833">
        <f t="shared" si="23"/>
        <v>45</v>
      </c>
      <c r="BW33" s="191">
        <f ca="1">LOOKUP($BV33,INVENTARIOS!$A$4:$A$718,ECONO!$T$4:$T$724)*100</f>
        <v>0</v>
      </c>
      <c r="BX33" s="606">
        <f ca="1">LOOKUP($BV33,INVENTARIOS!$A$4:$A$718,ECONO!$T$5:$T$725)*100</f>
        <v>0</v>
      </c>
      <c r="BY33" s="606">
        <f ca="1">LOOKUP($BV33,INVENTARIOS!$A$4:$A$718,ECONO!$T$6:$T$726)*100</f>
        <v>0</v>
      </c>
      <c r="BZ33" s="606">
        <f ca="1">LOOKUP($BV33,INVENTARIOS!$A$4:$A$718,ECONO!$T$7:$T$727)*100</f>
        <v>0</v>
      </c>
      <c r="CA33" s="606">
        <f ca="1">LOOKUP($BV33,INVENTARIOS!$A$4:$A$718,ECONO!$T$8:$T$728)*100</f>
        <v>0</v>
      </c>
      <c r="CB33" s="606">
        <f ca="1">LOOKUP($BV33,INVENTARIOS!$A$4:$A$718,ECONO!$T$9:$T$729)*100</f>
        <v>0</v>
      </c>
      <c r="CC33" s="606">
        <f ca="1">LOOKUP($BV33,INVENTARIOS!$A$4:$A$718,ECONO!$T$10:$T$730)*100</f>
        <v>0</v>
      </c>
      <c r="CD33" s="99">
        <f ca="1">LOOKUP($BV33,INVENTARIOS!$A$4:$A$718,ECONO!$X$8:$X$728)*100</f>
        <v>0</v>
      </c>
      <c r="CE33" s="99">
        <f ca="1">LOOKUP($BV33,INVENTARIOS!$A$4:$A$718,ECONO!$X$9:$X$729)*100</f>
        <v>0</v>
      </c>
      <c r="CF33" s="192">
        <f ca="1">LOOKUP($BV33,INVENTARIOS!$A$4:$A$718,ECONO!$X$10:$X$730)*100</f>
        <v>0</v>
      </c>
      <c r="CG33" s="195">
        <f ca="1">LOOKUP(GSh!$BV33,INVENTARIOS!$A$4:$A$718,ECONO!$X$4:$X$724)*100</f>
        <v>0</v>
      </c>
      <c r="CH33" s="98">
        <f ca="1">LOOKUP(GSh!$BV33,INVENTARIOS!$A$4:$A$718,ECONO!$X$5:$X$725)*100</f>
        <v>0</v>
      </c>
      <c r="CI33" s="98">
        <f ca="1">LOOKUP(GSh!$BV33,INVENTARIOS!$A$4:$A$718,ECONO!$X$6:$X$726)*100</f>
        <v>0</v>
      </c>
      <c r="CJ33" s="194">
        <f ca="1">LOOKUP(GSh!$BV33,INVENTARIOS!$A$4:$A$718,ECONO!$X$7:$X$727)*100</f>
        <v>0</v>
      </c>
      <c r="CK33" s="34">
        <f>IF(OR(AO33&gt;0,AT33&gt;0,AD33&gt;0),TP!A33,CK32)</f>
        <v>0</v>
      </c>
      <c r="CL33" s="257">
        <f>LOOKUP($BV33,INVENTARIOS!$A$4:$A$724,ECONO!$O$10:$O$730)</f>
        <v>0</v>
      </c>
      <c r="CM33" s="258">
        <f>LOOKUP($BV33,INVENTARIOS!$A$4:$A$724,ECONO!$Z$9:$Z$729)</f>
        <v>0</v>
      </c>
      <c r="CN33" s="260">
        <f t="shared" si="12"/>
        <v>0</v>
      </c>
      <c r="CO33"/>
    </row>
    <row r="34" spans="2:93" x14ac:dyDescent="0.3">
      <c r="AC34" s="1193">
        <f t="shared" si="2"/>
        <v>46</v>
      </c>
      <c r="AD34" s="844">
        <f>LOOKUP(TP!$A34,PROD!$A$5:$A$725,PROD!$O$5:$O$725)</f>
        <v>0</v>
      </c>
      <c r="AE34" s="101">
        <f>IFERROR(LOOKUP(Linea,TP!$B$3:$DE$3,TP!B34:DE34),0)</f>
        <v>0</v>
      </c>
      <c r="AF34" s="101">
        <f t="shared" si="24"/>
        <v>0</v>
      </c>
      <c r="AG34" s="101">
        <f t="shared" si="25"/>
        <v>0</v>
      </c>
      <c r="AH34" s="845">
        <f t="shared" si="3"/>
        <v>0</v>
      </c>
      <c r="AI34" s="846">
        <f>LOOKUP(TP!$A34,PROD!$A$5:$A$725,PROD!$O$6:$O$726)</f>
        <v>0</v>
      </c>
      <c r="AJ34" s="101">
        <f>IFERROR(LOOKUP(Linea,TP!$B$3:$DE$3,TP!C34:DF34),0)</f>
        <v>0</v>
      </c>
      <c r="AK34" s="101">
        <f t="shared" si="28"/>
        <v>0</v>
      </c>
      <c r="AL34" s="101">
        <f t="shared" si="26"/>
        <v>0</v>
      </c>
      <c r="AM34" s="837">
        <f t="shared" si="4"/>
        <v>0</v>
      </c>
      <c r="AN34" s="175">
        <f>LOOKUP(TP!$A34,PROD!$A$5:$A$725,PROD!$I$11:$I$731)</f>
        <v>0</v>
      </c>
      <c r="AO34" s="171">
        <f>LOOKUP(TP!$A34,PROD!$A$5:$A$725,PROD!$K$5:$K$725)*100</f>
        <v>0</v>
      </c>
      <c r="AP34" s="110">
        <f>LOOKUP(TP!$A34,PROD!$A$5:$A$725,PROD!$K$8:$K$728)*100</f>
        <v>0</v>
      </c>
      <c r="AQ34" s="110">
        <f t="shared" si="5"/>
        <v>100</v>
      </c>
      <c r="AR34" s="109">
        <f>IFERROR(LOOKUP(Linea,TP!$B$3:$DE$3,TP!D34:DG34),0)</f>
        <v>0</v>
      </c>
      <c r="AS34" s="838">
        <f>SUMIF(PROD!$BF$5:$BF$725,GSh!$BV34,PROD!$V$5:$V$725)/1000*PROD!$A$1</f>
        <v>0</v>
      </c>
      <c r="AT34" s="627">
        <f>LOOKUP(TP!$A34,PROD!$A$5:$A$725,PROD!$AD$5:$AD$725)</f>
        <v>0</v>
      </c>
      <c r="AU34" s="101">
        <f>IFERROR(LOOKUP(Linea,TP!$B$3:$DE$3,TP!E34:DH34),0)</f>
        <v>0</v>
      </c>
      <c r="AV34" s="847">
        <f t="shared" si="6"/>
        <v>0</v>
      </c>
      <c r="AW34" s="1081">
        <f>LOOKUP($BV34,PROD!$A$5:$A$725,PROD!$AE$10:$AE$730)</f>
        <v>0</v>
      </c>
      <c r="AX34" s="1076">
        <f>LOOKUP($BV34,PROD!$A$5:$A$725,PROD!$AE$11:$AE$731)</f>
        <v>0</v>
      </c>
      <c r="AY34" s="114">
        <f>'Pr-Sem'!Z34</f>
        <v>0</v>
      </c>
      <c r="AZ34" s="101">
        <f>IFERROR(LOOKUP(Linea,TP!$B$3:$DE$3,TP!F34:DI34),0)</f>
        <v>0</v>
      </c>
      <c r="BA34" s="840">
        <f>LOOKUP(TP!$A34,PROD!$A$5:$A$725,PROD!$Q$7:$Q$727)</f>
        <v>0</v>
      </c>
      <c r="BB34" s="118">
        <f t="shared" si="20"/>
        <v>0</v>
      </c>
      <c r="BC34" s="109">
        <f t="shared" si="27"/>
        <v>0</v>
      </c>
      <c r="BD34" s="125">
        <f>LOOKUP(TP!$A34,PROD!$A$5:$A$725,PROD!$AH$7:$AH$727)</f>
        <v>0</v>
      </c>
      <c r="BE34" s="101">
        <f t="shared" si="7"/>
        <v>0</v>
      </c>
      <c r="BF34" s="850">
        <f t="shared" si="8"/>
        <v>0</v>
      </c>
      <c r="BG34" s="129">
        <f>LOOKUP(TP!$A34,PROD!$A$5:$A$725,PROD!$AH$8:$AH$728)</f>
        <v>0</v>
      </c>
      <c r="BH34" s="101">
        <f t="shared" si="21"/>
        <v>0</v>
      </c>
      <c r="BI34" s="849">
        <f t="shared" si="9"/>
        <v>0</v>
      </c>
      <c r="BJ34" s="513">
        <f>'Pr-Sem'!AC34*10</f>
        <v>0</v>
      </c>
      <c r="BK34" s="514">
        <f>IFERROR(LOOKUP(Linea,TP!$B$3:$DE$3,TP!J34:DJ34),0)</f>
        <v>0</v>
      </c>
      <c r="BL34" s="848">
        <f t="shared" si="10"/>
        <v>0</v>
      </c>
      <c r="BM34" s="137">
        <f>LOOKUP($BV34,PROD!$A$5:$A$725,PROD!$AH$5:$AH$725)*IF($BM$5="Gr X H",1,100)</f>
        <v>0</v>
      </c>
      <c r="BN34" s="138">
        <f>LOOKUP($BV34,PROD!$A$5:$A$725,PROD!$AI$5:$AI$725)*IF($BM$5="Gr X H",1,100)</f>
        <v>0</v>
      </c>
      <c r="BO34" s="849">
        <f t="shared" si="29"/>
        <v>0</v>
      </c>
      <c r="BP34" s="137">
        <f>LOOKUP(BV34,PROD!$A$5:$A$725,PROD!$AH$6:$AH$726)*IF($BM$5="Gr X H",1,100)</f>
        <v>0</v>
      </c>
      <c r="BQ34" s="138">
        <f>LOOKUP($BV34,PROD!$A$5:$A$725,PROD!$AI$6:$AI$726)*IF($BM$5="Gr X H",1,100)</f>
        <v>0</v>
      </c>
      <c r="BR34" s="849">
        <f t="shared" si="22"/>
        <v>0</v>
      </c>
      <c r="BS34" s="137">
        <f>LOOKUP(TP!$A34,PROD!$A$5:$A$725,PROD!$AH$9:$AH$729)</f>
        <v>0</v>
      </c>
      <c r="BT34" s="138">
        <f>LOOKUP(TP!$A34,PROD!$A$5:$A$725,PROD!$AI$9:$AI$729)</f>
        <v>0</v>
      </c>
      <c r="BU34" s="849">
        <f t="shared" si="11"/>
        <v>0</v>
      </c>
      <c r="BV34" s="833">
        <f t="shared" si="23"/>
        <v>46</v>
      </c>
      <c r="BW34" s="191">
        <f ca="1">LOOKUP($BV34,INVENTARIOS!$A$4:$A$718,ECONO!$T$4:$T$724)*100</f>
        <v>0</v>
      </c>
      <c r="BX34" s="606">
        <f ca="1">LOOKUP($BV34,INVENTARIOS!$A$4:$A$718,ECONO!$T$5:$T$725)*100</f>
        <v>0</v>
      </c>
      <c r="BY34" s="606">
        <f ca="1">LOOKUP($BV34,INVENTARIOS!$A$4:$A$718,ECONO!$T$6:$T$726)*100</f>
        <v>0</v>
      </c>
      <c r="BZ34" s="606">
        <f ca="1">LOOKUP($BV34,INVENTARIOS!$A$4:$A$718,ECONO!$T$7:$T$727)*100</f>
        <v>0</v>
      </c>
      <c r="CA34" s="606">
        <f ca="1">LOOKUP($BV34,INVENTARIOS!$A$4:$A$718,ECONO!$T$8:$T$728)*100</f>
        <v>0</v>
      </c>
      <c r="CB34" s="606">
        <f ca="1">LOOKUP($BV34,INVENTARIOS!$A$4:$A$718,ECONO!$T$9:$T$729)*100</f>
        <v>0</v>
      </c>
      <c r="CC34" s="606">
        <f ca="1">LOOKUP($BV34,INVENTARIOS!$A$4:$A$718,ECONO!$T$10:$T$730)*100</f>
        <v>0</v>
      </c>
      <c r="CD34" s="99">
        <f ca="1">LOOKUP($BV34,INVENTARIOS!$A$4:$A$718,ECONO!$X$8:$X$728)*100</f>
        <v>0</v>
      </c>
      <c r="CE34" s="99">
        <f ca="1">LOOKUP($BV34,INVENTARIOS!$A$4:$A$718,ECONO!$X$9:$X$729)*100</f>
        <v>0</v>
      </c>
      <c r="CF34" s="192">
        <f ca="1">LOOKUP($BV34,INVENTARIOS!$A$4:$A$718,ECONO!$X$10:$X$730)*100</f>
        <v>0</v>
      </c>
      <c r="CG34" s="195">
        <f ca="1">LOOKUP(GSh!$BV34,INVENTARIOS!$A$4:$A$718,ECONO!$X$4:$X$724)*100</f>
        <v>0</v>
      </c>
      <c r="CH34" s="98">
        <f ca="1">LOOKUP(GSh!$BV34,INVENTARIOS!$A$4:$A$718,ECONO!$X$5:$X$725)*100</f>
        <v>0</v>
      </c>
      <c r="CI34" s="98">
        <f ca="1">LOOKUP(GSh!$BV34,INVENTARIOS!$A$4:$A$718,ECONO!$X$6:$X$726)*100</f>
        <v>0</v>
      </c>
      <c r="CJ34" s="194">
        <f ca="1">LOOKUP(GSh!$BV34,INVENTARIOS!$A$4:$A$718,ECONO!$X$7:$X$727)*100</f>
        <v>0</v>
      </c>
      <c r="CK34" s="34">
        <f>IF(OR(AO34&gt;0,AT34&gt;0,AD34&gt;0),TP!A34,CK33)</f>
        <v>0</v>
      </c>
      <c r="CL34" s="257">
        <f>LOOKUP($BV34,INVENTARIOS!$A$4:$A$724,ECONO!$O$10:$O$730)</f>
        <v>0</v>
      </c>
      <c r="CM34" s="258">
        <f>LOOKUP($BV34,INVENTARIOS!$A$4:$A$724,ECONO!$Z$9:$Z$729)</f>
        <v>0</v>
      </c>
      <c r="CN34" s="260">
        <f t="shared" si="12"/>
        <v>0</v>
      </c>
      <c r="CO34"/>
    </row>
    <row r="35" spans="2:93" x14ac:dyDescent="0.3">
      <c r="AC35" s="1193">
        <f t="shared" si="2"/>
        <v>47</v>
      </c>
      <c r="AD35" s="844">
        <f>LOOKUP(TP!$A35,PROD!$A$5:$A$725,PROD!$O$5:$O$725)</f>
        <v>0</v>
      </c>
      <c r="AE35" s="101">
        <f>IFERROR(LOOKUP(Linea,TP!$B$3:$DE$3,TP!B35:DE35),0)</f>
        <v>0</v>
      </c>
      <c r="AF35" s="101">
        <f t="shared" si="24"/>
        <v>0</v>
      </c>
      <c r="AG35" s="101">
        <f t="shared" si="25"/>
        <v>0</v>
      </c>
      <c r="AH35" s="845">
        <f t="shared" si="3"/>
        <v>0</v>
      </c>
      <c r="AI35" s="846">
        <f>LOOKUP(TP!$A35,PROD!$A$5:$A$725,PROD!$O$6:$O$726)</f>
        <v>0</v>
      </c>
      <c r="AJ35" s="101">
        <f>IFERROR(LOOKUP(Linea,TP!$B$3:$DE$3,TP!C35:DF35),0)</f>
        <v>0</v>
      </c>
      <c r="AK35" s="101">
        <f t="shared" si="28"/>
        <v>0</v>
      </c>
      <c r="AL35" s="101">
        <f t="shared" si="26"/>
        <v>0</v>
      </c>
      <c r="AM35" s="837">
        <f t="shared" si="4"/>
        <v>0</v>
      </c>
      <c r="AN35" s="175">
        <f>LOOKUP(TP!$A35,PROD!$A$5:$A$725,PROD!$I$11:$I$731)</f>
        <v>0</v>
      </c>
      <c r="AO35" s="171">
        <f>LOOKUP(TP!$A35,PROD!$A$5:$A$725,PROD!$K$5:$K$725)*100</f>
        <v>0</v>
      </c>
      <c r="AP35" s="110">
        <f>LOOKUP(TP!$A35,PROD!$A$5:$A$725,PROD!$K$8:$K$728)*100</f>
        <v>0</v>
      </c>
      <c r="AQ35" s="110">
        <f t="shared" si="5"/>
        <v>100</v>
      </c>
      <c r="AR35" s="109">
        <f>IFERROR(LOOKUP(Linea,TP!$B$3:$DE$3,TP!D35:DG35),0)</f>
        <v>0</v>
      </c>
      <c r="AS35" s="838">
        <f>SUMIF(PROD!$BF$5:$BF$725,GSh!$BV35,PROD!$V$5:$V$725)/1000*PROD!$A$1</f>
        <v>0</v>
      </c>
      <c r="AT35" s="627">
        <f>LOOKUP(TP!$A35,PROD!$A$5:$A$725,PROD!$AD$5:$AD$725)</f>
        <v>0</v>
      </c>
      <c r="AU35" s="101">
        <f>IFERROR(LOOKUP(Linea,TP!$B$3:$DE$3,TP!E35:DH35),0)</f>
        <v>0</v>
      </c>
      <c r="AV35" s="847">
        <f t="shared" si="6"/>
        <v>0</v>
      </c>
      <c r="AW35" s="1081">
        <f>LOOKUP($BV35,PROD!$A$5:$A$725,PROD!$AE$10:$AE$730)</f>
        <v>0</v>
      </c>
      <c r="AX35" s="1076">
        <f>LOOKUP($BV35,PROD!$A$5:$A$725,PROD!$AE$11:$AE$731)</f>
        <v>0</v>
      </c>
      <c r="AY35" s="114">
        <f>'Pr-Sem'!Z35</f>
        <v>0</v>
      </c>
      <c r="AZ35" s="101">
        <f>IFERROR(LOOKUP(Linea,TP!$B$3:$DE$3,TP!F35:DI35),0)</f>
        <v>0</v>
      </c>
      <c r="BA35" s="840">
        <f>LOOKUP(TP!$A35,PROD!$A$5:$A$725,PROD!$Q$7:$Q$727)</f>
        <v>0</v>
      </c>
      <c r="BB35" s="118">
        <f t="shared" si="20"/>
        <v>0</v>
      </c>
      <c r="BC35" s="109">
        <f t="shared" si="27"/>
        <v>0</v>
      </c>
      <c r="BD35" s="125">
        <f>LOOKUP(TP!$A35,PROD!$A$5:$A$725,PROD!$AH$7:$AH$727)</f>
        <v>0</v>
      </c>
      <c r="BE35" s="101">
        <f t="shared" si="7"/>
        <v>0</v>
      </c>
      <c r="BF35" s="850">
        <f t="shared" si="8"/>
        <v>0</v>
      </c>
      <c r="BG35" s="129">
        <f>LOOKUP(TP!$A35,PROD!$A$5:$A$725,PROD!$AH$8:$AH$728)</f>
        <v>0</v>
      </c>
      <c r="BH35" s="101">
        <f t="shared" si="21"/>
        <v>0</v>
      </c>
      <c r="BI35" s="849">
        <f t="shared" si="9"/>
        <v>0</v>
      </c>
      <c r="BJ35" s="513">
        <f>'Pr-Sem'!AC35*10</f>
        <v>0</v>
      </c>
      <c r="BK35" s="514">
        <f>IFERROR(LOOKUP(Linea,TP!$B$3:$DE$3,TP!J35:DJ35),0)</f>
        <v>0</v>
      </c>
      <c r="BL35" s="848">
        <f t="shared" si="10"/>
        <v>0</v>
      </c>
      <c r="BM35" s="137">
        <f>LOOKUP($BV35,PROD!$A$5:$A$725,PROD!$AH$5:$AH$725)*IF($BM$5="Gr X H",1,100)</f>
        <v>0</v>
      </c>
      <c r="BN35" s="138">
        <f>LOOKUP($BV35,PROD!$A$5:$A$725,PROD!$AI$5:$AI$725)*IF($BM$5="Gr X H",1,100)</f>
        <v>0</v>
      </c>
      <c r="BO35" s="849">
        <f t="shared" si="29"/>
        <v>0</v>
      </c>
      <c r="BP35" s="137">
        <f>LOOKUP(BV35,PROD!$A$5:$A$725,PROD!$AH$6:$AH$726)*IF($BM$5="Gr X H",1,100)</f>
        <v>0</v>
      </c>
      <c r="BQ35" s="138">
        <f>LOOKUP($BV35,PROD!$A$5:$A$725,PROD!$AI$6:$AI$726)*IF($BM$5="Gr X H",1,100)</f>
        <v>0</v>
      </c>
      <c r="BR35" s="849">
        <f t="shared" si="22"/>
        <v>0</v>
      </c>
      <c r="BS35" s="137">
        <f>LOOKUP(TP!$A35,PROD!$A$5:$A$725,PROD!$AH$9:$AH$729)</f>
        <v>0</v>
      </c>
      <c r="BT35" s="138">
        <f>LOOKUP(TP!$A35,PROD!$A$5:$A$725,PROD!$AI$9:$AI$729)</f>
        <v>0</v>
      </c>
      <c r="BU35" s="849">
        <f t="shared" si="11"/>
        <v>0</v>
      </c>
      <c r="BV35" s="833">
        <f t="shared" si="23"/>
        <v>47</v>
      </c>
      <c r="BW35" s="191">
        <f ca="1">LOOKUP($BV35,INVENTARIOS!$A$4:$A$718,ECONO!$T$4:$T$724)*100</f>
        <v>0</v>
      </c>
      <c r="BX35" s="606">
        <f ca="1">LOOKUP($BV35,INVENTARIOS!$A$4:$A$718,ECONO!$T$5:$T$725)*100</f>
        <v>0</v>
      </c>
      <c r="BY35" s="606">
        <f ca="1">LOOKUP($BV35,INVENTARIOS!$A$4:$A$718,ECONO!$T$6:$T$726)*100</f>
        <v>0</v>
      </c>
      <c r="BZ35" s="606">
        <f ca="1">LOOKUP($BV35,INVENTARIOS!$A$4:$A$718,ECONO!$T$7:$T$727)*100</f>
        <v>0</v>
      </c>
      <c r="CA35" s="606">
        <f ca="1">LOOKUP($BV35,INVENTARIOS!$A$4:$A$718,ECONO!$T$8:$T$728)*100</f>
        <v>0</v>
      </c>
      <c r="CB35" s="606">
        <f ca="1">LOOKUP($BV35,INVENTARIOS!$A$4:$A$718,ECONO!$T$9:$T$729)*100</f>
        <v>0</v>
      </c>
      <c r="CC35" s="606">
        <f ca="1">LOOKUP($BV35,INVENTARIOS!$A$4:$A$718,ECONO!$T$10:$T$730)*100</f>
        <v>0</v>
      </c>
      <c r="CD35" s="99">
        <f ca="1">LOOKUP($BV35,INVENTARIOS!$A$4:$A$718,ECONO!$X$8:$X$728)*100</f>
        <v>0</v>
      </c>
      <c r="CE35" s="99">
        <f ca="1">LOOKUP($BV35,INVENTARIOS!$A$4:$A$718,ECONO!$X$9:$X$729)*100</f>
        <v>0</v>
      </c>
      <c r="CF35" s="192">
        <f ca="1">LOOKUP($BV35,INVENTARIOS!$A$4:$A$718,ECONO!$X$10:$X$730)*100</f>
        <v>0</v>
      </c>
      <c r="CG35" s="195">
        <f ca="1">LOOKUP(GSh!$BV35,INVENTARIOS!$A$4:$A$718,ECONO!$X$4:$X$724)*100</f>
        <v>0</v>
      </c>
      <c r="CH35" s="98">
        <f ca="1">LOOKUP(GSh!$BV35,INVENTARIOS!$A$4:$A$718,ECONO!$X$5:$X$725)*100</f>
        <v>0</v>
      </c>
      <c r="CI35" s="98">
        <f ca="1">LOOKUP(GSh!$BV35,INVENTARIOS!$A$4:$A$718,ECONO!$X$6:$X$726)*100</f>
        <v>0</v>
      </c>
      <c r="CJ35" s="194">
        <f ca="1">LOOKUP(GSh!$BV35,INVENTARIOS!$A$4:$A$718,ECONO!$X$7:$X$727)*100</f>
        <v>0</v>
      </c>
      <c r="CK35" s="34">
        <f>IF(OR(AO35&gt;0,AT35&gt;0,AD35&gt;0),TP!A35,CK34)</f>
        <v>0</v>
      </c>
      <c r="CL35" s="257">
        <f>LOOKUP($BV35,INVENTARIOS!$A$4:$A$724,ECONO!$O$10:$O$730)</f>
        <v>0</v>
      </c>
      <c r="CM35" s="258">
        <f>LOOKUP($BV35,INVENTARIOS!$A$4:$A$724,ECONO!$Z$9:$Z$729)</f>
        <v>0</v>
      </c>
      <c r="CN35" s="260">
        <f t="shared" si="12"/>
        <v>0</v>
      </c>
      <c r="CO35"/>
    </row>
    <row r="36" spans="2:93" x14ac:dyDescent="0.3">
      <c r="AC36" s="1193">
        <f t="shared" si="2"/>
        <v>48</v>
      </c>
      <c r="AD36" s="844">
        <f>LOOKUP(TP!$A36,PROD!$A$5:$A$725,PROD!$O$5:$O$725)</f>
        <v>0</v>
      </c>
      <c r="AE36" s="101">
        <f>IFERROR(LOOKUP(Linea,TP!$B$3:$DE$3,TP!B36:DE36),0)</f>
        <v>0</v>
      </c>
      <c r="AF36" s="101">
        <f t="shared" si="24"/>
        <v>0</v>
      </c>
      <c r="AG36" s="101">
        <f t="shared" si="25"/>
        <v>0</v>
      </c>
      <c r="AH36" s="845">
        <f t="shared" si="3"/>
        <v>0</v>
      </c>
      <c r="AI36" s="846">
        <f>LOOKUP(TP!$A36,PROD!$A$5:$A$725,PROD!$O$6:$O$726)</f>
        <v>0</v>
      </c>
      <c r="AJ36" s="101">
        <f>IFERROR(LOOKUP(Linea,TP!$B$3:$DE$3,TP!C36:DF36),0)</f>
        <v>0</v>
      </c>
      <c r="AK36" s="101">
        <f t="shared" si="28"/>
        <v>0</v>
      </c>
      <c r="AL36" s="101">
        <f t="shared" si="26"/>
        <v>0</v>
      </c>
      <c r="AM36" s="837">
        <f t="shared" si="4"/>
        <v>0</v>
      </c>
      <c r="AN36" s="175">
        <f>LOOKUP(TP!$A36,PROD!$A$5:$A$725,PROD!$I$11:$I$731)</f>
        <v>0</v>
      </c>
      <c r="AO36" s="171">
        <f>LOOKUP(TP!$A36,PROD!$A$5:$A$725,PROD!$K$5:$K$725)*100</f>
        <v>0</v>
      </c>
      <c r="AP36" s="110">
        <f>LOOKUP(TP!$A36,PROD!$A$5:$A$725,PROD!$K$8:$K$728)*100</f>
        <v>0</v>
      </c>
      <c r="AQ36" s="110">
        <f t="shared" si="5"/>
        <v>100</v>
      </c>
      <c r="AR36" s="109">
        <f>IFERROR(LOOKUP(Linea,TP!$B$3:$DE$3,TP!D36:DG36),0)</f>
        <v>0</v>
      </c>
      <c r="AS36" s="838">
        <f>SUMIF(PROD!$BF$5:$BF$725,GSh!$BV36,PROD!$V$5:$V$725)/1000*PROD!$A$1</f>
        <v>0</v>
      </c>
      <c r="AT36" s="627">
        <f>LOOKUP(TP!$A36,PROD!$A$5:$A$725,PROD!$AD$5:$AD$725)</f>
        <v>0</v>
      </c>
      <c r="AU36" s="101">
        <f>IFERROR(LOOKUP(Linea,TP!$B$3:$DE$3,TP!E36:DH36),0)</f>
        <v>0</v>
      </c>
      <c r="AV36" s="847">
        <f t="shared" si="6"/>
        <v>0</v>
      </c>
      <c r="AW36" s="1081">
        <f>LOOKUP($BV36,PROD!$A$5:$A$725,PROD!$AE$10:$AE$730)</f>
        <v>0</v>
      </c>
      <c r="AX36" s="1076">
        <f>LOOKUP($BV36,PROD!$A$5:$A$725,PROD!$AE$11:$AE$731)</f>
        <v>0</v>
      </c>
      <c r="AY36" s="114">
        <f>'Pr-Sem'!Z36</f>
        <v>0</v>
      </c>
      <c r="AZ36" s="101">
        <f>IFERROR(LOOKUP(Linea,TP!$B$3:$DE$3,TP!F36:DI36),0)</f>
        <v>0</v>
      </c>
      <c r="BA36" s="840">
        <f>LOOKUP(TP!$A36,PROD!$A$5:$A$725,PROD!$Q$7:$Q$727)</f>
        <v>0</v>
      </c>
      <c r="BB36" s="118">
        <f t="shared" si="20"/>
        <v>0</v>
      </c>
      <c r="BC36" s="109">
        <f t="shared" si="27"/>
        <v>0</v>
      </c>
      <c r="BD36" s="125">
        <f>LOOKUP(TP!$A36,PROD!$A$5:$A$725,PROD!$AH$7:$AH$727)</f>
        <v>0</v>
      </c>
      <c r="BE36" s="101">
        <f t="shared" si="7"/>
        <v>0</v>
      </c>
      <c r="BF36" s="850">
        <f t="shared" si="8"/>
        <v>0</v>
      </c>
      <c r="BG36" s="129">
        <f>LOOKUP(TP!$A36,PROD!$A$5:$A$725,PROD!$AH$8:$AH$728)</f>
        <v>0</v>
      </c>
      <c r="BH36" s="101">
        <f t="shared" si="21"/>
        <v>0</v>
      </c>
      <c r="BI36" s="849">
        <f t="shared" si="9"/>
        <v>0</v>
      </c>
      <c r="BJ36" s="513">
        <f>'Pr-Sem'!AC36*10</f>
        <v>0</v>
      </c>
      <c r="BK36" s="514">
        <f>IFERROR(LOOKUP(Linea,TP!$B$3:$DE$3,TP!J36:DJ36),0)</f>
        <v>0</v>
      </c>
      <c r="BL36" s="848">
        <f t="shared" si="10"/>
        <v>0</v>
      </c>
      <c r="BM36" s="137">
        <f>LOOKUP($BV36,PROD!$A$5:$A$725,PROD!$AH$5:$AH$725)*IF($BM$5="Gr X H",1,100)</f>
        <v>0</v>
      </c>
      <c r="BN36" s="138">
        <f>LOOKUP($BV36,PROD!$A$5:$A$725,PROD!$AI$5:$AI$725)*IF($BM$5="Gr X H",1,100)</f>
        <v>0</v>
      </c>
      <c r="BO36" s="849">
        <f t="shared" si="29"/>
        <v>0</v>
      </c>
      <c r="BP36" s="137">
        <f>LOOKUP(BV36,PROD!$A$5:$A$725,PROD!$AH$6:$AH$726)*IF($BM$5="Gr X H",1,100)</f>
        <v>0</v>
      </c>
      <c r="BQ36" s="138">
        <f>LOOKUP($BV36,PROD!$A$5:$A$725,PROD!$AI$6:$AI$726)*IF($BM$5="Gr X H",1,100)</f>
        <v>0</v>
      </c>
      <c r="BR36" s="849">
        <f t="shared" si="22"/>
        <v>0</v>
      </c>
      <c r="BS36" s="137">
        <f>LOOKUP(TP!$A36,PROD!$A$5:$A$725,PROD!$AH$9:$AH$729)</f>
        <v>0</v>
      </c>
      <c r="BT36" s="138">
        <f>LOOKUP(TP!$A36,PROD!$A$5:$A$725,PROD!$AI$9:$AI$729)</f>
        <v>0</v>
      </c>
      <c r="BU36" s="849">
        <f t="shared" si="11"/>
        <v>0</v>
      </c>
      <c r="BV36" s="833">
        <f t="shared" si="23"/>
        <v>48</v>
      </c>
      <c r="BW36" s="191">
        <f ca="1">LOOKUP($BV36,INVENTARIOS!$A$4:$A$718,ECONO!$T$4:$T$724)*100</f>
        <v>0</v>
      </c>
      <c r="BX36" s="606">
        <f ca="1">LOOKUP($BV36,INVENTARIOS!$A$4:$A$718,ECONO!$T$5:$T$725)*100</f>
        <v>0</v>
      </c>
      <c r="BY36" s="606">
        <f ca="1">LOOKUP($BV36,INVENTARIOS!$A$4:$A$718,ECONO!$T$6:$T$726)*100</f>
        <v>0</v>
      </c>
      <c r="BZ36" s="606">
        <f ca="1">LOOKUP($BV36,INVENTARIOS!$A$4:$A$718,ECONO!$T$7:$T$727)*100</f>
        <v>0</v>
      </c>
      <c r="CA36" s="606">
        <f ca="1">LOOKUP($BV36,INVENTARIOS!$A$4:$A$718,ECONO!$T$8:$T$728)*100</f>
        <v>0</v>
      </c>
      <c r="CB36" s="606">
        <f ca="1">LOOKUP($BV36,INVENTARIOS!$A$4:$A$718,ECONO!$T$9:$T$729)*100</f>
        <v>0</v>
      </c>
      <c r="CC36" s="606">
        <f ca="1">LOOKUP($BV36,INVENTARIOS!$A$4:$A$718,ECONO!$T$10:$T$730)*100</f>
        <v>0</v>
      </c>
      <c r="CD36" s="99">
        <f ca="1">LOOKUP($BV36,INVENTARIOS!$A$4:$A$718,ECONO!$X$8:$X$728)*100</f>
        <v>0</v>
      </c>
      <c r="CE36" s="99">
        <f ca="1">LOOKUP($BV36,INVENTARIOS!$A$4:$A$718,ECONO!$X$9:$X$729)*100</f>
        <v>0</v>
      </c>
      <c r="CF36" s="192">
        <f ca="1">LOOKUP($BV36,INVENTARIOS!$A$4:$A$718,ECONO!$X$10:$X$730)*100</f>
        <v>0</v>
      </c>
      <c r="CG36" s="195">
        <f ca="1">LOOKUP(GSh!$BV36,INVENTARIOS!$A$4:$A$718,ECONO!$X$4:$X$724)*100</f>
        <v>0</v>
      </c>
      <c r="CH36" s="98">
        <f ca="1">LOOKUP(GSh!$BV36,INVENTARIOS!$A$4:$A$718,ECONO!$X$5:$X$725)*100</f>
        <v>0</v>
      </c>
      <c r="CI36" s="98">
        <f ca="1">LOOKUP(GSh!$BV36,INVENTARIOS!$A$4:$A$718,ECONO!$X$6:$X$726)*100</f>
        <v>0</v>
      </c>
      <c r="CJ36" s="194">
        <f ca="1">LOOKUP(GSh!$BV36,INVENTARIOS!$A$4:$A$718,ECONO!$X$7:$X$727)*100</f>
        <v>0</v>
      </c>
      <c r="CK36" s="34">
        <f>IF(OR(AO36&gt;0,AT36&gt;0,AD36&gt;0),TP!A36,CK35)</f>
        <v>0</v>
      </c>
      <c r="CL36" s="257">
        <f>LOOKUP($BV36,INVENTARIOS!$A$4:$A$724,ECONO!$O$10:$O$730)</f>
        <v>0</v>
      </c>
      <c r="CM36" s="258">
        <f>LOOKUP($BV36,INVENTARIOS!$A$4:$A$724,ECONO!$Z$9:$Z$729)</f>
        <v>0</v>
      </c>
      <c r="CN36" s="260">
        <f t="shared" si="12"/>
        <v>0</v>
      </c>
      <c r="CO36"/>
    </row>
    <row r="37" spans="2:93" x14ac:dyDescent="0.3">
      <c r="AC37" s="1193">
        <f t="shared" si="2"/>
        <v>49</v>
      </c>
      <c r="AD37" s="844">
        <f>LOOKUP(TP!$A37,PROD!$A$5:$A$725,PROD!$O$5:$O$725)</f>
        <v>0</v>
      </c>
      <c r="AE37" s="101">
        <f>IFERROR(LOOKUP(Linea,TP!$B$3:$DE$3,TP!B37:DE37),0)</f>
        <v>0</v>
      </c>
      <c r="AF37" s="101">
        <f t="shared" si="24"/>
        <v>0</v>
      </c>
      <c r="AG37" s="101">
        <f t="shared" si="25"/>
        <v>0</v>
      </c>
      <c r="AH37" s="845">
        <f t="shared" si="3"/>
        <v>0</v>
      </c>
      <c r="AI37" s="846">
        <f>LOOKUP(TP!$A37,PROD!$A$5:$A$725,PROD!$O$6:$O$726)</f>
        <v>0</v>
      </c>
      <c r="AJ37" s="101">
        <f>IFERROR(LOOKUP(Linea,TP!$B$3:$DE$3,TP!C37:DF37),0)</f>
        <v>0</v>
      </c>
      <c r="AK37" s="101">
        <f t="shared" si="28"/>
        <v>0</v>
      </c>
      <c r="AL37" s="101">
        <f t="shared" si="26"/>
        <v>0</v>
      </c>
      <c r="AM37" s="837">
        <f t="shared" si="4"/>
        <v>0</v>
      </c>
      <c r="AN37" s="175">
        <f>LOOKUP(TP!$A37,PROD!$A$5:$A$725,PROD!$I$11:$I$731)</f>
        <v>0</v>
      </c>
      <c r="AO37" s="171">
        <f>LOOKUP(TP!$A37,PROD!$A$5:$A$725,PROD!$K$5:$K$725)*100</f>
        <v>0</v>
      </c>
      <c r="AP37" s="110">
        <f>LOOKUP(TP!$A37,PROD!$A$5:$A$725,PROD!$K$8:$K$728)*100</f>
        <v>0</v>
      </c>
      <c r="AQ37" s="110">
        <f t="shared" si="5"/>
        <v>100</v>
      </c>
      <c r="AR37" s="109">
        <f>IFERROR(LOOKUP(Linea,TP!$B$3:$DE$3,TP!D37:DG37),0)</f>
        <v>0</v>
      </c>
      <c r="AS37" s="838">
        <f>SUMIF(PROD!$BF$5:$BF$725,GSh!$BV37,PROD!$V$5:$V$725)/1000*PROD!$A$1</f>
        <v>0</v>
      </c>
      <c r="AT37" s="627">
        <f>LOOKUP(TP!$A37,PROD!$A$5:$A$725,PROD!$AD$5:$AD$725)</f>
        <v>0</v>
      </c>
      <c r="AU37" s="101">
        <f>IFERROR(LOOKUP(Linea,TP!$B$3:$DE$3,TP!E37:DH37),0)</f>
        <v>0</v>
      </c>
      <c r="AV37" s="847">
        <f t="shared" si="6"/>
        <v>0</v>
      </c>
      <c r="AW37" s="1081">
        <f>LOOKUP($BV37,PROD!$A$5:$A$725,PROD!$AE$10:$AE$730)</f>
        <v>0</v>
      </c>
      <c r="AX37" s="1076">
        <f>LOOKUP($BV37,PROD!$A$5:$A$725,PROD!$AE$11:$AE$731)</f>
        <v>0</v>
      </c>
      <c r="AY37" s="114">
        <f>'Pr-Sem'!Z37</f>
        <v>0</v>
      </c>
      <c r="AZ37" s="101">
        <f>IFERROR(LOOKUP(Linea,TP!$B$3:$DE$3,TP!F37:DI37),0)</f>
        <v>0</v>
      </c>
      <c r="BA37" s="840">
        <f>LOOKUP(TP!$A37,PROD!$A$5:$A$725,PROD!$Q$7:$Q$727)</f>
        <v>0</v>
      </c>
      <c r="BB37" s="118">
        <f t="shared" si="20"/>
        <v>0</v>
      </c>
      <c r="BC37" s="109">
        <f t="shared" si="27"/>
        <v>0</v>
      </c>
      <c r="BD37" s="125">
        <f>LOOKUP(TP!$A37,PROD!$A$5:$A$725,PROD!$AH$7:$AH$727)</f>
        <v>0</v>
      </c>
      <c r="BE37" s="101">
        <f t="shared" si="7"/>
        <v>0</v>
      </c>
      <c r="BF37" s="850">
        <f t="shared" si="8"/>
        <v>0</v>
      </c>
      <c r="BG37" s="129">
        <f>LOOKUP(TP!$A37,PROD!$A$5:$A$725,PROD!$AH$8:$AH$728)</f>
        <v>0</v>
      </c>
      <c r="BH37" s="101">
        <f t="shared" si="21"/>
        <v>0</v>
      </c>
      <c r="BI37" s="849">
        <f t="shared" si="9"/>
        <v>0</v>
      </c>
      <c r="BJ37" s="513">
        <f>'Pr-Sem'!AC37*10</f>
        <v>0</v>
      </c>
      <c r="BK37" s="514">
        <f>IFERROR(LOOKUP(Linea,TP!$B$3:$DE$3,TP!J37:DJ37),0)</f>
        <v>0</v>
      </c>
      <c r="BL37" s="848">
        <f t="shared" si="10"/>
        <v>0</v>
      </c>
      <c r="BM37" s="137">
        <f>LOOKUP($BV37,PROD!$A$5:$A$725,PROD!$AH$5:$AH$725)*IF($BM$5="Gr X H",1,100)</f>
        <v>0</v>
      </c>
      <c r="BN37" s="138">
        <f>LOOKUP($BV37,PROD!$A$5:$A$725,PROD!$AI$5:$AI$725)*IF($BM$5="Gr X H",1,100)</f>
        <v>0</v>
      </c>
      <c r="BO37" s="849">
        <f t="shared" si="29"/>
        <v>0</v>
      </c>
      <c r="BP37" s="137">
        <f>LOOKUP(BV37,PROD!$A$5:$A$725,PROD!$AH$6:$AH$726)*IF($BM$5="Gr X H",1,100)</f>
        <v>0</v>
      </c>
      <c r="BQ37" s="138">
        <f>LOOKUP($BV37,PROD!$A$5:$A$725,PROD!$AI$6:$AI$726)*IF($BM$5="Gr X H",1,100)</f>
        <v>0</v>
      </c>
      <c r="BR37" s="849">
        <f t="shared" si="22"/>
        <v>0</v>
      </c>
      <c r="BS37" s="137">
        <f>LOOKUP(TP!$A37,PROD!$A$5:$A$725,PROD!$AH$9:$AH$729)</f>
        <v>0</v>
      </c>
      <c r="BT37" s="138">
        <f>LOOKUP(TP!$A37,PROD!$A$5:$A$725,PROD!$AI$9:$AI$729)</f>
        <v>0</v>
      </c>
      <c r="BU37" s="849">
        <f t="shared" si="11"/>
        <v>0</v>
      </c>
      <c r="BV37" s="833">
        <f t="shared" si="23"/>
        <v>49</v>
      </c>
      <c r="BW37" s="191">
        <f ca="1">LOOKUP($BV37,INVENTARIOS!$A$4:$A$718,ECONO!$T$4:$T$724)*100</f>
        <v>0</v>
      </c>
      <c r="BX37" s="606">
        <f ca="1">LOOKUP($BV37,INVENTARIOS!$A$4:$A$718,ECONO!$T$5:$T$725)*100</f>
        <v>0</v>
      </c>
      <c r="BY37" s="606">
        <f ca="1">LOOKUP($BV37,INVENTARIOS!$A$4:$A$718,ECONO!$T$6:$T$726)*100</f>
        <v>0</v>
      </c>
      <c r="BZ37" s="606">
        <f ca="1">LOOKUP($BV37,INVENTARIOS!$A$4:$A$718,ECONO!$T$7:$T$727)*100</f>
        <v>0</v>
      </c>
      <c r="CA37" s="606">
        <f ca="1">LOOKUP($BV37,INVENTARIOS!$A$4:$A$718,ECONO!$T$8:$T$728)*100</f>
        <v>0</v>
      </c>
      <c r="CB37" s="606">
        <f ca="1">LOOKUP($BV37,INVENTARIOS!$A$4:$A$718,ECONO!$T$9:$T$729)*100</f>
        <v>0</v>
      </c>
      <c r="CC37" s="606">
        <f ca="1">LOOKUP($BV37,INVENTARIOS!$A$4:$A$718,ECONO!$T$10:$T$730)*100</f>
        <v>0</v>
      </c>
      <c r="CD37" s="99">
        <f ca="1">LOOKUP($BV37,INVENTARIOS!$A$4:$A$718,ECONO!$X$8:$X$728)*100</f>
        <v>0</v>
      </c>
      <c r="CE37" s="99">
        <f ca="1">LOOKUP($BV37,INVENTARIOS!$A$4:$A$718,ECONO!$X$9:$X$729)*100</f>
        <v>0</v>
      </c>
      <c r="CF37" s="192">
        <f ca="1">LOOKUP($BV37,INVENTARIOS!$A$4:$A$718,ECONO!$X$10:$X$730)*100</f>
        <v>0</v>
      </c>
      <c r="CG37" s="195">
        <f ca="1">LOOKUP(GSh!$BV37,INVENTARIOS!$A$4:$A$718,ECONO!$X$4:$X$724)*100</f>
        <v>0</v>
      </c>
      <c r="CH37" s="98">
        <f ca="1">LOOKUP(GSh!$BV37,INVENTARIOS!$A$4:$A$718,ECONO!$X$5:$X$725)*100</f>
        <v>0</v>
      </c>
      <c r="CI37" s="98">
        <f ca="1">LOOKUP(GSh!$BV37,INVENTARIOS!$A$4:$A$718,ECONO!$X$6:$X$726)*100</f>
        <v>0</v>
      </c>
      <c r="CJ37" s="194">
        <f ca="1">LOOKUP(GSh!$BV37,INVENTARIOS!$A$4:$A$718,ECONO!$X$7:$X$727)*100</f>
        <v>0</v>
      </c>
      <c r="CK37" s="34">
        <f>IF(OR(AO37&gt;0,AT37&gt;0,AD37&gt;0),TP!A37,CK36)</f>
        <v>0</v>
      </c>
      <c r="CL37" s="257">
        <f>LOOKUP($BV37,INVENTARIOS!$A$4:$A$724,ECONO!$O$10:$O$730)</f>
        <v>0</v>
      </c>
      <c r="CM37" s="258">
        <f>LOOKUP($BV37,INVENTARIOS!$A$4:$A$724,ECONO!$Z$9:$Z$729)</f>
        <v>0</v>
      </c>
      <c r="CN37" s="260">
        <f t="shared" si="12"/>
        <v>0</v>
      </c>
      <c r="CO37"/>
    </row>
    <row r="38" spans="2:93" x14ac:dyDescent="0.3">
      <c r="AC38" s="1193">
        <f t="shared" ref="AC38:AC69" si="30">BV38</f>
        <v>50</v>
      </c>
      <c r="AD38" s="844">
        <f>LOOKUP(TP!$A38,PROD!$A$5:$A$725,PROD!$O$5:$O$725)</f>
        <v>0</v>
      </c>
      <c r="AE38" s="101">
        <f>IFERROR(LOOKUP(Linea,TP!$B$3:$DE$3,TP!B38:DE38),0)</f>
        <v>0</v>
      </c>
      <c r="AF38" s="101">
        <f t="shared" si="24"/>
        <v>0</v>
      </c>
      <c r="AG38" s="101">
        <f t="shared" si="25"/>
        <v>0</v>
      </c>
      <c r="AH38" s="845">
        <f t="shared" ref="AH38:AH69" si="31">IF(AND(AD38&gt;0,AE38&gt;0),AD38-AE38,0)</f>
        <v>0</v>
      </c>
      <c r="AI38" s="846">
        <f>LOOKUP(TP!$A38,PROD!$A$5:$A$725,PROD!$O$6:$O$726)</f>
        <v>0</v>
      </c>
      <c r="AJ38" s="101">
        <f>IFERROR(LOOKUP(Linea,TP!$B$3:$DE$3,TP!C38:DF38),0)</f>
        <v>0</v>
      </c>
      <c r="AK38" s="101">
        <f t="shared" si="28"/>
        <v>0</v>
      </c>
      <c r="AL38" s="101">
        <f t="shared" si="26"/>
        <v>0</v>
      </c>
      <c r="AM38" s="837">
        <f t="shared" ref="AM38:AM69" si="32">IF(AND(AI38&gt;0,AJ38&gt;0),AI38-AJ38,0)</f>
        <v>0</v>
      </c>
      <c r="AN38" s="175">
        <f>LOOKUP(TP!$A38,PROD!$A$5:$A$725,PROD!$I$11:$I$731)</f>
        <v>0</v>
      </c>
      <c r="AO38" s="171">
        <f>LOOKUP(TP!$A38,PROD!$A$5:$A$725,PROD!$K$5:$K$725)*100</f>
        <v>0</v>
      </c>
      <c r="AP38" s="110">
        <f>LOOKUP(TP!$A38,PROD!$A$5:$A$725,PROD!$K$8:$K$728)*100</f>
        <v>0</v>
      </c>
      <c r="AQ38" s="110">
        <f t="shared" ref="AQ38:AQ69" si="33">100-AP38</f>
        <v>100</v>
      </c>
      <c r="AR38" s="109">
        <f>IFERROR(LOOKUP(Linea,TP!$B$3:$DE$3,TP!D38:DG38),0)</f>
        <v>0</v>
      </c>
      <c r="AS38" s="838">
        <f>SUMIF(PROD!$BF$5:$BF$725,GSh!$BV38,PROD!$V$5:$V$725)/1000*PROD!$A$1</f>
        <v>0</v>
      </c>
      <c r="AT38" s="627">
        <f>LOOKUP(TP!$A38,PROD!$A$5:$A$725,PROD!$AD$5:$AD$725)</f>
        <v>0</v>
      </c>
      <c r="AU38" s="101">
        <f>IFERROR(LOOKUP(Linea,TP!$B$3:$DE$3,TP!E38:DH38),0)</f>
        <v>0</v>
      </c>
      <c r="AV38" s="847">
        <f t="shared" ref="AV38:AV69" si="34">IF(AND(AT38&gt;0,AU38&gt;0),(AT38-AU38)/AU38*100,0)</f>
        <v>0</v>
      </c>
      <c r="AW38" s="1081">
        <f>LOOKUP($BV38,PROD!$A$5:$A$725,PROD!$AE$10:$AE$730)</f>
        <v>0</v>
      </c>
      <c r="AX38" s="1076">
        <f>LOOKUP($BV38,PROD!$A$5:$A$725,PROD!$AE$11:$AE$731)</f>
        <v>0</v>
      </c>
      <c r="AY38" s="114">
        <f>'Pr-Sem'!Z38</f>
        <v>0</v>
      </c>
      <c r="AZ38" s="101">
        <f>IFERROR(LOOKUP(Linea,TP!$B$3:$DE$3,TP!F38:DI38),0)</f>
        <v>0</v>
      </c>
      <c r="BA38" s="840">
        <f>LOOKUP(TP!$A38,PROD!$A$5:$A$725,PROD!$Q$7:$Q$727)</f>
        <v>0</v>
      </c>
      <c r="BB38" s="118">
        <f t="shared" si="20"/>
        <v>0</v>
      </c>
      <c r="BC38" s="109">
        <f t="shared" si="27"/>
        <v>0</v>
      </c>
      <c r="BD38" s="125">
        <f>LOOKUP(TP!$A38,PROD!$A$5:$A$725,PROD!$AH$7:$AH$727)</f>
        <v>0</v>
      </c>
      <c r="BE38" s="101">
        <f t="shared" ref="BE38:BE69" si="35">AE38/100*7*AZ38</f>
        <v>0</v>
      </c>
      <c r="BF38" s="850">
        <f t="shared" si="8"/>
        <v>0</v>
      </c>
      <c r="BG38" s="129">
        <f>LOOKUP(TP!$A38,PROD!$A$5:$A$725,PROD!$AH$8:$AH$728)</f>
        <v>0</v>
      </c>
      <c r="BH38" s="101">
        <f t="shared" si="21"/>
        <v>0</v>
      </c>
      <c r="BI38" s="849">
        <f t="shared" si="9"/>
        <v>0</v>
      </c>
      <c r="BJ38" s="513">
        <f>'Pr-Sem'!AC38*10</f>
        <v>0</v>
      </c>
      <c r="BK38" s="514">
        <f>IFERROR(LOOKUP(Linea,TP!$B$3:$DE$3,TP!J38:DJ38),0)</f>
        <v>0</v>
      </c>
      <c r="BL38" s="848">
        <f t="shared" si="10"/>
        <v>0</v>
      </c>
      <c r="BM38" s="137">
        <f>LOOKUP($BV38,PROD!$A$5:$A$725,PROD!$AH$5:$AH$725)*IF($BM$5="Gr X H",1,100)</f>
        <v>0</v>
      </c>
      <c r="BN38" s="138">
        <f>LOOKUP($BV38,PROD!$A$5:$A$725,PROD!$AI$5:$AI$725)*IF($BM$5="Gr X H",1,100)</f>
        <v>0</v>
      </c>
      <c r="BO38" s="849">
        <f t="shared" si="29"/>
        <v>0</v>
      </c>
      <c r="BP38" s="137">
        <f>LOOKUP(BV38,PROD!$A$5:$A$725,PROD!$AH$6:$AH$726)*IF($BM$5="Gr X H",1,100)</f>
        <v>0</v>
      </c>
      <c r="BQ38" s="138">
        <f>LOOKUP($BV38,PROD!$A$5:$A$725,PROD!$AI$6:$AI$726)*IF($BM$5="Gr X H",1,100)</f>
        <v>0</v>
      </c>
      <c r="BR38" s="849">
        <f t="shared" si="22"/>
        <v>0</v>
      </c>
      <c r="BS38" s="137">
        <f>LOOKUP(TP!$A38,PROD!$A$5:$A$725,PROD!$AH$9:$AH$729)</f>
        <v>0</v>
      </c>
      <c r="BT38" s="138">
        <f>LOOKUP(TP!$A38,PROD!$A$5:$A$725,PROD!$AI$9:$AI$729)</f>
        <v>0</v>
      </c>
      <c r="BU38" s="849">
        <f t="shared" si="11"/>
        <v>0</v>
      </c>
      <c r="BV38" s="833">
        <f t="shared" si="23"/>
        <v>50</v>
      </c>
      <c r="BW38" s="191">
        <f ca="1">LOOKUP($BV38,INVENTARIOS!$A$4:$A$718,ECONO!$T$4:$T$724)*100</f>
        <v>0</v>
      </c>
      <c r="BX38" s="606">
        <f ca="1">LOOKUP($BV38,INVENTARIOS!$A$4:$A$718,ECONO!$T$5:$T$725)*100</f>
        <v>0</v>
      </c>
      <c r="BY38" s="606">
        <f ca="1">LOOKUP($BV38,INVENTARIOS!$A$4:$A$718,ECONO!$T$6:$T$726)*100</f>
        <v>0</v>
      </c>
      <c r="BZ38" s="606">
        <f ca="1">LOOKUP($BV38,INVENTARIOS!$A$4:$A$718,ECONO!$T$7:$T$727)*100</f>
        <v>0</v>
      </c>
      <c r="CA38" s="606">
        <f ca="1">LOOKUP($BV38,INVENTARIOS!$A$4:$A$718,ECONO!$T$8:$T$728)*100</f>
        <v>0</v>
      </c>
      <c r="CB38" s="606">
        <f ca="1">LOOKUP($BV38,INVENTARIOS!$A$4:$A$718,ECONO!$T$9:$T$729)*100</f>
        <v>0</v>
      </c>
      <c r="CC38" s="606">
        <f ca="1">LOOKUP($BV38,INVENTARIOS!$A$4:$A$718,ECONO!$T$10:$T$730)*100</f>
        <v>0</v>
      </c>
      <c r="CD38" s="99">
        <f ca="1">LOOKUP($BV38,INVENTARIOS!$A$4:$A$718,ECONO!$X$8:$X$728)*100</f>
        <v>0</v>
      </c>
      <c r="CE38" s="99">
        <f ca="1">LOOKUP($BV38,INVENTARIOS!$A$4:$A$718,ECONO!$X$9:$X$729)*100</f>
        <v>0</v>
      </c>
      <c r="CF38" s="192">
        <f ca="1">LOOKUP($BV38,INVENTARIOS!$A$4:$A$718,ECONO!$X$10:$X$730)*100</f>
        <v>0</v>
      </c>
      <c r="CG38" s="195">
        <f ca="1">LOOKUP(GSh!$BV38,INVENTARIOS!$A$4:$A$718,ECONO!$X$4:$X$724)*100</f>
        <v>0</v>
      </c>
      <c r="CH38" s="98">
        <f ca="1">LOOKUP(GSh!$BV38,INVENTARIOS!$A$4:$A$718,ECONO!$X$5:$X$725)*100</f>
        <v>0</v>
      </c>
      <c r="CI38" s="98">
        <f ca="1">LOOKUP(GSh!$BV38,INVENTARIOS!$A$4:$A$718,ECONO!$X$6:$X$726)*100</f>
        <v>0</v>
      </c>
      <c r="CJ38" s="194">
        <f ca="1">LOOKUP(GSh!$BV38,INVENTARIOS!$A$4:$A$718,ECONO!$X$7:$X$727)*100</f>
        <v>0</v>
      </c>
      <c r="CK38" s="34">
        <f>IF(OR(AO38&gt;0,AT38&gt;0,AD38&gt;0),TP!A38,CK37)</f>
        <v>0</v>
      </c>
      <c r="CL38" s="257">
        <f>LOOKUP($BV38,INVENTARIOS!$A$4:$A$724,ECONO!$O$10:$O$730)</f>
        <v>0</v>
      </c>
      <c r="CM38" s="258">
        <f>LOOKUP($BV38,INVENTARIOS!$A$4:$A$724,ECONO!$Z$9:$Z$729)</f>
        <v>0</v>
      </c>
      <c r="CN38" s="260">
        <f t="shared" ref="CN38:CN69" si="36">CM38-CL38</f>
        <v>0</v>
      </c>
      <c r="CO38"/>
    </row>
    <row r="39" spans="2:93" x14ac:dyDescent="0.3">
      <c r="B39" s="63"/>
      <c r="F39" s="63"/>
      <c r="G39" s="63"/>
      <c r="H39" s="63"/>
      <c r="J39" s="63"/>
      <c r="K39" s="63"/>
      <c r="L39" s="63"/>
      <c r="M39" s="63"/>
      <c r="Y39" s="63"/>
      <c r="Z39" s="63"/>
      <c r="AC39" s="1193">
        <f t="shared" si="30"/>
        <v>51</v>
      </c>
      <c r="AD39" s="844">
        <f>LOOKUP(TP!$A39,PROD!$A$5:$A$725,PROD!$O$5:$O$725)</f>
        <v>0</v>
      </c>
      <c r="AE39" s="101">
        <f>IFERROR(LOOKUP(Linea,TP!$B$3:$DE$3,TP!B39:DE39),0)</f>
        <v>0</v>
      </c>
      <c r="AF39" s="101">
        <f t="shared" si="24"/>
        <v>0</v>
      </c>
      <c r="AG39" s="101">
        <f t="shared" si="25"/>
        <v>0</v>
      </c>
      <c r="AH39" s="845">
        <f t="shared" si="31"/>
        <v>0</v>
      </c>
      <c r="AI39" s="846">
        <f>LOOKUP(TP!$A39,PROD!$A$5:$A$725,PROD!$O$6:$O$726)</f>
        <v>0</v>
      </c>
      <c r="AJ39" s="101">
        <f>IFERROR(LOOKUP(Linea,TP!$B$3:$DE$3,TP!C39:DF39),0)</f>
        <v>0</v>
      </c>
      <c r="AK39" s="101">
        <f t="shared" si="28"/>
        <v>0</v>
      </c>
      <c r="AL39" s="101">
        <f t="shared" si="26"/>
        <v>0</v>
      </c>
      <c r="AM39" s="837">
        <f t="shared" si="32"/>
        <v>0</v>
      </c>
      <c r="AN39" s="175">
        <f>LOOKUP(TP!$A39,PROD!$A$5:$A$725,PROD!$I$11:$I$731)</f>
        <v>0</v>
      </c>
      <c r="AO39" s="171">
        <f>LOOKUP(TP!$A39,PROD!$A$5:$A$725,PROD!$K$5:$K$725)*100</f>
        <v>0</v>
      </c>
      <c r="AP39" s="110">
        <f>LOOKUP(TP!$A39,PROD!$A$5:$A$725,PROD!$K$8:$K$728)*100</f>
        <v>0</v>
      </c>
      <c r="AQ39" s="110">
        <f t="shared" si="33"/>
        <v>100</v>
      </c>
      <c r="AR39" s="109">
        <f>IFERROR(LOOKUP(Linea,TP!$B$3:$DE$3,TP!D39:DG39),0)</f>
        <v>0</v>
      </c>
      <c r="AS39" s="838">
        <f>SUMIF(PROD!$BF$5:$BF$725,GSh!$BV39,PROD!$V$5:$V$725)/1000*PROD!$A$1</f>
        <v>0</v>
      </c>
      <c r="AT39" s="627">
        <f>LOOKUP(TP!$A39,PROD!$A$5:$A$725,PROD!$AD$5:$AD$725)</f>
        <v>0</v>
      </c>
      <c r="AU39" s="101">
        <f>IFERROR(LOOKUP(Linea,TP!$B$3:$DE$3,TP!E39:DH39),0)</f>
        <v>0</v>
      </c>
      <c r="AV39" s="847">
        <f t="shared" si="34"/>
        <v>0</v>
      </c>
      <c r="AW39" s="1081">
        <f>LOOKUP($BV39,PROD!$A$5:$A$725,PROD!$AE$10:$AE$730)</f>
        <v>0</v>
      </c>
      <c r="AX39" s="1076">
        <f>LOOKUP($BV39,PROD!$A$5:$A$725,PROD!$AE$11:$AE$731)</f>
        <v>0</v>
      </c>
      <c r="AY39" s="114">
        <f>'Pr-Sem'!Z39</f>
        <v>0</v>
      </c>
      <c r="AZ39" s="101">
        <f>IFERROR(LOOKUP(Linea,TP!$B$3:$DE$3,TP!F39:DI39),0)</f>
        <v>0</v>
      </c>
      <c r="BA39" s="840">
        <f>LOOKUP(TP!$A39,PROD!$A$5:$A$725,PROD!$Q$7:$Q$727)</f>
        <v>0</v>
      </c>
      <c r="BB39" s="118">
        <f t="shared" ref="BB39:BB70" si="37">IF(AI39&gt;0,(AY39*(AI39-AI38)/AI39)+(BB38*AI38/AI39),0)</f>
        <v>0</v>
      </c>
      <c r="BC39" s="109">
        <f t="shared" ref="BC39:BC70" si="38">IF(AJ39&gt;0,(AZ39*(AJ39-AJ38)/AJ39)+(BC38*AJ38/AJ39),0)</f>
        <v>0</v>
      </c>
      <c r="BD39" s="125">
        <f>LOOKUP(TP!$A39,PROD!$A$5:$A$725,PROD!$AH$7:$AH$727)</f>
        <v>0</v>
      </c>
      <c r="BE39" s="101">
        <f t="shared" si="35"/>
        <v>0</v>
      </c>
      <c r="BF39" s="850">
        <f t="shared" si="8"/>
        <v>0</v>
      </c>
      <c r="BG39" s="129">
        <f>LOOKUP(TP!$A39,PROD!$A$5:$A$725,PROD!$AH$8:$AH$728)</f>
        <v>0</v>
      </c>
      <c r="BH39" s="101">
        <f t="shared" ref="BH39:BH70" si="39">(AJ39-AJ38)*AZ39/1000+AJ38*BC38/1000</f>
        <v>0</v>
      </c>
      <c r="BI39" s="849">
        <f t="shared" si="9"/>
        <v>0</v>
      </c>
      <c r="BJ39" s="513">
        <f>'Pr-Sem'!AC39*10</f>
        <v>0</v>
      </c>
      <c r="BK39" s="514">
        <f>IFERROR(LOOKUP(Linea,TP!$B$3:$DE$3,TP!J39:DJ39),0)</f>
        <v>0</v>
      </c>
      <c r="BL39" s="848">
        <f t="shared" si="10"/>
        <v>0</v>
      </c>
      <c r="BM39" s="137">
        <f>LOOKUP($BV39,PROD!$A$5:$A$725,PROD!$AH$5:$AH$725)*IF($BM$5="Gr X H",1,100)</f>
        <v>0</v>
      </c>
      <c r="BN39" s="138">
        <f>LOOKUP($BV39,PROD!$A$5:$A$725,PROD!$AI$5:$AI$725)*IF($BM$5="Gr X H",1,100)</f>
        <v>0</v>
      </c>
      <c r="BO39" s="849">
        <f t="shared" si="29"/>
        <v>0</v>
      </c>
      <c r="BP39" s="137">
        <f>LOOKUP(BV39,PROD!$A$5:$A$725,PROD!$AH$6:$AH$726)*IF($BM$5="Gr X H",1,100)</f>
        <v>0</v>
      </c>
      <c r="BQ39" s="138">
        <f>LOOKUP($BV39,PROD!$A$5:$A$725,PROD!$AI$6:$AI$726)*IF($BM$5="Gr X H",1,100)</f>
        <v>0</v>
      </c>
      <c r="BR39" s="849">
        <f t="shared" si="22"/>
        <v>0</v>
      </c>
      <c r="BS39" s="137">
        <f>LOOKUP(TP!$A39,PROD!$A$5:$A$725,PROD!$AH$9:$AH$729)</f>
        <v>0</v>
      </c>
      <c r="BT39" s="138">
        <f>LOOKUP(TP!$A39,PROD!$A$5:$A$725,PROD!$AI$9:$AI$729)</f>
        <v>0</v>
      </c>
      <c r="BU39" s="849">
        <f t="shared" si="11"/>
        <v>0</v>
      </c>
      <c r="BV39" s="833">
        <f t="shared" ref="BV39:BV70" si="40">BV38+1</f>
        <v>51</v>
      </c>
      <c r="BW39" s="191">
        <f ca="1">LOOKUP($BV39,INVENTARIOS!$A$4:$A$718,ECONO!$T$4:$T$724)*100</f>
        <v>0</v>
      </c>
      <c r="BX39" s="606">
        <f ca="1">LOOKUP($BV39,INVENTARIOS!$A$4:$A$718,ECONO!$T$5:$T$725)*100</f>
        <v>0</v>
      </c>
      <c r="BY39" s="606">
        <f ca="1">LOOKUP($BV39,INVENTARIOS!$A$4:$A$718,ECONO!$T$6:$T$726)*100</f>
        <v>0</v>
      </c>
      <c r="BZ39" s="606">
        <f ca="1">LOOKUP($BV39,INVENTARIOS!$A$4:$A$718,ECONO!$T$7:$T$727)*100</f>
        <v>0</v>
      </c>
      <c r="CA39" s="606">
        <f ca="1">LOOKUP($BV39,INVENTARIOS!$A$4:$A$718,ECONO!$T$8:$T$728)*100</f>
        <v>0</v>
      </c>
      <c r="CB39" s="606">
        <f ca="1">LOOKUP($BV39,INVENTARIOS!$A$4:$A$718,ECONO!$T$9:$T$729)*100</f>
        <v>0</v>
      </c>
      <c r="CC39" s="606">
        <f ca="1">LOOKUP($BV39,INVENTARIOS!$A$4:$A$718,ECONO!$T$10:$T$730)*100</f>
        <v>0</v>
      </c>
      <c r="CD39" s="99">
        <f ca="1">LOOKUP($BV39,INVENTARIOS!$A$4:$A$718,ECONO!$X$8:$X$728)*100</f>
        <v>0</v>
      </c>
      <c r="CE39" s="99">
        <f ca="1">LOOKUP($BV39,INVENTARIOS!$A$4:$A$718,ECONO!$X$9:$X$729)*100</f>
        <v>0</v>
      </c>
      <c r="CF39" s="192">
        <f ca="1">LOOKUP($BV39,INVENTARIOS!$A$4:$A$718,ECONO!$X$10:$X$730)*100</f>
        <v>0</v>
      </c>
      <c r="CG39" s="195">
        <f ca="1">LOOKUP(GSh!$BV39,INVENTARIOS!$A$4:$A$718,ECONO!$X$4:$X$724)*100</f>
        <v>0</v>
      </c>
      <c r="CH39" s="98">
        <f ca="1">LOOKUP(GSh!$BV39,INVENTARIOS!$A$4:$A$718,ECONO!$X$5:$X$725)*100</f>
        <v>0</v>
      </c>
      <c r="CI39" s="98">
        <f ca="1">LOOKUP(GSh!$BV39,INVENTARIOS!$A$4:$A$718,ECONO!$X$6:$X$726)*100</f>
        <v>0</v>
      </c>
      <c r="CJ39" s="194">
        <f ca="1">LOOKUP(GSh!$BV39,INVENTARIOS!$A$4:$A$718,ECONO!$X$7:$X$727)*100</f>
        <v>0</v>
      </c>
      <c r="CK39" s="34">
        <f>IF(OR(AO39&gt;0,AT39&gt;0,AD39&gt;0),TP!A39,CK38)</f>
        <v>0</v>
      </c>
      <c r="CL39" s="257">
        <f>LOOKUP($BV39,INVENTARIOS!$A$4:$A$724,ECONO!$O$10:$O$730)</f>
        <v>0</v>
      </c>
      <c r="CM39" s="258">
        <f>LOOKUP($BV39,INVENTARIOS!$A$4:$A$724,ECONO!$Z$9:$Z$729)</f>
        <v>0</v>
      </c>
      <c r="CN39" s="260">
        <f t="shared" si="36"/>
        <v>0</v>
      </c>
      <c r="CO39"/>
    </row>
    <row r="40" spans="2:93" x14ac:dyDescent="0.3">
      <c r="AC40" s="1193">
        <f t="shared" si="30"/>
        <v>52</v>
      </c>
      <c r="AD40" s="844">
        <f>LOOKUP(TP!$A40,PROD!$A$5:$A$725,PROD!$O$5:$O$725)</f>
        <v>0</v>
      </c>
      <c r="AE40" s="101">
        <f>IFERROR(LOOKUP(Linea,TP!$B$3:$DE$3,TP!B40:DE40),0)</f>
        <v>0</v>
      </c>
      <c r="AF40" s="101">
        <f t="shared" si="24"/>
        <v>0</v>
      </c>
      <c r="AG40" s="101">
        <f t="shared" si="25"/>
        <v>0</v>
      </c>
      <c r="AH40" s="845">
        <f t="shared" si="31"/>
        <v>0</v>
      </c>
      <c r="AI40" s="846">
        <f>LOOKUP(TP!$A40,PROD!$A$5:$A$725,PROD!$O$6:$O$726)</f>
        <v>0</v>
      </c>
      <c r="AJ40" s="101">
        <f>IFERROR(LOOKUP(Linea,TP!$B$3:$DE$3,TP!C40:DF40),0)</f>
        <v>0</v>
      </c>
      <c r="AK40" s="101">
        <f t="shared" si="28"/>
        <v>0</v>
      </c>
      <c r="AL40" s="101">
        <f t="shared" si="26"/>
        <v>0</v>
      </c>
      <c r="AM40" s="837">
        <f t="shared" si="32"/>
        <v>0</v>
      </c>
      <c r="AN40" s="175">
        <f>LOOKUP(TP!$A40,PROD!$A$5:$A$725,PROD!$I$11:$I$731)</f>
        <v>0</v>
      </c>
      <c r="AO40" s="171">
        <f>LOOKUP(TP!$A40,PROD!$A$5:$A$725,PROD!$K$5:$K$725)*100</f>
        <v>0</v>
      </c>
      <c r="AP40" s="110">
        <f>LOOKUP(TP!$A40,PROD!$A$5:$A$725,PROD!$K$8:$K$728)*100</f>
        <v>0</v>
      </c>
      <c r="AQ40" s="110">
        <f t="shared" si="33"/>
        <v>100</v>
      </c>
      <c r="AR40" s="109">
        <f>IFERROR(LOOKUP(Linea,TP!$B$3:$DE$3,TP!D40:DG40),0)</f>
        <v>0</v>
      </c>
      <c r="AS40" s="838">
        <f>SUMIF(PROD!$BF$5:$BF$725,GSh!$BV40,PROD!$V$5:$V$725)/1000*PROD!$A$1</f>
        <v>0</v>
      </c>
      <c r="AT40" s="627">
        <f>LOOKUP(TP!$A40,PROD!$A$5:$A$725,PROD!$AD$5:$AD$725)</f>
        <v>0</v>
      </c>
      <c r="AU40" s="101">
        <f>IFERROR(LOOKUP(Linea,TP!$B$3:$DE$3,TP!E40:DH40),0)</f>
        <v>0</v>
      </c>
      <c r="AV40" s="847">
        <f t="shared" si="34"/>
        <v>0</v>
      </c>
      <c r="AW40" s="1081">
        <f>LOOKUP($BV40,PROD!$A$5:$A$725,PROD!$AE$10:$AE$730)</f>
        <v>0</v>
      </c>
      <c r="AX40" s="1076">
        <f>LOOKUP($BV40,PROD!$A$5:$A$725,PROD!$AE$11:$AE$731)</f>
        <v>0</v>
      </c>
      <c r="AY40" s="114">
        <f>'Pr-Sem'!Z40</f>
        <v>0</v>
      </c>
      <c r="AZ40" s="101">
        <f>IFERROR(LOOKUP(Linea,TP!$B$3:$DE$3,TP!F40:DI40),0)</f>
        <v>0</v>
      </c>
      <c r="BA40" s="840">
        <f>LOOKUP(TP!$A40,PROD!$A$5:$A$725,PROD!$Q$7:$Q$727)</f>
        <v>0</v>
      </c>
      <c r="BB40" s="118">
        <f t="shared" si="37"/>
        <v>0</v>
      </c>
      <c r="BC40" s="109">
        <f t="shared" si="38"/>
        <v>0</v>
      </c>
      <c r="BD40" s="125">
        <f>LOOKUP(TP!$A40,PROD!$A$5:$A$725,PROD!$AH$7:$AH$727)</f>
        <v>0</v>
      </c>
      <c r="BE40" s="101">
        <f t="shared" si="35"/>
        <v>0</v>
      </c>
      <c r="BF40" s="850">
        <f t="shared" si="8"/>
        <v>0</v>
      </c>
      <c r="BG40" s="129">
        <f>LOOKUP(TP!$A40,PROD!$A$5:$A$725,PROD!$AH$8:$AH$728)</f>
        <v>0</v>
      </c>
      <c r="BH40" s="101">
        <f t="shared" si="39"/>
        <v>0</v>
      </c>
      <c r="BI40" s="849">
        <f t="shared" si="9"/>
        <v>0</v>
      </c>
      <c r="BJ40" s="513">
        <f>'Pr-Sem'!AC40*10</f>
        <v>0</v>
      </c>
      <c r="BK40" s="514">
        <f>IFERROR(LOOKUP(Linea,TP!$B$3:$DE$3,TP!J40:DJ40),0)</f>
        <v>0</v>
      </c>
      <c r="BL40" s="848">
        <f t="shared" si="10"/>
        <v>0</v>
      </c>
      <c r="BM40" s="137">
        <f>LOOKUP($BV40,PROD!$A$5:$A$725,PROD!$AH$5:$AH$725)*IF($BM$5="Gr X H",1,100)</f>
        <v>0</v>
      </c>
      <c r="BN40" s="138">
        <f>LOOKUP($BV40,PROD!$A$5:$A$725,PROD!$AI$5:$AI$725)*IF($BM$5="Gr X H",1,100)</f>
        <v>0</v>
      </c>
      <c r="BO40" s="849">
        <f t="shared" si="29"/>
        <v>0</v>
      </c>
      <c r="BP40" s="137">
        <f>LOOKUP(BV40,PROD!$A$5:$A$725,PROD!$AH$6:$AH$726)*IF($BM$5="Gr X H",1,100)</f>
        <v>0</v>
      </c>
      <c r="BQ40" s="138">
        <f>LOOKUP($BV40,PROD!$A$5:$A$725,PROD!$AI$6:$AI$726)*IF($BM$5="Gr X H",1,100)</f>
        <v>0</v>
      </c>
      <c r="BR40" s="849">
        <f t="shared" si="22"/>
        <v>0</v>
      </c>
      <c r="BS40" s="137">
        <f>LOOKUP(TP!$A40,PROD!$A$5:$A$725,PROD!$AH$9:$AH$729)</f>
        <v>0</v>
      </c>
      <c r="BT40" s="138">
        <f>LOOKUP(TP!$A40,PROD!$A$5:$A$725,PROD!$AI$9:$AI$729)</f>
        <v>0</v>
      </c>
      <c r="BU40" s="849">
        <f t="shared" si="11"/>
        <v>0</v>
      </c>
      <c r="BV40" s="833">
        <f t="shared" si="40"/>
        <v>52</v>
      </c>
      <c r="BW40" s="191">
        <f ca="1">LOOKUP($BV40,INVENTARIOS!$A$4:$A$718,ECONO!$T$4:$T$724)*100</f>
        <v>0</v>
      </c>
      <c r="BX40" s="606">
        <f ca="1">LOOKUP($BV40,INVENTARIOS!$A$4:$A$718,ECONO!$T$5:$T$725)*100</f>
        <v>0</v>
      </c>
      <c r="BY40" s="606">
        <f ca="1">LOOKUP($BV40,INVENTARIOS!$A$4:$A$718,ECONO!$T$6:$T$726)*100</f>
        <v>0</v>
      </c>
      <c r="BZ40" s="606">
        <f ca="1">LOOKUP($BV40,INVENTARIOS!$A$4:$A$718,ECONO!$T$7:$T$727)*100</f>
        <v>0</v>
      </c>
      <c r="CA40" s="606">
        <f ca="1">LOOKUP($BV40,INVENTARIOS!$A$4:$A$718,ECONO!$T$8:$T$728)*100</f>
        <v>0</v>
      </c>
      <c r="CB40" s="606">
        <f ca="1">LOOKUP($BV40,INVENTARIOS!$A$4:$A$718,ECONO!$T$9:$T$729)*100</f>
        <v>0</v>
      </c>
      <c r="CC40" s="606">
        <f ca="1">LOOKUP($BV40,INVENTARIOS!$A$4:$A$718,ECONO!$T$10:$T$730)*100</f>
        <v>0</v>
      </c>
      <c r="CD40" s="99">
        <f ca="1">LOOKUP($BV40,INVENTARIOS!$A$4:$A$718,ECONO!$X$8:$X$728)*100</f>
        <v>0</v>
      </c>
      <c r="CE40" s="99">
        <f ca="1">LOOKUP($BV40,INVENTARIOS!$A$4:$A$718,ECONO!$X$9:$X$729)*100</f>
        <v>0</v>
      </c>
      <c r="CF40" s="192">
        <f ca="1">LOOKUP($BV40,INVENTARIOS!$A$4:$A$718,ECONO!$X$10:$X$730)*100</f>
        <v>0</v>
      </c>
      <c r="CG40" s="195">
        <f ca="1">LOOKUP(GSh!$BV40,INVENTARIOS!$A$4:$A$718,ECONO!$X$4:$X$724)*100</f>
        <v>0</v>
      </c>
      <c r="CH40" s="98">
        <f ca="1">LOOKUP(GSh!$BV40,INVENTARIOS!$A$4:$A$718,ECONO!$X$5:$X$725)*100</f>
        <v>0</v>
      </c>
      <c r="CI40" s="98">
        <f ca="1">LOOKUP(GSh!$BV40,INVENTARIOS!$A$4:$A$718,ECONO!$X$6:$X$726)*100</f>
        <v>0</v>
      </c>
      <c r="CJ40" s="194">
        <f ca="1">LOOKUP(GSh!$BV40,INVENTARIOS!$A$4:$A$718,ECONO!$X$7:$X$727)*100</f>
        <v>0</v>
      </c>
      <c r="CK40" s="34">
        <f>IF(OR(AO40&gt;0,AT40&gt;0,AD40&gt;0),TP!A40,CK39)</f>
        <v>0</v>
      </c>
      <c r="CL40" s="257">
        <f>LOOKUP($BV40,INVENTARIOS!$A$4:$A$724,ECONO!$O$10:$O$730)</f>
        <v>0</v>
      </c>
      <c r="CM40" s="258">
        <f>LOOKUP($BV40,INVENTARIOS!$A$4:$A$724,ECONO!$Z$9:$Z$729)</f>
        <v>0</v>
      </c>
      <c r="CN40" s="260">
        <f t="shared" si="36"/>
        <v>0</v>
      </c>
      <c r="CO40"/>
    </row>
    <row r="41" spans="2:93" x14ac:dyDescent="0.3">
      <c r="AC41" s="1193">
        <f t="shared" si="30"/>
        <v>53</v>
      </c>
      <c r="AD41" s="844">
        <f>LOOKUP(TP!$A41,PROD!$A$5:$A$725,PROD!$O$5:$O$725)</f>
        <v>0</v>
      </c>
      <c r="AE41" s="101">
        <f>IFERROR(LOOKUP(Linea,TP!$B$3:$DE$3,TP!B41:DE41),0)</f>
        <v>0</v>
      </c>
      <c r="AF41" s="101">
        <f t="shared" si="24"/>
        <v>0</v>
      </c>
      <c r="AG41" s="101">
        <f t="shared" si="25"/>
        <v>0</v>
      </c>
      <c r="AH41" s="845">
        <f t="shared" si="31"/>
        <v>0</v>
      </c>
      <c r="AI41" s="846">
        <f>LOOKUP(TP!$A41,PROD!$A$5:$A$725,PROD!$O$6:$O$726)</f>
        <v>0</v>
      </c>
      <c r="AJ41" s="101">
        <f>IFERROR(LOOKUP(Linea,TP!$B$3:$DE$3,TP!C41:DF41),0)</f>
        <v>0</v>
      </c>
      <c r="AK41" s="101">
        <f t="shared" si="28"/>
        <v>0</v>
      </c>
      <c r="AL41" s="101">
        <f t="shared" si="26"/>
        <v>0</v>
      </c>
      <c r="AM41" s="837">
        <f t="shared" si="32"/>
        <v>0</v>
      </c>
      <c r="AN41" s="175">
        <f>LOOKUP(TP!$A41,PROD!$A$5:$A$725,PROD!$I$11:$I$731)</f>
        <v>0</v>
      </c>
      <c r="AO41" s="171">
        <f>LOOKUP(TP!$A41,PROD!$A$5:$A$725,PROD!$K$5:$K$725)*100</f>
        <v>0</v>
      </c>
      <c r="AP41" s="110">
        <f>LOOKUP(TP!$A41,PROD!$A$5:$A$725,PROD!$K$8:$K$728)*100</f>
        <v>0</v>
      </c>
      <c r="AQ41" s="110">
        <f t="shared" si="33"/>
        <v>100</v>
      </c>
      <c r="AR41" s="109">
        <f>IFERROR(LOOKUP(Linea,TP!$B$3:$DE$3,TP!D41:DG41),0)</f>
        <v>0</v>
      </c>
      <c r="AS41" s="838">
        <f>SUMIF(PROD!$BF$5:$BF$725,GSh!$BV41,PROD!$V$5:$V$725)/1000*PROD!$A$1</f>
        <v>0</v>
      </c>
      <c r="AT41" s="627">
        <f>LOOKUP(TP!$A41,PROD!$A$5:$A$725,PROD!$AD$5:$AD$725)</f>
        <v>0</v>
      </c>
      <c r="AU41" s="101">
        <f>IFERROR(LOOKUP(Linea,TP!$B$3:$DE$3,TP!E41:DH41),0)</f>
        <v>0</v>
      </c>
      <c r="AV41" s="847">
        <f t="shared" si="34"/>
        <v>0</v>
      </c>
      <c r="AW41" s="1081">
        <f>LOOKUP($BV41,PROD!$A$5:$A$725,PROD!$AE$10:$AE$730)</f>
        <v>0</v>
      </c>
      <c r="AX41" s="1076">
        <f>LOOKUP($BV41,PROD!$A$5:$A$725,PROD!$AE$11:$AE$731)</f>
        <v>0</v>
      </c>
      <c r="AY41" s="114">
        <f>'Pr-Sem'!Z41</f>
        <v>0</v>
      </c>
      <c r="AZ41" s="101">
        <f>IFERROR(LOOKUP(Linea,TP!$B$3:$DE$3,TP!F41:DI41),0)</f>
        <v>0</v>
      </c>
      <c r="BA41" s="840">
        <f>LOOKUP(TP!$A41,PROD!$A$5:$A$725,PROD!$Q$7:$Q$727)</f>
        <v>0</v>
      </c>
      <c r="BB41" s="118">
        <f t="shared" si="37"/>
        <v>0</v>
      </c>
      <c r="BC41" s="109">
        <f t="shared" si="38"/>
        <v>0</v>
      </c>
      <c r="BD41" s="125">
        <f>LOOKUP(TP!$A41,PROD!$A$5:$A$725,PROD!$AH$7:$AH$727)</f>
        <v>0</v>
      </c>
      <c r="BE41" s="101">
        <f t="shared" si="35"/>
        <v>0</v>
      </c>
      <c r="BF41" s="850">
        <f t="shared" si="8"/>
        <v>0</v>
      </c>
      <c r="BG41" s="129">
        <f>LOOKUP(TP!$A41,PROD!$A$5:$A$725,PROD!$AH$8:$AH$728)</f>
        <v>0</v>
      </c>
      <c r="BH41" s="101">
        <f t="shared" si="39"/>
        <v>0</v>
      </c>
      <c r="BI41" s="849">
        <f t="shared" si="9"/>
        <v>0</v>
      </c>
      <c r="BJ41" s="513">
        <f>'Pr-Sem'!AC41*10</f>
        <v>0</v>
      </c>
      <c r="BK41" s="514">
        <f>IFERROR(LOOKUP(Linea,TP!$B$3:$DE$3,TP!J41:DJ41),0)</f>
        <v>0</v>
      </c>
      <c r="BL41" s="848">
        <f t="shared" si="10"/>
        <v>0</v>
      </c>
      <c r="BM41" s="137">
        <f>LOOKUP($BV41,PROD!$A$5:$A$725,PROD!$AH$5:$AH$725)*IF($BM$5="Gr X H",1,100)</f>
        <v>0</v>
      </c>
      <c r="BN41" s="138">
        <f>LOOKUP($BV41,PROD!$A$5:$A$725,PROD!$AI$5:$AI$725)*IF($BM$5="Gr X H",1,100)</f>
        <v>0</v>
      </c>
      <c r="BO41" s="849">
        <f t="shared" si="29"/>
        <v>0</v>
      </c>
      <c r="BP41" s="137">
        <f>LOOKUP(BV41,PROD!$A$5:$A$725,PROD!$AH$6:$AH$726)*IF($BM$5="Gr X H",1,100)</f>
        <v>0</v>
      </c>
      <c r="BQ41" s="138">
        <f>LOOKUP($BV41,PROD!$A$5:$A$725,PROD!$AI$6:$AI$726)*IF($BM$5="Gr X H",1,100)</f>
        <v>0</v>
      </c>
      <c r="BR41" s="849">
        <f t="shared" si="22"/>
        <v>0</v>
      </c>
      <c r="BS41" s="137">
        <f>LOOKUP(TP!$A41,PROD!$A$5:$A$725,PROD!$AH$9:$AH$729)</f>
        <v>0</v>
      </c>
      <c r="BT41" s="138">
        <f>LOOKUP(TP!$A41,PROD!$A$5:$A$725,PROD!$AI$9:$AI$729)</f>
        <v>0</v>
      </c>
      <c r="BU41" s="849">
        <f t="shared" si="11"/>
        <v>0</v>
      </c>
      <c r="BV41" s="833">
        <f t="shared" si="40"/>
        <v>53</v>
      </c>
      <c r="BW41" s="191">
        <f ca="1">LOOKUP($BV41,INVENTARIOS!$A$4:$A$718,ECONO!$T$4:$T$724)*100</f>
        <v>0</v>
      </c>
      <c r="BX41" s="606">
        <f ca="1">LOOKUP($BV41,INVENTARIOS!$A$4:$A$718,ECONO!$T$5:$T$725)*100</f>
        <v>0</v>
      </c>
      <c r="BY41" s="606">
        <f ca="1">LOOKUP($BV41,INVENTARIOS!$A$4:$A$718,ECONO!$T$6:$T$726)*100</f>
        <v>0</v>
      </c>
      <c r="BZ41" s="606">
        <f ca="1">LOOKUP($BV41,INVENTARIOS!$A$4:$A$718,ECONO!$T$7:$T$727)*100</f>
        <v>0</v>
      </c>
      <c r="CA41" s="606">
        <f ca="1">LOOKUP($BV41,INVENTARIOS!$A$4:$A$718,ECONO!$T$8:$T$728)*100</f>
        <v>0</v>
      </c>
      <c r="CB41" s="606">
        <f ca="1">LOOKUP($BV41,INVENTARIOS!$A$4:$A$718,ECONO!$T$9:$T$729)*100</f>
        <v>0</v>
      </c>
      <c r="CC41" s="606">
        <f ca="1">LOOKUP($BV41,INVENTARIOS!$A$4:$A$718,ECONO!$T$10:$T$730)*100</f>
        <v>0</v>
      </c>
      <c r="CD41" s="99">
        <f ca="1">LOOKUP($BV41,INVENTARIOS!$A$4:$A$718,ECONO!$X$8:$X$728)*100</f>
        <v>0</v>
      </c>
      <c r="CE41" s="99">
        <f ca="1">LOOKUP($BV41,INVENTARIOS!$A$4:$A$718,ECONO!$X$9:$X$729)*100</f>
        <v>0</v>
      </c>
      <c r="CF41" s="192">
        <f ca="1">LOOKUP($BV41,INVENTARIOS!$A$4:$A$718,ECONO!$X$10:$X$730)*100</f>
        <v>0</v>
      </c>
      <c r="CG41" s="195">
        <f ca="1">LOOKUP(GSh!$BV41,INVENTARIOS!$A$4:$A$718,ECONO!$X$4:$X$724)*100</f>
        <v>0</v>
      </c>
      <c r="CH41" s="98">
        <f ca="1">LOOKUP(GSh!$BV41,INVENTARIOS!$A$4:$A$718,ECONO!$X$5:$X$725)*100</f>
        <v>0</v>
      </c>
      <c r="CI41" s="98">
        <f ca="1">LOOKUP(GSh!$BV41,INVENTARIOS!$A$4:$A$718,ECONO!$X$6:$X$726)*100</f>
        <v>0</v>
      </c>
      <c r="CJ41" s="194">
        <f ca="1">LOOKUP(GSh!$BV41,INVENTARIOS!$A$4:$A$718,ECONO!$X$7:$X$727)*100</f>
        <v>0</v>
      </c>
      <c r="CK41" s="34">
        <f>IF(OR(AO41&gt;0,AT41&gt;0,AD41&gt;0),TP!A41,CK40)</f>
        <v>0</v>
      </c>
      <c r="CL41" s="257">
        <f>LOOKUP($BV41,INVENTARIOS!$A$4:$A$724,ECONO!$O$10:$O$730)</f>
        <v>0</v>
      </c>
      <c r="CM41" s="258">
        <f>LOOKUP($BV41,INVENTARIOS!$A$4:$A$724,ECONO!$Z$9:$Z$729)</f>
        <v>0</v>
      </c>
      <c r="CN41" s="260">
        <f t="shared" si="36"/>
        <v>0</v>
      </c>
      <c r="CO41"/>
    </row>
    <row r="42" spans="2:93" x14ac:dyDescent="0.3">
      <c r="AC42" s="1193">
        <f t="shared" si="30"/>
        <v>54</v>
      </c>
      <c r="AD42" s="844">
        <f>LOOKUP(TP!$A42,PROD!$A$5:$A$725,PROD!$O$5:$O$725)</f>
        <v>0</v>
      </c>
      <c r="AE42" s="101">
        <f>IFERROR(LOOKUP(Linea,TP!$B$3:$DE$3,TP!B42:DE42),0)</f>
        <v>0</v>
      </c>
      <c r="AF42" s="101">
        <f t="shared" si="24"/>
        <v>0</v>
      </c>
      <c r="AG42" s="101">
        <f t="shared" si="25"/>
        <v>0</v>
      </c>
      <c r="AH42" s="845">
        <f t="shared" si="31"/>
        <v>0</v>
      </c>
      <c r="AI42" s="846">
        <f>LOOKUP(TP!$A42,PROD!$A$5:$A$725,PROD!$O$6:$O$726)</f>
        <v>0</v>
      </c>
      <c r="AJ42" s="101">
        <f>IFERROR(LOOKUP(Linea,TP!$B$3:$DE$3,TP!C42:DF42),0)</f>
        <v>0</v>
      </c>
      <c r="AK42" s="101">
        <f t="shared" si="28"/>
        <v>0</v>
      </c>
      <c r="AL42" s="101">
        <f t="shared" si="26"/>
        <v>0</v>
      </c>
      <c r="AM42" s="837">
        <f t="shared" si="32"/>
        <v>0</v>
      </c>
      <c r="AN42" s="175">
        <f>LOOKUP(TP!$A42,PROD!$A$5:$A$725,PROD!$I$11:$I$731)</f>
        <v>0</v>
      </c>
      <c r="AO42" s="171">
        <f>LOOKUP(TP!$A42,PROD!$A$5:$A$725,PROD!$K$5:$K$725)*100</f>
        <v>0</v>
      </c>
      <c r="AP42" s="110">
        <f>LOOKUP(TP!$A42,PROD!$A$5:$A$725,PROD!$K$8:$K$728)*100</f>
        <v>0</v>
      </c>
      <c r="AQ42" s="110">
        <f t="shared" si="33"/>
        <v>100</v>
      </c>
      <c r="AR42" s="109">
        <f>IFERROR(LOOKUP(Linea,TP!$B$3:$DE$3,TP!D42:DG42),0)</f>
        <v>0</v>
      </c>
      <c r="AS42" s="838">
        <f>SUMIF(PROD!$BF$5:$BF$725,GSh!$BV42,PROD!$V$5:$V$725)/1000*PROD!$A$1</f>
        <v>0</v>
      </c>
      <c r="AT42" s="627">
        <f>LOOKUP(TP!$A42,PROD!$A$5:$A$725,PROD!$AD$5:$AD$725)</f>
        <v>0</v>
      </c>
      <c r="AU42" s="101">
        <f>IFERROR(LOOKUP(Linea,TP!$B$3:$DE$3,TP!E42:DH42),0)</f>
        <v>0</v>
      </c>
      <c r="AV42" s="847">
        <f t="shared" si="34"/>
        <v>0</v>
      </c>
      <c r="AW42" s="1081">
        <f>LOOKUP($BV42,PROD!$A$5:$A$725,PROD!$AE$10:$AE$730)</f>
        <v>0</v>
      </c>
      <c r="AX42" s="1076">
        <f>LOOKUP($BV42,PROD!$A$5:$A$725,PROD!$AE$11:$AE$731)</f>
        <v>0</v>
      </c>
      <c r="AY42" s="114">
        <f>'Pr-Sem'!Z42</f>
        <v>0</v>
      </c>
      <c r="AZ42" s="101">
        <f>IFERROR(LOOKUP(Linea,TP!$B$3:$DE$3,TP!F42:DI42),0)</f>
        <v>0</v>
      </c>
      <c r="BA42" s="840">
        <f>LOOKUP(TP!$A42,PROD!$A$5:$A$725,PROD!$Q$7:$Q$727)</f>
        <v>0</v>
      </c>
      <c r="BB42" s="118">
        <f t="shared" si="37"/>
        <v>0</v>
      </c>
      <c r="BC42" s="109">
        <f t="shared" si="38"/>
        <v>0</v>
      </c>
      <c r="BD42" s="125">
        <f>LOOKUP(TP!$A42,PROD!$A$5:$A$725,PROD!$AH$7:$AH$727)</f>
        <v>0</v>
      </c>
      <c r="BE42" s="101">
        <f t="shared" si="35"/>
        <v>0</v>
      </c>
      <c r="BF42" s="850">
        <f t="shared" si="8"/>
        <v>0</v>
      </c>
      <c r="BG42" s="129">
        <f>LOOKUP(TP!$A42,PROD!$A$5:$A$725,PROD!$AH$8:$AH$728)</f>
        <v>0</v>
      </c>
      <c r="BH42" s="101">
        <f t="shared" si="39"/>
        <v>0</v>
      </c>
      <c r="BI42" s="849">
        <f t="shared" si="9"/>
        <v>0</v>
      </c>
      <c r="BJ42" s="513">
        <f>'Pr-Sem'!AC42*10</f>
        <v>0</v>
      </c>
      <c r="BK42" s="514">
        <f>IFERROR(LOOKUP(Linea,TP!$B$3:$DE$3,TP!J42:DJ42),0)</f>
        <v>0</v>
      </c>
      <c r="BL42" s="848">
        <f t="shared" si="10"/>
        <v>0</v>
      </c>
      <c r="BM42" s="137">
        <f>LOOKUP($BV42,PROD!$A$5:$A$725,PROD!$AH$5:$AH$725)*IF($BM$5="Gr X H",1,100)</f>
        <v>0</v>
      </c>
      <c r="BN42" s="138">
        <f>LOOKUP($BV42,PROD!$A$5:$A$725,PROD!$AI$5:$AI$725)*IF($BM$5="Gr X H",1,100)</f>
        <v>0</v>
      </c>
      <c r="BO42" s="849">
        <f t="shared" si="29"/>
        <v>0</v>
      </c>
      <c r="BP42" s="137">
        <f>LOOKUP(BV42,PROD!$A$5:$A$725,PROD!$AH$6:$AH$726)*IF($BM$5="Gr X H",1,100)</f>
        <v>0</v>
      </c>
      <c r="BQ42" s="138">
        <f>LOOKUP($BV42,PROD!$A$5:$A$725,PROD!$AI$6:$AI$726)*IF($BM$5="Gr X H",1,100)</f>
        <v>0</v>
      </c>
      <c r="BR42" s="849">
        <f t="shared" si="22"/>
        <v>0</v>
      </c>
      <c r="BS42" s="137">
        <f>LOOKUP(TP!$A42,PROD!$A$5:$A$725,PROD!$AH$9:$AH$729)</f>
        <v>0</v>
      </c>
      <c r="BT42" s="138">
        <f>LOOKUP(TP!$A42,PROD!$A$5:$A$725,PROD!$AI$9:$AI$729)</f>
        <v>0</v>
      </c>
      <c r="BU42" s="849">
        <f t="shared" si="11"/>
        <v>0</v>
      </c>
      <c r="BV42" s="833">
        <f t="shared" si="40"/>
        <v>54</v>
      </c>
      <c r="BW42" s="191">
        <f ca="1">LOOKUP($BV42,INVENTARIOS!$A$4:$A$718,ECONO!$T$4:$T$724)*100</f>
        <v>0</v>
      </c>
      <c r="BX42" s="606">
        <f ca="1">LOOKUP($BV42,INVENTARIOS!$A$4:$A$718,ECONO!$T$5:$T$725)*100</f>
        <v>0</v>
      </c>
      <c r="BY42" s="606">
        <f ca="1">LOOKUP($BV42,INVENTARIOS!$A$4:$A$718,ECONO!$T$6:$T$726)*100</f>
        <v>0</v>
      </c>
      <c r="BZ42" s="606">
        <f ca="1">LOOKUP($BV42,INVENTARIOS!$A$4:$A$718,ECONO!$T$7:$T$727)*100</f>
        <v>0</v>
      </c>
      <c r="CA42" s="606">
        <f ca="1">LOOKUP($BV42,INVENTARIOS!$A$4:$A$718,ECONO!$T$8:$T$728)*100</f>
        <v>0</v>
      </c>
      <c r="CB42" s="606">
        <f ca="1">LOOKUP($BV42,INVENTARIOS!$A$4:$A$718,ECONO!$T$9:$T$729)*100</f>
        <v>0</v>
      </c>
      <c r="CC42" s="606">
        <f ca="1">LOOKUP($BV42,INVENTARIOS!$A$4:$A$718,ECONO!$T$10:$T$730)*100</f>
        <v>0</v>
      </c>
      <c r="CD42" s="99">
        <f ca="1">LOOKUP($BV42,INVENTARIOS!$A$4:$A$718,ECONO!$X$8:$X$728)*100</f>
        <v>0</v>
      </c>
      <c r="CE42" s="99">
        <f ca="1">LOOKUP($BV42,INVENTARIOS!$A$4:$A$718,ECONO!$X$9:$X$729)*100</f>
        <v>0</v>
      </c>
      <c r="CF42" s="192">
        <f ca="1">LOOKUP($BV42,INVENTARIOS!$A$4:$A$718,ECONO!$X$10:$X$730)*100</f>
        <v>0</v>
      </c>
      <c r="CG42" s="195">
        <f ca="1">LOOKUP(GSh!$BV42,INVENTARIOS!$A$4:$A$718,ECONO!$X$4:$X$724)*100</f>
        <v>0</v>
      </c>
      <c r="CH42" s="98">
        <f ca="1">LOOKUP(GSh!$BV42,INVENTARIOS!$A$4:$A$718,ECONO!$X$5:$X$725)*100</f>
        <v>0</v>
      </c>
      <c r="CI42" s="98">
        <f ca="1">LOOKUP(GSh!$BV42,INVENTARIOS!$A$4:$A$718,ECONO!$X$6:$X$726)*100</f>
        <v>0</v>
      </c>
      <c r="CJ42" s="194">
        <f ca="1">LOOKUP(GSh!$BV42,INVENTARIOS!$A$4:$A$718,ECONO!$X$7:$X$727)*100</f>
        <v>0</v>
      </c>
      <c r="CK42" s="34">
        <f>IF(OR(AO42&gt;0,AT42&gt;0,AD42&gt;0),TP!A42,CK41)</f>
        <v>0</v>
      </c>
      <c r="CL42" s="257">
        <f>LOOKUP($BV42,INVENTARIOS!$A$4:$A$724,ECONO!$O$10:$O$730)</f>
        <v>0</v>
      </c>
      <c r="CM42" s="258">
        <f>LOOKUP($BV42,INVENTARIOS!$A$4:$A$724,ECONO!$Z$9:$Z$729)</f>
        <v>0</v>
      </c>
      <c r="CN42" s="260">
        <f t="shared" si="36"/>
        <v>0</v>
      </c>
      <c r="CO42"/>
    </row>
    <row r="43" spans="2:93" x14ac:dyDescent="0.3">
      <c r="AC43" s="1193">
        <f t="shared" si="30"/>
        <v>55</v>
      </c>
      <c r="AD43" s="844">
        <f>LOOKUP(TP!$A43,PROD!$A$5:$A$725,PROD!$O$5:$O$725)</f>
        <v>0</v>
      </c>
      <c r="AE43" s="101">
        <f>IFERROR(LOOKUP(Linea,TP!$B$3:$DE$3,TP!B43:DE43),0)</f>
        <v>0</v>
      </c>
      <c r="AF43" s="101">
        <f t="shared" si="24"/>
        <v>0</v>
      </c>
      <c r="AG43" s="101">
        <f t="shared" si="25"/>
        <v>0</v>
      </c>
      <c r="AH43" s="845">
        <f t="shared" si="31"/>
        <v>0</v>
      </c>
      <c r="AI43" s="846">
        <f>LOOKUP(TP!$A43,PROD!$A$5:$A$725,PROD!$O$6:$O$726)</f>
        <v>0</v>
      </c>
      <c r="AJ43" s="101">
        <f>IFERROR(LOOKUP(Linea,TP!$B$3:$DE$3,TP!C43:DF43),0)</f>
        <v>0</v>
      </c>
      <c r="AK43" s="101">
        <f t="shared" si="28"/>
        <v>0</v>
      </c>
      <c r="AL43" s="101">
        <f t="shared" si="26"/>
        <v>0</v>
      </c>
      <c r="AM43" s="837">
        <f t="shared" si="32"/>
        <v>0</v>
      </c>
      <c r="AN43" s="175">
        <f>LOOKUP(TP!$A43,PROD!$A$5:$A$725,PROD!$I$11:$I$731)</f>
        <v>0</v>
      </c>
      <c r="AO43" s="171">
        <f>LOOKUP(TP!$A43,PROD!$A$5:$A$725,PROD!$K$5:$K$725)*100</f>
        <v>0</v>
      </c>
      <c r="AP43" s="110">
        <f>LOOKUP(TP!$A43,PROD!$A$5:$A$725,PROD!$K$8:$K$728)*100</f>
        <v>0</v>
      </c>
      <c r="AQ43" s="110">
        <f t="shared" si="33"/>
        <v>100</v>
      </c>
      <c r="AR43" s="109">
        <f>IFERROR(LOOKUP(Linea,TP!$B$3:$DE$3,TP!D43:DG43),0)</f>
        <v>0</v>
      </c>
      <c r="AS43" s="838">
        <f>SUMIF(PROD!$BF$5:$BF$725,GSh!$BV43,PROD!$V$5:$V$725)/1000*PROD!$A$1</f>
        <v>0</v>
      </c>
      <c r="AT43" s="627">
        <f>LOOKUP(TP!$A43,PROD!$A$5:$A$725,PROD!$AD$5:$AD$725)</f>
        <v>0</v>
      </c>
      <c r="AU43" s="101">
        <f>IFERROR(LOOKUP(Linea,TP!$B$3:$DE$3,TP!E43:DH43),0)</f>
        <v>0</v>
      </c>
      <c r="AV43" s="847">
        <f t="shared" si="34"/>
        <v>0</v>
      </c>
      <c r="AW43" s="1081">
        <f>LOOKUP($BV43,PROD!$A$5:$A$725,PROD!$AE$10:$AE$730)</f>
        <v>0</v>
      </c>
      <c r="AX43" s="1076">
        <f>LOOKUP($BV43,PROD!$A$5:$A$725,PROD!$AE$11:$AE$731)</f>
        <v>0</v>
      </c>
      <c r="AY43" s="114">
        <f>'Pr-Sem'!Z43</f>
        <v>0</v>
      </c>
      <c r="AZ43" s="101">
        <f>IFERROR(LOOKUP(Linea,TP!$B$3:$DE$3,TP!F43:DI43),0)</f>
        <v>0</v>
      </c>
      <c r="BA43" s="840">
        <f>LOOKUP(TP!$A43,PROD!$A$5:$A$725,PROD!$Q$7:$Q$727)</f>
        <v>0</v>
      </c>
      <c r="BB43" s="118">
        <f t="shared" si="37"/>
        <v>0</v>
      </c>
      <c r="BC43" s="109">
        <f t="shared" si="38"/>
        <v>0</v>
      </c>
      <c r="BD43" s="125">
        <f>LOOKUP(TP!$A43,PROD!$A$5:$A$725,PROD!$AH$7:$AH$727)</f>
        <v>0</v>
      </c>
      <c r="BE43" s="101">
        <f t="shared" si="35"/>
        <v>0</v>
      </c>
      <c r="BF43" s="850">
        <f t="shared" si="8"/>
        <v>0</v>
      </c>
      <c r="BG43" s="129">
        <f>LOOKUP(TP!$A43,PROD!$A$5:$A$725,PROD!$AH$8:$AH$728)</f>
        <v>0</v>
      </c>
      <c r="BH43" s="101">
        <f t="shared" si="39"/>
        <v>0</v>
      </c>
      <c r="BI43" s="849">
        <f t="shared" si="9"/>
        <v>0</v>
      </c>
      <c r="BJ43" s="513">
        <f>'Pr-Sem'!AC43*10</f>
        <v>0</v>
      </c>
      <c r="BK43" s="514">
        <f>IFERROR(LOOKUP(Linea,TP!$B$3:$DE$3,TP!J43:DJ43),0)</f>
        <v>0</v>
      </c>
      <c r="BL43" s="848">
        <f t="shared" si="10"/>
        <v>0</v>
      </c>
      <c r="BM43" s="137">
        <f>LOOKUP($BV43,PROD!$A$5:$A$725,PROD!$AH$5:$AH$725)*IF($BM$5="Gr X H",1,100)</f>
        <v>0</v>
      </c>
      <c r="BN43" s="138">
        <f>LOOKUP($BV43,PROD!$A$5:$A$725,PROD!$AI$5:$AI$725)*IF($BM$5="Gr X H",1,100)</f>
        <v>0</v>
      </c>
      <c r="BO43" s="849">
        <f t="shared" si="29"/>
        <v>0</v>
      </c>
      <c r="BP43" s="137">
        <f>LOOKUP(BV43,PROD!$A$5:$A$725,PROD!$AH$6:$AH$726)*IF($BM$5="Gr X H",1,100)</f>
        <v>0</v>
      </c>
      <c r="BQ43" s="138">
        <f>LOOKUP($BV43,PROD!$A$5:$A$725,PROD!$AI$6:$AI$726)*IF($BM$5="Gr X H",1,100)</f>
        <v>0</v>
      </c>
      <c r="BR43" s="849">
        <f t="shared" si="22"/>
        <v>0</v>
      </c>
      <c r="BS43" s="137">
        <f>LOOKUP(TP!$A43,PROD!$A$5:$A$725,PROD!$AH$9:$AH$729)</f>
        <v>0</v>
      </c>
      <c r="BT43" s="138">
        <f>LOOKUP(TP!$A43,PROD!$A$5:$A$725,PROD!$AI$9:$AI$729)</f>
        <v>0</v>
      </c>
      <c r="BU43" s="849">
        <f t="shared" si="11"/>
        <v>0</v>
      </c>
      <c r="BV43" s="833">
        <f t="shared" si="40"/>
        <v>55</v>
      </c>
      <c r="BW43" s="191">
        <f ca="1">LOOKUP($BV43,INVENTARIOS!$A$4:$A$718,ECONO!$T$4:$T$724)*100</f>
        <v>0</v>
      </c>
      <c r="BX43" s="606">
        <f ca="1">LOOKUP($BV43,INVENTARIOS!$A$4:$A$718,ECONO!$T$5:$T$725)*100</f>
        <v>0</v>
      </c>
      <c r="BY43" s="606">
        <f ca="1">LOOKUP($BV43,INVENTARIOS!$A$4:$A$718,ECONO!$T$6:$T$726)*100</f>
        <v>0</v>
      </c>
      <c r="BZ43" s="606">
        <f ca="1">LOOKUP($BV43,INVENTARIOS!$A$4:$A$718,ECONO!$T$7:$T$727)*100</f>
        <v>0</v>
      </c>
      <c r="CA43" s="606">
        <f ca="1">LOOKUP($BV43,INVENTARIOS!$A$4:$A$718,ECONO!$T$8:$T$728)*100</f>
        <v>0</v>
      </c>
      <c r="CB43" s="606">
        <f ca="1">LOOKUP($BV43,INVENTARIOS!$A$4:$A$718,ECONO!$T$9:$T$729)*100</f>
        <v>0</v>
      </c>
      <c r="CC43" s="606">
        <f ca="1">LOOKUP($BV43,INVENTARIOS!$A$4:$A$718,ECONO!$T$10:$T$730)*100</f>
        <v>0</v>
      </c>
      <c r="CD43" s="99">
        <f ca="1">LOOKUP($BV43,INVENTARIOS!$A$4:$A$718,ECONO!$X$8:$X$728)*100</f>
        <v>0</v>
      </c>
      <c r="CE43" s="99">
        <f ca="1">LOOKUP($BV43,INVENTARIOS!$A$4:$A$718,ECONO!$X$9:$X$729)*100</f>
        <v>0</v>
      </c>
      <c r="CF43" s="192">
        <f ca="1">LOOKUP($BV43,INVENTARIOS!$A$4:$A$718,ECONO!$X$10:$X$730)*100</f>
        <v>0</v>
      </c>
      <c r="CG43" s="195">
        <f ca="1">LOOKUP(GSh!$BV43,INVENTARIOS!$A$4:$A$718,ECONO!$X$4:$X$724)*100</f>
        <v>0</v>
      </c>
      <c r="CH43" s="98">
        <f ca="1">LOOKUP(GSh!$BV43,INVENTARIOS!$A$4:$A$718,ECONO!$X$5:$X$725)*100</f>
        <v>0</v>
      </c>
      <c r="CI43" s="98">
        <f ca="1">LOOKUP(GSh!$BV43,INVENTARIOS!$A$4:$A$718,ECONO!$X$6:$X$726)*100</f>
        <v>0</v>
      </c>
      <c r="CJ43" s="194">
        <f ca="1">LOOKUP(GSh!$BV43,INVENTARIOS!$A$4:$A$718,ECONO!$X$7:$X$727)*100</f>
        <v>0</v>
      </c>
      <c r="CK43" s="34">
        <f>IF(OR(AO43&gt;0,AT43&gt;0,AD43&gt;0),TP!A43,CK42)</f>
        <v>0</v>
      </c>
      <c r="CL43" s="257">
        <f>LOOKUP($BV43,INVENTARIOS!$A$4:$A$724,ECONO!$O$10:$O$730)</f>
        <v>0</v>
      </c>
      <c r="CM43" s="258">
        <f>LOOKUP($BV43,INVENTARIOS!$A$4:$A$724,ECONO!$Z$9:$Z$729)</f>
        <v>0</v>
      </c>
      <c r="CN43" s="260">
        <f t="shared" si="36"/>
        <v>0</v>
      </c>
      <c r="CO43"/>
    </row>
    <row r="44" spans="2:93" x14ac:dyDescent="0.3">
      <c r="AC44" s="1193">
        <f t="shared" si="30"/>
        <v>56</v>
      </c>
      <c r="AD44" s="844">
        <f>LOOKUP(TP!$A44,PROD!$A$5:$A$725,PROD!$O$5:$O$725)</f>
        <v>0</v>
      </c>
      <c r="AE44" s="101">
        <f>IFERROR(LOOKUP(Linea,TP!$B$3:$DE$3,TP!B44:DE44),0)</f>
        <v>0</v>
      </c>
      <c r="AF44" s="101">
        <f t="shared" si="24"/>
        <v>0</v>
      </c>
      <c r="AG44" s="101">
        <f t="shared" si="25"/>
        <v>0</v>
      </c>
      <c r="AH44" s="845">
        <f t="shared" si="31"/>
        <v>0</v>
      </c>
      <c r="AI44" s="846">
        <f>LOOKUP(TP!$A44,PROD!$A$5:$A$725,PROD!$O$6:$O$726)</f>
        <v>0</v>
      </c>
      <c r="AJ44" s="101">
        <f>IFERROR(LOOKUP(Linea,TP!$B$3:$DE$3,TP!C44:DF44),0)</f>
        <v>0</v>
      </c>
      <c r="AK44" s="101">
        <f t="shared" si="28"/>
        <v>0</v>
      </c>
      <c r="AL44" s="101">
        <f t="shared" si="26"/>
        <v>0</v>
      </c>
      <c r="AM44" s="837">
        <f t="shared" si="32"/>
        <v>0</v>
      </c>
      <c r="AN44" s="175">
        <f>LOOKUP(TP!$A44,PROD!$A$5:$A$725,PROD!$I$11:$I$731)</f>
        <v>0</v>
      </c>
      <c r="AO44" s="171">
        <f>LOOKUP(TP!$A44,PROD!$A$5:$A$725,PROD!$K$5:$K$725)*100</f>
        <v>0</v>
      </c>
      <c r="AP44" s="110">
        <f>LOOKUP(TP!$A44,PROD!$A$5:$A$725,PROD!$K$8:$K$728)*100</f>
        <v>0</v>
      </c>
      <c r="AQ44" s="110">
        <f t="shared" si="33"/>
        <v>100</v>
      </c>
      <c r="AR44" s="109">
        <f>IFERROR(LOOKUP(Linea,TP!$B$3:$DE$3,TP!D44:DG44),0)</f>
        <v>0</v>
      </c>
      <c r="AS44" s="838">
        <f>SUMIF(PROD!$BF$5:$BF$725,GSh!$BV44,PROD!$V$5:$V$725)/1000*PROD!$A$1</f>
        <v>0</v>
      </c>
      <c r="AT44" s="627">
        <f>LOOKUP(TP!$A44,PROD!$A$5:$A$725,PROD!$AD$5:$AD$725)</f>
        <v>0</v>
      </c>
      <c r="AU44" s="101">
        <f>IFERROR(LOOKUP(Linea,TP!$B$3:$DE$3,TP!E44:DH44),0)</f>
        <v>0</v>
      </c>
      <c r="AV44" s="847">
        <f t="shared" si="34"/>
        <v>0</v>
      </c>
      <c r="AW44" s="1081">
        <f>LOOKUP($BV44,PROD!$A$5:$A$725,PROD!$AE$10:$AE$730)</f>
        <v>0</v>
      </c>
      <c r="AX44" s="1076">
        <f>LOOKUP($BV44,PROD!$A$5:$A$725,PROD!$AE$11:$AE$731)</f>
        <v>0</v>
      </c>
      <c r="AY44" s="114">
        <f>'Pr-Sem'!Z44</f>
        <v>0</v>
      </c>
      <c r="AZ44" s="101">
        <f>IFERROR(LOOKUP(Linea,TP!$B$3:$DE$3,TP!F44:DI44),0)</f>
        <v>0</v>
      </c>
      <c r="BA44" s="840">
        <f>LOOKUP(TP!$A44,PROD!$A$5:$A$725,PROD!$Q$7:$Q$727)</f>
        <v>0</v>
      </c>
      <c r="BB44" s="118">
        <f t="shared" si="37"/>
        <v>0</v>
      </c>
      <c r="BC44" s="109">
        <f t="shared" si="38"/>
        <v>0</v>
      </c>
      <c r="BD44" s="125">
        <f>LOOKUP(TP!$A44,PROD!$A$5:$A$725,PROD!$AH$7:$AH$727)</f>
        <v>0</v>
      </c>
      <c r="BE44" s="101">
        <f t="shared" si="35"/>
        <v>0</v>
      </c>
      <c r="BF44" s="850">
        <f t="shared" si="8"/>
        <v>0</v>
      </c>
      <c r="BG44" s="129">
        <f>LOOKUP(TP!$A44,PROD!$A$5:$A$725,PROD!$AH$8:$AH$728)</f>
        <v>0</v>
      </c>
      <c r="BH44" s="101">
        <f t="shared" si="39"/>
        <v>0</v>
      </c>
      <c r="BI44" s="849">
        <f t="shared" si="9"/>
        <v>0</v>
      </c>
      <c r="BJ44" s="513">
        <f>'Pr-Sem'!AC44*10</f>
        <v>0</v>
      </c>
      <c r="BK44" s="514">
        <f>IFERROR(LOOKUP(Linea,TP!$B$3:$DE$3,TP!J44:DJ44),0)</f>
        <v>0</v>
      </c>
      <c r="BL44" s="848">
        <f t="shared" si="10"/>
        <v>0</v>
      </c>
      <c r="BM44" s="137">
        <f>LOOKUP($BV44,PROD!$A$5:$A$725,PROD!$AH$5:$AH$725)*IF($BM$5="Gr X H",1,100)</f>
        <v>0</v>
      </c>
      <c r="BN44" s="138">
        <f>LOOKUP($BV44,PROD!$A$5:$A$725,PROD!$AI$5:$AI$725)*IF($BM$5="Gr X H",1,100)</f>
        <v>0</v>
      </c>
      <c r="BO44" s="849">
        <f t="shared" si="29"/>
        <v>0</v>
      </c>
      <c r="BP44" s="137">
        <f>LOOKUP(BV44,PROD!$A$5:$A$725,PROD!$AH$6:$AH$726)*IF($BM$5="Gr X H",1,100)</f>
        <v>0</v>
      </c>
      <c r="BQ44" s="138">
        <f>LOOKUP($BV44,PROD!$A$5:$A$725,PROD!$AI$6:$AI$726)*IF($BM$5="Gr X H",1,100)</f>
        <v>0</v>
      </c>
      <c r="BR44" s="849">
        <f t="shared" si="22"/>
        <v>0</v>
      </c>
      <c r="BS44" s="137">
        <f>LOOKUP(TP!$A44,PROD!$A$5:$A$725,PROD!$AH$9:$AH$729)</f>
        <v>0</v>
      </c>
      <c r="BT44" s="138">
        <f>LOOKUP(TP!$A44,PROD!$A$5:$A$725,PROD!$AI$9:$AI$729)</f>
        <v>0</v>
      </c>
      <c r="BU44" s="849">
        <f t="shared" si="11"/>
        <v>0</v>
      </c>
      <c r="BV44" s="833">
        <f t="shared" si="40"/>
        <v>56</v>
      </c>
      <c r="BW44" s="191">
        <f ca="1">LOOKUP($BV44,INVENTARIOS!$A$4:$A$718,ECONO!$T$4:$T$724)*100</f>
        <v>0</v>
      </c>
      <c r="BX44" s="606">
        <f ca="1">LOOKUP($BV44,INVENTARIOS!$A$4:$A$718,ECONO!$T$5:$T$725)*100</f>
        <v>0</v>
      </c>
      <c r="BY44" s="606">
        <f ca="1">LOOKUP($BV44,INVENTARIOS!$A$4:$A$718,ECONO!$T$6:$T$726)*100</f>
        <v>0</v>
      </c>
      <c r="BZ44" s="606">
        <f ca="1">LOOKUP($BV44,INVENTARIOS!$A$4:$A$718,ECONO!$T$7:$T$727)*100</f>
        <v>0</v>
      </c>
      <c r="CA44" s="606">
        <f ca="1">LOOKUP($BV44,INVENTARIOS!$A$4:$A$718,ECONO!$T$8:$T$728)*100</f>
        <v>0</v>
      </c>
      <c r="CB44" s="606">
        <f ca="1">LOOKUP($BV44,INVENTARIOS!$A$4:$A$718,ECONO!$T$9:$T$729)*100</f>
        <v>0</v>
      </c>
      <c r="CC44" s="606">
        <f ca="1">LOOKUP($BV44,INVENTARIOS!$A$4:$A$718,ECONO!$T$10:$T$730)*100</f>
        <v>0</v>
      </c>
      <c r="CD44" s="99">
        <f ca="1">LOOKUP($BV44,INVENTARIOS!$A$4:$A$718,ECONO!$X$8:$X$728)*100</f>
        <v>0</v>
      </c>
      <c r="CE44" s="99">
        <f ca="1">LOOKUP($BV44,INVENTARIOS!$A$4:$A$718,ECONO!$X$9:$X$729)*100</f>
        <v>0</v>
      </c>
      <c r="CF44" s="192">
        <f ca="1">LOOKUP($BV44,INVENTARIOS!$A$4:$A$718,ECONO!$X$10:$X$730)*100</f>
        <v>0</v>
      </c>
      <c r="CG44" s="195">
        <f ca="1">LOOKUP(GSh!$BV44,INVENTARIOS!$A$4:$A$718,ECONO!$X$4:$X$724)*100</f>
        <v>0</v>
      </c>
      <c r="CH44" s="98">
        <f ca="1">LOOKUP(GSh!$BV44,INVENTARIOS!$A$4:$A$718,ECONO!$X$5:$X$725)*100</f>
        <v>0</v>
      </c>
      <c r="CI44" s="98">
        <f ca="1">LOOKUP(GSh!$BV44,INVENTARIOS!$A$4:$A$718,ECONO!$X$6:$X$726)*100</f>
        <v>0</v>
      </c>
      <c r="CJ44" s="194">
        <f ca="1">LOOKUP(GSh!$BV44,INVENTARIOS!$A$4:$A$718,ECONO!$X$7:$X$727)*100</f>
        <v>0</v>
      </c>
      <c r="CK44" s="34">
        <f>IF(OR(AO44&gt;0,AT44&gt;0,AD44&gt;0),TP!A44,CK43)</f>
        <v>0</v>
      </c>
      <c r="CL44" s="257">
        <f>LOOKUP($BV44,INVENTARIOS!$A$4:$A$724,ECONO!$O$10:$O$730)</f>
        <v>0</v>
      </c>
      <c r="CM44" s="258">
        <f>LOOKUP($BV44,INVENTARIOS!$A$4:$A$724,ECONO!$Z$9:$Z$729)</f>
        <v>0</v>
      </c>
      <c r="CN44" s="260">
        <f t="shared" si="36"/>
        <v>0</v>
      </c>
      <c r="CO44"/>
    </row>
    <row r="45" spans="2:93" x14ac:dyDescent="0.3">
      <c r="AC45" s="1193">
        <f t="shared" si="30"/>
        <v>57</v>
      </c>
      <c r="AD45" s="844">
        <f>LOOKUP(TP!$A45,PROD!$A$5:$A$725,PROD!$O$5:$O$725)</f>
        <v>0</v>
      </c>
      <c r="AE45" s="101">
        <f>IFERROR(LOOKUP(Linea,TP!$B$3:$DE$3,TP!B45:DE45),0)</f>
        <v>0</v>
      </c>
      <c r="AF45" s="101">
        <f t="shared" si="24"/>
        <v>0</v>
      </c>
      <c r="AG45" s="101">
        <f t="shared" si="25"/>
        <v>0</v>
      </c>
      <c r="AH45" s="845">
        <f t="shared" si="31"/>
        <v>0</v>
      </c>
      <c r="AI45" s="846">
        <f>LOOKUP(TP!$A45,PROD!$A$5:$A$725,PROD!$O$6:$O$726)</f>
        <v>0</v>
      </c>
      <c r="AJ45" s="101">
        <f>IFERROR(LOOKUP(Linea,TP!$B$3:$DE$3,TP!C45:DF45),0)</f>
        <v>0</v>
      </c>
      <c r="AK45" s="101">
        <f t="shared" si="28"/>
        <v>0</v>
      </c>
      <c r="AL45" s="101">
        <f t="shared" si="26"/>
        <v>0</v>
      </c>
      <c r="AM45" s="837">
        <f t="shared" si="32"/>
        <v>0</v>
      </c>
      <c r="AN45" s="175">
        <f>LOOKUP(TP!$A45,PROD!$A$5:$A$725,PROD!$I$11:$I$731)</f>
        <v>0</v>
      </c>
      <c r="AO45" s="171">
        <f>LOOKUP(TP!$A45,PROD!$A$5:$A$725,PROD!$K$5:$K$725)*100</f>
        <v>0</v>
      </c>
      <c r="AP45" s="110">
        <f>LOOKUP(TP!$A45,PROD!$A$5:$A$725,PROD!$K$8:$K$728)*100</f>
        <v>0</v>
      </c>
      <c r="AQ45" s="110">
        <f t="shared" si="33"/>
        <v>100</v>
      </c>
      <c r="AR45" s="109">
        <f>IFERROR(LOOKUP(Linea,TP!$B$3:$DE$3,TP!D45:DG45),0)</f>
        <v>0</v>
      </c>
      <c r="AS45" s="838">
        <f>SUMIF(PROD!$BF$5:$BF$725,GSh!$BV45,PROD!$V$5:$V$725)/1000*PROD!$A$1</f>
        <v>0</v>
      </c>
      <c r="AT45" s="627">
        <f>LOOKUP(TP!$A45,PROD!$A$5:$A$725,PROD!$AD$5:$AD$725)</f>
        <v>0</v>
      </c>
      <c r="AU45" s="101">
        <f>IFERROR(LOOKUP(Linea,TP!$B$3:$DE$3,TP!E45:DH45),0)</f>
        <v>0</v>
      </c>
      <c r="AV45" s="847">
        <f t="shared" si="34"/>
        <v>0</v>
      </c>
      <c r="AW45" s="1081">
        <f>LOOKUP($BV45,PROD!$A$5:$A$725,PROD!$AE$10:$AE$730)</f>
        <v>0</v>
      </c>
      <c r="AX45" s="1076">
        <f>LOOKUP($BV45,PROD!$A$5:$A$725,PROD!$AE$11:$AE$731)</f>
        <v>0</v>
      </c>
      <c r="AY45" s="114">
        <f>'Pr-Sem'!Z45</f>
        <v>0</v>
      </c>
      <c r="AZ45" s="101">
        <f>IFERROR(LOOKUP(Linea,TP!$B$3:$DE$3,TP!F45:DI45),0)</f>
        <v>0</v>
      </c>
      <c r="BA45" s="840">
        <f>LOOKUP(TP!$A45,PROD!$A$5:$A$725,PROD!$Q$7:$Q$727)</f>
        <v>0</v>
      </c>
      <c r="BB45" s="118">
        <f t="shared" si="37"/>
        <v>0</v>
      </c>
      <c r="BC45" s="109">
        <f t="shared" si="38"/>
        <v>0</v>
      </c>
      <c r="BD45" s="125">
        <f>LOOKUP(TP!$A45,PROD!$A$5:$A$725,PROD!$AH$7:$AH$727)</f>
        <v>0</v>
      </c>
      <c r="BE45" s="101">
        <f t="shared" si="35"/>
        <v>0</v>
      </c>
      <c r="BF45" s="850">
        <f t="shared" si="8"/>
        <v>0</v>
      </c>
      <c r="BG45" s="129">
        <f>LOOKUP(TP!$A45,PROD!$A$5:$A$725,PROD!$AH$8:$AH$728)</f>
        <v>0</v>
      </c>
      <c r="BH45" s="101">
        <f t="shared" si="39"/>
        <v>0</v>
      </c>
      <c r="BI45" s="849">
        <f t="shared" si="9"/>
        <v>0</v>
      </c>
      <c r="BJ45" s="513">
        <f>'Pr-Sem'!AC45*10</f>
        <v>0</v>
      </c>
      <c r="BK45" s="514">
        <f>IFERROR(LOOKUP(Linea,TP!$B$3:$DE$3,TP!J45:DJ45),0)</f>
        <v>0</v>
      </c>
      <c r="BL45" s="848">
        <f t="shared" si="10"/>
        <v>0</v>
      </c>
      <c r="BM45" s="137">
        <f>LOOKUP($BV45,PROD!$A$5:$A$725,PROD!$AH$5:$AH$725)*IF($BM$5="Gr X H",1,100)</f>
        <v>0</v>
      </c>
      <c r="BN45" s="138">
        <f>LOOKUP($BV45,PROD!$A$5:$A$725,PROD!$AI$5:$AI$725)*IF($BM$5="Gr X H",1,100)</f>
        <v>0</v>
      </c>
      <c r="BO45" s="849">
        <f t="shared" si="29"/>
        <v>0</v>
      </c>
      <c r="BP45" s="137">
        <f>LOOKUP(BV45,PROD!$A$5:$A$725,PROD!$AH$6:$AH$726)*IF($BM$5="Gr X H",1,100)</f>
        <v>0</v>
      </c>
      <c r="BQ45" s="138">
        <f>LOOKUP($BV45,PROD!$A$5:$A$725,PROD!$AI$6:$AI$726)*IF($BM$5="Gr X H",1,100)</f>
        <v>0</v>
      </c>
      <c r="BR45" s="849">
        <f t="shared" si="22"/>
        <v>0</v>
      </c>
      <c r="BS45" s="137">
        <f>LOOKUP(TP!$A45,PROD!$A$5:$A$725,PROD!$AH$9:$AH$729)</f>
        <v>0</v>
      </c>
      <c r="BT45" s="138">
        <f>LOOKUP(TP!$A45,PROD!$A$5:$A$725,PROD!$AI$9:$AI$729)</f>
        <v>0</v>
      </c>
      <c r="BU45" s="849">
        <f t="shared" si="11"/>
        <v>0</v>
      </c>
      <c r="BV45" s="833">
        <f t="shared" si="40"/>
        <v>57</v>
      </c>
      <c r="BW45" s="191">
        <f ca="1">LOOKUP($BV45,INVENTARIOS!$A$4:$A$718,ECONO!$T$4:$T$724)*100</f>
        <v>0</v>
      </c>
      <c r="BX45" s="606">
        <f ca="1">LOOKUP($BV45,INVENTARIOS!$A$4:$A$718,ECONO!$T$5:$T$725)*100</f>
        <v>0</v>
      </c>
      <c r="BY45" s="606">
        <f ca="1">LOOKUP($BV45,INVENTARIOS!$A$4:$A$718,ECONO!$T$6:$T$726)*100</f>
        <v>0</v>
      </c>
      <c r="BZ45" s="606">
        <f ca="1">LOOKUP($BV45,INVENTARIOS!$A$4:$A$718,ECONO!$T$7:$T$727)*100</f>
        <v>0</v>
      </c>
      <c r="CA45" s="606">
        <f ca="1">LOOKUP($BV45,INVENTARIOS!$A$4:$A$718,ECONO!$T$8:$T$728)*100</f>
        <v>0</v>
      </c>
      <c r="CB45" s="606">
        <f ca="1">LOOKUP($BV45,INVENTARIOS!$A$4:$A$718,ECONO!$T$9:$T$729)*100</f>
        <v>0</v>
      </c>
      <c r="CC45" s="606">
        <f ca="1">LOOKUP($BV45,INVENTARIOS!$A$4:$A$718,ECONO!$T$10:$T$730)*100</f>
        <v>0</v>
      </c>
      <c r="CD45" s="99">
        <f ca="1">LOOKUP($BV45,INVENTARIOS!$A$4:$A$718,ECONO!$X$8:$X$728)*100</f>
        <v>0</v>
      </c>
      <c r="CE45" s="99">
        <f ca="1">LOOKUP($BV45,INVENTARIOS!$A$4:$A$718,ECONO!$X$9:$X$729)*100</f>
        <v>0</v>
      </c>
      <c r="CF45" s="192">
        <f ca="1">LOOKUP($BV45,INVENTARIOS!$A$4:$A$718,ECONO!$X$10:$X$730)*100</f>
        <v>0</v>
      </c>
      <c r="CG45" s="195">
        <f ca="1">LOOKUP(GSh!$BV45,INVENTARIOS!$A$4:$A$718,ECONO!$X$4:$X$724)*100</f>
        <v>0</v>
      </c>
      <c r="CH45" s="98">
        <f ca="1">LOOKUP(GSh!$BV45,INVENTARIOS!$A$4:$A$718,ECONO!$X$5:$X$725)*100</f>
        <v>0</v>
      </c>
      <c r="CI45" s="98">
        <f ca="1">LOOKUP(GSh!$BV45,INVENTARIOS!$A$4:$A$718,ECONO!$X$6:$X$726)*100</f>
        <v>0</v>
      </c>
      <c r="CJ45" s="194">
        <f ca="1">LOOKUP(GSh!$BV45,INVENTARIOS!$A$4:$A$718,ECONO!$X$7:$X$727)*100</f>
        <v>0</v>
      </c>
      <c r="CK45" s="34">
        <f>IF(OR(AO45&gt;0,AT45&gt;0,AD45&gt;0),TP!A45,CK44)</f>
        <v>0</v>
      </c>
      <c r="CL45" s="257">
        <f>LOOKUP($BV45,INVENTARIOS!$A$4:$A$724,ECONO!$O$10:$O$730)</f>
        <v>0</v>
      </c>
      <c r="CM45" s="258">
        <f>LOOKUP($BV45,INVENTARIOS!$A$4:$A$724,ECONO!$Z$9:$Z$729)</f>
        <v>0</v>
      </c>
      <c r="CN45" s="260">
        <f t="shared" si="36"/>
        <v>0</v>
      </c>
      <c r="CO45"/>
    </row>
    <row r="46" spans="2:93" x14ac:dyDescent="0.3">
      <c r="AC46" s="1193">
        <f t="shared" si="30"/>
        <v>58</v>
      </c>
      <c r="AD46" s="844">
        <f>LOOKUP(TP!$A46,PROD!$A$5:$A$725,PROD!$O$5:$O$725)</f>
        <v>0</v>
      </c>
      <c r="AE46" s="101">
        <f>IFERROR(LOOKUP(Linea,TP!$B$3:$DE$3,TP!B46:DE46),0)</f>
        <v>0</v>
      </c>
      <c r="AF46" s="101">
        <f t="shared" si="24"/>
        <v>0</v>
      </c>
      <c r="AG46" s="101">
        <f t="shared" si="25"/>
        <v>0</v>
      </c>
      <c r="AH46" s="845">
        <f t="shared" si="31"/>
        <v>0</v>
      </c>
      <c r="AI46" s="846">
        <f>LOOKUP(TP!$A46,PROD!$A$5:$A$725,PROD!$O$6:$O$726)</f>
        <v>0</v>
      </c>
      <c r="AJ46" s="101">
        <f>IFERROR(LOOKUP(Linea,TP!$B$3:$DE$3,TP!C46:DF46),0)</f>
        <v>0</v>
      </c>
      <c r="AK46" s="101">
        <f t="shared" si="28"/>
        <v>0</v>
      </c>
      <c r="AL46" s="101">
        <f t="shared" si="26"/>
        <v>0</v>
      </c>
      <c r="AM46" s="837">
        <f t="shared" si="32"/>
        <v>0</v>
      </c>
      <c r="AN46" s="175">
        <f>LOOKUP(TP!$A46,PROD!$A$5:$A$725,PROD!$I$11:$I$731)</f>
        <v>0</v>
      </c>
      <c r="AO46" s="171">
        <f>LOOKUP(TP!$A46,PROD!$A$5:$A$725,PROD!$K$5:$K$725)*100</f>
        <v>0</v>
      </c>
      <c r="AP46" s="110">
        <f>LOOKUP(TP!$A46,PROD!$A$5:$A$725,PROD!$K$8:$K$728)*100</f>
        <v>0</v>
      </c>
      <c r="AQ46" s="110">
        <f t="shared" si="33"/>
        <v>100</v>
      </c>
      <c r="AR46" s="109">
        <f>IFERROR(LOOKUP(Linea,TP!$B$3:$DE$3,TP!D46:DG46),0)</f>
        <v>0</v>
      </c>
      <c r="AS46" s="838">
        <f>SUMIF(PROD!$BF$5:$BF$725,GSh!$BV46,PROD!$V$5:$V$725)/1000*PROD!$A$1</f>
        <v>0</v>
      </c>
      <c r="AT46" s="627">
        <f>LOOKUP(TP!$A46,PROD!$A$5:$A$725,PROD!$AD$5:$AD$725)</f>
        <v>0</v>
      </c>
      <c r="AU46" s="101">
        <f>IFERROR(LOOKUP(Linea,TP!$B$3:$DE$3,TP!E46:DH46),0)</f>
        <v>0</v>
      </c>
      <c r="AV46" s="847">
        <f t="shared" si="34"/>
        <v>0</v>
      </c>
      <c r="AW46" s="1081">
        <f>LOOKUP($BV46,PROD!$A$5:$A$725,PROD!$AE$10:$AE$730)</f>
        <v>0</v>
      </c>
      <c r="AX46" s="1076">
        <f>LOOKUP($BV46,PROD!$A$5:$A$725,PROD!$AE$11:$AE$731)</f>
        <v>0</v>
      </c>
      <c r="AY46" s="114">
        <f>'Pr-Sem'!Z46</f>
        <v>0</v>
      </c>
      <c r="AZ46" s="101">
        <f>IFERROR(LOOKUP(Linea,TP!$B$3:$DE$3,TP!F46:DI46),0)</f>
        <v>0</v>
      </c>
      <c r="BA46" s="840">
        <f>LOOKUP(TP!$A46,PROD!$A$5:$A$725,PROD!$Q$7:$Q$727)</f>
        <v>0</v>
      </c>
      <c r="BB46" s="118">
        <f t="shared" si="37"/>
        <v>0</v>
      </c>
      <c r="BC46" s="109">
        <f t="shared" si="38"/>
        <v>0</v>
      </c>
      <c r="BD46" s="125">
        <f>LOOKUP(TP!$A46,PROD!$A$5:$A$725,PROD!$AH$7:$AH$727)</f>
        <v>0</v>
      </c>
      <c r="BE46" s="101">
        <f t="shared" si="35"/>
        <v>0</v>
      </c>
      <c r="BF46" s="850">
        <f t="shared" si="8"/>
        <v>0</v>
      </c>
      <c r="BG46" s="129">
        <f>LOOKUP(TP!$A46,PROD!$A$5:$A$725,PROD!$AH$8:$AH$728)</f>
        <v>0</v>
      </c>
      <c r="BH46" s="101">
        <f t="shared" si="39"/>
        <v>0</v>
      </c>
      <c r="BI46" s="849">
        <f t="shared" si="9"/>
        <v>0</v>
      </c>
      <c r="BJ46" s="513">
        <f>'Pr-Sem'!AC46*10</f>
        <v>0</v>
      </c>
      <c r="BK46" s="514">
        <f>IFERROR(LOOKUP(Linea,TP!$B$3:$DE$3,TP!J46:DJ46),0)</f>
        <v>0</v>
      </c>
      <c r="BL46" s="848">
        <f t="shared" si="10"/>
        <v>0</v>
      </c>
      <c r="BM46" s="137">
        <f>LOOKUP($BV46,PROD!$A$5:$A$725,PROD!$AH$5:$AH$725)*IF($BM$5="Gr X H",1,100)</f>
        <v>0</v>
      </c>
      <c r="BN46" s="138">
        <f>LOOKUP($BV46,PROD!$A$5:$A$725,PROD!$AI$5:$AI$725)*IF($BM$5="Gr X H",1,100)</f>
        <v>0</v>
      </c>
      <c r="BO46" s="849">
        <f t="shared" si="29"/>
        <v>0</v>
      </c>
      <c r="BP46" s="137">
        <f>LOOKUP(BV46,PROD!$A$5:$A$725,PROD!$AH$6:$AH$726)*IF($BM$5="Gr X H",1,100)</f>
        <v>0</v>
      </c>
      <c r="BQ46" s="138">
        <f>LOOKUP($BV46,PROD!$A$5:$A$725,PROD!$AI$6:$AI$726)*IF($BM$5="Gr X H",1,100)</f>
        <v>0</v>
      </c>
      <c r="BR46" s="849">
        <f t="shared" si="22"/>
        <v>0</v>
      </c>
      <c r="BS46" s="137">
        <f>LOOKUP(TP!$A46,PROD!$A$5:$A$725,PROD!$AH$9:$AH$729)</f>
        <v>0</v>
      </c>
      <c r="BT46" s="138">
        <f>LOOKUP(TP!$A46,PROD!$A$5:$A$725,PROD!$AI$9:$AI$729)</f>
        <v>0</v>
      </c>
      <c r="BU46" s="849">
        <f t="shared" si="11"/>
        <v>0</v>
      </c>
      <c r="BV46" s="833">
        <f t="shared" si="40"/>
        <v>58</v>
      </c>
      <c r="BW46" s="191">
        <f ca="1">LOOKUP($BV46,INVENTARIOS!$A$4:$A$718,ECONO!$T$4:$T$724)*100</f>
        <v>0</v>
      </c>
      <c r="BX46" s="606">
        <f ca="1">LOOKUP($BV46,INVENTARIOS!$A$4:$A$718,ECONO!$T$5:$T$725)*100</f>
        <v>0</v>
      </c>
      <c r="BY46" s="606">
        <f ca="1">LOOKUP($BV46,INVENTARIOS!$A$4:$A$718,ECONO!$T$6:$T$726)*100</f>
        <v>0</v>
      </c>
      <c r="BZ46" s="606">
        <f ca="1">LOOKUP($BV46,INVENTARIOS!$A$4:$A$718,ECONO!$T$7:$T$727)*100</f>
        <v>0</v>
      </c>
      <c r="CA46" s="606">
        <f ca="1">LOOKUP($BV46,INVENTARIOS!$A$4:$A$718,ECONO!$T$8:$T$728)*100</f>
        <v>0</v>
      </c>
      <c r="CB46" s="606">
        <f ca="1">LOOKUP($BV46,INVENTARIOS!$A$4:$A$718,ECONO!$T$9:$T$729)*100</f>
        <v>0</v>
      </c>
      <c r="CC46" s="606">
        <f ca="1">LOOKUP($BV46,INVENTARIOS!$A$4:$A$718,ECONO!$T$10:$T$730)*100</f>
        <v>0</v>
      </c>
      <c r="CD46" s="99">
        <f ca="1">LOOKUP($BV46,INVENTARIOS!$A$4:$A$718,ECONO!$X$8:$X$728)*100</f>
        <v>0</v>
      </c>
      <c r="CE46" s="99">
        <f ca="1">LOOKUP($BV46,INVENTARIOS!$A$4:$A$718,ECONO!$X$9:$X$729)*100</f>
        <v>0</v>
      </c>
      <c r="CF46" s="192">
        <f ca="1">LOOKUP($BV46,INVENTARIOS!$A$4:$A$718,ECONO!$X$10:$X$730)*100</f>
        <v>0</v>
      </c>
      <c r="CG46" s="195">
        <f ca="1">LOOKUP(GSh!$BV46,INVENTARIOS!$A$4:$A$718,ECONO!$X$4:$X$724)*100</f>
        <v>0</v>
      </c>
      <c r="CH46" s="98">
        <f ca="1">LOOKUP(GSh!$BV46,INVENTARIOS!$A$4:$A$718,ECONO!$X$5:$X$725)*100</f>
        <v>0</v>
      </c>
      <c r="CI46" s="98">
        <f ca="1">LOOKUP(GSh!$BV46,INVENTARIOS!$A$4:$A$718,ECONO!$X$6:$X$726)*100</f>
        <v>0</v>
      </c>
      <c r="CJ46" s="194">
        <f ca="1">LOOKUP(GSh!$BV46,INVENTARIOS!$A$4:$A$718,ECONO!$X$7:$X$727)*100</f>
        <v>0</v>
      </c>
      <c r="CK46" s="34">
        <f>IF(OR(AO46&gt;0,AT46&gt;0,AD46&gt;0),TP!A46,CK45)</f>
        <v>0</v>
      </c>
      <c r="CL46" s="257">
        <f>LOOKUP($BV46,INVENTARIOS!$A$4:$A$724,ECONO!$O$10:$O$730)</f>
        <v>0</v>
      </c>
      <c r="CM46" s="258">
        <f>LOOKUP($BV46,INVENTARIOS!$A$4:$A$724,ECONO!$Z$9:$Z$729)</f>
        <v>0</v>
      </c>
      <c r="CN46" s="260">
        <f t="shared" si="36"/>
        <v>0</v>
      </c>
      <c r="CO46"/>
    </row>
    <row r="47" spans="2:93" x14ac:dyDescent="0.3">
      <c r="AC47" s="1193">
        <f t="shared" si="30"/>
        <v>59</v>
      </c>
      <c r="AD47" s="844">
        <f>LOOKUP(TP!$A47,PROD!$A$5:$A$725,PROD!$O$5:$O$725)</f>
        <v>0</v>
      </c>
      <c r="AE47" s="101">
        <f>IFERROR(LOOKUP(Linea,TP!$B$3:$DE$3,TP!B47:DE47),0)</f>
        <v>0</v>
      </c>
      <c r="AF47" s="101">
        <f t="shared" si="24"/>
        <v>0</v>
      </c>
      <c r="AG47" s="101">
        <f t="shared" si="25"/>
        <v>0</v>
      </c>
      <c r="AH47" s="845">
        <f t="shared" si="31"/>
        <v>0</v>
      </c>
      <c r="AI47" s="846">
        <f>LOOKUP(TP!$A47,PROD!$A$5:$A$725,PROD!$O$6:$O$726)</f>
        <v>0</v>
      </c>
      <c r="AJ47" s="101">
        <f>IFERROR(LOOKUP(Linea,TP!$B$3:$DE$3,TP!C47:DF47),0)</f>
        <v>0</v>
      </c>
      <c r="AK47" s="101">
        <f t="shared" si="28"/>
        <v>0</v>
      </c>
      <c r="AL47" s="101">
        <f t="shared" si="26"/>
        <v>0</v>
      </c>
      <c r="AM47" s="837">
        <f t="shared" si="32"/>
        <v>0</v>
      </c>
      <c r="AN47" s="175">
        <f>LOOKUP(TP!$A47,PROD!$A$5:$A$725,PROD!$I$11:$I$731)</f>
        <v>0</v>
      </c>
      <c r="AO47" s="171">
        <f>LOOKUP(TP!$A47,PROD!$A$5:$A$725,PROD!$K$5:$K$725)*100</f>
        <v>0</v>
      </c>
      <c r="AP47" s="110">
        <f>LOOKUP(TP!$A47,PROD!$A$5:$A$725,PROD!$K$8:$K$728)*100</f>
        <v>0</v>
      </c>
      <c r="AQ47" s="110">
        <f t="shared" si="33"/>
        <v>100</v>
      </c>
      <c r="AR47" s="109">
        <f>IFERROR(LOOKUP(Linea,TP!$B$3:$DE$3,TP!D47:DG47),0)</f>
        <v>0</v>
      </c>
      <c r="AS47" s="838">
        <f>SUMIF(PROD!$BF$5:$BF$725,GSh!$BV47,PROD!$V$5:$V$725)/1000*PROD!$A$1</f>
        <v>0</v>
      </c>
      <c r="AT47" s="627">
        <f>LOOKUP(TP!$A47,PROD!$A$5:$A$725,PROD!$AD$5:$AD$725)</f>
        <v>0</v>
      </c>
      <c r="AU47" s="101">
        <f>IFERROR(LOOKUP(Linea,TP!$B$3:$DE$3,TP!E47:DH47),0)</f>
        <v>0</v>
      </c>
      <c r="AV47" s="847">
        <f t="shared" si="34"/>
        <v>0</v>
      </c>
      <c r="AW47" s="1081">
        <f>LOOKUP($BV47,PROD!$A$5:$A$725,PROD!$AE$10:$AE$730)</f>
        <v>0</v>
      </c>
      <c r="AX47" s="1076">
        <f>LOOKUP($BV47,PROD!$A$5:$A$725,PROD!$AE$11:$AE$731)</f>
        <v>0</v>
      </c>
      <c r="AY47" s="114">
        <f>'Pr-Sem'!Z47</f>
        <v>0</v>
      </c>
      <c r="AZ47" s="101">
        <f>IFERROR(LOOKUP(Linea,TP!$B$3:$DE$3,TP!F47:DI47),0)</f>
        <v>0</v>
      </c>
      <c r="BA47" s="840">
        <f>LOOKUP(TP!$A47,PROD!$A$5:$A$725,PROD!$Q$7:$Q$727)</f>
        <v>0</v>
      </c>
      <c r="BB47" s="118">
        <f t="shared" si="37"/>
        <v>0</v>
      </c>
      <c r="BC47" s="109">
        <f t="shared" si="38"/>
        <v>0</v>
      </c>
      <c r="BD47" s="125">
        <f>LOOKUP(TP!$A47,PROD!$A$5:$A$725,PROD!$AH$7:$AH$727)</f>
        <v>0</v>
      </c>
      <c r="BE47" s="101">
        <f t="shared" si="35"/>
        <v>0</v>
      </c>
      <c r="BF47" s="850">
        <f t="shared" si="8"/>
        <v>0</v>
      </c>
      <c r="BG47" s="129">
        <f>LOOKUP(TP!$A47,PROD!$A$5:$A$725,PROD!$AH$8:$AH$728)</f>
        <v>0</v>
      </c>
      <c r="BH47" s="101">
        <f t="shared" si="39"/>
        <v>0</v>
      </c>
      <c r="BI47" s="849">
        <f t="shared" si="9"/>
        <v>0</v>
      </c>
      <c r="BJ47" s="513">
        <f>'Pr-Sem'!AC47*10</f>
        <v>0</v>
      </c>
      <c r="BK47" s="514">
        <f>IFERROR(LOOKUP(Linea,TP!$B$3:$DE$3,TP!J47:DJ47),0)</f>
        <v>0</v>
      </c>
      <c r="BL47" s="848">
        <f t="shared" si="10"/>
        <v>0</v>
      </c>
      <c r="BM47" s="137">
        <f>LOOKUP($BV47,PROD!$A$5:$A$725,PROD!$AH$5:$AH$725)*IF($BM$5="Gr X H",1,100)</f>
        <v>0</v>
      </c>
      <c r="BN47" s="138">
        <f>LOOKUP($BV47,PROD!$A$5:$A$725,PROD!$AI$5:$AI$725)*IF($BM$5="Gr X H",1,100)</f>
        <v>0</v>
      </c>
      <c r="BO47" s="849">
        <f t="shared" si="29"/>
        <v>0</v>
      </c>
      <c r="BP47" s="137">
        <f>LOOKUP(BV47,PROD!$A$5:$A$725,PROD!$AH$6:$AH$726)*IF($BM$5="Gr X H",1,100)</f>
        <v>0</v>
      </c>
      <c r="BQ47" s="138">
        <f>LOOKUP($BV47,PROD!$A$5:$A$725,PROD!$AI$6:$AI$726)*IF($BM$5="Gr X H",1,100)</f>
        <v>0</v>
      </c>
      <c r="BR47" s="849">
        <f t="shared" si="22"/>
        <v>0</v>
      </c>
      <c r="BS47" s="137">
        <f>LOOKUP(TP!$A47,PROD!$A$5:$A$725,PROD!$AH$9:$AH$729)</f>
        <v>0</v>
      </c>
      <c r="BT47" s="138">
        <f>LOOKUP(TP!$A47,PROD!$A$5:$A$725,PROD!$AI$9:$AI$729)</f>
        <v>0</v>
      </c>
      <c r="BU47" s="849">
        <f t="shared" si="11"/>
        <v>0</v>
      </c>
      <c r="BV47" s="833">
        <f t="shared" si="40"/>
        <v>59</v>
      </c>
      <c r="BW47" s="191">
        <f ca="1">LOOKUP($BV47,INVENTARIOS!$A$4:$A$718,ECONO!$T$4:$T$724)*100</f>
        <v>0</v>
      </c>
      <c r="BX47" s="606">
        <f ca="1">LOOKUP($BV47,INVENTARIOS!$A$4:$A$718,ECONO!$T$5:$T$725)*100</f>
        <v>0</v>
      </c>
      <c r="BY47" s="606">
        <f ca="1">LOOKUP($BV47,INVENTARIOS!$A$4:$A$718,ECONO!$T$6:$T$726)*100</f>
        <v>0</v>
      </c>
      <c r="BZ47" s="606">
        <f ca="1">LOOKUP($BV47,INVENTARIOS!$A$4:$A$718,ECONO!$T$7:$T$727)*100</f>
        <v>0</v>
      </c>
      <c r="CA47" s="606">
        <f ca="1">LOOKUP($BV47,INVENTARIOS!$A$4:$A$718,ECONO!$T$8:$T$728)*100</f>
        <v>0</v>
      </c>
      <c r="CB47" s="606">
        <f ca="1">LOOKUP($BV47,INVENTARIOS!$A$4:$A$718,ECONO!$T$9:$T$729)*100</f>
        <v>0</v>
      </c>
      <c r="CC47" s="606">
        <f ca="1">LOOKUP($BV47,INVENTARIOS!$A$4:$A$718,ECONO!$T$10:$T$730)*100</f>
        <v>0</v>
      </c>
      <c r="CD47" s="99">
        <f ca="1">LOOKUP($BV47,INVENTARIOS!$A$4:$A$718,ECONO!$X$8:$X$728)*100</f>
        <v>0</v>
      </c>
      <c r="CE47" s="99">
        <f ca="1">LOOKUP($BV47,INVENTARIOS!$A$4:$A$718,ECONO!$X$9:$X$729)*100</f>
        <v>0</v>
      </c>
      <c r="CF47" s="192">
        <f ca="1">LOOKUP($BV47,INVENTARIOS!$A$4:$A$718,ECONO!$X$10:$X$730)*100</f>
        <v>0</v>
      </c>
      <c r="CG47" s="195">
        <f ca="1">LOOKUP(GSh!$BV47,INVENTARIOS!$A$4:$A$718,ECONO!$X$4:$X$724)*100</f>
        <v>0</v>
      </c>
      <c r="CH47" s="98">
        <f ca="1">LOOKUP(GSh!$BV47,INVENTARIOS!$A$4:$A$718,ECONO!$X$5:$X$725)*100</f>
        <v>0</v>
      </c>
      <c r="CI47" s="98">
        <f ca="1">LOOKUP(GSh!$BV47,INVENTARIOS!$A$4:$A$718,ECONO!$X$6:$X$726)*100</f>
        <v>0</v>
      </c>
      <c r="CJ47" s="194">
        <f ca="1">LOOKUP(GSh!$BV47,INVENTARIOS!$A$4:$A$718,ECONO!$X$7:$X$727)*100</f>
        <v>0</v>
      </c>
      <c r="CK47" s="34">
        <f>IF(OR(AO47&gt;0,AT47&gt;0,AD47&gt;0),TP!A47,CK46)</f>
        <v>0</v>
      </c>
      <c r="CL47" s="257">
        <f>LOOKUP($BV47,INVENTARIOS!$A$4:$A$724,ECONO!$O$10:$O$730)</f>
        <v>0</v>
      </c>
      <c r="CM47" s="258">
        <f>LOOKUP($BV47,INVENTARIOS!$A$4:$A$724,ECONO!$Z$9:$Z$729)</f>
        <v>0</v>
      </c>
      <c r="CN47" s="260">
        <f t="shared" si="36"/>
        <v>0</v>
      </c>
      <c r="CO47"/>
    </row>
    <row r="48" spans="2:93" x14ac:dyDescent="0.3">
      <c r="AC48" s="1193">
        <f t="shared" si="30"/>
        <v>60</v>
      </c>
      <c r="AD48" s="844">
        <f>LOOKUP(TP!$A48,PROD!$A$5:$A$725,PROD!$O$5:$O$725)</f>
        <v>0</v>
      </c>
      <c r="AE48" s="101">
        <f>IFERROR(LOOKUP(Linea,TP!$B$3:$DE$3,TP!B48:DE48),0)</f>
        <v>0</v>
      </c>
      <c r="AF48" s="101">
        <f t="shared" si="24"/>
        <v>0</v>
      </c>
      <c r="AG48" s="101">
        <f t="shared" si="25"/>
        <v>0</v>
      </c>
      <c r="AH48" s="845">
        <f t="shared" si="31"/>
        <v>0</v>
      </c>
      <c r="AI48" s="846">
        <f>LOOKUP(TP!$A48,PROD!$A$5:$A$725,PROD!$O$6:$O$726)</f>
        <v>0</v>
      </c>
      <c r="AJ48" s="101">
        <f>IFERROR(LOOKUP(Linea,TP!$B$3:$DE$3,TP!C48:DF48),0)</f>
        <v>0</v>
      </c>
      <c r="AK48" s="101">
        <f t="shared" si="28"/>
        <v>0</v>
      </c>
      <c r="AL48" s="101">
        <f t="shared" si="26"/>
        <v>0</v>
      </c>
      <c r="AM48" s="837">
        <f t="shared" si="32"/>
        <v>0</v>
      </c>
      <c r="AN48" s="175">
        <f>LOOKUP(TP!$A48,PROD!$A$5:$A$725,PROD!$I$11:$I$731)</f>
        <v>0</v>
      </c>
      <c r="AO48" s="171">
        <f>LOOKUP(TP!$A48,PROD!$A$5:$A$725,PROD!$K$5:$K$725)*100</f>
        <v>0</v>
      </c>
      <c r="AP48" s="110">
        <f>LOOKUP(TP!$A48,PROD!$A$5:$A$725,PROD!$K$8:$K$728)*100</f>
        <v>0</v>
      </c>
      <c r="AQ48" s="110">
        <f t="shared" si="33"/>
        <v>100</v>
      </c>
      <c r="AR48" s="109">
        <f>IFERROR(LOOKUP(Linea,TP!$B$3:$DE$3,TP!D48:DG48),0)</f>
        <v>0</v>
      </c>
      <c r="AS48" s="838">
        <f>SUMIF(PROD!$BF$5:$BF$725,GSh!$BV48,PROD!$V$5:$V$725)/1000*PROD!$A$1</f>
        <v>0</v>
      </c>
      <c r="AT48" s="627">
        <f>LOOKUP(TP!$A48,PROD!$A$5:$A$725,PROD!$AD$5:$AD$725)</f>
        <v>0</v>
      </c>
      <c r="AU48" s="101">
        <f>IFERROR(LOOKUP(Linea,TP!$B$3:$DE$3,TP!E48:DH48),0)</f>
        <v>0</v>
      </c>
      <c r="AV48" s="847">
        <f t="shared" si="34"/>
        <v>0</v>
      </c>
      <c r="AW48" s="1081">
        <f>LOOKUP($BV48,PROD!$A$5:$A$725,PROD!$AE$10:$AE$730)</f>
        <v>0</v>
      </c>
      <c r="AX48" s="1076">
        <f>LOOKUP($BV48,PROD!$A$5:$A$725,PROD!$AE$11:$AE$731)</f>
        <v>0</v>
      </c>
      <c r="AY48" s="114">
        <f>'Pr-Sem'!Z48</f>
        <v>0</v>
      </c>
      <c r="AZ48" s="101">
        <f>IFERROR(LOOKUP(Linea,TP!$B$3:$DE$3,TP!F48:DI48),0)</f>
        <v>0</v>
      </c>
      <c r="BA48" s="840">
        <f>LOOKUP(TP!$A48,PROD!$A$5:$A$725,PROD!$Q$7:$Q$727)</f>
        <v>0</v>
      </c>
      <c r="BB48" s="118">
        <f t="shared" si="37"/>
        <v>0</v>
      </c>
      <c r="BC48" s="109">
        <f t="shared" si="38"/>
        <v>0</v>
      </c>
      <c r="BD48" s="125">
        <f>LOOKUP(TP!$A48,PROD!$A$5:$A$725,PROD!$AH$7:$AH$727)</f>
        <v>0</v>
      </c>
      <c r="BE48" s="101">
        <f t="shared" si="35"/>
        <v>0</v>
      </c>
      <c r="BF48" s="850">
        <f t="shared" si="8"/>
        <v>0</v>
      </c>
      <c r="BG48" s="129">
        <f>LOOKUP(TP!$A48,PROD!$A$5:$A$725,PROD!$AH$8:$AH$728)</f>
        <v>0</v>
      </c>
      <c r="BH48" s="101">
        <f t="shared" si="39"/>
        <v>0</v>
      </c>
      <c r="BI48" s="849">
        <f t="shared" si="9"/>
        <v>0</v>
      </c>
      <c r="BJ48" s="513">
        <f>'Pr-Sem'!AC48*10</f>
        <v>0</v>
      </c>
      <c r="BK48" s="514">
        <f>IFERROR(LOOKUP(Linea,TP!$B$3:$DE$3,TP!J48:DJ48),0)</f>
        <v>0</v>
      </c>
      <c r="BL48" s="848">
        <f t="shared" si="10"/>
        <v>0</v>
      </c>
      <c r="BM48" s="137">
        <f>LOOKUP($BV48,PROD!$A$5:$A$725,PROD!$AH$5:$AH$725)*IF($BM$5="Gr X H",1,100)</f>
        <v>0</v>
      </c>
      <c r="BN48" s="138">
        <f>LOOKUP($BV48,PROD!$A$5:$A$725,PROD!$AI$5:$AI$725)*IF($BM$5="Gr X H",1,100)</f>
        <v>0</v>
      </c>
      <c r="BO48" s="849">
        <f t="shared" si="29"/>
        <v>0</v>
      </c>
      <c r="BP48" s="137">
        <f>LOOKUP(BV48,PROD!$A$5:$A$725,PROD!$AH$6:$AH$726)*IF($BM$5="Gr X H",1,100)</f>
        <v>0</v>
      </c>
      <c r="BQ48" s="138">
        <f>LOOKUP($BV48,PROD!$A$5:$A$725,PROD!$AI$6:$AI$726)*IF($BM$5="Gr X H",1,100)</f>
        <v>0</v>
      </c>
      <c r="BR48" s="849">
        <f t="shared" si="22"/>
        <v>0</v>
      </c>
      <c r="BS48" s="137">
        <f>LOOKUP(TP!$A48,PROD!$A$5:$A$725,PROD!$AH$9:$AH$729)</f>
        <v>0</v>
      </c>
      <c r="BT48" s="138">
        <f>LOOKUP(TP!$A48,PROD!$A$5:$A$725,PROD!$AI$9:$AI$729)</f>
        <v>0</v>
      </c>
      <c r="BU48" s="849">
        <f t="shared" si="11"/>
        <v>0</v>
      </c>
      <c r="BV48" s="833">
        <f t="shared" si="40"/>
        <v>60</v>
      </c>
      <c r="BW48" s="191">
        <f ca="1">LOOKUP($BV48,INVENTARIOS!$A$4:$A$718,ECONO!$T$4:$T$724)*100</f>
        <v>0</v>
      </c>
      <c r="BX48" s="606">
        <f ca="1">LOOKUP($BV48,INVENTARIOS!$A$4:$A$718,ECONO!$T$5:$T$725)*100</f>
        <v>0</v>
      </c>
      <c r="BY48" s="606">
        <f ca="1">LOOKUP($BV48,INVENTARIOS!$A$4:$A$718,ECONO!$T$6:$T$726)*100</f>
        <v>0</v>
      </c>
      <c r="BZ48" s="606">
        <f ca="1">LOOKUP($BV48,INVENTARIOS!$A$4:$A$718,ECONO!$T$7:$T$727)*100</f>
        <v>0</v>
      </c>
      <c r="CA48" s="606">
        <f ca="1">LOOKUP($BV48,INVENTARIOS!$A$4:$A$718,ECONO!$T$8:$T$728)*100</f>
        <v>0</v>
      </c>
      <c r="CB48" s="606">
        <f ca="1">LOOKUP($BV48,INVENTARIOS!$A$4:$A$718,ECONO!$T$9:$T$729)*100</f>
        <v>0</v>
      </c>
      <c r="CC48" s="606">
        <f ca="1">LOOKUP($BV48,INVENTARIOS!$A$4:$A$718,ECONO!$T$10:$T$730)*100</f>
        <v>0</v>
      </c>
      <c r="CD48" s="99">
        <f ca="1">LOOKUP($BV48,INVENTARIOS!$A$4:$A$718,ECONO!$X$8:$X$728)*100</f>
        <v>0</v>
      </c>
      <c r="CE48" s="99">
        <f ca="1">LOOKUP($BV48,INVENTARIOS!$A$4:$A$718,ECONO!$X$9:$X$729)*100</f>
        <v>0</v>
      </c>
      <c r="CF48" s="192">
        <f ca="1">LOOKUP($BV48,INVENTARIOS!$A$4:$A$718,ECONO!$X$10:$X$730)*100</f>
        <v>0</v>
      </c>
      <c r="CG48" s="195">
        <f ca="1">LOOKUP(GSh!$BV48,INVENTARIOS!$A$4:$A$718,ECONO!$X$4:$X$724)*100</f>
        <v>0</v>
      </c>
      <c r="CH48" s="98">
        <f ca="1">LOOKUP(GSh!$BV48,INVENTARIOS!$A$4:$A$718,ECONO!$X$5:$X$725)*100</f>
        <v>0</v>
      </c>
      <c r="CI48" s="98">
        <f ca="1">LOOKUP(GSh!$BV48,INVENTARIOS!$A$4:$A$718,ECONO!$X$6:$X$726)*100</f>
        <v>0</v>
      </c>
      <c r="CJ48" s="194">
        <f ca="1">LOOKUP(GSh!$BV48,INVENTARIOS!$A$4:$A$718,ECONO!$X$7:$X$727)*100</f>
        <v>0</v>
      </c>
      <c r="CK48" s="34">
        <f>IF(OR(AO48&gt;0,AT48&gt;0,AD48&gt;0),TP!A48,CK47)</f>
        <v>0</v>
      </c>
      <c r="CL48" s="257">
        <f>LOOKUP($BV48,INVENTARIOS!$A$4:$A$724,ECONO!$O$10:$O$730)</f>
        <v>0</v>
      </c>
      <c r="CM48" s="258">
        <f>LOOKUP($BV48,INVENTARIOS!$A$4:$A$724,ECONO!$Z$9:$Z$729)</f>
        <v>0</v>
      </c>
      <c r="CN48" s="260">
        <f t="shared" si="36"/>
        <v>0</v>
      </c>
      <c r="CO48"/>
    </row>
    <row r="49" spans="23:93" x14ac:dyDescent="0.3">
      <c r="AC49" s="1193">
        <f t="shared" si="30"/>
        <v>61</v>
      </c>
      <c r="AD49" s="844">
        <f>LOOKUP(TP!$A49,PROD!$A$5:$A$725,PROD!$O$5:$O$725)</f>
        <v>0</v>
      </c>
      <c r="AE49" s="101">
        <f>IFERROR(LOOKUP(Linea,TP!$B$3:$DE$3,TP!B49:DE49),0)</f>
        <v>0</v>
      </c>
      <c r="AF49" s="101">
        <f t="shared" si="24"/>
        <v>0</v>
      </c>
      <c r="AG49" s="101">
        <f t="shared" si="25"/>
        <v>0</v>
      </c>
      <c r="AH49" s="845">
        <f t="shared" si="31"/>
        <v>0</v>
      </c>
      <c r="AI49" s="846">
        <f>LOOKUP(TP!$A49,PROD!$A$5:$A$725,PROD!$O$6:$O$726)</f>
        <v>0</v>
      </c>
      <c r="AJ49" s="101">
        <f>IFERROR(LOOKUP(Linea,TP!$B$3:$DE$3,TP!C49:DF49),0)</f>
        <v>0</v>
      </c>
      <c r="AK49" s="101">
        <f t="shared" si="28"/>
        <v>0</v>
      </c>
      <c r="AL49" s="101">
        <f t="shared" si="26"/>
        <v>0</v>
      </c>
      <c r="AM49" s="837">
        <f t="shared" si="32"/>
        <v>0</v>
      </c>
      <c r="AN49" s="175">
        <f>LOOKUP(TP!$A49,PROD!$A$5:$A$725,PROD!$I$11:$I$731)</f>
        <v>0</v>
      </c>
      <c r="AO49" s="171">
        <f>LOOKUP(TP!$A49,PROD!$A$5:$A$725,PROD!$K$5:$K$725)*100</f>
        <v>0</v>
      </c>
      <c r="AP49" s="110">
        <f>LOOKUP(TP!$A49,PROD!$A$5:$A$725,PROD!$K$8:$K$728)*100</f>
        <v>0</v>
      </c>
      <c r="AQ49" s="110">
        <f t="shared" si="33"/>
        <v>100</v>
      </c>
      <c r="AR49" s="109">
        <f>IFERROR(LOOKUP(Linea,TP!$B$3:$DE$3,TP!D49:DG49),0)</f>
        <v>0</v>
      </c>
      <c r="AS49" s="838">
        <f>SUMIF(PROD!$BF$5:$BF$725,GSh!$BV49,PROD!$V$5:$V$725)/1000*PROD!$A$1</f>
        <v>0</v>
      </c>
      <c r="AT49" s="627">
        <f>LOOKUP(TP!$A49,PROD!$A$5:$A$725,PROD!$AD$5:$AD$725)</f>
        <v>0</v>
      </c>
      <c r="AU49" s="101">
        <f>IFERROR(LOOKUP(Linea,TP!$B$3:$DE$3,TP!E49:DH49),0)</f>
        <v>0</v>
      </c>
      <c r="AV49" s="847">
        <f t="shared" si="34"/>
        <v>0</v>
      </c>
      <c r="AW49" s="1081">
        <f>LOOKUP($BV49,PROD!$A$5:$A$725,PROD!$AE$10:$AE$730)</f>
        <v>0</v>
      </c>
      <c r="AX49" s="1076">
        <f>LOOKUP($BV49,PROD!$A$5:$A$725,PROD!$AE$11:$AE$731)</f>
        <v>0</v>
      </c>
      <c r="AY49" s="114">
        <f>'Pr-Sem'!Z49</f>
        <v>0</v>
      </c>
      <c r="AZ49" s="101">
        <f>IFERROR(LOOKUP(Linea,TP!$B$3:$DE$3,TP!F49:DI49),0)</f>
        <v>0</v>
      </c>
      <c r="BA49" s="840">
        <f>LOOKUP(TP!$A49,PROD!$A$5:$A$725,PROD!$Q$7:$Q$727)</f>
        <v>0</v>
      </c>
      <c r="BB49" s="118">
        <f t="shared" si="37"/>
        <v>0</v>
      </c>
      <c r="BC49" s="109">
        <f t="shared" si="38"/>
        <v>0</v>
      </c>
      <c r="BD49" s="125">
        <f>LOOKUP(TP!$A49,PROD!$A$5:$A$725,PROD!$AH$7:$AH$727)</f>
        <v>0</v>
      </c>
      <c r="BE49" s="101">
        <f t="shared" si="35"/>
        <v>0</v>
      </c>
      <c r="BF49" s="850">
        <f t="shared" si="8"/>
        <v>0</v>
      </c>
      <c r="BG49" s="129">
        <f>LOOKUP(TP!$A49,PROD!$A$5:$A$725,PROD!$AH$8:$AH$728)</f>
        <v>0</v>
      </c>
      <c r="BH49" s="101">
        <f t="shared" si="39"/>
        <v>0</v>
      </c>
      <c r="BI49" s="849">
        <f t="shared" si="9"/>
        <v>0</v>
      </c>
      <c r="BJ49" s="513">
        <f>'Pr-Sem'!AC49*10</f>
        <v>0</v>
      </c>
      <c r="BK49" s="514">
        <f>IFERROR(LOOKUP(Linea,TP!$B$3:$DE$3,TP!J49:DJ49),0)</f>
        <v>0</v>
      </c>
      <c r="BL49" s="848">
        <f t="shared" si="10"/>
        <v>0</v>
      </c>
      <c r="BM49" s="137">
        <f>LOOKUP($BV49,PROD!$A$5:$A$725,PROD!$AH$5:$AH$725)*IF($BM$5="Gr X H",1,100)</f>
        <v>0</v>
      </c>
      <c r="BN49" s="138">
        <f>LOOKUP($BV49,PROD!$A$5:$A$725,PROD!$AI$5:$AI$725)*IF($BM$5="Gr X H",1,100)</f>
        <v>0</v>
      </c>
      <c r="BO49" s="849">
        <f t="shared" si="29"/>
        <v>0</v>
      </c>
      <c r="BP49" s="137">
        <f>LOOKUP(BV49,PROD!$A$5:$A$725,PROD!$AH$6:$AH$726)*IF($BM$5="Gr X H",1,100)</f>
        <v>0</v>
      </c>
      <c r="BQ49" s="138">
        <f>LOOKUP($BV49,PROD!$A$5:$A$725,PROD!$AI$6:$AI$726)*IF($BM$5="Gr X H",1,100)</f>
        <v>0</v>
      </c>
      <c r="BR49" s="849">
        <f t="shared" si="22"/>
        <v>0</v>
      </c>
      <c r="BS49" s="137">
        <f>LOOKUP(TP!$A49,PROD!$A$5:$A$725,PROD!$AH$9:$AH$729)</f>
        <v>0</v>
      </c>
      <c r="BT49" s="138">
        <f>LOOKUP(TP!$A49,PROD!$A$5:$A$725,PROD!$AI$9:$AI$729)</f>
        <v>0</v>
      </c>
      <c r="BU49" s="849">
        <f t="shared" si="11"/>
        <v>0</v>
      </c>
      <c r="BV49" s="833">
        <f t="shared" si="40"/>
        <v>61</v>
      </c>
      <c r="BW49" s="191">
        <f ca="1">LOOKUP($BV49,INVENTARIOS!$A$4:$A$718,ECONO!$T$4:$T$724)*100</f>
        <v>0</v>
      </c>
      <c r="BX49" s="606">
        <f ca="1">LOOKUP($BV49,INVENTARIOS!$A$4:$A$718,ECONO!$T$5:$T$725)*100</f>
        <v>0</v>
      </c>
      <c r="BY49" s="606">
        <f ca="1">LOOKUP($BV49,INVENTARIOS!$A$4:$A$718,ECONO!$T$6:$T$726)*100</f>
        <v>0</v>
      </c>
      <c r="BZ49" s="606">
        <f ca="1">LOOKUP($BV49,INVENTARIOS!$A$4:$A$718,ECONO!$T$7:$T$727)*100</f>
        <v>0</v>
      </c>
      <c r="CA49" s="606">
        <f ca="1">LOOKUP($BV49,INVENTARIOS!$A$4:$A$718,ECONO!$T$8:$T$728)*100</f>
        <v>0</v>
      </c>
      <c r="CB49" s="606">
        <f ca="1">LOOKUP($BV49,INVENTARIOS!$A$4:$A$718,ECONO!$T$9:$T$729)*100</f>
        <v>0</v>
      </c>
      <c r="CC49" s="606">
        <f ca="1">LOOKUP($BV49,INVENTARIOS!$A$4:$A$718,ECONO!$T$10:$T$730)*100</f>
        <v>0</v>
      </c>
      <c r="CD49" s="99">
        <f ca="1">LOOKUP($BV49,INVENTARIOS!$A$4:$A$718,ECONO!$X$8:$X$728)*100</f>
        <v>0</v>
      </c>
      <c r="CE49" s="99">
        <f ca="1">LOOKUP($BV49,INVENTARIOS!$A$4:$A$718,ECONO!$X$9:$X$729)*100</f>
        <v>0</v>
      </c>
      <c r="CF49" s="192">
        <f ca="1">LOOKUP($BV49,INVENTARIOS!$A$4:$A$718,ECONO!$X$10:$X$730)*100</f>
        <v>0</v>
      </c>
      <c r="CG49" s="195">
        <f ca="1">LOOKUP(GSh!$BV49,INVENTARIOS!$A$4:$A$718,ECONO!$X$4:$X$724)*100</f>
        <v>0</v>
      </c>
      <c r="CH49" s="98">
        <f ca="1">LOOKUP(GSh!$BV49,INVENTARIOS!$A$4:$A$718,ECONO!$X$5:$X$725)*100</f>
        <v>0</v>
      </c>
      <c r="CI49" s="98">
        <f ca="1">LOOKUP(GSh!$BV49,INVENTARIOS!$A$4:$A$718,ECONO!$X$6:$X$726)*100</f>
        <v>0</v>
      </c>
      <c r="CJ49" s="194">
        <f ca="1">LOOKUP(GSh!$BV49,INVENTARIOS!$A$4:$A$718,ECONO!$X$7:$X$727)*100</f>
        <v>0</v>
      </c>
      <c r="CK49" s="34">
        <f>IF(OR(AO49&gt;0,AT49&gt;0,AD49&gt;0),TP!A49,CK48)</f>
        <v>0</v>
      </c>
      <c r="CL49" s="257">
        <f>LOOKUP($BV49,INVENTARIOS!$A$4:$A$724,ECONO!$O$10:$O$730)</f>
        <v>0</v>
      </c>
      <c r="CM49" s="258">
        <f>LOOKUP($BV49,INVENTARIOS!$A$4:$A$724,ECONO!$Z$9:$Z$729)</f>
        <v>0</v>
      </c>
      <c r="CN49" s="260">
        <f t="shared" si="36"/>
        <v>0</v>
      </c>
      <c r="CO49"/>
    </row>
    <row r="50" spans="23:93" x14ac:dyDescent="0.3">
      <c r="AC50" s="1193">
        <f t="shared" si="30"/>
        <v>62</v>
      </c>
      <c r="AD50" s="844">
        <f>LOOKUP(TP!$A50,PROD!$A$5:$A$725,PROD!$O$5:$O$725)</f>
        <v>0</v>
      </c>
      <c r="AE50" s="101">
        <f>IFERROR(LOOKUP(Linea,TP!$B$3:$DE$3,TP!B50:DE50),0)</f>
        <v>0</v>
      </c>
      <c r="AF50" s="101">
        <f t="shared" si="24"/>
        <v>0</v>
      </c>
      <c r="AG50" s="101">
        <f t="shared" si="25"/>
        <v>0</v>
      </c>
      <c r="AH50" s="845">
        <f t="shared" si="31"/>
        <v>0</v>
      </c>
      <c r="AI50" s="846">
        <f>LOOKUP(TP!$A50,PROD!$A$5:$A$725,PROD!$O$6:$O$726)</f>
        <v>0</v>
      </c>
      <c r="AJ50" s="101">
        <f>IFERROR(LOOKUP(Linea,TP!$B$3:$DE$3,TP!C50:DF50),0)</f>
        <v>0</v>
      </c>
      <c r="AK50" s="101">
        <f t="shared" si="28"/>
        <v>0</v>
      </c>
      <c r="AL50" s="101">
        <f t="shared" si="26"/>
        <v>0</v>
      </c>
      <c r="AM50" s="837">
        <f t="shared" si="32"/>
        <v>0</v>
      </c>
      <c r="AN50" s="175">
        <f>LOOKUP(TP!$A50,PROD!$A$5:$A$725,PROD!$I$11:$I$731)</f>
        <v>0</v>
      </c>
      <c r="AO50" s="171">
        <f>LOOKUP(TP!$A50,PROD!$A$5:$A$725,PROD!$K$5:$K$725)*100</f>
        <v>0</v>
      </c>
      <c r="AP50" s="110">
        <f>LOOKUP(TP!$A50,PROD!$A$5:$A$725,PROD!$K$8:$K$728)*100</f>
        <v>0</v>
      </c>
      <c r="AQ50" s="110">
        <f t="shared" si="33"/>
        <v>100</v>
      </c>
      <c r="AR50" s="109">
        <f>IFERROR(LOOKUP(Linea,TP!$B$3:$DE$3,TP!D50:DG50),0)</f>
        <v>0</v>
      </c>
      <c r="AS50" s="838">
        <f>SUMIF(PROD!$BF$5:$BF$725,GSh!$BV50,PROD!$V$5:$V$725)/1000*PROD!$A$1</f>
        <v>0</v>
      </c>
      <c r="AT50" s="627">
        <f>LOOKUP(TP!$A50,PROD!$A$5:$A$725,PROD!$AD$5:$AD$725)</f>
        <v>0</v>
      </c>
      <c r="AU50" s="101">
        <f>IFERROR(LOOKUP(Linea,TP!$B$3:$DE$3,TP!E50:DH50),0)</f>
        <v>0</v>
      </c>
      <c r="AV50" s="847">
        <f t="shared" si="34"/>
        <v>0</v>
      </c>
      <c r="AW50" s="1081">
        <f>LOOKUP($BV50,PROD!$A$5:$A$725,PROD!$AE$10:$AE$730)</f>
        <v>0</v>
      </c>
      <c r="AX50" s="1076">
        <f>LOOKUP($BV50,PROD!$A$5:$A$725,PROD!$AE$11:$AE$731)</f>
        <v>0</v>
      </c>
      <c r="AY50" s="114">
        <f>'Pr-Sem'!Z50</f>
        <v>0</v>
      </c>
      <c r="AZ50" s="101">
        <f>IFERROR(LOOKUP(Linea,TP!$B$3:$DE$3,TP!F50:DI50),0)</f>
        <v>0</v>
      </c>
      <c r="BA50" s="840">
        <f>LOOKUP(TP!$A50,PROD!$A$5:$A$725,PROD!$Q$7:$Q$727)</f>
        <v>0</v>
      </c>
      <c r="BB50" s="118">
        <f t="shared" si="37"/>
        <v>0</v>
      </c>
      <c r="BC50" s="109">
        <f t="shared" si="38"/>
        <v>0</v>
      </c>
      <c r="BD50" s="125">
        <f>LOOKUP(TP!$A50,PROD!$A$5:$A$725,PROD!$AH$7:$AH$727)</f>
        <v>0</v>
      </c>
      <c r="BE50" s="101">
        <f t="shared" si="35"/>
        <v>0</v>
      </c>
      <c r="BF50" s="850">
        <f t="shared" si="8"/>
        <v>0</v>
      </c>
      <c r="BG50" s="129">
        <f>LOOKUP(TP!$A50,PROD!$A$5:$A$725,PROD!$AH$8:$AH$728)</f>
        <v>0</v>
      </c>
      <c r="BH50" s="101">
        <f t="shared" si="39"/>
        <v>0</v>
      </c>
      <c r="BI50" s="849">
        <f t="shared" si="9"/>
        <v>0</v>
      </c>
      <c r="BJ50" s="513">
        <f>'Pr-Sem'!AC50*10</f>
        <v>0</v>
      </c>
      <c r="BK50" s="514">
        <f>IFERROR(LOOKUP(Linea,TP!$B$3:$DE$3,TP!J50:DJ50),0)</f>
        <v>0</v>
      </c>
      <c r="BL50" s="848">
        <f t="shared" si="10"/>
        <v>0</v>
      </c>
      <c r="BM50" s="137">
        <f>LOOKUP($BV50,PROD!$A$5:$A$725,PROD!$AH$5:$AH$725)*IF($BM$5="Gr X H",1,100)</f>
        <v>0</v>
      </c>
      <c r="BN50" s="138">
        <f>LOOKUP($BV50,PROD!$A$5:$A$725,PROD!$AI$5:$AI$725)*IF($BM$5="Gr X H",1,100)</f>
        <v>0</v>
      </c>
      <c r="BO50" s="849">
        <f t="shared" si="29"/>
        <v>0</v>
      </c>
      <c r="BP50" s="137">
        <f>LOOKUP(BV50,PROD!$A$5:$A$725,PROD!$AH$6:$AH$726)*IF($BM$5="Gr X H",1,100)</f>
        <v>0</v>
      </c>
      <c r="BQ50" s="138">
        <f>LOOKUP($BV50,PROD!$A$5:$A$725,PROD!$AI$6:$AI$726)*IF($BM$5="Gr X H",1,100)</f>
        <v>0</v>
      </c>
      <c r="BR50" s="849">
        <f t="shared" si="22"/>
        <v>0</v>
      </c>
      <c r="BS50" s="137">
        <f>LOOKUP(TP!$A50,PROD!$A$5:$A$725,PROD!$AH$9:$AH$729)</f>
        <v>0</v>
      </c>
      <c r="BT50" s="138">
        <f>LOOKUP(TP!$A50,PROD!$A$5:$A$725,PROD!$AI$9:$AI$729)</f>
        <v>0</v>
      </c>
      <c r="BU50" s="849">
        <f t="shared" si="11"/>
        <v>0</v>
      </c>
      <c r="BV50" s="833">
        <f t="shared" si="40"/>
        <v>62</v>
      </c>
      <c r="BW50" s="191">
        <f ca="1">LOOKUP($BV50,INVENTARIOS!$A$4:$A$718,ECONO!$T$4:$T$724)*100</f>
        <v>0</v>
      </c>
      <c r="BX50" s="606">
        <f ca="1">LOOKUP($BV50,INVENTARIOS!$A$4:$A$718,ECONO!$T$5:$T$725)*100</f>
        <v>0</v>
      </c>
      <c r="BY50" s="606">
        <f ca="1">LOOKUP($BV50,INVENTARIOS!$A$4:$A$718,ECONO!$T$6:$T$726)*100</f>
        <v>0</v>
      </c>
      <c r="BZ50" s="606">
        <f ca="1">LOOKUP($BV50,INVENTARIOS!$A$4:$A$718,ECONO!$T$7:$T$727)*100</f>
        <v>0</v>
      </c>
      <c r="CA50" s="606">
        <f ca="1">LOOKUP($BV50,INVENTARIOS!$A$4:$A$718,ECONO!$T$8:$T$728)*100</f>
        <v>0</v>
      </c>
      <c r="CB50" s="606">
        <f ca="1">LOOKUP($BV50,INVENTARIOS!$A$4:$A$718,ECONO!$T$9:$T$729)*100</f>
        <v>0</v>
      </c>
      <c r="CC50" s="606">
        <f ca="1">LOOKUP($BV50,INVENTARIOS!$A$4:$A$718,ECONO!$T$10:$T$730)*100</f>
        <v>0</v>
      </c>
      <c r="CD50" s="99">
        <f ca="1">LOOKUP($BV50,INVENTARIOS!$A$4:$A$718,ECONO!$X$8:$X$728)*100</f>
        <v>0</v>
      </c>
      <c r="CE50" s="99">
        <f ca="1">LOOKUP($BV50,INVENTARIOS!$A$4:$A$718,ECONO!$X$9:$X$729)*100</f>
        <v>0</v>
      </c>
      <c r="CF50" s="192">
        <f ca="1">LOOKUP($BV50,INVENTARIOS!$A$4:$A$718,ECONO!$X$10:$X$730)*100</f>
        <v>0</v>
      </c>
      <c r="CG50" s="195">
        <f ca="1">LOOKUP(GSh!$BV50,INVENTARIOS!$A$4:$A$718,ECONO!$X$4:$X$724)*100</f>
        <v>0</v>
      </c>
      <c r="CH50" s="98">
        <f ca="1">LOOKUP(GSh!$BV50,INVENTARIOS!$A$4:$A$718,ECONO!$X$5:$X$725)*100</f>
        <v>0</v>
      </c>
      <c r="CI50" s="98">
        <f ca="1">LOOKUP(GSh!$BV50,INVENTARIOS!$A$4:$A$718,ECONO!$X$6:$X$726)*100</f>
        <v>0</v>
      </c>
      <c r="CJ50" s="194">
        <f ca="1">LOOKUP(GSh!$BV50,INVENTARIOS!$A$4:$A$718,ECONO!$X$7:$X$727)*100</f>
        <v>0</v>
      </c>
      <c r="CK50" s="34">
        <f>IF(OR(AO50&gt;0,AT50&gt;0,AD50&gt;0),TP!A50,CK49)</f>
        <v>0</v>
      </c>
      <c r="CL50" s="257">
        <f>LOOKUP($BV50,INVENTARIOS!$A$4:$A$724,ECONO!$O$10:$O$730)</f>
        <v>0</v>
      </c>
      <c r="CM50" s="258">
        <f>LOOKUP($BV50,INVENTARIOS!$A$4:$A$724,ECONO!$Z$9:$Z$729)</f>
        <v>0</v>
      </c>
      <c r="CN50" s="260">
        <f t="shared" si="36"/>
        <v>0</v>
      </c>
      <c r="CO50"/>
    </row>
    <row r="51" spans="23:93" x14ac:dyDescent="0.3">
      <c r="AC51" s="1193">
        <f t="shared" si="30"/>
        <v>63</v>
      </c>
      <c r="AD51" s="844">
        <f>LOOKUP(TP!$A51,PROD!$A$5:$A$725,PROD!$O$5:$O$725)</f>
        <v>0</v>
      </c>
      <c r="AE51" s="101">
        <f>IFERROR(LOOKUP(Linea,TP!$B$3:$DE$3,TP!B51:DE51),0)</f>
        <v>0</v>
      </c>
      <c r="AF51" s="101">
        <f t="shared" si="24"/>
        <v>0</v>
      </c>
      <c r="AG51" s="101">
        <f t="shared" si="25"/>
        <v>0</v>
      </c>
      <c r="AH51" s="845">
        <f t="shared" si="31"/>
        <v>0</v>
      </c>
      <c r="AI51" s="846">
        <f>LOOKUP(TP!$A51,PROD!$A$5:$A$725,PROD!$O$6:$O$726)</f>
        <v>0</v>
      </c>
      <c r="AJ51" s="101">
        <f>IFERROR(LOOKUP(Linea,TP!$B$3:$DE$3,TP!C51:DF51),0)</f>
        <v>0</v>
      </c>
      <c r="AK51" s="101">
        <f t="shared" si="28"/>
        <v>0</v>
      </c>
      <c r="AL51" s="101">
        <f t="shared" si="26"/>
        <v>0</v>
      </c>
      <c r="AM51" s="837">
        <f t="shared" si="32"/>
        <v>0</v>
      </c>
      <c r="AN51" s="175">
        <f>LOOKUP(TP!$A51,PROD!$A$5:$A$725,PROD!$I$11:$I$731)</f>
        <v>0</v>
      </c>
      <c r="AO51" s="171">
        <f>LOOKUP(TP!$A51,PROD!$A$5:$A$725,PROD!$K$5:$K$725)*100</f>
        <v>0</v>
      </c>
      <c r="AP51" s="110">
        <f>LOOKUP(TP!$A51,PROD!$A$5:$A$725,PROD!$K$8:$K$728)*100</f>
        <v>0</v>
      </c>
      <c r="AQ51" s="110">
        <f t="shared" si="33"/>
        <v>100</v>
      </c>
      <c r="AR51" s="109">
        <f>IFERROR(LOOKUP(Linea,TP!$B$3:$DE$3,TP!D51:DG51),0)</f>
        <v>0</v>
      </c>
      <c r="AS51" s="838">
        <f>SUMIF(PROD!$BF$5:$BF$725,GSh!$BV51,PROD!$V$5:$V$725)/1000*PROD!$A$1</f>
        <v>0</v>
      </c>
      <c r="AT51" s="627">
        <f>LOOKUP(TP!$A51,PROD!$A$5:$A$725,PROD!$AD$5:$AD$725)</f>
        <v>0</v>
      </c>
      <c r="AU51" s="101">
        <f>IFERROR(LOOKUP(Linea,TP!$B$3:$DE$3,TP!E51:DH51),0)</f>
        <v>0</v>
      </c>
      <c r="AV51" s="847">
        <f t="shared" si="34"/>
        <v>0</v>
      </c>
      <c r="AW51" s="1081">
        <f>LOOKUP($BV51,PROD!$A$5:$A$725,PROD!$AE$10:$AE$730)</f>
        <v>0</v>
      </c>
      <c r="AX51" s="1076">
        <f>LOOKUP($BV51,PROD!$A$5:$A$725,PROD!$AE$11:$AE$731)</f>
        <v>0</v>
      </c>
      <c r="AY51" s="114">
        <f>'Pr-Sem'!Z51</f>
        <v>0</v>
      </c>
      <c r="AZ51" s="101">
        <f>IFERROR(LOOKUP(Linea,TP!$B$3:$DE$3,TP!F51:DI51),0)</f>
        <v>0</v>
      </c>
      <c r="BA51" s="840">
        <f>LOOKUP(TP!$A51,PROD!$A$5:$A$725,PROD!$Q$7:$Q$727)</f>
        <v>0</v>
      </c>
      <c r="BB51" s="118">
        <f t="shared" si="37"/>
        <v>0</v>
      </c>
      <c r="BC51" s="109">
        <f t="shared" si="38"/>
        <v>0</v>
      </c>
      <c r="BD51" s="125">
        <f>LOOKUP(TP!$A51,PROD!$A$5:$A$725,PROD!$AH$7:$AH$727)</f>
        <v>0</v>
      </c>
      <c r="BE51" s="101">
        <f t="shared" si="35"/>
        <v>0</v>
      </c>
      <c r="BF51" s="850">
        <f t="shared" si="8"/>
        <v>0</v>
      </c>
      <c r="BG51" s="129">
        <f>LOOKUP(TP!$A51,PROD!$A$5:$A$725,PROD!$AH$8:$AH$728)</f>
        <v>0</v>
      </c>
      <c r="BH51" s="101">
        <f t="shared" si="39"/>
        <v>0</v>
      </c>
      <c r="BI51" s="849">
        <f t="shared" si="9"/>
        <v>0</v>
      </c>
      <c r="BJ51" s="513">
        <f>'Pr-Sem'!AC51*10</f>
        <v>0</v>
      </c>
      <c r="BK51" s="514">
        <f>IFERROR(LOOKUP(Linea,TP!$B$3:$DE$3,TP!J51:DJ51),0)</f>
        <v>0</v>
      </c>
      <c r="BL51" s="848">
        <f t="shared" si="10"/>
        <v>0</v>
      </c>
      <c r="BM51" s="137">
        <f>LOOKUP($BV51,PROD!$A$5:$A$725,PROD!$AH$5:$AH$725)*IF($BM$5="Gr X H",1,100)</f>
        <v>0</v>
      </c>
      <c r="BN51" s="138">
        <f>LOOKUP($BV51,PROD!$A$5:$A$725,PROD!$AI$5:$AI$725)*IF($BM$5="Gr X H",1,100)</f>
        <v>0</v>
      </c>
      <c r="BO51" s="849">
        <f t="shared" si="29"/>
        <v>0</v>
      </c>
      <c r="BP51" s="137">
        <f>LOOKUP(BV51,PROD!$A$5:$A$725,PROD!$AH$6:$AH$726)*IF($BM$5="Gr X H",1,100)</f>
        <v>0</v>
      </c>
      <c r="BQ51" s="138">
        <f>LOOKUP($BV51,PROD!$A$5:$A$725,PROD!$AI$6:$AI$726)*IF($BM$5="Gr X H",1,100)</f>
        <v>0</v>
      </c>
      <c r="BR51" s="849">
        <f t="shared" si="22"/>
        <v>0</v>
      </c>
      <c r="BS51" s="137">
        <f>LOOKUP(TP!$A51,PROD!$A$5:$A$725,PROD!$AH$9:$AH$729)</f>
        <v>0</v>
      </c>
      <c r="BT51" s="138">
        <f>LOOKUP(TP!$A51,PROD!$A$5:$A$725,PROD!$AI$9:$AI$729)</f>
        <v>0</v>
      </c>
      <c r="BU51" s="849">
        <f t="shared" si="11"/>
        <v>0</v>
      </c>
      <c r="BV51" s="833">
        <f t="shared" si="40"/>
        <v>63</v>
      </c>
      <c r="BW51" s="191">
        <f ca="1">LOOKUP($BV51,INVENTARIOS!$A$4:$A$718,ECONO!$T$4:$T$724)*100</f>
        <v>0</v>
      </c>
      <c r="BX51" s="606">
        <f ca="1">LOOKUP($BV51,INVENTARIOS!$A$4:$A$718,ECONO!$T$5:$T$725)*100</f>
        <v>0</v>
      </c>
      <c r="BY51" s="606">
        <f ca="1">LOOKUP($BV51,INVENTARIOS!$A$4:$A$718,ECONO!$T$6:$T$726)*100</f>
        <v>0</v>
      </c>
      <c r="BZ51" s="606">
        <f ca="1">LOOKUP($BV51,INVENTARIOS!$A$4:$A$718,ECONO!$T$7:$T$727)*100</f>
        <v>0</v>
      </c>
      <c r="CA51" s="606">
        <f ca="1">LOOKUP($BV51,INVENTARIOS!$A$4:$A$718,ECONO!$T$8:$T$728)*100</f>
        <v>0</v>
      </c>
      <c r="CB51" s="606">
        <f ca="1">LOOKUP($BV51,INVENTARIOS!$A$4:$A$718,ECONO!$T$9:$T$729)*100</f>
        <v>0</v>
      </c>
      <c r="CC51" s="606">
        <f ca="1">LOOKUP($BV51,INVENTARIOS!$A$4:$A$718,ECONO!$T$10:$T$730)*100</f>
        <v>0</v>
      </c>
      <c r="CD51" s="99">
        <f ca="1">LOOKUP($BV51,INVENTARIOS!$A$4:$A$718,ECONO!$X$8:$X$728)*100</f>
        <v>0</v>
      </c>
      <c r="CE51" s="99">
        <f ca="1">LOOKUP($BV51,INVENTARIOS!$A$4:$A$718,ECONO!$X$9:$X$729)*100</f>
        <v>0</v>
      </c>
      <c r="CF51" s="192">
        <f ca="1">LOOKUP($BV51,INVENTARIOS!$A$4:$A$718,ECONO!$X$10:$X$730)*100</f>
        <v>0</v>
      </c>
      <c r="CG51" s="195">
        <f ca="1">LOOKUP(GSh!$BV51,INVENTARIOS!$A$4:$A$718,ECONO!$X$4:$X$724)*100</f>
        <v>0</v>
      </c>
      <c r="CH51" s="98">
        <f ca="1">LOOKUP(GSh!$BV51,INVENTARIOS!$A$4:$A$718,ECONO!$X$5:$X$725)*100</f>
        <v>0</v>
      </c>
      <c r="CI51" s="98">
        <f ca="1">LOOKUP(GSh!$BV51,INVENTARIOS!$A$4:$A$718,ECONO!$X$6:$X$726)*100</f>
        <v>0</v>
      </c>
      <c r="CJ51" s="194">
        <f ca="1">LOOKUP(GSh!$BV51,INVENTARIOS!$A$4:$A$718,ECONO!$X$7:$X$727)*100</f>
        <v>0</v>
      </c>
      <c r="CK51" s="34">
        <f>IF(OR(AO51&gt;0,AT51&gt;0,AD51&gt;0),TP!A51,CK50)</f>
        <v>0</v>
      </c>
      <c r="CL51" s="257">
        <f>LOOKUP($BV51,INVENTARIOS!$A$4:$A$724,ECONO!$O$10:$O$730)</f>
        <v>0</v>
      </c>
      <c r="CM51" s="258">
        <f>LOOKUP($BV51,INVENTARIOS!$A$4:$A$724,ECONO!$Z$9:$Z$729)</f>
        <v>0</v>
      </c>
      <c r="CN51" s="260">
        <f t="shared" si="36"/>
        <v>0</v>
      </c>
      <c r="CO51"/>
    </row>
    <row r="52" spans="23:93" x14ac:dyDescent="0.3">
      <c r="AC52" s="1193">
        <f t="shared" si="30"/>
        <v>64</v>
      </c>
      <c r="AD52" s="844">
        <f>LOOKUP(TP!$A52,PROD!$A$5:$A$725,PROD!$O$5:$O$725)</f>
        <v>0</v>
      </c>
      <c r="AE52" s="101">
        <f>IFERROR(LOOKUP(Linea,TP!$B$3:$DE$3,TP!B52:DE52),0)</f>
        <v>0</v>
      </c>
      <c r="AF52" s="101">
        <f t="shared" si="24"/>
        <v>0</v>
      </c>
      <c r="AG52" s="101">
        <f t="shared" si="25"/>
        <v>0</v>
      </c>
      <c r="AH52" s="845">
        <f t="shared" si="31"/>
        <v>0</v>
      </c>
      <c r="AI52" s="846">
        <f>LOOKUP(TP!$A52,PROD!$A$5:$A$725,PROD!$O$6:$O$726)</f>
        <v>0</v>
      </c>
      <c r="AJ52" s="101">
        <f>IFERROR(LOOKUP(Linea,TP!$B$3:$DE$3,TP!C52:DF52),0)</f>
        <v>0</v>
      </c>
      <c r="AK52" s="101">
        <f t="shared" si="28"/>
        <v>0</v>
      </c>
      <c r="AL52" s="101">
        <f t="shared" si="26"/>
        <v>0</v>
      </c>
      <c r="AM52" s="837">
        <f t="shared" si="32"/>
        <v>0</v>
      </c>
      <c r="AN52" s="175">
        <f>LOOKUP(TP!$A52,PROD!$A$5:$A$725,PROD!$I$11:$I$731)</f>
        <v>0</v>
      </c>
      <c r="AO52" s="171">
        <f>LOOKUP(TP!$A52,PROD!$A$5:$A$725,PROD!$K$5:$K$725)*100</f>
        <v>0</v>
      </c>
      <c r="AP52" s="110">
        <f>LOOKUP(TP!$A52,PROD!$A$5:$A$725,PROD!$K$8:$K$728)*100</f>
        <v>0</v>
      </c>
      <c r="AQ52" s="110">
        <f t="shared" si="33"/>
        <v>100</v>
      </c>
      <c r="AR52" s="109">
        <f>IFERROR(LOOKUP(Linea,TP!$B$3:$DE$3,TP!D52:DG52),0)</f>
        <v>0</v>
      </c>
      <c r="AS52" s="838">
        <f>SUMIF(PROD!$BF$5:$BF$725,GSh!$BV52,PROD!$V$5:$V$725)/1000*PROD!$A$1</f>
        <v>0</v>
      </c>
      <c r="AT52" s="627">
        <f>LOOKUP(TP!$A52,PROD!$A$5:$A$725,PROD!$AD$5:$AD$725)</f>
        <v>0</v>
      </c>
      <c r="AU52" s="101">
        <f>IFERROR(LOOKUP(Linea,TP!$B$3:$DE$3,TP!E52:DH52),0)</f>
        <v>0</v>
      </c>
      <c r="AV52" s="847">
        <f t="shared" si="34"/>
        <v>0</v>
      </c>
      <c r="AW52" s="1081">
        <f>LOOKUP($BV52,PROD!$A$5:$A$725,PROD!$AE$10:$AE$730)</f>
        <v>0</v>
      </c>
      <c r="AX52" s="1076">
        <f>LOOKUP($BV52,PROD!$A$5:$A$725,PROD!$AE$11:$AE$731)</f>
        <v>0</v>
      </c>
      <c r="AY52" s="114">
        <f>'Pr-Sem'!Z52</f>
        <v>0</v>
      </c>
      <c r="AZ52" s="101">
        <f>IFERROR(LOOKUP(Linea,TP!$B$3:$DE$3,TP!F52:DI52),0)</f>
        <v>0</v>
      </c>
      <c r="BA52" s="840">
        <f>LOOKUP(TP!$A52,PROD!$A$5:$A$725,PROD!$Q$7:$Q$727)</f>
        <v>0</v>
      </c>
      <c r="BB52" s="118">
        <f t="shared" si="37"/>
        <v>0</v>
      </c>
      <c r="BC52" s="109">
        <f t="shared" si="38"/>
        <v>0</v>
      </c>
      <c r="BD52" s="125">
        <f>LOOKUP(TP!$A52,PROD!$A$5:$A$725,PROD!$AH$7:$AH$727)</f>
        <v>0</v>
      </c>
      <c r="BE52" s="101">
        <f t="shared" si="35"/>
        <v>0</v>
      </c>
      <c r="BF52" s="850">
        <f t="shared" si="8"/>
        <v>0</v>
      </c>
      <c r="BG52" s="129">
        <f>LOOKUP(TP!$A52,PROD!$A$5:$A$725,PROD!$AH$8:$AH$728)</f>
        <v>0</v>
      </c>
      <c r="BH52" s="101">
        <f t="shared" si="39"/>
        <v>0</v>
      </c>
      <c r="BI52" s="849">
        <f t="shared" si="9"/>
        <v>0</v>
      </c>
      <c r="BJ52" s="513">
        <f>'Pr-Sem'!AC52*10</f>
        <v>0</v>
      </c>
      <c r="BK52" s="514">
        <f>IFERROR(LOOKUP(Linea,TP!$B$3:$DE$3,TP!J52:DJ52),0)</f>
        <v>0</v>
      </c>
      <c r="BL52" s="848">
        <f t="shared" si="10"/>
        <v>0</v>
      </c>
      <c r="BM52" s="137">
        <f>LOOKUP($BV52,PROD!$A$5:$A$725,PROD!$AH$5:$AH$725)*IF($BM$5="Gr X H",1,100)</f>
        <v>0</v>
      </c>
      <c r="BN52" s="138">
        <f>LOOKUP($BV52,PROD!$A$5:$A$725,PROD!$AI$5:$AI$725)*IF($BM$5="Gr X H",1,100)</f>
        <v>0</v>
      </c>
      <c r="BO52" s="849">
        <f t="shared" si="29"/>
        <v>0</v>
      </c>
      <c r="BP52" s="137">
        <f>LOOKUP(BV52,PROD!$A$5:$A$725,PROD!$AH$6:$AH$726)*IF($BM$5="Gr X H",1,100)</f>
        <v>0</v>
      </c>
      <c r="BQ52" s="138">
        <f>LOOKUP($BV52,PROD!$A$5:$A$725,PROD!$AI$6:$AI$726)*IF($BM$5="Gr X H",1,100)</f>
        <v>0</v>
      </c>
      <c r="BR52" s="849">
        <f t="shared" si="22"/>
        <v>0</v>
      </c>
      <c r="BS52" s="137">
        <f>LOOKUP(TP!$A52,PROD!$A$5:$A$725,PROD!$AH$9:$AH$729)</f>
        <v>0</v>
      </c>
      <c r="BT52" s="138">
        <f>LOOKUP(TP!$A52,PROD!$A$5:$A$725,PROD!$AI$9:$AI$729)</f>
        <v>0</v>
      </c>
      <c r="BU52" s="849">
        <f t="shared" si="11"/>
        <v>0</v>
      </c>
      <c r="BV52" s="833">
        <f t="shared" si="40"/>
        <v>64</v>
      </c>
      <c r="BW52" s="191">
        <f ca="1">LOOKUP($BV52,INVENTARIOS!$A$4:$A$718,ECONO!$T$4:$T$724)*100</f>
        <v>0</v>
      </c>
      <c r="BX52" s="606">
        <f ca="1">LOOKUP($BV52,INVENTARIOS!$A$4:$A$718,ECONO!$T$5:$T$725)*100</f>
        <v>0</v>
      </c>
      <c r="BY52" s="606">
        <f ca="1">LOOKUP($BV52,INVENTARIOS!$A$4:$A$718,ECONO!$T$6:$T$726)*100</f>
        <v>0</v>
      </c>
      <c r="BZ52" s="606">
        <f ca="1">LOOKUP($BV52,INVENTARIOS!$A$4:$A$718,ECONO!$T$7:$T$727)*100</f>
        <v>0</v>
      </c>
      <c r="CA52" s="606">
        <f ca="1">LOOKUP($BV52,INVENTARIOS!$A$4:$A$718,ECONO!$T$8:$T$728)*100</f>
        <v>0</v>
      </c>
      <c r="CB52" s="606">
        <f ca="1">LOOKUP($BV52,INVENTARIOS!$A$4:$A$718,ECONO!$T$9:$T$729)*100</f>
        <v>0</v>
      </c>
      <c r="CC52" s="606">
        <f ca="1">LOOKUP($BV52,INVENTARIOS!$A$4:$A$718,ECONO!$T$10:$T$730)*100</f>
        <v>0</v>
      </c>
      <c r="CD52" s="99">
        <f ca="1">LOOKUP($BV52,INVENTARIOS!$A$4:$A$718,ECONO!$X$8:$X$728)*100</f>
        <v>0</v>
      </c>
      <c r="CE52" s="99">
        <f ca="1">LOOKUP($BV52,INVENTARIOS!$A$4:$A$718,ECONO!$X$9:$X$729)*100</f>
        <v>0</v>
      </c>
      <c r="CF52" s="192">
        <f ca="1">LOOKUP($BV52,INVENTARIOS!$A$4:$A$718,ECONO!$X$10:$X$730)*100</f>
        <v>0</v>
      </c>
      <c r="CG52" s="195">
        <f ca="1">LOOKUP(GSh!$BV52,INVENTARIOS!$A$4:$A$718,ECONO!$X$4:$X$724)*100</f>
        <v>0</v>
      </c>
      <c r="CH52" s="98">
        <f ca="1">LOOKUP(GSh!$BV52,INVENTARIOS!$A$4:$A$718,ECONO!$X$5:$X$725)*100</f>
        <v>0</v>
      </c>
      <c r="CI52" s="98">
        <f ca="1">LOOKUP(GSh!$BV52,INVENTARIOS!$A$4:$A$718,ECONO!$X$6:$X$726)*100</f>
        <v>0</v>
      </c>
      <c r="CJ52" s="194">
        <f ca="1">LOOKUP(GSh!$BV52,INVENTARIOS!$A$4:$A$718,ECONO!$X$7:$X$727)*100</f>
        <v>0</v>
      </c>
      <c r="CK52" s="34">
        <f>IF(OR(AO52&gt;0,AT52&gt;0,AD52&gt;0),TP!A52,CK51)</f>
        <v>0</v>
      </c>
      <c r="CL52" s="257">
        <f>LOOKUP($BV52,INVENTARIOS!$A$4:$A$724,ECONO!$O$10:$O$730)</f>
        <v>0</v>
      </c>
      <c r="CM52" s="258">
        <f>LOOKUP($BV52,INVENTARIOS!$A$4:$A$724,ECONO!$Z$9:$Z$729)</f>
        <v>0</v>
      </c>
      <c r="CN52" s="260">
        <f t="shared" si="36"/>
        <v>0</v>
      </c>
      <c r="CO52"/>
    </row>
    <row r="53" spans="23:93" x14ac:dyDescent="0.3">
      <c r="AC53" s="1193">
        <f t="shared" si="30"/>
        <v>65</v>
      </c>
      <c r="AD53" s="844">
        <f>LOOKUP(TP!$A53,PROD!$A$5:$A$725,PROD!$O$5:$O$725)</f>
        <v>0</v>
      </c>
      <c r="AE53" s="101">
        <f>IFERROR(LOOKUP(Linea,TP!$B$3:$DE$3,TP!B53:DE53),0)</f>
        <v>0</v>
      </c>
      <c r="AF53" s="101">
        <f t="shared" si="24"/>
        <v>0</v>
      </c>
      <c r="AG53" s="101">
        <f t="shared" si="25"/>
        <v>0</v>
      </c>
      <c r="AH53" s="845">
        <f t="shared" si="31"/>
        <v>0</v>
      </c>
      <c r="AI53" s="846">
        <f>LOOKUP(TP!$A53,PROD!$A$5:$A$725,PROD!$O$6:$O$726)</f>
        <v>0</v>
      </c>
      <c r="AJ53" s="101">
        <f>IFERROR(LOOKUP(Linea,TP!$B$3:$DE$3,TP!C53:DF53),0)</f>
        <v>0</v>
      </c>
      <c r="AK53" s="101">
        <f t="shared" si="28"/>
        <v>0</v>
      </c>
      <c r="AL53" s="101">
        <f t="shared" si="26"/>
        <v>0</v>
      </c>
      <c r="AM53" s="837">
        <f t="shared" si="32"/>
        <v>0</v>
      </c>
      <c r="AN53" s="175">
        <f>LOOKUP(TP!$A53,PROD!$A$5:$A$725,PROD!$I$11:$I$731)</f>
        <v>0</v>
      </c>
      <c r="AO53" s="171">
        <f>LOOKUP(TP!$A53,PROD!$A$5:$A$725,PROD!$K$5:$K$725)*100</f>
        <v>0</v>
      </c>
      <c r="AP53" s="110">
        <f>LOOKUP(TP!$A53,PROD!$A$5:$A$725,PROD!$K$8:$K$728)*100</f>
        <v>0</v>
      </c>
      <c r="AQ53" s="110">
        <f t="shared" si="33"/>
        <v>100</v>
      </c>
      <c r="AR53" s="109">
        <f>IFERROR(LOOKUP(Linea,TP!$B$3:$DE$3,TP!D53:DG53),0)</f>
        <v>0</v>
      </c>
      <c r="AS53" s="838">
        <f>SUMIF(PROD!$BF$5:$BF$725,GSh!$BV53,PROD!$V$5:$V$725)/1000*PROD!$A$1</f>
        <v>0</v>
      </c>
      <c r="AT53" s="627">
        <f>LOOKUP(TP!$A53,PROD!$A$5:$A$725,PROD!$AD$5:$AD$725)</f>
        <v>0</v>
      </c>
      <c r="AU53" s="101">
        <f>IFERROR(LOOKUP(Linea,TP!$B$3:$DE$3,TP!E53:DH53),0)</f>
        <v>0</v>
      </c>
      <c r="AV53" s="847">
        <f t="shared" si="34"/>
        <v>0</v>
      </c>
      <c r="AW53" s="1081">
        <f>LOOKUP($BV53,PROD!$A$5:$A$725,PROD!$AE$10:$AE$730)</f>
        <v>0</v>
      </c>
      <c r="AX53" s="1076">
        <f>LOOKUP($BV53,PROD!$A$5:$A$725,PROD!$AE$11:$AE$731)</f>
        <v>0</v>
      </c>
      <c r="AY53" s="114">
        <f>'Pr-Sem'!Z53</f>
        <v>0</v>
      </c>
      <c r="AZ53" s="101">
        <f>IFERROR(LOOKUP(Linea,TP!$B$3:$DE$3,TP!F53:DI53),0)</f>
        <v>0</v>
      </c>
      <c r="BA53" s="840">
        <f>LOOKUP(TP!$A53,PROD!$A$5:$A$725,PROD!$Q$7:$Q$727)</f>
        <v>0</v>
      </c>
      <c r="BB53" s="118">
        <f t="shared" si="37"/>
        <v>0</v>
      </c>
      <c r="BC53" s="109">
        <f t="shared" si="38"/>
        <v>0</v>
      </c>
      <c r="BD53" s="125">
        <f>LOOKUP(TP!$A53,PROD!$A$5:$A$725,PROD!$AH$7:$AH$727)</f>
        <v>0</v>
      </c>
      <c r="BE53" s="101">
        <f t="shared" si="35"/>
        <v>0</v>
      </c>
      <c r="BF53" s="850">
        <f t="shared" si="8"/>
        <v>0</v>
      </c>
      <c r="BG53" s="129">
        <f>LOOKUP(TP!$A53,PROD!$A$5:$A$725,PROD!$AH$8:$AH$728)</f>
        <v>0</v>
      </c>
      <c r="BH53" s="101">
        <f t="shared" si="39"/>
        <v>0</v>
      </c>
      <c r="BI53" s="849">
        <f t="shared" si="9"/>
        <v>0</v>
      </c>
      <c r="BJ53" s="513">
        <f>'Pr-Sem'!AC53*10</f>
        <v>0</v>
      </c>
      <c r="BK53" s="514">
        <f>IFERROR(LOOKUP(Linea,TP!$B$3:$DE$3,TP!J53:DJ53),0)</f>
        <v>0</v>
      </c>
      <c r="BL53" s="848">
        <f t="shared" si="10"/>
        <v>0</v>
      </c>
      <c r="BM53" s="137">
        <f>LOOKUP($BV53,PROD!$A$5:$A$725,PROD!$AH$5:$AH$725)*IF($BM$5="Gr X H",1,100)</f>
        <v>0</v>
      </c>
      <c r="BN53" s="138">
        <f>LOOKUP($BV53,PROD!$A$5:$A$725,PROD!$AI$5:$AI$725)*IF($BM$5="Gr X H",1,100)</f>
        <v>0</v>
      </c>
      <c r="BO53" s="849">
        <f t="shared" si="29"/>
        <v>0</v>
      </c>
      <c r="BP53" s="137">
        <f>LOOKUP(BV53,PROD!$A$5:$A$725,PROD!$AH$6:$AH$726)*IF($BM$5="Gr X H",1,100)</f>
        <v>0</v>
      </c>
      <c r="BQ53" s="138">
        <f>LOOKUP($BV53,PROD!$A$5:$A$725,PROD!$AI$6:$AI$726)*IF($BM$5="Gr X H",1,100)</f>
        <v>0</v>
      </c>
      <c r="BR53" s="849">
        <f t="shared" si="22"/>
        <v>0</v>
      </c>
      <c r="BS53" s="137">
        <f>LOOKUP(TP!$A53,PROD!$A$5:$A$725,PROD!$AH$9:$AH$729)</f>
        <v>0</v>
      </c>
      <c r="BT53" s="138">
        <f>LOOKUP(TP!$A53,PROD!$A$5:$A$725,PROD!$AI$9:$AI$729)</f>
        <v>0</v>
      </c>
      <c r="BU53" s="849">
        <f t="shared" si="11"/>
        <v>0</v>
      </c>
      <c r="BV53" s="833">
        <f t="shared" si="40"/>
        <v>65</v>
      </c>
      <c r="BW53" s="191">
        <f ca="1">LOOKUP($BV53,INVENTARIOS!$A$4:$A$718,ECONO!$T$4:$T$724)*100</f>
        <v>0</v>
      </c>
      <c r="BX53" s="606">
        <f ca="1">LOOKUP($BV53,INVENTARIOS!$A$4:$A$718,ECONO!$T$5:$T$725)*100</f>
        <v>0</v>
      </c>
      <c r="BY53" s="606">
        <f ca="1">LOOKUP($BV53,INVENTARIOS!$A$4:$A$718,ECONO!$T$6:$T$726)*100</f>
        <v>0</v>
      </c>
      <c r="BZ53" s="606">
        <f ca="1">LOOKUP($BV53,INVENTARIOS!$A$4:$A$718,ECONO!$T$7:$T$727)*100</f>
        <v>0</v>
      </c>
      <c r="CA53" s="606">
        <f ca="1">LOOKUP($BV53,INVENTARIOS!$A$4:$A$718,ECONO!$T$8:$T$728)*100</f>
        <v>0</v>
      </c>
      <c r="CB53" s="606">
        <f ca="1">LOOKUP($BV53,INVENTARIOS!$A$4:$A$718,ECONO!$T$9:$T$729)*100</f>
        <v>0</v>
      </c>
      <c r="CC53" s="606">
        <f ca="1">LOOKUP($BV53,INVENTARIOS!$A$4:$A$718,ECONO!$T$10:$T$730)*100</f>
        <v>0</v>
      </c>
      <c r="CD53" s="99">
        <f ca="1">LOOKUP($BV53,INVENTARIOS!$A$4:$A$718,ECONO!$X$8:$X$728)*100</f>
        <v>0</v>
      </c>
      <c r="CE53" s="99">
        <f ca="1">LOOKUP($BV53,INVENTARIOS!$A$4:$A$718,ECONO!$X$9:$X$729)*100</f>
        <v>0</v>
      </c>
      <c r="CF53" s="192">
        <f ca="1">LOOKUP($BV53,INVENTARIOS!$A$4:$A$718,ECONO!$X$10:$X$730)*100</f>
        <v>0</v>
      </c>
      <c r="CG53" s="195">
        <f ca="1">LOOKUP(GSh!$BV53,INVENTARIOS!$A$4:$A$718,ECONO!$X$4:$X$724)*100</f>
        <v>0</v>
      </c>
      <c r="CH53" s="98">
        <f ca="1">LOOKUP(GSh!$BV53,INVENTARIOS!$A$4:$A$718,ECONO!$X$5:$X$725)*100</f>
        <v>0</v>
      </c>
      <c r="CI53" s="98">
        <f ca="1">LOOKUP(GSh!$BV53,INVENTARIOS!$A$4:$A$718,ECONO!$X$6:$X$726)*100</f>
        <v>0</v>
      </c>
      <c r="CJ53" s="194">
        <f ca="1">LOOKUP(GSh!$BV53,INVENTARIOS!$A$4:$A$718,ECONO!$X$7:$X$727)*100</f>
        <v>0</v>
      </c>
      <c r="CK53" s="34">
        <f>IF(OR(AO53&gt;0,AT53&gt;0,AD53&gt;0),TP!A53,CK52)</f>
        <v>0</v>
      </c>
      <c r="CL53" s="257">
        <f>LOOKUP($BV53,INVENTARIOS!$A$4:$A$724,ECONO!$O$10:$O$730)</f>
        <v>0</v>
      </c>
      <c r="CM53" s="258">
        <f>LOOKUP($BV53,INVENTARIOS!$A$4:$A$724,ECONO!$Z$9:$Z$729)</f>
        <v>0</v>
      </c>
      <c r="CN53" s="260">
        <f t="shared" si="36"/>
        <v>0</v>
      </c>
      <c r="CO53"/>
    </row>
    <row r="54" spans="23:93" x14ac:dyDescent="0.3">
      <c r="AC54" s="1193">
        <f t="shared" si="30"/>
        <v>66</v>
      </c>
      <c r="AD54" s="844">
        <f>LOOKUP(TP!$A54,PROD!$A$5:$A$725,PROD!$O$5:$O$725)</f>
        <v>0</v>
      </c>
      <c r="AE54" s="101">
        <f>IFERROR(LOOKUP(Linea,TP!$B$3:$DE$3,TP!B54:DE54),0)</f>
        <v>0</v>
      </c>
      <c r="AF54" s="101">
        <f t="shared" si="24"/>
        <v>0</v>
      </c>
      <c r="AG54" s="101">
        <f t="shared" si="25"/>
        <v>0</v>
      </c>
      <c r="AH54" s="845">
        <f t="shared" si="31"/>
        <v>0</v>
      </c>
      <c r="AI54" s="846">
        <f>LOOKUP(TP!$A54,PROD!$A$5:$A$725,PROD!$O$6:$O$726)</f>
        <v>0</v>
      </c>
      <c r="AJ54" s="101">
        <f>IFERROR(LOOKUP(Linea,TP!$B$3:$DE$3,TP!C54:DF54),0)</f>
        <v>0</v>
      </c>
      <c r="AK54" s="101">
        <f t="shared" si="28"/>
        <v>0</v>
      </c>
      <c r="AL54" s="101">
        <f t="shared" si="26"/>
        <v>0</v>
      </c>
      <c r="AM54" s="837">
        <f t="shared" si="32"/>
        <v>0</v>
      </c>
      <c r="AN54" s="175">
        <f>LOOKUP(TP!$A54,PROD!$A$5:$A$725,PROD!$I$11:$I$731)</f>
        <v>0</v>
      </c>
      <c r="AO54" s="171">
        <f>LOOKUP(TP!$A54,PROD!$A$5:$A$725,PROD!$K$5:$K$725)*100</f>
        <v>0</v>
      </c>
      <c r="AP54" s="110">
        <f>LOOKUP(TP!$A54,PROD!$A$5:$A$725,PROD!$K$8:$K$728)*100</f>
        <v>0</v>
      </c>
      <c r="AQ54" s="110">
        <f t="shared" si="33"/>
        <v>100</v>
      </c>
      <c r="AR54" s="109">
        <f>IFERROR(LOOKUP(Linea,TP!$B$3:$DE$3,TP!D54:DG54),0)</f>
        <v>0</v>
      </c>
      <c r="AS54" s="838">
        <f>SUMIF(PROD!$BF$5:$BF$725,GSh!$BV54,PROD!$V$5:$V$725)/1000*PROD!$A$1</f>
        <v>0</v>
      </c>
      <c r="AT54" s="627">
        <f>LOOKUP(TP!$A54,PROD!$A$5:$A$725,PROD!$AD$5:$AD$725)</f>
        <v>0</v>
      </c>
      <c r="AU54" s="101">
        <f>IFERROR(LOOKUP(Linea,TP!$B$3:$DE$3,TP!E54:DH54),0)</f>
        <v>0</v>
      </c>
      <c r="AV54" s="847">
        <f t="shared" si="34"/>
        <v>0</v>
      </c>
      <c r="AW54" s="1081">
        <f>LOOKUP($BV54,PROD!$A$5:$A$725,PROD!$AE$10:$AE$730)</f>
        <v>0</v>
      </c>
      <c r="AX54" s="1076">
        <f>LOOKUP($BV54,PROD!$A$5:$A$725,PROD!$AE$11:$AE$731)</f>
        <v>0</v>
      </c>
      <c r="AY54" s="114">
        <f>'Pr-Sem'!Z54</f>
        <v>0</v>
      </c>
      <c r="AZ54" s="101">
        <f>IFERROR(LOOKUP(Linea,TP!$B$3:$DE$3,TP!F54:DI54),0)</f>
        <v>0</v>
      </c>
      <c r="BA54" s="840">
        <f>LOOKUP(TP!$A54,PROD!$A$5:$A$725,PROD!$Q$7:$Q$727)</f>
        <v>0</v>
      </c>
      <c r="BB54" s="118">
        <f t="shared" si="37"/>
        <v>0</v>
      </c>
      <c r="BC54" s="109">
        <f t="shared" si="38"/>
        <v>0</v>
      </c>
      <c r="BD54" s="125">
        <f>LOOKUP(TP!$A54,PROD!$A$5:$A$725,PROD!$AH$7:$AH$727)</f>
        <v>0</v>
      </c>
      <c r="BE54" s="101">
        <f t="shared" si="35"/>
        <v>0</v>
      </c>
      <c r="BF54" s="850">
        <f t="shared" si="8"/>
        <v>0</v>
      </c>
      <c r="BG54" s="129">
        <f>LOOKUP(TP!$A54,PROD!$A$5:$A$725,PROD!$AH$8:$AH$728)</f>
        <v>0</v>
      </c>
      <c r="BH54" s="101">
        <f t="shared" si="39"/>
        <v>0</v>
      </c>
      <c r="BI54" s="849">
        <f t="shared" si="9"/>
        <v>0</v>
      </c>
      <c r="BJ54" s="513">
        <f>'Pr-Sem'!AC54*10</f>
        <v>0</v>
      </c>
      <c r="BK54" s="514">
        <f>IFERROR(LOOKUP(Linea,TP!$B$3:$DE$3,TP!J54:DJ54),0)</f>
        <v>0</v>
      </c>
      <c r="BL54" s="848">
        <f t="shared" si="10"/>
        <v>0</v>
      </c>
      <c r="BM54" s="137">
        <f>LOOKUP($BV54,PROD!$A$5:$A$725,PROD!$AH$5:$AH$725)*IF($BM$5="Gr X H",1,100)</f>
        <v>0</v>
      </c>
      <c r="BN54" s="138">
        <f>LOOKUP($BV54,PROD!$A$5:$A$725,PROD!$AI$5:$AI$725)*IF($BM$5="Gr X H",1,100)</f>
        <v>0</v>
      </c>
      <c r="BO54" s="849">
        <f t="shared" si="29"/>
        <v>0</v>
      </c>
      <c r="BP54" s="137">
        <f>LOOKUP(BV54,PROD!$A$5:$A$725,PROD!$AH$6:$AH$726)*IF($BM$5="Gr X H",1,100)</f>
        <v>0</v>
      </c>
      <c r="BQ54" s="138">
        <f>LOOKUP($BV54,PROD!$A$5:$A$725,PROD!$AI$6:$AI$726)*IF($BM$5="Gr X H",1,100)</f>
        <v>0</v>
      </c>
      <c r="BR54" s="849">
        <f t="shared" si="22"/>
        <v>0</v>
      </c>
      <c r="BS54" s="137">
        <f>LOOKUP(TP!$A54,PROD!$A$5:$A$725,PROD!$AH$9:$AH$729)</f>
        <v>0</v>
      </c>
      <c r="BT54" s="138">
        <f>LOOKUP(TP!$A54,PROD!$A$5:$A$725,PROD!$AI$9:$AI$729)</f>
        <v>0</v>
      </c>
      <c r="BU54" s="849">
        <f t="shared" si="11"/>
        <v>0</v>
      </c>
      <c r="BV54" s="833">
        <f t="shared" si="40"/>
        <v>66</v>
      </c>
      <c r="BW54" s="191">
        <f ca="1">LOOKUP($BV54,INVENTARIOS!$A$4:$A$718,ECONO!$T$4:$T$724)*100</f>
        <v>0</v>
      </c>
      <c r="BX54" s="606">
        <f ca="1">LOOKUP($BV54,INVENTARIOS!$A$4:$A$718,ECONO!$T$5:$T$725)*100</f>
        <v>0</v>
      </c>
      <c r="BY54" s="606">
        <f ca="1">LOOKUP($BV54,INVENTARIOS!$A$4:$A$718,ECONO!$T$6:$T$726)*100</f>
        <v>0</v>
      </c>
      <c r="BZ54" s="606">
        <f ca="1">LOOKUP($BV54,INVENTARIOS!$A$4:$A$718,ECONO!$T$7:$T$727)*100</f>
        <v>0</v>
      </c>
      <c r="CA54" s="606">
        <f ca="1">LOOKUP($BV54,INVENTARIOS!$A$4:$A$718,ECONO!$T$8:$T$728)*100</f>
        <v>0</v>
      </c>
      <c r="CB54" s="606">
        <f ca="1">LOOKUP($BV54,INVENTARIOS!$A$4:$A$718,ECONO!$T$9:$T$729)*100</f>
        <v>0</v>
      </c>
      <c r="CC54" s="606">
        <f ca="1">LOOKUP($BV54,INVENTARIOS!$A$4:$A$718,ECONO!$T$10:$T$730)*100</f>
        <v>0</v>
      </c>
      <c r="CD54" s="99">
        <f ca="1">LOOKUP($BV54,INVENTARIOS!$A$4:$A$718,ECONO!$X$8:$X$728)*100</f>
        <v>0</v>
      </c>
      <c r="CE54" s="99">
        <f ca="1">LOOKUP($BV54,INVENTARIOS!$A$4:$A$718,ECONO!$X$9:$X$729)*100</f>
        <v>0</v>
      </c>
      <c r="CF54" s="192">
        <f ca="1">LOOKUP($BV54,INVENTARIOS!$A$4:$A$718,ECONO!$X$10:$X$730)*100</f>
        <v>0</v>
      </c>
      <c r="CG54" s="195">
        <f ca="1">LOOKUP(GSh!$BV54,INVENTARIOS!$A$4:$A$718,ECONO!$X$4:$X$724)*100</f>
        <v>0</v>
      </c>
      <c r="CH54" s="98">
        <f ca="1">LOOKUP(GSh!$BV54,INVENTARIOS!$A$4:$A$718,ECONO!$X$5:$X$725)*100</f>
        <v>0</v>
      </c>
      <c r="CI54" s="98">
        <f ca="1">LOOKUP(GSh!$BV54,INVENTARIOS!$A$4:$A$718,ECONO!$X$6:$X$726)*100</f>
        <v>0</v>
      </c>
      <c r="CJ54" s="194">
        <f ca="1">LOOKUP(GSh!$BV54,INVENTARIOS!$A$4:$A$718,ECONO!$X$7:$X$727)*100</f>
        <v>0</v>
      </c>
      <c r="CK54" s="34">
        <f>IF(OR(AO54&gt;0,AT54&gt;0,AD54&gt;0),TP!A54,CK53)</f>
        <v>0</v>
      </c>
      <c r="CL54" s="257">
        <f>LOOKUP($BV54,INVENTARIOS!$A$4:$A$724,ECONO!$O$10:$O$730)</f>
        <v>0</v>
      </c>
      <c r="CM54" s="258">
        <f>LOOKUP($BV54,INVENTARIOS!$A$4:$A$724,ECONO!$Z$9:$Z$729)</f>
        <v>0</v>
      </c>
      <c r="CN54" s="260">
        <f t="shared" si="36"/>
        <v>0</v>
      </c>
      <c r="CO54"/>
    </row>
    <row r="55" spans="23:93" x14ac:dyDescent="0.3">
      <c r="AC55" s="1193">
        <f t="shared" si="30"/>
        <v>67</v>
      </c>
      <c r="AD55" s="844">
        <f>LOOKUP(TP!$A55,PROD!$A$5:$A$725,PROD!$O$5:$O$725)</f>
        <v>0</v>
      </c>
      <c r="AE55" s="101">
        <f>IFERROR(LOOKUP(Linea,TP!$B$3:$DE$3,TP!B55:DE55),0)</f>
        <v>0</v>
      </c>
      <c r="AF55" s="101">
        <f t="shared" si="24"/>
        <v>0</v>
      </c>
      <c r="AG55" s="101">
        <f t="shared" si="25"/>
        <v>0</v>
      </c>
      <c r="AH55" s="845">
        <f t="shared" si="31"/>
        <v>0</v>
      </c>
      <c r="AI55" s="846">
        <f>LOOKUP(TP!$A55,PROD!$A$5:$A$725,PROD!$O$6:$O$726)</f>
        <v>0</v>
      </c>
      <c r="AJ55" s="101">
        <f>IFERROR(LOOKUP(Linea,TP!$B$3:$DE$3,TP!C55:DF55),0)</f>
        <v>0</v>
      </c>
      <c r="AK55" s="101">
        <f t="shared" si="28"/>
        <v>0</v>
      </c>
      <c r="AL55" s="101">
        <f t="shared" si="26"/>
        <v>0</v>
      </c>
      <c r="AM55" s="837">
        <f t="shared" si="32"/>
        <v>0</v>
      </c>
      <c r="AN55" s="175">
        <f>LOOKUP(TP!$A55,PROD!$A$5:$A$725,PROD!$I$11:$I$731)</f>
        <v>0</v>
      </c>
      <c r="AO55" s="171">
        <f>LOOKUP(TP!$A55,PROD!$A$5:$A$725,PROD!$K$5:$K$725)*100</f>
        <v>0</v>
      </c>
      <c r="AP55" s="110">
        <f>LOOKUP(TP!$A55,PROD!$A$5:$A$725,PROD!$K$8:$K$728)*100</f>
        <v>0</v>
      </c>
      <c r="AQ55" s="110">
        <f t="shared" si="33"/>
        <v>100</v>
      </c>
      <c r="AR55" s="109">
        <f>IFERROR(LOOKUP(Linea,TP!$B$3:$DE$3,TP!D55:DG55),0)</f>
        <v>0</v>
      </c>
      <c r="AS55" s="838">
        <f>SUMIF(PROD!$BF$5:$BF$725,GSh!$BV55,PROD!$V$5:$V$725)/1000*PROD!$A$1</f>
        <v>0</v>
      </c>
      <c r="AT55" s="627">
        <f>LOOKUP(TP!$A55,PROD!$A$5:$A$725,PROD!$AD$5:$AD$725)</f>
        <v>0</v>
      </c>
      <c r="AU55" s="101">
        <f>IFERROR(LOOKUP(Linea,TP!$B$3:$DE$3,TP!E55:DH55),0)</f>
        <v>0</v>
      </c>
      <c r="AV55" s="847">
        <f t="shared" si="34"/>
        <v>0</v>
      </c>
      <c r="AW55" s="1081">
        <f>LOOKUP($BV55,PROD!$A$5:$A$725,PROD!$AE$10:$AE$730)</f>
        <v>0</v>
      </c>
      <c r="AX55" s="1076">
        <f>LOOKUP($BV55,PROD!$A$5:$A$725,PROD!$AE$11:$AE$731)</f>
        <v>0</v>
      </c>
      <c r="AY55" s="114">
        <f>'Pr-Sem'!Z55</f>
        <v>0</v>
      </c>
      <c r="AZ55" s="101">
        <f>IFERROR(LOOKUP(Linea,TP!$B$3:$DE$3,TP!F55:DI55),0)</f>
        <v>0</v>
      </c>
      <c r="BA55" s="840">
        <f>LOOKUP(TP!$A55,PROD!$A$5:$A$725,PROD!$Q$7:$Q$727)</f>
        <v>0</v>
      </c>
      <c r="BB55" s="118">
        <f t="shared" si="37"/>
        <v>0</v>
      </c>
      <c r="BC55" s="109">
        <f t="shared" si="38"/>
        <v>0</v>
      </c>
      <c r="BD55" s="125">
        <f>LOOKUP(TP!$A55,PROD!$A$5:$A$725,PROD!$AH$7:$AH$727)</f>
        <v>0</v>
      </c>
      <c r="BE55" s="101">
        <f t="shared" si="35"/>
        <v>0</v>
      </c>
      <c r="BF55" s="850">
        <f t="shared" si="8"/>
        <v>0</v>
      </c>
      <c r="BG55" s="129">
        <f>LOOKUP(TP!$A55,PROD!$A$5:$A$725,PROD!$AH$8:$AH$728)</f>
        <v>0</v>
      </c>
      <c r="BH55" s="101">
        <f t="shared" si="39"/>
        <v>0</v>
      </c>
      <c r="BI55" s="849">
        <f t="shared" si="9"/>
        <v>0</v>
      </c>
      <c r="BJ55" s="513">
        <f>'Pr-Sem'!AC55*10</f>
        <v>0</v>
      </c>
      <c r="BK55" s="514">
        <f>IFERROR(LOOKUP(Linea,TP!$B$3:$DE$3,TP!J55:DJ55),0)</f>
        <v>0</v>
      </c>
      <c r="BL55" s="848">
        <f t="shared" si="10"/>
        <v>0</v>
      </c>
      <c r="BM55" s="137">
        <f>LOOKUP($BV55,PROD!$A$5:$A$725,PROD!$AH$5:$AH$725)*IF($BM$5="Gr X H",1,100)</f>
        <v>0</v>
      </c>
      <c r="BN55" s="138">
        <f>LOOKUP($BV55,PROD!$A$5:$A$725,PROD!$AI$5:$AI$725)*IF($BM$5="Gr X H",1,100)</f>
        <v>0</v>
      </c>
      <c r="BO55" s="849">
        <f t="shared" si="29"/>
        <v>0</v>
      </c>
      <c r="BP55" s="137">
        <f>LOOKUP(BV55,PROD!$A$5:$A$725,PROD!$AH$6:$AH$726)*IF($BM$5="Gr X H",1,100)</f>
        <v>0</v>
      </c>
      <c r="BQ55" s="138">
        <f>LOOKUP($BV55,PROD!$A$5:$A$725,PROD!$AI$6:$AI$726)*IF($BM$5="Gr X H",1,100)</f>
        <v>0</v>
      </c>
      <c r="BR55" s="849">
        <f t="shared" si="22"/>
        <v>0</v>
      </c>
      <c r="BS55" s="137">
        <f>LOOKUP(TP!$A55,PROD!$A$5:$A$725,PROD!$AH$9:$AH$729)</f>
        <v>0</v>
      </c>
      <c r="BT55" s="138">
        <f>LOOKUP(TP!$A55,PROD!$A$5:$A$725,PROD!$AI$9:$AI$729)</f>
        <v>0</v>
      </c>
      <c r="BU55" s="849">
        <f t="shared" si="11"/>
        <v>0</v>
      </c>
      <c r="BV55" s="833">
        <f t="shared" si="40"/>
        <v>67</v>
      </c>
      <c r="BW55" s="191">
        <f ca="1">LOOKUP($BV55,INVENTARIOS!$A$4:$A$718,ECONO!$T$4:$T$724)*100</f>
        <v>0</v>
      </c>
      <c r="BX55" s="606">
        <f ca="1">LOOKUP($BV55,INVENTARIOS!$A$4:$A$718,ECONO!$T$5:$T$725)*100</f>
        <v>0</v>
      </c>
      <c r="BY55" s="606">
        <f ca="1">LOOKUP($BV55,INVENTARIOS!$A$4:$A$718,ECONO!$T$6:$T$726)*100</f>
        <v>0</v>
      </c>
      <c r="BZ55" s="606">
        <f ca="1">LOOKUP($BV55,INVENTARIOS!$A$4:$A$718,ECONO!$T$7:$T$727)*100</f>
        <v>0</v>
      </c>
      <c r="CA55" s="606">
        <f ca="1">LOOKUP($BV55,INVENTARIOS!$A$4:$A$718,ECONO!$T$8:$T$728)*100</f>
        <v>0</v>
      </c>
      <c r="CB55" s="606">
        <f ca="1">LOOKUP($BV55,INVENTARIOS!$A$4:$A$718,ECONO!$T$9:$T$729)*100</f>
        <v>0</v>
      </c>
      <c r="CC55" s="606">
        <f ca="1">LOOKUP($BV55,INVENTARIOS!$A$4:$A$718,ECONO!$T$10:$T$730)*100</f>
        <v>0</v>
      </c>
      <c r="CD55" s="99">
        <f ca="1">LOOKUP($BV55,INVENTARIOS!$A$4:$A$718,ECONO!$X$8:$X$728)*100</f>
        <v>0</v>
      </c>
      <c r="CE55" s="99">
        <f ca="1">LOOKUP($BV55,INVENTARIOS!$A$4:$A$718,ECONO!$X$9:$X$729)*100</f>
        <v>0</v>
      </c>
      <c r="CF55" s="192">
        <f ca="1">LOOKUP($BV55,INVENTARIOS!$A$4:$A$718,ECONO!$X$10:$X$730)*100</f>
        <v>0</v>
      </c>
      <c r="CG55" s="195">
        <f ca="1">LOOKUP(GSh!$BV55,INVENTARIOS!$A$4:$A$718,ECONO!$X$4:$X$724)*100</f>
        <v>0</v>
      </c>
      <c r="CH55" s="98">
        <f ca="1">LOOKUP(GSh!$BV55,INVENTARIOS!$A$4:$A$718,ECONO!$X$5:$X$725)*100</f>
        <v>0</v>
      </c>
      <c r="CI55" s="98">
        <f ca="1">LOOKUP(GSh!$BV55,INVENTARIOS!$A$4:$A$718,ECONO!$X$6:$X$726)*100</f>
        <v>0</v>
      </c>
      <c r="CJ55" s="194">
        <f ca="1">LOOKUP(GSh!$BV55,INVENTARIOS!$A$4:$A$718,ECONO!$X$7:$X$727)*100</f>
        <v>0</v>
      </c>
      <c r="CK55" s="34">
        <f>IF(OR(AO55&gt;0,AT55&gt;0,AD55&gt;0),TP!A55,CK54)</f>
        <v>0</v>
      </c>
      <c r="CL55" s="257">
        <f>LOOKUP($BV55,INVENTARIOS!$A$4:$A$724,ECONO!$O$10:$O$730)</f>
        <v>0</v>
      </c>
      <c r="CM55" s="258">
        <f>LOOKUP($BV55,INVENTARIOS!$A$4:$A$724,ECONO!$Z$9:$Z$729)</f>
        <v>0</v>
      </c>
      <c r="CN55" s="260">
        <f t="shared" si="36"/>
        <v>0</v>
      </c>
      <c r="CO55"/>
    </row>
    <row r="56" spans="23:93" x14ac:dyDescent="0.3">
      <c r="AC56" s="1193">
        <f t="shared" si="30"/>
        <v>68</v>
      </c>
      <c r="AD56" s="844">
        <f>LOOKUP(TP!$A56,PROD!$A$5:$A$725,PROD!$O$5:$O$725)</f>
        <v>0</v>
      </c>
      <c r="AE56" s="101">
        <f>IFERROR(LOOKUP(Linea,TP!$B$3:$DE$3,TP!B56:DE56),0)</f>
        <v>0</v>
      </c>
      <c r="AF56" s="101">
        <f t="shared" si="24"/>
        <v>0</v>
      </c>
      <c r="AG56" s="101">
        <f t="shared" si="25"/>
        <v>0</v>
      </c>
      <c r="AH56" s="845">
        <f t="shared" si="31"/>
        <v>0</v>
      </c>
      <c r="AI56" s="846">
        <f>LOOKUP(TP!$A56,PROD!$A$5:$A$725,PROD!$O$6:$O$726)</f>
        <v>0</v>
      </c>
      <c r="AJ56" s="101">
        <f>IFERROR(LOOKUP(Linea,TP!$B$3:$DE$3,TP!C56:DF56),0)</f>
        <v>0</v>
      </c>
      <c r="AK56" s="101">
        <f t="shared" si="28"/>
        <v>0</v>
      </c>
      <c r="AL56" s="101">
        <f t="shared" si="26"/>
        <v>0</v>
      </c>
      <c r="AM56" s="837">
        <f t="shared" si="32"/>
        <v>0</v>
      </c>
      <c r="AN56" s="175">
        <f>LOOKUP(TP!$A56,PROD!$A$5:$A$725,PROD!$I$11:$I$731)</f>
        <v>0</v>
      </c>
      <c r="AO56" s="171">
        <f>LOOKUP(TP!$A56,PROD!$A$5:$A$725,PROD!$K$5:$K$725)*100</f>
        <v>0</v>
      </c>
      <c r="AP56" s="110">
        <f>LOOKUP(TP!$A56,PROD!$A$5:$A$725,PROD!$K$8:$K$728)*100</f>
        <v>0</v>
      </c>
      <c r="AQ56" s="110">
        <f t="shared" si="33"/>
        <v>100</v>
      </c>
      <c r="AR56" s="109">
        <f>IFERROR(LOOKUP(Linea,TP!$B$3:$DE$3,TP!D56:DG56),0)</f>
        <v>0</v>
      </c>
      <c r="AS56" s="838">
        <f>SUMIF(PROD!$BF$5:$BF$725,GSh!$BV56,PROD!$V$5:$V$725)/1000*PROD!$A$1</f>
        <v>0</v>
      </c>
      <c r="AT56" s="627">
        <f>LOOKUP(TP!$A56,PROD!$A$5:$A$725,PROD!$AD$5:$AD$725)</f>
        <v>0</v>
      </c>
      <c r="AU56" s="101">
        <f>IFERROR(LOOKUP(Linea,TP!$B$3:$DE$3,TP!E56:DH56),0)</f>
        <v>0</v>
      </c>
      <c r="AV56" s="847">
        <f t="shared" si="34"/>
        <v>0</v>
      </c>
      <c r="AW56" s="1081">
        <f>LOOKUP($BV56,PROD!$A$5:$A$725,PROD!$AE$10:$AE$730)</f>
        <v>0</v>
      </c>
      <c r="AX56" s="1076">
        <f>LOOKUP($BV56,PROD!$A$5:$A$725,PROD!$AE$11:$AE$731)</f>
        <v>0</v>
      </c>
      <c r="AY56" s="114">
        <f>'Pr-Sem'!Z56</f>
        <v>0</v>
      </c>
      <c r="AZ56" s="101">
        <f>IFERROR(LOOKUP(Linea,TP!$B$3:$DE$3,TP!F56:DI56),0)</f>
        <v>0</v>
      </c>
      <c r="BA56" s="840">
        <f>LOOKUP(TP!$A56,PROD!$A$5:$A$725,PROD!$Q$7:$Q$727)</f>
        <v>0</v>
      </c>
      <c r="BB56" s="118">
        <f t="shared" si="37"/>
        <v>0</v>
      </c>
      <c r="BC56" s="109">
        <f t="shared" si="38"/>
        <v>0</v>
      </c>
      <c r="BD56" s="125">
        <f>LOOKUP(TP!$A56,PROD!$A$5:$A$725,PROD!$AH$7:$AH$727)</f>
        <v>0</v>
      </c>
      <c r="BE56" s="101">
        <f t="shared" si="35"/>
        <v>0</v>
      </c>
      <c r="BF56" s="850">
        <f t="shared" si="8"/>
        <v>0</v>
      </c>
      <c r="BG56" s="129">
        <f>LOOKUP(TP!$A56,PROD!$A$5:$A$725,PROD!$AH$8:$AH$728)</f>
        <v>0</v>
      </c>
      <c r="BH56" s="101">
        <f t="shared" si="39"/>
        <v>0</v>
      </c>
      <c r="BI56" s="849">
        <f t="shared" si="9"/>
        <v>0</v>
      </c>
      <c r="BJ56" s="513">
        <f>'Pr-Sem'!AC56*10</f>
        <v>0</v>
      </c>
      <c r="BK56" s="514">
        <f>IFERROR(LOOKUP(Linea,TP!$B$3:$DE$3,TP!J56:DJ56),0)</f>
        <v>0</v>
      </c>
      <c r="BL56" s="848">
        <f t="shared" si="10"/>
        <v>0</v>
      </c>
      <c r="BM56" s="137">
        <f>LOOKUP($BV56,PROD!$A$5:$A$725,PROD!$AH$5:$AH$725)*IF($BM$5="Gr X H",1,100)</f>
        <v>0</v>
      </c>
      <c r="BN56" s="138">
        <f>LOOKUP($BV56,PROD!$A$5:$A$725,PROD!$AI$5:$AI$725)*IF($BM$5="Gr X H",1,100)</f>
        <v>0</v>
      </c>
      <c r="BO56" s="849">
        <f t="shared" si="29"/>
        <v>0</v>
      </c>
      <c r="BP56" s="137">
        <f>LOOKUP(BV56,PROD!$A$5:$A$725,PROD!$AH$6:$AH$726)*IF($BM$5="Gr X H",1,100)</f>
        <v>0</v>
      </c>
      <c r="BQ56" s="138">
        <f>LOOKUP($BV56,PROD!$A$5:$A$725,PROD!$AI$6:$AI$726)*IF($BM$5="Gr X H",1,100)</f>
        <v>0</v>
      </c>
      <c r="BR56" s="849">
        <f t="shared" si="22"/>
        <v>0</v>
      </c>
      <c r="BS56" s="137">
        <f>LOOKUP(TP!$A56,PROD!$A$5:$A$725,PROD!$AH$9:$AH$729)</f>
        <v>0</v>
      </c>
      <c r="BT56" s="138">
        <f>LOOKUP(TP!$A56,PROD!$A$5:$A$725,PROD!$AI$9:$AI$729)</f>
        <v>0</v>
      </c>
      <c r="BU56" s="849">
        <f t="shared" si="11"/>
        <v>0</v>
      </c>
      <c r="BV56" s="833">
        <f t="shared" si="40"/>
        <v>68</v>
      </c>
      <c r="BW56" s="191">
        <f ca="1">LOOKUP($BV56,INVENTARIOS!$A$4:$A$718,ECONO!$T$4:$T$724)*100</f>
        <v>0</v>
      </c>
      <c r="BX56" s="606">
        <f ca="1">LOOKUP($BV56,INVENTARIOS!$A$4:$A$718,ECONO!$T$5:$T$725)*100</f>
        <v>0</v>
      </c>
      <c r="BY56" s="606">
        <f ca="1">LOOKUP($BV56,INVENTARIOS!$A$4:$A$718,ECONO!$T$6:$T$726)*100</f>
        <v>0</v>
      </c>
      <c r="BZ56" s="606">
        <f ca="1">LOOKUP($BV56,INVENTARIOS!$A$4:$A$718,ECONO!$T$7:$T$727)*100</f>
        <v>0</v>
      </c>
      <c r="CA56" s="606">
        <f ca="1">LOOKUP($BV56,INVENTARIOS!$A$4:$A$718,ECONO!$T$8:$T$728)*100</f>
        <v>0</v>
      </c>
      <c r="CB56" s="606">
        <f ca="1">LOOKUP($BV56,INVENTARIOS!$A$4:$A$718,ECONO!$T$9:$T$729)*100</f>
        <v>0</v>
      </c>
      <c r="CC56" s="606">
        <f ca="1">LOOKUP($BV56,INVENTARIOS!$A$4:$A$718,ECONO!$T$10:$T$730)*100</f>
        <v>0</v>
      </c>
      <c r="CD56" s="99">
        <f ca="1">LOOKUP($BV56,INVENTARIOS!$A$4:$A$718,ECONO!$X$8:$X$728)*100</f>
        <v>0</v>
      </c>
      <c r="CE56" s="99">
        <f ca="1">LOOKUP($BV56,INVENTARIOS!$A$4:$A$718,ECONO!$X$9:$X$729)*100</f>
        <v>0</v>
      </c>
      <c r="CF56" s="192">
        <f ca="1">LOOKUP($BV56,INVENTARIOS!$A$4:$A$718,ECONO!$X$10:$X$730)*100</f>
        <v>0</v>
      </c>
      <c r="CG56" s="195">
        <f ca="1">LOOKUP(GSh!$BV56,INVENTARIOS!$A$4:$A$718,ECONO!$X$4:$X$724)*100</f>
        <v>0</v>
      </c>
      <c r="CH56" s="98">
        <f ca="1">LOOKUP(GSh!$BV56,INVENTARIOS!$A$4:$A$718,ECONO!$X$5:$X$725)*100</f>
        <v>0</v>
      </c>
      <c r="CI56" s="98">
        <f ca="1">LOOKUP(GSh!$BV56,INVENTARIOS!$A$4:$A$718,ECONO!$X$6:$X$726)*100</f>
        <v>0</v>
      </c>
      <c r="CJ56" s="194">
        <f ca="1">LOOKUP(GSh!$BV56,INVENTARIOS!$A$4:$A$718,ECONO!$X$7:$X$727)*100</f>
        <v>0</v>
      </c>
      <c r="CK56" s="34">
        <f>IF(OR(AO56&gt;0,AT56&gt;0,AD56&gt;0),TP!A56,CK55)</f>
        <v>0</v>
      </c>
      <c r="CL56" s="257">
        <f>LOOKUP($BV56,INVENTARIOS!$A$4:$A$724,ECONO!$O$10:$O$730)</f>
        <v>0</v>
      </c>
      <c r="CM56" s="258">
        <f>LOOKUP($BV56,INVENTARIOS!$A$4:$A$724,ECONO!$Z$9:$Z$729)</f>
        <v>0</v>
      </c>
      <c r="CN56" s="260">
        <f t="shared" si="36"/>
        <v>0</v>
      </c>
      <c r="CO56"/>
    </row>
    <row r="57" spans="23:93" x14ac:dyDescent="0.3">
      <c r="W57" s="1"/>
      <c r="AC57" s="1193">
        <f t="shared" si="30"/>
        <v>69</v>
      </c>
      <c r="AD57" s="844">
        <f>LOOKUP(TP!$A57,PROD!$A$5:$A$725,PROD!$O$5:$O$725)</f>
        <v>0</v>
      </c>
      <c r="AE57" s="101">
        <f>IFERROR(LOOKUP(Linea,TP!$B$3:$DE$3,TP!B57:DE57),0)</f>
        <v>0</v>
      </c>
      <c r="AF57" s="101">
        <f t="shared" si="24"/>
        <v>0</v>
      </c>
      <c r="AG57" s="101">
        <f t="shared" si="25"/>
        <v>0</v>
      </c>
      <c r="AH57" s="845">
        <f t="shared" si="31"/>
        <v>0</v>
      </c>
      <c r="AI57" s="846">
        <f>LOOKUP(TP!$A57,PROD!$A$5:$A$725,PROD!$O$6:$O$726)</f>
        <v>0</v>
      </c>
      <c r="AJ57" s="101">
        <f>IFERROR(LOOKUP(Linea,TP!$B$3:$DE$3,TP!C57:DF57),0)</f>
        <v>0</v>
      </c>
      <c r="AK57" s="101">
        <f t="shared" si="28"/>
        <v>0</v>
      </c>
      <c r="AL57" s="101">
        <f t="shared" si="26"/>
        <v>0</v>
      </c>
      <c r="AM57" s="837">
        <f t="shared" si="32"/>
        <v>0</v>
      </c>
      <c r="AN57" s="175">
        <f>LOOKUP(TP!$A57,PROD!$A$5:$A$725,PROD!$I$11:$I$731)</f>
        <v>0</v>
      </c>
      <c r="AO57" s="171">
        <f>LOOKUP(TP!$A57,PROD!$A$5:$A$725,PROD!$K$5:$K$725)*100</f>
        <v>0</v>
      </c>
      <c r="AP57" s="110">
        <f>LOOKUP(TP!$A57,PROD!$A$5:$A$725,PROD!$K$8:$K$728)*100</f>
        <v>0</v>
      </c>
      <c r="AQ57" s="110">
        <f t="shared" si="33"/>
        <v>100</v>
      </c>
      <c r="AR57" s="109">
        <f>IFERROR(LOOKUP(Linea,TP!$B$3:$DE$3,TP!D57:DG57),0)</f>
        <v>0</v>
      </c>
      <c r="AS57" s="838">
        <f>SUMIF(PROD!$BF$5:$BF$725,GSh!$BV57,PROD!$V$5:$V$725)/1000*PROD!$A$1</f>
        <v>0</v>
      </c>
      <c r="AT57" s="627">
        <f>LOOKUP(TP!$A57,PROD!$A$5:$A$725,PROD!$AD$5:$AD$725)</f>
        <v>0</v>
      </c>
      <c r="AU57" s="101">
        <f>IFERROR(LOOKUP(Linea,TP!$B$3:$DE$3,TP!E57:DH57),0)</f>
        <v>0</v>
      </c>
      <c r="AV57" s="847">
        <f t="shared" si="34"/>
        <v>0</v>
      </c>
      <c r="AW57" s="1081">
        <f>LOOKUP($BV57,PROD!$A$5:$A$725,PROD!$AE$10:$AE$730)</f>
        <v>0</v>
      </c>
      <c r="AX57" s="1076">
        <f>LOOKUP($BV57,PROD!$A$5:$A$725,PROD!$AE$11:$AE$731)</f>
        <v>0</v>
      </c>
      <c r="AY57" s="114">
        <f>'Pr-Sem'!Z57</f>
        <v>0</v>
      </c>
      <c r="AZ57" s="101">
        <f>IFERROR(LOOKUP(Linea,TP!$B$3:$DE$3,TP!F57:DI57),0)</f>
        <v>0</v>
      </c>
      <c r="BA57" s="840">
        <f>LOOKUP(TP!$A57,PROD!$A$5:$A$725,PROD!$Q$7:$Q$727)</f>
        <v>0</v>
      </c>
      <c r="BB57" s="118">
        <f t="shared" si="37"/>
        <v>0</v>
      </c>
      <c r="BC57" s="109">
        <f t="shared" si="38"/>
        <v>0</v>
      </c>
      <c r="BD57" s="125">
        <f>LOOKUP(TP!$A57,PROD!$A$5:$A$725,PROD!$AH$7:$AH$727)</f>
        <v>0</v>
      </c>
      <c r="BE57" s="101">
        <f t="shared" si="35"/>
        <v>0</v>
      </c>
      <c r="BF57" s="850">
        <f t="shared" si="8"/>
        <v>0</v>
      </c>
      <c r="BG57" s="129">
        <f>LOOKUP(TP!$A57,PROD!$A$5:$A$725,PROD!$AH$8:$AH$728)</f>
        <v>0</v>
      </c>
      <c r="BH57" s="101">
        <f t="shared" si="39"/>
        <v>0</v>
      </c>
      <c r="BI57" s="849">
        <f t="shared" si="9"/>
        <v>0</v>
      </c>
      <c r="BJ57" s="513">
        <f>'Pr-Sem'!AC57*10</f>
        <v>0</v>
      </c>
      <c r="BK57" s="514">
        <f>IFERROR(LOOKUP(Linea,TP!$B$3:$DE$3,TP!J57:DJ57),0)</f>
        <v>0</v>
      </c>
      <c r="BL57" s="848">
        <f t="shared" si="10"/>
        <v>0</v>
      </c>
      <c r="BM57" s="137">
        <f>LOOKUP($BV57,PROD!$A$5:$A$725,PROD!$AH$5:$AH$725)*IF($BM$5="Gr X H",1,100)</f>
        <v>0</v>
      </c>
      <c r="BN57" s="138">
        <f>LOOKUP($BV57,PROD!$A$5:$A$725,PROD!$AI$5:$AI$725)*IF($BM$5="Gr X H",1,100)</f>
        <v>0</v>
      </c>
      <c r="BO57" s="849">
        <f t="shared" si="29"/>
        <v>0</v>
      </c>
      <c r="BP57" s="137">
        <f>LOOKUP(BV57,PROD!$A$5:$A$725,PROD!$AH$6:$AH$726)*IF($BM$5="Gr X H",1,100)</f>
        <v>0</v>
      </c>
      <c r="BQ57" s="138">
        <f>LOOKUP($BV57,PROD!$A$5:$A$725,PROD!$AI$6:$AI$726)*IF($BM$5="Gr X H",1,100)</f>
        <v>0</v>
      </c>
      <c r="BR57" s="849">
        <f t="shared" si="22"/>
        <v>0</v>
      </c>
      <c r="BS57" s="137">
        <f>LOOKUP(TP!$A57,PROD!$A$5:$A$725,PROD!$AH$9:$AH$729)</f>
        <v>0</v>
      </c>
      <c r="BT57" s="138">
        <f>LOOKUP(TP!$A57,PROD!$A$5:$A$725,PROD!$AI$9:$AI$729)</f>
        <v>0</v>
      </c>
      <c r="BU57" s="849">
        <f t="shared" si="11"/>
        <v>0</v>
      </c>
      <c r="BV57" s="833">
        <f t="shared" si="40"/>
        <v>69</v>
      </c>
      <c r="BW57" s="191">
        <f ca="1">LOOKUP($BV57,INVENTARIOS!$A$4:$A$718,ECONO!$T$4:$T$724)*100</f>
        <v>0</v>
      </c>
      <c r="BX57" s="606">
        <f ca="1">LOOKUP($BV57,INVENTARIOS!$A$4:$A$718,ECONO!$T$5:$T$725)*100</f>
        <v>0</v>
      </c>
      <c r="BY57" s="606">
        <f ca="1">LOOKUP($BV57,INVENTARIOS!$A$4:$A$718,ECONO!$T$6:$T$726)*100</f>
        <v>0</v>
      </c>
      <c r="BZ57" s="606">
        <f ca="1">LOOKUP($BV57,INVENTARIOS!$A$4:$A$718,ECONO!$T$7:$T$727)*100</f>
        <v>0</v>
      </c>
      <c r="CA57" s="606">
        <f ca="1">LOOKUP($BV57,INVENTARIOS!$A$4:$A$718,ECONO!$T$8:$T$728)*100</f>
        <v>0</v>
      </c>
      <c r="CB57" s="606">
        <f ca="1">LOOKUP($BV57,INVENTARIOS!$A$4:$A$718,ECONO!$T$9:$T$729)*100</f>
        <v>0</v>
      </c>
      <c r="CC57" s="606">
        <f ca="1">LOOKUP($BV57,INVENTARIOS!$A$4:$A$718,ECONO!$T$10:$T$730)*100</f>
        <v>0</v>
      </c>
      <c r="CD57" s="99">
        <f ca="1">LOOKUP($BV57,INVENTARIOS!$A$4:$A$718,ECONO!$X$8:$X$728)*100</f>
        <v>0</v>
      </c>
      <c r="CE57" s="99">
        <f ca="1">LOOKUP($BV57,INVENTARIOS!$A$4:$A$718,ECONO!$X$9:$X$729)*100</f>
        <v>0</v>
      </c>
      <c r="CF57" s="192">
        <f ca="1">LOOKUP($BV57,INVENTARIOS!$A$4:$A$718,ECONO!$X$10:$X$730)*100</f>
        <v>0</v>
      </c>
      <c r="CG57" s="195">
        <f ca="1">LOOKUP(GSh!$BV57,INVENTARIOS!$A$4:$A$718,ECONO!$X$4:$X$724)*100</f>
        <v>0</v>
      </c>
      <c r="CH57" s="98">
        <f ca="1">LOOKUP(GSh!$BV57,INVENTARIOS!$A$4:$A$718,ECONO!$X$5:$X$725)*100</f>
        <v>0</v>
      </c>
      <c r="CI57" s="98">
        <f ca="1">LOOKUP(GSh!$BV57,INVENTARIOS!$A$4:$A$718,ECONO!$X$6:$X$726)*100</f>
        <v>0</v>
      </c>
      <c r="CJ57" s="194">
        <f ca="1">LOOKUP(GSh!$BV57,INVENTARIOS!$A$4:$A$718,ECONO!$X$7:$X$727)*100</f>
        <v>0</v>
      </c>
      <c r="CK57" s="34">
        <f>IF(OR(AO57&gt;0,AT57&gt;0,AD57&gt;0),TP!A57,CK56)</f>
        <v>0</v>
      </c>
      <c r="CL57" s="257">
        <f>LOOKUP($BV57,INVENTARIOS!$A$4:$A$724,ECONO!$O$10:$O$730)</f>
        <v>0</v>
      </c>
      <c r="CM57" s="258">
        <f>LOOKUP($BV57,INVENTARIOS!$A$4:$A$724,ECONO!$Z$9:$Z$729)</f>
        <v>0</v>
      </c>
      <c r="CN57" s="260">
        <f t="shared" si="36"/>
        <v>0</v>
      </c>
      <c r="CO57"/>
    </row>
    <row r="58" spans="23:93" x14ac:dyDescent="0.3">
      <c r="W58" s="1"/>
      <c r="AC58" s="1193">
        <f t="shared" si="30"/>
        <v>70</v>
      </c>
      <c r="AD58" s="844">
        <f>LOOKUP(TP!$A58,PROD!$A$5:$A$725,PROD!$O$5:$O$725)</f>
        <v>0</v>
      </c>
      <c r="AE58" s="101">
        <f>IFERROR(LOOKUP(Linea,TP!$B$3:$DE$3,TP!B58:DE58),0)</f>
        <v>0</v>
      </c>
      <c r="AF58" s="101">
        <f t="shared" si="24"/>
        <v>0</v>
      </c>
      <c r="AG58" s="101">
        <f t="shared" si="25"/>
        <v>0</v>
      </c>
      <c r="AH58" s="845">
        <f t="shared" si="31"/>
        <v>0</v>
      </c>
      <c r="AI58" s="846">
        <f>LOOKUP(TP!$A58,PROD!$A$5:$A$725,PROD!$O$6:$O$726)</f>
        <v>0</v>
      </c>
      <c r="AJ58" s="101">
        <f>IFERROR(LOOKUP(Linea,TP!$B$3:$DE$3,TP!C58:DF58),0)</f>
        <v>0</v>
      </c>
      <c r="AK58" s="101">
        <f t="shared" si="28"/>
        <v>0</v>
      </c>
      <c r="AL58" s="101">
        <f t="shared" si="26"/>
        <v>0</v>
      </c>
      <c r="AM58" s="837">
        <f t="shared" si="32"/>
        <v>0</v>
      </c>
      <c r="AN58" s="175">
        <f>LOOKUP(TP!$A58,PROD!$A$5:$A$725,PROD!$I$11:$I$731)</f>
        <v>0</v>
      </c>
      <c r="AO58" s="171">
        <f>LOOKUP(TP!$A58,PROD!$A$5:$A$725,PROD!$K$5:$K$725)*100</f>
        <v>0</v>
      </c>
      <c r="AP58" s="110">
        <f>LOOKUP(TP!$A58,PROD!$A$5:$A$725,PROD!$K$8:$K$728)*100</f>
        <v>0</v>
      </c>
      <c r="AQ58" s="110">
        <f t="shared" si="33"/>
        <v>100</v>
      </c>
      <c r="AR58" s="109">
        <f>IFERROR(LOOKUP(Linea,TP!$B$3:$DE$3,TP!D58:DG58),0)</f>
        <v>0</v>
      </c>
      <c r="AS58" s="838">
        <f>SUMIF(PROD!$BF$5:$BF$725,GSh!$BV58,PROD!$V$5:$V$725)/1000*PROD!$A$1</f>
        <v>0</v>
      </c>
      <c r="AT58" s="627">
        <f>LOOKUP(TP!$A58,PROD!$A$5:$A$725,PROD!$AD$5:$AD$725)</f>
        <v>0</v>
      </c>
      <c r="AU58" s="101">
        <f>IFERROR(LOOKUP(Linea,TP!$B$3:$DE$3,TP!E58:DH58),0)</f>
        <v>0</v>
      </c>
      <c r="AV58" s="847">
        <f t="shared" si="34"/>
        <v>0</v>
      </c>
      <c r="AW58" s="1081">
        <f>LOOKUP($BV58,PROD!$A$5:$A$725,PROD!$AE$10:$AE$730)</f>
        <v>0</v>
      </c>
      <c r="AX58" s="1076">
        <f>LOOKUP($BV58,PROD!$A$5:$A$725,PROD!$AE$11:$AE$731)</f>
        <v>0</v>
      </c>
      <c r="AY58" s="114">
        <f>'Pr-Sem'!Z58</f>
        <v>0</v>
      </c>
      <c r="AZ58" s="101">
        <f>IFERROR(LOOKUP(Linea,TP!$B$3:$DE$3,TP!F58:DI58),0)</f>
        <v>0</v>
      </c>
      <c r="BA58" s="840">
        <f>LOOKUP(TP!$A58,PROD!$A$5:$A$725,PROD!$Q$7:$Q$727)</f>
        <v>0</v>
      </c>
      <c r="BB58" s="118">
        <f t="shared" si="37"/>
        <v>0</v>
      </c>
      <c r="BC58" s="109">
        <f t="shared" si="38"/>
        <v>0</v>
      </c>
      <c r="BD58" s="125">
        <f>LOOKUP(TP!$A58,PROD!$A$5:$A$725,PROD!$AH$7:$AH$727)</f>
        <v>0</v>
      </c>
      <c r="BE58" s="101">
        <f t="shared" si="35"/>
        <v>0</v>
      </c>
      <c r="BF58" s="850">
        <f t="shared" si="8"/>
        <v>0</v>
      </c>
      <c r="BG58" s="129">
        <f>LOOKUP(TP!$A58,PROD!$A$5:$A$725,PROD!$AH$8:$AH$728)</f>
        <v>0</v>
      </c>
      <c r="BH58" s="101">
        <f t="shared" si="39"/>
        <v>0</v>
      </c>
      <c r="BI58" s="849">
        <f t="shared" si="9"/>
        <v>0</v>
      </c>
      <c r="BJ58" s="513">
        <f>'Pr-Sem'!AC58*10</f>
        <v>0</v>
      </c>
      <c r="BK58" s="514">
        <f>IFERROR(LOOKUP(Linea,TP!$B$3:$DE$3,TP!J58:DJ58),0)</f>
        <v>0</v>
      </c>
      <c r="BL58" s="848">
        <f t="shared" si="10"/>
        <v>0</v>
      </c>
      <c r="BM58" s="137">
        <f>LOOKUP($BV58,PROD!$A$5:$A$725,PROD!$AH$5:$AH$725)*IF($BM$5="Gr X H",1,100)</f>
        <v>0</v>
      </c>
      <c r="BN58" s="138">
        <f>LOOKUP($BV58,PROD!$A$5:$A$725,PROD!$AI$5:$AI$725)*IF($BM$5="Gr X H",1,100)</f>
        <v>0</v>
      </c>
      <c r="BO58" s="849">
        <f t="shared" si="29"/>
        <v>0</v>
      </c>
      <c r="BP58" s="137">
        <f>LOOKUP(BV58,PROD!$A$5:$A$725,PROD!$AH$6:$AH$726)*IF($BM$5="Gr X H",1,100)</f>
        <v>0</v>
      </c>
      <c r="BQ58" s="138">
        <f>LOOKUP($BV58,PROD!$A$5:$A$725,PROD!$AI$6:$AI$726)*IF($BM$5="Gr X H",1,100)</f>
        <v>0</v>
      </c>
      <c r="BR58" s="849">
        <f t="shared" si="22"/>
        <v>0</v>
      </c>
      <c r="BS58" s="137">
        <f>LOOKUP(TP!$A58,PROD!$A$5:$A$725,PROD!$AH$9:$AH$729)</f>
        <v>0</v>
      </c>
      <c r="BT58" s="138">
        <f>LOOKUP(TP!$A58,PROD!$A$5:$A$725,PROD!$AI$9:$AI$729)</f>
        <v>0</v>
      </c>
      <c r="BU58" s="849">
        <f t="shared" si="11"/>
        <v>0</v>
      </c>
      <c r="BV58" s="833">
        <f t="shared" si="40"/>
        <v>70</v>
      </c>
      <c r="BW58" s="191">
        <f ca="1">LOOKUP($BV58,INVENTARIOS!$A$4:$A$718,ECONO!$T$4:$T$724)*100</f>
        <v>0</v>
      </c>
      <c r="BX58" s="606">
        <f ca="1">LOOKUP($BV58,INVENTARIOS!$A$4:$A$718,ECONO!$T$5:$T$725)*100</f>
        <v>0</v>
      </c>
      <c r="BY58" s="606">
        <f ca="1">LOOKUP($BV58,INVENTARIOS!$A$4:$A$718,ECONO!$T$6:$T$726)*100</f>
        <v>0</v>
      </c>
      <c r="BZ58" s="606">
        <f ca="1">LOOKUP($BV58,INVENTARIOS!$A$4:$A$718,ECONO!$T$7:$T$727)*100</f>
        <v>0</v>
      </c>
      <c r="CA58" s="606">
        <f ca="1">LOOKUP($BV58,INVENTARIOS!$A$4:$A$718,ECONO!$T$8:$T$728)*100</f>
        <v>0</v>
      </c>
      <c r="CB58" s="606">
        <f ca="1">LOOKUP($BV58,INVENTARIOS!$A$4:$A$718,ECONO!$T$9:$T$729)*100</f>
        <v>0</v>
      </c>
      <c r="CC58" s="606">
        <f ca="1">LOOKUP($BV58,INVENTARIOS!$A$4:$A$718,ECONO!$T$10:$T$730)*100</f>
        <v>0</v>
      </c>
      <c r="CD58" s="99">
        <f ca="1">LOOKUP($BV58,INVENTARIOS!$A$4:$A$718,ECONO!$X$8:$X$728)*100</f>
        <v>0</v>
      </c>
      <c r="CE58" s="99">
        <f ca="1">LOOKUP($BV58,INVENTARIOS!$A$4:$A$718,ECONO!$X$9:$X$729)*100</f>
        <v>0</v>
      </c>
      <c r="CF58" s="192">
        <f ca="1">LOOKUP($BV58,INVENTARIOS!$A$4:$A$718,ECONO!$X$10:$X$730)*100</f>
        <v>0</v>
      </c>
      <c r="CG58" s="195">
        <f ca="1">LOOKUP(GSh!$BV58,INVENTARIOS!$A$4:$A$718,ECONO!$X$4:$X$724)*100</f>
        <v>0</v>
      </c>
      <c r="CH58" s="98">
        <f ca="1">LOOKUP(GSh!$BV58,INVENTARIOS!$A$4:$A$718,ECONO!$X$5:$X$725)*100</f>
        <v>0</v>
      </c>
      <c r="CI58" s="98">
        <f ca="1">LOOKUP(GSh!$BV58,INVENTARIOS!$A$4:$A$718,ECONO!$X$6:$X$726)*100</f>
        <v>0</v>
      </c>
      <c r="CJ58" s="194">
        <f ca="1">LOOKUP(GSh!$BV58,INVENTARIOS!$A$4:$A$718,ECONO!$X$7:$X$727)*100</f>
        <v>0</v>
      </c>
      <c r="CK58" s="34">
        <f>IF(OR(AO58&gt;0,AT58&gt;0,AD58&gt;0),TP!A58,CK57)</f>
        <v>0</v>
      </c>
      <c r="CL58" s="257">
        <f>LOOKUP($BV58,INVENTARIOS!$A$4:$A$724,ECONO!$O$10:$O$730)</f>
        <v>0</v>
      </c>
      <c r="CM58" s="258">
        <f>LOOKUP($BV58,INVENTARIOS!$A$4:$A$724,ECONO!$Z$9:$Z$729)</f>
        <v>0</v>
      </c>
      <c r="CN58" s="260">
        <f t="shared" si="36"/>
        <v>0</v>
      </c>
      <c r="CO58"/>
    </row>
    <row r="59" spans="23:93" x14ac:dyDescent="0.3">
      <c r="W59" s="1"/>
      <c r="AC59" s="1193">
        <f t="shared" si="30"/>
        <v>71</v>
      </c>
      <c r="AD59" s="844">
        <f>LOOKUP(TP!$A59,PROD!$A$5:$A$725,PROD!$O$5:$O$725)</f>
        <v>0</v>
      </c>
      <c r="AE59" s="101">
        <f>IFERROR(LOOKUP(Linea,TP!$B$3:$DE$3,TP!B59:DE59),0)</f>
        <v>0</v>
      </c>
      <c r="AF59" s="101">
        <f t="shared" si="24"/>
        <v>0</v>
      </c>
      <c r="AG59" s="101">
        <f t="shared" si="25"/>
        <v>0</v>
      </c>
      <c r="AH59" s="845">
        <f t="shared" si="31"/>
        <v>0</v>
      </c>
      <c r="AI59" s="846">
        <f>LOOKUP(TP!$A59,PROD!$A$5:$A$725,PROD!$O$6:$O$726)</f>
        <v>0</v>
      </c>
      <c r="AJ59" s="101">
        <f>IFERROR(LOOKUP(Linea,TP!$B$3:$DE$3,TP!C59:DF59),0)</f>
        <v>0</v>
      </c>
      <c r="AK59" s="101">
        <f t="shared" si="28"/>
        <v>0</v>
      </c>
      <c r="AL59" s="101">
        <f t="shared" si="26"/>
        <v>0</v>
      </c>
      <c r="AM59" s="837">
        <f t="shared" si="32"/>
        <v>0</v>
      </c>
      <c r="AN59" s="175">
        <f>LOOKUP(TP!$A59,PROD!$A$5:$A$725,PROD!$I$11:$I$731)</f>
        <v>0</v>
      </c>
      <c r="AO59" s="171">
        <f>LOOKUP(TP!$A59,PROD!$A$5:$A$725,PROD!$K$5:$K$725)*100</f>
        <v>0</v>
      </c>
      <c r="AP59" s="110">
        <f>LOOKUP(TP!$A59,PROD!$A$5:$A$725,PROD!$K$8:$K$728)*100</f>
        <v>0</v>
      </c>
      <c r="AQ59" s="110">
        <f t="shared" si="33"/>
        <v>100</v>
      </c>
      <c r="AR59" s="109">
        <f>IFERROR(LOOKUP(Linea,TP!$B$3:$DE$3,TP!D59:DG59),0)</f>
        <v>0</v>
      </c>
      <c r="AS59" s="838">
        <f>SUMIF(PROD!$BF$5:$BF$725,GSh!$BV59,PROD!$V$5:$V$725)/1000*PROD!$A$1</f>
        <v>0</v>
      </c>
      <c r="AT59" s="627">
        <f>LOOKUP(TP!$A59,PROD!$A$5:$A$725,PROD!$AD$5:$AD$725)</f>
        <v>0</v>
      </c>
      <c r="AU59" s="101">
        <f>IFERROR(LOOKUP(Linea,TP!$B$3:$DE$3,TP!E59:DH59),0)</f>
        <v>0</v>
      </c>
      <c r="AV59" s="847">
        <f t="shared" si="34"/>
        <v>0</v>
      </c>
      <c r="AW59" s="1081">
        <f>LOOKUP($BV59,PROD!$A$5:$A$725,PROD!$AE$10:$AE$730)</f>
        <v>0</v>
      </c>
      <c r="AX59" s="1076">
        <f>LOOKUP($BV59,PROD!$A$5:$A$725,PROD!$AE$11:$AE$731)</f>
        <v>0</v>
      </c>
      <c r="AY59" s="114">
        <f>'Pr-Sem'!Z59</f>
        <v>0</v>
      </c>
      <c r="AZ59" s="101">
        <f>IFERROR(LOOKUP(Linea,TP!$B$3:$DE$3,TP!F59:DI59),0)</f>
        <v>0</v>
      </c>
      <c r="BA59" s="840">
        <f>LOOKUP(TP!$A59,PROD!$A$5:$A$725,PROD!$Q$7:$Q$727)</f>
        <v>0</v>
      </c>
      <c r="BB59" s="118">
        <f t="shared" si="37"/>
        <v>0</v>
      </c>
      <c r="BC59" s="109">
        <f t="shared" si="38"/>
        <v>0</v>
      </c>
      <c r="BD59" s="125">
        <f>LOOKUP(TP!$A59,PROD!$A$5:$A$725,PROD!$AH$7:$AH$727)</f>
        <v>0</v>
      </c>
      <c r="BE59" s="101">
        <f t="shared" si="35"/>
        <v>0</v>
      </c>
      <c r="BF59" s="850">
        <f t="shared" si="8"/>
        <v>0</v>
      </c>
      <c r="BG59" s="129">
        <f>LOOKUP(TP!$A59,PROD!$A$5:$A$725,PROD!$AH$8:$AH$728)</f>
        <v>0</v>
      </c>
      <c r="BH59" s="101">
        <f t="shared" si="39"/>
        <v>0</v>
      </c>
      <c r="BI59" s="849">
        <f t="shared" si="9"/>
        <v>0</v>
      </c>
      <c r="BJ59" s="513">
        <f>'Pr-Sem'!AC59*10</f>
        <v>0</v>
      </c>
      <c r="BK59" s="514">
        <f>IFERROR(LOOKUP(Linea,TP!$B$3:$DE$3,TP!J59:DJ59),0)</f>
        <v>0</v>
      </c>
      <c r="BL59" s="848">
        <f t="shared" si="10"/>
        <v>0</v>
      </c>
      <c r="BM59" s="137">
        <f>LOOKUP($BV59,PROD!$A$5:$A$725,PROD!$AH$5:$AH$725)*IF($BM$5="Gr X H",1,100)</f>
        <v>0</v>
      </c>
      <c r="BN59" s="138">
        <f>LOOKUP($BV59,PROD!$A$5:$A$725,PROD!$AI$5:$AI$725)*IF($BM$5="Gr X H",1,100)</f>
        <v>0</v>
      </c>
      <c r="BO59" s="849">
        <f t="shared" si="29"/>
        <v>0</v>
      </c>
      <c r="BP59" s="137">
        <f>LOOKUP(BV59,PROD!$A$5:$A$725,PROD!$AH$6:$AH$726)*IF($BM$5="Gr X H",1,100)</f>
        <v>0</v>
      </c>
      <c r="BQ59" s="138">
        <f>LOOKUP($BV59,PROD!$A$5:$A$725,PROD!$AI$6:$AI$726)*IF($BM$5="Gr X H",1,100)</f>
        <v>0</v>
      </c>
      <c r="BR59" s="849">
        <f t="shared" si="22"/>
        <v>0</v>
      </c>
      <c r="BS59" s="137">
        <f>LOOKUP(TP!$A59,PROD!$A$5:$A$725,PROD!$AH$9:$AH$729)</f>
        <v>0</v>
      </c>
      <c r="BT59" s="138">
        <f>LOOKUP(TP!$A59,PROD!$A$5:$A$725,PROD!$AI$9:$AI$729)</f>
        <v>0</v>
      </c>
      <c r="BU59" s="849">
        <f t="shared" si="11"/>
        <v>0</v>
      </c>
      <c r="BV59" s="833">
        <f t="shared" si="40"/>
        <v>71</v>
      </c>
      <c r="BW59" s="191">
        <f ca="1">LOOKUP($BV59,INVENTARIOS!$A$4:$A$718,ECONO!$T$4:$T$724)*100</f>
        <v>0</v>
      </c>
      <c r="BX59" s="606">
        <f ca="1">LOOKUP($BV59,INVENTARIOS!$A$4:$A$718,ECONO!$T$5:$T$725)*100</f>
        <v>0</v>
      </c>
      <c r="BY59" s="606">
        <f ca="1">LOOKUP($BV59,INVENTARIOS!$A$4:$A$718,ECONO!$T$6:$T$726)*100</f>
        <v>0</v>
      </c>
      <c r="BZ59" s="606">
        <f ca="1">LOOKUP($BV59,INVENTARIOS!$A$4:$A$718,ECONO!$T$7:$T$727)*100</f>
        <v>0</v>
      </c>
      <c r="CA59" s="606">
        <f ca="1">LOOKUP($BV59,INVENTARIOS!$A$4:$A$718,ECONO!$T$8:$T$728)*100</f>
        <v>0</v>
      </c>
      <c r="CB59" s="606">
        <f ca="1">LOOKUP($BV59,INVENTARIOS!$A$4:$A$718,ECONO!$T$9:$T$729)*100</f>
        <v>0</v>
      </c>
      <c r="CC59" s="606">
        <f ca="1">LOOKUP($BV59,INVENTARIOS!$A$4:$A$718,ECONO!$T$10:$T$730)*100</f>
        <v>0</v>
      </c>
      <c r="CD59" s="99">
        <f ca="1">LOOKUP($BV59,INVENTARIOS!$A$4:$A$718,ECONO!$X$8:$X$728)*100</f>
        <v>0</v>
      </c>
      <c r="CE59" s="99">
        <f ca="1">LOOKUP($BV59,INVENTARIOS!$A$4:$A$718,ECONO!$X$9:$X$729)*100</f>
        <v>0</v>
      </c>
      <c r="CF59" s="192">
        <f ca="1">LOOKUP($BV59,INVENTARIOS!$A$4:$A$718,ECONO!$X$10:$X$730)*100</f>
        <v>0</v>
      </c>
      <c r="CG59" s="195">
        <f ca="1">LOOKUP(GSh!$BV59,INVENTARIOS!$A$4:$A$718,ECONO!$X$4:$X$724)*100</f>
        <v>0</v>
      </c>
      <c r="CH59" s="98">
        <f ca="1">LOOKUP(GSh!$BV59,INVENTARIOS!$A$4:$A$718,ECONO!$X$5:$X$725)*100</f>
        <v>0</v>
      </c>
      <c r="CI59" s="98">
        <f ca="1">LOOKUP(GSh!$BV59,INVENTARIOS!$A$4:$A$718,ECONO!$X$6:$X$726)*100</f>
        <v>0</v>
      </c>
      <c r="CJ59" s="194">
        <f ca="1">LOOKUP(GSh!$BV59,INVENTARIOS!$A$4:$A$718,ECONO!$X$7:$X$727)*100</f>
        <v>0</v>
      </c>
      <c r="CK59" s="34">
        <f>IF(OR(AO59&gt;0,AT59&gt;0,AD59&gt;0),TP!A59,CK58)</f>
        <v>0</v>
      </c>
      <c r="CL59" s="257">
        <f>LOOKUP($BV59,INVENTARIOS!$A$4:$A$724,ECONO!$O$10:$O$730)</f>
        <v>0</v>
      </c>
      <c r="CM59" s="258">
        <f>LOOKUP($BV59,INVENTARIOS!$A$4:$A$724,ECONO!$Z$9:$Z$729)</f>
        <v>0</v>
      </c>
      <c r="CN59" s="260">
        <f t="shared" si="36"/>
        <v>0</v>
      </c>
      <c r="CO59"/>
    </row>
    <row r="60" spans="23:93" x14ac:dyDescent="0.3">
      <c r="W60" s="1"/>
      <c r="AC60" s="1193">
        <f t="shared" si="30"/>
        <v>72</v>
      </c>
      <c r="AD60" s="844">
        <f>LOOKUP(TP!$A60,PROD!$A$5:$A$725,PROD!$O$5:$O$725)</f>
        <v>0</v>
      </c>
      <c r="AE60" s="101">
        <f>IFERROR(LOOKUP(Linea,TP!$B$3:$DE$3,TP!B60:DE60),0)</f>
        <v>0</v>
      </c>
      <c r="AF60" s="101">
        <f t="shared" si="24"/>
        <v>0</v>
      </c>
      <c r="AG60" s="101">
        <f t="shared" si="25"/>
        <v>0</v>
      </c>
      <c r="AH60" s="845">
        <f t="shared" si="31"/>
        <v>0</v>
      </c>
      <c r="AI60" s="846">
        <f>LOOKUP(TP!$A60,PROD!$A$5:$A$725,PROD!$O$6:$O$726)</f>
        <v>0</v>
      </c>
      <c r="AJ60" s="101">
        <f>IFERROR(LOOKUP(Linea,TP!$B$3:$DE$3,TP!C60:DF60),0)</f>
        <v>0</v>
      </c>
      <c r="AK60" s="101">
        <f t="shared" si="28"/>
        <v>0</v>
      </c>
      <c r="AL60" s="101">
        <f t="shared" si="26"/>
        <v>0</v>
      </c>
      <c r="AM60" s="837">
        <f t="shared" si="32"/>
        <v>0</v>
      </c>
      <c r="AN60" s="175">
        <f>LOOKUP(TP!$A60,PROD!$A$5:$A$725,PROD!$I$11:$I$731)</f>
        <v>0</v>
      </c>
      <c r="AO60" s="171">
        <f>LOOKUP(TP!$A60,PROD!$A$5:$A$725,PROD!$K$5:$K$725)*100</f>
        <v>0</v>
      </c>
      <c r="AP60" s="110">
        <f>LOOKUP(TP!$A60,PROD!$A$5:$A$725,PROD!$K$8:$K$728)*100</f>
        <v>0</v>
      </c>
      <c r="AQ60" s="110">
        <f t="shared" si="33"/>
        <v>100</v>
      </c>
      <c r="AR60" s="109">
        <f>IFERROR(LOOKUP(Linea,TP!$B$3:$DE$3,TP!D60:DG60),0)</f>
        <v>0</v>
      </c>
      <c r="AS60" s="838">
        <f>SUMIF(PROD!$BF$5:$BF$725,GSh!$BV60,PROD!$V$5:$V$725)/1000*PROD!$A$1</f>
        <v>0</v>
      </c>
      <c r="AT60" s="627">
        <f>LOOKUP(TP!$A60,PROD!$A$5:$A$725,PROD!$AD$5:$AD$725)</f>
        <v>0</v>
      </c>
      <c r="AU60" s="101">
        <f>IFERROR(LOOKUP(Linea,TP!$B$3:$DE$3,TP!E60:DH60),0)</f>
        <v>0</v>
      </c>
      <c r="AV60" s="847">
        <f t="shared" si="34"/>
        <v>0</v>
      </c>
      <c r="AW60" s="1081">
        <f>LOOKUP($BV60,PROD!$A$5:$A$725,PROD!$AE$10:$AE$730)</f>
        <v>0</v>
      </c>
      <c r="AX60" s="1076">
        <f>LOOKUP($BV60,PROD!$A$5:$A$725,PROD!$AE$11:$AE$731)</f>
        <v>0</v>
      </c>
      <c r="AY60" s="114">
        <f>'Pr-Sem'!Z60</f>
        <v>0</v>
      </c>
      <c r="AZ60" s="101">
        <f>IFERROR(LOOKUP(Linea,TP!$B$3:$DE$3,TP!F60:DI60),0)</f>
        <v>0</v>
      </c>
      <c r="BA60" s="840">
        <f>LOOKUP(TP!$A60,PROD!$A$5:$A$725,PROD!$Q$7:$Q$727)</f>
        <v>0</v>
      </c>
      <c r="BB60" s="118">
        <f t="shared" si="37"/>
        <v>0</v>
      </c>
      <c r="BC60" s="109">
        <f t="shared" si="38"/>
        <v>0</v>
      </c>
      <c r="BD60" s="125">
        <f>LOOKUP(TP!$A60,PROD!$A$5:$A$725,PROD!$AH$7:$AH$727)</f>
        <v>0</v>
      </c>
      <c r="BE60" s="101">
        <f t="shared" si="35"/>
        <v>0</v>
      </c>
      <c r="BF60" s="850">
        <f t="shared" si="8"/>
        <v>0</v>
      </c>
      <c r="BG60" s="129">
        <f>LOOKUP(TP!$A60,PROD!$A$5:$A$725,PROD!$AH$8:$AH$728)</f>
        <v>0</v>
      </c>
      <c r="BH60" s="101">
        <f t="shared" si="39"/>
        <v>0</v>
      </c>
      <c r="BI60" s="849">
        <f t="shared" si="9"/>
        <v>0</v>
      </c>
      <c r="BJ60" s="513">
        <f>'Pr-Sem'!AC60*10</f>
        <v>0</v>
      </c>
      <c r="BK60" s="514">
        <f>IFERROR(LOOKUP(Linea,TP!$B$3:$DE$3,TP!J60:DJ60),0)</f>
        <v>0</v>
      </c>
      <c r="BL60" s="848">
        <f t="shared" si="10"/>
        <v>0</v>
      </c>
      <c r="BM60" s="137">
        <f>LOOKUP($BV60,PROD!$A$5:$A$725,PROD!$AH$5:$AH$725)*IF($BM$5="Gr X H",1,100)</f>
        <v>0</v>
      </c>
      <c r="BN60" s="138">
        <f>LOOKUP($BV60,PROD!$A$5:$A$725,PROD!$AI$5:$AI$725)*IF($BM$5="Gr X H",1,100)</f>
        <v>0</v>
      </c>
      <c r="BO60" s="849">
        <f t="shared" si="29"/>
        <v>0</v>
      </c>
      <c r="BP60" s="137">
        <f>LOOKUP(BV60,PROD!$A$5:$A$725,PROD!$AH$6:$AH$726)*IF($BM$5="Gr X H",1,100)</f>
        <v>0</v>
      </c>
      <c r="BQ60" s="138">
        <f>LOOKUP($BV60,PROD!$A$5:$A$725,PROD!$AI$6:$AI$726)*IF($BM$5="Gr X H",1,100)</f>
        <v>0</v>
      </c>
      <c r="BR60" s="849">
        <f t="shared" si="22"/>
        <v>0</v>
      </c>
      <c r="BS60" s="137">
        <f>LOOKUP(TP!$A60,PROD!$A$5:$A$725,PROD!$AH$9:$AH$729)</f>
        <v>0</v>
      </c>
      <c r="BT60" s="138">
        <f>LOOKUP(TP!$A60,PROD!$A$5:$A$725,PROD!$AI$9:$AI$729)</f>
        <v>0</v>
      </c>
      <c r="BU60" s="849">
        <f t="shared" si="11"/>
        <v>0</v>
      </c>
      <c r="BV60" s="833">
        <f t="shared" si="40"/>
        <v>72</v>
      </c>
      <c r="BW60" s="191">
        <f ca="1">LOOKUP($BV60,INVENTARIOS!$A$4:$A$718,ECONO!$T$4:$T$724)*100</f>
        <v>0</v>
      </c>
      <c r="BX60" s="606">
        <f ca="1">LOOKUP($BV60,INVENTARIOS!$A$4:$A$718,ECONO!$T$5:$T$725)*100</f>
        <v>0</v>
      </c>
      <c r="BY60" s="606">
        <f ca="1">LOOKUP($BV60,INVENTARIOS!$A$4:$A$718,ECONO!$T$6:$T$726)*100</f>
        <v>0</v>
      </c>
      <c r="BZ60" s="606">
        <f ca="1">LOOKUP($BV60,INVENTARIOS!$A$4:$A$718,ECONO!$T$7:$T$727)*100</f>
        <v>0</v>
      </c>
      <c r="CA60" s="606">
        <f ca="1">LOOKUP($BV60,INVENTARIOS!$A$4:$A$718,ECONO!$T$8:$T$728)*100</f>
        <v>0</v>
      </c>
      <c r="CB60" s="606">
        <f ca="1">LOOKUP($BV60,INVENTARIOS!$A$4:$A$718,ECONO!$T$9:$T$729)*100</f>
        <v>0</v>
      </c>
      <c r="CC60" s="606">
        <f ca="1">LOOKUP($BV60,INVENTARIOS!$A$4:$A$718,ECONO!$T$10:$T$730)*100</f>
        <v>0</v>
      </c>
      <c r="CD60" s="99">
        <f ca="1">LOOKUP($BV60,INVENTARIOS!$A$4:$A$718,ECONO!$X$8:$X$728)*100</f>
        <v>0</v>
      </c>
      <c r="CE60" s="99">
        <f ca="1">LOOKUP($BV60,INVENTARIOS!$A$4:$A$718,ECONO!$X$9:$X$729)*100</f>
        <v>0</v>
      </c>
      <c r="CF60" s="192">
        <f ca="1">LOOKUP($BV60,INVENTARIOS!$A$4:$A$718,ECONO!$X$10:$X$730)*100</f>
        <v>0</v>
      </c>
      <c r="CG60" s="195">
        <f ca="1">LOOKUP(GSh!$BV60,INVENTARIOS!$A$4:$A$718,ECONO!$X$4:$X$724)*100</f>
        <v>0</v>
      </c>
      <c r="CH60" s="98">
        <f ca="1">LOOKUP(GSh!$BV60,INVENTARIOS!$A$4:$A$718,ECONO!$X$5:$X$725)*100</f>
        <v>0</v>
      </c>
      <c r="CI60" s="98">
        <f ca="1">LOOKUP(GSh!$BV60,INVENTARIOS!$A$4:$A$718,ECONO!$X$6:$X$726)*100</f>
        <v>0</v>
      </c>
      <c r="CJ60" s="194">
        <f ca="1">LOOKUP(GSh!$BV60,INVENTARIOS!$A$4:$A$718,ECONO!$X$7:$X$727)*100</f>
        <v>0</v>
      </c>
      <c r="CK60" s="34">
        <f>IF(OR(AO60&gt;0,AT60&gt;0,AD60&gt;0),TP!A60,CK59)</f>
        <v>0</v>
      </c>
      <c r="CL60" s="257">
        <f>LOOKUP($BV60,INVENTARIOS!$A$4:$A$724,ECONO!$O$10:$O$730)</f>
        <v>0</v>
      </c>
      <c r="CM60" s="258">
        <f>LOOKUP($BV60,INVENTARIOS!$A$4:$A$724,ECONO!$Z$9:$Z$729)</f>
        <v>0</v>
      </c>
      <c r="CN60" s="260">
        <f t="shared" si="36"/>
        <v>0</v>
      </c>
      <c r="CO60"/>
    </row>
    <row r="61" spans="23:93" x14ac:dyDescent="0.3">
      <c r="W61" s="1"/>
      <c r="AC61" s="1193">
        <f t="shared" si="30"/>
        <v>73</v>
      </c>
      <c r="AD61" s="844">
        <f>LOOKUP(TP!$A61,PROD!$A$5:$A$725,PROD!$O$5:$O$725)</f>
        <v>0</v>
      </c>
      <c r="AE61" s="101">
        <f>IFERROR(LOOKUP(Linea,TP!$B$3:$DE$3,TP!B61:DE61),0)</f>
        <v>0</v>
      </c>
      <c r="AF61" s="101">
        <f t="shared" si="24"/>
        <v>0</v>
      </c>
      <c r="AG61" s="101">
        <f t="shared" si="25"/>
        <v>0</v>
      </c>
      <c r="AH61" s="845">
        <f t="shared" si="31"/>
        <v>0</v>
      </c>
      <c r="AI61" s="846">
        <f>LOOKUP(TP!$A61,PROD!$A$5:$A$725,PROD!$O$6:$O$726)</f>
        <v>0</v>
      </c>
      <c r="AJ61" s="101">
        <f>IFERROR(LOOKUP(Linea,TP!$B$3:$DE$3,TP!C61:DF61),0)</f>
        <v>0</v>
      </c>
      <c r="AK61" s="101">
        <f t="shared" si="28"/>
        <v>0</v>
      </c>
      <c r="AL61" s="101">
        <f t="shared" si="26"/>
        <v>0</v>
      </c>
      <c r="AM61" s="837">
        <f t="shared" si="32"/>
        <v>0</v>
      </c>
      <c r="AN61" s="175">
        <f>LOOKUP(TP!$A61,PROD!$A$5:$A$725,PROD!$I$11:$I$731)</f>
        <v>0</v>
      </c>
      <c r="AO61" s="171">
        <f>LOOKUP(TP!$A61,PROD!$A$5:$A$725,PROD!$K$5:$K$725)*100</f>
        <v>0</v>
      </c>
      <c r="AP61" s="110">
        <f>LOOKUP(TP!$A61,PROD!$A$5:$A$725,PROD!$K$8:$K$728)*100</f>
        <v>0</v>
      </c>
      <c r="AQ61" s="110">
        <f t="shared" si="33"/>
        <v>100</v>
      </c>
      <c r="AR61" s="109">
        <f>IFERROR(LOOKUP(Linea,TP!$B$3:$DE$3,TP!D61:DG61),0)</f>
        <v>0</v>
      </c>
      <c r="AS61" s="838">
        <f>SUMIF(PROD!$BF$5:$BF$725,GSh!$BV61,PROD!$V$5:$V$725)/1000*PROD!$A$1</f>
        <v>0</v>
      </c>
      <c r="AT61" s="627">
        <f>LOOKUP(TP!$A61,PROD!$A$5:$A$725,PROD!$AD$5:$AD$725)</f>
        <v>0</v>
      </c>
      <c r="AU61" s="101">
        <f>IFERROR(LOOKUP(Linea,TP!$B$3:$DE$3,TP!E61:DH61),0)</f>
        <v>0</v>
      </c>
      <c r="AV61" s="847">
        <f t="shared" si="34"/>
        <v>0</v>
      </c>
      <c r="AW61" s="1081">
        <f>LOOKUP($BV61,PROD!$A$5:$A$725,PROD!$AE$10:$AE$730)</f>
        <v>0</v>
      </c>
      <c r="AX61" s="1076">
        <f>LOOKUP($BV61,PROD!$A$5:$A$725,PROD!$AE$11:$AE$731)</f>
        <v>0</v>
      </c>
      <c r="AY61" s="114">
        <f>'Pr-Sem'!Z61</f>
        <v>0</v>
      </c>
      <c r="AZ61" s="101">
        <f>IFERROR(LOOKUP(Linea,TP!$B$3:$DE$3,TP!F61:DI61),0)</f>
        <v>0</v>
      </c>
      <c r="BA61" s="840">
        <f>LOOKUP(TP!$A61,PROD!$A$5:$A$725,PROD!$Q$7:$Q$727)</f>
        <v>0</v>
      </c>
      <c r="BB61" s="118">
        <f t="shared" si="37"/>
        <v>0</v>
      </c>
      <c r="BC61" s="109">
        <f t="shared" si="38"/>
        <v>0</v>
      </c>
      <c r="BD61" s="125">
        <f>LOOKUP(TP!$A61,PROD!$A$5:$A$725,PROD!$AH$7:$AH$727)</f>
        <v>0</v>
      </c>
      <c r="BE61" s="101">
        <f t="shared" si="35"/>
        <v>0</v>
      </c>
      <c r="BF61" s="850">
        <f t="shared" si="8"/>
        <v>0</v>
      </c>
      <c r="BG61" s="129">
        <f>LOOKUP(TP!$A61,PROD!$A$5:$A$725,PROD!$AH$8:$AH$728)</f>
        <v>0</v>
      </c>
      <c r="BH61" s="101">
        <f t="shared" si="39"/>
        <v>0</v>
      </c>
      <c r="BI61" s="849">
        <f t="shared" si="9"/>
        <v>0</v>
      </c>
      <c r="BJ61" s="513">
        <f>'Pr-Sem'!AC61*10</f>
        <v>0</v>
      </c>
      <c r="BK61" s="514">
        <f>IFERROR(LOOKUP(Linea,TP!$B$3:$DE$3,TP!J61:DJ61),0)</f>
        <v>0</v>
      </c>
      <c r="BL61" s="848">
        <f t="shared" si="10"/>
        <v>0</v>
      </c>
      <c r="BM61" s="137">
        <f>LOOKUP($BV61,PROD!$A$5:$A$725,PROD!$AH$5:$AH$725)*IF($BM$5="Gr X H",1,100)</f>
        <v>0</v>
      </c>
      <c r="BN61" s="138">
        <f>LOOKUP($BV61,PROD!$A$5:$A$725,PROD!$AI$5:$AI$725)*IF($BM$5="Gr X H",1,100)</f>
        <v>0</v>
      </c>
      <c r="BO61" s="849">
        <f t="shared" si="29"/>
        <v>0</v>
      </c>
      <c r="BP61" s="137">
        <f>LOOKUP(BV61,PROD!$A$5:$A$725,PROD!$AH$6:$AH$726)*IF($BM$5="Gr X H",1,100)</f>
        <v>0</v>
      </c>
      <c r="BQ61" s="138">
        <f>LOOKUP($BV61,PROD!$A$5:$A$725,PROD!$AI$6:$AI$726)*IF($BM$5="Gr X H",1,100)</f>
        <v>0</v>
      </c>
      <c r="BR61" s="849">
        <f t="shared" si="22"/>
        <v>0</v>
      </c>
      <c r="BS61" s="137">
        <f>LOOKUP(TP!$A61,PROD!$A$5:$A$725,PROD!$AH$9:$AH$729)</f>
        <v>0</v>
      </c>
      <c r="BT61" s="138">
        <f>LOOKUP(TP!$A61,PROD!$A$5:$A$725,PROD!$AI$9:$AI$729)</f>
        <v>0</v>
      </c>
      <c r="BU61" s="849">
        <f t="shared" si="11"/>
        <v>0</v>
      </c>
      <c r="BV61" s="833">
        <f t="shared" si="40"/>
        <v>73</v>
      </c>
      <c r="BW61" s="191">
        <f ca="1">LOOKUP($BV61,INVENTARIOS!$A$4:$A$718,ECONO!$T$4:$T$724)*100</f>
        <v>0</v>
      </c>
      <c r="BX61" s="606">
        <f ca="1">LOOKUP($BV61,INVENTARIOS!$A$4:$A$718,ECONO!$T$5:$T$725)*100</f>
        <v>0</v>
      </c>
      <c r="BY61" s="606">
        <f ca="1">LOOKUP($BV61,INVENTARIOS!$A$4:$A$718,ECONO!$T$6:$T$726)*100</f>
        <v>0</v>
      </c>
      <c r="BZ61" s="606">
        <f ca="1">LOOKUP($BV61,INVENTARIOS!$A$4:$A$718,ECONO!$T$7:$T$727)*100</f>
        <v>0</v>
      </c>
      <c r="CA61" s="606">
        <f ca="1">LOOKUP($BV61,INVENTARIOS!$A$4:$A$718,ECONO!$T$8:$T$728)*100</f>
        <v>0</v>
      </c>
      <c r="CB61" s="606">
        <f ca="1">LOOKUP($BV61,INVENTARIOS!$A$4:$A$718,ECONO!$T$9:$T$729)*100</f>
        <v>0</v>
      </c>
      <c r="CC61" s="606">
        <f ca="1">LOOKUP($BV61,INVENTARIOS!$A$4:$A$718,ECONO!$T$10:$T$730)*100</f>
        <v>0</v>
      </c>
      <c r="CD61" s="99">
        <f ca="1">LOOKUP($BV61,INVENTARIOS!$A$4:$A$718,ECONO!$X$8:$X$728)*100</f>
        <v>0</v>
      </c>
      <c r="CE61" s="99">
        <f ca="1">LOOKUP($BV61,INVENTARIOS!$A$4:$A$718,ECONO!$X$9:$X$729)*100</f>
        <v>0</v>
      </c>
      <c r="CF61" s="192">
        <f ca="1">LOOKUP($BV61,INVENTARIOS!$A$4:$A$718,ECONO!$X$10:$X$730)*100</f>
        <v>0</v>
      </c>
      <c r="CG61" s="195">
        <f ca="1">LOOKUP(GSh!$BV61,INVENTARIOS!$A$4:$A$718,ECONO!$X$4:$X$724)*100</f>
        <v>0</v>
      </c>
      <c r="CH61" s="98">
        <f ca="1">LOOKUP(GSh!$BV61,INVENTARIOS!$A$4:$A$718,ECONO!$X$5:$X$725)*100</f>
        <v>0</v>
      </c>
      <c r="CI61" s="98">
        <f ca="1">LOOKUP(GSh!$BV61,INVENTARIOS!$A$4:$A$718,ECONO!$X$6:$X$726)*100</f>
        <v>0</v>
      </c>
      <c r="CJ61" s="194">
        <f ca="1">LOOKUP(GSh!$BV61,INVENTARIOS!$A$4:$A$718,ECONO!$X$7:$X$727)*100</f>
        <v>0</v>
      </c>
      <c r="CK61" s="34">
        <f>IF(OR(AO61&gt;0,AT61&gt;0,AD61&gt;0),TP!A61,CK60)</f>
        <v>0</v>
      </c>
      <c r="CL61" s="257">
        <f>LOOKUP($BV61,INVENTARIOS!$A$4:$A$724,ECONO!$O$10:$O$730)</f>
        <v>0</v>
      </c>
      <c r="CM61" s="258">
        <f>LOOKUP($BV61,INVENTARIOS!$A$4:$A$724,ECONO!$Z$9:$Z$729)</f>
        <v>0</v>
      </c>
      <c r="CN61" s="260">
        <f t="shared" si="36"/>
        <v>0</v>
      </c>
      <c r="CO61"/>
    </row>
    <row r="62" spans="23:93" x14ac:dyDescent="0.3">
      <c r="W62" s="1"/>
      <c r="AC62" s="1193">
        <f t="shared" si="30"/>
        <v>74</v>
      </c>
      <c r="AD62" s="844">
        <f>LOOKUP(TP!$A62,PROD!$A$5:$A$725,PROD!$O$5:$O$725)</f>
        <v>0</v>
      </c>
      <c r="AE62" s="101">
        <f>IFERROR(LOOKUP(Linea,TP!$B$3:$DE$3,TP!B62:DE62),0)</f>
        <v>0</v>
      </c>
      <c r="AF62" s="101">
        <f t="shared" si="24"/>
        <v>0</v>
      </c>
      <c r="AG62" s="101">
        <f t="shared" si="25"/>
        <v>0</v>
      </c>
      <c r="AH62" s="845">
        <f t="shared" si="31"/>
        <v>0</v>
      </c>
      <c r="AI62" s="846">
        <f>LOOKUP(TP!$A62,PROD!$A$5:$A$725,PROD!$O$6:$O$726)</f>
        <v>0</v>
      </c>
      <c r="AJ62" s="101">
        <f>IFERROR(LOOKUP(Linea,TP!$B$3:$DE$3,TP!C62:DF62),0)</f>
        <v>0</v>
      </c>
      <c r="AK62" s="101">
        <f t="shared" si="28"/>
        <v>0</v>
      </c>
      <c r="AL62" s="101">
        <f t="shared" si="26"/>
        <v>0</v>
      </c>
      <c r="AM62" s="837">
        <f t="shared" si="32"/>
        <v>0</v>
      </c>
      <c r="AN62" s="175">
        <f>LOOKUP(TP!$A62,PROD!$A$5:$A$725,PROD!$I$11:$I$731)</f>
        <v>0</v>
      </c>
      <c r="AO62" s="171">
        <f>LOOKUP(TP!$A62,PROD!$A$5:$A$725,PROD!$K$5:$K$725)*100</f>
        <v>0</v>
      </c>
      <c r="AP62" s="110">
        <f>LOOKUP(TP!$A62,PROD!$A$5:$A$725,PROD!$K$8:$K$728)*100</f>
        <v>0</v>
      </c>
      <c r="AQ62" s="110">
        <f t="shared" si="33"/>
        <v>100</v>
      </c>
      <c r="AR62" s="109">
        <f>IFERROR(LOOKUP(Linea,TP!$B$3:$DE$3,TP!D62:DG62),0)</f>
        <v>0</v>
      </c>
      <c r="AS62" s="838">
        <f>SUMIF(PROD!$BF$5:$BF$725,GSh!$BV62,PROD!$V$5:$V$725)/1000*PROD!$A$1</f>
        <v>0</v>
      </c>
      <c r="AT62" s="627">
        <f>LOOKUP(TP!$A62,PROD!$A$5:$A$725,PROD!$AD$5:$AD$725)</f>
        <v>0</v>
      </c>
      <c r="AU62" s="101">
        <f>IFERROR(LOOKUP(Linea,TP!$B$3:$DE$3,TP!E62:DH62),0)</f>
        <v>0</v>
      </c>
      <c r="AV62" s="847">
        <f t="shared" si="34"/>
        <v>0</v>
      </c>
      <c r="AW62" s="1081">
        <f>LOOKUP($BV62,PROD!$A$5:$A$725,PROD!$AE$10:$AE$730)</f>
        <v>0</v>
      </c>
      <c r="AX62" s="1076">
        <f>LOOKUP($BV62,PROD!$A$5:$A$725,PROD!$AE$11:$AE$731)</f>
        <v>0</v>
      </c>
      <c r="AY62" s="114">
        <f>'Pr-Sem'!Z62</f>
        <v>0</v>
      </c>
      <c r="AZ62" s="101">
        <f>IFERROR(LOOKUP(Linea,TP!$B$3:$DE$3,TP!F62:DI62),0)</f>
        <v>0</v>
      </c>
      <c r="BA62" s="840">
        <f>LOOKUP(TP!$A62,PROD!$A$5:$A$725,PROD!$Q$7:$Q$727)</f>
        <v>0</v>
      </c>
      <c r="BB62" s="118">
        <f t="shared" si="37"/>
        <v>0</v>
      </c>
      <c r="BC62" s="109">
        <f t="shared" si="38"/>
        <v>0</v>
      </c>
      <c r="BD62" s="125">
        <f>LOOKUP(TP!$A62,PROD!$A$5:$A$725,PROD!$AH$7:$AH$727)</f>
        <v>0</v>
      </c>
      <c r="BE62" s="101">
        <f t="shared" si="35"/>
        <v>0</v>
      </c>
      <c r="BF62" s="850">
        <f t="shared" si="8"/>
        <v>0</v>
      </c>
      <c r="BG62" s="129">
        <f>LOOKUP(TP!$A62,PROD!$A$5:$A$725,PROD!$AH$8:$AH$728)</f>
        <v>0</v>
      </c>
      <c r="BH62" s="101">
        <f t="shared" si="39"/>
        <v>0</v>
      </c>
      <c r="BI62" s="849">
        <f t="shared" si="9"/>
        <v>0</v>
      </c>
      <c r="BJ62" s="513">
        <f>'Pr-Sem'!AC62*10</f>
        <v>0</v>
      </c>
      <c r="BK62" s="514">
        <f>IFERROR(LOOKUP(Linea,TP!$B$3:$DE$3,TP!J62:DJ62),0)</f>
        <v>0</v>
      </c>
      <c r="BL62" s="848">
        <f t="shared" si="10"/>
        <v>0</v>
      </c>
      <c r="BM62" s="137">
        <f>LOOKUP($BV62,PROD!$A$5:$A$725,PROD!$AH$5:$AH$725)*IF($BM$5="Gr X H",1,100)</f>
        <v>0</v>
      </c>
      <c r="BN62" s="138">
        <f>LOOKUP($BV62,PROD!$A$5:$A$725,PROD!$AI$5:$AI$725)*IF($BM$5="Gr X H",1,100)</f>
        <v>0</v>
      </c>
      <c r="BO62" s="849">
        <f t="shared" si="29"/>
        <v>0</v>
      </c>
      <c r="BP62" s="137">
        <f>LOOKUP(BV62,PROD!$A$5:$A$725,PROD!$AH$6:$AH$726)*IF($BM$5="Gr X H",1,100)</f>
        <v>0</v>
      </c>
      <c r="BQ62" s="138">
        <f>LOOKUP($BV62,PROD!$A$5:$A$725,PROD!$AI$6:$AI$726)*IF($BM$5="Gr X H",1,100)</f>
        <v>0</v>
      </c>
      <c r="BR62" s="849">
        <f t="shared" si="22"/>
        <v>0</v>
      </c>
      <c r="BS62" s="137">
        <f>LOOKUP(TP!$A62,PROD!$A$5:$A$725,PROD!$AH$9:$AH$729)</f>
        <v>0</v>
      </c>
      <c r="BT62" s="138">
        <f>LOOKUP(TP!$A62,PROD!$A$5:$A$725,PROD!$AI$9:$AI$729)</f>
        <v>0</v>
      </c>
      <c r="BU62" s="849">
        <f t="shared" si="11"/>
        <v>0</v>
      </c>
      <c r="BV62" s="833">
        <f t="shared" si="40"/>
        <v>74</v>
      </c>
      <c r="BW62" s="191">
        <f ca="1">LOOKUP($BV62,INVENTARIOS!$A$4:$A$718,ECONO!$T$4:$T$724)*100</f>
        <v>0</v>
      </c>
      <c r="BX62" s="606">
        <f ca="1">LOOKUP($BV62,INVENTARIOS!$A$4:$A$718,ECONO!$T$5:$T$725)*100</f>
        <v>0</v>
      </c>
      <c r="BY62" s="606">
        <f ca="1">LOOKUP($BV62,INVENTARIOS!$A$4:$A$718,ECONO!$T$6:$T$726)*100</f>
        <v>0</v>
      </c>
      <c r="BZ62" s="606">
        <f ca="1">LOOKUP($BV62,INVENTARIOS!$A$4:$A$718,ECONO!$T$7:$T$727)*100</f>
        <v>0</v>
      </c>
      <c r="CA62" s="606">
        <f ca="1">LOOKUP($BV62,INVENTARIOS!$A$4:$A$718,ECONO!$T$8:$T$728)*100</f>
        <v>0</v>
      </c>
      <c r="CB62" s="606">
        <f ca="1">LOOKUP($BV62,INVENTARIOS!$A$4:$A$718,ECONO!$T$9:$T$729)*100</f>
        <v>0</v>
      </c>
      <c r="CC62" s="606">
        <f ca="1">LOOKUP($BV62,INVENTARIOS!$A$4:$A$718,ECONO!$T$10:$T$730)*100</f>
        <v>0</v>
      </c>
      <c r="CD62" s="99">
        <f ca="1">LOOKUP($BV62,INVENTARIOS!$A$4:$A$718,ECONO!$X$8:$X$728)*100</f>
        <v>0</v>
      </c>
      <c r="CE62" s="99">
        <f ca="1">LOOKUP($BV62,INVENTARIOS!$A$4:$A$718,ECONO!$X$9:$X$729)*100</f>
        <v>0</v>
      </c>
      <c r="CF62" s="192">
        <f ca="1">LOOKUP($BV62,INVENTARIOS!$A$4:$A$718,ECONO!$X$10:$X$730)*100</f>
        <v>0</v>
      </c>
      <c r="CG62" s="195">
        <f ca="1">LOOKUP(GSh!$BV62,INVENTARIOS!$A$4:$A$718,ECONO!$X$4:$X$724)*100</f>
        <v>0</v>
      </c>
      <c r="CH62" s="98">
        <f ca="1">LOOKUP(GSh!$BV62,INVENTARIOS!$A$4:$A$718,ECONO!$X$5:$X$725)*100</f>
        <v>0</v>
      </c>
      <c r="CI62" s="98">
        <f ca="1">LOOKUP(GSh!$BV62,INVENTARIOS!$A$4:$A$718,ECONO!$X$6:$X$726)*100</f>
        <v>0</v>
      </c>
      <c r="CJ62" s="194">
        <f ca="1">LOOKUP(GSh!$BV62,INVENTARIOS!$A$4:$A$718,ECONO!$X$7:$X$727)*100</f>
        <v>0</v>
      </c>
      <c r="CK62" s="34">
        <f>IF(OR(AO62&gt;0,AT62&gt;0,AD62&gt;0),TP!A62,CK61)</f>
        <v>0</v>
      </c>
      <c r="CL62" s="257">
        <f>LOOKUP($BV62,INVENTARIOS!$A$4:$A$724,ECONO!$O$10:$O$730)</f>
        <v>0</v>
      </c>
      <c r="CM62" s="258">
        <f>LOOKUP($BV62,INVENTARIOS!$A$4:$A$724,ECONO!$Z$9:$Z$729)</f>
        <v>0</v>
      </c>
      <c r="CN62" s="260">
        <f t="shared" si="36"/>
        <v>0</v>
      </c>
      <c r="CO62"/>
    </row>
    <row r="63" spans="23:93" x14ac:dyDescent="0.3">
      <c r="W63" s="1"/>
      <c r="AC63" s="1193">
        <f t="shared" si="30"/>
        <v>75</v>
      </c>
      <c r="AD63" s="844">
        <f>LOOKUP(TP!$A63,PROD!$A$5:$A$725,PROD!$O$5:$O$725)</f>
        <v>0</v>
      </c>
      <c r="AE63" s="101">
        <f>IFERROR(LOOKUP(Linea,TP!$B$3:$DE$3,TP!B63:DE63),0)</f>
        <v>0</v>
      </c>
      <c r="AF63" s="101">
        <f t="shared" si="24"/>
        <v>0</v>
      </c>
      <c r="AG63" s="101">
        <f t="shared" si="25"/>
        <v>0</v>
      </c>
      <c r="AH63" s="845">
        <f t="shared" si="31"/>
        <v>0</v>
      </c>
      <c r="AI63" s="846">
        <f>LOOKUP(TP!$A63,PROD!$A$5:$A$725,PROD!$O$6:$O$726)</f>
        <v>0</v>
      </c>
      <c r="AJ63" s="101">
        <f>IFERROR(LOOKUP(Linea,TP!$B$3:$DE$3,TP!C63:DF63),0)</f>
        <v>0</v>
      </c>
      <c r="AK63" s="101">
        <f t="shared" si="28"/>
        <v>0</v>
      </c>
      <c r="AL63" s="101">
        <f t="shared" si="26"/>
        <v>0</v>
      </c>
      <c r="AM63" s="837">
        <f t="shared" si="32"/>
        <v>0</v>
      </c>
      <c r="AN63" s="175">
        <f>LOOKUP(TP!$A63,PROD!$A$5:$A$725,PROD!$I$11:$I$731)</f>
        <v>0</v>
      </c>
      <c r="AO63" s="171">
        <f>LOOKUP(TP!$A63,PROD!$A$5:$A$725,PROD!$K$5:$K$725)*100</f>
        <v>0</v>
      </c>
      <c r="AP63" s="110">
        <f>LOOKUP(TP!$A63,PROD!$A$5:$A$725,PROD!$K$8:$K$728)*100</f>
        <v>0</v>
      </c>
      <c r="AQ63" s="110">
        <f t="shared" si="33"/>
        <v>100</v>
      </c>
      <c r="AR63" s="109">
        <f>IFERROR(LOOKUP(Linea,TP!$B$3:$DE$3,TP!D63:DG63),0)</f>
        <v>0</v>
      </c>
      <c r="AS63" s="838">
        <f>SUMIF(PROD!$BF$5:$BF$725,GSh!$BV63,PROD!$V$5:$V$725)/1000*PROD!$A$1</f>
        <v>0</v>
      </c>
      <c r="AT63" s="627">
        <f>LOOKUP(TP!$A63,PROD!$A$5:$A$725,PROD!$AD$5:$AD$725)</f>
        <v>0</v>
      </c>
      <c r="AU63" s="101">
        <f>IFERROR(LOOKUP(Linea,TP!$B$3:$DE$3,TP!E63:DH63),0)</f>
        <v>0</v>
      </c>
      <c r="AV63" s="847">
        <f t="shared" si="34"/>
        <v>0</v>
      </c>
      <c r="AW63" s="1081">
        <f>LOOKUP($BV63,PROD!$A$5:$A$725,PROD!$AE$10:$AE$730)</f>
        <v>0</v>
      </c>
      <c r="AX63" s="1076">
        <f>LOOKUP($BV63,PROD!$A$5:$A$725,PROD!$AE$11:$AE$731)</f>
        <v>0</v>
      </c>
      <c r="AY63" s="114">
        <f>'Pr-Sem'!Z63</f>
        <v>0</v>
      </c>
      <c r="AZ63" s="101">
        <f>IFERROR(LOOKUP(Linea,TP!$B$3:$DE$3,TP!F63:DI63),0)</f>
        <v>0</v>
      </c>
      <c r="BA63" s="840">
        <f>LOOKUP(TP!$A63,PROD!$A$5:$A$725,PROD!$Q$7:$Q$727)</f>
        <v>0</v>
      </c>
      <c r="BB63" s="118">
        <f t="shared" si="37"/>
        <v>0</v>
      </c>
      <c r="BC63" s="109">
        <f t="shared" si="38"/>
        <v>0</v>
      </c>
      <c r="BD63" s="125">
        <f>LOOKUP(TP!$A63,PROD!$A$5:$A$725,PROD!$AH$7:$AH$727)</f>
        <v>0</v>
      </c>
      <c r="BE63" s="101">
        <f t="shared" si="35"/>
        <v>0</v>
      </c>
      <c r="BF63" s="850">
        <f t="shared" si="8"/>
        <v>0</v>
      </c>
      <c r="BG63" s="129">
        <f>LOOKUP(TP!$A63,PROD!$A$5:$A$725,PROD!$AH$8:$AH$728)</f>
        <v>0</v>
      </c>
      <c r="BH63" s="101">
        <f t="shared" si="39"/>
        <v>0</v>
      </c>
      <c r="BI63" s="849">
        <f t="shared" si="9"/>
        <v>0</v>
      </c>
      <c r="BJ63" s="513">
        <f>'Pr-Sem'!AC63*10</f>
        <v>0</v>
      </c>
      <c r="BK63" s="514">
        <f>IFERROR(LOOKUP(Linea,TP!$B$3:$DE$3,TP!J63:DJ63),0)</f>
        <v>0</v>
      </c>
      <c r="BL63" s="848">
        <f t="shared" si="10"/>
        <v>0</v>
      </c>
      <c r="BM63" s="137">
        <f>LOOKUP($BV63,PROD!$A$5:$A$725,PROD!$AH$5:$AH$725)*IF($BM$5="Gr X H",1,100)</f>
        <v>0</v>
      </c>
      <c r="BN63" s="138">
        <f>LOOKUP($BV63,PROD!$A$5:$A$725,PROD!$AI$5:$AI$725)*IF($BM$5="Gr X H",1,100)</f>
        <v>0</v>
      </c>
      <c r="BO63" s="849">
        <f t="shared" si="29"/>
        <v>0</v>
      </c>
      <c r="BP63" s="137">
        <f>LOOKUP(BV63,PROD!$A$5:$A$725,PROD!$AH$6:$AH$726)*IF($BM$5="Gr X H",1,100)</f>
        <v>0</v>
      </c>
      <c r="BQ63" s="138">
        <f>LOOKUP($BV63,PROD!$A$5:$A$725,PROD!$AI$6:$AI$726)*IF($BM$5="Gr X H",1,100)</f>
        <v>0</v>
      </c>
      <c r="BR63" s="849">
        <f t="shared" si="22"/>
        <v>0</v>
      </c>
      <c r="BS63" s="137">
        <f>LOOKUP(TP!$A63,PROD!$A$5:$A$725,PROD!$AH$9:$AH$729)</f>
        <v>0</v>
      </c>
      <c r="BT63" s="138">
        <f>LOOKUP(TP!$A63,PROD!$A$5:$A$725,PROD!$AI$9:$AI$729)</f>
        <v>0</v>
      </c>
      <c r="BU63" s="849">
        <f t="shared" si="11"/>
        <v>0</v>
      </c>
      <c r="BV63" s="833">
        <f t="shared" si="40"/>
        <v>75</v>
      </c>
      <c r="BW63" s="191">
        <f ca="1">LOOKUP($BV63,INVENTARIOS!$A$4:$A$718,ECONO!$T$4:$T$724)*100</f>
        <v>0</v>
      </c>
      <c r="BX63" s="606">
        <f ca="1">LOOKUP($BV63,INVENTARIOS!$A$4:$A$718,ECONO!$T$5:$T$725)*100</f>
        <v>0</v>
      </c>
      <c r="BY63" s="606">
        <f ca="1">LOOKUP($BV63,INVENTARIOS!$A$4:$A$718,ECONO!$T$6:$T$726)*100</f>
        <v>0</v>
      </c>
      <c r="BZ63" s="606">
        <f ca="1">LOOKUP($BV63,INVENTARIOS!$A$4:$A$718,ECONO!$T$7:$T$727)*100</f>
        <v>0</v>
      </c>
      <c r="CA63" s="606">
        <f ca="1">LOOKUP($BV63,INVENTARIOS!$A$4:$A$718,ECONO!$T$8:$T$728)*100</f>
        <v>0</v>
      </c>
      <c r="CB63" s="606">
        <f ca="1">LOOKUP($BV63,INVENTARIOS!$A$4:$A$718,ECONO!$T$9:$T$729)*100</f>
        <v>0</v>
      </c>
      <c r="CC63" s="606">
        <f ca="1">LOOKUP($BV63,INVENTARIOS!$A$4:$A$718,ECONO!$T$10:$T$730)*100</f>
        <v>0</v>
      </c>
      <c r="CD63" s="99">
        <f ca="1">LOOKUP($BV63,INVENTARIOS!$A$4:$A$718,ECONO!$X$8:$X$728)*100</f>
        <v>0</v>
      </c>
      <c r="CE63" s="99">
        <f ca="1">LOOKUP($BV63,INVENTARIOS!$A$4:$A$718,ECONO!$X$9:$X$729)*100</f>
        <v>0</v>
      </c>
      <c r="CF63" s="192">
        <f ca="1">LOOKUP($BV63,INVENTARIOS!$A$4:$A$718,ECONO!$X$10:$X$730)*100</f>
        <v>0</v>
      </c>
      <c r="CG63" s="195">
        <f ca="1">LOOKUP(GSh!$BV63,INVENTARIOS!$A$4:$A$718,ECONO!$X$4:$X$724)*100</f>
        <v>0</v>
      </c>
      <c r="CH63" s="98">
        <f ca="1">LOOKUP(GSh!$BV63,INVENTARIOS!$A$4:$A$718,ECONO!$X$5:$X$725)*100</f>
        <v>0</v>
      </c>
      <c r="CI63" s="98">
        <f ca="1">LOOKUP(GSh!$BV63,INVENTARIOS!$A$4:$A$718,ECONO!$X$6:$X$726)*100</f>
        <v>0</v>
      </c>
      <c r="CJ63" s="194">
        <f ca="1">LOOKUP(GSh!$BV63,INVENTARIOS!$A$4:$A$718,ECONO!$X$7:$X$727)*100</f>
        <v>0</v>
      </c>
      <c r="CK63" s="34">
        <f>IF(OR(AO63&gt;0,AT63&gt;0,AD63&gt;0),TP!A63,CK62)</f>
        <v>0</v>
      </c>
      <c r="CL63" s="257">
        <f>LOOKUP($BV63,INVENTARIOS!$A$4:$A$724,ECONO!$O$10:$O$730)</f>
        <v>0</v>
      </c>
      <c r="CM63" s="258">
        <f>LOOKUP($BV63,INVENTARIOS!$A$4:$A$724,ECONO!$Z$9:$Z$729)</f>
        <v>0</v>
      </c>
      <c r="CN63" s="260">
        <f t="shared" si="36"/>
        <v>0</v>
      </c>
      <c r="CO63"/>
    </row>
    <row r="64" spans="23:93" x14ac:dyDescent="0.3">
      <c r="W64" s="1"/>
      <c r="AC64" s="1193">
        <f t="shared" si="30"/>
        <v>76</v>
      </c>
      <c r="AD64" s="844">
        <f>LOOKUP(TP!$A64,PROD!$A$5:$A$725,PROD!$O$5:$O$725)</f>
        <v>0</v>
      </c>
      <c r="AE64" s="101">
        <f>IFERROR(LOOKUP(Linea,TP!$B$3:$DE$3,TP!B64:DE64),0)</f>
        <v>0</v>
      </c>
      <c r="AF64" s="101">
        <f t="shared" si="24"/>
        <v>0</v>
      </c>
      <c r="AG64" s="101">
        <f t="shared" si="25"/>
        <v>0</v>
      </c>
      <c r="AH64" s="845">
        <f t="shared" si="31"/>
        <v>0</v>
      </c>
      <c r="AI64" s="846">
        <f>LOOKUP(TP!$A64,PROD!$A$5:$A$725,PROD!$O$6:$O$726)</f>
        <v>0</v>
      </c>
      <c r="AJ64" s="101">
        <f>IFERROR(LOOKUP(Linea,TP!$B$3:$DE$3,TP!C64:DF64),0)</f>
        <v>0</v>
      </c>
      <c r="AK64" s="101">
        <f t="shared" si="28"/>
        <v>0</v>
      </c>
      <c r="AL64" s="101">
        <f t="shared" si="26"/>
        <v>0</v>
      </c>
      <c r="AM64" s="837">
        <f t="shared" si="32"/>
        <v>0</v>
      </c>
      <c r="AN64" s="175">
        <f>LOOKUP(TP!$A64,PROD!$A$5:$A$725,PROD!$I$11:$I$731)</f>
        <v>0</v>
      </c>
      <c r="AO64" s="171">
        <f>LOOKUP(TP!$A64,PROD!$A$5:$A$725,PROD!$K$5:$K$725)*100</f>
        <v>0</v>
      </c>
      <c r="AP64" s="110">
        <f>LOOKUP(TP!$A64,PROD!$A$5:$A$725,PROD!$K$8:$K$728)*100</f>
        <v>0</v>
      </c>
      <c r="AQ64" s="110">
        <f t="shared" si="33"/>
        <v>100</v>
      </c>
      <c r="AR64" s="109">
        <f>IFERROR(LOOKUP(Linea,TP!$B$3:$DE$3,TP!D64:DG64),0)</f>
        <v>0</v>
      </c>
      <c r="AS64" s="838">
        <f>SUMIF(PROD!$BF$5:$BF$725,GSh!$BV64,PROD!$V$5:$V$725)/1000*PROD!$A$1</f>
        <v>0</v>
      </c>
      <c r="AT64" s="627">
        <f>LOOKUP(TP!$A64,PROD!$A$5:$A$725,PROD!$AD$5:$AD$725)</f>
        <v>0</v>
      </c>
      <c r="AU64" s="101">
        <f>IFERROR(LOOKUP(Linea,TP!$B$3:$DE$3,TP!E64:DH64),0)</f>
        <v>0</v>
      </c>
      <c r="AV64" s="847">
        <f t="shared" si="34"/>
        <v>0</v>
      </c>
      <c r="AW64" s="1081">
        <f>LOOKUP($BV64,PROD!$A$5:$A$725,PROD!$AE$10:$AE$730)</f>
        <v>0</v>
      </c>
      <c r="AX64" s="1076">
        <f>LOOKUP($BV64,PROD!$A$5:$A$725,PROD!$AE$11:$AE$731)</f>
        <v>0</v>
      </c>
      <c r="AY64" s="114">
        <f>'Pr-Sem'!Z64</f>
        <v>0</v>
      </c>
      <c r="AZ64" s="101">
        <f>IFERROR(LOOKUP(Linea,TP!$B$3:$DE$3,TP!F64:DI64),0)</f>
        <v>0</v>
      </c>
      <c r="BA64" s="840">
        <f>LOOKUP(TP!$A64,PROD!$A$5:$A$725,PROD!$Q$7:$Q$727)</f>
        <v>0</v>
      </c>
      <c r="BB64" s="118">
        <f t="shared" si="37"/>
        <v>0</v>
      </c>
      <c r="BC64" s="109">
        <f t="shared" si="38"/>
        <v>0</v>
      </c>
      <c r="BD64" s="125">
        <f>LOOKUP(TP!$A64,PROD!$A$5:$A$725,PROD!$AH$7:$AH$727)</f>
        <v>0</v>
      </c>
      <c r="BE64" s="101">
        <f t="shared" si="35"/>
        <v>0</v>
      </c>
      <c r="BF64" s="850">
        <f t="shared" si="8"/>
        <v>0</v>
      </c>
      <c r="BG64" s="129">
        <f>LOOKUP(TP!$A64,PROD!$A$5:$A$725,PROD!$AH$8:$AH$728)</f>
        <v>0</v>
      </c>
      <c r="BH64" s="101">
        <f t="shared" si="39"/>
        <v>0</v>
      </c>
      <c r="BI64" s="849">
        <f t="shared" si="9"/>
        <v>0</v>
      </c>
      <c r="BJ64" s="513">
        <f>'Pr-Sem'!AC64*10</f>
        <v>0</v>
      </c>
      <c r="BK64" s="514">
        <f>IFERROR(LOOKUP(Linea,TP!$B$3:$DE$3,TP!J64:DJ64),0)</f>
        <v>0</v>
      </c>
      <c r="BL64" s="848">
        <f t="shared" si="10"/>
        <v>0</v>
      </c>
      <c r="BM64" s="137">
        <f>LOOKUP($BV64,PROD!$A$5:$A$725,PROD!$AH$5:$AH$725)*IF($BM$5="Gr X H",1,100)</f>
        <v>0</v>
      </c>
      <c r="BN64" s="138">
        <f>LOOKUP($BV64,PROD!$A$5:$A$725,PROD!$AI$5:$AI$725)*IF($BM$5="Gr X H",1,100)</f>
        <v>0</v>
      </c>
      <c r="BO64" s="849">
        <f t="shared" si="29"/>
        <v>0</v>
      </c>
      <c r="BP64" s="137">
        <f>LOOKUP(BV64,PROD!$A$5:$A$725,PROD!$AH$6:$AH$726)*IF($BM$5="Gr X H",1,100)</f>
        <v>0</v>
      </c>
      <c r="BQ64" s="138">
        <f>LOOKUP($BV64,PROD!$A$5:$A$725,PROD!$AI$6:$AI$726)*IF($BM$5="Gr X H",1,100)</f>
        <v>0</v>
      </c>
      <c r="BR64" s="849">
        <f t="shared" si="22"/>
        <v>0</v>
      </c>
      <c r="BS64" s="137">
        <f>LOOKUP(TP!$A64,PROD!$A$5:$A$725,PROD!$AH$9:$AH$729)</f>
        <v>0</v>
      </c>
      <c r="BT64" s="138">
        <f>LOOKUP(TP!$A64,PROD!$A$5:$A$725,PROD!$AI$9:$AI$729)</f>
        <v>0</v>
      </c>
      <c r="BU64" s="849">
        <f t="shared" si="11"/>
        <v>0</v>
      </c>
      <c r="BV64" s="833">
        <f t="shared" si="40"/>
        <v>76</v>
      </c>
      <c r="BW64" s="191">
        <f ca="1">LOOKUP($BV64,INVENTARIOS!$A$4:$A$718,ECONO!$T$4:$T$724)*100</f>
        <v>0</v>
      </c>
      <c r="BX64" s="606">
        <f ca="1">LOOKUP($BV64,INVENTARIOS!$A$4:$A$718,ECONO!$T$5:$T$725)*100</f>
        <v>0</v>
      </c>
      <c r="BY64" s="606">
        <f ca="1">LOOKUP($BV64,INVENTARIOS!$A$4:$A$718,ECONO!$T$6:$T$726)*100</f>
        <v>0</v>
      </c>
      <c r="BZ64" s="606">
        <f ca="1">LOOKUP($BV64,INVENTARIOS!$A$4:$A$718,ECONO!$T$7:$T$727)*100</f>
        <v>0</v>
      </c>
      <c r="CA64" s="606">
        <f ca="1">LOOKUP($BV64,INVENTARIOS!$A$4:$A$718,ECONO!$T$8:$T$728)*100</f>
        <v>0</v>
      </c>
      <c r="CB64" s="606">
        <f ca="1">LOOKUP($BV64,INVENTARIOS!$A$4:$A$718,ECONO!$T$9:$T$729)*100</f>
        <v>0</v>
      </c>
      <c r="CC64" s="606">
        <f ca="1">LOOKUP($BV64,INVENTARIOS!$A$4:$A$718,ECONO!$T$10:$T$730)*100</f>
        <v>0</v>
      </c>
      <c r="CD64" s="99">
        <f ca="1">LOOKUP($BV64,INVENTARIOS!$A$4:$A$718,ECONO!$X$8:$X$728)*100</f>
        <v>0</v>
      </c>
      <c r="CE64" s="99">
        <f ca="1">LOOKUP($BV64,INVENTARIOS!$A$4:$A$718,ECONO!$X$9:$X$729)*100</f>
        <v>0</v>
      </c>
      <c r="CF64" s="192">
        <f ca="1">LOOKUP($BV64,INVENTARIOS!$A$4:$A$718,ECONO!$X$10:$X$730)*100</f>
        <v>0</v>
      </c>
      <c r="CG64" s="195">
        <f ca="1">LOOKUP(GSh!$BV64,INVENTARIOS!$A$4:$A$718,ECONO!$X$4:$X$724)*100</f>
        <v>0</v>
      </c>
      <c r="CH64" s="98">
        <f ca="1">LOOKUP(GSh!$BV64,INVENTARIOS!$A$4:$A$718,ECONO!$X$5:$X$725)*100</f>
        <v>0</v>
      </c>
      <c r="CI64" s="98">
        <f ca="1">LOOKUP(GSh!$BV64,INVENTARIOS!$A$4:$A$718,ECONO!$X$6:$X$726)*100</f>
        <v>0</v>
      </c>
      <c r="CJ64" s="194">
        <f ca="1">LOOKUP(GSh!$BV64,INVENTARIOS!$A$4:$A$718,ECONO!$X$7:$X$727)*100</f>
        <v>0</v>
      </c>
      <c r="CK64" s="34">
        <f>IF(OR(AO64&gt;0,AT64&gt;0,AD64&gt;0),TP!A64,CK63)</f>
        <v>0</v>
      </c>
      <c r="CL64" s="257">
        <f>LOOKUP($BV64,INVENTARIOS!$A$4:$A$724,ECONO!$O$10:$O$730)</f>
        <v>0</v>
      </c>
      <c r="CM64" s="258">
        <f>LOOKUP($BV64,INVENTARIOS!$A$4:$A$724,ECONO!$Z$9:$Z$729)</f>
        <v>0</v>
      </c>
      <c r="CN64" s="260">
        <f t="shared" si="36"/>
        <v>0</v>
      </c>
      <c r="CO64"/>
    </row>
    <row r="65" spans="23:93" x14ac:dyDescent="0.3">
      <c r="W65" s="1"/>
      <c r="AC65" s="1193">
        <f t="shared" si="30"/>
        <v>77</v>
      </c>
      <c r="AD65" s="844">
        <f>LOOKUP(TP!$A65,PROD!$A$5:$A$725,PROD!$O$5:$O$725)</f>
        <v>0</v>
      </c>
      <c r="AE65" s="101">
        <f>IFERROR(LOOKUP(Linea,TP!$B$3:$DE$3,TP!B65:DE65),0)</f>
        <v>0</v>
      </c>
      <c r="AF65" s="101">
        <f t="shared" si="24"/>
        <v>0</v>
      </c>
      <c r="AG65" s="101">
        <f t="shared" si="25"/>
        <v>0</v>
      </c>
      <c r="AH65" s="845">
        <f t="shared" si="31"/>
        <v>0</v>
      </c>
      <c r="AI65" s="846">
        <f>LOOKUP(TP!$A65,PROD!$A$5:$A$725,PROD!$O$6:$O$726)</f>
        <v>0</v>
      </c>
      <c r="AJ65" s="101">
        <f>IFERROR(LOOKUP(Linea,TP!$B$3:$DE$3,TP!C65:DF65),0)</f>
        <v>0</v>
      </c>
      <c r="AK65" s="101">
        <f t="shared" si="28"/>
        <v>0</v>
      </c>
      <c r="AL65" s="101">
        <f t="shared" si="26"/>
        <v>0</v>
      </c>
      <c r="AM65" s="837">
        <f t="shared" si="32"/>
        <v>0</v>
      </c>
      <c r="AN65" s="176">
        <f>LOOKUP(TP!$A65,PROD!$A$5:$A$725,PROD!$I$11:$I$731)</f>
        <v>0</v>
      </c>
      <c r="AO65" s="171">
        <f>LOOKUP(TP!$A65,PROD!$A$5:$A$725,PROD!$K$5:$K$725)*100</f>
        <v>0</v>
      </c>
      <c r="AP65" s="110">
        <f>LOOKUP(TP!$A65,PROD!$A$5:$A$725,PROD!$K$8:$K$728)*100</f>
        <v>0</v>
      </c>
      <c r="AQ65" s="110">
        <f t="shared" si="33"/>
        <v>100</v>
      </c>
      <c r="AR65" s="109">
        <f>IFERROR(LOOKUP(Linea,TP!$B$3:$DE$3,TP!D65:DG65),0)</f>
        <v>0</v>
      </c>
      <c r="AS65" s="838">
        <f>SUMIF(PROD!$BF$5:$BF$725,GSh!$BV65,PROD!$V$5:$V$725)/1000*PROD!$A$1</f>
        <v>0</v>
      </c>
      <c r="AT65" s="627">
        <f>LOOKUP(TP!$A65,PROD!$A$5:$A$725,PROD!$AD$5:$AD$725)</f>
        <v>0</v>
      </c>
      <c r="AU65" s="101">
        <f>IFERROR(LOOKUP(Linea,TP!$B$3:$DE$3,TP!E65:DH65),0)</f>
        <v>0</v>
      </c>
      <c r="AV65" s="847">
        <f t="shared" si="34"/>
        <v>0</v>
      </c>
      <c r="AW65" s="1081">
        <f>LOOKUP($BV65,PROD!$A$5:$A$725,PROD!$AE$10:$AE$730)</f>
        <v>0</v>
      </c>
      <c r="AX65" s="1076">
        <f>LOOKUP($BV65,PROD!$A$5:$A$725,PROD!$AE$11:$AE$731)</f>
        <v>0</v>
      </c>
      <c r="AY65" s="114">
        <f>'Pr-Sem'!Z65</f>
        <v>0</v>
      </c>
      <c r="AZ65" s="101">
        <f>IFERROR(LOOKUP(Linea,TP!$B$3:$DE$3,TP!F65:DI65),0)</f>
        <v>0</v>
      </c>
      <c r="BA65" s="840">
        <f>LOOKUP(TP!$A65,PROD!$A$5:$A$725,PROD!$Q$7:$Q$727)</f>
        <v>0</v>
      </c>
      <c r="BB65" s="118">
        <f t="shared" si="37"/>
        <v>0</v>
      </c>
      <c r="BC65" s="109">
        <f t="shared" si="38"/>
        <v>0</v>
      </c>
      <c r="BD65" s="125">
        <f>LOOKUP(TP!$A65,PROD!$A$5:$A$725,PROD!$AH$7:$AH$727)</f>
        <v>0</v>
      </c>
      <c r="BE65" s="101">
        <f t="shared" si="35"/>
        <v>0</v>
      </c>
      <c r="BF65" s="850">
        <f t="shared" si="8"/>
        <v>0</v>
      </c>
      <c r="BG65" s="129">
        <f>LOOKUP(TP!$A65,PROD!$A$5:$A$725,PROD!$AH$8:$AH$728)</f>
        <v>0</v>
      </c>
      <c r="BH65" s="101">
        <f t="shared" si="39"/>
        <v>0</v>
      </c>
      <c r="BI65" s="849">
        <f t="shared" si="9"/>
        <v>0</v>
      </c>
      <c r="BJ65" s="513">
        <f>'Pr-Sem'!AC65*10</f>
        <v>0</v>
      </c>
      <c r="BK65" s="514">
        <f>IFERROR(LOOKUP(Linea,TP!$B$3:$DE$3,TP!J65:DJ65),0)</f>
        <v>0</v>
      </c>
      <c r="BL65" s="848">
        <f t="shared" si="10"/>
        <v>0</v>
      </c>
      <c r="BM65" s="137">
        <f>LOOKUP($BV65,PROD!$A$5:$A$725,PROD!$AH$5:$AH$725)*IF($BM$5="Gr X H",1,100)</f>
        <v>0</v>
      </c>
      <c r="BN65" s="138">
        <f>LOOKUP($BV65,PROD!$A$5:$A$725,PROD!$AI$5:$AI$725)*IF($BM$5="Gr X H",1,100)</f>
        <v>0</v>
      </c>
      <c r="BO65" s="849">
        <f t="shared" si="29"/>
        <v>0</v>
      </c>
      <c r="BP65" s="137">
        <f>LOOKUP(BV65,PROD!$A$5:$A$725,PROD!$AH$6:$AH$726)*IF($BM$5="Gr X H",1,100)</f>
        <v>0</v>
      </c>
      <c r="BQ65" s="138">
        <f>LOOKUP($BV65,PROD!$A$5:$A$725,PROD!$AI$6:$AI$726)*IF($BM$5="Gr X H",1,100)</f>
        <v>0</v>
      </c>
      <c r="BR65" s="849">
        <f t="shared" si="22"/>
        <v>0</v>
      </c>
      <c r="BS65" s="137">
        <f>LOOKUP(TP!$A65,PROD!$A$5:$A$725,PROD!$AH$9:$AH$729)</f>
        <v>0</v>
      </c>
      <c r="BT65" s="138">
        <f>LOOKUP(TP!$A65,PROD!$A$5:$A$725,PROD!$AI$9:$AI$729)</f>
        <v>0</v>
      </c>
      <c r="BU65" s="849">
        <f t="shared" si="11"/>
        <v>0</v>
      </c>
      <c r="BV65" s="833">
        <f t="shared" si="40"/>
        <v>77</v>
      </c>
      <c r="BW65" s="191">
        <f ca="1">LOOKUP($BV65,INVENTARIOS!$A$4:$A$718,ECONO!$T$4:$T$724)*100</f>
        <v>0</v>
      </c>
      <c r="BX65" s="606">
        <f ca="1">LOOKUP($BV65,INVENTARIOS!$A$4:$A$718,ECONO!$T$5:$T$725)*100</f>
        <v>0</v>
      </c>
      <c r="BY65" s="606">
        <f ca="1">LOOKUP($BV65,INVENTARIOS!$A$4:$A$718,ECONO!$T$6:$T$726)*100</f>
        <v>0</v>
      </c>
      <c r="BZ65" s="606">
        <f ca="1">LOOKUP($BV65,INVENTARIOS!$A$4:$A$718,ECONO!$T$7:$T$727)*100</f>
        <v>0</v>
      </c>
      <c r="CA65" s="606">
        <f ca="1">LOOKUP($BV65,INVENTARIOS!$A$4:$A$718,ECONO!$T$8:$T$728)*100</f>
        <v>0</v>
      </c>
      <c r="CB65" s="606">
        <f ca="1">LOOKUP($BV65,INVENTARIOS!$A$4:$A$718,ECONO!$T$9:$T$729)*100</f>
        <v>0</v>
      </c>
      <c r="CC65" s="606">
        <f ca="1">LOOKUP($BV65,INVENTARIOS!$A$4:$A$718,ECONO!$T$10:$T$730)*100</f>
        <v>0</v>
      </c>
      <c r="CD65" s="99">
        <f ca="1">LOOKUP($BV65,INVENTARIOS!$A$4:$A$718,ECONO!$X$8:$X$728)*100</f>
        <v>0</v>
      </c>
      <c r="CE65" s="99">
        <f ca="1">LOOKUP($BV65,INVENTARIOS!$A$4:$A$718,ECONO!$X$9:$X$729)*100</f>
        <v>0</v>
      </c>
      <c r="CF65" s="192">
        <f ca="1">LOOKUP($BV65,INVENTARIOS!$A$4:$A$718,ECONO!$X$10:$X$730)*100</f>
        <v>0</v>
      </c>
      <c r="CG65" s="195">
        <f ca="1">LOOKUP(GSh!$BV65,INVENTARIOS!$A$4:$A$718,ECONO!$X$4:$X$724)*100</f>
        <v>0</v>
      </c>
      <c r="CH65" s="98">
        <f ca="1">LOOKUP(GSh!$BV65,INVENTARIOS!$A$4:$A$718,ECONO!$X$5:$X$725)*100</f>
        <v>0</v>
      </c>
      <c r="CI65" s="98">
        <f ca="1">LOOKUP(GSh!$BV65,INVENTARIOS!$A$4:$A$718,ECONO!$X$6:$X$726)*100</f>
        <v>0</v>
      </c>
      <c r="CJ65" s="194">
        <f ca="1">LOOKUP(GSh!$BV65,INVENTARIOS!$A$4:$A$718,ECONO!$X$7:$X$727)*100</f>
        <v>0</v>
      </c>
      <c r="CK65" s="34">
        <f>IF(OR(AO65&gt;0,AT65&gt;0,AD65&gt;0),TP!A65,CK64)</f>
        <v>0</v>
      </c>
      <c r="CL65" s="257">
        <f>LOOKUP($BV65,INVENTARIOS!$A$4:$A$724,ECONO!$O$10:$O$730)</f>
        <v>0</v>
      </c>
      <c r="CM65" s="258">
        <f>LOOKUP($BV65,INVENTARIOS!$A$4:$A$724,ECONO!$Z$9:$Z$729)</f>
        <v>0</v>
      </c>
      <c r="CN65" s="260">
        <f t="shared" si="36"/>
        <v>0</v>
      </c>
      <c r="CO65"/>
    </row>
    <row r="66" spans="23:93" x14ac:dyDescent="0.3">
      <c r="W66" s="1"/>
      <c r="AC66" s="1193">
        <f t="shared" si="30"/>
        <v>78</v>
      </c>
      <c r="AD66" s="844">
        <f>LOOKUP(TP!$A66,PROD!$A$5:$A$725,PROD!$O$5:$O$725)</f>
        <v>0</v>
      </c>
      <c r="AE66" s="101">
        <f>IFERROR(LOOKUP(Linea,TP!$B$3:$DE$3,TP!B66:DE66),0)</f>
        <v>0</v>
      </c>
      <c r="AF66" s="101">
        <f t="shared" si="24"/>
        <v>0</v>
      </c>
      <c r="AG66" s="101">
        <f t="shared" si="25"/>
        <v>0</v>
      </c>
      <c r="AH66" s="845">
        <f t="shared" si="31"/>
        <v>0</v>
      </c>
      <c r="AI66" s="846">
        <f>LOOKUP(TP!$A66,PROD!$A$5:$A$725,PROD!$O$6:$O$726)</f>
        <v>0</v>
      </c>
      <c r="AJ66" s="101">
        <f>IFERROR(LOOKUP(Linea,TP!$B$3:$DE$3,TP!C66:DF66),0)</f>
        <v>0</v>
      </c>
      <c r="AK66" s="101">
        <f t="shared" si="28"/>
        <v>0</v>
      </c>
      <c r="AL66" s="101">
        <f t="shared" si="26"/>
        <v>0</v>
      </c>
      <c r="AM66" s="837">
        <f t="shared" si="32"/>
        <v>0</v>
      </c>
      <c r="AN66" s="176">
        <f>LOOKUP(TP!$A66,PROD!$A$5:$A$725,PROD!$I$11:$I$731)</f>
        <v>0</v>
      </c>
      <c r="AO66" s="171">
        <f>LOOKUP(TP!$A66,PROD!$A$5:$A$725,PROD!$K$5:$K$725)*100</f>
        <v>0</v>
      </c>
      <c r="AP66" s="110">
        <f>LOOKUP(TP!$A66,PROD!$A$5:$A$725,PROD!$K$8:$K$728)*100</f>
        <v>0</v>
      </c>
      <c r="AQ66" s="110">
        <f t="shared" si="33"/>
        <v>100</v>
      </c>
      <c r="AR66" s="109">
        <f>IFERROR(LOOKUP(Linea,TP!$B$3:$DE$3,TP!D66:DG66),0)</f>
        <v>0</v>
      </c>
      <c r="AS66" s="838">
        <f>SUMIF(PROD!$BF$5:$BF$725,GSh!$BV66,PROD!$V$5:$V$725)/1000*PROD!$A$1</f>
        <v>0</v>
      </c>
      <c r="AT66" s="627">
        <f>LOOKUP(TP!$A66,PROD!$A$5:$A$725,PROD!$AD$5:$AD$725)</f>
        <v>0</v>
      </c>
      <c r="AU66" s="101">
        <f>IFERROR(LOOKUP(Linea,TP!$B$3:$DE$3,TP!E66:DH66),0)</f>
        <v>0</v>
      </c>
      <c r="AV66" s="847">
        <f t="shared" si="34"/>
        <v>0</v>
      </c>
      <c r="AW66" s="1081">
        <f>LOOKUP($BV66,PROD!$A$5:$A$725,PROD!$AE$10:$AE$730)</f>
        <v>0</v>
      </c>
      <c r="AX66" s="1076">
        <f>LOOKUP($BV66,PROD!$A$5:$A$725,PROD!$AE$11:$AE$731)</f>
        <v>0</v>
      </c>
      <c r="AY66" s="114">
        <f>'Pr-Sem'!Z66</f>
        <v>0</v>
      </c>
      <c r="AZ66" s="101">
        <f>IFERROR(LOOKUP(Linea,TP!$B$3:$DE$3,TP!F66:DI66),0)</f>
        <v>0</v>
      </c>
      <c r="BA66" s="840">
        <f>LOOKUP(TP!$A66,PROD!$A$5:$A$725,PROD!$Q$7:$Q$727)</f>
        <v>0</v>
      </c>
      <c r="BB66" s="118">
        <f t="shared" si="37"/>
        <v>0</v>
      </c>
      <c r="BC66" s="109">
        <f t="shared" si="38"/>
        <v>0</v>
      </c>
      <c r="BD66" s="125">
        <f>LOOKUP(TP!$A66,PROD!$A$5:$A$725,PROD!$AH$7:$AH$727)</f>
        <v>0</v>
      </c>
      <c r="BE66" s="101">
        <f t="shared" si="35"/>
        <v>0</v>
      </c>
      <c r="BF66" s="850">
        <f t="shared" si="8"/>
        <v>0</v>
      </c>
      <c r="BG66" s="129">
        <f>LOOKUP(TP!$A66,PROD!$A$5:$A$725,PROD!$AH$8:$AH$728)</f>
        <v>0</v>
      </c>
      <c r="BH66" s="101">
        <f t="shared" si="39"/>
        <v>0</v>
      </c>
      <c r="BI66" s="849">
        <f t="shared" si="9"/>
        <v>0</v>
      </c>
      <c r="BJ66" s="513">
        <f>'Pr-Sem'!AC66*10</f>
        <v>0</v>
      </c>
      <c r="BK66" s="514">
        <f>IFERROR(LOOKUP(Linea,TP!$B$3:$DE$3,TP!J66:DJ66),0)</f>
        <v>0</v>
      </c>
      <c r="BL66" s="848">
        <f t="shared" si="10"/>
        <v>0</v>
      </c>
      <c r="BM66" s="137">
        <f>LOOKUP($BV66,PROD!$A$5:$A$725,PROD!$AH$5:$AH$725)*IF($BM$5="Gr X H",1,100)</f>
        <v>0</v>
      </c>
      <c r="BN66" s="138">
        <f>LOOKUP($BV66,PROD!$A$5:$A$725,PROD!$AI$5:$AI$725)*IF($BM$5="Gr X H",1,100)</f>
        <v>0</v>
      </c>
      <c r="BO66" s="849">
        <f t="shared" si="29"/>
        <v>0</v>
      </c>
      <c r="BP66" s="137">
        <f>LOOKUP(BV66,PROD!$A$5:$A$725,PROD!$AH$6:$AH$726)*IF($BM$5="Gr X H",1,100)</f>
        <v>0</v>
      </c>
      <c r="BQ66" s="138">
        <f>LOOKUP($BV66,PROD!$A$5:$A$725,PROD!$AI$6:$AI$726)*IF($BM$5="Gr X H",1,100)</f>
        <v>0</v>
      </c>
      <c r="BR66" s="849">
        <f t="shared" si="22"/>
        <v>0</v>
      </c>
      <c r="BS66" s="137">
        <f>LOOKUP(TP!$A66,PROD!$A$5:$A$725,PROD!$AH$9:$AH$729)</f>
        <v>0</v>
      </c>
      <c r="BT66" s="138">
        <f>LOOKUP(TP!$A66,PROD!$A$5:$A$725,PROD!$AI$9:$AI$729)</f>
        <v>0</v>
      </c>
      <c r="BU66" s="849">
        <f t="shared" si="11"/>
        <v>0</v>
      </c>
      <c r="BV66" s="833">
        <f t="shared" si="40"/>
        <v>78</v>
      </c>
      <c r="BW66" s="191">
        <f ca="1">LOOKUP($BV66,INVENTARIOS!$A$4:$A$718,ECONO!$T$4:$T$724)*100</f>
        <v>0</v>
      </c>
      <c r="BX66" s="606">
        <f ca="1">LOOKUP($BV66,INVENTARIOS!$A$4:$A$718,ECONO!$T$5:$T$725)*100</f>
        <v>0</v>
      </c>
      <c r="BY66" s="606">
        <f ca="1">LOOKUP($BV66,INVENTARIOS!$A$4:$A$718,ECONO!$T$6:$T$726)*100</f>
        <v>0</v>
      </c>
      <c r="BZ66" s="606">
        <f ca="1">LOOKUP($BV66,INVENTARIOS!$A$4:$A$718,ECONO!$T$7:$T$727)*100</f>
        <v>0</v>
      </c>
      <c r="CA66" s="606">
        <f ca="1">LOOKUP($BV66,INVENTARIOS!$A$4:$A$718,ECONO!$T$8:$T$728)*100</f>
        <v>0</v>
      </c>
      <c r="CB66" s="606">
        <f ca="1">LOOKUP($BV66,INVENTARIOS!$A$4:$A$718,ECONO!$T$9:$T$729)*100</f>
        <v>0</v>
      </c>
      <c r="CC66" s="606">
        <f ca="1">LOOKUP($BV66,INVENTARIOS!$A$4:$A$718,ECONO!$T$10:$T$730)*100</f>
        <v>0</v>
      </c>
      <c r="CD66" s="99">
        <f ca="1">LOOKUP($BV66,INVENTARIOS!$A$4:$A$718,ECONO!$X$8:$X$728)*100</f>
        <v>0</v>
      </c>
      <c r="CE66" s="99">
        <f ca="1">LOOKUP($BV66,INVENTARIOS!$A$4:$A$718,ECONO!$X$9:$X$729)*100</f>
        <v>0</v>
      </c>
      <c r="CF66" s="192">
        <f ca="1">LOOKUP($BV66,INVENTARIOS!$A$4:$A$718,ECONO!$X$10:$X$730)*100</f>
        <v>0</v>
      </c>
      <c r="CG66" s="195">
        <f ca="1">LOOKUP(GSh!$BV66,INVENTARIOS!$A$4:$A$718,ECONO!$X$4:$X$724)*100</f>
        <v>0</v>
      </c>
      <c r="CH66" s="98">
        <f ca="1">LOOKUP(GSh!$BV66,INVENTARIOS!$A$4:$A$718,ECONO!$X$5:$X$725)*100</f>
        <v>0</v>
      </c>
      <c r="CI66" s="98">
        <f ca="1">LOOKUP(GSh!$BV66,INVENTARIOS!$A$4:$A$718,ECONO!$X$6:$X$726)*100</f>
        <v>0</v>
      </c>
      <c r="CJ66" s="194">
        <f ca="1">LOOKUP(GSh!$BV66,INVENTARIOS!$A$4:$A$718,ECONO!$X$7:$X$727)*100</f>
        <v>0</v>
      </c>
      <c r="CK66" s="34">
        <f>IF(OR(AO66&gt;0,AT66&gt;0,AD66&gt;0),TP!A66,CK65)</f>
        <v>0</v>
      </c>
      <c r="CL66" s="257">
        <f>LOOKUP($BV66,INVENTARIOS!$A$4:$A$724,ECONO!$O$10:$O$730)</f>
        <v>0</v>
      </c>
      <c r="CM66" s="258">
        <f>LOOKUP($BV66,INVENTARIOS!$A$4:$A$724,ECONO!$Z$9:$Z$729)</f>
        <v>0</v>
      </c>
      <c r="CN66" s="260">
        <f t="shared" si="36"/>
        <v>0</v>
      </c>
      <c r="CO66"/>
    </row>
    <row r="67" spans="23:93" x14ac:dyDescent="0.3">
      <c r="W67" s="1"/>
      <c r="AC67" s="1193">
        <f t="shared" si="30"/>
        <v>79</v>
      </c>
      <c r="AD67" s="844">
        <f>LOOKUP(TP!$A67,PROD!$A$5:$A$725,PROD!$O$5:$O$725)</f>
        <v>0</v>
      </c>
      <c r="AE67" s="101">
        <f>IFERROR(LOOKUP(Linea,TP!$B$3:$DE$3,TP!B67:DE67),0)</f>
        <v>0</v>
      </c>
      <c r="AF67" s="101">
        <f t="shared" si="24"/>
        <v>0</v>
      </c>
      <c r="AG67" s="101">
        <f t="shared" si="25"/>
        <v>0</v>
      </c>
      <c r="AH67" s="845">
        <f t="shared" si="31"/>
        <v>0</v>
      </c>
      <c r="AI67" s="846">
        <f>LOOKUP(TP!$A67,PROD!$A$5:$A$725,PROD!$O$6:$O$726)</f>
        <v>0</v>
      </c>
      <c r="AJ67" s="101">
        <f>IFERROR(LOOKUP(Linea,TP!$B$3:$DE$3,TP!C67:DF67),0)</f>
        <v>0</v>
      </c>
      <c r="AK67" s="101">
        <f t="shared" si="28"/>
        <v>0</v>
      </c>
      <c r="AL67" s="101">
        <f t="shared" si="26"/>
        <v>0</v>
      </c>
      <c r="AM67" s="837">
        <f t="shared" si="32"/>
        <v>0</v>
      </c>
      <c r="AN67" s="176">
        <f>LOOKUP(TP!$A67,PROD!$A$5:$A$725,PROD!$I$11:$I$731)</f>
        <v>0</v>
      </c>
      <c r="AO67" s="171">
        <f>LOOKUP(TP!$A67,PROD!$A$5:$A$725,PROD!$K$5:$K$725)*100</f>
        <v>0</v>
      </c>
      <c r="AP67" s="110">
        <f>LOOKUP(TP!$A67,PROD!$A$5:$A$725,PROD!$K$8:$K$728)*100</f>
        <v>0</v>
      </c>
      <c r="AQ67" s="110">
        <f t="shared" si="33"/>
        <v>100</v>
      </c>
      <c r="AR67" s="109">
        <f>IFERROR(LOOKUP(Linea,TP!$B$3:$DE$3,TP!D67:DG67),0)</f>
        <v>0</v>
      </c>
      <c r="AS67" s="838">
        <f>SUMIF(PROD!$BF$5:$BF$725,GSh!$BV67,PROD!$V$5:$V$725)/1000*PROD!$A$1</f>
        <v>0</v>
      </c>
      <c r="AT67" s="627">
        <f>LOOKUP(TP!$A67,PROD!$A$5:$A$725,PROD!$AD$5:$AD$725)</f>
        <v>0</v>
      </c>
      <c r="AU67" s="101">
        <f>IFERROR(LOOKUP(Linea,TP!$B$3:$DE$3,TP!E67:DH67),0)</f>
        <v>0</v>
      </c>
      <c r="AV67" s="847">
        <f t="shared" si="34"/>
        <v>0</v>
      </c>
      <c r="AW67" s="1081">
        <f>LOOKUP($BV67,PROD!$A$5:$A$725,PROD!$AE$10:$AE$730)</f>
        <v>0</v>
      </c>
      <c r="AX67" s="1076">
        <f>LOOKUP($BV67,PROD!$A$5:$A$725,PROD!$AE$11:$AE$731)</f>
        <v>0</v>
      </c>
      <c r="AY67" s="114">
        <f>'Pr-Sem'!Z67</f>
        <v>0</v>
      </c>
      <c r="AZ67" s="101">
        <f>IFERROR(LOOKUP(Linea,TP!$B$3:$DE$3,TP!F67:DI67),0)</f>
        <v>0</v>
      </c>
      <c r="BA67" s="840">
        <f>LOOKUP(TP!$A67,PROD!$A$5:$A$725,PROD!$Q$7:$Q$727)</f>
        <v>0</v>
      </c>
      <c r="BB67" s="118">
        <f t="shared" si="37"/>
        <v>0</v>
      </c>
      <c r="BC67" s="109">
        <f t="shared" si="38"/>
        <v>0</v>
      </c>
      <c r="BD67" s="125">
        <f>LOOKUP(TP!$A67,PROD!$A$5:$A$725,PROD!$AH$7:$AH$727)</f>
        <v>0</v>
      </c>
      <c r="BE67" s="101">
        <f t="shared" si="35"/>
        <v>0</v>
      </c>
      <c r="BF67" s="850">
        <f t="shared" si="8"/>
        <v>0</v>
      </c>
      <c r="BG67" s="129">
        <f>LOOKUP(TP!$A67,PROD!$A$5:$A$725,PROD!$AH$8:$AH$728)</f>
        <v>0</v>
      </c>
      <c r="BH67" s="101">
        <f t="shared" si="39"/>
        <v>0</v>
      </c>
      <c r="BI67" s="849">
        <f t="shared" si="9"/>
        <v>0</v>
      </c>
      <c r="BJ67" s="513">
        <f>'Pr-Sem'!AC67*10</f>
        <v>0</v>
      </c>
      <c r="BK67" s="514">
        <f>IFERROR(LOOKUP(Linea,TP!$B$3:$DE$3,TP!J67:DJ67),0)</f>
        <v>0</v>
      </c>
      <c r="BL67" s="848">
        <f t="shared" si="10"/>
        <v>0</v>
      </c>
      <c r="BM67" s="137">
        <f>LOOKUP($BV67,PROD!$A$5:$A$725,PROD!$AH$5:$AH$725)*IF($BM$5="Gr X H",1,100)</f>
        <v>0</v>
      </c>
      <c r="BN67" s="138">
        <f>LOOKUP($BV67,PROD!$A$5:$A$725,PROD!$AI$5:$AI$725)*IF($BM$5="Gr X H",1,100)</f>
        <v>0</v>
      </c>
      <c r="BO67" s="849">
        <f t="shared" si="29"/>
        <v>0</v>
      </c>
      <c r="BP67" s="137">
        <f>LOOKUP(BV67,PROD!$A$5:$A$725,PROD!$AH$6:$AH$726)*IF($BM$5="Gr X H",1,100)</f>
        <v>0</v>
      </c>
      <c r="BQ67" s="138">
        <f>LOOKUP($BV67,PROD!$A$5:$A$725,PROD!$AI$6:$AI$726)*IF($BM$5="Gr X H",1,100)</f>
        <v>0</v>
      </c>
      <c r="BR67" s="849">
        <f t="shared" si="22"/>
        <v>0</v>
      </c>
      <c r="BS67" s="137">
        <f>LOOKUP(TP!$A67,PROD!$A$5:$A$725,PROD!$AH$9:$AH$729)</f>
        <v>0</v>
      </c>
      <c r="BT67" s="138">
        <f>LOOKUP(TP!$A67,PROD!$A$5:$A$725,PROD!$AI$9:$AI$729)</f>
        <v>0</v>
      </c>
      <c r="BU67" s="849">
        <f t="shared" si="11"/>
        <v>0</v>
      </c>
      <c r="BV67" s="833">
        <f t="shared" si="40"/>
        <v>79</v>
      </c>
      <c r="BW67" s="191">
        <f ca="1">LOOKUP($BV67,INVENTARIOS!$A$4:$A$718,ECONO!$T$4:$T$724)*100</f>
        <v>0</v>
      </c>
      <c r="BX67" s="606">
        <f ca="1">LOOKUP($BV67,INVENTARIOS!$A$4:$A$718,ECONO!$T$5:$T$725)*100</f>
        <v>0</v>
      </c>
      <c r="BY67" s="606">
        <f ca="1">LOOKUP($BV67,INVENTARIOS!$A$4:$A$718,ECONO!$T$6:$T$726)*100</f>
        <v>0</v>
      </c>
      <c r="BZ67" s="606">
        <f ca="1">LOOKUP($BV67,INVENTARIOS!$A$4:$A$718,ECONO!$T$7:$T$727)*100</f>
        <v>0</v>
      </c>
      <c r="CA67" s="606">
        <f ca="1">LOOKUP($BV67,INVENTARIOS!$A$4:$A$718,ECONO!$T$8:$T$728)*100</f>
        <v>0</v>
      </c>
      <c r="CB67" s="606">
        <f ca="1">LOOKUP($BV67,INVENTARIOS!$A$4:$A$718,ECONO!$T$9:$T$729)*100</f>
        <v>0</v>
      </c>
      <c r="CC67" s="606">
        <f ca="1">LOOKUP($BV67,INVENTARIOS!$A$4:$A$718,ECONO!$T$10:$T$730)*100</f>
        <v>0</v>
      </c>
      <c r="CD67" s="99">
        <f ca="1">LOOKUP($BV67,INVENTARIOS!$A$4:$A$718,ECONO!$X$8:$X$728)*100</f>
        <v>0</v>
      </c>
      <c r="CE67" s="99">
        <f ca="1">LOOKUP($BV67,INVENTARIOS!$A$4:$A$718,ECONO!$X$9:$X$729)*100</f>
        <v>0</v>
      </c>
      <c r="CF67" s="192">
        <f ca="1">LOOKUP($BV67,INVENTARIOS!$A$4:$A$718,ECONO!$X$10:$X$730)*100</f>
        <v>0</v>
      </c>
      <c r="CG67" s="195">
        <f ca="1">LOOKUP(GSh!$BV67,INVENTARIOS!$A$4:$A$718,ECONO!$X$4:$X$724)*100</f>
        <v>0</v>
      </c>
      <c r="CH67" s="98">
        <f ca="1">LOOKUP(GSh!$BV67,INVENTARIOS!$A$4:$A$718,ECONO!$X$5:$X$725)*100</f>
        <v>0</v>
      </c>
      <c r="CI67" s="98">
        <f ca="1">LOOKUP(GSh!$BV67,INVENTARIOS!$A$4:$A$718,ECONO!$X$6:$X$726)*100</f>
        <v>0</v>
      </c>
      <c r="CJ67" s="194">
        <f ca="1">LOOKUP(GSh!$BV67,INVENTARIOS!$A$4:$A$718,ECONO!$X$7:$X$727)*100</f>
        <v>0</v>
      </c>
      <c r="CK67" s="34">
        <f>IF(OR(AO67&gt;0,AT67&gt;0,AD67&gt;0),TP!A67,CK66)</f>
        <v>0</v>
      </c>
      <c r="CL67" s="257">
        <f>LOOKUP($BV67,INVENTARIOS!$A$4:$A$724,ECONO!$O$10:$O$730)</f>
        <v>0</v>
      </c>
      <c r="CM67" s="258">
        <f>LOOKUP($BV67,INVENTARIOS!$A$4:$A$724,ECONO!$Z$9:$Z$729)</f>
        <v>0</v>
      </c>
      <c r="CN67" s="260">
        <f t="shared" si="36"/>
        <v>0</v>
      </c>
      <c r="CO67"/>
    </row>
    <row r="68" spans="23:93" ht="18" thickBot="1" x14ac:dyDescent="0.35">
      <c r="W68" s="1"/>
      <c r="AC68" s="1193">
        <f t="shared" si="30"/>
        <v>80</v>
      </c>
      <c r="AD68" s="851">
        <f>LOOKUP(TP!$A68,PROD!$A$5:$A$725,PROD!$O$5:$O$725)</f>
        <v>0</v>
      </c>
      <c r="AE68" s="157">
        <f>IFERROR(LOOKUP(Linea,TP!$B$3:$DE$3,TP!B68:DE68),0)</f>
        <v>0</v>
      </c>
      <c r="AF68" s="157">
        <f t="shared" si="24"/>
        <v>0</v>
      </c>
      <c r="AG68" s="157">
        <f t="shared" si="25"/>
        <v>0</v>
      </c>
      <c r="AH68" s="852">
        <f t="shared" si="31"/>
        <v>0</v>
      </c>
      <c r="AI68" s="853">
        <f>LOOKUP(TP!$A68,PROD!$A$5:$A$725,PROD!$O$6:$O$726)</f>
        <v>0</v>
      </c>
      <c r="AJ68" s="157">
        <f>IFERROR(LOOKUP(Linea,TP!$B$3:$DE$3,TP!C68:DF68),0)</f>
        <v>0</v>
      </c>
      <c r="AK68" s="157">
        <f t="shared" si="28"/>
        <v>0</v>
      </c>
      <c r="AL68" s="157">
        <f t="shared" si="26"/>
        <v>0</v>
      </c>
      <c r="AM68" s="854">
        <f t="shared" si="32"/>
        <v>0</v>
      </c>
      <c r="AN68" s="177">
        <f>LOOKUP(TP!$A68,PROD!$A$5:$A$725,PROD!$I$11:$I$731)</f>
        <v>0</v>
      </c>
      <c r="AO68" s="172">
        <f>LOOKUP(TP!$A68,PROD!$A$5:$A$725,PROD!$K$5:$K$725)*100</f>
        <v>0</v>
      </c>
      <c r="AP68" s="111">
        <f>LOOKUP(TP!$A68,PROD!$A$5:$A$725,PROD!$K$8:$K$728)*100</f>
        <v>0</v>
      </c>
      <c r="AQ68" s="111">
        <f t="shared" si="33"/>
        <v>100</v>
      </c>
      <c r="AR68" s="158">
        <f>IFERROR(LOOKUP(Linea,TP!$B$3:$DE$3,TP!D68:DG68),0)</f>
        <v>0</v>
      </c>
      <c r="AS68" s="838">
        <f>SUMIF(PROD!$BF$5:$BF$725,GSh!$BV68,PROD!$V$5:$V$725)/1000*PROD!$A$1</f>
        <v>0</v>
      </c>
      <c r="AT68" s="628">
        <f>LOOKUP(TP!$A68,PROD!$A$5:$A$725,PROD!$AD$5:$AD$725)</f>
        <v>0</v>
      </c>
      <c r="AU68" s="157">
        <f>IFERROR(LOOKUP(Linea,TP!$B$3:$DE$3,TP!E68:DH68),0)</f>
        <v>0</v>
      </c>
      <c r="AV68" s="855">
        <f t="shared" si="34"/>
        <v>0</v>
      </c>
      <c r="AW68" s="1082">
        <f>LOOKUP($BV68,PROD!$A$5:$A$725,PROD!$AE$10:$AE$730)</f>
        <v>0</v>
      </c>
      <c r="AX68" s="1077">
        <f>LOOKUP($BV68,PROD!$A$5:$A$725,PROD!$AE$11:$AE$731)</f>
        <v>0</v>
      </c>
      <c r="AY68" s="115">
        <f>'Pr-Sem'!Z68</f>
        <v>0</v>
      </c>
      <c r="AZ68" s="157">
        <f>IFERROR(LOOKUP(Linea,TP!$B$3:$DE$3,TP!F68:DI68),0)</f>
        <v>0</v>
      </c>
      <c r="BA68" s="856">
        <f>LOOKUP(TP!$A68,PROD!$A$5:$A$725,PROD!$Q$7:$Q$727)</f>
        <v>0</v>
      </c>
      <c r="BB68" s="119">
        <f t="shared" si="37"/>
        <v>0</v>
      </c>
      <c r="BC68" s="158">
        <f t="shared" si="38"/>
        <v>0</v>
      </c>
      <c r="BD68" s="126">
        <f>LOOKUP(TP!$A68,PROD!$A$5:$A$725,PROD!$AH$7:$AH$727)</f>
        <v>0</v>
      </c>
      <c r="BE68" s="157">
        <f t="shared" si="35"/>
        <v>0</v>
      </c>
      <c r="BF68" s="857">
        <f t="shared" si="8"/>
        <v>0</v>
      </c>
      <c r="BG68" s="130">
        <f>LOOKUP(TP!$A68,PROD!$A$5:$A$725,PROD!$AH$8:$AH$728)</f>
        <v>0</v>
      </c>
      <c r="BH68" s="157">
        <f t="shared" si="39"/>
        <v>0</v>
      </c>
      <c r="BI68" s="858">
        <f t="shared" si="9"/>
        <v>0</v>
      </c>
      <c r="BJ68" s="515">
        <f>'Pr-Sem'!AC68*10</f>
        <v>0</v>
      </c>
      <c r="BK68" s="516">
        <f>IFERROR(LOOKUP(Linea,TP!$B$3:$DE$3,TP!J68:DJ68),0)</f>
        <v>0</v>
      </c>
      <c r="BL68" s="859">
        <f t="shared" si="10"/>
        <v>0</v>
      </c>
      <c r="BM68" s="139">
        <f>LOOKUP($BV68,PROD!$A$5:$A$725,PROD!$AH$5:$AH$725)*IF($BM$5="Gr X H",1,100)</f>
        <v>0</v>
      </c>
      <c r="BN68" s="140">
        <f>LOOKUP($BV68,PROD!$A$5:$A$725,PROD!$AI$5:$AI$725)*IF($BM$5="Gr X H",1,100)</f>
        <v>0</v>
      </c>
      <c r="BO68" s="858">
        <f t="shared" si="29"/>
        <v>0</v>
      </c>
      <c r="BP68" s="139">
        <f>LOOKUP(BV68,PROD!$A$5:$A$725,PROD!$AH$6:$AH$726)*IF($BM$5="Gr X H",1,100)</f>
        <v>0</v>
      </c>
      <c r="BQ68" s="140">
        <f>LOOKUP($BV68,PROD!$A$5:$A$725,PROD!$AI$6:$AI$726)*IF($BM$5="Gr X H",1,100)</f>
        <v>0</v>
      </c>
      <c r="BR68" s="858">
        <f t="shared" si="22"/>
        <v>0</v>
      </c>
      <c r="BS68" s="139">
        <f>LOOKUP(TP!$A68,PROD!$A$5:$A$725,PROD!$AH$9:$AH$729)</f>
        <v>0</v>
      </c>
      <c r="BT68" s="140">
        <f>LOOKUP(TP!$A68,PROD!$A$5:$A$725,PROD!$AI$9:$AI$729)</f>
        <v>0</v>
      </c>
      <c r="BU68" s="858">
        <f t="shared" si="11"/>
        <v>0</v>
      </c>
      <c r="BV68" s="833">
        <f t="shared" si="40"/>
        <v>80</v>
      </c>
      <c r="BW68" s="191">
        <f ca="1">LOOKUP($BV68,INVENTARIOS!$A$4:$A$718,ECONO!$T$4:$T$724)*100</f>
        <v>0</v>
      </c>
      <c r="BX68" s="606">
        <f ca="1">LOOKUP($BV68,INVENTARIOS!$A$4:$A$718,ECONO!$T$5:$T$725)*100</f>
        <v>0</v>
      </c>
      <c r="BY68" s="606">
        <f ca="1">LOOKUP($BV68,INVENTARIOS!$A$4:$A$718,ECONO!$T$6:$T$726)*100</f>
        <v>0</v>
      </c>
      <c r="BZ68" s="606">
        <f ca="1">LOOKUP($BV68,INVENTARIOS!$A$4:$A$718,ECONO!$T$7:$T$727)*100</f>
        <v>0</v>
      </c>
      <c r="CA68" s="606">
        <f ca="1">LOOKUP($BV68,INVENTARIOS!$A$4:$A$718,ECONO!$T$8:$T$728)*100</f>
        <v>0</v>
      </c>
      <c r="CB68" s="606">
        <f ca="1">LOOKUP($BV68,INVENTARIOS!$A$4:$A$718,ECONO!$T$9:$T$729)*100</f>
        <v>0</v>
      </c>
      <c r="CC68" s="606">
        <f ca="1">LOOKUP($BV68,INVENTARIOS!$A$4:$A$718,ECONO!$T$10:$T$730)*100</f>
        <v>0</v>
      </c>
      <c r="CD68" s="99">
        <f ca="1">LOOKUP($BV68,INVENTARIOS!$A$4:$A$718,ECONO!$X$8:$X$728)*100</f>
        <v>0</v>
      </c>
      <c r="CE68" s="99">
        <f ca="1">LOOKUP($BV68,INVENTARIOS!$A$4:$A$718,ECONO!$X$9:$X$729)*100</f>
        <v>0</v>
      </c>
      <c r="CF68" s="192">
        <f ca="1">LOOKUP($BV68,INVENTARIOS!$A$4:$A$718,ECONO!$X$10:$X$730)*100</f>
        <v>0</v>
      </c>
      <c r="CG68" s="195">
        <f ca="1">LOOKUP(GSh!$BV68,INVENTARIOS!$A$4:$A$718,ECONO!$X$4:$X$724)*100</f>
        <v>0</v>
      </c>
      <c r="CH68" s="98">
        <f ca="1">LOOKUP(GSh!$BV68,INVENTARIOS!$A$4:$A$718,ECONO!$X$5:$X$725)*100</f>
        <v>0</v>
      </c>
      <c r="CI68" s="98">
        <f ca="1">LOOKUP(GSh!$BV68,INVENTARIOS!$A$4:$A$718,ECONO!$X$6:$X$726)*100</f>
        <v>0</v>
      </c>
      <c r="CJ68" s="194">
        <f ca="1">LOOKUP(GSh!$BV68,INVENTARIOS!$A$4:$A$718,ECONO!$X$7:$X$727)*100</f>
        <v>0</v>
      </c>
      <c r="CK68" s="34">
        <f>IF(OR(AO68&gt;0,AT68&gt;0,AD68&gt;0),TP!A68,CK67)</f>
        <v>0</v>
      </c>
      <c r="CL68" s="257">
        <f>LOOKUP($BV68,INVENTARIOS!$A$4:$A$724,ECONO!$O$10:$O$730)</f>
        <v>0</v>
      </c>
      <c r="CM68" s="258">
        <f>LOOKUP($BV68,INVENTARIOS!$A$4:$A$724,ECONO!$Z$9:$Z$729)</f>
        <v>0</v>
      </c>
      <c r="CN68" s="260">
        <f t="shared" si="36"/>
        <v>0</v>
      </c>
      <c r="CO68"/>
    </row>
    <row r="69" spans="23:93" x14ac:dyDescent="0.3">
      <c r="W69" s="1"/>
      <c r="AC69" s="1193">
        <f t="shared" si="30"/>
        <v>81</v>
      </c>
      <c r="AD69" s="860">
        <f>LOOKUP(TP!$A69,PROD!$A$5:$A$725,PROD!$O$5:$O$725)</f>
        <v>0</v>
      </c>
      <c r="AE69" s="159">
        <f>IFERROR(LOOKUP(Linea,TP!$B$3:$DE$3,TP!B69:DE69),0)</f>
        <v>0</v>
      </c>
      <c r="AF69" s="159">
        <f t="shared" si="24"/>
        <v>0</v>
      </c>
      <c r="AG69" s="159">
        <f t="shared" si="25"/>
        <v>0</v>
      </c>
      <c r="AH69" s="861">
        <f t="shared" si="31"/>
        <v>0</v>
      </c>
      <c r="AI69" s="862">
        <f>LOOKUP(TP!$A69,PROD!$A$5:$A$725,PROD!$O$6:$O$726)</f>
        <v>0</v>
      </c>
      <c r="AJ69" s="159">
        <f>IFERROR(LOOKUP(Linea,TP!$B$3:$DE$3,TP!C69:DF69),0)</f>
        <v>0</v>
      </c>
      <c r="AK69" s="159">
        <f t="shared" si="28"/>
        <v>0</v>
      </c>
      <c r="AL69" s="159">
        <f t="shared" si="26"/>
        <v>0</v>
      </c>
      <c r="AM69" s="863">
        <f t="shared" si="32"/>
        <v>0</v>
      </c>
      <c r="AN69" s="178">
        <f>LOOKUP(TP!$A69,PROD!$A$5:$A$725,PROD!$I$11:$I$731)</f>
        <v>0</v>
      </c>
      <c r="AO69" s="173">
        <f>LOOKUP(TP!$A69,PROD!$A$5:$A$725,PROD!$K$5:$K$725)*100</f>
        <v>0</v>
      </c>
      <c r="AP69" s="160">
        <f>LOOKUP(TP!$A69,PROD!$A$5:$A$725,PROD!$K$8:$K$728)*100</f>
        <v>0</v>
      </c>
      <c r="AQ69" s="160">
        <f t="shared" si="33"/>
        <v>100</v>
      </c>
      <c r="AR69" s="161">
        <f>IFERROR(LOOKUP(Linea,TP!$B$3:$DE$3,TP!D69:DG69),0)</f>
        <v>0</v>
      </c>
      <c r="AS69" s="838">
        <f>SUMIF(PROD!$BF$5:$BF$725,GSh!$BV69,PROD!$V$5:$V$725)/1000*PROD!$A$1</f>
        <v>0</v>
      </c>
      <c r="AT69" s="629">
        <f>LOOKUP(TP!$A69,PROD!$A$5:$A$725,PROD!$AD$5:$AD$725)</f>
        <v>0</v>
      </c>
      <c r="AU69" s="159">
        <f>IFERROR(LOOKUP(Linea,TP!$B$3:$DE$3,TP!E69:DH69),0)</f>
        <v>0</v>
      </c>
      <c r="AV69" s="864">
        <f t="shared" si="34"/>
        <v>0</v>
      </c>
      <c r="AW69" s="860">
        <f>LOOKUP($BV69,PROD!$A$5:$A$725,PROD!$AE$10:$AE$730)</f>
        <v>0</v>
      </c>
      <c r="AX69" s="1078">
        <f>LOOKUP($BV69,PROD!$A$5:$A$725,PROD!$AE$11:$AE$731)</f>
        <v>0</v>
      </c>
      <c r="AY69" s="162">
        <f>'Pr-Sem'!Z69</f>
        <v>0</v>
      </c>
      <c r="AZ69" s="159">
        <f>IFERROR(LOOKUP(Linea,TP!$B$3:$DE$3,TP!F69:DI69),0)</f>
        <v>0</v>
      </c>
      <c r="BA69" s="865">
        <f>LOOKUP(TP!$A69,PROD!$A$5:$A$725,PROD!$Q$7:$Q$727)</f>
        <v>0</v>
      </c>
      <c r="BB69" s="163">
        <f t="shared" si="37"/>
        <v>0</v>
      </c>
      <c r="BC69" s="161">
        <f t="shared" si="38"/>
        <v>0</v>
      </c>
      <c r="BD69" s="164">
        <f>LOOKUP(TP!$A69,PROD!$A$5:$A$725,PROD!$AH$7:$AH$727)</f>
        <v>0</v>
      </c>
      <c r="BE69" s="159">
        <f t="shared" si="35"/>
        <v>0</v>
      </c>
      <c r="BF69" s="866">
        <f t="shared" si="8"/>
        <v>0</v>
      </c>
      <c r="BG69" s="165">
        <f>LOOKUP(TP!$A69,PROD!$A$5:$A$725,PROD!$AH$8:$AH$728)</f>
        <v>0</v>
      </c>
      <c r="BH69" s="159">
        <f t="shared" si="39"/>
        <v>0</v>
      </c>
      <c r="BI69" s="867">
        <f t="shared" si="9"/>
        <v>0</v>
      </c>
      <c r="BJ69" s="517">
        <f>'Pr-Sem'!AC69*10</f>
        <v>0</v>
      </c>
      <c r="BK69" s="518">
        <f>IFERROR(LOOKUP(Linea,TP!$B$3:$DE$3,TP!J69:DJ69),0)</f>
        <v>0</v>
      </c>
      <c r="BL69" s="868">
        <f t="shared" si="10"/>
        <v>0</v>
      </c>
      <c r="BM69" s="166">
        <f>LOOKUP($BV69,PROD!$A$5:$A$725,PROD!$AH$5:$AH$725)*IF($BM$5="Gr X H",1,100)</f>
        <v>0</v>
      </c>
      <c r="BN69" s="167">
        <f>LOOKUP($BV69,PROD!$A$5:$A$725,PROD!$AI$5:$AI$725)*IF($BM$5="Gr X H",1,100)</f>
        <v>0</v>
      </c>
      <c r="BO69" s="867">
        <f t="shared" si="29"/>
        <v>0</v>
      </c>
      <c r="BP69" s="166">
        <f>LOOKUP(BV69,PROD!$A$5:$A$725,PROD!$AH$6:$AH$726)*IF($BM$5="Gr X H",1,100)</f>
        <v>0</v>
      </c>
      <c r="BQ69" s="167">
        <f>LOOKUP($BV69,PROD!$A$5:$A$725,PROD!$AI$6:$AI$726)*IF($BM$5="Gr X H",1,100)</f>
        <v>0</v>
      </c>
      <c r="BR69" s="867">
        <f t="shared" si="22"/>
        <v>0</v>
      </c>
      <c r="BS69" s="166">
        <f>LOOKUP(TP!$A69,PROD!$A$5:$A$725,PROD!$AH$9:$AH$729)</f>
        <v>0</v>
      </c>
      <c r="BT69" s="167">
        <f>LOOKUP(TP!$A69,PROD!$A$5:$A$725,PROD!$AI$9:$AI$729)</f>
        <v>0</v>
      </c>
      <c r="BU69" s="867">
        <f t="shared" si="11"/>
        <v>0</v>
      </c>
      <c r="BV69" s="833">
        <f t="shared" si="40"/>
        <v>81</v>
      </c>
      <c r="BW69" s="191">
        <f ca="1">LOOKUP($BV69,INVENTARIOS!$A$4:$A$718,ECONO!$T$4:$T$724)*100</f>
        <v>0</v>
      </c>
      <c r="BX69" s="606">
        <f ca="1">LOOKUP($BV69,INVENTARIOS!$A$4:$A$718,ECONO!$T$5:$T$725)*100</f>
        <v>0</v>
      </c>
      <c r="BY69" s="606">
        <f ca="1">LOOKUP($BV69,INVENTARIOS!$A$4:$A$718,ECONO!$T$6:$T$726)*100</f>
        <v>0</v>
      </c>
      <c r="BZ69" s="606">
        <f ca="1">LOOKUP($BV69,INVENTARIOS!$A$4:$A$718,ECONO!$T$7:$T$727)*100</f>
        <v>0</v>
      </c>
      <c r="CA69" s="606">
        <f ca="1">LOOKUP($BV69,INVENTARIOS!$A$4:$A$718,ECONO!$T$8:$T$728)*100</f>
        <v>0</v>
      </c>
      <c r="CB69" s="606">
        <f ca="1">LOOKUP($BV69,INVENTARIOS!$A$4:$A$718,ECONO!$T$9:$T$729)*100</f>
        <v>0</v>
      </c>
      <c r="CC69" s="606">
        <f ca="1">LOOKUP($BV69,INVENTARIOS!$A$4:$A$718,ECONO!$T$10:$T$730)*100</f>
        <v>0</v>
      </c>
      <c r="CD69" s="99">
        <f ca="1">LOOKUP($BV69,INVENTARIOS!$A$4:$A$718,ECONO!$X$8:$X$728)*100</f>
        <v>0</v>
      </c>
      <c r="CE69" s="99">
        <f ca="1">LOOKUP($BV69,INVENTARIOS!$A$4:$A$718,ECONO!$X$9:$X$729)*100</f>
        <v>0</v>
      </c>
      <c r="CF69" s="192">
        <f ca="1">LOOKUP($BV69,INVENTARIOS!$A$4:$A$718,ECONO!$X$10:$X$730)*100</f>
        <v>0</v>
      </c>
      <c r="CG69" s="195">
        <f ca="1">LOOKUP(GSh!$BV69,INVENTARIOS!$A$4:$A$718,ECONO!$X$4:$X$724)*100</f>
        <v>0</v>
      </c>
      <c r="CH69" s="98">
        <f ca="1">LOOKUP(GSh!$BV69,INVENTARIOS!$A$4:$A$718,ECONO!$X$5:$X$725)*100</f>
        <v>0</v>
      </c>
      <c r="CI69" s="98">
        <f ca="1">LOOKUP(GSh!$BV69,INVENTARIOS!$A$4:$A$718,ECONO!$X$6:$X$726)*100</f>
        <v>0</v>
      </c>
      <c r="CJ69" s="194">
        <f ca="1">LOOKUP(GSh!$BV69,INVENTARIOS!$A$4:$A$718,ECONO!$X$7:$X$727)*100</f>
        <v>0</v>
      </c>
      <c r="CK69" s="34">
        <f>IF(OR(AO69&gt;0,AT69&gt;0,AD69&gt;0),TP!A69,CK68)</f>
        <v>0</v>
      </c>
      <c r="CL69" s="257">
        <f>LOOKUP($BV69,INVENTARIOS!$A$4:$A$724,ECONO!$O$10:$O$730)</f>
        <v>0</v>
      </c>
      <c r="CM69" s="258">
        <f>LOOKUP($BV69,INVENTARIOS!$A$4:$A$724,ECONO!$Z$9:$Z$729)</f>
        <v>0</v>
      </c>
      <c r="CN69" s="260">
        <f t="shared" si="36"/>
        <v>0</v>
      </c>
      <c r="CO69"/>
    </row>
    <row r="70" spans="23:93" x14ac:dyDescent="0.3">
      <c r="W70" s="1"/>
      <c r="AC70" s="1193">
        <f t="shared" ref="AC70:AC101" si="41">BV70</f>
        <v>82</v>
      </c>
      <c r="AD70" s="844">
        <f>LOOKUP(TP!$A70,PROD!$A$5:$A$725,PROD!$O$5:$O$725)</f>
        <v>0</v>
      </c>
      <c r="AE70" s="101">
        <f>IFERROR(LOOKUP(Linea,TP!$B$3:$DE$3,TP!B70:DE70),0)</f>
        <v>0</v>
      </c>
      <c r="AF70" s="101">
        <f t="shared" si="24"/>
        <v>0</v>
      </c>
      <c r="AG70" s="101">
        <f t="shared" si="25"/>
        <v>0</v>
      </c>
      <c r="AH70" s="845">
        <f t="shared" ref="AH70:AH101" si="42">IF(AND(AD70&gt;0,AE70&gt;0),AD70-AE70,0)</f>
        <v>0</v>
      </c>
      <c r="AI70" s="846">
        <f>LOOKUP(TP!$A70,PROD!$A$5:$A$725,PROD!$O$6:$O$726)</f>
        <v>0</v>
      </c>
      <c r="AJ70" s="101">
        <f>IFERROR(LOOKUP(Linea,TP!$B$3:$DE$3,TP!C70:DF70),0)</f>
        <v>0</v>
      </c>
      <c r="AK70" s="101">
        <f t="shared" si="28"/>
        <v>0</v>
      </c>
      <c r="AL70" s="101">
        <f t="shared" si="26"/>
        <v>0</v>
      </c>
      <c r="AM70" s="837">
        <f t="shared" ref="AM70:AM101" si="43">IF(AND(AI70&gt;0,AJ70&gt;0),AI70-AJ70,0)</f>
        <v>0</v>
      </c>
      <c r="AN70" s="176">
        <f>LOOKUP(TP!$A70,PROD!$A$5:$A$725,PROD!$I$11:$I$731)</f>
        <v>0</v>
      </c>
      <c r="AO70" s="171">
        <f>LOOKUP(TP!$A70,PROD!$A$5:$A$725,PROD!$K$5:$K$725)*100</f>
        <v>0</v>
      </c>
      <c r="AP70" s="110">
        <f>LOOKUP(TP!$A70,PROD!$A$5:$A$725,PROD!$K$8:$K$728)*100</f>
        <v>0</v>
      </c>
      <c r="AQ70" s="110">
        <f t="shared" ref="AQ70:AQ101" si="44">100-AP70</f>
        <v>100</v>
      </c>
      <c r="AR70" s="109">
        <f>IFERROR(LOOKUP(Linea,TP!$B$3:$DE$3,TP!D70:DG70),0)</f>
        <v>0</v>
      </c>
      <c r="AS70" s="838">
        <f>SUMIF(PROD!$BF$5:$BF$725,GSh!$BV70,PROD!$V$5:$V$725)/1000*PROD!$A$1</f>
        <v>0</v>
      </c>
      <c r="AT70" s="627">
        <f>LOOKUP(TP!$A70,PROD!$A$5:$A$725,PROD!$AD$5:$AD$725)</f>
        <v>0</v>
      </c>
      <c r="AU70" s="101">
        <f>IFERROR(LOOKUP(Linea,TP!$B$3:$DE$3,TP!E70:DH70),0)</f>
        <v>0</v>
      </c>
      <c r="AV70" s="847">
        <f t="shared" ref="AV70:AV101" si="45">IF(AND(AT70&gt;0,AU70&gt;0),(AT70-AU70)/AU70*100,0)</f>
        <v>0</v>
      </c>
      <c r="AW70" s="1081">
        <f>LOOKUP($BV70,PROD!$A$5:$A$725,PROD!$AE$10:$AE$730)</f>
        <v>0</v>
      </c>
      <c r="AX70" s="1076">
        <f>LOOKUP($BV70,PROD!$A$5:$A$725,PROD!$AE$11:$AE$731)</f>
        <v>0</v>
      </c>
      <c r="AY70" s="114">
        <f>'Pr-Sem'!Z70</f>
        <v>0</v>
      </c>
      <c r="AZ70" s="101">
        <f>IFERROR(LOOKUP(Linea,TP!$B$3:$DE$3,TP!F70:DI70),0)</f>
        <v>0</v>
      </c>
      <c r="BA70" s="840">
        <f>LOOKUP(TP!$A70,PROD!$A$5:$A$725,PROD!$Q$7:$Q$727)</f>
        <v>0</v>
      </c>
      <c r="BB70" s="118">
        <f t="shared" si="37"/>
        <v>0</v>
      </c>
      <c r="BC70" s="109">
        <f t="shared" si="38"/>
        <v>0</v>
      </c>
      <c r="BD70" s="125">
        <f>LOOKUP(TP!$A70,PROD!$A$5:$A$725,PROD!$AH$7:$AH$727)</f>
        <v>0</v>
      </c>
      <c r="BE70" s="101">
        <f t="shared" ref="BE70:BE101" si="46">AE70/100*7*AZ70</f>
        <v>0</v>
      </c>
      <c r="BF70" s="850">
        <f t="shared" ref="BF70:BF108" si="47">IF(AND(BD70&gt;0,BE70&gt;0),(BD70-BE70)/BE70*100,0)</f>
        <v>0</v>
      </c>
      <c r="BG70" s="129">
        <f>LOOKUP(TP!$A70,PROD!$A$5:$A$725,PROD!$AH$8:$AH$728)</f>
        <v>0</v>
      </c>
      <c r="BH70" s="101">
        <f t="shared" si="39"/>
        <v>0</v>
      </c>
      <c r="BI70" s="849">
        <f t="shared" ref="BI70:BI108" si="48">IF(AND(BG70&gt;0,BH70&gt;0),(BG70-BH70)/BH70*100,0)</f>
        <v>0</v>
      </c>
      <c r="BJ70" s="513">
        <f>'Pr-Sem'!AC70*10</f>
        <v>0</v>
      </c>
      <c r="BK70" s="514">
        <f>IFERROR(LOOKUP(Linea,TP!$B$3:$DE$3,TP!J70:DJ70),0)</f>
        <v>0</v>
      </c>
      <c r="BL70" s="848">
        <f t="shared" ref="BL70:BL108" si="49">IF(AND(BJ70&gt;0,BK70&gt;0),(BJ70-BK70)/BK70*100,0)</f>
        <v>0</v>
      </c>
      <c r="BM70" s="137">
        <f>LOOKUP($BV70,PROD!$A$5:$A$725,PROD!$AH$5:$AH$725)*IF($BM$5="Gr X H",1,100)</f>
        <v>0</v>
      </c>
      <c r="BN70" s="138">
        <f>LOOKUP($BV70,PROD!$A$5:$A$725,PROD!$AI$5:$AI$725)*IF($BM$5="Gr X H",1,100)</f>
        <v>0</v>
      </c>
      <c r="BO70" s="849">
        <f t="shared" ref="BO70:BO108" si="50">IF(AND(BM70&gt;0,BN70&gt;0),(BM70-BN70)/BN70*100,0)</f>
        <v>0</v>
      </c>
      <c r="BP70" s="137">
        <f>LOOKUP(BV70,PROD!$A$5:$A$725,PROD!$AH$6:$AH$726)*IF($BM$5="Gr X H",1,100)</f>
        <v>0</v>
      </c>
      <c r="BQ70" s="138">
        <f>LOOKUP($BV70,PROD!$A$5:$A$725,PROD!$AI$6:$AI$726)*IF($BM$5="Gr X H",1,100)</f>
        <v>0</v>
      </c>
      <c r="BR70" s="849">
        <f t="shared" ref="BR70:BR108" si="51">IF(AND(BP70&gt;0,BQ70&gt;0),(BP70-BQ70)/BQ70*100,0)</f>
        <v>0</v>
      </c>
      <c r="BS70" s="137">
        <f>LOOKUP(TP!$A70,PROD!$A$5:$A$725,PROD!$AH$9:$AH$729)</f>
        <v>0</v>
      </c>
      <c r="BT70" s="138">
        <f>LOOKUP(TP!$A70,PROD!$A$5:$A$725,PROD!$AI$9:$AI$729)</f>
        <v>0</v>
      </c>
      <c r="BU70" s="849">
        <f t="shared" ref="BU70:BU108" si="52">IF(AND(BS70&gt;0,BT70&gt;0),(BS70-BT70)/BT70*100,0)</f>
        <v>0</v>
      </c>
      <c r="BV70" s="833">
        <f t="shared" si="40"/>
        <v>82</v>
      </c>
      <c r="BW70" s="191">
        <f ca="1">LOOKUP($BV70,INVENTARIOS!$A$4:$A$718,ECONO!$T$4:$T$724)*100</f>
        <v>0</v>
      </c>
      <c r="BX70" s="606">
        <f ca="1">LOOKUP($BV70,INVENTARIOS!$A$4:$A$718,ECONO!$T$5:$T$725)*100</f>
        <v>0</v>
      </c>
      <c r="BY70" s="606">
        <f ca="1">LOOKUP($BV70,INVENTARIOS!$A$4:$A$718,ECONO!$T$6:$T$726)*100</f>
        <v>0</v>
      </c>
      <c r="BZ70" s="606">
        <f ca="1">LOOKUP($BV70,INVENTARIOS!$A$4:$A$718,ECONO!$T$7:$T$727)*100</f>
        <v>0</v>
      </c>
      <c r="CA70" s="606">
        <f ca="1">LOOKUP($BV70,INVENTARIOS!$A$4:$A$718,ECONO!$T$8:$T$728)*100</f>
        <v>0</v>
      </c>
      <c r="CB70" s="606">
        <f ca="1">LOOKUP($BV70,INVENTARIOS!$A$4:$A$718,ECONO!$T$9:$T$729)*100</f>
        <v>0</v>
      </c>
      <c r="CC70" s="606">
        <f ca="1">LOOKUP($BV70,INVENTARIOS!$A$4:$A$718,ECONO!$T$10:$T$730)*100</f>
        <v>0</v>
      </c>
      <c r="CD70" s="99">
        <f ca="1">LOOKUP($BV70,INVENTARIOS!$A$4:$A$718,ECONO!$X$8:$X$728)*100</f>
        <v>0</v>
      </c>
      <c r="CE70" s="99">
        <f ca="1">LOOKUP($BV70,INVENTARIOS!$A$4:$A$718,ECONO!$X$9:$X$729)*100</f>
        <v>0</v>
      </c>
      <c r="CF70" s="192">
        <f ca="1">LOOKUP($BV70,INVENTARIOS!$A$4:$A$718,ECONO!$X$10:$X$730)*100</f>
        <v>0</v>
      </c>
      <c r="CG70" s="195">
        <f ca="1">LOOKUP(GSh!$BV70,INVENTARIOS!$A$4:$A$718,ECONO!$X$4:$X$724)*100</f>
        <v>0</v>
      </c>
      <c r="CH70" s="98">
        <f ca="1">LOOKUP(GSh!$BV70,INVENTARIOS!$A$4:$A$718,ECONO!$X$5:$X$725)*100</f>
        <v>0</v>
      </c>
      <c r="CI70" s="98">
        <f ca="1">LOOKUP(GSh!$BV70,INVENTARIOS!$A$4:$A$718,ECONO!$X$6:$X$726)*100</f>
        <v>0</v>
      </c>
      <c r="CJ70" s="194">
        <f ca="1">LOOKUP(GSh!$BV70,INVENTARIOS!$A$4:$A$718,ECONO!$X$7:$X$727)*100</f>
        <v>0</v>
      </c>
      <c r="CK70" s="34">
        <f>IF(OR(AO70&gt;0,AT70&gt;0,AD70&gt;0),TP!A70,CK69)</f>
        <v>0</v>
      </c>
      <c r="CL70" s="257">
        <f>LOOKUP($BV70,INVENTARIOS!$A$4:$A$724,ECONO!$O$10:$O$730)</f>
        <v>0</v>
      </c>
      <c r="CM70" s="258">
        <f>LOOKUP($BV70,INVENTARIOS!$A$4:$A$724,ECONO!$Z$9:$Z$729)</f>
        <v>0</v>
      </c>
      <c r="CN70" s="260">
        <f t="shared" ref="CN70:CN101" si="53">CM70-CL70</f>
        <v>0</v>
      </c>
      <c r="CO70"/>
    </row>
    <row r="71" spans="23:93" x14ac:dyDescent="0.3">
      <c r="W71" s="1"/>
      <c r="AC71" s="1193">
        <f t="shared" si="41"/>
        <v>83</v>
      </c>
      <c r="AD71" s="844">
        <f>LOOKUP(TP!$A71,PROD!$A$5:$A$725,PROD!$O$5:$O$725)</f>
        <v>0</v>
      </c>
      <c r="AE71" s="101">
        <f>IFERROR(LOOKUP(Linea,TP!$B$3:$DE$3,TP!B71:DE71),0)</f>
        <v>0</v>
      </c>
      <c r="AF71" s="101">
        <f t="shared" si="24"/>
        <v>0</v>
      </c>
      <c r="AG71" s="101">
        <f t="shared" si="25"/>
        <v>0</v>
      </c>
      <c r="AH71" s="845">
        <f t="shared" si="42"/>
        <v>0</v>
      </c>
      <c r="AI71" s="846">
        <f>LOOKUP(TP!$A71,PROD!$A$5:$A$725,PROD!$O$6:$O$726)</f>
        <v>0</v>
      </c>
      <c r="AJ71" s="101">
        <f>IFERROR(LOOKUP(Linea,TP!$B$3:$DE$3,TP!C71:DF71),0)</f>
        <v>0</v>
      </c>
      <c r="AK71" s="101">
        <f t="shared" si="28"/>
        <v>0</v>
      </c>
      <c r="AL71" s="101">
        <f t="shared" si="26"/>
        <v>0</v>
      </c>
      <c r="AM71" s="837">
        <f t="shared" si="43"/>
        <v>0</v>
      </c>
      <c r="AN71" s="176">
        <f>LOOKUP(TP!$A71,PROD!$A$5:$A$725,PROD!$I$11:$I$731)</f>
        <v>0</v>
      </c>
      <c r="AO71" s="171">
        <f>LOOKUP(TP!$A71,PROD!$A$5:$A$725,PROD!$K$5:$K$725)*100</f>
        <v>0</v>
      </c>
      <c r="AP71" s="110">
        <f>LOOKUP(TP!$A71,PROD!$A$5:$A$725,PROD!$K$8:$K$728)*100</f>
        <v>0</v>
      </c>
      <c r="AQ71" s="110">
        <f t="shared" si="44"/>
        <v>100</v>
      </c>
      <c r="AR71" s="109">
        <f>IFERROR(LOOKUP(Linea,TP!$B$3:$DE$3,TP!D71:DG71),0)</f>
        <v>0</v>
      </c>
      <c r="AS71" s="838">
        <f>SUMIF(PROD!$BF$5:$BF$725,GSh!$BV71,PROD!$V$5:$V$725)/1000*PROD!$A$1</f>
        <v>0</v>
      </c>
      <c r="AT71" s="627">
        <f>LOOKUP(TP!$A71,PROD!$A$5:$A$725,PROD!$AD$5:$AD$725)</f>
        <v>0</v>
      </c>
      <c r="AU71" s="101">
        <f>IFERROR(LOOKUP(Linea,TP!$B$3:$DE$3,TP!E71:DH71),0)</f>
        <v>0</v>
      </c>
      <c r="AV71" s="847">
        <f t="shared" si="45"/>
        <v>0</v>
      </c>
      <c r="AW71" s="1081">
        <f>LOOKUP($BV71,PROD!$A$5:$A$725,PROD!$AE$10:$AE$730)</f>
        <v>0</v>
      </c>
      <c r="AX71" s="1076">
        <f>LOOKUP($BV71,PROD!$A$5:$A$725,PROD!$AE$11:$AE$731)</f>
        <v>0</v>
      </c>
      <c r="AY71" s="114">
        <f>'Pr-Sem'!Z71</f>
        <v>0</v>
      </c>
      <c r="AZ71" s="101">
        <f>IFERROR(LOOKUP(Linea,TP!$B$3:$DE$3,TP!F71:DI71),0)</f>
        <v>0</v>
      </c>
      <c r="BA71" s="840">
        <f>LOOKUP(TP!$A71,PROD!$A$5:$A$725,PROD!$Q$7:$Q$727)</f>
        <v>0</v>
      </c>
      <c r="BB71" s="118">
        <f t="shared" ref="BB71:BB102" si="54">IF(AI71&gt;0,(AY71*(AI71-AI70)/AI71)+(BB70*AI70/AI71),0)</f>
        <v>0</v>
      </c>
      <c r="BC71" s="109">
        <f t="shared" ref="BC71:BC102" si="55">IF(AJ71&gt;0,(AZ71*(AJ71-AJ70)/AJ71)+(BC70*AJ70/AJ71),0)</f>
        <v>0</v>
      </c>
      <c r="BD71" s="125">
        <f>LOOKUP(TP!$A71,PROD!$A$5:$A$725,PROD!$AH$7:$AH$727)</f>
        <v>0</v>
      </c>
      <c r="BE71" s="101">
        <f t="shared" si="46"/>
        <v>0</v>
      </c>
      <c r="BF71" s="850">
        <f t="shared" si="47"/>
        <v>0</v>
      </c>
      <c r="BG71" s="129">
        <f>LOOKUP(TP!$A71,PROD!$A$5:$A$725,PROD!$AH$8:$AH$728)</f>
        <v>0</v>
      </c>
      <c r="BH71" s="101">
        <f t="shared" ref="BH71:BH102" si="56">(AJ71-AJ70)*AZ71/1000+AJ70*BC70/1000</f>
        <v>0</v>
      </c>
      <c r="BI71" s="849">
        <f t="shared" si="48"/>
        <v>0</v>
      </c>
      <c r="BJ71" s="513">
        <f>'Pr-Sem'!AC71*10</f>
        <v>0</v>
      </c>
      <c r="BK71" s="514">
        <f>IFERROR(LOOKUP(Linea,TP!$B$3:$DE$3,TP!J71:DJ71),0)</f>
        <v>0</v>
      </c>
      <c r="BL71" s="848">
        <f t="shared" si="49"/>
        <v>0</v>
      </c>
      <c r="BM71" s="137">
        <f>LOOKUP($BV71,PROD!$A$5:$A$725,PROD!$AH$5:$AH$725)*IF($BM$5="Gr X H",1,100)</f>
        <v>0</v>
      </c>
      <c r="BN71" s="138">
        <f>LOOKUP($BV71,PROD!$A$5:$A$725,PROD!$AI$5:$AI$725)*IF($BM$5="Gr X H",1,100)</f>
        <v>0</v>
      </c>
      <c r="BO71" s="849">
        <f t="shared" si="50"/>
        <v>0</v>
      </c>
      <c r="BP71" s="137">
        <f>LOOKUP(BV71,PROD!$A$5:$A$725,PROD!$AH$6:$AH$726)*IF($BM$5="Gr X H",1,100)</f>
        <v>0</v>
      </c>
      <c r="BQ71" s="138">
        <f>LOOKUP($BV71,PROD!$A$5:$A$725,PROD!$AI$6:$AI$726)*IF($BM$5="Gr X H",1,100)</f>
        <v>0</v>
      </c>
      <c r="BR71" s="849">
        <f t="shared" si="51"/>
        <v>0</v>
      </c>
      <c r="BS71" s="137">
        <f>LOOKUP(TP!$A71,PROD!$A$5:$A$725,PROD!$AH$9:$AH$729)</f>
        <v>0</v>
      </c>
      <c r="BT71" s="138">
        <f>LOOKUP(TP!$A71,PROD!$A$5:$A$725,PROD!$AI$9:$AI$729)</f>
        <v>0</v>
      </c>
      <c r="BU71" s="849">
        <f t="shared" si="52"/>
        <v>0</v>
      </c>
      <c r="BV71" s="833">
        <f t="shared" ref="BV71:BV107" si="57">BV70+1</f>
        <v>83</v>
      </c>
      <c r="BW71" s="191">
        <f ca="1">LOOKUP($BV71,INVENTARIOS!$A$4:$A$718,ECONO!$T$4:$T$724)*100</f>
        <v>0</v>
      </c>
      <c r="BX71" s="606">
        <f ca="1">LOOKUP($BV71,INVENTARIOS!$A$4:$A$718,ECONO!$T$5:$T$725)*100</f>
        <v>0</v>
      </c>
      <c r="BY71" s="606">
        <f ca="1">LOOKUP($BV71,INVENTARIOS!$A$4:$A$718,ECONO!$T$6:$T$726)*100</f>
        <v>0</v>
      </c>
      <c r="BZ71" s="606">
        <f ca="1">LOOKUP($BV71,INVENTARIOS!$A$4:$A$718,ECONO!$T$7:$T$727)*100</f>
        <v>0</v>
      </c>
      <c r="CA71" s="606">
        <f ca="1">LOOKUP($BV71,INVENTARIOS!$A$4:$A$718,ECONO!$T$8:$T$728)*100</f>
        <v>0</v>
      </c>
      <c r="CB71" s="606">
        <f ca="1">LOOKUP($BV71,INVENTARIOS!$A$4:$A$718,ECONO!$T$9:$T$729)*100</f>
        <v>0</v>
      </c>
      <c r="CC71" s="606">
        <f ca="1">LOOKUP($BV71,INVENTARIOS!$A$4:$A$718,ECONO!$T$10:$T$730)*100</f>
        <v>0</v>
      </c>
      <c r="CD71" s="99">
        <f ca="1">LOOKUP($BV71,INVENTARIOS!$A$4:$A$718,ECONO!$X$8:$X$728)*100</f>
        <v>0</v>
      </c>
      <c r="CE71" s="99">
        <f ca="1">LOOKUP($BV71,INVENTARIOS!$A$4:$A$718,ECONO!$X$9:$X$729)*100</f>
        <v>0</v>
      </c>
      <c r="CF71" s="192">
        <f ca="1">LOOKUP($BV71,INVENTARIOS!$A$4:$A$718,ECONO!$X$10:$X$730)*100</f>
        <v>0</v>
      </c>
      <c r="CG71" s="195">
        <f ca="1">LOOKUP(GSh!$BV71,INVENTARIOS!$A$4:$A$718,ECONO!$X$4:$X$724)*100</f>
        <v>0</v>
      </c>
      <c r="CH71" s="98">
        <f ca="1">LOOKUP(GSh!$BV71,INVENTARIOS!$A$4:$A$718,ECONO!$X$5:$X$725)*100</f>
        <v>0</v>
      </c>
      <c r="CI71" s="98">
        <f ca="1">LOOKUP(GSh!$BV71,INVENTARIOS!$A$4:$A$718,ECONO!$X$6:$X$726)*100</f>
        <v>0</v>
      </c>
      <c r="CJ71" s="194">
        <f ca="1">LOOKUP(GSh!$BV71,INVENTARIOS!$A$4:$A$718,ECONO!$X$7:$X$727)*100</f>
        <v>0</v>
      </c>
      <c r="CK71" s="34">
        <f>IF(OR(AO71&gt;0,AT71&gt;0,AD71&gt;0),TP!A71,CK70)</f>
        <v>0</v>
      </c>
      <c r="CL71" s="257">
        <f>LOOKUP($BV71,INVENTARIOS!$A$4:$A$724,ECONO!$O$10:$O$730)</f>
        <v>0</v>
      </c>
      <c r="CM71" s="258">
        <f>LOOKUP($BV71,INVENTARIOS!$A$4:$A$724,ECONO!$Z$9:$Z$729)</f>
        <v>0</v>
      </c>
      <c r="CN71" s="260">
        <f t="shared" si="53"/>
        <v>0</v>
      </c>
      <c r="CO71"/>
    </row>
    <row r="72" spans="23:93" x14ac:dyDescent="0.3">
      <c r="W72" s="1"/>
      <c r="AC72" s="1193">
        <f t="shared" si="41"/>
        <v>84</v>
      </c>
      <c r="AD72" s="844">
        <f>LOOKUP(TP!$A72,PROD!$A$5:$A$725,PROD!$O$5:$O$725)</f>
        <v>0</v>
      </c>
      <c r="AE72" s="101">
        <f>IFERROR(LOOKUP(Linea,TP!$B$3:$DE$3,TP!B72:DE72),0)</f>
        <v>0</v>
      </c>
      <c r="AF72" s="101">
        <f t="shared" ref="AF72:AF108" si="58">AE71*(1-2*$AG$4/100)</f>
        <v>0</v>
      </c>
      <c r="AG72" s="101">
        <f t="shared" ref="AG72:AG108" si="59">AE72-AF72</f>
        <v>0</v>
      </c>
      <c r="AH72" s="845">
        <f t="shared" si="42"/>
        <v>0</v>
      </c>
      <c r="AI72" s="846">
        <f>LOOKUP(TP!$A72,PROD!$A$5:$A$725,PROD!$O$6:$O$726)</f>
        <v>0</v>
      </c>
      <c r="AJ72" s="101">
        <f>IFERROR(LOOKUP(Linea,TP!$B$3:$DE$3,TP!C72:DF72),0)</f>
        <v>0</v>
      </c>
      <c r="AK72" s="101">
        <f t="shared" ref="AK72:AK108" si="60">AJ71*(1-2*$AL$4/100)</f>
        <v>0</v>
      </c>
      <c r="AL72" s="101">
        <f t="shared" ref="AL72:AL108" si="61">AJ72-AK72</f>
        <v>0</v>
      </c>
      <c r="AM72" s="837">
        <f t="shared" si="43"/>
        <v>0</v>
      </c>
      <c r="AN72" s="176">
        <f>LOOKUP(TP!$A72,PROD!$A$5:$A$725,PROD!$I$11:$I$731)</f>
        <v>0</v>
      </c>
      <c r="AO72" s="171">
        <f>LOOKUP(TP!$A72,PROD!$A$5:$A$725,PROD!$K$5:$K$725)*100</f>
        <v>0</v>
      </c>
      <c r="AP72" s="110">
        <f>LOOKUP(TP!$A72,PROD!$A$5:$A$725,PROD!$K$8:$K$728)*100</f>
        <v>0</v>
      </c>
      <c r="AQ72" s="110">
        <f t="shared" si="44"/>
        <v>100</v>
      </c>
      <c r="AR72" s="109">
        <f>IFERROR(LOOKUP(Linea,TP!$B$3:$DE$3,TP!D72:DG72),0)</f>
        <v>0</v>
      </c>
      <c r="AS72" s="838">
        <f>SUMIF(PROD!$BF$5:$BF$725,GSh!$BV72,PROD!$V$5:$V$725)/1000*PROD!$A$1</f>
        <v>0</v>
      </c>
      <c r="AT72" s="627">
        <f>LOOKUP(TP!$A72,PROD!$A$5:$A$725,PROD!$AD$5:$AD$725)</f>
        <v>0</v>
      </c>
      <c r="AU72" s="101">
        <f>IFERROR(LOOKUP(Linea,TP!$B$3:$DE$3,TP!E72:DH72),0)</f>
        <v>0</v>
      </c>
      <c r="AV72" s="847">
        <f t="shared" si="45"/>
        <v>0</v>
      </c>
      <c r="AW72" s="1081">
        <f>LOOKUP($BV72,PROD!$A$5:$A$725,PROD!$AE$10:$AE$730)</f>
        <v>0</v>
      </c>
      <c r="AX72" s="1076">
        <f>LOOKUP($BV72,PROD!$A$5:$A$725,PROD!$AE$11:$AE$731)</f>
        <v>0</v>
      </c>
      <c r="AY72" s="114">
        <f>'Pr-Sem'!Z72</f>
        <v>0</v>
      </c>
      <c r="AZ72" s="101">
        <f>IFERROR(LOOKUP(Linea,TP!$B$3:$DE$3,TP!F72:DI72),0)</f>
        <v>0</v>
      </c>
      <c r="BA72" s="840">
        <f>LOOKUP(TP!$A72,PROD!$A$5:$A$725,PROD!$Q$7:$Q$727)</f>
        <v>0</v>
      </c>
      <c r="BB72" s="118">
        <f t="shared" si="54"/>
        <v>0</v>
      </c>
      <c r="BC72" s="109">
        <f t="shared" si="55"/>
        <v>0</v>
      </c>
      <c r="BD72" s="125">
        <f>LOOKUP(TP!$A72,PROD!$A$5:$A$725,PROD!$AH$7:$AH$727)</f>
        <v>0</v>
      </c>
      <c r="BE72" s="101">
        <f t="shared" si="46"/>
        <v>0</v>
      </c>
      <c r="BF72" s="850">
        <f t="shared" si="47"/>
        <v>0</v>
      </c>
      <c r="BG72" s="129">
        <f>LOOKUP(TP!$A72,PROD!$A$5:$A$725,PROD!$AH$8:$AH$728)</f>
        <v>0</v>
      </c>
      <c r="BH72" s="101">
        <f t="shared" si="56"/>
        <v>0</v>
      </c>
      <c r="BI72" s="849">
        <f t="shared" si="48"/>
        <v>0</v>
      </c>
      <c r="BJ72" s="513">
        <f>'Pr-Sem'!AC72*10</f>
        <v>0</v>
      </c>
      <c r="BK72" s="514">
        <f>IFERROR(LOOKUP(Linea,TP!$B$3:$DE$3,TP!J72:DJ72),0)</f>
        <v>0</v>
      </c>
      <c r="BL72" s="848">
        <f t="shared" si="49"/>
        <v>0</v>
      </c>
      <c r="BM72" s="137">
        <f>LOOKUP($BV72,PROD!$A$5:$A$725,PROD!$AH$5:$AH$725)*IF($BM$5="Gr X H",1,100)</f>
        <v>0</v>
      </c>
      <c r="BN72" s="138">
        <f>LOOKUP($BV72,PROD!$A$5:$A$725,PROD!$AI$5:$AI$725)*IF($BM$5="Gr X H",1,100)</f>
        <v>0</v>
      </c>
      <c r="BO72" s="849">
        <f t="shared" si="50"/>
        <v>0</v>
      </c>
      <c r="BP72" s="137">
        <f>LOOKUP(BV72,PROD!$A$5:$A$725,PROD!$AH$6:$AH$726)*IF($BM$5="Gr X H",1,100)</f>
        <v>0</v>
      </c>
      <c r="BQ72" s="138">
        <f>LOOKUP($BV72,PROD!$A$5:$A$725,PROD!$AI$6:$AI$726)*IF($BM$5="Gr X H",1,100)</f>
        <v>0</v>
      </c>
      <c r="BR72" s="849">
        <f t="shared" si="51"/>
        <v>0</v>
      </c>
      <c r="BS72" s="137">
        <f>LOOKUP(TP!$A72,PROD!$A$5:$A$725,PROD!$AH$9:$AH$729)</f>
        <v>0</v>
      </c>
      <c r="BT72" s="138">
        <f>LOOKUP(TP!$A72,PROD!$A$5:$A$725,PROD!$AI$9:$AI$729)</f>
        <v>0</v>
      </c>
      <c r="BU72" s="849">
        <f t="shared" si="52"/>
        <v>0</v>
      </c>
      <c r="BV72" s="833">
        <f t="shared" si="57"/>
        <v>84</v>
      </c>
      <c r="BW72" s="191">
        <f ca="1">LOOKUP($BV72,INVENTARIOS!$A$4:$A$718,ECONO!$T$4:$T$724)*100</f>
        <v>0</v>
      </c>
      <c r="BX72" s="606">
        <f ca="1">LOOKUP($BV72,INVENTARIOS!$A$4:$A$718,ECONO!$T$5:$T$725)*100</f>
        <v>0</v>
      </c>
      <c r="BY72" s="606">
        <f ca="1">LOOKUP($BV72,INVENTARIOS!$A$4:$A$718,ECONO!$T$6:$T$726)*100</f>
        <v>0</v>
      </c>
      <c r="BZ72" s="606">
        <f ca="1">LOOKUP($BV72,INVENTARIOS!$A$4:$A$718,ECONO!$T$7:$T$727)*100</f>
        <v>0</v>
      </c>
      <c r="CA72" s="606">
        <f ca="1">LOOKUP($BV72,INVENTARIOS!$A$4:$A$718,ECONO!$T$8:$T$728)*100</f>
        <v>0</v>
      </c>
      <c r="CB72" s="606">
        <f ca="1">LOOKUP($BV72,INVENTARIOS!$A$4:$A$718,ECONO!$T$9:$T$729)*100</f>
        <v>0</v>
      </c>
      <c r="CC72" s="606">
        <f ca="1">LOOKUP($BV72,INVENTARIOS!$A$4:$A$718,ECONO!$T$10:$T$730)*100</f>
        <v>0</v>
      </c>
      <c r="CD72" s="99">
        <f ca="1">LOOKUP($BV72,INVENTARIOS!$A$4:$A$718,ECONO!$X$8:$X$728)*100</f>
        <v>0</v>
      </c>
      <c r="CE72" s="99">
        <f ca="1">LOOKUP($BV72,INVENTARIOS!$A$4:$A$718,ECONO!$X$9:$X$729)*100</f>
        <v>0</v>
      </c>
      <c r="CF72" s="192">
        <f ca="1">LOOKUP($BV72,INVENTARIOS!$A$4:$A$718,ECONO!$X$10:$X$730)*100</f>
        <v>0</v>
      </c>
      <c r="CG72" s="195">
        <f ca="1">LOOKUP(GSh!$BV72,INVENTARIOS!$A$4:$A$718,ECONO!$X$4:$X$724)*100</f>
        <v>0</v>
      </c>
      <c r="CH72" s="98">
        <f ca="1">LOOKUP(GSh!$BV72,INVENTARIOS!$A$4:$A$718,ECONO!$X$5:$X$725)*100</f>
        <v>0</v>
      </c>
      <c r="CI72" s="98">
        <f ca="1">LOOKUP(GSh!$BV72,INVENTARIOS!$A$4:$A$718,ECONO!$X$6:$X$726)*100</f>
        <v>0</v>
      </c>
      <c r="CJ72" s="194">
        <f ca="1">LOOKUP(GSh!$BV72,INVENTARIOS!$A$4:$A$718,ECONO!$X$7:$X$727)*100</f>
        <v>0</v>
      </c>
      <c r="CK72" s="34">
        <f>IF(OR(AO72&gt;0,AT72&gt;0,AD72&gt;0),TP!A72,CK71)</f>
        <v>0</v>
      </c>
      <c r="CL72" s="257">
        <f>LOOKUP($BV72,INVENTARIOS!$A$4:$A$724,ECONO!$O$10:$O$730)</f>
        <v>0</v>
      </c>
      <c r="CM72" s="258">
        <f>LOOKUP($BV72,INVENTARIOS!$A$4:$A$724,ECONO!$Z$9:$Z$729)</f>
        <v>0</v>
      </c>
      <c r="CN72" s="260">
        <f t="shared" si="53"/>
        <v>0</v>
      </c>
      <c r="CO72"/>
    </row>
    <row r="73" spans="23:93" x14ac:dyDescent="0.3">
      <c r="W73" s="1"/>
      <c r="AC73" s="1193">
        <f t="shared" si="41"/>
        <v>85</v>
      </c>
      <c r="AD73" s="844">
        <f>LOOKUP(TP!$A73,PROD!$A$5:$A$725,PROD!$O$5:$O$725)</f>
        <v>0</v>
      </c>
      <c r="AE73" s="101">
        <f>IFERROR(LOOKUP(Linea,TP!$B$3:$DE$3,TP!B73:DE73),0)</f>
        <v>0</v>
      </c>
      <c r="AF73" s="101">
        <f t="shared" si="58"/>
        <v>0</v>
      </c>
      <c r="AG73" s="101">
        <f t="shared" si="59"/>
        <v>0</v>
      </c>
      <c r="AH73" s="845">
        <f t="shared" si="42"/>
        <v>0</v>
      </c>
      <c r="AI73" s="846">
        <f>LOOKUP(TP!$A73,PROD!$A$5:$A$725,PROD!$O$6:$O$726)</f>
        <v>0</v>
      </c>
      <c r="AJ73" s="101">
        <f>IFERROR(LOOKUP(Linea,TP!$B$3:$DE$3,TP!C73:DF73),0)</f>
        <v>0</v>
      </c>
      <c r="AK73" s="101">
        <f t="shared" si="60"/>
        <v>0</v>
      </c>
      <c r="AL73" s="101">
        <f t="shared" si="61"/>
        <v>0</v>
      </c>
      <c r="AM73" s="837">
        <f t="shared" si="43"/>
        <v>0</v>
      </c>
      <c r="AN73" s="176">
        <f>LOOKUP(TP!$A73,PROD!$A$5:$A$725,PROD!$I$11:$I$731)</f>
        <v>0</v>
      </c>
      <c r="AO73" s="171">
        <f>LOOKUP(TP!$A73,PROD!$A$5:$A$725,PROD!$K$5:$K$725)*100</f>
        <v>0</v>
      </c>
      <c r="AP73" s="110">
        <f>LOOKUP(TP!$A73,PROD!$A$5:$A$725,PROD!$K$8:$K$728)*100</f>
        <v>0</v>
      </c>
      <c r="AQ73" s="110">
        <f t="shared" si="44"/>
        <v>100</v>
      </c>
      <c r="AR73" s="109">
        <f>IFERROR(LOOKUP(Linea,TP!$B$3:$DE$3,TP!D73:DG73),0)</f>
        <v>0</v>
      </c>
      <c r="AS73" s="838">
        <f>SUMIF(PROD!$BF$5:$BF$725,GSh!$BV73,PROD!$V$5:$V$725)/1000*PROD!$A$1</f>
        <v>0</v>
      </c>
      <c r="AT73" s="627">
        <f>LOOKUP(TP!$A73,PROD!$A$5:$A$725,PROD!$AD$5:$AD$725)</f>
        <v>0</v>
      </c>
      <c r="AU73" s="101">
        <f>IFERROR(LOOKUP(Linea,TP!$B$3:$DE$3,TP!E73:DH73),0)</f>
        <v>0</v>
      </c>
      <c r="AV73" s="847">
        <f t="shared" si="45"/>
        <v>0</v>
      </c>
      <c r="AW73" s="1081">
        <f>LOOKUP($BV73,PROD!$A$5:$A$725,PROD!$AE$10:$AE$730)</f>
        <v>0</v>
      </c>
      <c r="AX73" s="1076">
        <f>LOOKUP($BV73,PROD!$A$5:$A$725,PROD!$AE$11:$AE$731)</f>
        <v>0</v>
      </c>
      <c r="AY73" s="114">
        <f>'Pr-Sem'!Z73</f>
        <v>0</v>
      </c>
      <c r="AZ73" s="101">
        <f>IFERROR(LOOKUP(Linea,TP!$B$3:$DE$3,TP!F73:DI73),0)</f>
        <v>0</v>
      </c>
      <c r="BA73" s="840">
        <f>LOOKUP(TP!$A73,PROD!$A$5:$A$725,PROD!$Q$7:$Q$727)</f>
        <v>0</v>
      </c>
      <c r="BB73" s="118">
        <f t="shared" si="54"/>
        <v>0</v>
      </c>
      <c r="BC73" s="109">
        <f t="shared" si="55"/>
        <v>0</v>
      </c>
      <c r="BD73" s="125">
        <f>LOOKUP(TP!$A73,PROD!$A$5:$A$725,PROD!$AH$7:$AH$727)</f>
        <v>0</v>
      </c>
      <c r="BE73" s="101">
        <f t="shared" si="46"/>
        <v>0</v>
      </c>
      <c r="BF73" s="850">
        <f t="shared" si="47"/>
        <v>0</v>
      </c>
      <c r="BG73" s="129">
        <f>LOOKUP(TP!$A73,PROD!$A$5:$A$725,PROD!$AH$8:$AH$728)</f>
        <v>0</v>
      </c>
      <c r="BH73" s="101">
        <f t="shared" si="56"/>
        <v>0</v>
      </c>
      <c r="BI73" s="849">
        <f t="shared" si="48"/>
        <v>0</v>
      </c>
      <c r="BJ73" s="513">
        <f>'Pr-Sem'!AC73*10</f>
        <v>0</v>
      </c>
      <c r="BK73" s="514">
        <f>IFERROR(LOOKUP(Linea,TP!$B$3:$DE$3,TP!J73:DJ73),0)</f>
        <v>0</v>
      </c>
      <c r="BL73" s="848">
        <f t="shared" si="49"/>
        <v>0</v>
      </c>
      <c r="BM73" s="137">
        <f>LOOKUP($BV73,PROD!$A$5:$A$725,PROD!$AH$5:$AH$725)*IF($BM$5="Gr X H",1,100)</f>
        <v>0</v>
      </c>
      <c r="BN73" s="138">
        <f>LOOKUP($BV73,PROD!$A$5:$A$725,PROD!$AI$5:$AI$725)*IF($BM$5="Gr X H",1,100)</f>
        <v>0</v>
      </c>
      <c r="BO73" s="849">
        <f t="shared" si="50"/>
        <v>0</v>
      </c>
      <c r="BP73" s="137">
        <f>LOOKUP(BV73,PROD!$A$5:$A$725,PROD!$AH$6:$AH$726)*IF($BM$5="Gr X H",1,100)</f>
        <v>0</v>
      </c>
      <c r="BQ73" s="138">
        <f>LOOKUP($BV73,PROD!$A$5:$A$725,PROD!$AI$6:$AI$726)*IF($BM$5="Gr X H",1,100)</f>
        <v>0</v>
      </c>
      <c r="BR73" s="849">
        <f t="shared" si="51"/>
        <v>0</v>
      </c>
      <c r="BS73" s="137">
        <f>LOOKUP(TP!$A73,PROD!$A$5:$A$725,PROD!$AH$9:$AH$729)</f>
        <v>0</v>
      </c>
      <c r="BT73" s="138">
        <f>LOOKUP(TP!$A73,PROD!$A$5:$A$725,PROD!$AI$9:$AI$729)</f>
        <v>0</v>
      </c>
      <c r="BU73" s="849">
        <f t="shared" si="52"/>
        <v>0</v>
      </c>
      <c r="BV73" s="833">
        <f t="shared" si="57"/>
        <v>85</v>
      </c>
      <c r="BW73" s="191">
        <f ca="1">LOOKUP($BV73,INVENTARIOS!$A$4:$A$718,ECONO!$T$4:$T$724)*100</f>
        <v>0</v>
      </c>
      <c r="BX73" s="606">
        <f ca="1">LOOKUP($BV73,INVENTARIOS!$A$4:$A$718,ECONO!$T$5:$T$725)*100</f>
        <v>0</v>
      </c>
      <c r="BY73" s="606">
        <f ca="1">LOOKUP($BV73,INVENTARIOS!$A$4:$A$718,ECONO!$T$6:$T$726)*100</f>
        <v>0</v>
      </c>
      <c r="BZ73" s="606">
        <f ca="1">LOOKUP($BV73,INVENTARIOS!$A$4:$A$718,ECONO!$T$7:$T$727)*100</f>
        <v>0</v>
      </c>
      <c r="CA73" s="606">
        <f ca="1">LOOKUP($BV73,INVENTARIOS!$A$4:$A$718,ECONO!$T$8:$T$728)*100</f>
        <v>0</v>
      </c>
      <c r="CB73" s="606">
        <f ca="1">LOOKUP($BV73,INVENTARIOS!$A$4:$A$718,ECONO!$T$9:$T$729)*100</f>
        <v>0</v>
      </c>
      <c r="CC73" s="606">
        <f ca="1">LOOKUP($BV73,INVENTARIOS!$A$4:$A$718,ECONO!$T$10:$T$730)*100</f>
        <v>0</v>
      </c>
      <c r="CD73" s="99">
        <f ca="1">LOOKUP($BV73,INVENTARIOS!$A$4:$A$718,ECONO!$X$8:$X$728)*100</f>
        <v>0</v>
      </c>
      <c r="CE73" s="99">
        <f ca="1">LOOKUP($BV73,INVENTARIOS!$A$4:$A$718,ECONO!$X$9:$X$729)*100</f>
        <v>0</v>
      </c>
      <c r="CF73" s="192">
        <f ca="1">LOOKUP($BV73,INVENTARIOS!$A$4:$A$718,ECONO!$X$10:$X$730)*100</f>
        <v>0</v>
      </c>
      <c r="CG73" s="195">
        <f ca="1">LOOKUP(GSh!$BV73,INVENTARIOS!$A$4:$A$718,ECONO!$X$4:$X$724)*100</f>
        <v>0</v>
      </c>
      <c r="CH73" s="98">
        <f ca="1">LOOKUP(GSh!$BV73,INVENTARIOS!$A$4:$A$718,ECONO!$X$5:$X$725)*100</f>
        <v>0</v>
      </c>
      <c r="CI73" s="98">
        <f ca="1">LOOKUP(GSh!$BV73,INVENTARIOS!$A$4:$A$718,ECONO!$X$6:$X$726)*100</f>
        <v>0</v>
      </c>
      <c r="CJ73" s="194">
        <f ca="1">LOOKUP(GSh!$BV73,INVENTARIOS!$A$4:$A$718,ECONO!$X$7:$X$727)*100</f>
        <v>0</v>
      </c>
      <c r="CK73" s="34">
        <f>IF(OR(AO73&gt;0,AT73&gt;0,AD73&gt;0),TP!A73,CK72)</f>
        <v>0</v>
      </c>
      <c r="CL73" s="257">
        <f>LOOKUP($BV73,INVENTARIOS!$A$4:$A$724,ECONO!$O$10:$O$730)</f>
        <v>0</v>
      </c>
      <c r="CM73" s="258">
        <f>LOOKUP($BV73,INVENTARIOS!$A$4:$A$724,ECONO!$Z$9:$Z$729)</f>
        <v>0</v>
      </c>
      <c r="CN73" s="260">
        <f t="shared" si="53"/>
        <v>0</v>
      </c>
      <c r="CO73"/>
    </row>
    <row r="74" spans="23:93" x14ac:dyDescent="0.3">
      <c r="W74" s="1"/>
      <c r="AC74" s="1193">
        <f t="shared" si="41"/>
        <v>86</v>
      </c>
      <c r="AD74" s="844">
        <f>LOOKUP(TP!$A74,PROD!$A$5:$A$725,PROD!$O$5:$O$725)</f>
        <v>0</v>
      </c>
      <c r="AE74" s="101">
        <f>IFERROR(LOOKUP(Linea,TP!$B$3:$DE$3,TP!B74:DE74),0)</f>
        <v>0</v>
      </c>
      <c r="AF74" s="101">
        <f t="shared" si="58"/>
        <v>0</v>
      </c>
      <c r="AG74" s="101">
        <f t="shared" si="59"/>
        <v>0</v>
      </c>
      <c r="AH74" s="845">
        <f t="shared" si="42"/>
        <v>0</v>
      </c>
      <c r="AI74" s="846">
        <f>LOOKUP(TP!$A74,PROD!$A$5:$A$725,PROD!$O$6:$O$726)</f>
        <v>0</v>
      </c>
      <c r="AJ74" s="101">
        <f>IFERROR(LOOKUP(Linea,TP!$B$3:$DE$3,TP!C74:DF74),0)</f>
        <v>0</v>
      </c>
      <c r="AK74" s="101">
        <f t="shared" si="60"/>
        <v>0</v>
      </c>
      <c r="AL74" s="101">
        <f t="shared" si="61"/>
        <v>0</v>
      </c>
      <c r="AM74" s="837">
        <f t="shared" si="43"/>
        <v>0</v>
      </c>
      <c r="AN74" s="176">
        <f>LOOKUP(TP!$A74,PROD!$A$5:$A$725,PROD!$I$11:$I$731)</f>
        <v>0</v>
      </c>
      <c r="AO74" s="171">
        <f>LOOKUP(TP!$A74,PROD!$A$5:$A$725,PROD!$K$5:$K$725)*100</f>
        <v>0</v>
      </c>
      <c r="AP74" s="110">
        <f>LOOKUP(TP!$A74,PROD!$A$5:$A$725,PROD!$K$8:$K$728)*100</f>
        <v>0</v>
      </c>
      <c r="AQ74" s="110">
        <f t="shared" si="44"/>
        <v>100</v>
      </c>
      <c r="AR74" s="109">
        <f>IFERROR(LOOKUP(Linea,TP!$B$3:$DE$3,TP!D74:DG74),0)</f>
        <v>0</v>
      </c>
      <c r="AS74" s="838">
        <f>SUMIF(PROD!$BF$5:$BF$725,GSh!$BV74,PROD!$V$5:$V$725)/1000*PROD!$A$1</f>
        <v>0</v>
      </c>
      <c r="AT74" s="627">
        <f>LOOKUP(TP!$A74,PROD!$A$5:$A$725,PROD!$AD$5:$AD$725)</f>
        <v>0</v>
      </c>
      <c r="AU74" s="101">
        <f>IFERROR(LOOKUP(Linea,TP!$B$3:$DE$3,TP!E74:DH74),0)</f>
        <v>0</v>
      </c>
      <c r="AV74" s="847">
        <f t="shared" si="45"/>
        <v>0</v>
      </c>
      <c r="AW74" s="1081">
        <f>LOOKUP($BV74,PROD!$A$5:$A$725,PROD!$AE$10:$AE$730)</f>
        <v>0</v>
      </c>
      <c r="AX74" s="1076">
        <f>LOOKUP($BV74,PROD!$A$5:$A$725,PROD!$AE$11:$AE$731)</f>
        <v>0</v>
      </c>
      <c r="AY74" s="114">
        <f>'Pr-Sem'!Z74</f>
        <v>0</v>
      </c>
      <c r="AZ74" s="101">
        <f>IFERROR(LOOKUP(Linea,TP!$B$3:$DE$3,TP!F74:DI74),0)</f>
        <v>0</v>
      </c>
      <c r="BA74" s="840">
        <f>LOOKUP(TP!$A74,PROD!$A$5:$A$725,PROD!$Q$7:$Q$727)</f>
        <v>0</v>
      </c>
      <c r="BB74" s="118">
        <f t="shared" si="54"/>
        <v>0</v>
      </c>
      <c r="BC74" s="109">
        <f t="shared" si="55"/>
        <v>0</v>
      </c>
      <c r="BD74" s="125">
        <f>LOOKUP(TP!$A74,PROD!$A$5:$A$725,PROD!$AH$7:$AH$727)</f>
        <v>0</v>
      </c>
      <c r="BE74" s="101">
        <f t="shared" si="46"/>
        <v>0</v>
      </c>
      <c r="BF74" s="850">
        <f t="shared" si="47"/>
        <v>0</v>
      </c>
      <c r="BG74" s="129">
        <f>LOOKUP(TP!$A74,PROD!$A$5:$A$725,PROD!$AH$8:$AH$728)</f>
        <v>0</v>
      </c>
      <c r="BH74" s="101">
        <f t="shared" si="56"/>
        <v>0</v>
      </c>
      <c r="BI74" s="849">
        <f t="shared" si="48"/>
        <v>0</v>
      </c>
      <c r="BJ74" s="513">
        <f>'Pr-Sem'!AC74*10</f>
        <v>0</v>
      </c>
      <c r="BK74" s="514">
        <f>IFERROR(LOOKUP(Linea,TP!$B$3:$DE$3,TP!J74:DJ74),0)</f>
        <v>0</v>
      </c>
      <c r="BL74" s="848">
        <f t="shared" si="49"/>
        <v>0</v>
      </c>
      <c r="BM74" s="137">
        <f>LOOKUP($BV74,PROD!$A$5:$A$725,PROD!$AH$5:$AH$725)*IF($BM$5="Gr X H",1,100)</f>
        <v>0</v>
      </c>
      <c r="BN74" s="138">
        <f>LOOKUP($BV74,PROD!$A$5:$A$725,PROD!$AI$5:$AI$725)*IF($BM$5="Gr X H",1,100)</f>
        <v>0</v>
      </c>
      <c r="BO74" s="849">
        <f t="shared" si="50"/>
        <v>0</v>
      </c>
      <c r="BP74" s="137">
        <f>LOOKUP(BV74,PROD!$A$5:$A$725,PROD!$AH$6:$AH$726)*IF($BM$5="Gr X H",1,100)</f>
        <v>0</v>
      </c>
      <c r="BQ74" s="138">
        <f>LOOKUP($BV74,PROD!$A$5:$A$725,PROD!$AI$6:$AI$726)*IF($BM$5="Gr X H",1,100)</f>
        <v>0</v>
      </c>
      <c r="BR74" s="849">
        <f t="shared" si="51"/>
        <v>0</v>
      </c>
      <c r="BS74" s="137">
        <f>LOOKUP(TP!$A74,PROD!$A$5:$A$725,PROD!$AH$9:$AH$729)</f>
        <v>0</v>
      </c>
      <c r="BT74" s="138">
        <f>LOOKUP(TP!$A74,PROD!$A$5:$A$725,PROD!$AI$9:$AI$729)</f>
        <v>0</v>
      </c>
      <c r="BU74" s="849">
        <f t="shared" si="52"/>
        <v>0</v>
      </c>
      <c r="BV74" s="833">
        <f t="shared" si="57"/>
        <v>86</v>
      </c>
      <c r="BW74" s="191">
        <f ca="1">LOOKUP($BV74,INVENTARIOS!$A$4:$A$718,ECONO!$T$4:$T$724)*100</f>
        <v>0</v>
      </c>
      <c r="BX74" s="606">
        <f ca="1">LOOKUP($BV74,INVENTARIOS!$A$4:$A$718,ECONO!$T$5:$T$725)*100</f>
        <v>0</v>
      </c>
      <c r="BY74" s="606">
        <f ca="1">LOOKUP($BV74,INVENTARIOS!$A$4:$A$718,ECONO!$T$6:$T$726)*100</f>
        <v>0</v>
      </c>
      <c r="BZ74" s="606">
        <f ca="1">LOOKUP($BV74,INVENTARIOS!$A$4:$A$718,ECONO!$T$7:$T$727)*100</f>
        <v>0</v>
      </c>
      <c r="CA74" s="606">
        <f ca="1">LOOKUP($BV74,INVENTARIOS!$A$4:$A$718,ECONO!$T$8:$T$728)*100</f>
        <v>0</v>
      </c>
      <c r="CB74" s="606">
        <f ca="1">LOOKUP($BV74,INVENTARIOS!$A$4:$A$718,ECONO!$T$9:$T$729)*100</f>
        <v>0</v>
      </c>
      <c r="CC74" s="606">
        <f ca="1">LOOKUP($BV74,INVENTARIOS!$A$4:$A$718,ECONO!$T$10:$T$730)*100</f>
        <v>0</v>
      </c>
      <c r="CD74" s="99">
        <f ca="1">LOOKUP($BV74,INVENTARIOS!$A$4:$A$718,ECONO!$X$8:$X$728)*100</f>
        <v>0</v>
      </c>
      <c r="CE74" s="99">
        <f ca="1">LOOKUP($BV74,INVENTARIOS!$A$4:$A$718,ECONO!$X$9:$X$729)*100</f>
        <v>0</v>
      </c>
      <c r="CF74" s="192">
        <f ca="1">LOOKUP($BV74,INVENTARIOS!$A$4:$A$718,ECONO!$X$10:$X$730)*100</f>
        <v>0</v>
      </c>
      <c r="CG74" s="195">
        <f ca="1">LOOKUP(GSh!$BV74,INVENTARIOS!$A$4:$A$718,ECONO!$X$4:$X$724)*100</f>
        <v>0</v>
      </c>
      <c r="CH74" s="98">
        <f ca="1">LOOKUP(GSh!$BV74,INVENTARIOS!$A$4:$A$718,ECONO!$X$5:$X$725)*100</f>
        <v>0</v>
      </c>
      <c r="CI74" s="98">
        <f ca="1">LOOKUP(GSh!$BV74,INVENTARIOS!$A$4:$A$718,ECONO!$X$6:$X$726)*100</f>
        <v>0</v>
      </c>
      <c r="CJ74" s="194">
        <f ca="1">LOOKUP(GSh!$BV74,INVENTARIOS!$A$4:$A$718,ECONO!$X$7:$X$727)*100</f>
        <v>0</v>
      </c>
      <c r="CK74" s="34">
        <f>IF(OR(AO74&gt;0,AT74&gt;0,AD74&gt;0),TP!A74,CK73)</f>
        <v>0</v>
      </c>
      <c r="CL74" s="257">
        <f>LOOKUP($BV74,INVENTARIOS!$A$4:$A$724,ECONO!$O$10:$O$730)</f>
        <v>0</v>
      </c>
      <c r="CM74" s="258">
        <f>LOOKUP($BV74,INVENTARIOS!$A$4:$A$724,ECONO!$Z$9:$Z$729)</f>
        <v>0</v>
      </c>
      <c r="CN74" s="260">
        <f t="shared" si="53"/>
        <v>0</v>
      </c>
      <c r="CO74"/>
    </row>
    <row r="75" spans="23:93" x14ac:dyDescent="0.3">
      <c r="W75" s="1"/>
      <c r="AC75" s="1193">
        <f t="shared" si="41"/>
        <v>87</v>
      </c>
      <c r="AD75" s="844">
        <f>LOOKUP(TP!$A75,PROD!$A$5:$A$725,PROD!$O$5:$O$725)</f>
        <v>0</v>
      </c>
      <c r="AE75" s="101">
        <f>IFERROR(LOOKUP(Linea,TP!$B$3:$DE$3,TP!B75:DE75),0)</f>
        <v>0</v>
      </c>
      <c r="AF75" s="101">
        <f t="shared" si="58"/>
        <v>0</v>
      </c>
      <c r="AG75" s="101">
        <f t="shared" si="59"/>
        <v>0</v>
      </c>
      <c r="AH75" s="845">
        <f t="shared" si="42"/>
        <v>0</v>
      </c>
      <c r="AI75" s="846">
        <f>LOOKUP(TP!$A75,PROD!$A$5:$A$725,PROD!$O$6:$O$726)</f>
        <v>0</v>
      </c>
      <c r="AJ75" s="101">
        <f>IFERROR(LOOKUP(Linea,TP!$B$3:$DE$3,TP!C75:DF75),0)</f>
        <v>0</v>
      </c>
      <c r="AK75" s="101">
        <f t="shared" si="60"/>
        <v>0</v>
      </c>
      <c r="AL75" s="101">
        <f t="shared" si="61"/>
        <v>0</v>
      </c>
      <c r="AM75" s="837">
        <f t="shared" si="43"/>
        <v>0</v>
      </c>
      <c r="AN75" s="176">
        <f>LOOKUP(TP!$A75,PROD!$A$5:$A$725,PROD!$I$11:$I$731)</f>
        <v>0</v>
      </c>
      <c r="AO75" s="171">
        <f>LOOKUP(TP!$A75,PROD!$A$5:$A$725,PROD!$K$5:$K$725)*100</f>
        <v>0</v>
      </c>
      <c r="AP75" s="110">
        <f>LOOKUP(TP!$A75,PROD!$A$5:$A$725,PROD!$K$8:$K$728)*100</f>
        <v>0</v>
      </c>
      <c r="AQ75" s="110">
        <f t="shared" si="44"/>
        <v>100</v>
      </c>
      <c r="AR75" s="109">
        <f>IFERROR(LOOKUP(Linea,TP!$B$3:$DE$3,TP!D75:DG75),0)</f>
        <v>0</v>
      </c>
      <c r="AS75" s="838">
        <f>SUMIF(PROD!$BF$5:$BF$725,GSh!$BV75,PROD!$V$5:$V$725)/1000*PROD!$A$1</f>
        <v>0</v>
      </c>
      <c r="AT75" s="627">
        <f>LOOKUP(TP!$A75,PROD!$A$5:$A$725,PROD!$AD$5:$AD$725)</f>
        <v>0</v>
      </c>
      <c r="AU75" s="101">
        <f>IFERROR(LOOKUP(Linea,TP!$B$3:$DE$3,TP!E75:DH75),0)</f>
        <v>0</v>
      </c>
      <c r="AV75" s="847">
        <f t="shared" si="45"/>
        <v>0</v>
      </c>
      <c r="AW75" s="1081">
        <f>LOOKUP($BV75,PROD!$A$5:$A$725,PROD!$AE$10:$AE$730)</f>
        <v>0</v>
      </c>
      <c r="AX75" s="1076">
        <f>LOOKUP($BV75,PROD!$A$5:$A$725,PROD!$AE$11:$AE$731)</f>
        <v>0</v>
      </c>
      <c r="AY75" s="114">
        <f>'Pr-Sem'!Z75</f>
        <v>0</v>
      </c>
      <c r="AZ75" s="101">
        <f>IFERROR(LOOKUP(Linea,TP!$B$3:$DE$3,TP!F75:DI75),0)</f>
        <v>0</v>
      </c>
      <c r="BA75" s="840">
        <f>LOOKUP(TP!$A75,PROD!$A$5:$A$725,PROD!$Q$7:$Q$727)</f>
        <v>0</v>
      </c>
      <c r="BB75" s="118">
        <f t="shared" si="54"/>
        <v>0</v>
      </c>
      <c r="BC75" s="109">
        <f t="shared" si="55"/>
        <v>0</v>
      </c>
      <c r="BD75" s="125">
        <f>LOOKUP(TP!$A75,PROD!$A$5:$A$725,PROD!$AH$7:$AH$727)</f>
        <v>0</v>
      </c>
      <c r="BE75" s="101">
        <f t="shared" si="46"/>
        <v>0</v>
      </c>
      <c r="BF75" s="850">
        <f t="shared" si="47"/>
        <v>0</v>
      </c>
      <c r="BG75" s="129">
        <f>LOOKUP(TP!$A75,PROD!$A$5:$A$725,PROD!$AH$8:$AH$728)</f>
        <v>0</v>
      </c>
      <c r="BH75" s="101">
        <f t="shared" si="56"/>
        <v>0</v>
      </c>
      <c r="BI75" s="849">
        <f t="shared" si="48"/>
        <v>0</v>
      </c>
      <c r="BJ75" s="513">
        <f>'Pr-Sem'!AC75*10</f>
        <v>0</v>
      </c>
      <c r="BK75" s="514">
        <f>IFERROR(LOOKUP(Linea,TP!$B$3:$DE$3,TP!J75:DJ75),0)</f>
        <v>0</v>
      </c>
      <c r="BL75" s="848">
        <f t="shared" si="49"/>
        <v>0</v>
      </c>
      <c r="BM75" s="137">
        <f>LOOKUP($BV75,PROD!$A$5:$A$725,PROD!$AH$5:$AH$725)*IF($BM$5="Gr X H",1,100)</f>
        <v>0</v>
      </c>
      <c r="BN75" s="138">
        <f>LOOKUP($BV75,PROD!$A$5:$A$725,PROD!$AI$5:$AI$725)*IF($BM$5="Gr X H",1,100)</f>
        <v>0</v>
      </c>
      <c r="BO75" s="849">
        <f t="shared" si="50"/>
        <v>0</v>
      </c>
      <c r="BP75" s="137">
        <f>LOOKUP(BV75,PROD!$A$5:$A$725,PROD!$AH$6:$AH$726)*IF($BM$5="Gr X H",1,100)</f>
        <v>0</v>
      </c>
      <c r="BQ75" s="138">
        <f>LOOKUP($BV75,PROD!$A$5:$A$725,PROD!$AI$6:$AI$726)*IF($BM$5="Gr X H",1,100)</f>
        <v>0</v>
      </c>
      <c r="BR75" s="849">
        <f t="shared" si="51"/>
        <v>0</v>
      </c>
      <c r="BS75" s="137">
        <f>LOOKUP(TP!$A75,PROD!$A$5:$A$725,PROD!$AH$9:$AH$729)</f>
        <v>0</v>
      </c>
      <c r="BT75" s="138">
        <f>LOOKUP(TP!$A75,PROD!$A$5:$A$725,PROD!$AI$9:$AI$729)</f>
        <v>0</v>
      </c>
      <c r="BU75" s="849">
        <f t="shared" si="52"/>
        <v>0</v>
      </c>
      <c r="BV75" s="833">
        <f t="shared" si="57"/>
        <v>87</v>
      </c>
      <c r="BW75" s="191">
        <f ca="1">LOOKUP($BV75,INVENTARIOS!$A$4:$A$718,ECONO!$T$4:$T$724)*100</f>
        <v>0</v>
      </c>
      <c r="BX75" s="606">
        <f ca="1">LOOKUP($BV75,INVENTARIOS!$A$4:$A$718,ECONO!$T$5:$T$725)*100</f>
        <v>0</v>
      </c>
      <c r="BY75" s="606">
        <f ca="1">LOOKUP($BV75,INVENTARIOS!$A$4:$A$718,ECONO!$T$6:$T$726)*100</f>
        <v>0</v>
      </c>
      <c r="BZ75" s="606">
        <f ca="1">LOOKUP($BV75,INVENTARIOS!$A$4:$A$718,ECONO!$T$7:$T$727)*100</f>
        <v>0</v>
      </c>
      <c r="CA75" s="606">
        <f ca="1">LOOKUP($BV75,INVENTARIOS!$A$4:$A$718,ECONO!$T$8:$T$728)*100</f>
        <v>0</v>
      </c>
      <c r="CB75" s="606">
        <f ca="1">LOOKUP($BV75,INVENTARIOS!$A$4:$A$718,ECONO!$T$9:$T$729)*100</f>
        <v>0</v>
      </c>
      <c r="CC75" s="606">
        <f ca="1">LOOKUP($BV75,INVENTARIOS!$A$4:$A$718,ECONO!$T$10:$T$730)*100</f>
        <v>0</v>
      </c>
      <c r="CD75" s="99">
        <f ca="1">LOOKUP($BV75,INVENTARIOS!$A$4:$A$718,ECONO!$X$8:$X$728)*100</f>
        <v>0</v>
      </c>
      <c r="CE75" s="99">
        <f ca="1">LOOKUP($BV75,INVENTARIOS!$A$4:$A$718,ECONO!$X$9:$X$729)*100</f>
        <v>0</v>
      </c>
      <c r="CF75" s="192">
        <f ca="1">LOOKUP($BV75,INVENTARIOS!$A$4:$A$718,ECONO!$X$10:$X$730)*100</f>
        <v>0</v>
      </c>
      <c r="CG75" s="195">
        <f ca="1">LOOKUP(GSh!$BV75,INVENTARIOS!$A$4:$A$718,ECONO!$X$4:$X$724)*100</f>
        <v>0</v>
      </c>
      <c r="CH75" s="98">
        <f ca="1">LOOKUP(GSh!$BV75,INVENTARIOS!$A$4:$A$718,ECONO!$X$5:$X$725)*100</f>
        <v>0</v>
      </c>
      <c r="CI75" s="98">
        <f ca="1">LOOKUP(GSh!$BV75,INVENTARIOS!$A$4:$A$718,ECONO!$X$6:$X$726)*100</f>
        <v>0</v>
      </c>
      <c r="CJ75" s="194">
        <f ca="1">LOOKUP(GSh!$BV75,INVENTARIOS!$A$4:$A$718,ECONO!$X$7:$X$727)*100</f>
        <v>0</v>
      </c>
      <c r="CK75" s="34">
        <f>IF(OR(AO75&gt;0,AT75&gt;0,AD75&gt;0),TP!A75,CK74)</f>
        <v>0</v>
      </c>
      <c r="CL75" s="257">
        <f>LOOKUP($BV75,INVENTARIOS!$A$4:$A$724,ECONO!$O$10:$O$730)</f>
        <v>0</v>
      </c>
      <c r="CM75" s="258">
        <f>LOOKUP($BV75,INVENTARIOS!$A$4:$A$724,ECONO!$Z$9:$Z$729)</f>
        <v>0</v>
      </c>
      <c r="CN75" s="260">
        <f t="shared" si="53"/>
        <v>0</v>
      </c>
      <c r="CO75"/>
    </row>
    <row r="76" spans="23:93" x14ac:dyDescent="0.3">
      <c r="W76" s="1"/>
      <c r="AC76" s="1193">
        <f t="shared" si="41"/>
        <v>88</v>
      </c>
      <c r="AD76" s="844">
        <f>LOOKUP(TP!$A76,PROD!$A$5:$A$725,PROD!$O$5:$O$725)</f>
        <v>0</v>
      </c>
      <c r="AE76" s="101">
        <f>IFERROR(LOOKUP(Linea,TP!$B$3:$DE$3,TP!B76:DE76),0)</f>
        <v>0</v>
      </c>
      <c r="AF76" s="101">
        <f t="shared" si="58"/>
        <v>0</v>
      </c>
      <c r="AG76" s="101">
        <f t="shared" si="59"/>
        <v>0</v>
      </c>
      <c r="AH76" s="845">
        <f t="shared" si="42"/>
        <v>0</v>
      </c>
      <c r="AI76" s="846">
        <f>LOOKUP(TP!$A76,PROD!$A$5:$A$725,PROD!$O$6:$O$726)</f>
        <v>0</v>
      </c>
      <c r="AJ76" s="101">
        <f>IFERROR(LOOKUP(Linea,TP!$B$3:$DE$3,TP!C76:DF76),0)</f>
        <v>0</v>
      </c>
      <c r="AK76" s="101">
        <f t="shared" si="60"/>
        <v>0</v>
      </c>
      <c r="AL76" s="101">
        <f t="shared" si="61"/>
        <v>0</v>
      </c>
      <c r="AM76" s="837">
        <f t="shared" si="43"/>
        <v>0</v>
      </c>
      <c r="AN76" s="176">
        <f>LOOKUP(TP!$A76,PROD!$A$5:$A$725,PROD!$I$11:$I$731)</f>
        <v>0</v>
      </c>
      <c r="AO76" s="171">
        <f>LOOKUP(TP!$A76,PROD!$A$5:$A$725,PROD!$K$5:$K$725)*100</f>
        <v>0</v>
      </c>
      <c r="AP76" s="110">
        <f>LOOKUP(TP!$A76,PROD!$A$5:$A$725,PROD!$K$8:$K$728)*100</f>
        <v>0</v>
      </c>
      <c r="AQ76" s="110">
        <f t="shared" si="44"/>
        <v>100</v>
      </c>
      <c r="AR76" s="109">
        <f>IFERROR(LOOKUP(Linea,TP!$B$3:$DE$3,TP!D76:DG76),0)</f>
        <v>0</v>
      </c>
      <c r="AS76" s="838">
        <f>SUMIF(PROD!$BF$5:$BF$725,GSh!$BV76,PROD!$V$5:$V$725)/1000*PROD!$A$1</f>
        <v>0</v>
      </c>
      <c r="AT76" s="627">
        <f>LOOKUP(TP!$A76,PROD!$A$5:$A$725,PROD!$AD$5:$AD$725)</f>
        <v>0</v>
      </c>
      <c r="AU76" s="101">
        <f>IFERROR(LOOKUP(Linea,TP!$B$3:$DE$3,TP!E76:DH76),0)</f>
        <v>0</v>
      </c>
      <c r="AV76" s="847">
        <f t="shared" si="45"/>
        <v>0</v>
      </c>
      <c r="AW76" s="1081">
        <f>LOOKUP($BV76,PROD!$A$5:$A$725,PROD!$AE$10:$AE$730)</f>
        <v>0</v>
      </c>
      <c r="AX76" s="1076">
        <f>LOOKUP($BV76,PROD!$A$5:$A$725,PROD!$AE$11:$AE$731)</f>
        <v>0</v>
      </c>
      <c r="AY76" s="114">
        <f>'Pr-Sem'!Z76</f>
        <v>0</v>
      </c>
      <c r="AZ76" s="101">
        <f>IFERROR(LOOKUP(Linea,TP!$B$3:$DE$3,TP!F76:DI76),0)</f>
        <v>0</v>
      </c>
      <c r="BA76" s="840">
        <f>LOOKUP(TP!$A76,PROD!$A$5:$A$725,PROD!$Q$7:$Q$727)</f>
        <v>0</v>
      </c>
      <c r="BB76" s="118">
        <f t="shared" si="54"/>
        <v>0</v>
      </c>
      <c r="BC76" s="109">
        <f t="shared" si="55"/>
        <v>0</v>
      </c>
      <c r="BD76" s="125">
        <f>LOOKUP(TP!$A76,PROD!$A$5:$A$725,PROD!$AH$7:$AH$727)</f>
        <v>0</v>
      </c>
      <c r="BE76" s="101">
        <f t="shared" si="46"/>
        <v>0</v>
      </c>
      <c r="BF76" s="850">
        <f t="shared" si="47"/>
        <v>0</v>
      </c>
      <c r="BG76" s="129">
        <f>LOOKUP(TP!$A76,PROD!$A$5:$A$725,PROD!$AH$8:$AH$728)</f>
        <v>0</v>
      </c>
      <c r="BH76" s="101">
        <f t="shared" si="56"/>
        <v>0</v>
      </c>
      <c r="BI76" s="849">
        <f t="shared" si="48"/>
        <v>0</v>
      </c>
      <c r="BJ76" s="513">
        <f>'Pr-Sem'!AC76*10</f>
        <v>0</v>
      </c>
      <c r="BK76" s="514">
        <f>IFERROR(LOOKUP(Linea,TP!$B$3:$DE$3,TP!J76:DJ76),0)</f>
        <v>0</v>
      </c>
      <c r="BL76" s="848">
        <f t="shared" si="49"/>
        <v>0</v>
      </c>
      <c r="BM76" s="137">
        <f>LOOKUP($BV76,PROD!$A$5:$A$725,PROD!$AH$5:$AH$725)*IF($BM$5="Gr X H",1,100)</f>
        <v>0</v>
      </c>
      <c r="BN76" s="138">
        <f>LOOKUP($BV76,PROD!$A$5:$A$725,PROD!$AI$5:$AI$725)*IF($BM$5="Gr X H",1,100)</f>
        <v>0</v>
      </c>
      <c r="BO76" s="849">
        <f t="shared" si="50"/>
        <v>0</v>
      </c>
      <c r="BP76" s="137">
        <f>LOOKUP(BV76,PROD!$A$5:$A$725,PROD!$AH$6:$AH$726)*IF($BM$5="Gr X H",1,100)</f>
        <v>0</v>
      </c>
      <c r="BQ76" s="138">
        <f>LOOKUP($BV76,PROD!$A$5:$A$725,PROD!$AI$6:$AI$726)*IF($BM$5="Gr X H",1,100)</f>
        <v>0</v>
      </c>
      <c r="BR76" s="849">
        <f t="shared" si="51"/>
        <v>0</v>
      </c>
      <c r="BS76" s="137">
        <f>LOOKUP(TP!$A76,PROD!$A$5:$A$725,PROD!$AH$9:$AH$729)</f>
        <v>0</v>
      </c>
      <c r="BT76" s="138">
        <f>LOOKUP(TP!$A76,PROD!$A$5:$A$725,PROD!$AI$9:$AI$729)</f>
        <v>0</v>
      </c>
      <c r="BU76" s="849">
        <f t="shared" si="52"/>
        <v>0</v>
      </c>
      <c r="BV76" s="833">
        <f t="shared" si="57"/>
        <v>88</v>
      </c>
      <c r="BW76" s="191">
        <f ca="1">LOOKUP($BV76,INVENTARIOS!$A$4:$A$718,ECONO!$T$4:$T$724)*100</f>
        <v>0</v>
      </c>
      <c r="BX76" s="606">
        <f ca="1">LOOKUP($BV76,INVENTARIOS!$A$4:$A$718,ECONO!$T$5:$T$725)*100</f>
        <v>0</v>
      </c>
      <c r="BY76" s="606">
        <f ca="1">LOOKUP($BV76,INVENTARIOS!$A$4:$A$718,ECONO!$T$6:$T$726)*100</f>
        <v>0</v>
      </c>
      <c r="BZ76" s="606">
        <f ca="1">LOOKUP($BV76,INVENTARIOS!$A$4:$A$718,ECONO!$T$7:$T$727)*100</f>
        <v>0</v>
      </c>
      <c r="CA76" s="606">
        <f ca="1">LOOKUP($BV76,INVENTARIOS!$A$4:$A$718,ECONO!$T$8:$T$728)*100</f>
        <v>0</v>
      </c>
      <c r="CB76" s="606">
        <f ca="1">LOOKUP($BV76,INVENTARIOS!$A$4:$A$718,ECONO!$T$9:$T$729)*100</f>
        <v>0</v>
      </c>
      <c r="CC76" s="606">
        <f ca="1">LOOKUP($BV76,INVENTARIOS!$A$4:$A$718,ECONO!$T$10:$T$730)*100</f>
        <v>0</v>
      </c>
      <c r="CD76" s="99">
        <f ca="1">LOOKUP($BV76,INVENTARIOS!$A$4:$A$718,ECONO!$X$8:$X$728)*100</f>
        <v>0</v>
      </c>
      <c r="CE76" s="99">
        <f ca="1">LOOKUP($BV76,INVENTARIOS!$A$4:$A$718,ECONO!$X$9:$X$729)*100</f>
        <v>0</v>
      </c>
      <c r="CF76" s="192">
        <f ca="1">LOOKUP($BV76,INVENTARIOS!$A$4:$A$718,ECONO!$X$10:$X$730)*100</f>
        <v>0</v>
      </c>
      <c r="CG76" s="195">
        <f ca="1">LOOKUP(GSh!$BV76,INVENTARIOS!$A$4:$A$718,ECONO!$X$4:$X$724)*100</f>
        <v>0</v>
      </c>
      <c r="CH76" s="98">
        <f ca="1">LOOKUP(GSh!$BV76,INVENTARIOS!$A$4:$A$718,ECONO!$X$5:$X$725)*100</f>
        <v>0</v>
      </c>
      <c r="CI76" s="98">
        <f ca="1">LOOKUP(GSh!$BV76,INVENTARIOS!$A$4:$A$718,ECONO!$X$6:$X$726)*100</f>
        <v>0</v>
      </c>
      <c r="CJ76" s="194">
        <f ca="1">LOOKUP(GSh!$BV76,INVENTARIOS!$A$4:$A$718,ECONO!$X$7:$X$727)*100</f>
        <v>0</v>
      </c>
      <c r="CK76" s="34">
        <f>IF(OR(AO76&gt;0,AT76&gt;0,AD76&gt;0),TP!A76,CK75)</f>
        <v>0</v>
      </c>
      <c r="CL76" s="257">
        <f>LOOKUP($BV76,INVENTARIOS!$A$4:$A$724,ECONO!$O$10:$O$730)</f>
        <v>0</v>
      </c>
      <c r="CM76" s="258">
        <f>LOOKUP($BV76,INVENTARIOS!$A$4:$A$724,ECONO!$Z$9:$Z$729)</f>
        <v>0</v>
      </c>
      <c r="CN76" s="260">
        <f t="shared" si="53"/>
        <v>0</v>
      </c>
      <c r="CO76"/>
    </row>
    <row r="77" spans="23:93" x14ac:dyDescent="0.3">
      <c r="W77" s="1"/>
      <c r="AC77" s="1193">
        <f t="shared" si="41"/>
        <v>89</v>
      </c>
      <c r="AD77" s="844">
        <f>LOOKUP(TP!$A77,PROD!$A$5:$A$725,PROD!$O$5:$O$725)</f>
        <v>0</v>
      </c>
      <c r="AE77" s="101">
        <f>IFERROR(LOOKUP(Linea,TP!$B$3:$DE$3,TP!B77:DE77),0)</f>
        <v>0</v>
      </c>
      <c r="AF77" s="101">
        <f t="shared" si="58"/>
        <v>0</v>
      </c>
      <c r="AG77" s="101">
        <f t="shared" si="59"/>
        <v>0</v>
      </c>
      <c r="AH77" s="845">
        <f t="shared" si="42"/>
        <v>0</v>
      </c>
      <c r="AI77" s="846">
        <f>LOOKUP(TP!$A77,PROD!$A$5:$A$725,PROD!$O$6:$O$726)</f>
        <v>0</v>
      </c>
      <c r="AJ77" s="101">
        <f>IFERROR(LOOKUP(Linea,TP!$B$3:$DE$3,TP!C77:DF77),0)</f>
        <v>0</v>
      </c>
      <c r="AK77" s="101">
        <f t="shared" si="60"/>
        <v>0</v>
      </c>
      <c r="AL77" s="101">
        <f t="shared" si="61"/>
        <v>0</v>
      </c>
      <c r="AM77" s="837">
        <f t="shared" si="43"/>
        <v>0</v>
      </c>
      <c r="AN77" s="176">
        <f>LOOKUP(TP!$A77,PROD!$A$5:$A$725,PROD!$I$11:$I$731)</f>
        <v>0</v>
      </c>
      <c r="AO77" s="171">
        <f>LOOKUP(TP!$A77,PROD!$A$5:$A$725,PROD!$K$5:$K$725)*100</f>
        <v>0</v>
      </c>
      <c r="AP77" s="110">
        <f>LOOKUP(TP!$A77,PROD!$A$5:$A$725,PROD!$K$8:$K$728)*100</f>
        <v>0</v>
      </c>
      <c r="AQ77" s="110">
        <f t="shared" si="44"/>
        <v>100</v>
      </c>
      <c r="AR77" s="109">
        <f>IFERROR(LOOKUP(Linea,TP!$B$3:$DE$3,TP!D77:DG77),0)</f>
        <v>0</v>
      </c>
      <c r="AS77" s="838">
        <f>SUMIF(PROD!$BF$5:$BF$725,GSh!$BV77,PROD!$V$5:$V$725)/1000*PROD!$A$1</f>
        <v>0</v>
      </c>
      <c r="AT77" s="627">
        <f>LOOKUP(TP!$A77,PROD!$A$5:$A$725,PROD!$AD$5:$AD$725)</f>
        <v>0</v>
      </c>
      <c r="AU77" s="101">
        <f>IFERROR(LOOKUP(Linea,TP!$B$3:$DE$3,TP!E77:DH77),0)</f>
        <v>0</v>
      </c>
      <c r="AV77" s="847">
        <f t="shared" si="45"/>
        <v>0</v>
      </c>
      <c r="AW77" s="1081">
        <f>LOOKUP($BV77,PROD!$A$5:$A$725,PROD!$AE$10:$AE$730)</f>
        <v>0</v>
      </c>
      <c r="AX77" s="1076">
        <f>LOOKUP($BV77,PROD!$A$5:$A$725,PROD!$AE$11:$AE$731)</f>
        <v>0</v>
      </c>
      <c r="AY77" s="114">
        <f>'Pr-Sem'!Z77</f>
        <v>0</v>
      </c>
      <c r="AZ77" s="101">
        <f>IFERROR(LOOKUP(Linea,TP!$B$3:$DE$3,TP!F77:DI77),0)</f>
        <v>0</v>
      </c>
      <c r="BA77" s="840">
        <f>LOOKUP(TP!$A77,PROD!$A$5:$A$725,PROD!$Q$7:$Q$727)</f>
        <v>0</v>
      </c>
      <c r="BB77" s="118">
        <f t="shared" si="54"/>
        <v>0</v>
      </c>
      <c r="BC77" s="109">
        <f t="shared" si="55"/>
        <v>0</v>
      </c>
      <c r="BD77" s="125">
        <f>LOOKUP(TP!$A77,PROD!$A$5:$A$725,PROD!$AH$7:$AH$727)</f>
        <v>0</v>
      </c>
      <c r="BE77" s="101">
        <f t="shared" si="46"/>
        <v>0</v>
      </c>
      <c r="BF77" s="850">
        <f t="shared" si="47"/>
        <v>0</v>
      </c>
      <c r="BG77" s="129">
        <f>LOOKUP(TP!$A77,PROD!$A$5:$A$725,PROD!$AH$8:$AH$728)</f>
        <v>0</v>
      </c>
      <c r="BH77" s="101">
        <f t="shared" si="56"/>
        <v>0</v>
      </c>
      <c r="BI77" s="849">
        <f t="shared" si="48"/>
        <v>0</v>
      </c>
      <c r="BJ77" s="513">
        <f>'Pr-Sem'!AC77*10</f>
        <v>0</v>
      </c>
      <c r="BK77" s="514">
        <f>IFERROR(LOOKUP(Linea,TP!$B$3:$DE$3,TP!J77:DJ77),0)</f>
        <v>0</v>
      </c>
      <c r="BL77" s="848">
        <f t="shared" si="49"/>
        <v>0</v>
      </c>
      <c r="BM77" s="137">
        <f>LOOKUP($BV77,PROD!$A$5:$A$725,PROD!$AH$5:$AH$725)*IF($BM$5="Gr X H",1,100)</f>
        <v>0</v>
      </c>
      <c r="BN77" s="138">
        <f>LOOKUP($BV77,PROD!$A$5:$A$725,PROD!$AI$5:$AI$725)*IF($BM$5="Gr X H",1,100)</f>
        <v>0</v>
      </c>
      <c r="BO77" s="849">
        <f t="shared" si="50"/>
        <v>0</v>
      </c>
      <c r="BP77" s="137">
        <f>LOOKUP(BV77,PROD!$A$5:$A$725,PROD!$AH$6:$AH$726)*IF($BM$5="Gr X H",1,100)</f>
        <v>0</v>
      </c>
      <c r="BQ77" s="138">
        <f>LOOKUP($BV77,PROD!$A$5:$A$725,PROD!$AI$6:$AI$726)*IF($BM$5="Gr X H",1,100)</f>
        <v>0</v>
      </c>
      <c r="BR77" s="849">
        <f t="shared" si="51"/>
        <v>0</v>
      </c>
      <c r="BS77" s="137">
        <f>LOOKUP(TP!$A77,PROD!$A$5:$A$725,PROD!$AH$9:$AH$729)</f>
        <v>0</v>
      </c>
      <c r="BT77" s="138">
        <f>LOOKUP(TP!$A77,PROD!$A$5:$A$725,PROD!$AI$9:$AI$729)</f>
        <v>0</v>
      </c>
      <c r="BU77" s="849">
        <f t="shared" si="52"/>
        <v>0</v>
      </c>
      <c r="BV77" s="833">
        <f t="shared" si="57"/>
        <v>89</v>
      </c>
      <c r="BW77" s="191">
        <f ca="1">LOOKUP($BV77,INVENTARIOS!$A$4:$A$718,ECONO!$T$4:$T$724)*100</f>
        <v>0</v>
      </c>
      <c r="BX77" s="606">
        <f ca="1">LOOKUP($BV77,INVENTARIOS!$A$4:$A$718,ECONO!$T$5:$T$725)*100</f>
        <v>0</v>
      </c>
      <c r="BY77" s="606">
        <f ca="1">LOOKUP($BV77,INVENTARIOS!$A$4:$A$718,ECONO!$T$6:$T$726)*100</f>
        <v>0</v>
      </c>
      <c r="BZ77" s="606">
        <f ca="1">LOOKUP($BV77,INVENTARIOS!$A$4:$A$718,ECONO!$T$7:$T$727)*100</f>
        <v>0</v>
      </c>
      <c r="CA77" s="606">
        <f ca="1">LOOKUP($BV77,INVENTARIOS!$A$4:$A$718,ECONO!$T$8:$T$728)*100</f>
        <v>0</v>
      </c>
      <c r="CB77" s="606">
        <f ca="1">LOOKUP($BV77,INVENTARIOS!$A$4:$A$718,ECONO!$T$9:$T$729)*100</f>
        <v>0</v>
      </c>
      <c r="CC77" s="606">
        <f ca="1">LOOKUP($BV77,INVENTARIOS!$A$4:$A$718,ECONO!$T$10:$T$730)*100</f>
        <v>0</v>
      </c>
      <c r="CD77" s="99">
        <f ca="1">LOOKUP($BV77,INVENTARIOS!$A$4:$A$718,ECONO!$X$8:$X$728)*100</f>
        <v>0</v>
      </c>
      <c r="CE77" s="99">
        <f ca="1">LOOKUP($BV77,INVENTARIOS!$A$4:$A$718,ECONO!$X$9:$X$729)*100</f>
        <v>0</v>
      </c>
      <c r="CF77" s="192">
        <f ca="1">LOOKUP($BV77,INVENTARIOS!$A$4:$A$718,ECONO!$X$10:$X$730)*100</f>
        <v>0</v>
      </c>
      <c r="CG77" s="195">
        <f ca="1">LOOKUP(GSh!$BV77,INVENTARIOS!$A$4:$A$718,ECONO!$X$4:$X$724)*100</f>
        <v>0</v>
      </c>
      <c r="CH77" s="98">
        <f ca="1">LOOKUP(GSh!$BV77,INVENTARIOS!$A$4:$A$718,ECONO!$X$5:$X$725)*100</f>
        <v>0</v>
      </c>
      <c r="CI77" s="98">
        <f ca="1">LOOKUP(GSh!$BV77,INVENTARIOS!$A$4:$A$718,ECONO!$X$6:$X$726)*100</f>
        <v>0</v>
      </c>
      <c r="CJ77" s="194">
        <f ca="1">LOOKUP(GSh!$BV77,INVENTARIOS!$A$4:$A$718,ECONO!$X$7:$X$727)*100</f>
        <v>0</v>
      </c>
      <c r="CK77" s="34">
        <f>IF(OR(AO77&gt;0,AT77&gt;0,AD77&gt;0),TP!A77,CK76)</f>
        <v>0</v>
      </c>
      <c r="CL77" s="257">
        <f>LOOKUP($BV77,INVENTARIOS!$A$4:$A$724,ECONO!$O$10:$O$730)</f>
        <v>0</v>
      </c>
      <c r="CM77" s="258">
        <f>LOOKUP($BV77,INVENTARIOS!$A$4:$A$724,ECONO!$Z$9:$Z$729)</f>
        <v>0</v>
      </c>
      <c r="CN77" s="260">
        <f t="shared" si="53"/>
        <v>0</v>
      </c>
      <c r="CO77"/>
    </row>
    <row r="78" spans="23:93" x14ac:dyDescent="0.3">
      <c r="W78" s="1"/>
      <c r="AC78" s="1193">
        <f t="shared" si="41"/>
        <v>90</v>
      </c>
      <c r="AD78" s="844">
        <f>LOOKUP(TP!$A78,PROD!$A$5:$A$725,PROD!$O$5:$O$725)</f>
        <v>0</v>
      </c>
      <c r="AE78" s="101">
        <f>IFERROR(LOOKUP(Linea,TP!$B$3:$DE$3,TP!B78:DE78),0)</f>
        <v>0</v>
      </c>
      <c r="AF78" s="101">
        <f t="shared" si="58"/>
        <v>0</v>
      </c>
      <c r="AG78" s="101">
        <f t="shared" si="59"/>
        <v>0</v>
      </c>
      <c r="AH78" s="845">
        <f t="shared" si="42"/>
        <v>0</v>
      </c>
      <c r="AI78" s="846">
        <f>LOOKUP(TP!$A78,PROD!$A$5:$A$725,PROD!$O$6:$O$726)</f>
        <v>0</v>
      </c>
      <c r="AJ78" s="101">
        <f>IFERROR(LOOKUP(Linea,TP!$B$3:$DE$3,TP!C78:DF78),0)</f>
        <v>0</v>
      </c>
      <c r="AK78" s="101">
        <f t="shared" si="60"/>
        <v>0</v>
      </c>
      <c r="AL78" s="101">
        <f t="shared" si="61"/>
        <v>0</v>
      </c>
      <c r="AM78" s="837">
        <f t="shared" si="43"/>
        <v>0</v>
      </c>
      <c r="AN78" s="176">
        <f>LOOKUP(TP!$A78,PROD!$A$5:$A$725,PROD!$I$11:$I$731)</f>
        <v>0</v>
      </c>
      <c r="AO78" s="171">
        <f>LOOKUP(TP!$A78,PROD!$A$5:$A$725,PROD!$K$5:$K$725)*100</f>
        <v>0</v>
      </c>
      <c r="AP78" s="110">
        <f>LOOKUP(TP!$A78,PROD!$A$5:$A$725,PROD!$K$8:$K$728)*100</f>
        <v>0</v>
      </c>
      <c r="AQ78" s="110">
        <f t="shared" si="44"/>
        <v>100</v>
      </c>
      <c r="AR78" s="109">
        <f>IFERROR(LOOKUP(Linea,TP!$B$3:$DE$3,TP!D78:DG78),0)</f>
        <v>0</v>
      </c>
      <c r="AS78" s="838">
        <f>SUMIF(PROD!$BF$5:$BF$725,GSh!$BV78,PROD!$V$5:$V$725)/1000*PROD!$A$1</f>
        <v>0</v>
      </c>
      <c r="AT78" s="627">
        <f>LOOKUP(TP!$A78,PROD!$A$5:$A$725,PROD!$AD$5:$AD$725)</f>
        <v>0</v>
      </c>
      <c r="AU78" s="101">
        <f>IFERROR(LOOKUP(Linea,TP!$B$3:$DE$3,TP!E78:DH78),0)</f>
        <v>0</v>
      </c>
      <c r="AV78" s="847">
        <f t="shared" si="45"/>
        <v>0</v>
      </c>
      <c r="AW78" s="1081">
        <f>LOOKUP($BV78,PROD!$A$5:$A$725,PROD!$AE$10:$AE$730)</f>
        <v>0</v>
      </c>
      <c r="AX78" s="1076">
        <f>LOOKUP($BV78,PROD!$A$5:$A$725,PROD!$AE$11:$AE$731)</f>
        <v>0</v>
      </c>
      <c r="AY78" s="114">
        <f>'Pr-Sem'!Z78</f>
        <v>0</v>
      </c>
      <c r="AZ78" s="101">
        <f>IFERROR(LOOKUP(Linea,TP!$B$3:$DE$3,TP!F78:DI78),0)</f>
        <v>0</v>
      </c>
      <c r="BA78" s="840">
        <f>LOOKUP(TP!$A78,PROD!$A$5:$A$725,PROD!$Q$7:$Q$727)</f>
        <v>0</v>
      </c>
      <c r="BB78" s="118">
        <f t="shared" si="54"/>
        <v>0</v>
      </c>
      <c r="BC78" s="109">
        <f t="shared" si="55"/>
        <v>0</v>
      </c>
      <c r="BD78" s="125">
        <f>LOOKUP(TP!$A78,PROD!$A$5:$A$725,PROD!$AH$7:$AH$727)</f>
        <v>0</v>
      </c>
      <c r="BE78" s="101">
        <f t="shared" si="46"/>
        <v>0</v>
      </c>
      <c r="BF78" s="850">
        <f t="shared" si="47"/>
        <v>0</v>
      </c>
      <c r="BG78" s="129">
        <f>LOOKUP(TP!$A78,PROD!$A$5:$A$725,PROD!$AH$8:$AH$728)</f>
        <v>0</v>
      </c>
      <c r="BH78" s="101">
        <f t="shared" si="56"/>
        <v>0</v>
      </c>
      <c r="BI78" s="849">
        <f t="shared" si="48"/>
        <v>0</v>
      </c>
      <c r="BJ78" s="513">
        <f>'Pr-Sem'!AC78*10</f>
        <v>0</v>
      </c>
      <c r="BK78" s="514">
        <f>IFERROR(LOOKUP(Linea,TP!$B$3:$DE$3,TP!J78:DJ78),0)</f>
        <v>0</v>
      </c>
      <c r="BL78" s="848">
        <f t="shared" si="49"/>
        <v>0</v>
      </c>
      <c r="BM78" s="137">
        <f>LOOKUP($BV78,PROD!$A$5:$A$725,PROD!$AH$5:$AH$725)*IF($BM$5="Gr X H",1,100)</f>
        <v>0</v>
      </c>
      <c r="BN78" s="138">
        <f>LOOKUP($BV78,PROD!$A$5:$A$725,PROD!$AI$5:$AI$725)*IF($BM$5="Gr X H",1,100)</f>
        <v>0</v>
      </c>
      <c r="BO78" s="849">
        <f t="shared" si="50"/>
        <v>0</v>
      </c>
      <c r="BP78" s="137">
        <f>LOOKUP(BV78,PROD!$A$5:$A$725,PROD!$AH$6:$AH$726)*IF($BM$5="Gr X H",1,100)</f>
        <v>0</v>
      </c>
      <c r="BQ78" s="138">
        <f>LOOKUP($BV78,PROD!$A$5:$A$725,PROD!$AI$6:$AI$726)*IF($BM$5="Gr X H",1,100)</f>
        <v>0</v>
      </c>
      <c r="BR78" s="849">
        <f t="shared" si="51"/>
        <v>0</v>
      </c>
      <c r="BS78" s="137">
        <f>LOOKUP(TP!$A78,PROD!$A$5:$A$725,PROD!$AH$9:$AH$729)</f>
        <v>0</v>
      </c>
      <c r="BT78" s="138">
        <f>LOOKUP(TP!$A78,PROD!$A$5:$A$725,PROD!$AI$9:$AI$729)</f>
        <v>0</v>
      </c>
      <c r="BU78" s="849">
        <f t="shared" si="52"/>
        <v>0</v>
      </c>
      <c r="BV78" s="833">
        <f t="shared" si="57"/>
        <v>90</v>
      </c>
      <c r="BW78" s="191">
        <f ca="1">LOOKUP($BV78,INVENTARIOS!$A$4:$A$718,ECONO!$T$4:$T$724)*100</f>
        <v>0</v>
      </c>
      <c r="BX78" s="606">
        <f ca="1">LOOKUP($BV78,INVENTARIOS!$A$4:$A$718,ECONO!$T$5:$T$725)*100</f>
        <v>0</v>
      </c>
      <c r="BY78" s="606">
        <f ca="1">LOOKUP($BV78,INVENTARIOS!$A$4:$A$718,ECONO!$T$6:$T$726)*100</f>
        <v>0</v>
      </c>
      <c r="BZ78" s="606">
        <f ca="1">LOOKUP($BV78,INVENTARIOS!$A$4:$A$718,ECONO!$T$7:$T$727)*100</f>
        <v>0</v>
      </c>
      <c r="CA78" s="606">
        <f ca="1">LOOKUP($BV78,INVENTARIOS!$A$4:$A$718,ECONO!$T$8:$T$728)*100</f>
        <v>0</v>
      </c>
      <c r="CB78" s="606">
        <f ca="1">LOOKUP($BV78,INVENTARIOS!$A$4:$A$718,ECONO!$T$9:$T$729)*100</f>
        <v>0</v>
      </c>
      <c r="CC78" s="606">
        <f ca="1">LOOKUP($BV78,INVENTARIOS!$A$4:$A$718,ECONO!$T$10:$T$730)*100</f>
        <v>0</v>
      </c>
      <c r="CD78" s="99">
        <f ca="1">LOOKUP($BV78,INVENTARIOS!$A$4:$A$718,ECONO!$X$8:$X$728)*100</f>
        <v>0</v>
      </c>
      <c r="CE78" s="99">
        <f ca="1">LOOKUP($BV78,INVENTARIOS!$A$4:$A$718,ECONO!$X$9:$X$729)*100</f>
        <v>0</v>
      </c>
      <c r="CF78" s="192">
        <f ca="1">LOOKUP($BV78,INVENTARIOS!$A$4:$A$718,ECONO!$X$10:$X$730)*100</f>
        <v>0</v>
      </c>
      <c r="CG78" s="195">
        <f ca="1">LOOKUP(GSh!$BV78,INVENTARIOS!$A$4:$A$718,ECONO!$X$4:$X$724)*100</f>
        <v>0</v>
      </c>
      <c r="CH78" s="98">
        <f ca="1">LOOKUP(GSh!$BV78,INVENTARIOS!$A$4:$A$718,ECONO!$X$5:$X$725)*100</f>
        <v>0</v>
      </c>
      <c r="CI78" s="98">
        <f ca="1">LOOKUP(GSh!$BV78,INVENTARIOS!$A$4:$A$718,ECONO!$X$6:$X$726)*100</f>
        <v>0</v>
      </c>
      <c r="CJ78" s="194">
        <f ca="1">LOOKUP(GSh!$BV78,INVENTARIOS!$A$4:$A$718,ECONO!$X$7:$X$727)*100</f>
        <v>0</v>
      </c>
      <c r="CK78" s="34">
        <f>IF(OR(AO78&gt;0,AT78&gt;0,AD78&gt;0),TP!A78,CK77)</f>
        <v>0</v>
      </c>
      <c r="CL78" s="257">
        <f>LOOKUP($BV78,INVENTARIOS!$A$4:$A$724,ECONO!$O$10:$O$730)</f>
        <v>0</v>
      </c>
      <c r="CM78" s="258">
        <f>LOOKUP($BV78,INVENTARIOS!$A$4:$A$724,ECONO!$Z$9:$Z$729)</f>
        <v>0</v>
      </c>
      <c r="CN78" s="260">
        <f t="shared" si="53"/>
        <v>0</v>
      </c>
      <c r="CO78"/>
    </row>
    <row r="79" spans="23:93" x14ac:dyDescent="0.3">
      <c r="W79" s="1"/>
      <c r="AC79" s="1193">
        <f t="shared" si="41"/>
        <v>91</v>
      </c>
      <c r="AD79" s="844">
        <f>LOOKUP(TP!$A79,PROD!$A$5:$A$725,PROD!$O$5:$O$725)</f>
        <v>0</v>
      </c>
      <c r="AE79" s="101">
        <f>IFERROR(LOOKUP(Linea,TP!$B$3:$DE$3,TP!B79:DE79),0)</f>
        <v>0</v>
      </c>
      <c r="AF79" s="101">
        <f t="shared" si="58"/>
        <v>0</v>
      </c>
      <c r="AG79" s="101">
        <f t="shared" si="59"/>
        <v>0</v>
      </c>
      <c r="AH79" s="845">
        <f t="shared" si="42"/>
        <v>0</v>
      </c>
      <c r="AI79" s="846">
        <f>LOOKUP(TP!$A79,PROD!$A$5:$A$725,PROD!$O$6:$O$726)</f>
        <v>0</v>
      </c>
      <c r="AJ79" s="101">
        <f>IFERROR(LOOKUP(Linea,TP!$B$3:$DE$3,TP!C79:DF79),0)</f>
        <v>0</v>
      </c>
      <c r="AK79" s="101">
        <f t="shared" si="60"/>
        <v>0</v>
      </c>
      <c r="AL79" s="101">
        <f t="shared" si="61"/>
        <v>0</v>
      </c>
      <c r="AM79" s="837">
        <f t="shared" si="43"/>
        <v>0</v>
      </c>
      <c r="AN79" s="176">
        <f>LOOKUP(TP!$A79,PROD!$A$5:$A$725,PROD!$I$11:$I$731)</f>
        <v>0</v>
      </c>
      <c r="AO79" s="171">
        <f>LOOKUP(TP!$A79,PROD!$A$5:$A$725,PROD!$K$5:$K$725)*100</f>
        <v>0</v>
      </c>
      <c r="AP79" s="110">
        <f>LOOKUP(TP!$A79,PROD!$A$5:$A$725,PROD!$K$8:$K$728)*100</f>
        <v>0</v>
      </c>
      <c r="AQ79" s="110">
        <f t="shared" si="44"/>
        <v>100</v>
      </c>
      <c r="AR79" s="109">
        <f>IFERROR(LOOKUP(Linea,TP!$B$3:$DE$3,TP!D79:DG79),0)</f>
        <v>0</v>
      </c>
      <c r="AS79" s="838">
        <f>SUMIF(PROD!$BF$5:$BF$725,GSh!$BV79,PROD!$V$5:$V$725)/1000*PROD!$A$1</f>
        <v>0</v>
      </c>
      <c r="AT79" s="627">
        <f>LOOKUP(TP!$A79,PROD!$A$5:$A$725,PROD!$AD$5:$AD$725)</f>
        <v>0</v>
      </c>
      <c r="AU79" s="101">
        <f>IFERROR(LOOKUP(Linea,TP!$B$3:$DE$3,TP!E79:DH79),0)</f>
        <v>0</v>
      </c>
      <c r="AV79" s="847">
        <f t="shared" si="45"/>
        <v>0</v>
      </c>
      <c r="AW79" s="1081">
        <f>LOOKUP($BV79,PROD!$A$5:$A$725,PROD!$AE$10:$AE$730)</f>
        <v>0</v>
      </c>
      <c r="AX79" s="1076">
        <f>LOOKUP($BV79,PROD!$A$5:$A$725,PROD!$AE$11:$AE$731)</f>
        <v>0</v>
      </c>
      <c r="AY79" s="114">
        <f>'Pr-Sem'!Z79</f>
        <v>0</v>
      </c>
      <c r="AZ79" s="101">
        <f>IFERROR(LOOKUP(Linea,TP!$B$3:$DE$3,TP!F79:DI79),0)</f>
        <v>0</v>
      </c>
      <c r="BA79" s="840">
        <f>LOOKUP(TP!$A79,PROD!$A$5:$A$725,PROD!$Q$7:$Q$727)</f>
        <v>0</v>
      </c>
      <c r="BB79" s="118">
        <f t="shared" si="54"/>
        <v>0</v>
      </c>
      <c r="BC79" s="109">
        <f t="shared" si="55"/>
        <v>0</v>
      </c>
      <c r="BD79" s="125">
        <f>LOOKUP(TP!$A79,PROD!$A$5:$A$725,PROD!$AH$7:$AH$727)</f>
        <v>0</v>
      </c>
      <c r="BE79" s="101">
        <f t="shared" si="46"/>
        <v>0</v>
      </c>
      <c r="BF79" s="850">
        <f t="shared" si="47"/>
        <v>0</v>
      </c>
      <c r="BG79" s="129">
        <f>LOOKUP(TP!$A79,PROD!$A$5:$A$725,PROD!$AH$8:$AH$728)</f>
        <v>0</v>
      </c>
      <c r="BH79" s="101">
        <f t="shared" si="56"/>
        <v>0</v>
      </c>
      <c r="BI79" s="849">
        <f t="shared" si="48"/>
        <v>0</v>
      </c>
      <c r="BJ79" s="513">
        <f>'Pr-Sem'!AC79*10</f>
        <v>0</v>
      </c>
      <c r="BK79" s="514">
        <f>IFERROR(LOOKUP(Linea,TP!$B$3:$DE$3,TP!J79:DJ79),0)</f>
        <v>0</v>
      </c>
      <c r="BL79" s="848">
        <f t="shared" si="49"/>
        <v>0</v>
      </c>
      <c r="BM79" s="137">
        <f>LOOKUP($BV79,PROD!$A$5:$A$725,PROD!$AH$5:$AH$725)*IF($BM$5="Gr X H",1,100)</f>
        <v>0</v>
      </c>
      <c r="BN79" s="138">
        <f>LOOKUP($BV79,PROD!$A$5:$A$725,PROD!$AI$5:$AI$725)*IF($BM$5="Gr X H",1,100)</f>
        <v>0</v>
      </c>
      <c r="BO79" s="849">
        <f t="shared" si="50"/>
        <v>0</v>
      </c>
      <c r="BP79" s="137">
        <f>LOOKUP(BV79,PROD!$A$5:$A$725,PROD!$AH$6:$AH$726)*IF($BM$5="Gr X H",1,100)</f>
        <v>0</v>
      </c>
      <c r="BQ79" s="138">
        <f>LOOKUP($BV79,PROD!$A$5:$A$725,PROD!$AI$6:$AI$726)*IF($BM$5="Gr X H",1,100)</f>
        <v>0</v>
      </c>
      <c r="BR79" s="849">
        <f t="shared" si="51"/>
        <v>0</v>
      </c>
      <c r="BS79" s="137">
        <f>LOOKUP(TP!$A79,PROD!$A$5:$A$725,PROD!$AH$9:$AH$729)</f>
        <v>0</v>
      </c>
      <c r="BT79" s="138">
        <f>LOOKUP(TP!$A79,PROD!$A$5:$A$725,PROD!$AI$9:$AI$729)</f>
        <v>0</v>
      </c>
      <c r="BU79" s="849">
        <f t="shared" si="52"/>
        <v>0</v>
      </c>
      <c r="BV79" s="833">
        <f t="shared" si="57"/>
        <v>91</v>
      </c>
      <c r="BW79" s="191">
        <f ca="1">LOOKUP($BV79,INVENTARIOS!$A$4:$A$718,ECONO!$T$4:$T$724)*100</f>
        <v>0</v>
      </c>
      <c r="BX79" s="606">
        <f ca="1">LOOKUP($BV79,INVENTARIOS!$A$4:$A$718,ECONO!$T$5:$T$725)*100</f>
        <v>0</v>
      </c>
      <c r="BY79" s="606">
        <f ca="1">LOOKUP($BV79,INVENTARIOS!$A$4:$A$718,ECONO!$T$6:$T$726)*100</f>
        <v>0</v>
      </c>
      <c r="BZ79" s="606">
        <f ca="1">LOOKUP($BV79,INVENTARIOS!$A$4:$A$718,ECONO!$T$7:$T$727)*100</f>
        <v>0</v>
      </c>
      <c r="CA79" s="606">
        <f ca="1">LOOKUP($BV79,INVENTARIOS!$A$4:$A$718,ECONO!$T$8:$T$728)*100</f>
        <v>0</v>
      </c>
      <c r="CB79" s="606">
        <f ca="1">LOOKUP($BV79,INVENTARIOS!$A$4:$A$718,ECONO!$T$9:$T$729)*100</f>
        <v>0</v>
      </c>
      <c r="CC79" s="606">
        <f ca="1">LOOKUP($BV79,INVENTARIOS!$A$4:$A$718,ECONO!$T$10:$T$730)*100</f>
        <v>0</v>
      </c>
      <c r="CD79" s="99">
        <f ca="1">LOOKUP($BV79,INVENTARIOS!$A$4:$A$718,ECONO!$X$8:$X$728)*100</f>
        <v>0</v>
      </c>
      <c r="CE79" s="99">
        <f ca="1">LOOKUP($BV79,INVENTARIOS!$A$4:$A$718,ECONO!$X$9:$X$729)*100</f>
        <v>0</v>
      </c>
      <c r="CF79" s="192">
        <f ca="1">LOOKUP($BV79,INVENTARIOS!$A$4:$A$718,ECONO!$X$10:$X$730)*100</f>
        <v>0</v>
      </c>
      <c r="CG79" s="195">
        <f ca="1">LOOKUP(GSh!$BV79,INVENTARIOS!$A$4:$A$718,ECONO!$X$4:$X$724)*100</f>
        <v>0</v>
      </c>
      <c r="CH79" s="98">
        <f ca="1">LOOKUP(GSh!$BV79,INVENTARIOS!$A$4:$A$718,ECONO!$X$5:$X$725)*100</f>
        <v>0</v>
      </c>
      <c r="CI79" s="98">
        <f ca="1">LOOKUP(GSh!$BV79,INVENTARIOS!$A$4:$A$718,ECONO!$X$6:$X$726)*100</f>
        <v>0</v>
      </c>
      <c r="CJ79" s="194">
        <f ca="1">LOOKUP(GSh!$BV79,INVENTARIOS!$A$4:$A$718,ECONO!$X$7:$X$727)*100</f>
        <v>0</v>
      </c>
      <c r="CK79" s="34">
        <f>IF(OR(AO79&gt;0,AT79&gt;0,AD79&gt;0),TP!A79,CK78)</f>
        <v>0</v>
      </c>
      <c r="CL79" s="257">
        <f>LOOKUP($BV79,INVENTARIOS!$A$4:$A$724,ECONO!$O$10:$O$730)</f>
        <v>0</v>
      </c>
      <c r="CM79" s="258">
        <f>LOOKUP($BV79,INVENTARIOS!$A$4:$A$724,ECONO!$Z$9:$Z$729)</f>
        <v>0</v>
      </c>
      <c r="CN79" s="260">
        <f t="shared" si="53"/>
        <v>0</v>
      </c>
      <c r="CO79"/>
    </row>
    <row r="80" spans="23:93" x14ac:dyDescent="0.3">
      <c r="W80" s="1"/>
      <c r="AC80" s="1193">
        <f t="shared" si="41"/>
        <v>92</v>
      </c>
      <c r="AD80" s="844">
        <f>LOOKUP(TP!$A80,PROD!$A$5:$A$725,PROD!$O$5:$O$725)</f>
        <v>0</v>
      </c>
      <c r="AE80" s="101">
        <f>IFERROR(LOOKUP(Linea,TP!$B$3:$DE$3,TP!B80:DE80),0)</f>
        <v>0</v>
      </c>
      <c r="AF80" s="101">
        <f t="shared" si="58"/>
        <v>0</v>
      </c>
      <c r="AG80" s="101">
        <f t="shared" si="59"/>
        <v>0</v>
      </c>
      <c r="AH80" s="845">
        <f t="shared" si="42"/>
        <v>0</v>
      </c>
      <c r="AI80" s="846">
        <f>LOOKUP(TP!$A80,PROD!$A$5:$A$725,PROD!$O$6:$O$726)</f>
        <v>0</v>
      </c>
      <c r="AJ80" s="101">
        <f>IFERROR(LOOKUP(Linea,TP!$B$3:$DE$3,TP!C80:DF80),0)</f>
        <v>0</v>
      </c>
      <c r="AK80" s="101">
        <f t="shared" si="60"/>
        <v>0</v>
      </c>
      <c r="AL80" s="101">
        <f t="shared" si="61"/>
        <v>0</v>
      </c>
      <c r="AM80" s="837">
        <f t="shared" si="43"/>
        <v>0</v>
      </c>
      <c r="AN80" s="176">
        <f>LOOKUP(TP!$A80,PROD!$A$5:$A$725,PROD!$I$11:$I$731)</f>
        <v>0</v>
      </c>
      <c r="AO80" s="171">
        <f>LOOKUP(TP!$A80,PROD!$A$5:$A$725,PROD!$K$5:$K$725)*100</f>
        <v>0</v>
      </c>
      <c r="AP80" s="110">
        <f>LOOKUP(TP!$A80,PROD!$A$5:$A$725,PROD!$K$8:$K$728)*100</f>
        <v>0</v>
      </c>
      <c r="AQ80" s="110">
        <f t="shared" si="44"/>
        <v>100</v>
      </c>
      <c r="AR80" s="109">
        <f>IFERROR(LOOKUP(Linea,TP!$B$3:$DE$3,TP!D80:DG80),0)</f>
        <v>0</v>
      </c>
      <c r="AS80" s="838">
        <f>SUMIF(PROD!$BF$5:$BF$725,GSh!$BV80,PROD!$V$5:$V$725)/1000*PROD!$A$1</f>
        <v>0</v>
      </c>
      <c r="AT80" s="627">
        <f>LOOKUP(TP!$A80,PROD!$A$5:$A$725,PROD!$AD$5:$AD$725)</f>
        <v>0</v>
      </c>
      <c r="AU80" s="101">
        <f>IFERROR(LOOKUP(Linea,TP!$B$3:$DE$3,TP!E80:DH80),0)</f>
        <v>0</v>
      </c>
      <c r="AV80" s="847">
        <f t="shared" si="45"/>
        <v>0</v>
      </c>
      <c r="AW80" s="1081">
        <f>LOOKUP($BV80,PROD!$A$5:$A$725,PROD!$AE$10:$AE$730)</f>
        <v>0</v>
      </c>
      <c r="AX80" s="1076">
        <f>LOOKUP($BV80,PROD!$A$5:$A$725,PROD!$AE$11:$AE$731)</f>
        <v>0</v>
      </c>
      <c r="AY80" s="114">
        <f>'Pr-Sem'!Z80</f>
        <v>0</v>
      </c>
      <c r="AZ80" s="101">
        <f>IFERROR(LOOKUP(Linea,TP!$B$3:$DE$3,TP!F80:DI80),0)</f>
        <v>0</v>
      </c>
      <c r="BA80" s="840">
        <f>LOOKUP(TP!$A80,PROD!$A$5:$A$725,PROD!$Q$7:$Q$727)</f>
        <v>0</v>
      </c>
      <c r="BB80" s="118">
        <f t="shared" si="54"/>
        <v>0</v>
      </c>
      <c r="BC80" s="109">
        <f t="shared" si="55"/>
        <v>0</v>
      </c>
      <c r="BD80" s="125">
        <f>LOOKUP(TP!$A80,PROD!$A$5:$A$725,PROD!$AH$7:$AH$727)</f>
        <v>0</v>
      </c>
      <c r="BE80" s="101">
        <f t="shared" si="46"/>
        <v>0</v>
      </c>
      <c r="BF80" s="850">
        <f t="shared" si="47"/>
        <v>0</v>
      </c>
      <c r="BG80" s="129">
        <f>LOOKUP(TP!$A80,PROD!$A$5:$A$725,PROD!$AH$8:$AH$728)</f>
        <v>0</v>
      </c>
      <c r="BH80" s="101">
        <f t="shared" si="56"/>
        <v>0</v>
      </c>
      <c r="BI80" s="849">
        <f t="shared" si="48"/>
        <v>0</v>
      </c>
      <c r="BJ80" s="513">
        <f>'Pr-Sem'!AC80*10</f>
        <v>0</v>
      </c>
      <c r="BK80" s="514">
        <f>IFERROR(LOOKUP(Linea,TP!$B$3:$DE$3,TP!J80:DJ80),0)</f>
        <v>0</v>
      </c>
      <c r="BL80" s="848">
        <f t="shared" si="49"/>
        <v>0</v>
      </c>
      <c r="BM80" s="137">
        <f>LOOKUP($BV80,PROD!$A$5:$A$725,PROD!$AH$5:$AH$725)*IF($BM$5="Gr X H",1,100)</f>
        <v>0</v>
      </c>
      <c r="BN80" s="138">
        <f>LOOKUP($BV80,PROD!$A$5:$A$725,PROD!$AI$5:$AI$725)*IF($BM$5="Gr X H",1,100)</f>
        <v>0</v>
      </c>
      <c r="BO80" s="849">
        <f t="shared" si="50"/>
        <v>0</v>
      </c>
      <c r="BP80" s="137">
        <f>LOOKUP(BV80,PROD!$A$5:$A$725,PROD!$AH$6:$AH$726)*IF($BM$5="Gr X H",1,100)</f>
        <v>0</v>
      </c>
      <c r="BQ80" s="138">
        <f>LOOKUP($BV80,PROD!$A$5:$A$725,PROD!$AI$6:$AI$726)*IF($BM$5="Gr X H",1,100)</f>
        <v>0</v>
      </c>
      <c r="BR80" s="849">
        <f t="shared" si="51"/>
        <v>0</v>
      </c>
      <c r="BS80" s="137">
        <f>LOOKUP(TP!$A80,PROD!$A$5:$A$725,PROD!$AH$9:$AH$729)</f>
        <v>0</v>
      </c>
      <c r="BT80" s="138">
        <f>LOOKUP(TP!$A80,PROD!$A$5:$A$725,PROD!$AI$9:$AI$729)</f>
        <v>0</v>
      </c>
      <c r="BU80" s="849">
        <f t="shared" si="52"/>
        <v>0</v>
      </c>
      <c r="BV80" s="833">
        <f t="shared" si="57"/>
        <v>92</v>
      </c>
      <c r="BW80" s="191">
        <f ca="1">LOOKUP($BV80,INVENTARIOS!$A$4:$A$718,ECONO!$T$4:$T$724)*100</f>
        <v>0</v>
      </c>
      <c r="BX80" s="606">
        <f ca="1">LOOKUP($BV80,INVENTARIOS!$A$4:$A$718,ECONO!$T$5:$T$725)*100</f>
        <v>0</v>
      </c>
      <c r="BY80" s="606">
        <f ca="1">LOOKUP($BV80,INVENTARIOS!$A$4:$A$718,ECONO!$T$6:$T$726)*100</f>
        <v>0</v>
      </c>
      <c r="BZ80" s="606">
        <f ca="1">LOOKUP($BV80,INVENTARIOS!$A$4:$A$718,ECONO!$T$7:$T$727)*100</f>
        <v>0</v>
      </c>
      <c r="CA80" s="606">
        <f ca="1">LOOKUP($BV80,INVENTARIOS!$A$4:$A$718,ECONO!$T$8:$T$728)*100</f>
        <v>0</v>
      </c>
      <c r="CB80" s="606">
        <f ca="1">LOOKUP($BV80,INVENTARIOS!$A$4:$A$718,ECONO!$T$9:$T$729)*100</f>
        <v>0</v>
      </c>
      <c r="CC80" s="606">
        <f ca="1">LOOKUP($BV80,INVENTARIOS!$A$4:$A$718,ECONO!$T$10:$T$730)*100</f>
        <v>0</v>
      </c>
      <c r="CD80" s="99">
        <f ca="1">LOOKUP($BV80,INVENTARIOS!$A$4:$A$718,ECONO!$X$8:$X$728)*100</f>
        <v>0</v>
      </c>
      <c r="CE80" s="99">
        <f ca="1">LOOKUP($BV80,INVENTARIOS!$A$4:$A$718,ECONO!$X$9:$X$729)*100</f>
        <v>0</v>
      </c>
      <c r="CF80" s="192">
        <f ca="1">LOOKUP($BV80,INVENTARIOS!$A$4:$A$718,ECONO!$X$10:$X$730)*100</f>
        <v>0</v>
      </c>
      <c r="CG80" s="195">
        <f ca="1">LOOKUP(GSh!$BV80,INVENTARIOS!$A$4:$A$718,ECONO!$X$4:$X$724)*100</f>
        <v>0</v>
      </c>
      <c r="CH80" s="98">
        <f ca="1">LOOKUP(GSh!$BV80,INVENTARIOS!$A$4:$A$718,ECONO!$X$5:$X$725)*100</f>
        <v>0</v>
      </c>
      <c r="CI80" s="98">
        <f ca="1">LOOKUP(GSh!$BV80,INVENTARIOS!$A$4:$A$718,ECONO!$X$6:$X$726)*100</f>
        <v>0</v>
      </c>
      <c r="CJ80" s="194">
        <f ca="1">LOOKUP(GSh!$BV80,INVENTARIOS!$A$4:$A$718,ECONO!$X$7:$X$727)*100</f>
        <v>0</v>
      </c>
      <c r="CK80" s="34">
        <f>IF(OR(AO80&gt;0,AT80&gt;0,AD80&gt;0),TP!A80,CK79)</f>
        <v>0</v>
      </c>
      <c r="CL80" s="257">
        <f>LOOKUP($BV80,INVENTARIOS!$A$4:$A$724,ECONO!$O$10:$O$730)</f>
        <v>0</v>
      </c>
      <c r="CM80" s="258">
        <f>LOOKUP($BV80,INVENTARIOS!$A$4:$A$724,ECONO!$Z$9:$Z$729)</f>
        <v>0</v>
      </c>
      <c r="CN80" s="260">
        <f t="shared" si="53"/>
        <v>0</v>
      </c>
      <c r="CO80"/>
    </row>
    <row r="81" spans="23:93" x14ac:dyDescent="0.3">
      <c r="W81" s="1"/>
      <c r="AC81" s="1193">
        <f t="shared" si="41"/>
        <v>93</v>
      </c>
      <c r="AD81" s="844">
        <f>LOOKUP(TP!$A81,PROD!$A$5:$A$725,PROD!$O$5:$O$725)</f>
        <v>0</v>
      </c>
      <c r="AE81" s="101">
        <f>IFERROR(LOOKUP(Linea,TP!$B$3:$DE$3,TP!B81:DE81),0)</f>
        <v>0</v>
      </c>
      <c r="AF81" s="101">
        <f t="shared" si="58"/>
        <v>0</v>
      </c>
      <c r="AG81" s="101">
        <f t="shared" si="59"/>
        <v>0</v>
      </c>
      <c r="AH81" s="845">
        <f t="shared" si="42"/>
        <v>0</v>
      </c>
      <c r="AI81" s="846">
        <f>LOOKUP(TP!$A81,PROD!$A$5:$A$725,PROD!$O$6:$O$726)</f>
        <v>0</v>
      </c>
      <c r="AJ81" s="101">
        <f>IFERROR(LOOKUP(Linea,TP!$B$3:$DE$3,TP!C81:DF81),0)</f>
        <v>0</v>
      </c>
      <c r="AK81" s="101">
        <f t="shared" si="60"/>
        <v>0</v>
      </c>
      <c r="AL81" s="101">
        <f t="shared" si="61"/>
        <v>0</v>
      </c>
      <c r="AM81" s="837">
        <f t="shared" si="43"/>
        <v>0</v>
      </c>
      <c r="AN81" s="176">
        <f>LOOKUP(TP!$A81,PROD!$A$5:$A$725,PROD!$I$11:$I$731)</f>
        <v>0</v>
      </c>
      <c r="AO81" s="171">
        <f>LOOKUP(TP!$A81,PROD!$A$5:$A$725,PROD!$K$5:$K$725)*100</f>
        <v>0</v>
      </c>
      <c r="AP81" s="110">
        <f>LOOKUP(TP!$A81,PROD!$A$5:$A$725,PROD!$K$8:$K$728)*100</f>
        <v>0</v>
      </c>
      <c r="AQ81" s="110">
        <f t="shared" si="44"/>
        <v>100</v>
      </c>
      <c r="AR81" s="109">
        <f>IFERROR(LOOKUP(Linea,TP!$B$3:$DE$3,TP!D81:DG81),0)</f>
        <v>0</v>
      </c>
      <c r="AS81" s="838">
        <f>SUMIF(PROD!$BF$5:$BF$725,GSh!$BV81,PROD!$V$5:$V$725)/1000*PROD!$A$1</f>
        <v>0</v>
      </c>
      <c r="AT81" s="627">
        <f>LOOKUP(TP!$A81,PROD!$A$5:$A$725,PROD!$AD$5:$AD$725)</f>
        <v>0</v>
      </c>
      <c r="AU81" s="101">
        <f>IFERROR(LOOKUP(Linea,TP!$B$3:$DE$3,TP!E81:DH81),0)</f>
        <v>0</v>
      </c>
      <c r="AV81" s="847">
        <f t="shared" si="45"/>
        <v>0</v>
      </c>
      <c r="AW81" s="1081">
        <f>LOOKUP($BV81,PROD!$A$5:$A$725,PROD!$AE$10:$AE$730)</f>
        <v>0</v>
      </c>
      <c r="AX81" s="1076">
        <f>LOOKUP($BV81,PROD!$A$5:$A$725,PROD!$AE$11:$AE$731)</f>
        <v>0</v>
      </c>
      <c r="AY81" s="114">
        <f>'Pr-Sem'!Z81</f>
        <v>0</v>
      </c>
      <c r="AZ81" s="101">
        <f>IFERROR(LOOKUP(Linea,TP!$B$3:$DE$3,TP!F81:DI81),0)</f>
        <v>0</v>
      </c>
      <c r="BA81" s="840">
        <f>LOOKUP(TP!$A81,PROD!$A$5:$A$725,PROD!$Q$7:$Q$727)</f>
        <v>0</v>
      </c>
      <c r="BB81" s="118">
        <f t="shared" si="54"/>
        <v>0</v>
      </c>
      <c r="BC81" s="109">
        <f t="shared" si="55"/>
        <v>0</v>
      </c>
      <c r="BD81" s="125">
        <f>LOOKUP(TP!$A81,PROD!$A$5:$A$725,PROD!$AH$7:$AH$727)</f>
        <v>0</v>
      </c>
      <c r="BE81" s="101">
        <f t="shared" si="46"/>
        <v>0</v>
      </c>
      <c r="BF81" s="850">
        <f t="shared" si="47"/>
        <v>0</v>
      </c>
      <c r="BG81" s="129">
        <f>LOOKUP(TP!$A81,PROD!$A$5:$A$725,PROD!$AH$8:$AH$728)</f>
        <v>0</v>
      </c>
      <c r="BH81" s="101">
        <f t="shared" si="56"/>
        <v>0</v>
      </c>
      <c r="BI81" s="849">
        <f t="shared" si="48"/>
        <v>0</v>
      </c>
      <c r="BJ81" s="513">
        <f>'Pr-Sem'!AC81*10</f>
        <v>0</v>
      </c>
      <c r="BK81" s="514">
        <f>IFERROR(LOOKUP(Linea,TP!$B$3:$DE$3,TP!J81:DJ81),0)</f>
        <v>0</v>
      </c>
      <c r="BL81" s="848">
        <f t="shared" si="49"/>
        <v>0</v>
      </c>
      <c r="BM81" s="137">
        <f>LOOKUP($BV81,PROD!$A$5:$A$725,PROD!$AH$5:$AH$725)*IF($BM$5="Gr X H",1,100)</f>
        <v>0</v>
      </c>
      <c r="BN81" s="138">
        <f>LOOKUP($BV81,PROD!$A$5:$A$725,PROD!$AI$5:$AI$725)*IF($BM$5="Gr X H",1,100)</f>
        <v>0</v>
      </c>
      <c r="BO81" s="849">
        <f t="shared" si="50"/>
        <v>0</v>
      </c>
      <c r="BP81" s="137">
        <f>LOOKUP(BV81,PROD!$A$5:$A$725,PROD!$AH$6:$AH$726)*IF($BM$5="Gr X H",1,100)</f>
        <v>0</v>
      </c>
      <c r="BQ81" s="138">
        <f>LOOKUP($BV81,PROD!$A$5:$A$725,PROD!$AI$6:$AI$726)*IF($BM$5="Gr X H",1,100)</f>
        <v>0</v>
      </c>
      <c r="BR81" s="849">
        <f t="shared" si="51"/>
        <v>0</v>
      </c>
      <c r="BS81" s="137">
        <f>LOOKUP(TP!$A81,PROD!$A$5:$A$725,PROD!$AH$9:$AH$729)</f>
        <v>0</v>
      </c>
      <c r="BT81" s="138">
        <f>LOOKUP(TP!$A81,PROD!$A$5:$A$725,PROD!$AI$9:$AI$729)</f>
        <v>0</v>
      </c>
      <c r="BU81" s="849">
        <f t="shared" si="52"/>
        <v>0</v>
      </c>
      <c r="BV81" s="833">
        <f t="shared" si="57"/>
        <v>93</v>
      </c>
      <c r="BW81" s="191">
        <f ca="1">LOOKUP($BV81,INVENTARIOS!$A$4:$A$718,ECONO!$T$4:$T$724)*100</f>
        <v>0</v>
      </c>
      <c r="BX81" s="606">
        <f ca="1">LOOKUP($BV81,INVENTARIOS!$A$4:$A$718,ECONO!$T$5:$T$725)*100</f>
        <v>0</v>
      </c>
      <c r="BY81" s="606">
        <f ca="1">LOOKUP($BV81,INVENTARIOS!$A$4:$A$718,ECONO!$T$6:$T$726)*100</f>
        <v>0</v>
      </c>
      <c r="BZ81" s="606">
        <f ca="1">LOOKUP($BV81,INVENTARIOS!$A$4:$A$718,ECONO!$T$7:$T$727)*100</f>
        <v>0</v>
      </c>
      <c r="CA81" s="606">
        <f ca="1">LOOKUP($BV81,INVENTARIOS!$A$4:$A$718,ECONO!$T$8:$T$728)*100</f>
        <v>0</v>
      </c>
      <c r="CB81" s="606">
        <f ca="1">LOOKUP($BV81,INVENTARIOS!$A$4:$A$718,ECONO!$T$9:$T$729)*100</f>
        <v>0</v>
      </c>
      <c r="CC81" s="606">
        <f ca="1">LOOKUP($BV81,INVENTARIOS!$A$4:$A$718,ECONO!$T$10:$T$730)*100</f>
        <v>0</v>
      </c>
      <c r="CD81" s="99">
        <f ca="1">LOOKUP($BV81,INVENTARIOS!$A$4:$A$718,ECONO!$X$8:$X$728)*100</f>
        <v>0</v>
      </c>
      <c r="CE81" s="99">
        <f ca="1">LOOKUP($BV81,INVENTARIOS!$A$4:$A$718,ECONO!$X$9:$X$729)*100</f>
        <v>0</v>
      </c>
      <c r="CF81" s="192">
        <f ca="1">LOOKUP($BV81,INVENTARIOS!$A$4:$A$718,ECONO!$X$10:$X$730)*100</f>
        <v>0</v>
      </c>
      <c r="CG81" s="195">
        <f ca="1">LOOKUP(GSh!$BV81,INVENTARIOS!$A$4:$A$718,ECONO!$X$4:$X$724)*100</f>
        <v>0</v>
      </c>
      <c r="CH81" s="98">
        <f ca="1">LOOKUP(GSh!$BV81,INVENTARIOS!$A$4:$A$718,ECONO!$X$5:$X$725)*100</f>
        <v>0</v>
      </c>
      <c r="CI81" s="98">
        <f ca="1">LOOKUP(GSh!$BV81,INVENTARIOS!$A$4:$A$718,ECONO!$X$6:$X$726)*100</f>
        <v>0</v>
      </c>
      <c r="CJ81" s="194">
        <f ca="1">LOOKUP(GSh!$BV81,INVENTARIOS!$A$4:$A$718,ECONO!$X$7:$X$727)*100</f>
        <v>0</v>
      </c>
      <c r="CK81" s="34">
        <f>IF(OR(AO81&gt;0,AT81&gt;0,AD81&gt;0),TP!A81,CK80)</f>
        <v>0</v>
      </c>
      <c r="CL81" s="257">
        <f>LOOKUP($BV81,INVENTARIOS!$A$4:$A$724,ECONO!$O$10:$O$730)</f>
        <v>0</v>
      </c>
      <c r="CM81" s="258">
        <f>LOOKUP($BV81,INVENTARIOS!$A$4:$A$724,ECONO!$Z$9:$Z$729)</f>
        <v>0</v>
      </c>
      <c r="CN81" s="260">
        <f t="shared" si="53"/>
        <v>0</v>
      </c>
      <c r="CO81"/>
    </row>
    <row r="82" spans="23:93" x14ac:dyDescent="0.3">
      <c r="W82" s="1"/>
      <c r="AC82" s="1193">
        <f t="shared" si="41"/>
        <v>94</v>
      </c>
      <c r="AD82" s="844">
        <f>LOOKUP(TP!$A82,PROD!$A$5:$A$725,PROD!$O$5:$O$725)</f>
        <v>0</v>
      </c>
      <c r="AE82" s="101">
        <f>IFERROR(LOOKUP(Linea,TP!$B$3:$DE$3,TP!B82:DE82),0)</f>
        <v>0</v>
      </c>
      <c r="AF82" s="101">
        <f t="shared" si="58"/>
        <v>0</v>
      </c>
      <c r="AG82" s="101">
        <f t="shared" si="59"/>
        <v>0</v>
      </c>
      <c r="AH82" s="845">
        <f t="shared" si="42"/>
        <v>0</v>
      </c>
      <c r="AI82" s="846">
        <f>LOOKUP(TP!$A82,PROD!$A$5:$A$725,PROD!$O$6:$O$726)</f>
        <v>0</v>
      </c>
      <c r="AJ82" s="101">
        <f>IFERROR(LOOKUP(Linea,TP!$B$3:$DE$3,TP!C82:DF82),0)</f>
        <v>0</v>
      </c>
      <c r="AK82" s="101">
        <f t="shared" si="60"/>
        <v>0</v>
      </c>
      <c r="AL82" s="101">
        <f t="shared" si="61"/>
        <v>0</v>
      </c>
      <c r="AM82" s="837">
        <f t="shared" si="43"/>
        <v>0</v>
      </c>
      <c r="AN82" s="176">
        <f>LOOKUP(TP!$A82,PROD!$A$5:$A$725,PROD!$I$11:$I$731)</f>
        <v>0</v>
      </c>
      <c r="AO82" s="171">
        <f>LOOKUP(TP!$A82,PROD!$A$5:$A$725,PROD!$K$5:$K$725)*100</f>
        <v>0</v>
      </c>
      <c r="AP82" s="110">
        <f>LOOKUP(TP!$A82,PROD!$A$5:$A$725,PROD!$K$8:$K$728)*100</f>
        <v>0</v>
      </c>
      <c r="AQ82" s="110">
        <f t="shared" si="44"/>
        <v>100</v>
      </c>
      <c r="AR82" s="109">
        <f>IFERROR(LOOKUP(Linea,TP!$B$3:$DE$3,TP!D82:DG82),0)</f>
        <v>0</v>
      </c>
      <c r="AS82" s="838">
        <f>SUMIF(PROD!$BF$5:$BF$725,GSh!$BV82,PROD!$V$5:$V$725)/1000*PROD!$A$1</f>
        <v>0</v>
      </c>
      <c r="AT82" s="627">
        <f>LOOKUP(TP!$A82,PROD!$A$5:$A$725,PROD!$AD$5:$AD$725)</f>
        <v>0</v>
      </c>
      <c r="AU82" s="101">
        <f>IFERROR(LOOKUP(Linea,TP!$B$3:$DE$3,TP!E82:DH82),0)</f>
        <v>0</v>
      </c>
      <c r="AV82" s="847">
        <f t="shared" si="45"/>
        <v>0</v>
      </c>
      <c r="AW82" s="1081">
        <f>LOOKUP($BV82,PROD!$A$5:$A$725,PROD!$AE$10:$AE$730)</f>
        <v>0</v>
      </c>
      <c r="AX82" s="1076">
        <f>LOOKUP($BV82,PROD!$A$5:$A$725,PROD!$AE$11:$AE$731)</f>
        <v>0</v>
      </c>
      <c r="AY82" s="114">
        <f>'Pr-Sem'!Z82</f>
        <v>0</v>
      </c>
      <c r="AZ82" s="101">
        <f>IFERROR(LOOKUP(Linea,TP!$B$3:$DE$3,TP!F82:DI82),0)</f>
        <v>0</v>
      </c>
      <c r="BA82" s="840">
        <f>LOOKUP(TP!$A82,PROD!$A$5:$A$725,PROD!$Q$7:$Q$727)</f>
        <v>0</v>
      </c>
      <c r="BB82" s="118">
        <f t="shared" si="54"/>
        <v>0</v>
      </c>
      <c r="BC82" s="109">
        <f t="shared" si="55"/>
        <v>0</v>
      </c>
      <c r="BD82" s="125">
        <f>LOOKUP(TP!$A82,PROD!$A$5:$A$725,PROD!$AH$7:$AH$727)</f>
        <v>0</v>
      </c>
      <c r="BE82" s="101">
        <f t="shared" si="46"/>
        <v>0</v>
      </c>
      <c r="BF82" s="850">
        <f t="shared" si="47"/>
        <v>0</v>
      </c>
      <c r="BG82" s="129">
        <f>LOOKUP(TP!$A82,PROD!$A$5:$A$725,PROD!$AH$8:$AH$728)</f>
        <v>0</v>
      </c>
      <c r="BH82" s="101">
        <f t="shared" si="56"/>
        <v>0</v>
      </c>
      <c r="BI82" s="849">
        <f t="shared" si="48"/>
        <v>0</v>
      </c>
      <c r="BJ82" s="513">
        <f>'Pr-Sem'!AC82*10</f>
        <v>0</v>
      </c>
      <c r="BK82" s="514">
        <f>IFERROR(LOOKUP(Linea,TP!$B$3:$DE$3,TP!J82:DJ82),0)</f>
        <v>0</v>
      </c>
      <c r="BL82" s="848">
        <f t="shared" si="49"/>
        <v>0</v>
      </c>
      <c r="BM82" s="137">
        <f>LOOKUP($BV82,PROD!$A$5:$A$725,PROD!$AH$5:$AH$725)*IF($BM$5="Gr X H",1,100)</f>
        <v>0</v>
      </c>
      <c r="BN82" s="138">
        <f>LOOKUP($BV82,PROD!$A$5:$A$725,PROD!$AI$5:$AI$725)*IF($BM$5="Gr X H",1,100)</f>
        <v>0</v>
      </c>
      <c r="BO82" s="849">
        <f t="shared" si="50"/>
        <v>0</v>
      </c>
      <c r="BP82" s="137">
        <f>LOOKUP(BV82,PROD!$A$5:$A$725,PROD!$AH$6:$AH$726)*IF($BM$5="Gr X H",1,100)</f>
        <v>0</v>
      </c>
      <c r="BQ82" s="138">
        <f>LOOKUP($BV82,PROD!$A$5:$A$725,PROD!$AI$6:$AI$726)*IF($BM$5="Gr X H",1,100)</f>
        <v>0</v>
      </c>
      <c r="BR82" s="849">
        <f t="shared" si="51"/>
        <v>0</v>
      </c>
      <c r="BS82" s="137">
        <f>LOOKUP(TP!$A82,PROD!$A$5:$A$725,PROD!$AH$9:$AH$729)</f>
        <v>0</v>
      </c>
      <c r="BT82" s="138">
        <f>LOOKUP(TP!$A82,PROD!$A$5:$A$725,PROD!$AI$9:$AI$729)</f>
        <v>0</v>
      </c>
      <c r="BU82" s="849">
        <f t="shared" si="52"/>
        <v>0</v>
      </c>
      <c r="BV82" s="833">
        <f t="shared" si="57"/>
        <v>94</v>
      </c>
      <c r="BW82" s="191">
        <f ca="1">LOOKUP($BV82,INVENTARIOS!$A$4:$A$718,ECONO!$T$4:$T$724)*100</f>
        <v>0</v>
      </c>
      <c r="BX82" s="606">
        <f ca="1">LOOKUP($BV82,INVENTARIOS!$A$4:$A$718,ECONO!$T$5:$T$725)*100</f>
        <v>0</v>
      </c>
      <c r="BY82" s="606">
        <f ca="1">LOOKUP($BV82,INVENTARIOS!$A$4:$A$718,ECONO!$T$6:$T$726)*100</f>
        <v>0</v>
      </c>
      <c r="BZ82" s="606">
        <f ca="1">LOOKUP($BV82,INVENTARIOS!$A$4:$A$718,ECONO!$T$7:$T$727)*100</f>
        <v>0</v>
      </c>
      <c r="CA82" s="606">
        <f ca="1">LOOKUP($BV82,INVENTARIOS!$A$4:$A$718,ECONO!$T$8:$T$728)*100</f>
        <v>0</v>
      </c>
      <c r="CB82" s="606">
        <f ca="1">LOOKUP($BV82,INVENTARIOS!$A$4:$A$718,ECONO!$T$9:$T$729)*100</f>
        <v>0</v>
      </c>
      <c r="CC82" s="606">
        <f ca="1">LOOKUP($BV82,INVENTARIOS!$A$4:$A$718,ECONO!$T$10:$T$730)*100</f>
        <v>0</v>
      </c>
      <c r="CD82" s="99">
        <f ca="1">LOOKUP($BV82,INVENTARIOS!$A$4:$A$718,ECONO!$X$8:$X$728)*100</f>
        <v>0</v>
      </c>
      <c r="CE82" s="99">
        <f ca="1">LOOKUP($BV82,INVENTARIOS!$A$4:$A$718,ECONO!$X$9:$X$729)*100</f>
        <v>0</v>
      </c>
      <c r="CF82" s="192">
        <f ca="1">LOOKUP($BV82,INVENTARIOS!$A$4:$A$718,ECONO!$X$10:$X$730)*100</f>
        <v>0</v>
      </c>
      <c r="CG82" s="195">
        <f ca="1">LOOKUP(GSh!$BV82,INVENTARIOS!$A$4:$A$718,ECONO!$X$4:$X$724)*100</f>
        <v>0</v>
      </c>
      <c r="CH82" s="98">
        <f ca="1">LOOKUP(GSh!$BV82,INVENTARIOS!$A$4:$A$718,ECONO!$X$5:$X$725)*100</f>
        <v>0</v>
      </c>
      <c r="CI82" s="98">
        <f ca="1">LOOKUP(GSh!$BV82,INVENTARIOS!$A$4:$A$718,ECONO!$X$6:$X$726)*100</f>
        <v>0</v>
      </c>
      <c r="CJ82" s="194">
        <f ca="1">LOOKUP(GSh!$BV82,INVENTARIOS!$A$4:$A$718,ECONO!$X$7:$X$727)*100</f>
        <v>0</v>
      </c>
      <c r="CK82" s="34">
        <f>IF(OR(AO82&gt;0,AT82&gt;0,AD82&gt;0),TP!A82,CK81)</f>
        <v>0</v>
      </c>
      <c r="CL82" s="257">
        <f>LOOKUP($BV82,INVENTARIOS!$A$4:$A$724,ECONO!$O$10:$O$730)</f>
        <v>0</v>
      </c>
      <c r="CM82" s="258">
        <f>LOOKUP($BV82,INVENTARIOS!$A$4:$A$724,ECONO!$Z$9:$Z$729)</f>
        <v>0</v>
      </c>
      <c r="CN82" s="260">
        <f t="shared" si="53"/>
        <v>0</v>
      </c>
      <c r="CO82"/>
    </row>
    <row r="83" spans="23:93" x14ac:dyDescent="0.3">
      <c r="W83" s="1"/>
      <c r="AC83" s="1193">
        <f t="shared" si="41"/>
        <v>95</v>
      </c>
      <c r="AD83" s="844">
        <f>LOOKUP(TP!$A83,PROD!$A$5:$A$725,PROD!$O$5:$O$725)</f>
        <v>0</v>
      </c>
      <c r="AE83" s="101">
        <f>IFERROR(LOOKUP(Linea,TP!$B$3:$DE$3,TP!B83:DE83),0)</f>
        <v>0</v>
      </c>
      <c r="AF83" s="101">
        <f t="shared" si="58"/>
        <v>0</v>
      </c>
      <c r="AG83" s="101">
        <f t="shared" si="59"/>
        <v>0</v>
      </c>
      <c r="AH83" s="845">
        <f t="shared" si="42"/>
        <v>0</v>
      </c>
      <c r="AI83" s="846">
        <f>LOOKUP(TP!$A83,PROD!$A$5:$A$725,PROD!$O$6:$O$726)</f>
        <v>0</v>
      </c>
      <c r="AJ83" s="101">
        <f>IFERROR(LOOKUP(Linea,TP!$B$3:$DE$3,TP!C83:DF83),0)</f>
        <v>0</v>
      </c>
      <c r="AK83" s="101">
        <f t="shared" si="60"/>
        <v>0</v>
      </c>
      <c r="AL83" s="101">
        <f t="shared" si="61"/>
        <v>0</v>
      </c>
      <c r="AM83" s="837">
        <f t="shared" si="43"/>
        <v>0</v>
      </c>
      <c r="AN83" s="176">
        <f>LOOKUP(TP!$A83,PROD!$A$5:$A$725,PROD!$I$11:$I$731)</f>
        <v>0</v>
      </c>
      <c r="AO83" s="171">
        <f>LOOKUP(TP!$A83,PROD!$A$5:$A$725,PROD!$K$5:$K$725)*100</f>
        <v>0</v>
      </c>
      <c r="AP83" s="110">
        <f>LOOKUP(TP!$A83,PROD!$A$5:$A$725,PROD!$K$8:$K$728)*100</f>
        <v>0</v>
      </c>
      <c r="AQ83" s="110">
        <f t="shared" si="44"/>
        <v>100</v>
      </c>
      <c r="AR83" s="109">
        <f>IFERROR(LOOKUP(Linea,TP!$B$3:$DE$3,TP!D83:DG83),0)</f>
        <v>0</v>
      </c>
      <c r="AS83" s="838">
        <f>SUMIF(PROD!$BF$5:$BF$725,GSh!$BV83,PROD!$V$5:$V$725)/1000*PROD!$A$1</f>
        <v>0</v>
      </c>
      <c r="AT83" s="627">
        <f>LOOKUP(TP!$A83,PROD!$A$5:$A$725,PROD!$AD$5:$AD$725)</f>
        <v>0</v>
      </c>
      <c r="AU83" s="101">
        <f>IFERROR(LOOKUP(Linea,TP!$B$3:$DE$3,TP!E83:DH83),0)</f>
        <v>0</v>
      </c>
      <c r="AV83" s="847">
        <f t="shared" si="45"/>
        <v>0</v>
      </c>
      <c r="AW83" s="1081">
        <f>LOOKUP($BV83,PROD!$A$5:$A$725,PROD!$AE$10:$AE$730)</f>
        <v>0</v>
      </c>
      <c r="AX83" s="1076">
        <f>LOOKUP($BV83,PROD!$A$5:$A$725,PROD!$AE$11:$AE$731)</f>
        <v>0</v>
      </c>
      <c r="AY83" s="114">
        <f>'Pr-Sem'!Z83</f>
        <v>0</v>
      </c>
      <c r="AZ83" s="101">
        <f>IFERROR(LOOKUP(Linea,TP!$B$3:$DE$3,TP!F83:DI83),0)</f>
        <v>0</v>
      </c>
      <c r="BA83" s="840">
        <f>LOOKUP(TP!$A83,PROD!$A$5:$A$725,PROD!$Q$7:$Q$727)</f>
        <v>0</v>
      </c>
      <c r="BB83" s="118">
        <f t="shared" si="54"/>
        <v>0</v>
      </c>
      <c r="BC83" s="109">
        <f t="shared" si="55"/>
        <v>0</v>
      </c>
      <c r="BD83" s="125">
        <f>LOOKUP(TP!$A83,PROD!$A$5:$A$725,PROD!$AH$7:$AH$727)</f>
        <v>0</v>
      </c>
      <c r="BE83" s="101">
        <f t="shared" si="46"/>
        <v>0</v>
      </c>
      <c r="BF83" s="850">
        <f t="shared" si="47"/>
        <v>0</v>
      </c>
      <c r="BG83" s="129">
        <f>LOOKUP(TP!$A83,PROD!$A$5:$A$725,PROD!$AH$8:$AH$728)</f>
        <v>0</v>
      </c>
      <c r="BH83" s="101">
        <f t="shared" si="56"/>
        <v>0</v>
      </c>
      <c r="BI83" s="849">
        <f t="shared" si="48"/>
        <v>0</v>
      </c>
      <c r="BJ83" s="513">
        <f>'Pr-Sem'!AC83*10</f>
        <v>0</v>
      </c>
      <c r="BK83" s="514">
        <f>IFERROR(LOOKUP(Linea,TP!$B$3:$DE$3,TP!J83:DJ83),0)</f>
        <v>0</v>
      </c>
      <c r="BL83" s="848">
        <f t="shared" si="49"/>
        <v>0</v>
      </c>
      <c r="BM83" s="137">
        <f>LOOKUP($BV83,PROD!$A$5:$A$725,PROD!$AH$5:$AH$725)*IF($BM$5="Gr X H",1,100)</f>
        <v>0</v>
      </c>
      <c r="BN83" s="138">
        <f>LOOKUP($BV83,PROD!$A$5:$A$725,PROD!$AI$5:$AI$725)*IF($BM$5="Gr X H",1,100)</f>
        <v>0</v>
      </c>
      <c r="BO83" s="849">
        <f t="shared" si="50"/>
        <v>0</v>
      </c>
      <c r="BP83" s="137">
        <f>LOOKUP(BV83,PROD!$A$5:$A$725,PROD!$AH$6:$AH$726)*IF($BM$5="Gr X H",1,100)</f>
        <v>0</v>
      </c>
      <c r="BQ83" s="138">
        <f>LOOKUP($BV83,PROD!$A$5:$A$725,PROD!$AI$6:$AI$726)*IF($BM$5="Gr X H",1,100)</f>
        <v>0</v>
      </c>
      <c r="BR83" s="849">
        <f t="shared" si="51"/>
        <v>0</v>
      </c>
      <c r="BS83" s="137">
        <f>LOOKUP(TP!$A83,PROD!$A$5:$A$725,PROD!$AH$9:$AH$729)</f>
        <v>0</v>
      </c>
      <c r="BT83" s="138">
        <f>LOOKUP(TP!$A83,PROD!$A$5:$A$725,PROD!$AI$9:$AI$729)</f>
        <v>0</v>
      </c>
      <c r="BU83" s="849">
        <f t="shared" si="52"/>
        <v>0</v>
      </c>
      <c r="BV83" s="833">
        <f t="shared" si="57"/>
        <v>95</v>
      </c>
      <c r="BW83" s="191">
        <f ca="1">LOOKUP($BV83,INVENTARIOS!$A$4:$A$718,ECONO!$T$4:$T$724)*100</f>
        <v>0</v>
      </c>
      <c r="BX83" s="606">
        <f ca="1">LOOKUP($BV83,INVENTARIOS!$A$4:$A$718,ECONO!$T$5:$T$725)*100</f>
        <v>0</v>
      </c>
      <c r="BY83" s="606">
        <f ca="1">LOOKUP($BV83,INVENTARIOS!$A$4:$A$718,ECONO!$T$6:$T$726)*100</f>
        <v>0</v>
      </c>
      <c r="BZ83" s="606">
        <f ca="1">LOOKUP($BV83,INVENTARIOS!$A$4:$A$718,ECONO!$T$7:$T$727)*100</f>
        <v>0</v>
      </c>
      <c r="CA83" s="606">
        <f ca="1">LOOKUP($BV83,INVENTARIOS!$A$4:$A$718,ECONO!$T$8:$T$728)*100</f>
        <v>0</v>
      </c>
      <c r="CB83" s="606">
        <f ca="1">LOOKUP($BV83,INVENTARIOS!$A$4:$A$718,ECONO!$T$9:$T$729)*100</f>
        <v>0</v>
      </c>
      <c r="CC83" s="606">
        <f ca="1">LOOKUP($BV83,INVENTARIOS!$A$4:$A$718,ECONO!$T$10:$T$730)*100</f>
        <v>0</v>
      </c>
      <c r="CD83" s="99">
        <f ca="1">LOOKUP($BV83,INVENTARIOS!$A$4:$A$718,ECONO!$X$8:$X$728)*100</f>
        <v>0</v>
      </c>
      <c r="CE83" s="99">
        <f ca="1">LOOKUP($BV83,INVENTARIOS!$A$4:$A$718,ECONO!$X$9:$X$729)*100</f>
        <v>0</v>
      </c>
      <c r="CF83" s="192">
        <f ca="1">LOOKUP($BV83,INVENTARIOS!$A$4:$A$718,ECONO!$X$10:$X$730)*100</f>
        <v>0</v>
      </c>
      <c r="CG83" s="195">
        <f ca="1">LOOKUP(GSh!$BV83,INVENTARIOS!$A$4:$A$718,ECONO!$X$4:$X$724)*100</f>
        <v>0</v>
      </c>
      <c r="CH83" s="98">
        <f ca="1">LOOKUP(GSh!$BV83,INVENTARIOS!$A$4:$A$718,ECONO!$X$5:$X$725)*100</f>
        <v>0</v>
      </c>
      <c r="CI83" s="98">
        <f ca="1">LOOKUP(GSh!$BV83,INVENTARIOS!$A$4:$A$718,ECONO!$X$6:$X$726)*100</f>
        <v>0</v>
      </c>
      <c r="CJ83" s="194">
        <f ca="1">LOOKUP(GSh!$BV83,INVENTARIOS!$A$4:$A$718,ECONO!$X$7:$X$727)*100</f>
        <v>0</v>
      </c>
      <c r="CK83" s="34">
        <f>IF(OR(AO83&gt;0,AT83&gt;0,AD83&gt;0),TP!A83,CK82)</f>
        <v>0</v>
      </c>
      <c r="CL83" s="257">
        <f>LOOKUP($BV83,INVENTARIOS!$A$4:$A$724,ECONO!$O$10:$O$730)</f>
        <v>0</v>
      </c>
      <c r="CM83" s="258">
        <f>LOOKUP($BV83,INVENTARIOS!$A$4:$A$724,ECONO!$Z$9:$Z$729)</f>
        <v>0</v>
      </c>
      <c r="CN83" s="260">
        <f t="shared" si="53"/>
        <v>0</v>
      </c>
      <c r="CO83"/>
    </row>
    <row r="84" spans="23:93" x14ac:dyDescent="0.3">
      <c r="W84" s="1"/>
      <c r="AC84" s="1193">
        <f t="shared" si="41"/>
        <v>96</v>
      </c>
      <c r="AD84" s="844">
        <f>LOOKUP(TP!$A84,PROD!$A$5:$A$725,PROD!$O$5:$O$725)</f>
        <v>0</v>
      </c>
      <c r="AE84" s="101">
        <f>IFERROR(LOOKUP(Linea,TP!$B$3:$DE$3,TP!B84:DE84),0)</f>
        <v>0</v>
      </c>
      <c r="AF84" s="101">
        <f t="shared" si="58"/>
        <v>0</v>
      </c>
      <c r="AG84" s="101">
        <f t="shared" si="59"/>
        <v>0</v>
      </c>
      <c r="AH84" s="845">
        <f t="shared" si="42"/>
        <v>0</v>
      </c>
      <c r="AI84" s="846">
        <f>LOOKUP(TP!$A84,PROD!$A$5:$A$725,PROD!$O$6:$O$726)</f>
        <v>0</v>
      </c>
      <c r="AJ84" s="101">
        <f>IFERROR(LOOKUP(Linea,TP!$B$3:$DE$3,TP!C84:DF84),0)</f>
        <v>0</v>
      </c>
      <c r="AK84" s="101">
        <f t="shared" si="60"/>
        <v>0</v>
      </c>
      <c r="AL84" s="101">
        <f t="shared" si="61"/>
        <v>0</v>
      </c>
      <c r="AM84" s="837">
        <f t="shared" si="43"/>
        <v>0</v>
      </c>
      <c r="AN84" s="176">
        <f>LOOKUP(TP!$A84,PROD!$A$5:$A$725,PROD!$I$11:$I$731)</f>
        <v>0</v>
      </c>
      <c r="AO84" s="171">
        <f>LOOKUP(TP!$A84,PROD!$A$5:$A$725,PROD!$K$5:$K$725)*100</f>
        <v>0</v>
      </c>
      <c r="AP84" s="110">
        <f>LOOKUP(TP!$A84,PROD!$A$5:$A$725,PROD!$K$8:$K$728)*100</f>
        <v>0</v>
      </c>
      <c r="AQ84" s="110">
        <f t="shared" si="44"/>
        <v>100</v>
      </c>
      <c r="AR84" s="109">
        <f>IFERROR(LOOKUP(Linea,TP!$B$3:$DE$3,TP!D84:DG84),0)</f>
        <v>0</v>
      </c>
      <c r="AS84" s="838">
        <f>SUMIF(PROD!$BF$5:$BF$725,GSh!$BV84,PROD!$V$5:$V$725)/1000*PROD!$A$1</f>
        <v>0</v>
      </c>
      <c r="AT84" s="627">
        <f>LOOKUP(TP!$A84,PROD!$A$5:$A$725,PROD!$AD$5:$AD$725)</f>
        <v>0</v>
      </c>
      <c r="AU84" s="101">
        <f>IFERROR(LOOKUP(Linea,TP!$B$3:$DE$3,TP!E84:DH84),0)</f>
        <v>0</v>
      </c>
      <c r="AV84" s="847">
        <f t="shared" si="45"/>
        <v>0</v>
      </c>
      <c r="AW84" s="1081">
        <f>LOOKUP($BV84,PROD!$A$5:$A$725,PROD!$AE$10:$AE$730)</f>
        <v>0</v>
      </c>
      <c r="AX84" s="1076">
        <f>LOOKUP($BV84,PROD!$A$5:$A$725,PROD!$AE$11:$AE$731)</f>
        <v>0</v>
      </c>
      <c r="AY84" s="114">
        <f>'Pr-Sem'!Z84</f>
        <v>0</v>
      </c>
      <c r="AZ84" s="101">
        <f>IFERROR(LOOKUP(Linea,TP!$B$3:$DE$3,TP!F84:DI84),0)</f>
        <v>0</v>
      </c>
      <c r="BA84" s="840">
        <f>LOOKUP(TP!$A84,PROD!$A$5:$A$725,PROD!$Q$7:$Q$727)</f>
        <v>0</v>
      </c>
      <c r="BB84" s="118">
        <f t="shared" si="54"/>
        <v>0</v>
      </c>
      <c r="BC84" s="109">
        <f t="shared" si="55"/>
        <v>0</v>
      </c>
      <c r="BD84" s="125">
        <f>LOOKUP(TP!$A84,PROD!$A$5:$A$725,PROD!$AH$7:$AH$727)</f>
        <v>0</v>
      </c>
      <c r="BE84" s="101">
        <f t="shared" si="46"/>
        <v>0</v>
      </c>
      <c r="BF84" s="850">
        <f t="shared" si="47"/>
        <v>0</v>
      </c>
      <c r="BG84" s="129">
        <f>LOOKUP(TP!$A84,PROD!$A$5:$A$725,PROD!$AH$8:$AH$728)</f>
        <v>0</v>
      </c>
      <c r="BH84" s="101">
        <f t="shared" si="56"/>
        <v>0</v>
      </c>
      <c r="BI84" s="849">
        <f t="shared" si="48"/>
        <v>0</v>
      </c>
      <c r="BJ84" s="513">
        <f>'Pr-Sem'!AC84*10</f>
        <v>0</v>
      </c>
      <c r="BK84" s="514">
        <f>IFERROR(LOOKUP(Linea,TP!$B$3:$DE$3,TP!J84:DJ84),0)</f>
        <v>0</v>
      </c>
      <c r="BL84" s="848">
        <f t="shared" si="49"/>
        <v>0</v>
      </c>
      <c r="BM84" s="137">
        <f>LOOKUP($BV84,PROD!$A$5:$A$725,PROD!$AH$5:$AH$725)*IF($BM$5="Gr X H",1,100)</f>
        <v>0</v>
      </c>
      <c r="BN84" s="138">
        <f>LOOKUP($BV84,PROD!$A$5:$A$725,PROD!$AI$5:$AI$725)*IF($BM$5="Gr X H",1,100)</f>
        <v>0</v>
      </c>
      <c r="BO84" s="849">
        <f t="shared" si="50"/>
        <v>0</v>
      </c>
      <c r="BP84" s="137">
        <f>LOOKUP(BV84,PROD!$A$5:$A$725,PROD!$AH$6:$AH$726)*IF($BM$5="Gr X H",1,100)</f>
        <v>0</v>
      </c>
      <c r="BQ84" s="138">
        <f>LOOKUP($BV84,PROD!$A$5:$A$725,PROD!$AI$6:$AI$726)*IF($BM$5="Gr X H",1,100)</f>
        <v>0</v>
      </c>
      <c r="BR84" s="849">
        <f t="shared" si="51"/>
        <v>0</v>
      </c>
      <c r="BS84" s="137">
        <f>LOOKUP(TP!$A84,PROD!$A$5:$A$725,PROD!$AH$9:$AH$729)</f>
        <v>0</v>
      </c>
      <c r="BT84" s="138">
        <f>LOOKUP(TP!$A84,PROD!$A$5:$A$725,PROD!$AI$9:$AI$729)</f>
        <v>0</v>
      </c>
      <c r="BU84" s="849">
        <f t="shared" si="52"/>
        <v>0</v>
      </c>
      <c r="BV84" s="833">
        <f t="shared" si="57"/>
        <v>96</v>
      </c>
      <c r="BW84" s="191">
        <f ca="1">LOOKUP($BV84,INVENTARIOS!$A$4:$A$718,ECONO!$T$4:$T$724)*100</f>
        <v>0</v>
      </c>
      <c r="BX84" s="606">
        <f ca="1">LOOKUP($BV84,INVENTARIOS!$A$4:$A$718,ECONO!$T$5:$T$725)*100</f>
        <v>0</v>
      </c>
      <c r="BY84" s="606">
        <f ca="1">LOOKUP($BV84,INVENTARIOS!$A$4:$A$718,ECONO!$T$6:$T$726)*100</f>
        <v>0</v>
      </c>
      <c r="BZ84" s="606">
        <f ca="1">LOOKUP($BV84,INVENTARIOS!$A$4:$A$718,ECONO!$T$7:$T$727)*100</f>
        <v>0</v>
      </c>
      <c r="CA84" s="606">
        <f ca="1">LOOKUP($BV84,INVENTARIOS!$A$4:$A$718,ECONO!$T$8:$T$728)*100</f>
        <v>0</v>
      </c>
      <c r="CB84" s="606">
        <f ca="1">LOOKUP($BV84,INVENTARIOS!$A$4:$A$718,ECONO!$T$9:$T$729)*100</f>
        <v>0</v>
      </c>
      <c r="CC84" s="606">
        <f ca="1">LOOKUP($BV84,INVENTARIOS!$A$4:$A$718,ECONO!$T$10:$T$730)*100</f>
        <v>0</v>
      </c>
      <c r="CD84" s="99">
        <f ca="1">LOOKUP($BV84,INVENTARIOS!$A$4:$A$718,ECONO!$X$8:$X$728)*100</f>
        <v>0</v>
      </c>
      <c r="CE84" s="99">
        <f ca="1">LOOKUP($BV84,INVENTARIOS!$A$4:$A$718,ECONO!$X$9:$X$729)*100</f>
        <v>0</v>
      </c>
      <c r="CF84" s="192">
        <f ca="1">LOOKUP($BV84,INVENTARIOS!$A$4:$A$718,ECONO!$X$10:$X$730)*100</f>
        <v>0</v>
      </c>
      <c r="CG84" s="195">
        <f ca="1">LOOKUP(GSh!$BV84,INVENTARIOS!$A$4:$A$718,ECONO!$X$4:$X$724)*100</f>
        <v>0</v>
      </c>
      <c r="CH84" s="98">
        <f ca="1">LOOKUP(GSh!$BV84,INVENTARIOS!$A$4:$A$718,ECONO!$X$5:$X$725)*100</f>
        <v>0</v>
      </c>
      <c r="CI84" s="98">
        <f ca="1">LOOKUP(GSh!$BV84,INVENTARIOS!$A$4:$A$718,ECONO!$X$6:$X$726)*100</f>
        <v>0</v>
      </c>
      <c r="CJ84" s="194">
        <f ca="1">LOOKUP(GSh!$BV84,INVENTARIOS!$A$4:$A$718,ECONO!$X$7:$X$727)*100</f>
        <v>0</v>
      </c>
      <c r="CK84" s="34">
        <f>IF(OR(AO84&gt;0,AT84&gt;0,AD84&gt;0),TP!A84,CK83)</f>
        <v>0</v>
      </c>
      <c r="CL84" s="257">
        <f>LOOKUP($BV84,INVENTARIOS!$A$4:$A$724,ECONO!$O$10:$O$730)</f>
        <v>0</v>
      </c>
      <c r="CM84" s="258">
        <f>LOOKUP($BV84,INVENTARIOS!$A$4:$A$724,ECONO!$Z$9:$Z$729)</f>
        <v>0</v>
      </c>
      <c r="CN84" s="260">
        <f t="shared" si="53"/>
        <v>0</v>
      </c>
      <c r="CO84"/>
    </row>
    <row r="85" spans="23:93" x14ac:dyDescent="0.3">
      <c r="W85" s="1"/>
      <c r="AC85" s="1193">
        <f t="shared" si="41"/>
        <v>97</v>
      </c>
      <c r="AD85" s="844">
        <f>LOOKUP(TP!$A85,PROD!$A$5:$A$725,PROD!$O$5:$O$725)</f>
        <v>0</v>
      </c>
      <c r="AE85" s="101">
        <f>IFERROR(LOOKUP(Linea,TP!$B$3:$DE$3,TP!B85:DE85),0)</f>
        <v>0</v>
      </c>
      <c r="AF85" s="101">
        <f t="shared" si="58"/>
        <v>0</v>
      </c>
      <c r="AG85" s="101">
        <f t="shared" si="59"/>
        <v>0</v>
      </c>
      <c r="AH85" s="845">
        <f t="shared" si="42"/>
        <v>0</v>
      </c>
      <c r="AI85" s="846">
        <f>LOOKUP(TP!$A85,PROD!$A$5:$A$725,PROD!$O$6:$O$726)</f>
        <v>0</v>
      </c>
      <c r="AJ85" s="101">
        <f>IFERROR(LOOKUP(Linea,TP!$B$3:$DE$3,TP!C85:DF85),0)</f>
        <v>0</v>
      </c>
      <c r="AK85" s="101">
        <f t="shared" si="60"/>
        <v>0</v>
      </c>
      <c r="AL85" s="101">
        <f t="shared" si="61"/>
        <v>0</v>
      </c>
      <c r="AM85" s="837">
        <f t="shared" si="43"/>
        <v>0</v>
      </c>
      <c r="AN85" s="176">
        <f>LOOKUP(TP!$A85,PROD!$A$5:$A$725,PROD!$I$11:$I$731)</f>
        <v>0</v>
      </c>
      <c r="AO85" s="171">
        <f>LOOKUP(TP!$A85,PROD!$A$5:$A$725,PROD!$K$5:$K$725)*100</f>
        <v>0</v>
      </c>
      <c r="AP85" s="110">
        <f>LOOKUP(TP!$A85,PROD!$A$5:$A$725,PROD!$K$8:$K$728)*100</f>
        <v>0</v>
      </c>
      <c r="AQ85" s="110">
        <f t="shared" si="44"/>
        <v>100</v>
      </c>
      <c r="AR85" s="109">
        <f>IFERROR(LOOKUP(Linea,TP!$B$3:$DE$3,TP!D85:DG85),0)</f>
        <v>0</v>
      </c>
      <c r="AS85" s="838">
        <f>SUMIF(PROD!$BF$5:$BF$725,GSh!$BV85,PROD!$V$5:$V$725)/1000*PROD!$A$1</f>
        <v>0</v>
      </c>
      <c r="AT85" s="627">
        <f>LOOKUP(TP!$A85,PROD!$A$5:$A$725,PROD!$AD$5:$AD$725)</f>
        <v>0</v>
      </c>
      <c r="AU85" s="101">
        <f>IFERROR(LOOKUP(Linea,TP!$B$3:$DE$3,TP!E85:DH85),0)</f>
        <v>0</v>
      </c>
      <c r="AV85" s="847">
        <f t="shared" si="45"/>
        <v>0</v>
      </c>
      <c r="AW85" s="1081">
        <f>LOOKUP($BV85,PROD!$A$5:$A$725,PROD!$AE$10:$AE$730)</f>
        <v>0</v>
      </c>
      <c r="AX85" s="1076">
        <f>LOOKUP($BV85,PROD!$A$5:$A$725,PROD!$AE$11:$AE$731)</f>
        <v>0</v>
      </c>
      <c r="AY85" s="114">
        <f>'Pr-Sem'!Z85</f>
        <v>0</v>
      </c>
      <c r="AZ85" s="101">
        <f>IFERROR(LOOKUP(Linea,TP!$B$3:$DE$3,TP!F85:DI85),0)</f>
        <v>0</v>
      </c>
      <c r="BA85" s="840">
        <f>LOOKUP(TP!$A85,PROD!$A$5:$A$725,PROD!$Q$7:$Q$727)</f>
        <v>0</v>
      </c>
      <c r="BB85" s="118">
        <f t="shared" si="54"/>
        <v>0</v>
      </c>
      <c r="BC85" s="109">
        <f t="shared" si="55"/>
        <v>0</v>
      </c>
      <c r="BD85" s="125">
        <f>LOOKUP(TP!$A85,PROD!$A$5:$A$725,PROD!$AH$7:$AH$727)</f>
        <v>0</v>
      </c>
      <c r="BE85" s="101">
        <f t="shared" si="46"/>
        <v>0</v>
      </c>
      <c r="BF85" s="850">
        <f t="shared" si="47"/>
        <v>0</v>
      </c>
      <c r="BG85" s="129">
        <f>LOOKUP(TP!$A85,PROD!$A$5:$A$725,PROD!$AH$8:$AH$728)</f>
        <v>0</v>
      </c>
      <c r="BH85" s="101">
        <f t="shared" si="56"/>
        <v>0</v>
      </c>
      <c r="BI85" s="849">
        <f t="shared" si="48"/>
        <v>0</v>
      </c>
      <c r="BJ85" s="513">
        <f>'Pr-Sem'!AC85*10</f>
        <v>0</v>
      </c>
      <c r="BK85" s="514">
        <f>IFERROR(LOOKUP(Linea,TP!$B$3:$DE$3,TP!J85:DJ85),0)</f>
        <v>0</v>
      </c>
      <c r="BL85" s="848">
        <f t="shared" si="49"/>
        <v>0</v>
      </c>
      <c r="BM85" s="137">
        <f>LOOKUP($BV85,PROD!$A$5:$A$725,PROD!$AH$5:$AH$725)*IF($BM$5="Gr X H",1,100)</f>
        <v>0</v>
      </c>
      <c r="BN85" s="138">
        <f>LOOKUP($BV85,PROD!$A$5:$A$725,PROD!$AI$5:$AI$725)*IF($BM$5="Gr X H",1,100)</f>
        <v>0</v>
      </c>
      <c r="BO85" s="849">
        <f t="shared" si="50"/>
        <v>0</v>
      </c>
      <c r="BP85" s="137">
        <f>LOOKUP(BV85,PROD!$A$5:$A$725,PROD!$AH$6:$AH$726)*IF($BM$5="Gr X H",1,100)</f>
        <v>0</v>
      </c>
      <c r="BQ85" s="138">
        <f>LOOKUP($BV85,PROD!$A$5:$A$725,PROD!$AI$6:$AI$726)*IF($BM$5="Gr X H",1,100)</f>
        <v>0</v>
      </c>
      <c r="BR85" s="849">
        <f t="shared" si="51"/>
        <v>0</v>
      </c>
      <c r="BS85" s="137">
        <f>LOOKUP(TP!$A85,PROD!$A$5:$A$725,PROD!$AH$9:$AH$729)</f>
        <v>0</v>
      </c>
      <c r="BT85" s="138">
        <f>LOOKUP(TP!$A85,PROD!$A$5:$A$725,PROD!$AI$9:$AI$729)</f>
        <v>0</v>
      </c>
      <c r="BU85" s="849">
        <f t="shared" si="52"/>
        <v>0</v>
      </c>
      <c r="BV85" s="833">
        <f t="shared" si="57"/>
        <v>97</v>
      </c>
      <c r="BW85" s="191">
        <f ca="1">LOOKUP($BV85,INVENTARIOS!$A$4:$A$718,ECONO!$T$4:$T$724)*100</f>
        <v>0</v>
      </c>
      <c r="BX85" s="606">
        <f ca="1">LOOKUP($BV85,INVENTARIOS!$A$4:$A$718,ECONO!$T$5:$T$725)*100</f>
        <v>0</v>
      </c>
      <c r="BY85" s="606">
        <f ca="1">LOOKUP($BV85,INVENTARIOS!$A$4:$A$718,ECONO!$T$6:$T$726)*100</f>
        <v>0</v>
      </c>
      <c r="BZ85" s="606">
        <f ca="1">LOOKUP($BV85,INVENTARIOS!$A$4:$A$718,ECONO!$T$7:$T$727)*100</f>
        <v>0</v>
      </c>
      <c r="CA85" s="606">
        <f ca="1">LOOKUP($BV85,INVENTARIOS!$A$4:$A$718,ECONO!$T$8:$T$728)*100</f>
        <v>0</v>
      </c>
      <c r="CB85" s="606">
        <f ca="1">LOOKUP($BV85,INVENTARIOS!$A$4:$A$718,ECONO!$T$9:$T$729)*100</f>
        <v>0</v>
      </c>
      <c r="CC85" s="606">
        <f ca="1">LOOKUP($BV85,INVENTARIOS!$A$4:$A$718,ECONO!$T$10:$T$730)*100</f>
        <v>0</v>
      </c>
      <c r="CD85" s="99">
        <f ca="1">LOOKUP($BV85,INVENTARIOS!$A$4:$A$718,ECONO!$X$8:$X$728)*100</f>
        <v>0</v>
      </c>
      <c r="CE85" s="99">
        <f ca="1">LOOKUP($BV85,INVENTARIOS!$A$4:$A$718,ECONO!$X$9:$X$729)*100</f>
        <v>0</v>
      </c>
      <c r="CF85" s="192">
        <f ca="1">LOOKUP($BV85,INVENTARIOS!$A$4:$A$718,ECONO!$X$10:$X$730)*100</f>
        <v>0</v>
      </c>
      <c r="CG85" s="195">
        <f ca="1">LOOKUP(GSh!$BV85,INVENTARIOS!$A$4:$A$718,ECONO!$X$4:$X$724)*100</f>
        <v>0</v>
      </c>
      <c r="CH85" s="98">
        <f ca="1">LOOKUP(GSh!$BV85,INVENTARIOS!$A$4:$A$718,ECONO!$X$5:$X$725)*100</f>
        <v>0</v>
      </c>
      <c r="CI85" s="98">
        <f ca="1">LOOKUP(GSh!$BV85,INVENTARIOS!$A$4:$A$718,ECONO!$X$6:$X$726)*100</f>
        <v>0</v>
      </c>
      <c r="CJ85" s="194">
        <f ca="1">LOOKUP(GSh!$BV85,INVENTARIOS!$A$4:$A$718,ECONO!$X$7:$X$727)*100</f>
        <v>0</v>
      </c>
      <c r="CK85" s="34">
        <f>IF(OR(AO85&gt;0,AT85&gt;0,AD85&gt;0),TP!A85,CK84)</f>
        <v>0</v>
      </c>
      <c r="CL85" s="257">
        <f>LOOKUP($BV85,INVENTARIOS!$A$4:$A$724,ECONO!$O$10:$O$730)</f>
        <v>0</v>
      </c>
      <c r="CM85" s="258">
        <f>LOOKUP($BV85,INVENTARIOS!$A$4:$A$724,ECONO!$Z$9:$Z$729)</f>
        <v>0</v>
      </c>
      <c r="CN85" s="260">
        <f t="shared" si="53"/>
        <v>0</v>
      </c>
      <c r="CO85"/>
    </row>
    <row r="86" spans="23:93" x14ac:dyDescent="0.3">
      <c r="W86" s="1"/>
      <c r="AC86" s="1193">
        <f t="shared" si="41"/>
        <v>98</v>
      </c>
      <c r="AD86" s="844">
        <f>LOOKUP(TP!$A86,PROD!$A$5:$A$725,PROD!$O$5:$O$725)</f>
        <v>0</v>
      </c>
      <c r="AE86" s="101">
        <f>IFERROR(LOOKUP(Linea,TP!$B$3:$DE$3,TP!B86:DE86),0)</f>
        <v>0</v>
      </c>
      <c r="AF86" s="101">
        <f t="shared" si="58"/>
        <v>0</v>
      </c>
      <c r="AG86" s="101">
        <f t="shared" si="59"/>
        <v>0</v>
      </c>
      <c r="AH86" s="845">
        <f t="shared" si="42"/>
        <v>0</v>
      </c>
      <c r="AI86" s="846">
        <f>LOOKUP(TP!$A86,PROD!$A$5:$A$725,PROD!$O$6:$O$726)</f>
        <v>0</v>
      </c>
      <c r="AJ86" s="101">
        <f>IFERROR(LOOKUP(Linea,TP!$B$3:$DE$3,TP!C86:DF86),0)</f>
        <v>0</v>
      </c>
      <c r="AK86" s="101">
        <f t="shared" si="60"/>
        <v>0</v>
      </c>
      <c r="AL86" s="101">
        <f t="shared" si="61"/>
        <v>0</v>
      </c>
      <c r="AM86" s="837">
        <f t="shared" si="43"/>
        <v>0</v>
      </c>
      <c r="AN86" s="176">
        <f>LOOKUP(TP!$A86,PROD!$A$5:$A$725,PROD!$I$11:$I$731)</f>
        <v>0</v>
      </c>
      <c r="AO86" s="171">
        <f>LOOKUP(TP!$A86,PROD!$A$5:$A$725,PROD!$K$5:$K$725)*100</f>
        <v>0</v>
      </c>
      <c r="AP86" s="110">
        <f>LOOKUP(TP!$A86,PROD!$A$5:$A$725,PROD!$K$8:$K$728)*100</f>
        <v>0</v>
      </c>
      <c r="AQ86" s="110">
        <f t="shared" si="44"/>
        <v>100</v>
      </c>
      <c r="AR86" s="109">
        <f>IFERROR(LOOKUP(Linea,TP!$B$3:$DE$3,TP!D86:DG86),0)</f>
        <v>0</v>
      </c>
      <c r="AS86" s="838">
        <f>SUMIF(PROD!$BF$5:$BF$725,GSh!$BV86,PROD!$V$5:$V$725)/1000*PROD!$A$1</f>
        <v>0</v>
      </c>
      <c r="AT86" s="627">
        <f>LOOKUP(TP!$A86,PROD!$A$5:$A$725,PROD!$AD$5:$AD$725)</f>
        <v>0</v>
      </c>
      <c r="AU86" s="101">
        <f>IFERROR(LOOKUP(Linea,TP!$B$3:$DE$3,TP!E86:DH86),0)</f>
        <v>0</v>
      </c>
      <c r="AV86" s="847">
        <f t="shared" si="45"/>
        <v>0</v>
      </c>
      <c r="AW86" s="1081">
        <f>LOOKUP($BV86,PROD!$A$5:$A$725,PROD!$AE$10:$AE$730)</f>
        <v>0</v>
      </c>
      <c r="AX86" s="1076">
        <f>LOOKUP($BV86,PROD!$A$5:$A$725,PROD!$AE$11:$AE$731)</f>
        <v>0</v>
      </c>
      <c r="AY86" s="114">
        <f>'Pr-Sem'!Z86</f>
        <v>0</v>
      </c>
      <c r="AZ86" s="101">
        <f>IFERROR(LOOKUP(Linea,TP!$B$3:$DE$3,TP!F86:DI86),0)</f>
        <v>0</v>
      </c>
      <c r="BA86" s="840">
        <f>LOOKUP(TP!$A86,PROD!$A$5:$A$725,PROD!$Q$7:$Q$727)</f>
        <v>0</v>
      </c>
      <c r="BB86" s="118">
        <f t="shared" si="54"/>
        <v>0</v>
      </c>
      <c r="BC86" s="109">
        <f t="shared" si="55"/>
        <v>0</v>
      </c>
      <c r="BD86" s="125">
        <f>LOOKUP(TP!$A86,PROD!$A$5:$A$725,PROD!$AH$7:$AH$727)</f>
        <v>0</v>
      </c>
      <c r="BE86" s="101">
        <f t="shared" si="46"/>
        <v>0</v>
      </c>
      <c r="BF86" s="850">
        <f t="shared" si="47"/>
        <v>0</v>
      </c>
      <c r="BG86" s="129">
        <f>LOOKUP(TP!$A86,PROD!$A$5:$A$725,PROD!$AH$8:$AH$728)</f>
        <v>0</v>
      </c>
      <c r="BH86" s="101">
        <f t="shared" si="56"/>
        <v>0</v>
      </c>
      <c r="BI86" s="849">
        <f t="shared" si="48"/>
        <v>0</v>
      </c>
      <c r="BJ86" s="513">
        <f>'Pr-Sem'!AC86*10</f>
        <v>0</v>
      </c>
      <c r="BK86" s="514">
        <f>IFERROR(LOOKUP(Linea,TP!$B$3:$DE$3,TP!J86:DJ86),0)</f>
        <v>0</v>
      </c>
      <c r="BL86" s="848">
        <f t="shared" si="49"/>
        <v>0</v>
      </c>
      <c r="BM86" s="137">
        <f>LOOKUP($BV86,PROD!$A$5:$A$725,PROD!$AH$5:$AH$725)*IF($BM$5="Gr X H",1,100)</f>
        <v>0</v>
      </c>
      <c r="BN86" s="138">
        <f>LOOKUP($BV86,PROD!$A$5:$A$725,PROD!$AI$5:$AI$725)*IF($BM$5="Gr X H",1,100)</f>
        <v>0</v>
      </c>
      <c r="BO86" s="849">
        <f t="shared" si="50"/>
        <v>0</v>
      </c>
      <c r="BP86" s="137">
        <f>LOOKUP(BV86,PROD!$A$5:$A$725,PROD!$AH$6:$AH$726)*IF($BM$5="Gr X H",1,100)</f>
        <v>0</v>
      </c>
      <c r="BQ86" s="138">
        <f>LOOKUP($BV86,PROD!$A$5:$A$725,PROD!$AI$6:$AI$726)*IF($BM$5="Gr X H",1,100)</f>
        <v>0</v>
      </c>
      <c r="BR86" s="849">
        <f t="shared" si="51"/>
        <v>0</v>
      </c>
      <c r="BS86" s="137">
        <f>LOOKUP(TP!$A86,PROD!$A$5:$A$725,PROD!$AH$9:$AH$729)</f>
        <v>0</v>
      </c>
      <c r="BT86" s="138">
        <f>LOOKUP(TP!$A86,PROD!$A$5:$A$725,PROD!$AI$9:$AI$729)</f>
        <v>0</v>
      </c>
      <c r="BU86" s="849">
        <f t="shared" si="52"/>
        <v>0</v>
      </c>
      <c r="BV86" s="833">
        <f t="shared" si="57"/>
        <v>98</v>
      </c>
      <c r="BW86" s="191">
        <f ca="1">LOOKUP($BV86,INVENTARIOS!$A$4:$A$718,ECONO!$T$4:$T$724)*100</f>
        <v>0</v>
      </c>
      <c r="BX86" s="606">
        <f ca="1">LOOKUP($BV86,INVENTARIOS!$A$4:$A$718,ECONO!$T$5:$T$725)*100</f>
        <v>0</v>
      </c>
      <c r="BY86" s="606">
        <f ca="1">LOOKUP($BV86,INVENTARIOS!$A$4:$A$718,ECONO!$T$6:$T$726)*100</f>
        <v>0</v>
      </c>
      <c r="BZ86" s="606">
        <f ca="1">LOOKUP($BV86,INVENTARIOS!$A$4:$A$718,ECONO!$T$7:$T$727)*100</f>
        <v>0</v>
      </c>
      <c r="CA86" s="606">
        <f ca="1">LOOKUP($BV86,INVENTARIOS!$A$4:$A$718,ECONO!$T$8:$T$728)*100</f>
        <v>0</v>
      </c>
      <c r="CB86" s="606">
        <f ca="1">LOOKUP($BV86,INVENTARIOS!$A$4:$A$718,ECONO!$T$9:$T$729)*100</f>
        <v>0</v>
      </c>
      <c r="CC86" s="606">
        <f ca="1">LOOKUP($BV86,INVENTARIOS!$A$4:$A$718,ECONO!$T$10:$T$730)*100</f>
        <v>0</v>
      </c>
      <c r="CD86" s="99">
        <f ca="1">LOOKUP($BV86,INVENTARIOS!$A$4:$A$718,ECONO!$X$8:$X$728)*100</f>
        <v>0</v>
      </c>
      <c r="CE86" s="99">
        <f ca="1">LOOKUP($BV86,INVENTARIOS!$A$4:$A$718,ECONO!$X$9:$X$729)*100</f>
        <v>0</v>
      </c>
      <c r="CF86" s="192">
        <f ca="1">LOOKUP($BV86,INVENTARIOS!$A$4:$A$718,ECONO!$X$10:$X$730)*100</f>
        <v>0</v>
      </c>
      <c r="CG86" s="195">
        <f ca="1">LOOKUP(GSh!$BV86,INVENTARIOS!$A$4:$A$718,ECONO!$X$4:$X$724)*100</f>
        <v>0</v>
      </c>
      <c r="CH86" s="98">
        <f ca="1">LOOKUP(GSh!$BV86,INVENTARIOS!$A$4:$A$718,ECONO!$X$5:$X$725)*100</f>
        <v>0</v>
      </c>
      <c r="CI86" s="98">
        <f ca="1">LOOKUP(GSh!$BV86,INVENTARIOS!$A$4:$A$718,ECONO!$X$6:$X$726)*100</f>
        <v>0</v>
      </c>
      <c r="CJ86" s="194">
        <f ca="1">LOOKUP(GSh!$BV86,INVENTARIOS!$A$4:$A$718,ECONO!$X$7:$X$727)*100</f>
        <v>0</v>
      </c>
      <c r="CK86" s="34">
        <f>IF(OR(AO86&gt;0,AT86&gt;0,AD86&gt;0),TP!A86,CK85)</f>
        <v>0</v>
      </c>
      <c r="CL86" s="257">
        <f>LOOKUP($BV86,INVENTARIOS!$A$4:$A$724,ECONO!$O$10:$O$730)</f>
        <v>0</v>
      </c>
      <c r="CM86" s="258">
        <f>LOOKUP($BV86,INVENTARIOS!$A$4:$A$724,ECONO!$Z$9:$Z$729)</f>
        <v>0</v>
      </c>
      <c r="CN86" s="260">
        <f t="shared" si="53"/>
        <v>0</v>
      </c>
      <c r="CO86"/>
    </row>
    <row r="87" spans="23:93" x14ac:dyDescent="0.3">
      <c r="W87" s="1"/>
      <c r="AC87" s="1193">
        <f t="shared" si="41"/>
        <v>99</v>
      </c>
      <c r="AD87" s="844">
        <f>LOOKUP(TP!$A87,PROD!$A$5:$A$725,PROD!$O$5:$O$725)</f>
        <v>0</v>
      </c>
      <c r="AE87" s="101">
        <f>IFERROR(LOOKUP(Linea,TP!$B$3:$DE$3,TP!B87:DE87),0)</f>
        <v>0</v>
      </c>
      <c r="AF87" s="101">
        <f t="shared" si="58"/>
        <v>0</v>
      </c>
      <c r="AG87" s="101">
        <f t="shared" si="59"/>
        <v>0</v>
      </c>
      <c r="AH87" s="845">
        <f t="shared" si="42"/>
        <v>0</v>
      </c>
      <c r="AI87" s="846">
        <f>LOOKUP(TP!$A87,PROD!$A$5:$A$725,PROD!$O$6:$O$726)</f>
        <v>0</v>
      </c>
      <c r="AJ87" s="101">
        <f>IFERROR(LOOKUP(Linea,TP!$B$3:$DE$3,TP!C87:DF87),0)</f>
        <v>0</v>
      </c>
      <c r="AK87" s="101">
        <f t="shared" si="60"/>
        <v>0</v>
      </c>
      <c r="AL87" s="101">
        <f t="shared" si="61"/>
        <v>0</v>
      </c>
      <c r="AM87" s="837">
        <f t="shared" si="43"/>
        <v>0</v>
      </c>
      <c r="AN87" s="176">
        <f>LOOKUP(TP!$A87,PROD!$A$5:$A$725,PROD!$I$11:$I$731)</f>
        <v>0</v>
      </c>
      <c r="AO87" s="171">
        <f>LOOKUP(TP!$A87,PROD!$A$5:$A$725,PROD!$K$5:$K$725)*100</f>
        <v>0</v>
      </c>
      <c r="AP87" s="110">
        <f>LOOKUP(TP!$A87,PROD!$A$5:$A$725,PROD!$K$8:$K$728)*100</f>
        <v>0</v>
      </c>
      <c r="AQ87" s="110">
        <f t="shared" si="44"/>
        <v>100</v>
      </c>
      <c r="AR87" s="109">
        <f>IFERROR(LOOKUP(Linea,TP!$B$3:$DE$3,TP!D87:DG87),0)</f>
        <v>0</v>
      </c>
      <c r="AS87" s="838">
        <f>SUMIF(PROD!$BF$5:$BF$725,GSh!$BV87,PROD!$V$5:$V$725)/1000*PROD!$A$1</f>
        <v>0</v>
      </c>
      <c r="AT87" s="627">
        <f>LOOKUP(TP!$A87,PROD!$A$5:$A$725,PROD!$AD$5:$AD$725)</f>
        <v>0</v>
      </c>
      <c r="AU87" s="101">
        <f>IFERROR(LOOKUP(Linea,TP!$B$3:$DE$3,TP!E87:DH87),0)</f>
        <v>0</v>
      </c>
      <c r="AV87" s="847">
        <f t="shared" si="45"/>
        <v>0</v>
      </c>
      <c r="AW87" s="1081">
        <f>LOOKUP($BV87,PROD!$A$5:$A$725,PROD!$AE$10:$AE$730)</f>
        <v>0</v>
      </c>
      <c r="AX87" s="1076">
        <f>LOOKUP($BV87,PROD!$A$5:$A$725,PROD!$AE$11:$AE$731)</f>
        <v>0</v>
      </c>
      <c r="AY87" s="114">
        <f>'Pr-Sem'!Z87</f>
        <v>0</v>
      </c>
      <c r="AZ87" s="101">
        <f>IFERROR(LOOKUP(Linea,TP!$B$3:$DE$3,TP!F87:DI87),0)</f>
        <v>0</v>
      </c>
      <c r="BA87" s="840">
        <f>LOOKUP(TP!$A87,PROD!$A$5:$A$725,PROD!$Q$7:$Q$727)</f>
        <v>0</v>
      </c>
      <c r="BB87" s="118">
        <f t="shared" si="54"/>
        <v>0</v>
      </c>
      <c r="BC87" s="109">
        <f t="shared" si="55"/>
        <v>0</v>
      </c>
      <c r="BD87" s="125">
        <f>LOOKUP(TP!$A87,PROD!$A$5:$A$725,PROD!$AH$7:$AH$727)</f>
        <v>0</v>
      </c>
      <c r="BE87" s="101">
        <f t="shared" si="46"/>
        <v>0</v>
      </c>
      <c r="BF87" s="850">
        <f t="shared" si="47"/>
        <v>0</v>
      </c>
      <c r="BG87" s="129">
        <f>LOOKUP(TP!$A87,PROD!$A$5:$A$725,PROD!$AH$8:$AH$728)</f>
        <v>0</v>
      </c>
      <c r="BH87" s="101">
        <f t="shared" si="56"/>
        <v>0</v>
      </c>
      <c r="BI87" s="849">
        <f t="shared" si="48"/>
        <v>0</v>
      </c>
      <c r="BJ87" s="513">
        <f>'Pr-Sem'!AC87*10</f>
        <v>0</v>
      </c>
      <c r="BK87" s="514">
        <f>IFERROR(LOOKUP(Linea,TP!$B$3:$DE$3,TP!J87:DJ87),0)</f>
        <v>0</v>
      </c>
      <c r="BL87" s="848">
        <f t="shared" si="49"/>
        <v>0</v>
      </c>
      <c r="BM87" s="137">
        <f>LOOKUP($BV87,PROD!$A$5:$A$725,PROD!$AH$5:$AH$725)*IF($BM$5="Gr X H",1,100)</f>
        <v>0</v>
      </c>
      <c r="BN87" s="138">
        <f>LOOKUP($BV87,PROD!$A$5:$A$725,PROD!$AI$5:$AI$725)*IF($BM$5="Gr X H",1,100)</f>
        <v>0</v>
      </c>
      <c r="BO87" s="849">
        <f t="shared" si="50"/>
        <v>0</v>
      </c>
      <c r="BP87" s="137">
        <f>LOOKUP(BV87,PROD!$A$5:$A$725,PROD!$AH$6:$AH$726)*IF($BM$5="Gr X H",1,100)</f>
        <v>0</v>
      </c>
      <c r="BQ87" s="138">
        <f>LOOKUP($BV87,PROD!$A$5:$A$725,PROD!$AI$6:$AI$726)*IF($BM$5="Gr X H",1,100)</f>
        <v>0</v>
      </c>
      <c r="BR87" s="849">
        <f t="shared" si="51"/>
        <v>0</v>
      </c>
      <c r="BS87" s="137">
        <f>LOOKUP(TP!$A87,PROD!$A$5:$A$725,PROD!$AH$9:$AH$729)</f>
        <v>0</v>
      </c>
      <c r="BT87" s="138">
        <f>LOOKUP(TP!$A87,PROD!$A$5:$A$725,PROD!$AI$9:$AI$729)</f>
        <v>0</v>
      </c>
      <c r="BU87" s="849">
        <f t="shared" si="52"/>
        <v>0</v>
      </c>
      <c r="BV87" s="833">
        <f t="shared" si="57"/>
        <v>99</v>
      </c>
      <c r="BW87" s="191">
        <f ca="1">LOOKUP($BV87,INVENTARIOS!$A$4:$A$718,ECONO!$T$4:$T$724)*100</f>
        <v>0</v>
      </c>
      <c r="BX87" s="606">
        <f ca="1">LOOKUP($BV87,INVENTARIOS!$A$4:$A$718,ECONO!$T$5:$T$725)*100</f>
        <v>0</v>
      </c>
      <c r="BY87" s="606">
        <f ca="1">LOOKUP($BV87,INVENTARIOS!$A$4:$A$718,ECONO!$T$6:$T$726)*100</f>
        <v>0</v>
      </c>
      <c r="BZ87" s="606">
        <f ca="1">LOOKUP($BV87,INVENTARIOS!$A$4:$A$718,ECONO!$T$7:$T$727)*100</f>
        <v>0</v>
      </c>
      <c r="CA87" s="606">
        <f ca="1">LOOKUP($BV87,INVENTARIOS!$A$4:$A$718,ECONO!$T$8:$T$728)*100</f>
        <v>0</v>
      </c>
      <c r="CB87" s="606">
        <f ca="1">LOOKUP($BV87,INVENTARIOS!$A$4:$A$718,ECONO!$T$9:$T$729)*100</f>
        <v>0</v>
      </c>
      <c r="CC87" s="606">
        <f ca="1">LOOKUP($BV87,INVENTARIOS!$A$4:$A$718,ECONO!$T$10:$T$730)*100</f>
        <v>0</v>
      </c>
      <c r="CD87" s="99">
        <f ca="1">LOOKUP($BV87,INVENTARIOS!$A$4:$A$718,ECONO!$X$8:$X$728)*100</f>
        <v>0</v>
      </c>
      <c r="CE87" s="99">
        <f ca="1">LOOKUP($BV87,INVENTARIOS!$A$4:$A$718,ECONO!$X$9:$X$729)*100</f>
        <v>0</v>
      </c>
      <c r="CF87" s="192">
        <f ca="1">LOOKUP($BV87,INVENTARIOS!$A$4:$A$718,ECONO!$X$10:$X$730)*100</f>
        <v>0</v>
      </c>
      <c r="CG87" s="195">
        <f ca="1">LOOKUP(GSh!$BV87,INVENTARIOS!$A$4:$A$718,ECONO!$X$4:$X$724)*100</f>
        <v>0</v>
      </c>
      <c r="CH87" s="98">
        <f ca="1">LOOKUP(GSh!$BV87,INVENTARIOS!$A$4:$A$718,ECONO!$X$5:$X$725)*100</f>
        <v>0</v>
      </c>
      <c r="CI87" s="98">
        <f ca="1">LOOKUP(GSh!$BV87,INVENTARIOS!$A$4:$A$718,ECONO!$X$6:$X$726)*100</f>
        <v>0</v>
      </c>
      <c r="CJ87" s="194">
        <f ca="1">LOOKUP(GSh!$BV87,INVENTARIOS!$A$4:$A$718,ECONO!$X$7:$X$727)*100</f>
        <v>0</v>
      </c>
      <c r="CK87" s="34">
        <f>IF(OR(AO87&gt;0,AT87&gt;0,AD87&gt;0),TP!A87,CK86)</f>
        <v>0</v>
      </c>
      <c r="CL87" s="257">
        <f>LOOKUP($BV87,INVENTARIOS!$A$4:$A$724,ECONO!$O$10:$O$730)</f>
        <v>0</v>
      </c>
      <c r="CM87" s="258">
        <f>LOOKUP($BV87,INVENTARIOS!$A$4:$A$724,ECONO!$Z$9:$Z$729)</f>
        <v>0</v>
      </c>
      <c r="CN87" s="260">
        <f t="shared" si="53"/>
        <v>0</v>
      </c>
      <c r="CO87"/>
    </row>
    <row r="88" spans="23:93" x14ac:dyDescent="0.3">
      <c r="W88" s="1"/>
      <c r="AC88" s="1193">
        <f t="shared" si="41"/>
        <v>100</v>
      </c>
      <c r="AD88" s="844">
        <f>LOOKUP(TP!$A88,PROD!$A$5:$A$725,PROD!$O$5:$O$725)</f>
        <v>0</v>
      </c>
      <c r="AE88" s="101">
        <f>IFERROR(LOOKUP(Linea,TP!$B$3:$DE$3,TP!B88:DE88),0)</f>
        <v>0</v>
      </c>
      <c r="AF88" s="101">
        <f t="shared" si="58"/>
        <v>0</v>
      </c>
      <c r="AG88" s="101">
        <f t="shared" si="59"/>
        <v>0</v>
      </c>
      <c r="AH88" s="845">
        <f t="shared" si="42"/>
        <v>0</v>
      </c>
      <c r="AI88" s="846">
        <f>LOOKUP(TP!$A88,PROD!$A$5:$A$725,PROD!$O$6:$O$726)</f>
        <v>0</v>
      </c>
      <c r="AJ88" s="101">
        <f>IFERROR(LOOKUP(Linea,TP!$B$3:$DE$3,TP!C88:DF88),0)</f>
        <v>0</v>
      </c>
      <c r="AK88" s="101">
        <f t="shared" si="60"/>
        <v>0</v>
      </c>
      <c r="AL88" s="101">
        <f t="shared" si="61"/>
        <v>0</v>
      </c>
      <c r="AM88" s="837">
        <f t="shared" si="43"/>
        <v>0</v>
      </c>
      <c r="AN88" s="176">
        <f>LOOKUP(TP!$A88,PROD!$A$5:$A$725,PROD!$I$11:$I$731)</f>
        <v>0</v>
      </c>
      <c r="AO88" s="171">
        <f>LOOKUP(TP!$A88,PROD!$A$5:$A$725,PROD!$K$5:$K$725)*100</f>
        <v>0</v>
      </c>
      <c r="AP88" s="110">
        <f>LOOKUP(TP!$A88,PROD!$A$5:$A$725,PROD!$K$8:$K$728)*100</f>
        <v>0</v>
      </c>
      <c r="AQ88" s="110">
        <f t="shared" si="44"/>
        <v>100</v>
      </c>
      <c r="AR88" s="109">
        <f>IFERROR(LOOKUP(Linea,TP!$B$3:$DE$3,TP!D88:DG88),0)</f>
        <v>0</v>
      </c>
      <c r="AS88" s="838">
        <f>SUMIF(PROD!$BF$5:$BF$725,GSh!$BV88,PROD!$V$5:$V$725)/1000*PROD!$A$1</f>
        <v>0</v>
      </c>
      <c r="AT88" s="627">
        <f>LOOKUP(TP!$A88,PROD!$A$5:$A$725,PROD!$AD$5:$AD$725)</f>
        <v>0</v>
      </c>
      <c r="AU88" s="101">
        <f>IFERROR(LOOKUP(Linea,TP!$B$3:$DE$3,TP!E88:DH88),0)</f>
        <v>0</v>
      </c>
      <c r="AV88" s="847">
        <f t="shared" si="45"/>
        <v>0</v>
      </c>
      <c r="AW88" s="1081">
        <f>LOOKUP($BV88,PROD!$A$5:$A$725,PROD!$AE$10:$AE$730)</f>
        <v>0</v>
      </c>
      <c r="AX88" s="1076">
        <f>LOOKUP($BV88,PROD!$A$5:$A$725,PROD!$AE$11:$AE$731)</f>
        <v>0</v>
      </c>
      <c r="AY88" s="114">
        <f>'Pr-Sem'!Z88</f>
        <v>0</v>
      </c>
      <c r="AZ88" s="101">
        <f>IFERROR(LOOKUP(Linea,TP!$B$3:$DE$3,TP!F88:DI88),0)</f>
        <v>0</v>
      </c>
      <c r="BA88" s="840">
        <f>LOOKUP(TP!$A88,PROD!$A$5:$A$725,PROD!$Q$7:$Q$727)</f>
        <v>0</v>
      </c>
      <c r="BB88" s="118">
        <f t="shared" si="54"/>
        <v>0</v>
      </c>
      <c r="BC88" s="109">
        <f t="shared" si="55"/>
        <v>0</v>
      </c>
      <c r="BD88" s="125">
        <f>LOOKUP(TP!$A88,PROD!$A$5:$A$725,PROD!$AH$7:$AH$727)</f>
        <v>0</v>
      </c>
      <c r="BE88" s="101">
        <f t="shared" si="46"/>
        <v>0</v>
      </c>
      <c r="BF88" s="850">
        <f t="shared" si="47"/>
        <v>0</v>
      </c>
      <c r="BG88" s="129">
        <f>LOOKUP(TP!$A88,PROD!$A$5:$A$725,PROD!$AH$8:$AH$728)</f>
        <v>0</v>
      </c>
      <c r="BH88" s="101">
        <f t="shared" si="56"/>
        <v>0</v>
      </c>
      <c r="BI88" s="849">
        <f t="shared" si="48"/>
        <v>0</v>
      </c>
      <c r="BJ88" s="513">
        <f>'Pr-Sem'!AC88*10</f>
        <v>0</v>
      </c>
      <c r="BK88" s="514">
        <f>IFERROR(LOOKUP(Linea,TP!$B$3:$DE$3,TP!J88:DJ88),0)</f>
        <v>0</v>
      </c>
      <c r="BL88" s="848">
        <f t="shared" si="49"/>
        <v>0</v>
      </c>
      <c r="BM88" s="137">
        <f>LOOKUP($BV88,PROD!$A$5:$A$725,PROD!$AH$5:$AH$725)*IF($BM$5="Gr X H",1,100)</f>
        <v>0</v>
      </c>
      <c r="BN88" s="138">
        <f>LOOKUP($BV88,PROD!$A$5:$A$725,PROD!$AI$5:$AI$725)*IF($BM$5="Gr X H",1,100)</f>
        <v>0</v>
      </c>
      <c r="BO88" s="849">
        <f t="shared" si="50"/>
        <v>0</v>
      </c>
      <c r="BP88" s="137">
        <f>LOOKUP(BV88,PROD!$A$5:$A$725,PROD!$AH$6:$AH$726)*IF($BM$5="Gr X H",1,100)</f>
        <v>0</v>
      </c>
      <c r="BQ88" s="138">
        <f>LOOKUP($BV88,PROD!$A$5:$A$725,PROD!$AI$6:$AI$726)*IF($BM$5="Gr X H",1,100)</f>
        <v>0</v>
      </c>
      <c r="BR88" s="849">
        <f t="shared" si="51"/>
        <v>0</v>
      </c>
      <c r="BS88" s="137">
        <f>LOOKUP(TP!$A88,PROD!$A$5:$A$725,PROD!$AH$9:$AH$729)</f>
        <v>0</v>
      </c>
      <c r="BT88" s="138">
        <f>LOOKUP(TP!$A88,PROD!$A$5:$A$725,PROD!$AI$9:$AI$729)</f>
        <v>0</v>
      </c>
      <c r="BU88" s="849">
        <f t="shared" si="52"/>
        <v>0</v>
      </c>
      <c r="BV88" s="833">
        <f t="shared" si="57"/>
        <v>100</v>
      </c>
      <c r="BW88" s="191">
        <f ca="1">LOOKUP($BV88,INVENTARIOS!$A$4:$A$718,ECONO!$T$4:$T$724)*100</f>
        <v>0</v>
      </c>
      <c r="BX88" s="606">
        <f ca="1">LOOKUP($BV88,INVENTARIOS!$A$4:$A$718,ECONO!$T$5:$T$725)*100</f>
        <v>0</v>
      </c>
      <c r="BY88" s="606">
        <f ca="1">LOOKUP($BV88,INVENTARIOS!$A$4:$A$718,ECONO!$T$6:$T$726)*100</f>
        <v>0</v>
      </c>
      <c r="BZ88" s="606">
        <f ca="1">LOOKUP($BV88,INVENTARIOS!$A$4:$A$718,ECONO!$T$7:$T$727)*100</f>
        <v>0</v>
      </c>
      <c r="CA88" s="606">
        <f ca="1">LOOKUP($BV88,INVENTARIOS!$A$4:$A$718,ECONO!$T$8:$T$728)*100</f>
        <v>0</v>
      </c>
      <c r="CB88" s="606">
        <f ca="1">LOOKUP($BV88,INVENTARIOS!$A$4:$A$718,ECONO!$T$9:$T$729)*100</f>
        <v>0</v>
      </c>
      <c r="CC88" s="606">
        <f ca="1">LOOKUP($BV88,INVENTARIOS!$A$4:$A$718,ECONO!$T$10:$T$730)*100</f>
        <v>0</v>
      </c>
      <c r="CD88" s="99">
        <f ca="1">LOOKUP($BV88,INVENTARIOS!$A$4:$A$718,ECONO!$X$8:$X$728)*100</f>
        <v>0</v>
      </c>
      <c r="CE88" s="99">
        <f ca="1">LOOKUP($BV88,INVENTARIOS!$A$4:$A$718,ECONO!$X$9:$X$729)*100</f>
        <v>0</v>
      </c>
      <c r="CF88" s="192">
        <f ca="1">LOOKUP($BV88,INVENTARIOS!$A$4:$A$718,ECONO!$X$10:$X$730)*100</f>
        <v>0</v>
      </c>
      <c r="CG88" s="195">
        <f ca="1">LOOKUP(GSh!$BV88,INVENTARIOS!$A$4:$A$718,ECONO!$X$4:$X$724)*100</f>
        <v>0</v>
      </c>
      <c r="CH88" s="98">
        <f ca="1">LOOKUP(GSh!$BV88,INVENTARIOS!$A$4:$A$718,ECONO!$X$5:$X$725)*100</f>
        <v>0</v>
      </c>
      <c r="CI88" s="98">
        <f ca="1">LOOKUP(GSh!$BV88,INVENTARIOS!$A$4:$A$718,ECONO!$X$6:$X$726)*100</f>
        <v>0</v>
      </c>
      <c r="CJ88" s="194">
        <f ca="1">LOOKUP(GSh!$BV88,INVENTARIOS!$A$4:$A$718,ECONO!$X$7:$X$727)*100</f>
        <v>0</v>
      </c>
      <c r="CK88" s="34">
        <f>IF(OR(AO88&gt;0,AT88&gt;0,AD88&gt;0),TP!A88,CK87)</f>
        <v>0</v>
      </c>
      <c r="CL88" s="257">
        <f>LOOKUP($BV88,INVENTARIOS!$A$4:$A$724,ECONO!$O$10:$O$730)</f>
        <v>0</v>
      </c>
      <c r="CM88" s="258">
        <f>LOOKUP($BV88,INVENTARIOS!$A$4:$A$724,ECONO!$Z$9:$Z$729)</f>
        <v>0</v>
      </c>
      <c r="CN88" s="260">
        <f t="shared" si="53"/>
        <v>0</v>
      </c>
      <c r="CO88"/>
    </row>
    <row r="89" spans="23:93" x14ac:dyDescent="0.3">
      <c r="AC89" s="1193">
        <f t="shared" si="41"/>
        <v>101</v>
      </c>
      <c r="AD89" s="844">
        <f>LOOKUP(TP!$A89,PROD!$A$5:$A$725,PROD!$O$5:$O$725)</f>
        <v>0</v>
      </c>
      <c r="AE89" s="101">
        <f>IFERROR(LOOKUP(Linea,TP!$B$3:$DE$3,TP!B89:DE89),0)</f>
        <v>0</v>
      </c>
      <c r="AF89" s="101">
        <f t="shared" si="58"/>
        <v>0</v>
      </c>
      <c r="AG89" s="101">
        <f t="shared" si="59"/>
        <v>0</v>
      </c>
      <c r="AH89" s="845">
        <f t="shared" si="42"/>
        <v>0</v>
      </c>
      <c r="AI89" s="846">
        <f>LOOKUP(TP!$A89,PROD!$A$5:$A$725,PROD!$O$6:$O$726)</f>
        <v>0</v>
      </c>
      <c r="AJ89" s="101">
        <f>IFERROR(LOOKUP(Linea,TP!$B$3:$DE$3,TP!C89:DF89),0)</f>
        <v>0</v>
      </c>
      <c r="AK89" s="101">
        <f t="shared" si="60"/>
        <v>0</v>
      </c>
      <c r="AL89" s="101">
        <f t="shared" si="61"/>
        <v>0</v>
      </c>
      <c r="AM89" s="837">
        <f t="shared" si="43"/>
        <v>0</v>
      </c>
      <c r="AN89" s="176">
        <f>LOOKUP(TP!$A89,PROD!$A$5:$A$725,PROD!$I$11:$I$731)</f>
        <v>0</v>
      </c>
      <c r="AO89" s="171">
        <f>LOOKUP(TP!$A89,PROD!$A$5:$A$725,PROD!$K$5:$K$725)*100</f>
        <v>0</v>
      </c>
      <c r="AP89" s="110">
        <f>LOOKUP(TP!$A89,PROD!$A$5:$A$725,PROD!$K$8:$K$728)*100</f>
        <v>0</v>
      </c>
      <c r="AQ89" s="110">
        <f t="shared" si="44"/>
        <v>100</v>
      </c>
      <c r="AR89" s="109">
        <f>IFERROR(LOOKUP(Linea,TP!$B$3:$DE$3,TP!D89:DG89),0)</f>
        <v>0</v>
      </c>
      <c r="AS89" s="838">
        <f>SUMIF(PROD!$BF$5:$BF$725,GSh!$BV89,PROD!$V$5:$V$725)/1000*PROD!$A$1</f>
        <v>0</v>
      </c>
      <c r="AT89" s="627">
        <f>LOOKUP(TP!$A89,PROD!$A$5:$A$725,PROD!$AD$5:$AD$725)</f>
        <v>0</v>
      </c>
      <c r="AU89" s="101">
        <f>IFERROR(LOOKUP(Linea,TP!$B$3:$DE$3,TP!E89:DH89),0)</f>
        <v>0</v>
      </c>
      <c r="AV89" s="847">
        <f t="shared" si="45"/>
        <v>0</v>
      </c>
      <c r="AW89" s="1081">
        <f>LOOKUP($BV89,PROD!$A$5:$A$725,PROD!$AE$10:$AE$730)</f>
        <v>0</v>
      </c>
      <c r="AX89" s="1076">
        <f>LOOKUP($BV89,PROD!$A$5:$A$725,PROD!$AE$11:$AE$731)</f>
        <v>0</v>
      </c>
      <c r="AY89" s="114">
        <f>'Pr-Sem'!Z89</f>
        <v>0</v>
      </c>
      <c r="AZ89" s="101">
        <f>IFERROR(LOOKUP(Linea,TP!$B$3:$DE$3,TP!F89:DI89),0)</f>
        <v>0</v>
      </c>
      <c r="BA89" s="840">
        <f>LOOKUP(TP!$A89,PROD!$A$5:$A$725,PROD!$Q$7:$Q$727)</f>
        <v>0</v>
      </c>
      <c r="BB89" s="118">
        <f t="shared" si="54"/>
        <v>0</v>
      </c>
      <c r="BC89" s="109">
        <f t="shared" si="55"/>
        <v>0</v>
      </c>
      <c r="BD89" s="125">
        <f>LOOKUP(TP!$A89,PROD!$A$5:$A$725,PROD!$AH$7:$AH$727)</f>
        <v>0</v>
      </c>
      <c r="BE89" s="101">
        <f t="shared" si="46"/>
        <v>0</v>
      </c>
      <c r="BF89" s="850">
        <f t="shared" si="47"/>
        <v>0</v>
      </c>
      <c r="BG89" s="129">
        <f>LOOKUP(TP!$A89,PROD!$A$5:$A$725,PROD!$AH$8:$AH$728)</f>
        <v>0</v>
      </c>
      <c r="BH89" s="101">
        <f t="shared" si="56"/>
        <v>0</v>
      </c>
      <c r="BI89" s="849">
        <f t="shared" si="48"/>
        <v>0</v>
      </c>
      <c r="BJ89" s="513">
        <f>'Pr-Sem'!AC89*10</f>
        <v>0</v>
      </c>
      <c r="BK89" s="514">
        <f>IFERROR(LOOKUP(Linea,TP!$B$3:$DE$3,TP!J89:DJ89),0)</f>
        <v>0</v>
      </c>
      <c r="BL89" s="848">
        <f t="shared" si="49"/>
        <v>0</v>
      </c>
      <c r="BM89" s="137">
        <f>LOOKUP($BV89,PROD!$A$5:$A$725,PROD!$AH$5:$AH$725)*IF($BM$5="Gr X H",1,100)</f>
        <v>0</v>
      </c>
      <c r="BN89" s="138">
        <f>LOOKUP($BV89,PROD!$A$5:$A$725,PROD!$AI$5:$AI$725)*IF($BM$5="Gr X H",1,100)</f>
        <v>0</v>
      </c>
      <c r="BO89" s="849">
        <f t="shared" si="50"/>
        <v>0</v>
      </c>
      <c r="BP89" s="137">
        <f>LOOKUP(BV89,PROD!$A$5:$A$725,PROD!$AH$6:$AH$726)*IF($BM$5="Gr X H",1,100)</f>
        <v>0</v>
      </c>
      <c r="BQ89" s="138">
        <f>LOOKUP($BV89,PROD!$A$5:$A$725,PROD!$AI$6:$AI$726)*IF($BM$5="Gr X H",1,100)</f>
        <v>0</v>
      </c>
      <c r="BR89" s="849">
        <f t="shared" si="51"/>
        <v>0</v>
      </c>
      <c r="BS89" s="137">
        <f>LOOKUP(TP!$A89,PROD!$A$5:$A$725,PROD!$AH$9:$AH$729)</f>
        <v>0</v>
      </c>
      <c r="BT89" s="138">
        <f>LOOKUP(TP!$A89,PROD!$A$5:$A$725,PROD!$AI$9:$AI$729)</f>
        <v>0</v>
      </c>
      <c r="BU89" s="849">
        <f t="shared" si="52"/>
        <v>0</v>
      </c>
      <c r="BV89" s="833">
        <f t="shared" si="57"/>
        <v>101</v>
      </c>
      <c r="BW89" s="191">
        <f ca="1">LOOKUP($BV89,INVENTARIOS!$A$4:$A$718,ECONO!$T$4:$T$724)*100</f>
        <v>0</v>
      </c>
      <c r="BX89" s="606">
        <f ca="1">LOOKUP($BV89,INVENTARIOS!$A$4:$A$718,ECONO!$T$5:$T$725)*100</f>
        <v>0</v>
      </c>
      <c r="BY89" s="606">
        <f ca="1">LOOKUP($BV89,INVENTARIOS!$A$4:$A$718,ECONO!$T$6:$T$726)*100</f>
        <v>0</v>
      </c>
      <c r="BZ89" s="606">
        <f ca="1">LOOKUP($BV89,INVENTARIOS!$A$4:$A$718,ECONO!$T$7:$T$727)*100</f>
        <v>0</v>
      </c>
      <c r="CA89" s="606">
        <f ca="1">LOOKUP($BV89,INVENTARIOS!$A$4:$A$718,ECONO!$T$8:$T$728)*100</f>
        <v>0</v>
      </c>
      <c r="CB89" s="606">
        <f ca="1">LOOKUP($BV89,INVENTARIOS!$A$4:$A$718,ECONO!$T$9:$T$729)*100</f>
        <v>0</v>
      </c>
      <c r="CC89" s="606">
        <f ca="1">LOOKUP($BV89,INVENTARIOS!$A$4:$A$718,ECONO!$T$10:$T$730)*100</f>
        <v>0</v>
      </c>
      <c r="CD89" s="99">
        <f ca="1">LOOKUP($BV89,INVENTARIOS!$A$4:$A$718,ECONO!$X$8:$X$728)*100</f>
        <v>0</v>
      </c>
      <c r="CE89" s="99">
        <f ca="1">LOOKUP($BV89,INVENTARIOS!$A$4:$A$718,ECONO!$X$9:$X$729)*100</f>
        <v>0</v>
      </c>
      <c r="CF89" s="192">
        <f ca="1">LOOKUP($BV89,INVENTARIOS!$A$4:$A$718,ECONO!$X$10:$X$730)*100</f>
        <v>0</v>
      </c>
      <c r="CG89" s="195">
        <f ca="1">LOOKUP(GSh!$BV89,INVENTARIOS!$A$4:$A$718,ECONO!$X$4:$X$724)*100</f>
        <v>0</v>
      </c>
      <c r="CH89" s="98">
        <f ca="1">LOOKUP(GSh!$BV89,INVENTARIOS!$A$4:$A$718,ECONO!$X$5:$X$725)*100</f>
        <v>0</v>
      </c>
      <c r="CI89" s="98">
        <f ca="1">LOOKUP(GSh!$BV89,INVENTARIOS!$A$4:$A$718,ECONO!$X$6:$X$726)*100</f>
        <v>0</v>
      </c>
      <c r="CJ89" s="194">
        <f ca="1">LOOKUP(GSh!$BV89,INVENTARIOS!$A$4:$A$718,ECONO!$X$7:$X$727)*100</f>
        <v>0</v>
      </c>
      <c r="CK89" s="34">
        <f>IF(OR(AO89&gt;0,AT89&gt;0,AD89&gt;0),TP!A89,CK88)</f>
        <v>0</v>
      </c>
      <c r="CL89" s="257">
        <f>LOOKUP($BV89,INVENTARIOS!$A$4:$A$724,ECONO!$O$10:$O$730)</f>
        <v>0</v>
      </c>
      <c r="CM89" s="258">
        <f>LOOKUP($BV89,INVENTARIOS!$A$4:$A$724,ECONO!$Z$9:$Z$729)</f>
        <v>0</v>
      </c>
      <c r="CN89" s="260">
        <f t="shared" si="53"/>
        <v>0</v>
      </c>
      <c r="CO89"/>
    </row>
    <row r="90" spans="23:93" x14ac:dyDescent="0.3">
      <c r="AC90" s="1193">
        <f t="shared" si="41"/>
        <v>102</v>
      </c>
      <c r="AD90" s="844">
        <f>LOOKUP(TP!$A90,PROD!$A$5:$A$725,PROD!$O$5:$O$725)</f>
        <v>0</v>
      </c>
      <c r="AE90" s="101">
        <f>IFERROR(LOOKUP(Linea,TP!$B$3:$DE$3,TP!B90:DE90),0)</f>
        <v>0</v>
      </c>
      <c r="AF90" s="101">
        <f t="shared" si="58"/>
        <v>0</v>
      </c>
      <c r="AG90" s="101">
        <f t="shared" si="59"/>
        <v>0</v>
      </c>
      <c r="AH90" s="845">
        <f t="shared" si="42"/>
        <v>0</v>
      </c>
      <c r="AI90" s="846">
        <f>LOOKUP(TP!$A90,PROD!$A$5:$A$725,PROD!$O$6:$O$726)</f>
        <v>0</v>
      </c>
      <c r="AJ90" s="101">
        <f>IFERROR(LOOKUP(Linea,TP!$B$3:$DE$3,TP!C90:DF90),0)</f>
        <v>0</v>
      </c>
      <c r="AK90" s="101">
        <f t="shared" si="60"/>
        <v>0</v>
      </c>
      <c r="AL90" s="101">
        <f t="shared" si="61"/>
        <v>0</v>
      </c>
      <c r="AM90" s="837">
        <f t="shared" si="43"/>
        <v>0</v>
      </c>
      <c r="AN90" s="176">
        <f>LOOKUP(TP!$A90,PROD!$A$5:$A$725,PROD!$I$11:$I$731)</f>
        <v>0</v>
      </c>
      <c r="AO90" s="171">
        <f>LOOKUP(TP!$A90,PROD!$A$5:$A$725,PROD!$K$5:$K$725)*100</f>
        <v>0</v>
      </c>
      <c r="AP90" s="110">
        <f>LOOKUP(TP!$A90,PROD!$A$5:$A$725,PROD!$K$8:$K$728)*100</f>
        <v>0</v>
      </c>
      <c r="AQ90" s="110">
        <f t="shared" si="44"/>
        <v>100</v>
      </c>
      <c r="AR90" s="109">
        <f>IFERROR(LOOKUP(Linea,TP!$B$3:$DE$3,TP!D90:DG90),0)</f>
        <v>0</v>
      </c>
      <c r="AS90" s="838">
        <f>SUMIF(PROD!$BF$5:$BF$725,GSh!$BV90,PROD!$V$5:$V$725)/1000*PROD!$A$1</f>
        <v>0</v>
      </c>
      <c r="AT90" s="627">
        <f>LOOKUP(TP!$A90,PROD!$A$5:$A$725,PROD!$AD$5:$AD$725)</f>
        <v>0</v>
      </c>
      <c r="AU90" s="101">
        <f>IFERROR(LOOKUP(Linea,TP!$B$3:$DE$3,TP!E90:DH90),0)</f>
        <v>0</v>
      </c>
      <c r="AV90" s="847">
        <f t="shared" si="45"/>
        <v>0</v>
      </c>
      <c r="AW90" s="1081">
        <f>LOOKUP($BV90,PROD!$A$5:$A$725,PROD!$AE$10:$AE$730)</f>
        <v>0</v>
      </c>
      <c r="AX90" s="1076">
        <f>LOOKUP($BV90,PROD!$A$5:$A$725,PROD!$AE$11:$AE$731)</f>
        <v>0</v>
      </c>
      <c r="AY90" s="114">
        <f>'Pr-Sem'!Z90</f>
        <v>0</v>
      </c>
      <c r="AZ90" s="101">
        <f>IFERROR(LOOKUP(Linea,TP!$B$3:$DE$3,TP!F90:DI90),0)</f>
        <v>0</v>
      </c>
      <c r="BA90" s="840">
        <f>LOOKUP(TP!$A90,PROD!$A$5:$A$725,PROD!$Q$7:$Q$727)</f>
        <v>0</v>
      </c>
      <c r="BB90" s="118">
        <f t="shared" si="54"/>
        <v>0</v>
      </c>
      <c r="BC90" s="109">
        <f t="shared" si="55"/>
        <v>0</v>
      </c>
      <c r="BD90" s="125">
        <f>LOOKUP(TP!$A90,PROD!$A$5:$A$725,PROD!$AH$7:$AH$727)</f>
        <v>0</v>
      </c>
      <c r="BE90" s="101">
        <f t="shared" si="46"/>
        <v>0</v>
      </c>
      <c r="BF90" s="850">
        <f t="shared" si="47"/>
        <v>0</v>
      </c>
      <c r="BG90" s="129">
        <f>LOOKUP(TP!$A90,PROD!$A$5:$A$725,PROD!$AH$8:$AH$728)</f>
        <v>0</v>
      </c>
      <c r="BH90" s="101">
        <f t="shared" si="56"/>
        <v>0</v>
      </c>
      <c r="BI90" s="849">
        <f t="shared" si="48"/>
        <v>0</v>
      </c>
      <c r="BJ90" s="513">
        <f>'Pr-Sem'!AC90*10</f>
        <v>0</v>
      </c>
      <c r="BK90" s="514">
        <f>IFERROR(LOOKUP(Linea,TP!$B$3:$DE$3,TP!J90:DJ90),0)</f>
        <v>0</v>
      </c>
      <c r="BL90" s="848">
        <f t="shared" si="49"/>
        <v>0</v>
      </c>
      <c r="BM90" s="137">
        <f>LOOKUP($BV90,PROD!$A$5:$A$725,PROD!$AH$5:$AH$725)*IF($BM$5="Gr X H",1,100)</f>
        <v>0</v>
      </c>
      <c r="BN90" s="138">
        <f>LOOKUP($BV90,PROD!$A$5:$A$725,PROD!$AI$5:$AI$725)*IF($BM$5="Gr X H",1,100)</f>
        <v>0</v>
      </c>
      <c r="BO90" s="849">
        <f t="shared" si="50"/>
        <v>0</v>
      </c>
      <c r="BP90" s="137">
        <f>LOOKUP(BV90,PROD!$A$5:$A$725,PROD!$AH$6:$AH$726)*IF($BM$5="Gr X H",1,100)</f>
        <v>0</v>
      </c>
      <c r="BQ90" s="138">
        <f>LOOKUP($BV90,PROD!$A$5:$A$725,PROD!$AI$6:$AI$726)*IF($BM$5="Gr X H",1,100)</f>
        <v>0</v>
      </c>
      <c r="BR90" s="849">
        <f t="shared" si="51"/>
        <v>0</v>
      </c>
      <c r="BS90" s="137">
        <f>LOOKUP(TP!$A90,PROD!$A$5:$A$725,PROD!$AH$9:$AH$729)</f>
        <v>0</v>
      </c>
      <c r="BT90" s="138">
        <f>LOOKUP(TP!$A90,PROD!$A$5:$A$725,PROD!$AI$9:$AI$729)</f>
        <v>0</v>
      </c>
      <c r="BU90" s="849">
        <f t="shared" si="52"/>
        <v>0</v>
      </c>
      <c r="BV90" s="833">
        <f t="shared" si="57"/>
        <v>102</v>
      </c>
      <c r="BW90" s="191">
        <f ca="1">LOOKUP($BV90,INVENTARIOS!$A$4:$A$718,ECONO!$T$4:$T$724)*100</f>
        <v>0</v>
      </c>
      <c r="BX90" s="606">
        <f ca="1">LOOKUP($BV90,INVENTARIOS!$A$4:$A$718,ECONO!$T$5:$T$725)*100</f>
        <v>0</v>
      </c>
      <c r="BY90" s="606">
        <f ca="1">LOOKUP($BV90,INVENTARIOS!$A$4:$A$718,ECONO!$T$6:$T$726)*100</f>
        <v>0</v>
      </c>
      <c r="BZ90" s="606">
        <f ca="1">LOOKUP($BV90,INVENTARIOS!$A$4:$A$718,ECONO!$T$7:$T$727)*100</f>
        <v>0</v>
      </c>
      <c r="CA90" s="606">
        <f ca="1">LOOKUP($BV90,INVENTARIOS!$A$4:$A$718,ECONO!$T$8:$T$728)*100</f>
        <v>0</v>
      </c>
      <c r="CB90" s="606">
        <f ca="1">LOOKUP($BV90,INVENTARIOS!$A$4:$A$718,ECONO!$T$9:$T$729)*100</f>
        <v>0</v>
      </c>
      <c r="CC90" s="606">
        <f ca="1">LOOKUP($BV90,INVENTARIOS!$A$4:$A$718,ECONO!$T$10:$T$730)*100</f>
        <v>0</v>
      </c>
      <c r="CD90" s="99">
        <f ca="1">LOOKUP($BV90,INVENTARIOS!$A$4:$A$718,ECONO!$X$8:$X$728)*100</f>
        <v>0</v>
      </c>
      <c r="CE90" s="99">
        <f ca="1">LOOKUP($BV90,INVENTARIOS!$A$4:$A$718,ECONO!$X$9:$X$729)*100</f>
        <v>0</v>
      </c>
      <c r="CF90" s="192">
        <f ca="1">LOOKUP($BV90,INVENTARIOS!$A$4:$A$718,ECONO!$X$10:$X$730)*100</f>
        <v>0</v>
      </c>
      <c r="CG90" s="195">
        <f ca="1">LOOKUP(GSh!$BV90,INVENTARIOS!$A$4:$A$718,ECONO!$X$4:$X$724)*100</f>
        <v>0</v>
      </c>
      <c r="CH90" s="98">
        <f ca="1">LOOKUP(GSh!$BV90,INVENTARIOS!$A$4:$A$718,ECONO!$X$5:$X$725)*100</f>
        <v>0</v>
      </c>
      <c r="CI90" s="98">
        <f ca="1">LOOKUP(GSh!$BV90,INVENTARIOS!$A$4:$A$718,ECONO!$X$6:$X$726)*100</f>
        <v>0</v>
      </c>
      <c r="CJ90" s="194">
        <f ca="1">LOOKUP(GSh!$BV90,INVENTARIOS!$A$4:$A$718,ECONO!$X$7:$X$727)*100</f>
        <v>0</v>
      </c>
      <c r="CK90" s="34">
        <f>IF(OR(AO90&gt;0,AT90&gt;0,AD90&gt;0),TP!A90,CK89)</f>
        <v>0</v>
      </c>
      <c r="CL90" s="257">
        <f>LOOKUP($BV90,INVENTARIOS!$A$4:$A$724,ECONO!$O$10:$O$730)</f>
        <v>0</v>
      </c>
      <c r="CM90" s="258">
        <f>LOOKUP($BV90,INVENTARIOS!$A$4:$A$724,ECONO!$Z$9:$Z$729)</f>
        <v>0</v>
      </c>
      <c r="CN90" s="260">
        <f t="shared" si="53"/>
        <v>0</v>
      </c>
      <c r="CO90"/>
    </row>
    <row r="91" spans="23:93" x14ac:dyDescent="0.3">
      <c r="AC91" s="1193">
        <f t="shared" si="41"/>
        <v>103</v>
      </c>
      <c r="AD91" s="844">
        <f>LOOKUP(TP!$A91,PROD!$A$5:$A$725,PROD!$O$5:$O$725)</f>
        <v>0</v>
      </c>
      <c r="AE91" s="101">
        <f>IFERROR(LOOKUP(Linea,TP!$B$3:$DE$3,TP!B91:DE91),0)</f>
        <v>0</v>
      </c>
      <c r="AF91" s="101">
        <f t="shared" si="58"/>
        <v>0</v>
      </c>
      <c r="AG91" s="101">
        <f t="shared" si="59"/>
        <v>0</v>
      </c>
      <c r="AH91" s="845">
        <f t="shared" si="42"/>
        <v>0</v>
      </c>
      <c r="AI91" s="846">
        <f>LOOKUP(TP!$A91,PROD!$A$5:$A$725,PROD!$O$6:$O$726)</f>
        <v>0</v>
      </c>
      <c r="AJ91" s="101">
        <f>IFERROR(LOOKUP(Linea,TP!$B$3:$DE$3,TP!C91:DF91),0)</f>
        <v>0</v>
      </c>
      <c r="AK91" s="101">
        <f t="shared" si="60"/>
        <v>0</v>
      </c>
      <c r="AL91" s="101">
        <f t="shared" si="61"/>
        <v>0</v>
      </c>
      <c r="AM91" s="837">
        <f t="shared" si="43"/>
        <v>0</v>
      </c>
      <c r="AN91" s="176">
        <f>LOOKUP(TP!$A91,PROD!$A$5:$A$725,PROD!$I$11:$I$731)</f>
        <v>0</v>
      </c>
      <c r="AO91" s="171">
        <f>LOOKUP(TP!$A91,PROD!$A$5:$A$725,PROD!$K$5:$K$725)*100</f>
        <v>0</v>
      </c>
      <c r="AP91" s="110">
        <f>LOOKUP(TP!$A91,PROD!$A$5:$A$725,PROD!$K$8:$K$728)*100</f>
        <v>0</v>
      </c>
      <c r="AQ91" s="110">
        <f t="shared" si="44"/>
        <v>100</v>
      </c>
      <c r="AR91" s="109">
        <f>IFERROR(LOOKUP(Linea,TP!$B$3:$DE$3,TP!D91:DG91),0)</f>
        <v>0</v>
      </c>
      <c r="AS91" s="838">
        <f>SUMIF(PROD!$BF$5:$BF$725,GSh!$BV91,PROD!$V$5:$V$725)/1000*PROD!$A$1</f>
        <v>0</v>
      </c>
      <c r="AT91" s="627">
        <f>LOOKUP(TP!$A91,PROD!$A$5:$A$725,PROD!$AD$5:$AD$725)</f>
        <v>0</v>
      </c>
      <c r="AU91" s="101">
        <f>IFERROR(LOOKUP(Linea,TP!$B$3:$DE$3,TP!E91:DH91),0)</f>
        <v>0</v>
      </c>
      <c r="AV91" s="847">
        <f t="shared" si="45"/>
        <v>0</v>
      </c>
      <c r="AW91" s="1081">
        <f>LOOKUP($BV91,PROD!$A$5:$A$725,PROD!$AE$10:$AE$730)</f>
        <v>0</v>
      </c>
      <c r="AX91" s="1076">
        <f>LOOKUP($BV91,PROD!$A$5:$A$725,PROD!$AE$11:$AE$731)</f>
        <v>0</v>
      </c>
      <c r="AY91" s="114">
        <f>'Pr-Sem'!Z91</f>
        <v>0</v>
      </c>
      <c r="AZ91" s="101">
        <f>IFERROR(LOOKUP(Linea,TP!$B$3:$DE$3,TP!F91:DI91),0)</f>
        <v>0</v>
      </c>
      <c r="BA91" s="840">
        <f>LOOKUP(TP!$A91,PROD!$A$5:$A$725,PROD!$Q$7:$Q$727)</f>
        <v>0</v>
      </c>
      <c r="BB91" s="118">
        <f t="shared" si="54"/>
        <v>0</v>
      </c>
      <c r="BC91" s="109">
        <f t="shared" si="55"/>
        <v>0</v>
      </c>
      <c r="BD91" s="125">
        <f>LOOKUP(TP!$A91,PROD!$A$5:$A$725,PROD!$AH$7:$AH$727)</f>
        <v>0</v>
      </c>
      <c r="BE91" s="101">
        <f t="shared" si="46"/>
        <v>0</v>
      </c>
      <c r="BF91" s="850">
        <f t="shared" si="47"/>
        <v>0</v>
      </c>
      <c r="BG91" s="129">
        <f>LOOKUP(TP!$A91,PROD!$A$5:$A$725,PROD!$AH$8:$AH$728)</f>
        <v>0</v>
      </c>
      <c r="BH91" s="101">
        <f t="shared" si="56"/>
        <v>0</v>
      </c>
      <c r="BI91" s="849">
        <f t="shared" si="48"/>
        <v>0</v>
      </c>
      <c r="BJ91" s="513">
        <f>'Pr-Sem'!AC91*10</f>
        <v>0</v>
      </c>
      <c r="BK91" s="514">
        <f>IFERROR(LOOKUP(Linea,TP!$B$3:$DE$3,TP!J91:DJ91),0)</f>
        <v>0</v>
      </c>
      <c r="BL91" s="848">
        <f t="shared" si="49"/>
        <v>0</v>
      </c>
      <c r="BM91" s="137">
        <f>LOOKUP($BV91,PROD!$A$5:$A$725,PROD!$AH$5:$AH$725)*IF($BM$5="Gr X H",1,100)</f>
        <v>0</v>
      </c>
      <c r="BN91" s="138">
        <f>LOOKUP($BV91,PROD!$A$5:$A$725,PROD!$AI$5:$AI$725)*IF($BM$5="Gr X H",1,100)</f>
        <v>0</v>
      </c>
      <c r="BO91" s="849">
        <f t="shared" si="50"/>
        <v>0</v>
      </c>
      <c r="BP91" s="137">
        <f>LOOKUP(BV91,PROD!$A$5:$A$725,PROD!$AH$6:$AH$726)*IF($BM$5="Gr X H",1,100)</f>
        <v>0</v>
      </c>
      <c r="BQ91" s="138">
        <f>LOOKUP($BV91,PROD!$A$5:$A$725,PROD!$AI$6:$AI$726)*IF($BM$5="Gr X H",1,100)</f>
        <v>0</v>
      </c>
      <c r="BR91" s="849">
        <f t="shared" si="51"/>
        <v>0</v>
      </c>
      <c r="BS91" s="137">
        <f>LOOKUP(TP!$A91,PROD!$A$5:$A$725,PROD!$AH$9:$AH$729)</f>
        <v>0</v>
      </c>
      <c r="BT91" s="138">
        <f>LOOKUP(TP!$A91,PROD!$A$5:$A$725,PROD!$AI$9:$AI$729)</f>
        <v>0</v>
      </c>
      <c r="BU91" s="849">
        <f t="shared" si="52"/>
        <v>0</v>
      </c>
      <c r="BV91" s="833">
        <f t="shared" si="57"/>
        <v>103</v>
      </c>
      <c r="BW91" s="191">
        <f ca="1">LOOKUP($BV91,INVENTARIOS!$A$4:$A$718,ECONO!$T$4:$T$724)*100</f>
        <v>0</v>
      </c>
      <c r="BX91" s="606">
        <f ca="1">LOOKUP($BV91,INVENTARIOS!$A$4:$A$718,ECONO!$T$5:$T$725)*100</f>
        <v>0</v>
      </c>
      <c r="BY91" s="606">
        <f ca="1">LOOKUP($BV91,INVENTARIOS!$A$4:$A$718,ECONO!$T$6:$T$726)*100</f>
        <v>0</v>
      </c>
      <c r="BZ91" s="606">
        <f ca="1">LOOKUP($BV91,INVENTARIOS!$A$4:$A$718,ECONO!$T$7:$T$727)*100</f>
        <v>0</v>
      </c>
      <c r="CA91" s="606">
        <f ca="1">LOOKUP($BV91,INVENTARIOS!$A$4:$A$718,ECONO!$T$8:$T$728)*100</f>
        <v>0</v>
      </c>
      <c r="CB91" s="606">
        <f ca="1">LOOKUP($BV91,INVENTARIOS!$A$4:$A$718,ECONO!$T$9:$T$729)*100</f>
        <v>0</v>
      </c>
      <c r="CC91" s="606">
        <f ca="1">LOOKUP($BV91,INVENTARIOS!$A$4:$A$718,ECONO!$T$10:$T$730)*100</f>
        <v>0</v>
      </c>
      <c r="CD91" s="99">
        <f ca="1">LOOKUP($BV91,INVENTARIOS!$A$4:$A$718,ECONO!$X$8:$X$728)*100</f>
        <v>0</v>
      </c>
      <c r="CE91" s="99">
        <f ca="1">LOOKUP($BV91,INVENTARIOS!$A$4:$A$718,ECONO!$X$9:$X$729)*100</f>
        <v>0</v>
      </c>
      <c r="CF91" s="192">
        <f ca="1">LOOKUP($BV91,INVENTARIOS!$A$4:$A$718,ECONO!$X$10:$X$730)*100</f>
        <v>0</v>
      </c>
      <c r="CG91" s="195">
        <f ca="1">LOOKUP(GSh!$BV91,INVENTARIOS!$A$4:$A$718,ECONO!$X$4:$X$724)*100</f>
        <v>0</v>
      </c>
      <c r="CH91" s="98">
        <f ca="1">LOOKUP(GSh!$BV91,INVENTARIOS!$A$4:$A$718,ECONO!$X$5:$X$725)*100</f>
        <v>0</v>
      </c>
      <c r="CI91" s="98">
        <f ca="1">LOOKUP(GSh!$BV91,INVENTARIOS!$A$4:$A$718,ECONO!$X$6:$X$726)*100</f>
        <v>0</v>
      </c>
      <c r="CJ91" s="194">
        <f ca="1">LOOKUP(GSh!$BV91,INVENTARIOS!$A$4:$A$718,ECONO!$X$7:$X$727)*100</f>
        <v>0</v>
      </c>
      <c r="CK91" s="34">
        <f>IF(OR(AO91&gt;0,AT91&gt;0,AD91&gt;0),TP!A91,CK90)</f>
        <v>0</v>
      </c>
      <c r="CL91" s="257">
        <f>LOOKUP($BV91,INVENTARIOS!$A$4:$A$724,ECONO!$O$10:$O$730)</f>
        <v>0</v>
      </c>
      <c r="CM91" s="258">
        <f>LOOKUP($BV91,INVENTARIOS!$A$4:$A$724,ECONO!$Z$9:$Z$729)</f>
        <v>0</v>
      </c>
      <c r="CN91" s="260">
        <f t="shared" si="53"/>
        <v>0</v>
      </c>
      <c r="CO91"/>
    </row>
    <row r="92" spans="23:93" x14ac:dyDescent="0.3">
      <c r="AC92" s="1193">
        <f t="shared" si="41"/>
        <v>104</v>
      </c>
      <c r="AD92" s="844">
        <f>LOOKUP(TP!$A92,PROD!$A$5:$A$725,PROD!$O$5:$O$725)</f>
        <v>0</v>
      </c>
      <c r="AE92" s="101">
        <f>IFERROR(LOOKUP(Linea,TP!$B$3:$DE$3,TP!B92:DE92),0)</f>
        <v>0</v>
      </c>
      <c r="AF92" s="101">
        <f t="shared" si="58"/>
        <v>0</v>
      </c>
      <c r="AG92" s="101">
        <f t="shared" si="59"/>
        <v>0</v>
      </c>
      <c r="AH92" s="845">
        <f t="shared" si="42"/>
        <v>0</v>
      </c>
      <c r="AI92" s="846">
        <f>LOOKUP(TP!$A92,PROD!$A$5:$A$725,PROD!$O$6:$O$726)</f>
        <v>0</v>
      </c>
      <c r="AJ92" s="101">
        <f>IFERROR(LOOKUP(Linea,TP!$B$3:$DE$3,TP!C92:DF92),0)</f>
        <v>0</v>
      </c>
      <c r="AK92" s="101">
        <f t="shared" si="60"/>
        <v>0</v>
      </c>
      <c r="AL92" s="101">
        <f t="shared" si="61"/>
        <v>0</v>
      </c>
      <c r="AM92" s="837">
        <f t="shared" si="43"/>
        <v>0</v>
      </c>
      <c r="AN92" s="176">
        <f>LOOKUP(TP!$A92,PROD!$A$5:$A$725,PROD!$I$11:$I$731)</f>
        <v>0</v>
      </c>
      <c r="AO92" s="171">
        <f>LOOKUP(TP!$A92,PROD!$A$5:$A$725,PROD!$K$5:$K$725)*100</f>
        <v>0</v>
      </c>
      <c r="AP92" s="110">
        <f>LOOKUP(TP!$A92,PROD!$A$5:$A$725,PROD!$K$8:$K$728)*100</f>
        <v>0</v>
      </c>
      <c r="AQ92" s="110">
        <f t="shared" si="44"/>
        <v>100</v>
      </c>
      <c r="AR92" s="109">
        <f>IFERROR(LOOKUP(Linea,TP!$B$3:$DE$3,TP!D92:DG92),0)</f>
        <v>0</v>
      </c>
      <c r="AS92" s="838">
        <f>SUMIF(PROD!$BF$5:$BF$725,GSh!$BV92,PROD!$V$5:$V$725)/1000*PROD!$A$1</f>
        <v>0</v>
      </c>
      <c r="AT92" s="627">
        <f>LOOKUP(TP!$A92,PROD!$A$5:$A$725,PROD!$AD$5:$AD$725)</f>
        <v>0</v>
      </c>
      <c r="AU92" s="101">
        <f>IFERROR(LOOKUP(Linea,TP!$B$3:$DE$3,TP!E92:DH92),0)</f>
        <v>0</v>
      </c>
      <c r="AV92" s="847">
        <f t="shared" si="45"/>
        <v>0</v>
      </c>
      <c r="AW92" s="1081">
        <f>LOOKUP($BV92,PROD!$A$5:$A$725,PROD!$AE$10:$AE$730)</f>
        <v>0</v>
      </c>
      <c r="AX92" s="1076">
        <f>LOOKUP($BV92,PROD!$A$5:$A$725,PROD!$AE$11:$AE$731)</f>
        <v>0</v>
      </c>
      <c r="AY92" s="114">
        <f>'Pr-Sem'!Z92</f>
        <v>0</v>
      </c>
      <c r="AZ92" s="101">
        <f>IFERROR(LOOKUP(Linea,TP!$B$3:$DE$3,TP!F92:DI92),0)</f>
        <v>0</v>
      </c>
      <c r="BA92" s="840">
        <f>LOOKUP(TP!$A92,PROD!$A$5:$A$725,PROD!$Q$7:$Q$727)</f>
        <v>0</v>
      </c>
      <c r="BB92" s="118">
        <f t="shared" si="54"/>
        <v>0</v>
      </c>
      <c r="BC92" s="109">
        <f t="shared" si="55"/>
        <v>0</v>
      </c>
      <c r="BD92" s="125">
        <f>LOOKUP(TP!$A92,PROD!$A$5:$A$725,PROD!$AH$7:$AH$727)</f>
        <v>0</v>
      </c>
      <c r="BE92" s="101">
        <f t="shared" si="46"/>
        <v>0</v>
      </c>
      <c r="BF92" s="850">
        <f t="shared" si="47"/>
        <v>0</v>
      </c>
      <c r="BG92" s="129">
        <f>LOOKUP(TP!$A92,PROD!$A$5:$A$725,PROD!$AH$8:$AH$728)</f>
        <v>0</v>
      </c>
      <c r="BH92" s="101">
        <f t="shared" si="56"/>
        <v>0</v>
      </c>
      <c r="BI92" s="849">
        <f t="shared" si="48"/>
        <v>0</v>
      </c>
      <c r="BJ92" s="513">
        <f>'Pr-Sem'!AC92*10</f>
        <v>0</v>
      </c>
      <c r="BK92" s="514">
        <f>IFERROR(LOOKUP(Linea,TP!$B$3:$DE$3,TP!J92:DJ92),0)</f>
        <v>0</v>
      </c>
      <c r="BL92" s="848">
        <f t="shared" si="49"/>
        <v>0</v>
      </c>
      <c r="BM92" s="137">
        <f>LOOKUP($BV92,PROD!$A$5:$A$725,PROD!$AH$5:$AH$725)*IF($BM$5="Gr X H",1,100)</f>
        <v>0</v>
      </c>
      <c r="BN92" s="138">
        <f>LOOKUP($BV92,PROD!$A$5:$A$725,PROD!$AI$5:$AI$725)*IF($BM$5="Gr X H",1,100)</f>
        <v>0</v>
      </c>
      <c r="BO92" s="849">
        <f t="shared" si="50"/>
        <v>0</v>
      </c>
      <c r="BP92" s="137">
        <f>LOOKUP(BV92,PROD!$A$5:$A$725,PROD!$AH$6:$AH$726)*IF($BM$5="Gr X H",1,100)</f>
        <v>0</v>
      </c>
      <c r="BQ92" s="138">
        <f>LOOKUP($BV92,PROD!$A$5:$A$725,PROD!$AI$6:$AI$726)*IF($BM$5="Gr X H",1,100)</f>
        <v>0</v>
      </c>
      <c r="BR92" s="849">
        <f t="shared" si="51"/>
        <v>0</v>
      </c>
      <c r="BS92" s="137">
        <f>LOOKUP(TP!$A92,PROD!$A$5:$A$725,PROD!$AH$9:$AH$729)</f>
        <v>0</v>
      </c>
      <c r="BT92" s="138">
        <f>LOOKUP(TP!$A92,PROD!$A$5:$A$725,PROD!$AI$9:$AI$729)</f>
        <v>0</v>
      </c>
      <c r="BU92" s="849">
        <f t="shared" si="52"/>
        <v>0</v>
      </c>
      <c r="BV92" s="833">
        <f t="shared" si="57"/>
        <v>104</v>
      </c>
      <c r="BW92" s="191">
        <f ca="1">LOOKUP($BV92,INVENTARIOS!$A$4:$A$718,ECONO!$T$4:$T$724)*100</f>
        <v>0</v>
      </c>
      <c r="BX92" s="606">
        <f ca="1">LOOKUP($BV92,INVENTARIOS!$A$4:$A$718,ECONO!$T$5:$T$725)*100</f>
        <v>0</v>
      </c>
      <c r="BY92" s="606">
        <f ca="1">LOOKUP($BV92,INVENTARIOS!$A$4:$A$718,ECONO!$T$6:$T$726)*100</f>
        <v>0</v>
      </c>
      <c r="BZ92" s="606">
        <f ca="1">LOOKUP($BV92,INVENTARIOS!$A$4:$A$718,ECONO!$T$7:$T$727)*100</f>
        <v>0</v>
      </c>
      <c r="CA92" s="606">
        <f ca="1">LOOKUP($BV92,INVENTARIOS!$A$4:$A$718,ECONO!$T$8:$T$728)*100</f>
        <v>0</v>
      </c>
      <c r="CB92" s="606">
        <f ca="1">LOOKUP($BV92,INVENTARIOS!$A$4:$A$718,ECONO!$T$9:$T$729)*100</f>
        <v>0</v>
      </c>
      <c r="CC92" s="606">
        <f ca="1">LOOKUP($BV92,INVENTARIOS!$A$4:$A$718,ECONO!$T$10:$T$730)*100</f>
        <v>0</v>
      </c>
      <c r="CD92" s="99">
        <f ca="1">LOOKUP($BV92,INVENTARIOS!$A$4:$A$718,ECONO!$X$8:$X$728)*100</f>
        <v>0</v>
      </c>
      <c r="CE92" s="99">
        <f ca="1">LOOKUP($BV92,INVENTARIOS!$A$4:$A$718,ECONO!$X$9:$X$729)*100</f>
        <v>0</v>
      </c>
      <c r="CF92" s="192">
        <f ca="1">LOOKUP($BV92,INVENTARIOS!$A$4:$A$718,ECONO!$X$10:$X$730)*100</f>
        <v>0</v>
      </c>
      <c r="CG92" s="195">
        <f ca="1">LOOKUP(GSh!$BV92,INVENTARIOS!$A$4:$A$718,ECONO!$X$4:$X$724)*100</f>
        <v>0</v>
      </c>
      <c r="CH92" s="98">
        <f ca="1">LOOKUP(GSh!$BV92,INVENTARIOS!$A$4:$A$718,ECONO!$X$5:$X$725)*100</f>
        <v>0</v>
      </c>
      <c r="CI92" s="98">
        <f ca="1">LOOKUP(GSh!$BV92,INVENTARIOS!$A$4:$A$718,ECONO!$X$6:$X$726)*100</f>
        <v>0</v>
      </c>
      <c r="CJ92" s="194">
        <f ca="1">LOOKUP(GSh!$BV92,INVENTARIOS!$A$4:$A$718,ECONO!$X$7:$X$727)*100</f>
        <v>0</v>
      </c>
      <c r="CK92" s="34">
        <f>IF(OR(AO92&gt;0,AT92&gt;0,AD92&gt;0),TP!A92,CK91)</f>
        <v>0</v>
      </c>
      <c r="CL92" s="257">
        <f>LOOKUP($BV92,INVENTARIOS!$A$4:$A$724,ECONO!$O$10:$O$730)</f>
        <v>0</v>
      </c>
      <c r="CM92" s="258">
        <f>LOOKUP($BV92,INVENTARIOS!$A$4:$A$724,ECONO!$Z$9:$Z$729)</f>
        <v>0</v>
      </c>
      <c r="CN92" s="260">
        <f t="shared" si="53"/>
        <v>0</v>
      </c>
      <c r="CO92"/>
    </row>
    <row r="93" spans="23:93" x14ac:dyDescent="0.3">
      <c r="AC93" s="1193">
        <f t="shared" si="41"/>
        <v>105</v>
      </c>
      <c r="AD93" s="844">
        <f>LOOKUP(TP!$A93,PROD!$A$5:$A$725,PROD!$O$5:$O$725)</f>
        <v>0</v>
      </c>
      <c r="AE93" s="101">
        <f>IFERROR(LOOKUP(Linea,TP!$B$3:$DE$3,TP!B93:DE93),0)</f>
        <v>0</v>
      </c>
      <c r="AF93" s="101">
        <f t="shared" si="58"/>
        <v>0</v>
      </c>
      <c r="AG93" s="101">
        <f t="shared" si="59"/>
        <v>0</v>
      </c>
      <c r="AH93" s="845">
        <f t="shared" si="42"/>
        <v>0</v>
      </c>
      <c r="AI93" s="846">
        <f>LOOKUP(TP!$A93,PROD!$A$5:$A$725,PROD!$O$6:$O$726)</f>
        <v>0</v>
      </c>
      <c r="AJ93" s="101">
        <f>IFERROR(LOOKUP(Linea,TP!$B$3:$DE$3,TP!C93:DF93),0)</f>
        <v>0</v>
      </c>
      <c r="AK93" s="101">
        <f t="shared" si="60"/>
        <v>0</v>
      </c>
      <c r="AL93" s="101">
        <f t="shared" si="61"/>
        <v>0</v>
      </c>
      <c r="AM93" s="837">
        <f t="shared" si="43"/>
        <v>0</v>
      </c>
      <c r="AN93" s="176">
        <f>LOOKUP(TP!$A93,PROD!$A$5:$A$725,PROD!$I$11:$I$731)</f>
        <v>0</v>
      </c>
      <c r="AO93" s="171">
        <f>LOOKUP(TP!$A93,PROD!$A$5:$A$725,PROD!$K$5:$K$725)*100</f>
        <v>0</v>
      </c>
      <c r="AP93" s="110">
        <f>LOOKUP(TP!$A93,PROD!$A$5:$A$725,PROD!$K$8:$K$728)*100</f>
        <v>0</v>
      </c>
      <c r="AQ93" s="110">
        <f t="shared" si="44"/>
        <v>100</v>
      </c>
      <c r="AR93" s="109">
        <f>IFERROR(LOOKUP(Linea,TP!$B$3:$DE$3,TP!D93:DG93),0)</f>
        <v>0</v>
      </c>
      <c r="AS93" s="838">
        <f>SUMIF(PROD!$BF$5:$BF$725,GSh!$BV93,PROD!$V$5:$V$725)/1000*PROD!$A$1</f>
        <v>0</v>
      </c>
      <c r="AT93" s="627">
        <f>LOOKUP(TP!$A93,PROD!$A$5:$A$725,PROD!$AD$5:$AD$725)</f>
        <v>0</v>
      </c>
      <c r="AU93" s="101">
        <f>IFERROR(LOOKUP(Linea,TP!$B$3:$DE$3,TP!E93:DH93),0)</f>
        <v>0</v>
      </c>
      <c r="AV93" s="847">
        <f t="shared" si="45"/>
        <v>0</v>
      </c>
      <c r="AW93" s="1081">
        <f>LOOKUP($BV93,PROD!$A$5:$A$725,PROD!$AE$10:$AE$730)</f>
        <v>0</v>
      </c>
      <c r="AX93" s="1076">
        <f>LOOKUP($BV93,PROD!$A$5:$A$725,PROD!$AE$11:$AE$731)</f>
        <v>0</v>
      </c>
      <c r="AY93" s="114">
        <f>'Pr-Sem'!Z93</f>
        <v>0</v>
      </c>
      <c r="AZ93" s="101">
        <f>IFERROR(LOOKUP(Linea,TP!$B$3:$DE$3,TP!F93:DI93),0)</f>
        <v>0</v>
      </c>
      <c r="BA93" s="840">
        <f>LOOKUP(TP!$A93,PROD!$A$5:$A$725,PROD!$Q$7:$Q$727)</f>
        <v>0</v>
      </c>
      <c r="BB93" s="118">
        <f t="shared" si="54"/>
        <v>0</v>
      </c>
      <c r="BC93" s="109">
        <f t="shared" si="55"/>
        <v>0</v>
      </c>
      <c r="BD93" s="125">
        <f>LOOKUP(TP!$A93,PROD!$A$5:$A$725,PROD!$AH$7:$AH$727)</f>
        <v>0</v>
      </c>
      <c r="BE93" s="101">
        <f t="shared" si="46"/>
        <v>0</v>
      </c>
      <c r="BF93" s="850">
        <f t="shared" si="47"/>
        <v>0</v>
      </c>
      <c r="BG93" s="129">
        <f>LOOKUP(TP!$A93,PROD!$A$5:$A$725,PROD!$AH$8:$AH$728)</f>
        <v>0</v>
      </c>
      <c r="BH93" s="101">
        <f t="shared" si="56"/>
        <v>0</v>
      </c>
      <c r="BI93" s="849">
        <f t="shared" si="48"/>
        <v>0</v>
      </c>
      <c r="BJ93" s="513">
        <f>'Pr-Sem'!AC93*10</f>
        <v>0</v>
      </c>
      <c r="BK93" s="514">
        <f>IFERROR(LOOKUP(Linea,TP!$B$3:$DE$3,TP!J93:DJ93),0)</f>
        <v>0</v>
      </c>
      <c r="BL93" s="848">
        <f t="shared" si="49"/>
        <v>0</v>
      </c>
      <c r="BM93" s="137">
        <f>LOOKUP($BV93,PROD!$A$5:$A$725,PROD!$AH$5:$AH$725)*IF($BM$5="Gr X H",1,100)</f>
        <v>0</v>
      </c>
      <c r="BN93" s="138">
        <f>LOOKUP($BV93,PROD!$A$5:$A$725,PROD!$AI$5:$AI$725)*IF($BM$5="Gr X H",1,100)</f>
        <v>0</v>
      </c>
      <c r="BO93" s="849">
        <f t="shared" si="50"/>
        <v>0</v>
      </c>
      <c r="BP93" s="137">
        <f>LOOKUP(BV93,PROD!$A$5:$A$725,PROD!$AH$6:$AH$726)*IF($BM$5="Gr X H",1,100)</f>
        <v>0</v>
      </c>
      <c r="BQ93" s="138">
        <f>LOOKUP($BV93,PROD!$A$5:$A$725,PROD!$AI$6:$AI$726)*IF($BM$5="Gr X H",1,100)</f>
        <v>0</v>
      </c>
      <c r="BR93" s="849">
        <f t="shared" si="51"/>
        <v>0</v>
      </c>
      <c r="BS93" s="137">
        <f>LOOKUP(TP!$A93,PROD!$A$5:$A$725,PROD!$AH$9:$AH$729)</f>
        <v>0</v>
      </c>
      <c r="BT93" s="138">
        <f>LOOKUP(TP!$A93,PROD!$A$5:$A$725,PROD!$AI$9:$AI$729)</f>
        <v>0</v>
      </c>
      <c r="BU93" s="849">
        <f t="shared" si="52"/>
        <v>0</v>
      </c>
      <c r="BV93" s="833">
        <f t="shared" si="57"/>
        <v>105</v>
      </c>
      <c r="BW93" s="191">
        <f ca="1">LOOKUP($BV93,INVENTARIOS!$A$4:$A$718,ECONO!$T$4:$T$724)*100</f>
        <v>0</v>
      </c>
      <c r="BX93" s="606">
        <f ca="1">LOOKUP($BV93,INVENTARIOS!$A$4:$A$718,ECONO!$T$5:$T$725)*100</f>
        <v>0</v>
      </c>
      <c r="BY93" s="606">
        <f ca="1">LOOKUP($BV93,INVENTARIOS!$A$4:$A$718,ECONO!$T$6:$T$726)*100</f>
        <v>0</v>
      </c>
      <c r="BZ93" s="606">
        <f ca="1">LOOKUP($BV93,INVENTARIOS!$A$4:$A$718,ECONO!$T$7:$T$727)*100</f>
        <v>0</v>
      </c>
      <c r="CA93" s="606">
        <f ca="1">LOOKUP($BV93,INVENTARIOS!$A$4:$A$718,ECONO!$T$8:$T$728)*100</f>
        <v>0</v>
      </c>
      <c r="CB93" s="606">
        <f ca="1">LOOKUP($BV93,INVENTARIOS!$A$4:$A$718,ECONO!$T$9:$T$729)*100</f>
        <v>0</v>
      </c>
      <c r="CC93" s="606">
        <f ca="1">LOOKUP($BV93,INVENTARIOS!$A$4:$A$718,ECONO!$T$10:$T$730)*100</f>
        <v>0</v>
      </c>
      <c r="CD93" s="99">
        <f ca="1">LOOKUP($BV93,INVENTARIOS!$A$4:$A$718,ECONO!$X$8:$X$728)*100</f>
        <v>0</v>
      </c>
      <c r="CE93" s="99">
        <f ca="1">LOOKUP($BV93,INVENTARIOS!$A$4:$A$718,ECONO!$X$9:$X$729)*100</f>
        <v>0</v>
      </c>
      <c r="CF93" s="192">
        <f ca="1">LOOKUP($BV93,INVENTARIOS!$A$4:$A$718,ECONO!$X$10:$X$730)*100</f>
        <v>0</v>
      </c>
      <c r="CG93" s="195">
        <f ca="1">LOOKUP(GSh!$BV93,INVENTARIOS!$A$4:$A$718,ECONO!$X$4:$X$724)*100</f>
        <v>0</v>
      </c>
      <c r="CH93" s="98">
        <f ca="1">LOOKUP(GSh!$BV93,INVENTARIOS!$A$4:$A$718,ECONO!$X$5:$X$725)*100</f>
        <v>0</v>
      </c>
      <c r="CI93" s="98">
        <f ca="1">LOOKUP(GSh!$BV93,INVENTARIOS!$A$4:$A$718,ECONO!$X$6:$X$726)*100</f>
        <v>0</v>
      </c>
      <c r="CJ93" s="194">
        <f ca="1">LOOKUP(GSh!$BV93,INVENTARIOS!$A$4:$A$718,ECONO!$X$7:$X$727)*100</f>
        <v>0</v>
      </c>
      <c r="CK93" s="34">
        <f>IF(OR(AO93&gt;0,AT93&gt;0,AD93&gt;0),TP!A93,CK92)</f>
        <v>0</v>
      </c>
      <c r="CL93" s="257">
        <f>LOOKUP($BV93,INVENTARIOS!$A$4:$A$724,ECONO!$O$10:$O$730)</f>
        <v>0</v>
      </c>
      <c r="CM93" s="258">
        <f>LOOKUP($BV93,INVENTARIOS!$A$4:$A$724,ECONO!$Z$9:$Z$729)</f>
        <v>0</v>
      </c>
      <c r="CN93" s="260">
        <f t="shared" si="53"/>
        <v>0</v>
      </c>
      <c r="CO93"/>
    </row>
    <row r="94" spans="23:93" x14ac:dyDescent="0.3">
      <c r="AC94" s="1193">
        <f t="shared" si="41"/>
        <v>106</v>
      </c>
      <c r="AD94" s="844">
        <f>LOOKUP(TP!$A94,PROD!$A$5:$A$725,PROD!$O$5:$O$725)</f>
        <v>0</v>
      </c>
      <c r="AE94" s="101">
        <f>IFERROR(LOOKUP(Linea,TP!$B$3:$DE$3,TP!B94:DE94),0)</f>
        <v>0</v>
      </c>
      <c r="AF94" s="101">
        <f t="shared" si="58"/>
        <v>0</v>
      </c>
      <c r="AG94" s="101">
        <f t="shared" si="59"/>
        <v>0</v>
      </c>
      <c r="AH94" s="845">
        <f t="shared" si="42"/>
        <v>0</v>
      </c>
      <c r="AI94" s="846">
        <f>LOOKUP(TP!$A94,PROD!$A$5:$A$725,PROD!$O$6:$O$726)</f>
        <v>0</v>
      </c>
      <c r="AJ94" s="101">
        <f>IFERROR(LOOKUP(Linea,TP!$B$3:$DE$3,TP!C94:DF94),0)</f>
        <v>0</v>
      </c>
      <c r="AK94" s="101">
        <f t="shared" si="60"/>
        <v>0</v>
      </c>
      <c r="AL94" s="101">
        <f t="shared" si="61"/>
        <v>0</v>
      </c>
      <c r="AM94" s="837">
        <f t="shared" si="43"/>
        <v>0</v>
      </c>
      <c r="AN94" s="176">
        <f>LOOKUP(TP!$A94,PROD!$A$5:$A$725,PROD!$I$11:$I$731)</f>
        <v>0</v>
      </c>
      <c r="AO94" s="171">
        <f>LOOKUP(TP!$A94,PROD!$A$5:$A$725,PROD!$K$5:$K$725)*100</f>
        <v>0</v>
      </c>
      <c r="AP94" s="110">
        <f>LOOKUP(TP!$A94,PROD!$A$5:$A$725,PROD!$K$8:$K$728)*100</f>
        <v>0</v>
      </c>
      <c r="AQ94" s="110">
        <f t="shared" si="44"/>
        <v>100</v>
      </c>
      <c r="AR94" s="109">
        <f>IFERROR(LOOKUP(Linea,TP!$B$3:$DE$3,TP!D94:DG94),0)</f>
        <v>0</v>
      </c>
      <c r="AS94" s="838">
        <f>SUMIF(PROD!$BF$5:$BF$725,GSh!$BV94,PROD!$V$5:$V$725)/1000*PROD!$A$1</f>
        <v>0</v>
      </c>
      <c r="AT94" s="627">
        <f>LOOKUP(TP!$A94,PROD!$A$5:$A$725,PROD!$AD$5:$AD$725)</f>
        <v>0</v>
      </c>
      <c r="AU94" s="101">
        <f>IFERROR(LOOKUP(Linea,TP!$B$3:$DE$3,TP!E94:DH94),0)</f>
        <v>0</v>
      </c>
      <c r="AV94" s="847">
        <f t="shared" si="45"/>
        <v>0</v>
      </c>
      <c r="AW94" s="1081">
        <f>LOOKUP($BV94,PROD!$A$5:$A$725,PROD!$AE$10:$AE$730)</f>
        <v>0</v>
      </c>
      <c r="AX94" s="1076">
        <f>LOOKUP($BV94,PROD!$A$5:$A$725,PROD!$AE$11:$AE$731)</f>
        <v>0</v>
      </c>
      <c r="AY94" s="114">
        <f>'Pr-Sem'!Z94</f>
        <v>0</v>
      </c>
      <c r="AZ94" s="101">
        <f>IFERROR(LOOKUP(Linea,TP!$B$3:$DE$3,TP!F94:DI94),0)</f>
        <v>0</v>
      </c>
      <c r="BA94" s="840">
        <f>LOOKUP(TP!$A94,PROD!$A$5:$A$725,PROD!$Q$7:$Q$727)</f>
        <v>0</v>
      </c>
      <c r="BB94" s="118">
        <f t="shared" si="54"/>
        <v>0</v>
      </c>
      <c r="BC94" s="109">
        <f t="shared" si="55"/>
        <v>0</v>
      </c>
      <c r="BD94" s="125">
        <f>LOOKUP(TP!$A94,PROD!$A$5:$A$725,PROD!$AH$7:$AH$727)</f>
        <v>0</v>
      </c>
      <c r="BE94" s="101">
        <f t="shared" si="46"/>
        <v>0</v>
      </c>
      <c r="BF94" s="850">
        <f t="shared" si="47"/>
        <v>0</v>
      </c>
      <c r="BG94" s="129">
        <f>LOOKUP(TP!$A94,PROD!$A$5:$A$725,PROD!$AH$8:$AH$728)</f>
        <v>0</v>
      </c>
      <c r="BH94" s="101">
        <f t="shared" si="56"/>
        <v>0</v>
      </c>
      <c r="BI94" s="849">
        <f t="shared" si="48"/>
        <v>0</v>
      </c>
      <c r="BJ94" s="513">
        <f>'Pr-Sem'!AC94*10</f>
        <v>0</v>
      </c>
      <c r="BK94" s="514">
        <f>IFERROR(LOOKUP(Linea,TP!$B$3:$DE$3,TP!J94:DJ94),0)</f>
        <v>0</v>
      </c>
      <c r="BL94" s="848">
        <f t="shared" si="49"/>
        <v>0</v>
      </c>
      <c r="BM94" s="137">
        <f>LOOKUP($BV94,PROD!$A$5:$A$725,PROD!$AH$5:$AH$725)*IF($BM$5="Gr X H",1,100)</f>
        <v>0</v>
      </c>
      <c r="BN94" s="138">
        <f>LOOKUP($BV94,PROD!$A$5:$A$725,PROD!$AI$5:$AI$725)*IF($BM$5="Gr X H",1,100)</f>
        <v>0</v>
      </c>
      <c r="BO94" s="849">
        <f t="shared" si="50"/>
        <v>0</v>
      </c>
      <c r="BP94" s="137">
        <f>LOOKUP(BV94,PROD!$A$5:$A$725,PROD!$AH$6:$AH$726)*IF($BM$5="Gr X H",1,100)</f>
        <v>0</v>
      </c>
      <c r="BQ94" s="138">
        <f>LOOKUP($BV94,PROD!$A$5:$A$725,PROD!$AI$6:$AI$726)*IF($BM$5="Gr X H",1,100)</f>
        <v>0</v>
      </c>
      <c r="BR94" s="849">
        <f t="shared" si="51"/>
        <v>0</v>
      </c>
      <c r="BS94" s="137">
        <f>LOOKUP(TP!$A94,PROD!$A$5:$A$725,PROD!$AH$9:$AH$729)</f>
        <v>0</v>
      </c>
      <c r="BT94" s="138">
        <f>LOOKUP(TP!$A94,PROD!$A$5:$A$725,PROD!$AI$9:$AI$729)</f>
        <v>0</v>
      </c>
      <c r="BU94" s="849">
        <f t="shared" si="52"/>
        <v>0</v>
      </c>
      <c r="BV94" s="833">
        <f t="shared" si="57"/>
        <v>106</v>
      </c>
      <c r="BW94" s="191">
        <f ca="1">LOOKUP($BV94,INVENTARIOS!$A$4:$A$718,ECONO!$T$4:$T$724)*100</f>
        <v>0</v>
      </c>
      <c r="BX94" s="606">
        <f ca="1">LOOKUP($BV94,INVENTARIOS!$A$4:$A$718,ECONO!$T$5:$T$725)*100</f>
        <v>0</v>
      </c>
      <c r="BY94" s="606">
        <f ca="1">LOOKUP($BV94,INVENTARIOS!$A$4:$A$718,ECONO!$T$6:$T$726)*100</f>
        <v>0</v>
      </c>
      <c r="BZ94" s="606">
        <f ca="1">LOOKUP($BV94,INVENTARIOS!$A$4:$A$718,ECONO!$T$7:$T$727)*100</f>
        <v>0</v>
      </c>
      <c r="CA94" s="606">
        <f ca="1">LOOKUP($BV94,INVENTARIOS!$A$4:$A$718,ECONO!$T$8:$T$728)*100</f>
        <v>0</v>
      </c>
      <c r="CB94" s="606">
        <f ca="1">LOOKUP($BV94,INVENTARIOS!$A$4:$A$718,ECONO!$T$9:$T$729)*100</f>
        <v>0</v>
      </c>
      <c r="CC94" s="606">
        <f ca="1">LOOKUP($BV94,INVENTARIOS!$A$4:$A$718,ECONO!$T$10:$T$730)*100</f>
        <v>0</v>
      </c>
      <c r="CD94" s="99">
        <f ca="1">LOOKUP($BV94,INVENTARIOS!$A$4:$A$718,ECONO!$X$8:$X$728)*100</f>
        <v>0</v>
      </c>
      <c r="CE94" s="99">
        <f ca="1">LOOKUP($BV94,INVENTARIOS!$A$4:$A$718,ECONO!$X$9:$X$729)*100</f>
        <v>0</v>
      </c>
      <c r="CF94" s="192">
        <f ca="1">LOOKUP($BV94,INVENTARIOS!$A$4:$A$718,ECONO!$X$10:$X$730)*100</f>
        <v>0</v>
      </c>
      <c r="CG94" s="195">
        <f ca="1">LOOKUP(GSh!$BV94,INVENTARIOS!$A$4:$A$718,ECONO!$X$4:$X$724)*100</f>
        <v>0</v>
      </c>
      <c r="CH94" s="98">
        <f ca="1">LOOKUP(GSh!$BV94,INVENTARIOS!$A$4:$A$718,ECONO!$X$5:$X$725)*100</f>
        <v>0</v>
      </c>
      <c r="CI94" s="98">
        <f ca="1">LOOKUP(GSh!$BV94,INVENTARIOS!$A$4:$A$718,ECONO!$X$6:$X$726)*100</f>
        <v>0</v>
      </c>
      <c r="CJ94" s="194">
        <f ca="1">LOOKUP(GSh!$BV94,INVENTARIOS!$A$4:$A$718,ECONO!$X$7:$X$727)*100</f>
        <v>0</v>
      </c>
      <c r="CK94" s="34">
        <f>IF(OR(AO94&gt;0,AT94&gt;0,AD94&gt;0),TP!A94,CK93)</f>
        <v>0</v>
      </c>
      <c r="CL94" s="257">
        <f>LOOKUP($BV94,INVENTARIOS!$A$4:$A$724,ECONO!$O$10:$O$730)</f>
        <v>0</v>
      </c>
      <c r="CM94" s="258">
        <f>LOOKUP($BV94,INVENTARIOS!$A$4:$A$724,ECONO!$Z$9:$Z$729)</f>
        <v>0</v>
      </c>
      <c r="CN94" s="260">
        <f t="shared" si="53"/>
        <v>0</v>
      </c>
      <c r="CO94"/>
    </row>
    <row r="95" spans="23:93" x14ac:dyDescent="0.3">
      <c r="AC95" s="1193">
        <f t="shared" si="41"/>
        <v>107</v>
      </c>
      <c r="AD95" s="844">
        <f>LOOKUP(TP!$A95,PROD!$A$5:$A$725,PROD!$O$5:$O$725)</f>
        <v>0</v>
      </c>
      <c r="AE95" s="101">
        <f>IFERROR(LOOKUP(Linea,TP!$B$3:$DE$3,TP!B95:DE95),0)</f>
        <v>0</v>
      </c>
      <c r="AF95" s="101">
        <f t="shared" si="58"/>
        <v>0</v>
      </c>
      <c r="AG95" s="101">
        <f t="shared" si="59"/>
        <v>0</v>
      </c>
      <c r="AH95" s="845">
        <f t="shared" si="42"/>
        <v>0</v>
      </c>
      <c r="AI95" s="846">
        <f>LOOKUP(TP!$A95,PROD!$A$5:$A$725,PROD!$O$6:$O$726)</f>
        <v>0</v>
      </c>
      <c r="AJ95" s="101">
        <f>IFERROR(LOOKUP(Linea,TP!$B$3:$DE$3,TP!C95:DF95),0)</f>
        <v>0</v>
      </c>
      <c r="AK95" s="101">
        <f t="shared" si="60"/>
        <v>0</v>
      </c>
      <c r="AL95" s="101">
        <f t="shared" si="61"/>
        <v>0</v>
      </c>
      <c r="AM95" s="837">
        <f t="shared" si="43"/>
        <v>0</v>
      </c>
      <c r="AN95" s="176">
        <f>LOOKUP(TP!$A95,PROD!$A$5:$A$725,PROD!$I$11:$I$731)</f>
        <v>0</v>
      </c>
      <c r="AO95" s="171">
        <f>LOOKUP(TP!$A95,PROD!$A$5:$A$725,PROD!$K$5:$K$725)*100</f>
        <v>0</v>
      </c>
      <c r="AP95" s="110">
        <f>LOOKUP(TP!$A95,PROD!$A$5:$A$725,PROD!$K$8:$K$728)*100</f>
        <v>0</v>
      </c>
      <c r="AQ95" s="110">
        <f t="shared" si="44"/>
        <v>100</v>
      </c>
      <c r="AR95" s="109">
        <f>IFERROR(LOOKUP(Linea,TP!$B$3:$DE$3,TP!D95:DG95),0)</f>
        <v>0</v>
      </c>
      <c r="AS95" s="838">
        <f>SUMIF(PROD!$BF$5:$BF$725,GSh!$BV95,PROD!$V$5:$V$725)/1000*PROD!$A$1</f>
        <v>0</v>
      </c>
      <c r="AT95" s="627">
        <f>LOOKUP(TP!$A95,PROD!$A$5:$A$725,PROD!$AD$5:$AD$725)</f>
        <v>0</v>
      </c>
      <c r="AU95" s="101">
        <f>IFERROR(LOOKUP(Linea,TP!$B$3:$DE$3,TP!E95:DH95),0)</f>
        <v>0</v>
      </c>
      <c r="AV95" s="847">
        <f t="shared" si="45"/>
        <v>0</v>
      </c>
      <c r="AW95" s="1081">
        <f>LOOKUP($BV95,PROD!$A$5:$A$725,PROD!$AE$10:$AE$730)</f>
        <v>0</v>
      </c>
      <c r="AX95" s="1076">
        <f>LOOKUP($BV95,PROD!$A$5:$A$725,PROD!$AE$11:$AE$731)</f>
        <v>0</v>
      </c>
      <c r="AY95" s="114">
        <f>'Pr-Sem'!Z95</f>
        <v>0</v>
      </c>
      <c r="AZ95" s="101">
        <f>IFERROR(LOOKUP(Linea,TP!$B$3:$DE$3,TP!F95:DI95),0)</f>
        <v>0</v>
      </c>
      <c r="BA95" s="840">
        <f>LOOKUP(TP!$A95,PROD!$A$5:$A$725,PROD!$Q$7:$Q$727)</f>
        <v>0</v>
      </c>
      <c r="BB95" s="118">
        <f t="shared" si="54"/>
        <v>0</v>
      </c>
      <c r="BC95" s="109">
        <f t="shared" si="55"/>
        <v>0</v>
      </c>
      <c r="BD95" s="125">
        <f>LOOKUP(TP!$A95,PROD!$A$5:$A$725,PROD!$AH$7:$AH$727)</f>
        <v>0</v>
      </c>
      <c r="BE95" s="101">
        <f t="shared" si="46"/>
        <v>0</v>
      </c>
      <c r="BF95" s="850">
        <f t="shared" si="47"/>
        <v>0</v>
      </c>
      <c r="BG95" s="129">
        <f>LOOKUP(TP!$A95,PROD!$A$5:$A$725,PROD!$AH$8:$AH$728)</f>
        <v>0</v>
      </c>
      <c r="BH95" s="101">
        <f t="shared" si="56"/>
        <v>0</v>
      </c>
      <c r="BI95" s="849">
        <f t="shared" si="48"/>
        <v>0</v>
      </c>
      <c r="BJ95" s="513">
        <f>'Pr-Sem'!AC95*10</f>
        <v>0</v>
      </c>
      <c r="BK95" s="514">
        <f>IFERROR(LOOKUP(Linea,TP!$B$3:$DE$3,TP!J95:DJ95),0)</f>
        <v>0</v>
      </c>
      <c r="BL95" s="848">
        <f t="shared" si="49"/>
        <v>0</v>
      </c>
      <c r="BM95" s="137">
        <f>LOOKUP($BV95,PROD!$A$5:$A$725,PROD!$AH$5:$AH$725)*IF($BM$5="Gr X H",1,100)</f>
        <v>0</v>
      </c>
      <c r="BN95" s="138">
        <f>LOOKUP($BV95,PROD!$A$5:$A$725,PROD!$AI$5:$AI$725)*IF($BM$5="Gr X H",1,100)</f>
        <v>0</v>
      </c>
      <c r="BO95" s="849">
        <f t="shared" si="50"/>
        <v>0</v>
      </c>
      <c r="BP95" s="137">
        <f>LOOKUP(BV95,PROD!$A$5:$A$725,PROD!$AH$6:$AH$726)*IF($BM$5="Gr X H",1,100)</f>
        <v>0</v>
      </c>
      <c r="BQ95" s="138">
        <f>LOOKUP($BV95,PROD!$A$5:$A$725,PROD!$AI$6:$AI$726)*IF($BM$5="Gr X H",1,100)</f>
        <v>0</v>
      </c>
      <c r="BR95" s="849">
        <f t="shared" si="51"/>
        <v>0</v>
      </c>
      <c r="BS95" s="137">
        <f>LOOKUP(TP!$A95,PROD!$A$5:$A$725,PROD!$AH$9:$AH$729)</f>
        <v>0</v>
      </c>
      <c r="BT95" s="138">
        <f>LOOKUP(TP!$A95,PROD!$A$5:$A$725,PROD!$AI$9:$AI$729)</f>
        <v>0</v>
      </c>
      <c r="BU95" s="849">
        <f t="shared" si="52"/>
        <v>0</v>
      </c>
      <c r="BV95" s="833">
        <f t="shared" si="57"/>
        <v>107</v>
      </c>
      <c r="BW95" s="191">
        <f ca="1">LOOKUP($BV95,INVENTARIOS!$A$4:$A$718,ECONO!$T$4:$T$724)*100</f>
        <v>0</v>
      </c>
      <c r="BX95" s="606">
        <f ca="1">LOOKUP($BV95,INVENTARIOS!$A$4:$A$718,ECONO!$T$5:$T$725)*100</f>
        <v>0</v>
      </c>
      <c r="BY95" s="606">
        <f ca="1">LOOKUP($BV95,INVENTARIOS!$A$4:$A$718,ECONO!$T$6:$T$726)*100</f>
        <v>0</v>
      </c>
      <c r="BZ95" s="606">
        <f ca="1">LOOKUP($BV95,INVENTARIOS!$A$4:$A$718,ECONO!$T$7:$T$727)*100</f>
        <v>0</v>
      </c>
      <c r="CA95" s="606">
        <f ca="1">LOOKUP($BV95,INVENTARIOS!$A$4:$A$718,ECONO!$T$8:$T$728)*100</f>
        <v>0</v>
      </c>
      <c r="CB95" s="606">
        <f ca="1">LOOKUP($BV95,INVENTARIOS!$A$4:$A$718,ECONO!$T$9:$T$729)*100</f>
        <v>0</v>
      </c>
      <c r="CC95" s="606">
        <f ca="1">LOOKUP($BV95,INVENTARIOS!$A$4:$A$718,ECONO!$T$10:$T$730)*100</f>
        <v>0</v>
      </c>
      <c r="CD95" s="99">
        <f ca="1">LOOKUP($BV95,INVENTARIOS!$A$4:$A$718,ECONO!$X$8:$X$728)*100</f>
        <v>0</v>
      </c>
      <c r="CE95" s="99">
        <f ca="1">LOOKUP($BV95,INVENTARIOS!$A$4:$A$718,ECONO!$X$9:$X$729)*100</f>
        <v>0</v>
      </c>
      <c r="CF95" s="192">
        <f ca="1">LOOKUP($BV95,INVENTARIOS!$A$4:$A$718,ECONO!$X$10:$X$730)*100</f>
        <v>0</v>
      </c>
      <c r="CG95" s="195">
        <f ca="1">LOOKUP(GSh!$BV95,INVENTARIOS!$A$4:$A$718,ECONO!$X$4:$X$724)*100</f>
        <v>0</v>
      </c>
      <c r="CH95" s="98">
        <f ca="1">LOOKUP(GSh!$BV95,INVENTARIOS!$A$4:$A$718,ECONO!$X$5:$X$725)*100</f>
        <v>0</v>
      </c>
      <c r="CI95" s="98">
        <f ca="1">LOOKUP(GSh!$BV95,INVENTARIOS!$A$4:$A$718,ECONO!$X$6:$X$726)*100</f>
        <v>0</v>
      </c>
      <c r="CJ95" s="194">
        <f ca="1">LOOKUP(GSh!$BV95,INVENTARIOS!$A$4:$A$718,ECONO!$X$7:$X$727)*100</f>
        <v>0</v>
      </c>
      <c r="CK95" s="34">
        <f>IF(OR(AO95&gt;0,AT95&gt;0,AD95&gt;0),TP!A95,CK94)</f>
        <v>0</v>
      </c>
      <c r="CL95" s="257">
        <f>LOOKUP($BV95,INVENTARIOS!$A$4:$A$724,ECONO!$O$10:$O$730)</f>
        <v>0</v>
      </c>
      <c r="CM95" s="258">
        <f>LOOKUP($BV95,INVENTARIOS!$A$4:$A$724,ECONO!$Z$9:$Z$729)</f>
        <v>0</v>
      </c>
      <c r="CN95" s="260">
        <f t="shared" si="53"/>
        <v>0</v>
      </c>
      <c r="CO95"/>
    </row>
    <row r="96" spans="23:93" x14ac:dyDescent="0.3">
      <c r="AC96" s="1193">
        <f t="shared" si="41"/>
        <v>108</v>
      </c>
      <c r="AD96" s="844">
        <f>LOOKUP(TP!$A96,PROD!$A$5:$A$725,PROD!$O$5:$O$725)</f>
        <v>0</v>
      </c>
      <c r="AE96" s="101">
        <f>IFERROR(LOOKUP(Linea,TP!$B$3:$DE$3,TP!B96:DE96),0)</f>
        <v>0</v>
      </c>
      <c r="AF96" s="101">
        <f t="shared" si="58"/>
        <v>0</v>
      </c>
      <c r="AG96" s="101">
        <f t="shared" si="59"/>
        <v>0</v>
      </c>
      <c r="AH96" s="845">
        <f t="shared" si="42"/>
        <v>0</v>
      </c>
      <c r="AI96" s="846">
        <f>LOOKUP(TP!$A96,PROD!$A$5:$A$725,PROD!$O$6:$O$726)</f>
        <v>0</v>
      </c>
      <c r="AJ96" s="101">
        <f>IFERROR(LOOKUP(Linea,TP!$B$3:$DE$3,TP!C96:DF96),0)</f>
        <v>0</v>
      </c>
      <c r="AK96" s="101">
        <f t="shared" si="60"/>
        <v>0</v>
      </c>
      <c r="AL96" s="101">
        <f t="shared" si="61"/>
        <v>0</v>
      </c>
      <c r="AM96" s="837">
        <f t="shared" si="43"/>
        <v>0</v>
      </c>
      <c r="AN96" s="176">
        <f>LOOKUP(TP!$A96,PROD!$A$5:$A$725,PROD!$I$11:$I$731)</f>
        <v>0</v>
      </c>
      <c r="AO96" s="171">
        <f>LOOKUP(TP!$A96,PROD!$A$5:$A$725,PROD!$K$5:$K$725)*100</f>
        <v>0</v>
      </c>
      <c r="AP96" s="110">
        <f>LOOKUP(TP!$A96,PROD!$A$5:$A$725,PROD!$K$8:$K$728)*100</f>
        <v>0</v>
      </c>
      <c r="AQ96" s="110">
        <f t="shared" si="44"/>
        <v>100</v>
      </c>
      <c r="AR96" s="109">
        <f>IFERROR(LOOKUP(Linea,TP!$B$3:$DE$3,TP!D96:DG96),0)</f>
        <v>0</v>
      </c>
      <c r="AS96" s="838">
        <f>SUMIF(PROD!$BF$5:$BF$725,GSh!$BV96,PROD!$V$5:$V$725)/1000*PROD!$A$1</f>
        <v>0</v>
      </c>
      <c r="AT96" s="627">
        <f>LOOKUP(TP!$A96,PROD!$A$5:$A$725,PROD!$AD$5:$AD$725)</f>
        <v>0</v>
      </c>
      <c r="AU96" s="101">
        <f>IFERROR(LOOKUP(Linea,TP!$B$3:$DE$3,TP!E96:DH96),0)</f>
        <v>0</v>
      </c>
      <c r="AV96" s="847">
        <f t="shared" si="45"/>
        <v>0</v>
      </c>
      <c r="AW96" s="1081">
        <f>LOOKUP($BV96,PROD!$A$5:$A$725,PROD!$AE$10:$AE$730)</f>
        <v>0</v>
      </c>
      <c r="AX96" s="1076">
        <f>LOOKUP($BV96,PROD!$A$5:$A$725,PROD!$AE$11:$AE$731)</f>
        <v>0</v>
      </c>
      <c r="AY96" s="114">
        <f>'Pr-Sem'!Z96</f>
        <v>0</v>
      </c>
      <c r="AZ96" s="101">
        <f>IFERROR(LOOKUP(Linea,TP!$B$3:$DE$3,TP!F96:DI96),0)</f>
        <v>0</v>
      </c>
      <c r="BA96" s="840">
        <f>LOOKUP(TP!$A96,PROD!$A$5:$A$725,PROD!$Q$7:$Q$727)</f>
        <v>0</v>
      </c>
      <c r="BB96" s="118">
        <f t="shared" si="54"/>
        <v>0</v>
      </c>
      <c r="BC96" s="109">
        <f t="shared" si="55"/>
        <v>0</v>
      </c>
      <c r="BD96" s="125">
        <f>LOOKUP(TP!$A96,PROD!$A$5:$A$725,PROD!$AH$7:$AH$727)</f>
        <v>0</v>
      </c>
      <c r="BE96" s="101">
        <f t="shared" si="46"/>
        <v>0</v>
      </c>
      <c r="BF96" s="850">
        <f t="shared" si="47"/>
        <v>0</v>
      </c>
      <c r="BG96" s="129">
        <f>LOOKUP(TP!$A96,PROD!$A$5:$A$725,PROD!$AH$8:$AH$728)</f>
        <v>0</v>
      </c>
      <c r="BH96" s="101">
        <f t="shared" si="56"/>
        <v>0</v>
      </c>
      <c r="BI96" s="849">
        <f t="shared" si="48"/>
        <v>0</v>
      </c>
      <c r="BJ96" s="513">
        <f>'Pr-Sem'!AC96*10</f>
        <v>0</v>
      </c>
      <c r="BK96" s="514">
        <f>IFERROR(LOOKUP(Linea,TP!$B$3:$DE$3,TP!J96:DJ96),0)</f>
        <v>0</v>
      </c>
      <c r="BL96" s="848">
        <f t="shared" si="49"/>
        <v>0</v>
      </c>
      <c r="BM96" s="137">
        <f>LOOKUP($BV96,PROD!$A$5:$A$725,PROD!$AH$5:$AH$725)*IF($BM$5="Gr X H",1,100)</f>
        <v>0</v>
      </c>
      <c r="BN96" s="138">
        <f>LOOKUP($BV96,PROD!$A$5:$A$725,PROD!$AI$5:$AI$725)*IF($BM$5="Gr X H",1,100)</f>
        <v>0</v>
      </c>
      <c r="BO96" s="849">
        <f t="shared" si="50"/>
        <v>0</v>
      </c>
      <c r="BP96" s="137">
        <f>LOOKUP(BV96,PROD!$A$5:$A$725,PROD!$AH$6:$AH$726)*IF($BM$5="Gr X H",1,100)</f>
        <v>0</v>
      </c>
      <c r="BQ96" s="138">
        <f>LOOKUP($BV96,PROD!$A$5:$A$725,PROD!$AI$6:$AI$726)*IF($BM$5="Gr X H",1,100)</f>
        <v>0</v>
      </c>
      <c r="BR96" s="849">
        <f t="shared" si="51"/>
        <v>0</v>
      </c>
      <c r="BS96" s="137">
        <f>LOOKUP(TP!$A96,PROD!$A$5:$A$725,PROD!$AH$9:$AH$729)</f>
        <v>0</v>
      </c>
      <c r="BT96" s="138">
        <f>LOOKUP(TP!$A96,PROD!$A$5:$A$725,PROD!$AI$9:$AI$729)</f>
        <v>0</v>
      </c>
      <c r="BU96" s="849">
        <f t="shared" si="52"/>
        <v>0</v>
      </c>
      <c r="BV96" s="833">
        <f t="shared" si="57"/>
        <v>108</v>
      </c>
      <c r="BW96" s="191">
        <f ca="1">LOOKUP($BV96,INVENTARIOS!$A$4:$A$718,ECONO!$T$4:$T$724)*100</f>
        <v>0</v>
      </c>
      <c r="BX96" s="606">
        <f ca="1">LOOKUP($BV96,INVENTARIOS!$A$4:$A$718,ECONO!$T$5:$T$725)*100</f>
        <v>0</v>
      </c>
      <c r="BY96" s="606">
        <f ca="1">LOOKUP($BV96,INVENTARIOS!$A$4:$A$718,ECONO!$T$6:$T$726)*100</f>
        <v>0</v>
      </c>
      <c r="BZ96" s="606">
        <f ca="1">LOOKUP($BV96,INVENTARIOS!$A$4:$A$718,ECONO!$T$7:$T$727)*100</f>
        <v>0</v>
      </c>
      <c r="CA96" s="606">
        <f ca="1">LOOKUP($BV96,INVENTARIOS!$A$4:$A$718,ECONO!$T$8:$T$728)*100</f>
        <v>0</v>
      </c>
      <c r="CB96" s="606">
        <f ca="1">LOOKUP($BV96,INVENTARIOS!$A$4:$A$718,ECONO!$T$9:$T$729)*100</f>
        <v>0</v>
      </c>
      <c r="CC96" s="606">
        <f ca="1">LOOKUP($BV96,INVENTARIOS!$A$4:$A$718,ECONO!$T$10:$T$730)*100</f>
        <v>0</v>
      </c>
      <c r="CD96" s="99">
        <f ca="1">LOOKUP($BV96,INVENTARIOS!$A$4:$A$718,ECONO!$X$8:$X$728)*100</f>
        <v>0</v>
      </c>
      <c r="CE96" s="99">
        <f ca="1">LOOKUP($BV96,INVENTARIOS!$A$4:$A$718,ECONO!$X$9:$X$729)*100</f>
        <v>0</v>
      </c>
      <c r="CF96" s="192">
        <f ca="1">LOOKUP($BV96,INVENTARIOS!$A$4:$A$718,ECONO!$X$10:$X$730)*100</f>
        <v>0</v>
      </c>
      <c r="CG96" s="195">
        <f ca="1">LOOKUP(GSh!$BV96,INVENTARIOS!$A$4:$A$718,ECONO!$X$4:$X$724)*100</f>
        <v>0</v>
      </c>
      <c r="CH96" s="98">
        <f ca="1">LOOKUP(GSh!$BV96,INVENTARIOS!$A$4:$A$718,ECONO!$X$5:$X$725)*100</f>
        <v>0</v>
      </c>
      <c r="CI96" s="98">
        <f ca="1">LOOKUP(GSh!$BV96,INVENTARIOS!$A$4:$A$718,ECONO!$X$6:$X$726)*100</f>
        <v>0</v>
      </c>
      <c r="CJ96" s="194">
        <f ca="1">LOOKUP(GSh!$BV96,INVENTARIOS!$A$4:$A$718,ECONO!$X$7:$X$727)*100</f>
        <v>0</v>
      </c>
      <c r="CK96" s="34">
        <f>IF(OR(AO96&gt;0,AT96&gt;0,AD96&gt;0),TP!A96,CK95)</f>
        <v>0</v>
      </c>
      <c r="CL96" s="257">
        <f>LOOKUP($BV96,INVENTARIOS!$A$4:$A$724,ECONO!$O$10:$O$730)</f>
        <v>0</v>
      </c>
      <c r="CM96" s="258">
        <f>LOOKUP($BV96,INVENTARIOS!$A$4:$A$724,ECONO!$Z$9:$Z$729)</f>
        <v>0</v>
      </c>
      <c r="CN96" s="260">
        <f t="shared" si="53"/>
        <v>0</v>
      </c>
      <c r="CO96"/>
    </row>
    <row r="97" spans="29:93" x14ac:dyDescent="0.3">
      <c r="AC97" s="1193">
        <f t="shared" si="41"/>
        <v>109</v>
      </c>
      <c r="AD97" s="844">
        <f>LOOKUP(TP!$A97,PROD!$A$5:$A$725,PROD!$O$5:$O$725)</f>
        <v>0</v>
      </c>
      <c r="AE97" s="101">
        <f>IFERROR(LOOKUP(Linea,TP!$B$3:$DE$3,TP!B97:DE97),0)</f>
        <v>0</v>
      </c>
      <c r="AF97" s="101">
        <f t="shared" si="58"/>
        <v>0</v>
      </c>
      <c r="AG97" s="101">
        <f t="shared" si="59"/>
        <v>0</v>
      </c>
      <c r="AH97" s="845">
        <f t="shared" si="42"/>
        <v>0</v>
      </c>
      <c r="AI97" s="846">
        <f>LOOKUP(TP!$A97,PROD!$A$5:$A$725,PROD!$O$6:$O$726)</f>
        <v>0</v>
      </c>
      <c r="AJ97" s="101">
        <f>IFERROR(LOOKUP(Linea,TP!$B$3:$DE$3,TP!C97:DF97),0)</f>
        <v>0</v>
      </c>
      <c r="AK97" s="101">
        <f t="shared" si="60"/>
        <v>0</v>
      </c>
      <c r="AL97" s="101">
        <f t="shared" si="61"/>
        <v>0</v>
      </c>
      <c r="AM97" s="837">
        <f t="shared" si="43"/>
        <v>0</v>
      </c>
      <c r="AN97" s="176">
        <f>LOOKUP(TP!$A97,PROD!$A$5:$A$725,PROD!$I$11:$I$731)</f>
        <v>0</v>
      </c>
      <c r="AO97" s="171">
        <f>LOOKUP(TP!$A97,PROD!$A$5:$A$725,PROD!$K$5:$K$725)*100</f>
        <v>0</v>
      </c>
      <c r="AP97" s="110">
        <f>LOOKUP(TP!$A97,PROD!$A$5:$A$725,PROD!$K$8:$K$728)*100</f>
        <v>0</v>
      </c>
      <c r="AQ97" s="110">
        <f t="shared" si="44"/>
        <v>100</v>
      </c>
      <c r="AR97" s="109">
        <f>IFERROR(LOOKUP(Linea,TP!$B$3:$DE$3,TP!D97:DG97),0)</f>
        <v>0</v>
      </c>
      <c r="AS97" s="838">
        <f>SUMIF(PROD!$BF$5:$BF$725,GSh!$BV97,PROD!$V$5:$V$725)/1000*PROD!$A$1</f>
        <v>0</v>
      </c>
      <c r="AT97" s="627">
        <f>LOOKUP(TP!$A97,PROD!$A$5:$A$725,PROD!$AD$5:$AD$725)</f>
        <v>0</v>
      </c>
      <c r="AU97" s="101">
        <f>IFERROR(LOOKUP(Linea,TP!$B$3:$DE$3,TP!E97:DH97),0)</f>
        <v>0</v>
      </c>
      <c r="AV97" s="847">
        <f t="shared" si="45"/>
        <v>0</v>
      </c>
      <c r="AW97" s="1081">
        <f>LOOKUP($BV97,PROD!$A$5:$A$725,PROD!$AE$10:$AE$730)</f>
        <v>0</v>
      </c>
      <c r="AX97" s="1076">
        <f>LOOKUP($BV97,PROD!$A$5:$A$725,PROD!$AE$11:$AE$731)</f>
        <v>0</v>
      </c>
      <c r="AY97" s="114">
        <f>'Pr-Sem'!Z97</f>
        <v>0</v>
      </c>
      <c r="AZ97" s="101">
        <f>IFERROR(LOOKUP(Linea,TP!$B$3:$DE$3,TP!F97:DI97),0)</f>
        <v>0</v>
      </c>
      <c r="BA97" s="840">
        <f>LOOKUP(TP!$A97,PROD!$A$5:$A$725,PROD!$Q$7:$Q$727)</f>
        <v>0</v>
      </c>
      <c r="BB97" s="118">
        <f t="shared" si="54"/>
        <v>0</v>
      </c>
      <c r="BC97" s="109">
        <f t="shared" si="55"/>
        <v>0</v>
      </c>
      <c r="BD97" s="125">
        <f>LOOKUP(TP!$A97,PROD!$A$5:$A$725,PROD!$AH$7:$AH$727)</f>
        <v>0</v>
      </c>
      <c r="BE97" s="101">
        <f t="shared" si="46"/>
        <v>0</v>
      </c>
      <c r="BF97" s="850">
        <f t="shared" si="47"/>
        <v>0</v>
      </c>
      <c r="BG97" s="129">
        <f>LOOKUP(TP!$A97,PROD!$A$5:$A$725,PROD!$AH$8:$AH$728)</f>
        <v>0</v>
      </c>
      <c r="BH97" s="101">
        <f t="shared" si="56"/>
        <v>0</v>
      </c>
      <c r="BI97" s="849">
        <f t="shared" si="48"/>
        <v>0</v>
      </c>
      <c r="BJ97" s="513">
        <f>'Pr-Sem'!AC97*10</f>
        <v>0</v>
      </c>
      <c r="BK97" s="514">
        <f>IFERROR(LOOKUP(Linea,TP!$B$3:$DE$3,TP!J97:DJ97),0)</f>
        <v>0</v>
      </c>
      <c r="BL97" s="848">
        <f t="shared" si="49"/>
        <v>0</v>
      </c>
      <c r="BM97" s="137">
        <f>LOOKUP($BV97,PROD!$A$5:$A$725,PROD!$AH$5:$AH$725)*IF($BM$5="Gr X H",1,100)</f>
        <v>0</v>
      </c>
      <c r="BN97" s="138">
        <f>LOOKUP($BV97,PROD!$A$5:$A$725,PROD!$AI$5:$AI$725)*IF($BM$5="Gr X H",1,100)</f>
        <v>0</v>
      </c>
      <c r="BO97" s="849">
        <f t="shared" si="50"/>
        <v>0</v>
      </c>
      <c r="BP97" s="137">
        <f>LOOKUP(BV97,PROD!$A$5:$A$725,PROD!$AH$6:$AH$726)*IF($BM$5="Gr X H",1,100)</f>
        <v>0</v>
      </c>
      <c r="BQ97" s="138">
        <f>LOOKUP($BV97,PROD!$A$5:$A$725,PROD!$AI$6:$AI$726)*IF($BM$5="Gr X H",1,100)</f>
        <v>0</v>
      </c>
      <c r="BR97" s="849">
        <f t="shared" si="51"/>
        <v>0</v>
      </c>
      <c r="BS97" s="137">
        <f>LOOKUP(TP!$A97,PROD!$A$5:$A$725,PROD!$AH$9:$AH$729)</f>
        <v>0</v>
      </c>
      <c r="BT97" s="138">
        <f>LOOKUP(TP!$A97,PROD!$A$5:$A$725,PROD!$AI$9:$AI$729)</f>
        <v>0</v>
      </c>
      <c r="BU97" s="849">
        <f t="shared" si="52"/>
        <v>0</v>
      </c>
      <c r="BV97" s="833">
        <f t="shared" si="57"/>
        <v>109</v>
      </c>
      <c r="BW97" s="191">
        <f ca="1">LOOKUP($BV97,INVENTARIOS!$A$4:$A$718,ECONO!$T$4:$T$724)*100</f>
        <v>0</v>
      </c>
      <c r="BX97" s="606">
        <f ca="1">LOOKUP($BV97,INVENTARIOS!$A$4:$A$718,ECONO!$T$5:$T$725)*100</f>
        <v>0</v>
      </c>
      <c r="BY97" s="606">
        <f ca="1">LOOKUP($BV97,INVENTARIOS!$A$4:$A$718,ECONO!$T$6:$T$726)*100</f>
        <v>0</v>
      </c>
      <c r="BZ97" s="606">
        <f ca="1">LOOKUP($BV97,INVENTARIOS!$A$4:$A$718,ECONO!$T$7:$T$727)*100</f>
        <v>0</v>
      </c>
      <c r="CA97" s="606">
        <f ca="1">LOOKUP($BV97,INVENTARIOS!$A$4:$A$718,ECONO!$T$8:$T$728)*100</f>
        <v>0</v>
      </c>
      <c r="CB97" s="606">
        <f ca="1">LOOKUP($BV97,INVENTARIOS!$A$4:$A$718,ECONO!$T$9:$T$729)*100</f>
        <v>0</v>
      </c>
      <c r="CC97" s="606">
        <f ca="1">LOOKUP($BV97,INVENTARIOS!$A$4:$A$718,ECONO!$T$10:$T$730)*100</f>
        <v>0</v>
      </c>
      <c r="CD97" s="99">
        <f ca="1">LOOKUP($BV97,INVENTARIOS!$A$4:$A$718,ECONO!$X$8:$X$728)*100</f>
        <v>0</v>
      </c>
      <c r="CE97" s="99">
        <f ca="1">LOOKUP($BV97,INVENTARIOS!$A$4:$A$718,ECONO!$X$9:$X$729)*100</f>
        <v>0</v>
      </c>
      <c r="CF97" s="192">
        <f ca="1">LOOKUP($BV97,INVENTARIOS!$A$4:$A$718,ECONO!$X$10:$X$730)*100</f>
        <v>0</v>
      </c>
      <c r="CG97" s="195">
        <f ca="1">LOOKUP(GSh!$BV97,INVENTARIOS!$A$4:$A$718,ECONO!$X$4:$X$724)*100</f>
        <v>0</v>
      </c>
      <c r="CH97" s="98">
        <f ca="1">LOOKUP(GSh!$BV97,INVENTARIOS!$A$4:$A$718,ECONO!$X$5:$X$725)*100</f>
        <v>0</v>
      </c>
      <c r="CI97" s="98">
        <f ca="1">LOOKUP(GSh!$BV97,INVENTARIOS!$A$4:$A$718,ECONO!$X$6:$X$726)*100</f>
        <v>0</v>
      </c>
      <c r="CJ97" s="194">
        <f ca="1">LOOKUP(GSh!$BV97,INVENTARIOS!$A$4:$A$718,ECONO!$X$7:$X$727)*100</f>
        <v>0</v>
      </c>
      <c r="CK97" s="34">
        <f>IF(OR(AO97&gt;0,AT97&gt;0,AD97&gt;0),TP!A97,CK96)</f>
        <v>0</v>
      </c>
      <c r="CL97" s="257">
        <f>LOOKUP($BV97,INVENTARIOS!$A$4:$A$724,ECONO!$O$10:$O$730)</f>
        <v>0</v>
      </c>
      <c r="CM97" s="258">
        <f>LOOKUP($BV97,INVENTARIOS!$A$4:$A$724,ECONO!$Z$9:$Z$729)</f>
        <v>0</v>
      </c>
      <c r="CN97" s="260">
        <f t="shared" si="53"/>
        <v>0</v>
      </c>
      <c r="CO97"/>
    </row>
    <row r="98" spans="29:93" x14ac:dyDescent="0.3">
      <c r="AC98" s="1193">
        <f t="shared" si="41"/>
        <v>110</v>
      </c>
      <c r="AD98" s="844">
        <f>LOOKUP(TP!$A98,PROD!$A$5:$A$725,PROD!$O$5:$O$725)</f>
        <v>0</v>
      </c>
      <c r="AE98" s="101">
        <f>IFERROR(LOOKUP(Linea,TP!$B$3:$DE$3,TP!B98:DE98),0)</f>
        <v>0</v>
      </c>
      <c r="AF98" s="101">
        <f t="shared" si="58"/>
        <v>0</v>
      </c>
      <c r="AG98" s="101">
        <f t="shared" si="59"/>
        <v>0</v>
      </c>
      <c r="AH98" s="845">
        <f t="shared" si="42"/>
        <v>0</v>
      </c>
      <c r="AI98" s="846">
        <f>LOOKUP(TP!$A98,PROD!$A$5:$A$725,PROD!$O$6:$O$726)</f>
        <v>0</v>
      </c>
      <c r="AJ98" s="101">
        <f>IFERROR(LOOKUP(Linea,TP!$B$3:$DE$3,TP!C98:DF98),0)</f>
        <v>0</v>
      </c>
      <c r="AK98" s="101">
        <f t="shared" si="60"/>
        <v>0</v>
      </c>
      <c r="AL98" s="101">
        <f t="shared" si="61"/>
        <v>0</v>
      </c>
      <c r="AM98" s="837">
        <f t="shared" si="43"/>
        <v>0</v>
      </c>
      <c r="AN98" s="176">
        <f>LOOKUP(TP!$A98,PROD!$A$5:$A$725,PROD!$I$11:$I$731)</f>
        <v>0</v>
      </c>
      <c r="AO98" s="171">
        <f>LOOKUP(TP!$A98,PROD!$A$5:$A$725,PROD!$K$5:$K$725)*100</f>
        <v>0</v>
      </c>
      <c r="AP98" s="110">
        <f>LOOKUP(TP!$A98,PROD!$A$5:$A$725,PROD!$K$8:$K$728)*100</f>
        <v>0</v>
      </c>
      <c r="AQ98" s="110">
        <f t="shared" si="44"/>
        <v>100</v>
      </c>
      <c r="AR98" s="109">
        <f>IFERROR(LOOKUP(Linea,TP!$B$3:$DE$3,TP!D98:DG98),0)</f>
        <v>0</v>
      </c>
      <c r="AS98" s="838">
        <f>SUMIF(PROD!$BF$5:$BF$725,GSh!$BV98,PROD!$V$5:$V$725)/1000*PROD!$A$1</f>
        <v>0</v>
      </c>
      <c r="AT98" s="627">
        <f>LOOKUP(TP!$A98,PROD!$A$5:$A$725,PROD!$AD$5:$AD$725)</f>
        <v>0</v>
      </c>
      <c r="AU98" s="101">
        <f>IFERROR(LOOKUP(Linea,TP!$B$3:$DE$3,TP!E98:DH98),0)</f>
        <v>0</v>
      </c>
      <c r="AV98" s="847">
        <f t="shared" si="45"/>
        <v>0</v>
      </c>
      <c r="AW98" s="1081">
        <f>LOOKUP($BV98,PROD!$A$5:$A$725,PROD!$AE$10:$AE$730)</f>
        <v>0</v>
      </c>
      <c r="AX98" s="1076">
        <f>LOOKUP($BV98,PROD!$A$5:$A$725,PROD!$AE$11:$AE$731)</f>
        <v>0</v>
      </c>
      <c r="AY98" s="114">
        <f>'Pr-Sem'!Z98</f>
        <v>0</v>
      </c>
      <c r="AZ98" s="101">
        <f>IFERROR(LOOKUP(Linea,TP!$B$3:$DE$3,TP!F98:DI98),0)</f>
        <v>0</v>
      </c>
      <c r="BA98" s="840">
        <f>LOOKUP(TP!$A98,PROD!$A$5:$A$725,PROD!$Q$7:$Q$727)</f>
        <v>0</v>
      </c>
      <c r="BB98" s="118">
        <f t="shared" si="54"/>
        <v>0</v>
      </c>
      <c r="BC98" s="109">
        <f t="shared" si="55"/>
        <v>0</v>
      </c>
      <c r="BD98" s="125">
        <f>LOOKUP(TP!$A98,PROD!$A$5:$A$725,PROD!$AH$7:$AH$727)</f>
        <v>0</v>
      </c>
      <c r="BE98" s="101">
        <f t="shared" si="46"/>
        <v>0</v>
      </c>
      <c r="BF98" s="850">
        <f t="shared" si="47"/>
        <v>0</v>
      </c>
      <c r="BG98" s="129">
        <f>LOOKUP(TP!$A98,PROD!$A$5:$A$725,PROD!$AH$8:$AH$728)</f>
        <v>0</v>
      </c>
      <c r="BH98" s="101">
        <f t="shared" si="56"/>
        <v>0</v>
      </c>
      <c r="BI98" s="849">
        <f t="shared" si="48"/>
        <v>0</v>
      </c>
      <c r="BJ98" s="513">
        <f>'Pr-Sem'!AC98*10</f>
        <v>0</v>
      </c>
      <c r="BK98" s="514">
        <f>IFERROR(LOOKUP(Linea,TP!$B$3:$DE$3,TP!J98:DJ98),0)</f>
        <v>0</v>
      </c>
      <c r="BL98" s="848">
        <f t="shared" si="49"/>
        <v>0</v>
      </c>
      <c r="BM98" s="137">
        <f>LOOKUP($BV98,PROD!$A$5:$A$725,PROD!$AH$5:$AH$725)*IF($BM$5="Gr X H",1,100)</f>
        <v>0</v>
      </c>
      <c r="BN98" s="138">
        <f>LOOKUP($BV98,PROD!$A$5:$A$725,PROD!$AI$5:$AI$725)*IF($BM$5="Gr X H",1,100)</f>
        <v>0</v>
      </c>
      <c r="BO98" s="849">
        <f t="shared" si="50"/>
        <v>0</v>
      </c>
      <c r="BP98" s="137">
        <f>LOOKUP(BV98,PROD!$A$5:$A$725,PROD!$AH$6:$AH$726)*IF($BM$5="Gr X H",1,100)</f>
        <v>0</v>
      </c>
      <c r="BQ98" s="138">
        <f>LOOKUP($BV98,PROD!$A$5:$A$725,PROD!$AI$6:$AI$726)*IF($BM$5="Gr X H",1,100)</f>
        <v>0</v>
      </c>
      <c r="BR98" s="849">
        <f t="shared" si="51"/>
        <v>0</v>
      </c>
      <c r="BS98" s="137">
        <f>LOOKUP(TP!$A98,PROD!$A$5:$A$725,PROD!$AH$9:$AH$729)</f>
        <v>0</v>
      </c>
      <c r="BT98" s="138">
        <f>LOOKUP(TP!$A98,PROD!$A$5:$A$725,PROD!$AI$9:$AI$729)</f>
        <v>0</v>
      </c>
      <c r="BU98" s="849">
        <f t="shared" si="52"/>
        <v>0</v>
      </c>
      <c r="BV98" s="833">
        <f t="shared" si="57"/>
        <v>110</v>
      </c>
      <c r="BW98" s="191">
        <f ca="1">LOOKUP($BV98,INVENTARIOS!$A$4:$A$718,ECONO!$T$4:$T$724)*100</f>
        <v>0</v>
      </c>
      <c r="BX98" s="606">
        <f ca="1">LOOKUP($BV98,INVENTARIOS!$A$4:$A$718,ECONO!$T$5:$T$725)*100</f>
        <v>0</v>
      </c>
      <c r="BY98" s="606">
        <f ca="1">LOOKUP($BV98,INVENTARIOS!$A$4:$A$718,ECONO!$T$6:$T$726)*100</f>
        <v>0</v>
      </c>
      <c r="BZ98" s="606">
        <f ca="1">LOOKUP($BV98,INVENTARIOS!$A$4:$A$718,ECONO!$T$7:$T$727)*100</f>
        <v>0</v>
      </c>
      <c r="CA98" s="606">
        <f ca="1">LOOKUP($BV98,INVENTARIOS!$A$4:$A$718,ECONO!$T$8:$T$728)*100</f>
        <v>0</v>
      </c>
      <c r="CB98" s="606">
        <f ca="1">LOOKUP($BV98,INVENTARIOS!$A$4:$A$718,ECONO!$T$9:$T$729)*100</f>
        <v>0</v>
      </c>
      <c r="CC98" s="606">
        <f ca="1">LOOKUP($BV98,INVENTARIOS!$A$4:$A$718,ECONO!$T$10:$T$730)*100</f>
        <v>0</v>
      </c>
      <c r="CD98" s="99">
        <f ca="1">LOOKUP($BV98,INVENTARIOS!$A$4:$A$718,ECONO!$X$8:$X$728)*100</f>
        <v>0</v>
      </c>
      <c r="CE98" s="99">
        <f ca="1">LOOKUP($BV98,INVENTARIOS!$A$4:$A$718,ECONO!$X$9:$X$729)*100</f>
        <v>0</v>
      </c>
      <c r="CF98" s="192">
        <f ca="1">LOOKUP($BV98,INVENTARIOS!$A$4:$A$718,ECONO!$X$10:$X$730)*100</f>
        <v>0</v>
      </c>
      <c r="CG98" s="195">
        <f ca="1">LOOKUP(GSh!$BV98,INVENTARIOS!$A$4:$A$718,ECONO!$X$4:$X$724)*100</f>
        <v>0</v>
      </c>
      <c r="CH98" s="98">
        <f ca="1">LOOKUP(GSh!$BV98,INVENTARIOS!$A$4:$A$718,ECONO!$X$5:$X$725)*100</f>
        <v>0</v>
      </c>
      <c r="CI98" s="98">
        <f ca="1">LOOKUP(GSh!$BV98,INVENTARIOS!$A$4:$A$718,ECONO!$X$6:$X$726)*100</f>
        <v>0</v>
      </c>
      <c r="CJ98" s="194">
        <f ca="1">LOOKUP(GSh!$BV98,INVENTARIOS!$A$4:$A$718,ECONO!$X$7:$X$727)*100</f>
        <v>0</v>
      </c>
      <c r="CK98" s="34">
        <f>IF(OR(AO98&gt;0,AT98&gt;0,AD98&gt;0),TP!A98,CK97)</f>
        <v>0</v>
      </c>
      <c r="CL98" s="257">
        <f>LOOKUP($BV98,INVENTARIOS!$A$4:$A$724,ECONO!$O$10:$O$730)</f>
        <v>0</v>
      </c>
      <c r="CM98" s="258">
        <f>LOOKUP($BV98,INVENTARIOS!$A$4:$A$724,ECONO!$Z$9:$Z$729)</f>
        <v>0</v>
      </c>
      <c r="CN98" s="260">
        <f t="shared" si="53"/>
        <v>0</v>
      </c>
      <c r="CO98"/>
    </row>
    <row r="99" spans="29:93" x14ac:dyDescent="0.3">
      <c r="AC99" s="1193">
        <f t="shared" si="41"/>
        <v>111</v>
      </c>
      <c r="AD99" s="844">
        <f>LOOKUP(TP!$A99,PROD!$A$5:$A$725,PROD!$O$5:$O$725)</f>
        <v>0</v>
      </c>
      <c r="AE99" s="101">
        <f>IFERROR(LOOKUP(Linea,TP!$B$3:$DE$3,TP!B99:DE99),0)</f>
        <v>0</v>
      </c>
      <c r="AF99" s="101">
        <f t="shared" si="58"/>
        <v>0</v>
      </c>
      <c r="AG99" s="101">
        <f t="shared" si="59"/>
        <v>0</v>
      </c>
      <c r="AH99" s="845">
        <f t="shared" si="42"/>
        <v>0</v>
      </c>
      <c r="AI99" s="846">
        <f>LOOKUP(TP!$A99,PROD!$A$5:$A$725,PROD!$O$6:$O$726)</f>
        <v>0</v>
      </c>
      <c r="AJ99" s="101">
        <f>IFERROR(LOOKUP(Linea,TP!$B$3:$DE$3,TP!C99:DF99),0)</f>
        <v>0</v>
      </c>
      <c r="AK99" s="101">
        <f t="shared" si="60"/>
        <v>0</v>
      </c>
      <c r="AL99" s="101">
        <f t="shared" si="61"/>
        <v>0</v>
      </c>
      <c r="AM99" s="837">
        <f t="shared" si="43"/>
        <v>0</v>
      </c>
      <c r="AN99" s="176">
        <f>LOOKUP(TP!$A99,PROD!$A$5:$A$725,PROD!$I$11:$I$731)</f>
        <v>0</v>
      </c>
      <c r="AO99" s="171">
        <f>LOOKUP(TP!$A99,PROD!$A$5:$A$725,PROD!$K$5:$K$725)*100</f>
        <v>0</v>
      </c>
      <c r="AP99" s="110">
        <f>LOOKUP(TP!$A99,PROD!$A$5:$A$725,PROD!$K$8:$K$728)*100</f>
        <v>0</v>
      </c>
      <c r="AQ99" s="110">
        <f t="shared" si="44"/>
        <v>100</v>
      </c>
      <c r="AR99" s="109">
        <f>IFERROR(LOOKUP(Linea,TP!$B$3:$DE$3,TP!D99:DG99),0)</f>
        <v>0</v>
      </c>
      <c r="AS99" s="838">
        <f>SUMIF(PROD!$BF$5:$BF$725,GSh!$BV99,PROD!$V$5:$V$725)/1000*PROD!$A$1</f>
        <v>0</v>
      </c>
      <c r="AT99" s="627">
        <f>LOOKUP(TP!$A99,PROD!$A$5:$A$725,PROD!$AD$5:$AD$725)</f>
        <v>0</v>
      </c>
      <c r="AU99" s="101">
        <f>IFERROR(LOOKUP(Linea,TP!$B$3:$DE$3,TP!E99:DH99),0)</f>
        <v>0</v>
      </c>
      <c r="AV99" s="847">
        <f t="shared" si="45"/>
        <v>0</v>
      </c>
      <c r="AW99" s="1081">
        <f>LOOKUP($BV99,PROD!$A$5:$A$725,PROD!$AE$10:$AE$730)</f>
        <v>0</v>
      </c>
      <c r="AX99" s="1076">
        <f>LOOKUP($BV99,PROD!$A$5:$A$725,PROD!$AE$11:$AE$731)</f>
        <v>0</v>
      </c>
      <c r="AY99" s="114">
        <f>'Pr-Sem'!Z99</f>
        <v>0</v>
      </c>
      <c r="AZ99" s="101">
        <f>IFERROR(LOOKUP(Linea,TP!$B$3:$DE$3,TP!F99:DI99),0)</f>
        <v>0</v>
      </c>
      <c r="BA99" s="840">
        <f>LOOKUP(TP!$A99,PROD!$A$5:$A$725,PROD!$Q$7:$Q$727)</f>
        <v>0</v>
      </c>
      <c r="BB99" s="118">
        <f t="shared" si="54"/>
        <v>0</v>
      </c>
      <c r="BC99" s="109">
        <f t="shared" si="55"/>
        <v>0</v>
      </c>
      <c r="BD99" s="125">
        <f>LOOKUP(TP!$A99,PROD!$A$5:$A$725,PROD!$AH$7:$AH$727)</f>
        <v>0</v>
      </c>
      <c r="BE99" s="101">
        <f t="shared" si="46"/>
        <v>0</v>
      </c>
      <c r="BF99" s="850">
        <f t="shared" si="47"/>
        <v>0</v>
      </c>
      <c r="BG99" s="129">
        <f>LOOKUP(TP!$A99,PROD!$A$5:$A$725,PROD!$AH$8:$AH$728)</f>
        <v>0</v>
      </c>
      <c r="BH99" s="101">
        <f t="shared" si="56"/>
        <v>0</v>
      </c>
      <c r="BI99" s="849">
        <f t="shared" si="48"/>
        <v>0</v>
      </c>
      <c r="BJ99" s="513">
        <f>'Pr-Sem'!AC99*10</f>
        <v>0</v>
      </c>
      <c r="BK99" s="514">
        <f>IFERROR(LOOKUP(Linea,TP!$B$3:$DE$3,TP!J99:DJ99),0)</f>
        <v>0</v>
      </c>
      <c r="BL99" s="848">
        <f t="shared" si="49"/>
        <v>0</v>
      </c>
      <c r="BM99" s="137">
        <f>LOOKUP($BV99,PROD!$A$5:$A$725,PROD!$AH$5:$AH$725)*IF($BM$5="Gr X H",1,100)</f>
        <v>0</v>
      </c>
      <c r="BN99" s="138">
        <f>LOOKUP($BV99,PROD!$A$5:$A$725,PROD!$AI$5:$AI$725)*IF($BM$5="Gr X H",1,100)</f>
        <v>0</v>
      </c>
      <c r="BO99" s="849">
        <f t="shared" si="50"/>
        <v>0</v>
      </c>
      <c r="BP99" s="137">
        <f>LOOKUP(BV99,PROD!$A$5:$A$725,PROD!$AH$6:$AH$726)*IF($BM$5="Gr X H",1,100)</f>
        <v>0</v>
      </c>
      <c r="BQ99" s="138">
        <f>LOOKUP($BV99,PROD!$A$5:$A$725,PROD!$AI$6:$AI$726)*IF($BM$5="Gr X H",1,100)</f>
        <v>0</v>
      </c>
      <c r="BR99" s="849">
        <f t="shared" si="51"/>
        <v>0</v>
      </c>
      <c r="BS99" s="137">
        <f>LOOKUP(TP!$A99,PROD!$A$5:$A$725,PROD!$AH$9:$AH$729)</f>
        <v>0</v>
      </c>
      <c r="BT99" s="138">
        <f>LOOKUP(TP!$A99,PROD!$A$5:$A$725,PROD!$AI$9:$AI$729)</f>
        <v>0</v>
      </c>
      <c r="BU99" s="849">
        <f t="shared" si="52"/>
        <v>0</v>
      </c>
      <c r="BV99" s="833">
        <f t="shared" si="57"/>
        <v>111</v>
      </c>
      <c r="BW99" s="191">
        <f ca="1">LOOKUP($BV99,INVENTARIOS!$A$4:$A$718,ECONO!$T$4:$T$724)*100</f>
        <v>0</v>
      </c>
      <c r="BX99" s="606">
        <f ca="1">LOOKUP($BV99,INVENTARIOS!$A$4:$A$718,ECONO!$T$5:$T$725)*100</f>
        <v>0</v>
      </c>
      <c r="BY99" s="606">
        <f ca="1">LOOKUP($BV99,INVENTARIOS!$A$4:$A$718,ECONO!$T$6:$T$726)*100</f>
        <v>0</v>
      </c>
      <c r="BZ99" s="606">
        <f ca="1">LOOKUP($BV99,INVENTARIOS!$A$4:$A$718,ECONO!$T$7:$T$727)*100</f>
        <v>0</v>
      </c>
      <c r="CA99" s="606">
        <f ca="1">LOOKUP($BV99,INVENTARIOS!$A$4:$A$718,ECONO!$T$8:$T$728)*100</f>
        <v>0</v>
      </c>
      <c r="CB99" s="606">
        <f ca="1">LOOKUP($BV99,INVENTARIOS!$A$4:$A$718,ECONO!$T$9:$T$729)*100</f>
        <v>0</v>
      </c>
      <c r="CC99" s="606">
        <f ca="1">LOOKUP($BV99,INVENTARIOS!$A$4:$A$718,ECONO!$T$10:$T$730)*100</f>
        <v>0</v>
      </c>
      <c r="CD99" s="99">
        <f ca="1">LOOKUP($BV99,INVENTARIOS!$A$4:$A$718,ECONO!$X$8:$X$728)*100</f>
        <v>0</v>
      </c>
      <c r="CE99" s="99">
        <f ca="1">LOOKUP($BV99,INVENTARIOS!$A$4:$A$718,ECONO!$X$9:$X$729)*100</f>
        <v>0</v>
      </c>
      <c r="CF99" s="192">
        <f ca="1">LOOKUP($BV99,INVENTARIOS!$A$4:$A$718,ECONO!$X$10:$X$730)*100</f>
        <v>0</v>
      </c>
      <c r="CG99" s="195">
        <f ca="1">LOOKUP(GSh!$BV99,INVENTARIOS!$A$4:$A$718,ECONO!$X$4:$X$724)*100</f>
        <v>0</v>
      </c>
      <c r="CH99" s="98">
        <f ca="1">LOOKUP(GSh!$BV99,INVENTARIOS!$A$4:$A$718,ECONO!$X$5:$X$725)*100</f>
        <v>0</v>
      </c>
      <c r="CI99" s="98">
        <f ca="1">LOOKUP(GSh!$BV99,INVENTARIOS!$A$4:$A$718,ECONO!$X$6:$X$726)*100</f>
        <v>0</v>
      </c>
      <c r="CJ99" s="194">
        <f ca="1">LOOKUP(GSh!$BV99,INVENTARIOS!$A$4:$A$718,ECONO!$X$7:$X$727)*100</f>
        <v>0</v>
      </c>
      <c r="CK99" s="34">
        <f>IF(OR(AO99&gt;0,AT99&gt;0,AD99&gt;0),TP!A99,CK98)</f>
        <v>0</v>
      </c>
      <c r="CL99" s="257">
        <f>LOOKUP($BV99,INVENTARIOS!$A$4:$A$724,ECONO!$O$10:$O$730)</f>
        <v>0</v>
      </c>
      <c r="CM99" s="258">
        <f>LOOKUP($BV99,INVENTARIOS!$A$4:$A$724,ECONO!$Z$9:$Z$729)</f>
        <v>0</v>
      </c>
      <c r="CN99" s="260">
        <f t="shared" si="53"/>
        <v>0</v>
      </c>
      <c r="CO99"/>
    </row>
    <row r="100" spans="29:93" x14ac:dyDescent="0.3">
      <c r="AC100" s="1193">
        <f t="shared" si="41"/>
        <v>112</v>
      </c>
      <c r="AD100" s="844">
        <f>LOOKUP(TP!$A100,PROD!$A$5:$A$725,PROD!$O$5:$O$725)</f>
        <v>0</v>
      </c>
      <c r="AE100" s="101">
        <f>IFERROR(LOOKUP(Linea,TP!$B$3:$DE$3,TP!B100:DE100),0)</f>
        <v>0</v>
      </c>
      <c r="AF100" s="101">
        <f t="shared" si="58"/>
        <v>0</v>
      </c>
      <c r="AG100" s="101">
        <f t="shared" si="59"/>
        <v>0</v>
      </c>
      <c r="AH100" s="845">
        <f t="shared" si="42"/>
        <v>0</v>
      </c>
      <c r="AI100" s="846">
        <f>LOOKUP(TP!$A100,PROD!$A$5:$A$725,PROD!$O$6:$O$726)</f>
        <v>0</v>
      </c>
      <c r="AJ100" s="101">
        <f>IFERROR(LOOKUP(Linea,TP!$B$3:$DE$3,TP!C100:DF100),0)</f>
        <v>0</v>
      </c>
      <c r="AK100" s="101">
        <f t="shared" si="60"/>
        <v>0</v>
      </c>
      <c r="AL100" s="101">
        <f t="shared" si="61"/>
        <v>0</v>
      </c>
      <c r="AM100" s="837">
        <f t="shared" si="43"/>
        <v>0</v>
      </c>
      <c r="AN100" s="176">
        <f>LOOKUP(TP!$A100,PROD!$A$5:$A$725,PROD!$I$11:$I$731)</f>
        <v>0</v>
      </c>
      <c r="AO100" s="171">
        <f>LOOKUP(TP!$A100,PROD!$A$5:$A$725,PROD!$K$5:$K$725)*100</f>
        <v>0</v>
      </c>
      <c r="AP100" s="110">
        <f>LOOKUP(TP!$A100,PROD!$A$5:$A$725,PROD!$K$8:$K$728)*100</f>
        <v>0</v>
      </c>
      <c r="AQ100" s="110">
        <f t="shared" si="44"/>
        <v>100</v>
      </c>
      <c r="AR100" s="109">
        <f>IFERROR(LOOKUP(Linea,TP!$B$3:$DE$3,TP!D100:DG100),0)</f>
        <v>0</v>
      </c>
      <c r="AS100" s="838">
        <f>SUMIF(PROD!$BF$5:$BF$725,GSh!$BV100,PROD!$V$5:$V$725)/1000*PROD!$A$1</f>
        <v>0</v>
      </c>
      <c r="AT100" s="627">
        <f>LOOKUP(TP!$A100,PROD!$A$5:$A$725,PROD!$AD$5:$AD$725)</f>
        <v>0</v>
      </c>
      <c r="AU100" s="101">
        <f>IFERROR(LOOKUP(Linea,TP!$B$3:$DE$3,TP!E100:DH100),0)</f>
        <v>0</v>
      </c>
      <c r="AV100" s="847">
        <f t="shared" si="45"/>
        <v>0</v>
      </c>
      <c r="AW100" s="1081">
        <f>LOOKUP($BV100,PROD!$A$5:$A$725,PROD!$AE$10:$AE$730)</f>
        <v>0</v>
      </c>
      <c r="AX100" s="1076">
        <f>LOOKUP($BV100,PROD!$A$5:$A$725,PROD!$AE$11:$AE$731)</f>
        <v>0</v>
      </c>
      <c r="AY100" s="114">
        <f>'Pr-Sem'!Z100</f>
        <v>0</v>
      </c>
      <c r="AZ100" s="101">
        <f>IFERROR(LOOKUP(Linea,TP!$B$3:$DE$3,TP!F100:DI100),0)</f>
        <v>0</v>
      </c>
      <c r="BA100" s="840">
        <f>LOOKUP(TP!$A100,PROD!$A$5:$A$725,PROD!$Q$7:$Q$727)</f>
        <v>0</v>
      </c>
      <c r="BB100" s="118">
        <f t="shared" si="54"/>
        <v>0</v>
      </c>
      <c r="BC100" s="109">
        <f t="shared" si="55"/>
        <v>0</v>
      </c>
      <c r="BD100" s="125">
        <f>LOOKUP(TP!$A100,PROD!$A$5:$A$725,PROD!$AH$7:$AH$727)</f>
        <v>0</v>
      </c>
      <c r="BE100" s="101">
        <f t="shared" si="46"/>
        <v>0</v>
      </c>
      <c r="BF100" s="850">
        <f t="shared" si="47"/>
        <v>0</v>
      </c>
      <c r="BG100" s="129">
        <f>LOOKUP(TP!$A100,PROD!$A$5:$A$725,PROD!$AH$8:$AH$728)</f>
        <v>0</v>
      </c>
      <c r="BH100" s="101">
        <f t="shared" si="56"/>
        <v>0</v>
      </c>
      <c r="BI100" s="849">
        <f t="shared" si="48"/>
        <v>0</v>
      </c>
      <c r="BJ100" s="513">
        <f>'Pr-Sem'!AC100*10</f>
        <v>0</v>
      </c>
      <c r="BK100" s="514">
        <f>IFERROR(LOOKUP(Linea,TP!$B$3:$DE$3,TP!J100:DJ100),0)</f>
        <v>0</v>
      </c>
      <c r="BL100" s="848">
        <f t="shared" si="49"/>
        <v>0</v>
      </c>
      <c r="BM100" s="137">
        <f>LOOKUP($BV100,PROD!$A$5:$A$725,PROD!$AH$5:$AH$725)*IF($BM$5="Gr X H",1,100)</f>
        <v>0</v>
      </c>
      <c r="BN100" s="138">
        <f>LOOKUP($BV100,PROD!$A$5:$A$725,PROD!$AI$5:$AI$725)*IF($BM$5="Gr X H",1,100)</f>
        <v>0</v>
      </c>
      <c r="BO100" s="849">
        <f t="shared" si="50"/>
        <v>0</v>
      </c>
      <c r="BP100" s="137">
        <f>LOOKUP(BV100,PROD!$A$5:$A$725,PROD!$AH$6:$AH$726)*IF($BM$5="Gr X H",1,100)</f>
        <v>0</v>
      </c>
      <c r="BQ100" s="138">
        <f>LOOKUP($BV100,PROD!$A$5:$A$725,PROD!$AI$6:$AI$726)*IF($BM$5="Gr X H",1,100)</f>
        <v>0</v>
      </c>
      <c r="BR100" s="849">
        <f t="shared" si="51"/>
        <v>0</v>
      </c>
      <c r="BS100" s="137">
        <f>LOOKUP(TP!$A100,PROD!$A$5:$A$725,PROD!$AH$9:$AH$729)</f>
        <v>0</v>
      </c>
      <c r="BT100" s="138">
        <f>LOOKUP(TP!$A100,PROD!$A$5:$A$725,PROD!$AI$9:$AI$729)</f>
        <v>0</v>
      </c>
      <c r="BU100" s="849">
        <f t="shared" si="52"/>
        <v>0</v>
      </c>
      <c r="BV100" s="833">
        <f t="shared" si="57"/>
        <v>112</v>
      </c>
      <c r="BW100" s="191">
        <f ca="1">LOOKUP($BV100,INVENTARIOS!$A$4:$A$718,ECONO!$T$4:$T$724)*100</f>
        <v>0</v>
      </c>
      <c r="BX100" s="606">
        <f ca="1">LOOKUP($BV100,INVENTARIOS!$A$4:$A$718,ECONO!$T$5:$T$725)*100</f>
        <v>0</v>
      </c>
      <c r="BY100" s="606">
        <f ca="1">LOOKUP($BV100,INVENTARIOS!$A$4:$A$718,ECONO!$T$6:$T$726)*100</f>
        <v>0</v>
      </c>
      <c r="BZ100" s="606">
        <f ca="1">LOOKUP($BV100,INVENTARIOS!$A$4:$A$718,ECONO!$T$7:$T$727)*100</f>
        <v>0</v>
      </c>
      <c r="CA100" s="606">
        <f ca="1">LOOKUP($BV100,INVENTARIOS!$A$4:$A$718,ECONO!$T$8:$T$728)*100</f>
        <v>0</v>
      </c>
      <c r="CB100" s="606">
        <f ca="1">LOOKUP($BV100,INVENTARIOS!$A$4:$A$718,ECONO!$T$9:$T$729)*100</f>
        <v>0</v>
      </c>
      <c r="CC100" s="606">
        <f ca="1">LOOKUP($BV100,INVENTARIOS!$A$4:$A$718,ECONO!$T$10:$T$730)*100</f>
        <v>0</v>
      </c>
      <c r="CD100" s="99">
        <f ca="1">LOOKUP($BV100,INVENTARIOS!$A$4:$A$718,ECONO!$X$8:$X$728)*100</f>
        <v>0</v>
      </c>
      <c r="CE100" s="99">
        <f ca="1">LOOKUP($BV100,INVENTARIOS!$A$4:$A$718,ECONO!$X$9:$X$729)*100</f>
        <v>0</v>
      </c>
      <c r="CF100" s="192">
        <f ca="1">LOOKUP($BV100,INVENTARIOS!$A$4:$A$718,ECONO!$X$10:$X$730)*100</f>
        <v>0</v>
      </c>
      <c r="CG100" s="195">
        <f ca="1">LOOKUP(GSh!$BV100,INVENTARIOS!$A$4:$A$718,ECONO!$X$4:$X$724)*100</f>
        <v>0</v>
      </c>
      <c r="CH100" s="98">
        <f ca="1">LOOKUP(GSh!$BV100,INVENTARIOS!$A$4:$A$718,ECONO!$X$5:$X$725)*100</f>
        <v>0</v>
      </c>
      <c r="CI100" s="98">
        <f ca="1">LOOKUP(GSh!$BV100,INVENTARIOS!$A$4:$A$718,ECONO!$X$6:$X$726)*100</f>
        <v>0</v>
      </c>
      <c r="CJ100" s="194">
        <f ca="1">LOOKUP(GSh!$BV100,INVENTARIOS!$A$4:$A$718,ECONO!$X$7:$X$727)*100</f>
        <v>0</v>
      </c>
      <c r="CK100" s="34">
        <f>IF(OR(AO100&gt;0,AT100&gt;0,AD100&gt;0),TP!A100,CK99)</f>
        <v>0</v>
      </c>
      <c r="CL100" s="257">
        <f>LOOKUP($BV100,INVENTARIOS!$A$4:$A$724,ECONO!$O$10:$O$730)</f>
        <v>0</v>
      </c>
      <c r="CM100" s="258">
        <f>LOOKUP($BV100,INVENTARIOS!$A$4:$A$724,ECONO!$Z$9:$Z$729)</f>
        <v>0</v>
      </c>
      <c r="CN100" s="260">
        <f t="shared" si="53"/>
        <v>0</v>
      </c>
      <c r="CO100"/>
    </row>
    <row r="101" spans="29:93" x14ac:dyDescent="0.3">
      <c r="AC101" s="1193">
        <f t="shared" si="41"/>
        <v>113</v>
      </c>
      <c r="AD101" s="844">
        <f>LOOKUP(TP!$A101,PROD!$A$5:$A$725,PROD!$O$5:$O$725)</f>
        <v>0</v>
      </c>
      <c r="AE101" s="101">
        <f>IFERROR(LOOKUP(Linea,TP!$B$3:$DE$3,TP!B101:DE101),0)</f>
        <v>0</v>
      </c>
      <c r="AF101" s="101">
        <f t="shared" si="58"/>
        <v>0</v>
      </c>
      <c r="AG101" s="101">
        <f t="shared" si="59"/>
        <v>0</v>
      </c>
      <c r="AH101" s="845">
        <f t="shared" si="42"/>
        <v>0</v>
      </c>
      <c r="AI101" s="846">
        <f>LOOKUP(TP!$A101,PROD!$A$5:$A$725,PROD!$O$6:$O$726)</f>
        <v>0</v>
      </c>
      <c r="AJ101" s="101">
        <f>IFERROR(LOOKUP(Linea,TP!$B$3:$DE$3,TP!C101:DF101),0)</f>
        <v>0</v>
      </c>
      <c r="AK101" s="101">
        <f t="shared" si="60"/>
        <v>0</v>
      </c>
      <c r="AL101" s="101">
        <f t="shared" si="61"/>
        <v>0</v>
      </c>
      <c r="AM101" s="837">
        <f t="shared" si="43"/>
        <v>0</v>
      </c>
      <c r="AN101" s="176">
        <f>LOOKUP(TP!$A101,PROD!$A$5:$A$725,PROD!$I$11:$I$731)</f>
        <v>0</v>
      </c>
      <c r="AO101" s="171">
        <f>LOOKUP(TP!$A101,PROD!$A$5:$A$725,PROD!$K$5:$K$725)*100</f>
        <v>0</v>
      </c>
      <c r="AP101" s="110">
        <f>LOOKUP(TP!$A101,PROD!$A$5:$A$725,PROD!$K$8:$K$728)*100</f>
        <v>0</v>
      </c>
      <c r="AQ101" s="110">
        <f t="shared" si="44"/>
        <v>100</v>
      </c>
      <c r="AR101" s="109">
        <f>IFERROR(LOOKUP(Linea,TP!$B$3:$DE$3,TP!D101:DG101),0)</f>
        <v>0</v>
      </c>
      <c r="AS101" s="838">
        <f>SUMIF(PROD!$BF$5:$BF$725,GSh!$BV101,PROD!$V$5:$V$725)/1000*PROD!$A$1</f>
        <v>0</v>
      </c>
      <c r="AT101" s="627">
        <f>LOOKUP(TP!$A101,PROD!$A$5:$A$725,PROD!$AD$5:$AD$725)</f>
        <v>0</v>
      </c>
      <c r="AU101" s="101">
        <f>IFERROR(LOOKUP(Linea,TP!$B$3:$DE$3,TP!E101:DH101),0)</f>
        <v>0</v>
      </c>
      <c r="AV101" s="847">
        <f t="shared" si="45"/>
        <v>0</v>
      </c>
      <c r="AW101" s="1081">
        <f>LOOKUP($BV101,PROD!$A$5:$A$725,PROD!$AE$10:$AE$730)</f>
        <v>0</v>
      </c>
      <c r="AX101" s="1076">
        <f>LOOKUP($BV101,PROD!$A$5:$A$725,PROD!$AE$11:$AE$731)</f>
        <v>0</v>
      </c>
      <c r="AY101" s="114">
        <f>'Pr-Sem'!Z101</f>
        <v>0</v>
      </c>
      <c r="AZ101" s="101">
        <f>IFERROR(LOOKUP(Linea,TP!$B$3:$DE$3,TP!F101:DI101),0)</f>
        <v>0</v>
      </c>
      <c r="BA101" s="840">
        <f>LOOKUP(TP!$A101,PROD!$A$5:$A$725,PROD!$Q$7:$Q$727)</f>
        <v>0</v>
      </c>
      <c r="BB101" s="118">
        <f t="shared" si="54"/>
        <v>0</v>
      </c>
      <c r="BC101" s="109">
        <f t="shared" si="55"/>
        <v>0</v>
      </c>
      <c r="BD101" s="125">
        <f>LOOKUP(TP!$A101,PROD!$A$5:$A$725,PROD!$AH$7:$AH$727)</f>
        <v>0</v>
      </c>
      <c r="BE101" s="101">
        <f t="shared" si="46"/>
        <v>0</v>
      </c>
      <c r="BF101" s="850">
        <f t="shared" si="47"/>
        <v>0</v>
      </c>
      <c r="BG101" s="129">
        <f>LOOKUP(TP!$A101,PROD!$A$5:$A$725,PROD!$AH$8:$AH$728)</f>
        <v>0</v>
      </c>
      <c r="BH101" s="101">
        <f t="shared" si="56"/>
        <v>0</v>
      </c>
      <c r="BI101" s="849">
        <f t="shared" si="48"/>
        <v>0</v>
      </c>
      <c r="BJ101" s="513">
        <f>'Pr-Sem'!AC101*10</f>
        <v>0</v>
      </c>
      <c r="BK101" s="514">
        <f>IFERROR(LOOKUP(Linea,TP!$B$3:$DE$3,TP!J101:DJ101),0)</f>
        <v>0</v>
      </c>
      <c r="BL101" s="848">
        <f t="shared" si="49"/>
        <v>0</v>
      </c>
      <c r="BM101" s="137">
        <f>LOOKUP($BV101,PROD!$A$5:$A$725,PROD!$AH$5:$AH$725)*IF($BM$5="Gr X H",1,100)</f>
        <v>0</v>
      </c>
      <c r="BN101" s="138">
        <f>LOOKUP($BV101,PROD!$A$5:$A$725,PROD!$AI$5:$AI$725)*IF($BM$5="Gr X H",1,100)</f>
        <v>0</v>
      </c>
      <c r="BO101" s="849">
        <f t="shared" si="50"/>
        <v>0</v>
      </c>
      <c r="BP101" s="137">
        <f>LOOKUP(BV101,PROD!$A$5:$A$725,PROD!$AH$6:$AH$726)*IF($BM$5="Gr X H",1,100)</f>
        <v>0</v>
      </c>
      <c r="BQ101" s="138">
        <f>LOOKUP($BV101,PROD!$A$5:$A$725,PROD!$AI$6:$AI$726)*IF($BM$5="Gr X H",1,100)</f>
        <v>0</v>
      </c>
      <c r="BR101" s="849">
        <f t="shared" si="51"/>
        <v>0</v>
      </c>
      <c r="BS101" s="137">
        <f>LOOKUP(TP!$A101,PROD!$A$5:$A$725,PROD!$AH$9:$AH$729)</f>
        <v>0</v>
      </c>
      <c r="BT101" s="138">
        <f>LOOKUP(TP!$A101,PROD!$A$5:$A$725,PROD!$AI$9:$AI$729)</f>
        <v>0</v>
      </c>
      <c r="BU101" s="849">
        <f t="shared" si="52"/>
        <v>0</v>
      </c>
      <c r="BV101" s="833">
        <f t="shared" si="57"/>
        <v>113</v>
      </c>
      <c r="BW101" s="191">
        <f ca="1">LOOKUP($BV101,INVENTARIOS!$A$4:$A$718,ECONO!$T$4:$T$724)*100</f>
        <v>0</v>
      </c>
      <c r="BX101" s="606">
        <f ca="1">LOOKUP($BV101,INVENTARIOS!$A$4:$A$718,ECONO!$T$5:$T$725)*100</f>
        <v>0</v>
      </c>
      <c r="BY101" s="606">
        <f ca="1">LOOKUP($BV101,INVENTARIOS!$A$4:$A$718,ECONO!$T$6:$T$726)*100</f>
        <v>0</v>
      </c>
      <c r="BZ101" s="606">
        <f ca="1">LOOKUP($BV101,INVENTARIOS!$A$4:$A$718,ECONO!$T$7:$T$727)*100</f>
        <v>0</v>
      </c>
      <c r="CA101" s="606">
        <f ca="1">LOOKUP($BV101,INVENTARIOS!$A$4:$A$718,ECONO!$T$8:$T$728)*100</f>
        <v>0</v>
      </c>
      <c r="CB101" s="606">
        <f ca="1">LOOKUP($BV101,INVENTARIOS!$A$4:$A$718,ECONO!$T$9:$T$729)*100</f>
        <v>0</v>
      </c>
      <c r="CC101" s="606">
        <f ca="1">LOOKUP($BV101,INVENTARIOS!$A$4:$A$718,ECONO!$T$10:$T$730)*100</f>
        <v>0</v>
      </c>
      <c r="CD101" s="99">
        <f ca="1">LOOKUP($BV101,INVENTARIOS!$A$4:$A$718,ECONO!$X$8:$X$728)*100</f>
        <v>0</v>
      </c>
      <c r="CE101" s="99">
        <f ca="1">LOOKUP($BV101,INVENTARIOS!$A$4:$A$718,ECONO!$X$9:$X$729)*100</f>
        <v>0</v>
      </c>
      <c r="CF101" s="192">
        <f ca="1">LOOKUP($BV101,INVENTARIOS!$A$4:$A$718,ECONO!$X$10:$X$730)*100</f>
        <v>0</v>
      </c>
      <c r="CG101" s="195">
        <f ca="1">LOOKUP(GSh!$BV101,INVENTARIOS!$A$4:$A$718,ECONO!$X$4:$X$724)*100</f>
        <v>0</v>
      </c>
      <c r="CH101" s="98">
        <f ca="1">LOOKUP(GSh!$BV101,INVENTARIOS!$A$4:$A$718,ECONO!$X$5:$X$725)*100</f>
        <v>0</v>
      </c>
      <c r="CI101" s="98">
        <f ca="1">LOOKUP(GSh!$BV101,INVENTARIOS!$A$4:$A$718,ECONO!$X$6:$X$726)*100</f>
        <v>0</v>
      </c>
      <c r="CJ101" s="194">
        <f ca="1">LOOKUP(GSh!$BV101,INVENTARIOS!$A$4:$A$718,ECONO!$X$7:$X$727)*100</f>
        <v>0</v>
      </c>
      <c r="CK101" s="34">
        <f>IF(OR(AO101&gt;0,AT101&gt;0,AD101&gt;0),TP!A101,CK100)</f>
        <v>0</v>
      </c>
      <c r="CL101" s="257">
        <f>LOOKUP($BV101,INVENTARIOS!$A$4:$A$724,ECONO!$O$10:$O$730)</f>
        <v>0</v>
      </c>
      <c r="CM101" s="258">
        <f>LOOKUP($BV101,INVENTARIOS!$A$4:$A$724,ECONO!$Z$9:$Z$729)</f>
        <v>0</v>
      </c>
      <c r="CN101" s="260">
        <f t="shared" si="53"/>
        <v>0</v>
      </c>
      <c r="CO101"/>
    </row>
    <row r="102" spans="29:93" x14ac:dyDescent="0.3">
      <c r="AC102" s="1193">
        <f t="shared" ref="AC102:AC108" si="62">BV102</f>
        <v>114</v>
      </c>
      <c r="AD102" s="844">
        <f>LOOKUP(TP!$A102,PROD!$A$5:$A$725,PROD!$O$5:$O$725)</f>
        <v>0</v>
      </c>
      <c r="AE102" s="101">
        <f>IFERROR(LOOKUP(Linea,TP!$B$3:$DE$3,TP!B102:DE102),0)</f>
        <v>0</v>
      </c>
      <c r="AF102" s="101">
        <f t="shared" si="58"/>
        <v>0</v>
      </c>
      <c r="AG102" s="101">
        <f t="shared" si="59"/>
        <v>0</v>
      </c>
      <c r="AH102" s="845">
        <f t="shared" ref="AH102:AH108" si="63">IF(AND(AD102&gt;0,AE102&gt;0),AD102-AE102,0)</f>
        <v>0</v>
      </c>
      <c r="AI102" s="846">
        <f>LOOKUP(TP!$A102,PROD!$A$5:$A$725,PROD!$O$6:$O$726)</f>
        <v>0</v>
      </c>
      <c r="AJ102" s="101">
        <f>IFERROR(LOOKUP(Linea,TP!$B$3:$DE$3,TP!C102:DF102),0)</f>
        <v>0</v>
      </c>
      <c r="AK102" s="101">
        <f t="shared" si="60"/>
        <v>0</v>
      </c>
      <c r="AL102" s="101">
        <f t="shared" si="61"/>
        <v>0</v>
      </c>
      <c r="AM102" s="837">
        <f t="shared" ref="AM102:AM108" si="64">IF(AND(AI102&gt;0,AJ102&gt;0),AI102-AJ102,0)</f>
        <v>0</v>
      </c>
      <c r="AN102" s="176">
        <f>LOOKUP(TP!$A102,PROD!$A$5:$A$725,PROD!$I$11:$I$731)</f>
        <v>0</v>
      </c>
      <c r="AO102" s="171">
        <f>LOOKUP(TP!$A102,PROD!$A$5:$A$725,PROD!$K$5:$K$725)*100</f>
        <v>0</v>
      </c>
      <c r="AP102" s="110">
        <f>LOOKUP(TP!$A102,PROD!$A$5:$A$725,PROD!$K$8:$K$728)*100</f>
        <v>0</v>
      </c>
      <c r="AQ102" s="110">
        <f t="shared" ref="AQ102:AQ108" si="65">100-AP102</f>
        <v>100</v>
      </c>
      <c r="AR102" s="109">
        <f>IFERROR(LOOKUP(Linea,TP!$B$3:$DE$3,TP!D102:DG102),0)</f>
        <v>0</v>
      </c>
      <c r="AS102" s="838">
        <f>SUMIF(PROD!$BF$5:$BF$725,GSh!$BV102,PROD!$V$5:$V$725)/1000*PROD!$A$1</f>
        <v>0</v>
      </c>
      <c r="AT102" s="627">
        <f>LOOKUP(TP!$A102,PROD!$A$5:$A$725,PROD!$AD$5:$AD$725)</f>
        <v>0</v>
      </c>
      <c r="AU102" s="101">
        <f>IFERROR(LOOKUP(Linea,TP!$B$3:$DE$3,TP!E102:DH102),0)</f>
        <v>0</v>
      </c>
      <c r="AV102" s="847">
        <f t="shared" ref="AV102:AV108" si="66">IF(AND(AT102&gt;0,AU102&gt;0),(AT102-AU102)/AU102*100,0)</f>
        <v>0</v>
      </c>
      <c r="AW102" s="1081">
        <f>LOOKUP($BV102,PROD!$A$5:$A$725,PROD!$AE$10:$AE$730)</f>
        <v>0</v>
      </c>
      <c r="AX102" s="1076">
        <f>LOOKUP($BV102,PROD!$A$5:$A$725,PROD!$AE$11:$AE$731)</f>
        <v>0</v>
      </c>
      <c r="AY102" s="114">
        <f>'Pr-Sem'!Z102</f>
        <v>0</v>
      </c>
      <c r="AZ102" s="101">
        <f>IFERROR(LOOKUP(Linea,TP!$B$3:$DE$3,TP!F102:DI102),0)</f>
        <v>0</v>
      </c>
      <c r="BA102" s="840">
        <f>LOOKUP(TP!$A102,PROD!$A$5:$A$725,PROD!$Q$7:$Q$727)</f>
        <v>0</v>
      </c>
      <c r="BB102" s="118">
        <f t="shared" si="54"/>
        <v>0</v>
      </c>
      <c r="BC102" s="109">
        <f t="shared" si="55"/>
        <v>0</v>
      </c>
      <c r="BD102" s="125">
        <f>LOOKUP(TP!$A102,PROD!$A$5:$A$725,PROD!$AH$7:$AH$727)</f>
        <v>0</v>
      </c>
      <c r="BE102" s="101">
        <f t="shared" ref="BE102:BE108" si="67">AE102/100*7*AZ102</f>
        <v>0</v>
      </c>
      <c r="BF102" s="850">
        <f t="shared" si="47"/>
        <v>0</v>
      </c>
      <c r="BG102" s="129">
        <f>LOOKUP(TP!$A102,PROD!$A$5:$A$725,PROD!$AH$8:$AH$728)</f>
        <v>0</v>
      </c>
      <c r="BH102" s="101">
        <f t="shared" si="56"/>
        <v>0</v>
      </c>
      <c r="BI102" s="849">
        <f t="shared" si="48"/>
        <v>0</v>
      </c>
      <c r="BJ102" s="513">
        <f>'Pr-Sem'!AC102*10</f>
        <v>0</v>
      </c>
      <c r="BK102" s="514">
        <f>IFERROR(LOOKUP(Linea,TP!$B$3:$DE$3,TP!J102:DJ102),0)</f>
        <v>0</v>
      </c>
      <c r="BL102" s="848">
        <f t="shared" si="49"/>
        <v>0</v>
      </c>
      <c r="BM102" s="137">
        <f>LOOKUP($BV102,PROD!$A$5:$A$725,PROD!$AH$5:$AH$725)*IF($BM$5="Gr X H",1,100)</f>
        <v>0</v>
      </c>
      <c r="BN102" s="138">
        <f>LOOKUP($BV102,PROD!$A$5:$A$725,PROD!$AI$5:$AI$725)*IF($BM$5="Gr X H",1,100)</f>
        <v>0</v>
      </c>
      <c r="BO102" s="849">
        <f t="shared" si="50"/>
        <v>0</v>
      </c>
      <c r="BP102" s="137">
        <f>LOOKUP(BV102,PROD!$A$5:$A$725,PROD!$AH$6:$AH$726)*IF($BM$5="Gr X H",1,100)</f>
        <v>0</v>
      </c>
      <c r="BQ102" s="138">
        <f>LOOKUP($BV102,PROD!$A$5:$A$725,PROD!$AI$6:$AI$726)*IF($BM$5="Gr X H",1,100)</f>
        <v>0</v>
      </c>
      <c r="BR102" s="849">
        <f t="shared" si="51"/>
        <v>0</v>
      </c>
      <c r="BS102" s="137">
        <f>LOOKUP(TP!$A102,PROD!$A$5:$A$725,PROD!$AH$9:$AH$729)</f>
        <v>0</v>
      </c>
      <c r="BT102" s="138">
        <f>LOOKUP(TP!$A102,PROD!$A$5:$A$725,PROD!$AI$9:$AI$729)</f>
        <v>0</v>
      </c>
      <c r="BU102" s="849">
        <f t="shared" si="52"/>
        <v>0</v>
      </c>
      <c r="BV102" s="833">
        <f t="shared" si="57"/>
        <v>114</v>
      </c>
      <c r="BW102" s="191">
        <f ca="1">LOOKUP($BV102,INVENTARIOS!$A$4:$A$718,ECONO!$T$4:$T$724)*100</f>
        <v>0</v>
      </c>
      <c r="BX102" s="606">
        <f ca="1">LOOKUP($BV102,INVENTARIOS!$A$4:$A$718,ECONO!$T$5:$T$725)*100</f>
        <v>0</v>
      </c>
      <c r="BY102" s="606">
        <f ca="1">LOOKUP($BV102,INVENTARIOS!$A$4:$A$718,ECONO!$T$6:$T$726)*100</f>
        <v>0</v>
      </c>
      <c r="BZ102" s="606">
        <f ca="1">LOOKUP($BV102,INVENTARIOS!$A$4:$A$718,ECONO!$T$7:$T$727)*100</f>
        <v>0</v>
      </c>
      <c r="CA102" s="606">
        <f ca="1">LOOKUP($BV102,INVENTARIOS!$A$4:$A$718,ECONO!$T$8:$T$728)*100</f>
        <v>0</v>
      </c>
      <c r="CB102" s="606">
        <f ca="1">LOOKUP($BV102,INVENTARIOS!$A$4:$A$718,ECONO!$T$9:$T$729)*100</f>
        <v>0</v>
      </c>
      <c r="CC102" s="606">
        <f ca="1">LOOKUP($BV102,INVENTARIOS!$A$4:$A$718,ECONO!$T$10:$T$730)*100</f>
        <v>0</v>
      </c>
      <c r="CD102" s="99">
        <f ca="1">LOOKUP($BV102,INVENTARIOS!$A$4:$A$718,ECONO!$X$8:$X$728)*100</f>
        <v>0</v>
      </c>
      <c r="CE102" s="99">
        <f ca="1">LOOKUP($BV102,INVENTARIOS!$A$4:$A$718,ECONO!$X$9:$X$729)*100</f>
        <v>0</v>
      </c>
      <c r="CF102" s="192">
        <f ca="1">LOOKUP($BV102,INVENTARIOS!$A$4:$A$718,ECONO!$X$10:$X$730)*100</f>
        <v>0</v>
      </c>
      <c r="CG102" s="195">
        <f ca="1">LOOKUP(GSh!$BV102,INVENTARIOS!$A$4:$A$718,ECONO!$X$4:$X$724)*100</f>
        <v>0</v>
      </c>
      <c r="CH102" s="98">
        <f ca="1">LOOKUP(GSh!$BV102,INVENTARIOS!$A$4:$A$718,ECONO!$X$5:$X$725)*100</f>
        <v>0</v>
      </c>
      <c r="CI102" s="98">
        <f ca="1">LOOKUP(GSh!$BV102,INVENTARIOS!$A$4:$A$718,ECONO!$X$6:$X$726)*100</f>
        <v>0</v>
      </c>
      <c r="CJ102" s="194">
        <f ca="1">LOOKUP(GSh!$BV102,INVENTARIOS!$A$4:$A$718,ECONO!$X$7:$X$727)*100</f>
        <v>0</v>
      </c>
      <c r="CK102" s="34">
        <f>IF(OR(AO102&gt;0,AT102&gt;0,AD102&gt;0),TP!A102,CK101)</f>
        <v>0</v>
      </c>
      <c r="CL102" s="257">
        <f>LOOKUP($BV102,INVENTARIOS!$A$4:$A$724,ECONO!$O$10:$O$730)</f>
        <v>0</v>
      </c>
      <c r="CM102" s="258">
        <f>LOOKUP($BV102,INVENTARIOS!$A$4:$A$724,ECONO!$Z$9:$Z$729)</f>
        <v>0</v>
      </c>
      <c r="CN102" s="260">
        <f t="shared" ref="CN102:CN108" si="68">CM102-CL102</f>
        <v>0</v>
      </c>
      <c r="CO102"/>
    </row>
    <row r="103" spans="29:93" x14ac:dyDescent="0.3">
      <c r="AC103" s="1193">
        <f t="shared" si="62"/>
        <v>115</v>
      </c>
      <c r="AD103" s="844">
        <f>LOOKUP(TP!$A103,PROD!$A$5:$A$725,PROD!$O$5:$O$725)</f>
        <v>0</v>
      </c>
      <c r="AE103" s="101">
        <f>IFERROR(LOOKUP(Linea,TP!$B$3:$DE$3,TP!B103:DE103),0)</f>
        <v>0</v>
      </c>
      <c r="AF103" s="101">
        <f t="shared" si="58"/>
        <v>0</v>
      </c>
      <c r="AG103" s="101">
        <f t="shared" si="59"/>
        <v>0</v>
      </c>
      <c r="AH103" s="845">
        <f t="shared" si="63"/>
        <v>0</v>
      </c>
      <c r="AI103" s="846">
        <f>LOOKUP(TP!$A103,PROD!$A$5:$A$725,PROD!$O$6:$O$726)</f>
        <v>0</v>
      </c>
      <c r="AJ103" s="101">
        <f>IFERROR(LOOKUP(Linea,TP!$B$3:$DE$3,TP!C103:DF103),0)</f>
        <v>0</v>
      </c>
      <c r="AK103" s="101">
        <f t="shared" si="60"/>
        <v>0</v>
      </c>
      <c r="AL103" s="101">
        <f t="shared" si="61"/>
        <v>0</v>
      </c>
      <c r="AM103" s="837">
        <f t="shared" si="64"/>
        <v>0</v>
      </c>
      <c r="AN103" s="176">
        <f>LOOKUP(TP!$A103,PROD!$A$5:$A$725,PROD!$I$11:$I$731)</f>
        <v>0</v>
      </c>
      <c r="AO103" s="171">
        <f>LOOKUP(TP!$A103,PROD!$A$5:$A$725,PROD!$K$5:$K$725)*100</f>
        <v>0</v>
      </c>
      <c r="AP103" s="110">
        <f>LOOKUP(TP!$A103,PROD!$A$5:$A$725,PROD!$K$8:$K$728)*100</f>
        <v>0</v>
      </c>
      <c r="AQ103" s="110">
        <f t="shared" si="65"/>
        <v>100</v>
      </c>
      <c r="AR103" s="109">
        <f>IFERROR(LOOKUP(Linea,TP!$B$3:$DE$3,TP!D103:DG103),0)</f>
        <v>0</v>
      </c>
      <c r="AS103" s="838">
        <f>SUMIF(PROD!$BF$5:$BF$725,GSh!$BV103,PROD!$V$5:$V$725)/1000*PROD!$A$1</f>
        <v>0</v>
      </c>
      <c r="AT103" s="627">
        <f>LOOKUP(TP!$A103,PROD!$A$5:$A$725,PROD!$AD$5:$AD$725)</f>
        <v>0</v>
      </c>
      <c r="AU103" s="101">
        <f>IFERROR(LOOKUP(Linea,TP!$B$3:$DE$3,TP!E103:DH103),0)</f>
        <v>0</v>
      </c>
      <c r="AV103" s="847">
        <f t="shared" si="66"/>
        <v>0</v>
      </c>
      <c r="AW103" s="1081">
        <f>LOOKUP($BV103,PROD!$A$5:$A$725,PROD!$AE$10:$AE$730)</f>
        <v>0</v>
      </c>
      <c r="AX103" s="1076">
        <f>LOOKUP($BV103,PROD!$A$5:$A$725,PROD!$AE$11:$AE$731)</f>
        <v>0</v>
      </c>
      <c r="AY103" s="114">
        <f>'Pr-Sem'!Z103</f>
        <v>0</v>
      </c>
      <c r="AZ103" s="101">
        <f>IFERROR(LOOKUP(Linea,TP!$B$3:$DE$3,TP!F103:DI103),0)</f>
        <v>0</v>
      </c>
      <c r="BA103" s="840">
        <f>LOOKUP(TP!$A103,PROD!$A$5:$A$725,PROD!$Q$7:$Q$727)</f>
        <v>0</v>
      </c>
      <c r="BB103" s="118">
        <f t="shared" ref="BB103:BC108" si="69">IF(AI103&gt;0,(AY103*(AI103-AI102)/AI103)+(BB102*AI102/AI103),0)</f>
        <v>0</v>
      </c>
      <c r="BC103" s="109">
        <f t="shared" si="69"/>
        <v>0</v>
      </c>
      <c r="BD103" s="125">
        <f>LOOKUP(TP!$A103,PROD!$A$5:$A$725,PROD!$AH$7:$AH$727)</f>
        <v>0</v>
      </c>
      <c r="BE103" s="101">
        <f t="shared" si="67"/>
        <v>0</v>
      </c>
      <c r="BF103" s="850">
        <f t="shared" si="47"/>
        <v>0</v>
      </c>
      <c r="BG103" s="129">
        <f>LOOKUP(TP!$A103,PROD!$A$5:$A$725,PROD!$AH$8:$AH$728)</f>
        <v>0</v>
      </c>
      <c r="BH103" s="101">
        <f t="shared" ref="BH103:BH108" si="70">(AJ103-AJ102)*AZ103/1000+AJ102*BC102/1000</f>
        <v>0</v>
      </c>
      <c r="BI103" s="849">
        <f t="shared" si="48"/>
        <v>0</v>
      </c>
      <c r="BJ103" s="513">
        <f>'Pr-Sem'!AC103*10</f>
        <v>0</v>
      </c>
      <c r="BK103" s="514">
        <f>IFERROR(LOOKUP(Linea,TP!$B$3:$DE$3,TP!J103:DJ103),0)</f>
        <v>0</v>
      </c>
      <c r="BL103" s="848">
        <f t="shared" si="49"/>
        <v>0</v>
      </c>
      <c r="BM103" s="137">
        <f>LOOKUP($BV103,PROD!$A$5:$A$725,PROD!$AH$5:$AH$725)*IF($BM$5="Gr X H",1,100)</f>
        <v>0</v>
      </c>
      <c r="BN103" s="138">
        <f>LOOKUP($BV103,PROD!$A$5:$A$725,PROD!$AI$5:$AI$725)*IF($BM$5="Gr X H",1,100)</f>
        <v>0</v>
      </c>
      <c r="BO103" s="849">
        <f t="shared" si="50"/>
        <v>0</v>
      </c>
      <c r="BP103" s="137">
        <f>LOOKUP(BV103,PROD!$A$5:$A$725,PROD!$AH$6:$AH$726)*IF($BM$5="Gr X H",1,100)</f>
        <v>0</v>
      </c>
      <c r="BQ103" s="138">
        <f>LOOKUP($BV103,PROD!$A$5:$A$725,PROD!$AI$6:$AI$726)*IF($BM$5="Gr X H",1,100)</f>
        <v>0</v>
      </c>
      <c r="BR103" s="849">
        <f t="shared" si="51"/>
        <v>0</v>
      </c>
      <c r="BS103" s="137">
        <f>LOOKUP(TP!$A103,PROD!$A$5:$A$725,PROD!$AH$9:$AH$729)</f>
        <v>0</v>
      </c>
      <c r="BT103" s="138">
        <f>LOOKUP(TP!$A103,PROD!$A$5:$A$725,PROD!$AI$9:$AI$729)</f>
        <v>0</v>
      </c>
      <c r="BU103" s="849">
        <f t="shared" si="52"/>
        <v>0</v>
      </c>
      <c r="BV103" s="833">
        <f t="shared" si="57"/>
        <v>115</v>
      </c>
      <c r="BW103" s="191">
        <f ca="1">LOOKUP($BV103,INVENTARIOS!$A$4:$A$718,ECONO!$T$4:$T$724)*100</f>
        <v>0</v>
      </c>
      <c r="BX103" s="606">
        <f ca="1">LOOKUP($BV103,INVENTARIOS!$A$4:$A$718,ECONO!$T$5:$T$725)*100</f>
        <v>0</v>
      </c>
      <c r="BY103" s="606">
        <f ca="1">LOOKUP($BV103,INVENTARIOS!$A$4:$A$718,ECONO!$T$6:$T$726)*100</f>
        <v>0</v>
      </c>
      <c r="BZ103" s="606">
        <f ca="1">LOOKUP($BV103,INVENTARIOS!$A$4:$A$718,ECONO!$T$7:$T$727)*100</f>
        <v>0</v>
      </c>
      <c r="CA103" s="606">
        <f ca="1">LOOKUP($BV103,INVENTARIOS!$A$4:$A$718,ECONO!$T$8:$T$728)*100</f>
        <v>0</v>
      </c>
      <c r="CB103" s="606">
        <f ca="1">LOOKUP($BV103,INVENTARIOS!$A$4:$A$718,ECONO!$T$9:$T$729)*100</f>
        <v>0</v>
      </c>
      <c r="CC103" s="606">
        <f ca="1">LOOKUP($BV103,INVENTARIOS!$A$4:$A$718,ECONO!$T$10:$T$730)*100</f>
        <v>0</v>
      </c>
      <c r="CD103" s="99">
        <f ca="1">LOOKUP($BV103,INVENTARIOS!$A$4:$A$718,ECONO!$X$8:$X$728)*100</f>
        <v>0</v>
      </c>
      <c r="CE103" s="99">
        <f ca="1">LOOKUP($BV103,INVENTARIOS!$A$4:$A$718,ECONO!$X$9:$X$729)*100</f>
        <v>0</v>
      </c>
      <c r="CF103" s="192">
        <f ca="1">LOOKUP($BV103,INVENTARIOS!$A$4:$A$718,ECONO!$X$10:$X$730)*100</f>
        <v>0</v>
      </c>
      <c r="CG103" s="195">
        <f ca="1">LOOKUP(GSh!$BV103,INVENTARIOS!$A$4:$A$718,ECONO!$X$4:$X$724)*100</f>
        <v>0</v>
      </c>
      <c r="CH103" s="98">
        <f ca="1">LOOKUP(GSh!$BV103,INVENTARIOS!$A$4:$A$718,ECONO!$X$5:$X$725)*100</f>
        <v>0</v>
      </c>
      <c r="CI103" s="98">
        <f ca="1">LOOKUP(GSh!$BV103,INVENTARIOS!$A$4:$A$718,ECONO!$X$6:$X$726)*100</f>
        <v>0</v>
      </c>
      <c r="CJ103" s="194">
        <f ca="1">LOOKUP(GSh!$BV103,INVENTARIOS!$A$4:$A$718,ECONO!$X$7:$X$727)*100</f>
        <v>0</v>
      </c>
      <c r="CK103" s="34">
        <f>IF(OR(AO103&gt;0,AT103&gt;0,AD103&gt;0),TP!A103,CK102)</f>
        <v>0</v>
      </c>
      <c r="CL103" s="257">
        <f>LOOKUP($BV103,INVENTARIOS!$A$4:$A$724,ECONO!$O$10:$O$730)</f>
        <v>0</v>
      </c>
      <c r="CM103" s="258">
        <f>LOOKUP($BV103,INVENTARIOS!$A$4:$A$724,ECONO!$Z$9:$Z$729)</f>
        <v>0</v>
      </c>
      <c r="CN103" s="260">
        <f t="shared" si="68"/>
        <v>0</v>
      </c>
      <c r="CO103"/>
    </row>
    <row r="104" spans="29:93" x14ac:dyDescent="0.3">
      <c r="AC104" s="1193">
        <f t="shared" si="62"/>
        <v>116</v>
      </c>
      <c r="AD104" s="844">
        <f>LOOKUP(TP!$A104,PROD!$A$5:$A$725,PROD!$O$5:$O$725)</f>
        <v>0</v>
      </c>
      <c r="AE104" s="101">
        <f>IFERROR(LOOKUP(Linea,TP!$B$3:$DE$3,TP!B104:DE104),0)</f>
        <v>0</v>
      </c>
      <c r="AF104" s="101">
        <f t="shared" si="58"/>
        <v>0</v>
      </c>
      <c r="AG104" s="101">
        <f t="shared" si="59"/>
        <v>0</v>
      </c>
      <c r="AH104" s="845">
        <f t="shared" si="63"/>
        <v>0</v>
      </c>
      <c r="AI104" s="846">
        <f>LOOKUP(TP!$A104,PROD!$A$5:$A$725,PROD!$O$6:$O$726)</f>
        <v>0</v>
      </c>
      <c r="AJ104" s="101">
        <f>IFERROR(LOOKUP(Linea,TP!$B$3:$DE$3,TP!C104:DF104),0)</f>
        <v>0</v>
      </c>
      <c r="AK104" s="101">
        <f t="shared" si="60"/>
        <v>0</v>
      </c>
      <c r="AL104" s="101">
        <f t="shared" si="61"/>
        <v>0</v>
      </c>
      <c r="AM104" s="837">
        <f t="shared" si="64"/>
        <v>0</v>
      </c>
      <c r="AN104" s="176">
        <f>LOOKUP(TP!$A104,PROD!$A$5:$A$725,PROD!$I$11:$I$731)</f>
        <v>0</v>
      </c>
      <c r="AO104" s="171">
        <f>LOOKUP(TP!$A104,PROD!$A$5:$A$725,PROD!$K$5:$K$725)*100</f>
        <v>0</v>
      </c>
      <c r="AP104" s="110">
        <f>LOOKUP(TP!$A104,PROD!$A$5:$A$725,PROD!$K$8:$K$728)*100</f>
        <v>0</v>
      </c>
      <c r="AQ104" s="110">
        <f t="shared" si="65"/>
        <v>100</v>
      </c>
      <c r="AR104" s="109">
        <f>IFERROR(LOOKUP(Linea,TP!$B$3:$DE$3,TP!D104:DG104),0)</f>
        <v>0</v>
      </c>
      <c r="AS104" s="838">
        <f>SUMIF(PROD!$BF$5:$BF$725,GSh!$BV104,PROD!$V$5:$V$725)/1000*PROD!$A$1</f>
        <v>0</v>
      </c>
      <c r="AT104" s="627">
        <f>LOOKUP(TP!$A104,PROD!$A$5:$A$725,PROD!$AD$5:$AD$725)</f>
        <v>0</v>
      </c>
      <c r="AU104" s="101">
        <f>IFERROR(LOOKUP(Linea,TP!$B$3:$DE$3,TP!E104:DH104),0)</f>
        <v>0</v>
      </c>
      <c r="AV104" s="847">
        <f t="shared" si="66"/>
        <v>0</v>
      </c>
      <c r="AW104" s="1081">
        <f>LOOKUP($BV104,PROD!$A$5:$A$725,PROD!$AE$10:$AE$730)</f>
        <v>0</v>
      </c>
      <c r="AX104" s="1076">
        <f>LOOKUP($BV104,PROD!$A$5:$A$725,PROD!$AE$11:$AE$731)</f>
        <v>0</v>
      </c>
      <c r="AY104" s="114">
        <f>'Pr-Sem'!Z104</f>
        <v>0</v>
      </c>
      <c r="AZ104" s="101">
        <f>IFERROR(LOOKUP(Linea,TP!$B$3:$DE$3,TP!F104:DI104),0)</f>
        <v>0</v>
      </c>
      <c r="BA104" s="840">
        <f>LOOKUP(TP!$A104,PROD!$A$5:$A$725,PROD!$Q$7:$Q$727)</f>
        <v>0</v>
      </c>
      <c r="BB104" s="118">
        <f t="shared" si="69"/>
        <v>0</v>
      </c>
      <c r="BC104" s="109">
        <f t="shared" si="69"/>
        <v>0</v>
      </c>
      <c r="BD104" s="125">
        <f>LOOKUP(TP!$A104,PROD!$A$5:$A$725,PROD!$AH$7:$AH$727)</f>
        <v>0</v>
      </c>
      <c r="BE104" s="101">
        <f t="shared" si="67"/>
        <v>0</v>
      </c>
      <c r="BF104" s="850">
        <f t="shared" si="47"/>
        <v>0</v>
      </c>
      <c r="BG104" s="129">
        <f>LOOKUP(TP!$A104,PROD!$A$5:$A$725,PROD!$AH$8:$AH$728)</f>
        <v>0</v>
      </c>
      <c r="BH104" s="101">
        <f t="shared" si="70"/>
        <v>0</v>
      </c>
      <c r="BI104" s="849">
        <f t="shared" si="48"/>
        <v>0</v>
      </c>
      <c r="BJ104" s="513">
        <f>'Pr-Sem'!AC104*10</f>
        <v>0</v>
      </c>
      <c r="BK104" s="514">
        <f>IFERROR(LOOKUP(Linea,TP!$B$3:$DE$3,TP!J104:DJ104),0)</f>
        <v>0</v>
      </c>
      <c r="BL104" s="848">
        <f t="shared" si="49"/>
        <v>0</v>
      </c>
      <c r="BM104" s="137">
        <f>LOOKUP($BV104,PROD!$A$5:$A$725,PROD!$AH$5:$AH$725)*IF($BM$5="Gr X H",1,100)</f>
        <v>0</v>
      </c>
      <c r="BN104" s="138">
        <f>LOOKUP($BV104,PROD!$A$5:$A$725,PROD!$AI$5:$AI$725)*IF($BM$5="Gr X H",1,100)</f>
        <v>0</v>
      </c>
      <c r="BO104" s="849">
        <f t="shared" si="50"/>
        <v>0</v>
      </c>
      <c r="BP104" s="137">
        <f>LOOKUP(BV104,PROD!$A$5:$A$725,PROD!$AH$6:$AH$726)*IF($BM$5="Gr X H",1,100)</f>
        <v>0</v>
      </c>
      <c r="BQ104" s="138">
        <f>LOOKUP($BV104,PROD!$A$5:$A$725,PROD!$AI$6:$AI$726)*IF($BM$5="Gr X H",1,100)</f>
        <v>0</v>
      </c>
      <c r="BR104" s="849">
        <f t="shared" si="51"/>
        <v>0</v>
      </c>
      <c r="BS104" s="137">
        <f>LOOKUP(TP!$A104,PROD!$A$5:$A$725,PROD!$AH$9:$AH$729)</f>
        <v>0</v>
      </c>
      <c r="BT104" s="138">
        <f>LOOKUP(TP!$A104,PROD!$A$5:$A$725,PROD!$AI$9:$AI$729)</f>
        <v>0</v>
      </c>
      <c r="BU104" s="849">
        <f t="shared" si="52"/>
        <v>0</v>
      </c>
      <c r="BV104" s="833">
        <f t="shared" si="57"/>
        <v>116</v>
      </c>
      <c r="BW104" s="191">
        <f ca="1">LOOKUP($BV104,INVENTARIOS!$A$4:$A$718,ECONO!$T$4:$T$724)*100</f>
        <v>0</v>
      </c>
      <c r="BX104" s="606">
        <f ca="1">LOOKUP($BV104,INVENTARIOS!$A$4:$A$718,ECONO!$T$5:$T$725)*100</f>
        <v>0</v>
      </c>
      <c r="BY104" s="606">
        <f ca="1">LOOKUP($BV104,INVENTARIOS!$A$4:$A$718,ECONO!$T$6:$T$726)*100</f>
        <v>0</v>
      </c>
      <c r="BZ104" s="606">
        <f ca="1">LOOKUP($BV104,INVENTARIOS!$A$4:$A$718,ECONO!$T$7:$T$727)*100</f>
        <v>0</v>
      </c>
      <c r="CA104" s="606">
        <f ca="1">LOOKUP($BV104,INVENTARIOS!$A$4:$A$718,ECONO!$T$8:$T$728)*100</f>
        <v>0</v>
      </c>
      <c r="CB104" s="606">
        <f ca="1">LOOKUP($BV104,INVENTARIOS!$A$4:$A$718,ECONO!$T$9:$T$729)*100</f>
        <v>0</v>
      </c>
      <c r="CC104" s="606">
        <f ca="1">LOOKUP($BV104,INVENTARIOS!$A$4:$A$718,ECONO!$T$10:$T$730)*100</f>
        <v>0</v>
      </c>
      <c r="CD104" s="99">
        <f ca="1">LOOKUP($BV104,INVENTARIOS!$A$4:$A$718,ECONO!$X$8:$X$728)*100</f>
        <v>0</v>
      </c>
      <c r="CE104" s="99">
        <f ca="1">LOOKUP($BV104,INVENTARIOS!$A$4:$A$718,ECONO!$X$9:$X$729)*100</f>
        <v>0</v>
      </c>
      <c r="CF104" s="192">
        <f ca="1">LOOKUP($BV104,INVENTARIOS!$A$4:$A$718,ECONO!$X$10:$X$730)*100</f>
        <v>0</v>
      </c>
      <c r="CG104" s="195">
        <f ca="1">LOOKUP(GSh!$BV104,INVENTARIOS!$A$4:$A$718,ECONO!$X$4:$X$724)*100</f>
        <v>0</v>
      </c>
      <c r="CH104" s="98">
        <f ca="1">LOOKUP(GSh!$BV104,INVENTARIOS!$A$4:$A$718,ECONO!$X$5:$X$725)*100</f>
        <v>0</v>
      </c>
      <c r="CI104" s="98">
        <f ca="1">LOOKUP(GSh!$BV104,INVENTARIOS!$A$4:$A$718,ECONO!$X$6:$X$726)*100</f>
        <v>0</v>
      </c>
      <c r="CJ104" s="194">
        <f ca="1">LOOKUP(GSh!$BV104,INVENTARIOS!$A$4:$A$718,ECONO!$X$7:$X$727)*100</f>
        <v>0</v>
      </c>
      <c r="CK104" s="34">
        <f>IF(OR(AO104&gt;0,AT104&gt;0,AD104&gt;0),TP!A104,CK103)</f>
        <v>0</v>
      </c>
      <c r="CL104" s="257">
        <f>LOOKUP($BV104,INVENTARIOS!$A$4:$A$724,ECONO!$O$10:$O$730)</f>
        <v>0</v>
      </c>
      <c r="CM104" s="258">
        <f>LOOKUP($BV104,INVENTARIOS!$A$4:$A$724,ECONO!$Z$9:$Z$729)</f>
        <v>0</v>
      </c>
      <c r="CN104" s="260">
        <f t="shared" si="68"/>
        <v>0</v>
      </c>
      <c r="CO104"/>
    </row>
    <row r="105" spans="29:93" x14ac:dyDescent="0.3">
      <c r="AC105" s="1193">
        <f t="shared" si="62"/>
        <v>117</v>
      </c>
      <c r="AD105" s="844">
        <f>LOOKUP(TP!$A105,PROD!$A$5:$A$725,PROD!$O$5:$O$725)</f>
        <v>0</v>
      </c>
      <c r="AE105" s="101">
        <f>IFERROR(LOOKUP(Linea,TP!$B$3:$DE$3,TP!B105:DE105),0)</f>
        <v>0</v>
      </c>
      <c r="AF105" s="101">
        <f t="shared" si="58"/>
        <v>0</v>
      </c>
      <c r="AG105" s="101">
        <f t="shared" si="59"/>
        <v>0</v>
      </c>
      <c r="AH105" s="845">
        <f t="shared" si="63"/>
        <v>0</v>
      </c>
      <c r="AI105" s="846">
        <f>LOOKUP(TP!$A105,PROD!$A$5:$A$725,PROD!$O$6:$O$726)</f>
        <v>0</v>
      </c>
      <c r="AJ105" s="101">
        <f>IFERROR(LOOKUP(Linea,TP!$B$3:$DE$3,TP!C105:DF105),0)</f>
        <v>0</v>
      </c>
      <c r="AK105" s="101">
        <f t="shared" si="60"/>
        <v>0</v>
      </c>
      <c r="AL105" s="101">
        <f t="shared" si="61"/>
        <v>0</v>
      </c>
      <c r="AM105" s="837">
        <f t="shared" si="64"/>
        <v>0</v>
      </c>
      <c r="AN105" s="176">
        <f>LOOKUP(TP!$A105,PROD!$A$5:$A$725,PROD!$I$11:$I$731)</f>
        <v>0</v>
      </c>
      <c r="AO105" s="171">
        <f>LOOKUP(TP!$A105,PROD!$A$5:$A$725,PROD!$K$5:$K$725)*100</f>
        <v>0</v>
      </c>
      <c r="AP105" s="110">
        <f>LOOKUP(TP!$A105,PROD!$A$5:$A$725,PROD!$K$8:$K$728)*100</f>
        <v>0</v>
      </c>
      <c r="AQ105" s="110">
        <f t="shared" si="65"/>
        <v>100</v>
      </c>
      <c r="AR105" s="109">
        <f>IFERROR(LOOKUP(Linea,TP!$B$3:$DE$3,TP!D105:DG105),0)</f>
        <v>0</v>
      </c>
      <c r="AS105" s="838">
        <f>SUMIF(PROD!$BF$5:$BF$725,GSh!$BV105,PROD!$V$5:$V$725)/1000*PROD!$A$1</f>
        <v>0</v>
      </c>
      <c r="AT105" s="627">
        <f>LOOKUP(TP!$A105,PROD!$A$5:$A$725,PROD!$AD$5:$AD$725)</f>
        <v>0</v>
      </c>
      <c r="AU105" s="101">
        <f>IFERROR(LOOKUP(Linea,TP!$B$3:$DE$3,TP!E105:DH105),0)</f>
        <v>0</v>
      </c>
      <c r="AV105" s="847">
        <f t="shared" si="66"/>
        <v>0</v>
      </c>
      <c r="AW105" s="1081">
        <f>LOOKUP($BV105,PROD!$A$5:$A$725,PROD!$AE$10:$AE$730)</f>
        <v>0</v>
      </c>
      <c r="AX105" s="1076">
        <f>LOOKUP($BV105,PROD!$A$5:$A$725,PROD!$AE$11:$AE$731)</f>
        <v>0</v>
      </c>
      <c r="AY105" s="114">
        <f>'Pr-Sem'!Z105</f>
        <v>0</v>
      </c>
      <c r="AZ105" s="101">
        <f>IFERROR(LOOKUP(Linea,TP!$B$3:$DE$3,TP!F105:DI105),0)</f>
        <v>0</v>
      </c>
      <c r="BA105" s="840">
        <f>LOOKUP(TP!$A105,PROD!$A$5:$A$725,PROD!$Q$7:$Q$727)</f>
        <v>0</v>
      </c>
      <c r="BB105" s="118">
        <f t="shared" si="69"/>
        <v>0</v>
      </c>
      <c r="BC105" s="109">
        <f t="shared" si="69"/>
        <v>0</v>
      </c>
      <c r="BD105" s="125">
        <f>LOOKUP(TP!$A105,PROD!$A$5:$A$725,PROD!$AH$7:$AH$727)</f>
        <v>0</v>
      </c>
      <c r="BE105" s="101">
        <f t="shared" si="67"/>
        <v>0</v>
      </c>
      <c r="BF105" s="850">
        <f t="shared" si="47"/>
        <v>0</v>
      </c>
      <c r="BG105" s="129">
        <f>LOOKUP(TP!$A105,PROD!$A$5:$A$725,PROD!$AH$8:$AH$728)</f>
        <v>0</v>
      </c>
      <c r="BH105" s="101">
        <f t="shared" si="70"/>
        <v>0</v>
      </c>
      <c r="BI105" s="849">
        <f t="shared" si="48"/>
        <v>0</v>
      </c>
      <c r="BJ105" s="513">
        <f>'Pr-Sem'!AC105*10</f>
        <v>0</v>
      </c>
      <c r="BK105" s="514">
        <f>IFERROR(LOOKUP(Linea,TP!$B$3:$DE$3,TP!J105:DJ105),0)</f>
        <v>0</v>
      </c>
      <c r="BL105" s="848">
        <f t="shared" si="49"/>
        <v>0</v>
      </c>
      <c r="BM105" s="137">
        <f>LOOKUP($BV105,PROD!$A$5:$A$725,PROD!$AH$5:$AH$725)*IF($BM$5="Gr X H",1,100)</f>
        <v>0</v>
      </c>
      <c r="BN105" s="138">
        <f>LOOKUP($BV105,PROD!$A$5:$A$725,PROD!$AI$5:$AI$725)*IF($BM$5="Gr X H",1,100)</f>
        <v>0</v>
      </c>
      <c r="BO105" s="849">
        <f t="shared" si="50"/>
        <v>0</v>
      </c>
      <c r="BP105" s="137">
        <f>LOOKUP(BV105,PROD!$A$5:$A$725,PROD!$AH$6:$AH$726)*IF($BM$5="Gr X H",1,100)</f>
        <v>0</v>
      </c>
      <c r="BQ105" s="138">
        <f>LOOKUP($BV105,PROD!$A$5:$A$725,PROD!$AI$6:$AI$726)*IF($BM$5="Gr X H",1,100)</f>
        <v>0</v>
      </c>
      <c r="BR105" s="849">
        <f t="shared" si="51"/>
        <v>0</v>
      </c>
      <c r="BS105" s="137">
        <f>LOOKUP(TP!$A105,PROD!$A$5:$A$725,PROD!$AH$9:$AH$729)</f>
        <v>0</v>
      </c>
      <c r="BT105" s="138">
        <f>LOOKUP(TP!$A105,PROD!$A$5:$A$725,PROD!$AI$9:$AI$729)</f>
        <v>0</v>
      </c>
      <c r="BU105" s="849">
        <f t="shared" si="52"/>
        <v>0</v>
      </c>
      <c r="BV105" s="833">
        <f t="shared" si="57"/>
        <v>117</v>
      </c>
      <c r="BW105" s="191">
        <f ca="1">LOOKUP($BV105,INVENTARIOS!$A$4:$A$718,ECONO!$T$4:$T$724)*100</f>
        <v>0</v>
      </c>
      <c r="BX105" s="606">
        <f ca="1">LOOKUP($BV105,INVENTARIOS!$A$4:$A$718,ECONO!$T$5:$T$725)*100</f>
        <v>0</v>
      </c>
      <c r="BY105" s="606">
        <f ca="1">LOOKUP($BV105,INVENTARIOS!$A$4:$A$718,ECONO!$T$6:$T$726)*100</f>
        <v>0</v>
      </c>
      <c r="BZ105" s="606">
        <f ca="1">LOOKUP($BV105,INVENTARIOS!$A$4:$A$718,ECONO!$T$7:$T$727)*100</f>
        <v>0</v>
      </c>
      <c r="CA105" s="606">
        <f ca="1">LOOKUP($BV105,INVENTARIOS!$A$4:$A$718,ECONO!$T$8:$T$728)*100</f>
        <v>0</v>
      </c>
      <c r="CB105" s="606">
        <f ca="1">LOOKUP($BV105,INVENTARIOS!$A$4:$A$718,ECONO!$T$9:$T$729)*100</f>
        <v>0</v>
      </c>
      <c r="CC105" s="606">
        <f ca="1">LOOKUP($BV105,INVENTARIOS!$A$4:$A$718,ECONO!$T$10:$T$730)*100</f>
        <v>0</v>
      </c>
      <c r="CD105" s="99">
        <f ca="1">LOOKUP($BV105,INVENTARIOS!$A$4:$A$718,ECONO!$X$8:$X$728)*100</f>
        <v>0</v>
      </c>
      <c r="CE105" s="99">
        <f ca="1">LOOKUP($BV105,INVENTARIOS!$A$4:$A$718,ECONO!$X$9:$X$729)*100</f>
        <v>0</v>
      </c>
      <c r="CF105" s="192">
        <f ca="1">LOOKUP($BV105,INVENTARIOS!$A$4:$A$718,ECONO!$X$10:$X$730)*100</f>
        <v>0</v>
      </c>
      <c r="CG105" s="195">
        <f ca="1">LOOKUP(GSh!$BV105,INVENTARIOS!$A$4:$A$718,ECONO!$X$4:$X$724)*100</f>
        <v>0</v>
      </c>
      <c r="CH105" s="98">
        <f ca="1">LOOKUP(GSh!$BV105,INVENTARIOS!$A$4:$A$718,ECONO!$X$5:$X$725)*100</f>
        <v>0</v>
      </c>
      <c r="CI105" s="98">
        <f ca="1">LOOKUP(GSh!$BV105,INVENTARIOS!$A$4:$A$718,ECONO!$X$6:$X$726)*100</f>
        <v>0</v>
      </c>
      <c r="CJ105" s="194">
        <f ca="1">LOOKUP(GSh!$BV105,INVENTARIOS!$A$4:$A$718,ECONO!$X$7:$X$727)*100</f>
        <v>0</v>
      </c>
      <c r="CK105" s="34">
        <f>IF(OR(AO105&gt;0,AT105&gt;0,AD105&gt;0),TP!A105,CK104)</f>
        <v>0</v>
      </c>
      <c r="CL105" s="257">
        <f>LOOKUP($BV105,INVENTARIOS!$A$4:$A$724,ECONO!$O$10:$O$730)</f>
        <v>0</v>
      </c>
      <c r="CM105" s="258">
        <f>LOOKUP($BV105,INVENTARIOS!$A$4:$A$724,ECONO!$Z$9:$Z$729)</f>
        <v>0</v>
      </c>
      <c r="CN105" s="260">
        <f t="shared" si="68"/>
        <v>0</v>
      </c>
      <c r="CO105"/>
    </row>
    <row r="106" spans="29:93" x14ac:dyDescent="0.3">
      <c r="AC106" s="1193">
        <f t="shared" si="62"/>
        <v>118</v>
      </c>
      <c r="AD106" s="844">
        <f>LOOKUP(TP!$A106,PROD!$A$5:$A$725,PROD!$O$5:$O$725)</f>
        <v>0</v>
      </c>
      <c r="AE106" s="101">
        <f>IFERROR(LOOKUP(Linea,TP!$B$3:$DE$3,TP!B106:DE106),0)</f>
        <v>0</v>
      </c>
      <c r="AF106" s="101">
        <f t="shared" si="58"/>
        <v>0</v>
      </c>
      <c r="AG106" s="101">
        <f t="shared" si="59"/>
        <v>0</v>
      </c>
      <c r="AH106" s="845">
        <f t="shared" si="63"/>
        <v>0</v>
      </c>
      <c r="AI106" s="846">
        <f>LOOKUP(TP!$A106,PROD!$A$5:$A$725,PROD!$O$6:$O$726)</f>
        <v>0</v>
      </c>
      <c r="AJ106" s="101">
        <f>IFERROR(LOOKUP(Linea,TP!$B$3:$DE$3,TP!C106:DF106),0)</f>
        <v>0</v>
      </c>
      <c r="AK106" s="101">
        <f t="shared" si="60"/>
        <v>0</v>
      </c>
      <c r="AL106" s="101">
        <f t="shared" si="61"/>
        <v>0</v>
      </c>
      <c r="AM106" s="837">
        <f t="shared" si="64"/>
        <v>0</v>
      </c>
      <c r="AN106" s="176">
        <f>LOOKUP(TP!$A106,PROD!$A$5:$A$725,PROD!$I$11:$I$731)</f>
        <v>0</v>
      </c>
      <c r="AO106" s="171">
        <f>LOOKUP(TP!$A106,PROD!$A$5:$A$725,PROD!$K$5:$K$725)*100</f>
        <v>0</v>
      </c>
      <c r="AP106" s="110">
        <f>LOOKUP(TP!$A106,PROD!$A$5:$A$725,PROD!$K$8:$K$728)*100</f>
        <v>0</v>
      </c>
      <c r="AQ106" s="110">
        <f t="shared" si="65"/>
        <v>100</v>
      </c>
      <c r="AR106" s="109">
        <f>IFERROR(LOOKUP(Linea,TP!$B$3:$DE$3,TP!D106:DG106),0)</f>
        <v>0</v>
      </c>
      <c r="AS106" s="838">
        <f>SUMIF(PROD!$BF$5:$BF$725,GSh!$BV106,PROD!$V$5:$V$725)/1000*PROD!$A$1</f>
        <v>0</v>
      </c>
      <c r="AT106" s="627">
        <f>LOOKUP(TP!$A106,PROD!$A$5:$A$725,PROD!$AD$5:$AD$725)</f>
        <v>0</v>
      </c>
      <c r="AU106" s="101">
        <f>IFERROR(LOOKUP(Linea,TP!$B$3:$DE$3,TP!E106:DH106),0)</f>
        <v>0</v>
      </c>
      <c r="AV106" s="847">
        <f t="shared" si="66"/>
        <v>0</v>
      </c>
      <c r="AW106" s="1081">
        <f>LOOKUP($BV106,PROD!$A$5:$A$725,PROD!$AE$10:$AE$730)</f>
        <v>0</v>
      </c>
      <c r="AX106" s="1076">
        <f>LOOKUP($BV106,PROD!$A$5:$A$725,PROD!$AE$11:$AE$731)</f>
        <v>0</v>
      </c>
      <c r="AY106" s="114">
        <f>'Pr-Sem'!Z106</f>
        <v>0</v>
      </c>
      <c r="AZ106" s="101">
        <f>IFERROR(LOOKUP(Linea,TP!$B$3:$DE$3,TP!F106:DI106),0)</f>
        <v>0</v>
      </c>
      <c r="BA106" s="840">
        <f>LOOKUP(TP!$A106,PROD!$A$5:$A$725,PROD!$Q$7:$Q$727)</f>
        <v>0</v>
      </c>
      <c r="BB106" s="118">
        <f t="shared" si="69"/>
        <v>0</v>
      </c>
      <c r="BC106" s="109">
        <f t="shared" si="69"/>
        <v>0</v>
      </c>
      <c r="BD106" s="125">
        <f>LOOKUP(TP!$A106,PROD!$A$5:$A$725,PROD!$AH$7:$AH$727)</f>
        <v>0</v>
      </c>
      <c r="BE106" s="101">
        <f t="shared" si="67"/>
        <v>0</v>
      </c>
      <c r="BF106" s="850">
        <f t="shared" si="47"/>
        <v>0</v>
      </c>
      <c r="BG106" s="129">
        <f>LOOKUP(TP!$A106,PROD!$A$5:$A$725,PROD!$AH$8:$AH$728)</f>
        <v>0</v>
      </c>
      <c r="BH106" s="101">
        <f t="shared" si="70"/>
        <v>0</v>
      </c>
      <c r="BI106" s="849">
        <f t="shared" si="48"/>
        <v>0</v>
      </c>
      <c r="BJ106" s="513">
        <f>'Pr-Sem'!AC106*10</f>
        <v>0</v>
      </c>
      <c r="BK106" s="514">
        <f>IFERROR(LOOKUP(Linea,TP!$B$3:$DE$3,TP!J106:DJ106),0)</f>
        <v>0</v>
      </c>
      <c r="BL106" s="848">
        <f t="shared" si="49"/>
        <v>0</v>
      </c>
      <c r="BM106" s="137">
        <f>LOOKUP($BV106,PROD!$A$5:$A$725,PROD!$AH$5:$AH$725)*IF($BM$5="Gr X H",1,100)</f>
        <v>0</v>
      </c>
      <c r="BN106" s="138">
        <f>LOOKUP($BV106,PROD!$A$5:$A$725,PROD!$AI$5:$AI$725)*IF($BM$5="Gr X H",1,100)</f>
        <v>0</v>
      </c>
      <c r="BO106" s="849">
        <f t="shared" si="50"/>
        <v>0</v>
      </c>
      <c r="BP106" s="137">
        <f>LOOKUP(BV106,PROD!$A$5:$A$725,PROD!$AH$6:$AH$726)*IF($BM$5="Gr X H",1,100)</f>
        <v>0</v>
      </c>
      <c r="BQ106" s="138">
        <f>LOOKUP($BV106,PROD!$A$5:$A$725,PROD!$AI$6:$AI$726)*IF($BM$5="Gr X H",1,100)</f>
        <v>0</v>
      </c>
      <c r="BR106" s="849">
        <f t="shared" si="51"/>
        <v>0</v>
      </c>
      <c r="BS106" s="137">
        <f>LOOKUP(TP!$A106,PROD!$A$5:$A$725,PROD!$AH$9:$AH$729)</f>
        <v>0</v>
      </c>
      <c r="BT106" s="138">
        <f>LOOKUP(TP!$A106,PROD!$A$5:$A$725,PROD!$AI$9:$AI$729)</f>
        <v>0</v>
      </c>
      <c r="BU106" s="849">
        <f t="shared" si="52"/>
        <v>0</v>
      </c>
      <c r="BV106" s="833">
        <f t="shared" si="57"/>
        <v>118</v>
      </c>
      <c r="BW106" s="191">
        <f ca="1">LOOKUP($BV106,INVENTARIOS!$A$4:$A$718,ECONO!$T$4:$T$724)*100</f>
        <v>0</v>
      </c>
      <c r="BX106" s="606">
        <f ca="1">LOOKUP($BV106,INVENTARIOS!$A$4:$A$718,ECONO!$T$5:$T$725)*100</f>
        <v>0</v>
      </c>
      <c r="BY106" s="606">
        <f ca="1">LOOKUP($BV106,INVENTARIOS!$A$4:$A$718,ECONO!$T$6:$T$726)*100</f>
        <v>0</v>
      </c>
      <c r="BZ106" s="606">
        <f ca="1">LOOKUP($BV106,INVENTARIOS!$A$4:$A$718,ECONO!$T$7:$T$727)*100</f>
        <v>0</v>
      </c>
      <c r="CA106" s="606">
        <f ca="1">LOOKUP($BV106,INVENTARIOS!$A$4:$A$718,ECONO!$T$8:$T$728)*100</f>
        <v>0</v>
      </c>
      <c r="CB106" s="606">
        <f ca="1">LOOKUP($BV106,INVENTARIOS!$A$4:$A$718,ECONO!$T$9:$T$729)*100</f>
        <v>0</v>
      </c>
      <c r="CC106" s="606">
        <f ca="1">LOOKUP($BV106,INVENTARIOS!$A$4:$A$718,ECONO!$T$10:$T$730)*100</f>
        <v>0</v>
      </c>
      <c r="CD106" s="99">
        <f ca="1">LOOKUP($BV106,INVENTARIOS!$A$4:$A$718,ECONO!$X$8:$X$728)*100</f>
        <v>0</v>
      </c>
      <c r="CE106" s="99">
        <f ca="1">LOOKUP($BV106,INVENTARIOS!$A$4:$A$718,ECONO!$X$9:$X$729)*100</f>
        <v>0</v>
      </c>
      <c r="CF106" s="192">
        <f ca="1">LOOKUP($BV106,INVENTARIOS!$A$4:$A$718,ECONO!$X$10:$X$730)*100</f>
        <v>0</v>
      </c>
      <c r="CG106" s="195">
        <f ca="1">LOOKUP(GSh!$BV106,INVENTARIOS!$A$4:$A$718,ECONO!$X$4:$X$724)*100</f>
        <v>0</v>
      </c>
      <c r="CH106" s="98">
        <f ca="1">LOOKUP(GSh!$BV106,INVENTARIOS!$A$4:$A$718,ECONO!$X$5:$X$725)*100</f>
        <v>0</v>
      </c>
      <c r="CI106" s="98">
        <f ca="1">LOOKUP(GSh!$BV106,INVENTARIOS!$A$4:$A$718,ECONO!$X$6:$X$726)*100</f>
        <v>0</v>
      </c>
      <c r="CJ106" s="194">
        <f ca="1">LOOKUP(GSh!$BV106,INVENTARIOS!$A$4:$A$718,ECONO!$X$7:$X$727)*100</f>
        <v>0</v>
      </c>
      <c r="CK106" s="34">
        <f>IF(OR(AO106&gt;0,AT106&gt;0,AD106&gt;0),TP!A106,CK105)</f>
        <v>0</v>
      </c>
      <c r="CL106" s="257">
        <f>LOOKUP($BV106,INVENTARIOS!$A$4:$A$724,ECONO!$O$10:$O$730)</f>
        <v>0</v>
      </c>
      <c r="CM106" s="258">
        <f>LOOKUP($BV106,INVENTARIOS!$A$4:$A$724,ECONO!$Z$9:$Z$729)</f>
        <v>0</v>
      </c>
      <c r="CN106" s="260">
        <f t="shared" si="68"/>
        <v>0</v>
      </c>
      <c r="CO106"/>
    </row>
    <row r="107" spans="29:93" x14ac:dyDescent="0.3">
      <c r="AC107" s="1193">
        <f t="shared" si="62"/>
        <v>119</v>
      </c>
      <c r="AD107" s="844">
        <f>LOOKUP(TP!$A107,PROD!$A$5:$A$725,PROD!$O$5:$O$725)</f>
        <v>0</v>
      </c>
      <c r="AE107" s="101">
        <f>IFERROR(LOOKUP(Linea,TP!$B$3:$DE$3,TP!B107:DE107),0)</f>
        <v>0</v>
      </c>
      <c r="AF107" s="101">
        <f t="shared" si="58"/>
        <v>0</v>
      </c>
      <c r="AG107" s="101">
        <f t="shared" si="59"/>
        <v>0</v>
      </c>
      <c r="AH107" s="845">
        <f t="shared" si="63"/>
        <v>0</v>
      </c>
      <c r="AI107" s="846">
        <f>LOOKUP(TP!$A107,PROD!$A$5:$A$725,PROD!$O$6:$O$726)</f>
        <v>0</v>
      </c>
      <c r="AJ107" s="101">
        <f>IFERROR(LOOKUP(Linea,TP!$B$3:$DE$3,TP!C107:DF107),0)</f>
        <v>0</v>
      </c>
      <c r="AK107" s="101">
        <f t="shared" si="60"/>
        <v>0</v>
      </c>
      <c r="AL107" s="101">
        <f t="shared" si="61"/>
        <v>0</v>
      </c>
      <c r="AM107" s="837">
        <f t="shared" si="64"/>
        <v>0</v>
      </c>
      <c r="AN107" s="176">
        <f>LOOKUP(TP!$A107,PROD!$A$5:$A$725,PROD!$I$11:$I$731)</f>
        <v>0</v>
      </c>
      <c r="AO107" s="171">
        <f>LOOKUP(TP!$A107,PROD!$A$5:$A$725,PROD!$K$5:$K$725)*100</f>
        <v>0</v>
      </c>
      <c r="AP107" s="110">
        <f>LOOKUP(TP!$A107,PROD!$A$5:$A$725,PROD!$K$8:$K$728)*100</f>
        <v>0</v>
      </c>
      <c r="AQ107" s="110">
        <f t="shared" si="65"/>
        <v>100</v>
      </c>
      <c r="AR107" s="109">
        <f>IFERROR(LOOKUP(Linea,TP!$B$3:$DE$3,TP!D107:DG107),0)</f>
        <v>0</v>
      </c>
      <c r="AS107" s="838">
        <f>SUMIF(PROD!$BF$5:$BF$725,GSh!$BV107,PROD!$V$5:$V$725)/1000*PROD!$A$1</f>
        <v>0</v>
      </c>
      <c r="AT107" s="627">
        <f>LOOKUP(TP!$A107,PROD!$A$5:$A$725,PROD!$AD$5:$AD$725)</f>
        <v>0</v>
      </c>
      <c r="AU107" s="101">
        <f>IFERROR(LOOKUP(Linea,TP!$B$3:$DE$3,TP!E107:DH107),0)</f>
        <v>0</v>
      </c>
      <c r="AV107" s="847">
        <f t="shared" si="66"/>
        <v>0</v>
      </c>
      <c r="AW107" s="1081">
        <f>LOOKUP($BV107,PROD!$A$5:$A$725,PROD!$AE$10:$AE$730)</f>
        <v>0</v>
      </c>
      <c r="AX107" s="1076">
        <f>LOOKUP($BV107,PROD!$A$5:$A$725,PROD!$AE$11:$AE$731)</f>
        <v>0</v>
      </c>
      <c r="AY107" s="114">
        <f>'Pr-Sem'!Z107</f>
        <v>0</v>
      </c>
      <c r="AZ107" s="101">
        <f>IFERROR(LOOKUP(Linea,TP!$B$3:$DE$3,TP!F107:DI107),0)</f>
        <v>0</v>
      </c>
      <c r="BA107" s="840">
        <f>LOOKUP(TP!$A107,PROD!$A$5:$A$725,PROD!$Q$7:$Q$727)</f>
        <v>0</v>
      </c>
      <c r="BB107" s="118">
        <f t="shared" si="69"/>
        <v>0</v>
      </c>
      <c r="BC107" s="109">
        <f t="shared" si="69"/>
        <v>0</v>
      </c>
      <c r="BD107" s="125">
        <f>LOOKUP(TP!$A107,PROD!$A$5:$A$725,PROD!$AH$7:$AH$727)</f>
        <v>0</v>
      </c>
      <c r="BE107" s="101">
        <f t="shared" si="67"/>
        <v>0</v>
      </c>
      <c r="BF107" s="850">
        <f t="shared" si="47"/>
        <v>0</v>
      </c>
      <c r="BG107" s="129">
        <f>LOOKUP(TP!$A107,PROD!$A$5:$A$725,PROD!$AH$8:$AH$728)</f>
        <v>0</v>
      </c>
      <c r="BH107" s="101">
        <f t="shared" si="70"/>
        <v>0</v>
      </c>
      <c r="BI107" s="849">
        <f t="shared" si="48"/>
        <v>0</v>
      </c>
      <c r="BJ107" s="513">
        <f>'Pr-Sem'!AC107*10</f>
        <v>0</v>
      </c>
      <c r="BK107" s="514">
        <f>IFERROR(LOOKUP(Linea,TP!$B$3:$DE$3,TP!J107:DJ107),0)</f>
        <v>0</v>
      </c>
      <c r="BL107" s="848">
        <f t="shared" si="49"/>
        <v>0</v>
      </c>
      <c r="BM107" s="137">
        <f>LOOKUP($BV107,PROD!$A$5:$A$725,PROD!$AH$5:$AH$725)*IF($BM$5="Gr X H",1,100)</f>
        <v>0</v>
      </c>
      <c r="BN107" s="138">
        <f>LOOKUP($BV107,PROD!$A$5:$A$725,PROD!$AI$5:$AI$725)*IF($BM$5="Gr X H",1,100)</f>
        <v>0</v>
      </c>
      <c r="BO107" s="849">
        <f t="shared" si="50"/>
        <v>0</v>
      </c>
      <c r="BP107" s="137">
        <f>LOOKUP(BV107,PROD!$A$5:$A$725,PROD!$AH$6:$AH$726)*IF($BM$5="Gr X H",1,100)</f>
        <v>0</v>
      </c>
      <c r="BQ107" s="138">
        <f>LOOKUP($BV107,PROD!$A$5:$A$725,PROD!$AI$6:$AI$726)*IF($BM$5="Gr X H",1,100)</f>
        <v>0</v>
      </c>
      <c r="BR107" s="849">
        <f t="shared" si="51"/>
        <v>0</v>
      </c>
      <c r="BS107" s="137">
        <f>LOOKUP(TP!$A107,PROD!$A$5:$A$725,PROD!$AH$9:$AH$729)</f>
        <v>0</v>
      </c>
      <c r="BT107" s="138">
        <f>LOOKUP(TP!$A107,PROD!$A$5:$A$725,PROD!$AI$9:$AI$729)</f>
        <v>0</v>
      </c>
      <c r="BU107" s="849">
        <f t="shared" si="52"/>
        <v>0</v>
      </c>
      <c r="BV107" s="833">
        <f t="shared" si="57"/>
        <v>119</v>
      </c>
      <c r="BW107" s="191">
        <f ca="1">LOOKUP($BV107,INVENTARIOS!$A$4:$A$718,ECONO!$T$4:$T$724)*100</f>
        <v>0</v>
      </c>
      <c r="BX107" s="606">
        <f ca="1">LOOKUP($BV107,INVENTARIOS!$A$4:$A$718,ECONO!$T$5:$T$725)*100</f>
        <v>0</v>
      </c>
      <c r="BY107" s="606">
        <f ca="1">LOOKUP($BV107,INVENTARIOS!$A$4:$A$718,ECONO!$T$6:$T$726)*100</f>
        <v>0</v>
      </c>
      <c r="BZ107" s="606">
        <f ca="1">LOOKUP($BV107,INVENTARIOS!$A$4:$A$718,ECONO!$T$7:$T$727)*100</f>
        <v>0</v>
      </c>
      <c r="CA107" s="606">
        <f ca="1">LOOKUP($BV107,INVENTARIOS!$A$4:$A$718,ECONO!$T$8:$T$728)*100</f>
        <v>0</v>
      </c>
      <c r="CB107" s="606">
        <f ca="1">LOOKUP($BV107,INVENTARIOS!$A$4:$A$718,ECONO!$T$9:$T$729)*100</f>
        <v>0</v>
      </c>
      <c r="CC107" s="606">
        <f ca="1">LOOKUP($BV107,INVENTARIOS!$A$4:$A$718,ECONO!$T$10:$T$730)*100</f>
        <v>0</v>
      </c>
      <c r="CD107" s="99">
        <f ca="1">LOOKUP($BV107,INVENTARIOS!$A$4:$A$718,ECONO!$X$8:$X$728)*100</f>
        <v>0</v>
      </c>
      <c r="CE107" s="99">
        <f ca="1">LOOKUP($BV107,INVENTARIOS!$A$4:$A$718,ECONO!$X$9:$X$729)*100</f>
        <v>0</v>
      </c>
      <c r="CF107" s="192">
        <f ca="1">LOOKUP($BV107,INVENTARIOS!$A$4:$A$718,ECONO!$X$10:$X$730)*100</f>
        <v>0</v>
      </c>
      <c r="CG107" s="195">
        <f ca="1">LOOKUP(GSh!$BV107,INVENTARIOS!$A$4:$A$718,ECONO!$X$4:$X$724)*100</f>
        <v>0</v>
      </c>
      <c r="CH107" s="98">
        <f ca="1">LOOKUP(GSh!$BV107,INVENTARIOS!$A$4:$A$718,ECONO!$X$5:$X$725)*100</f>
        <v>0</v>
      </c>
      <c r="CI107" s="98">
        <f ca="1">LOOKUP(GSh!$BV107,INVENTARIOS!$A$4:$A$718,ECONO!$X$6:$X$726)*100</f>
        <v>0</v>
      </c>
      <c r="CJ107" s="194">
        <f ca="1">LOOKUP(GSh!$BV107,INVENTARIOS!$A$4:$A$718,ECONO!$X$7:$X$727)*100</f>
        <v>0</v>
      </c>
      <c r="CK107" s="34">
        <f>IF(OR(AO107&gt;0,AT107&gt;0,AD107&gt;0),TP!A107,CK106)</f>
        <v>0</v>
      </c>
      <c r="CL107" s="257">
        <f>LOOKUP($BV107,INVENTARIOS!$A$4:$A$724,ECONO!$O$10:$O$730)</f>
        <v>0</v>
      </c>
      <c r="CM107" s="258">
        <f>LOOKUP($BV107,INVENTARIOS!$A$4:$A$724,ECONO!$Z$9:$Z$729)</f>
        <v>0</v>
      </c>
      <c r="CN107" s="260">
        <f t="shared" si="68"/>
        <v>0</v>
      </c>
      <c r="CO107"/>
    </row>
    <row r="108" spans="29:93" ht="18" thickBot="1" x14ac:dyDescent="0.35">
      <c r="AC108" s="1195">
        <f t="shared" si="62"/>
        <v>120</v>
      </c>
      <c r="AD108" s="1132">
        <f>LOOKUP(TP!$A108,PROD!$A$5:$A$725,PROD!$O$5:$O$725)</f>
        <v>0</v>
      </c>
      <c r="AE108" s="157">
        <f>IFERROR(LOOKUP(Linea,TP!$B$3:$DE$3,TP!B108:DE108),0)</f>
        <v>0</v>
      </c>
      <c r="AF108" s="157">
        <f t="shared" si="58"/>
        <v>0</v>
      </c>
      <c r="AG108" s="157">
        <f t="shared" si="59"/>
        <v>0</v>
      </c>
      <c r="AH108" s="1133">
        <f t="shared" si="63"/>
        <v>0</v>
      </c>
      <c r="AI108" s="1134">
        <f>LOOKUP(TP!$A108,PROD!$A$5:$A$725,PROD!$O$6:$O$726)</f>
        <v>0</v>
      </c>
      <c r="AJ108" s="157">
        <f>IFERROR(LOOKUP(Linea,TP!$B$3:$DE$3,TP!C108:DF108),0)</f>
        <v>0</v>
      </c>
      <c r="AK108" s="157">
        <f t="shared" si="60"/>
        <v>0</v>
      </c>
      <c r="AL108" s="157">
        <f t="shared" si="61"/>
        <v>0</v>
      </c>
      <c r="AM108" s="1135">
        <f t="shared" si="64"/>
        <v>0</v>
      </c>
      <c r="AN108" s="1136">
        <f>LOOKUP(TP!$A108,PROD!$A$5:$A$725,PROD!$I$11:$I$731)</f>
        <v>0</v>
      </c>
      <c r="AO108" s="1137">
        <f>LOOKUP(TP!$A108,PROD!$A$5:$A$725,PROD!$K$5:$K$725)*100</f>
        <v>0</v>
      </c>
      <c r="AP108" s="1138">
        <f>LOOKUP(TP!$A108,PROD!$A$5:$A$725,PROD!$K$8:$K$728)*100</f>
        <v>0</v>
      </c>
      <c r="AQ108" s="1138">
        <f t="shared" si="65"/>
        <v>100</v>
      </c>
      <c r="AR108" s="158">
        <f>IFERROR(LOOKUP(Linea,TP!$B$3:$DE$3,TP!D108:DG108),0)</f>
        <v>0</v>
      </c>
      <c r="AS108" s="1139">
        <f>SUMIF(PROD!$BF$5:$BF$725,GSh!$BV108,PROD!$V$5:$V$725)/1000*PROD!$A$1</f>
        <v>0</v>
      </c>
      <c r="AT108" s="1140">
        <f>LOOKUP(TP!$A108,PROD!$A$5:$A$725,PROD!$AD$5:$AD$725)</f>
        <v>0</v>
      </c>
      <c r="AU108" s="157">
        <f>IFERROR(LOOKUP(Linea,TP!$B$3:$DE$3,TP!E108:DH108),0)</f>
        <v>0</v>
      </c>
      <c r="AV108" s="1141">
        <f t="shared" si="66"/>
        <v>0</v>
      </c>
      <c r="AW108" s="1132">
        <f>LOOKUP($BV108,PROD!$A$5:$A$725,PROD!$AE$10:$AE$730)</f>
        <v>0</v>
      </c>
      <c r="AX108" s="1142">
        <f>LOOKUP($BV108,PROD!$A$5:$A$725,PROD!$AE$11:$AE$731)</f>
        <v>0</v>
      </c>
      <c r="AY108" s="1143">
        <f>'Pr-Sem'!Z108</f>
        <v>0</v>
      </c>
      <c r="AZ108" s="157">
        <f>IFERROR(LOOKUP(Linea,TP!$B$3:$DE$3,TP!F108:DI108),0)</f>
        <v>0</v>
      </c>
      <c r="BA108" s="1144">
        <f>LOOKUP(TP!$A108,PROD!$A$5:$A$725,PROD!$Q$7:$Q$727)</f>
        <v>0</v>
      </c>
      <c r="BB108" s="1145">
        <f t="shared" si="69"/>
        <v>0</v>
      </c>
      <c r="BC108" s="158">
        <f t="shared" si="69"/>
        <v>0</v>
      </c>
      <c r="BD108" s="1146">
        <f>LOOKUP(TP!$A108,PROD!$A$5:$A$725,PROD!$AH$7:$AH$727)</f>
        <v>0</v>
      </c>
      <c r="BE108" s="157">
        <f t="shared" si="67"/>
        <v>0</v>
      </c>
      <c r="BF108" s="1147">
        <f t="shared" si="47"/>
        <v>0</v>
      </c>
      <c r="BG108" s="1148">
        <f>LOOKUP(TP!$A108,PROD!$A$5:$A$725,PROD!$AH$8:$AH$728)</f>
        <v>0</v>
      </c>
      <c r="BH108" s="157">
        <f t="shared" si="70"/>
        <v>0</v>
      </c>
      <c r="BI108" s="1149">
        <f t="shared" si="48"/>
        <v>0</v>
      </c>
      <c r="BJ108" s="1150">
        <f>'Pr-Sem'!AC108*10</f>
        <v>0</v>
      </c>
      <c r="BK108" s="516">
        <f>IFERROR(LOOKUP(Linea,TP!$B$3:$DE$3,TP!J108:DJ108),0)</f>
        <v>0</v>
      </c>
      <c r="BL108" s="1151">
        <f t="shared" si="49"/>
        <v>0</v>
      </c>
      <c r="BM108" s="1152">
        <f>LOOKUP($BV108,PROD!$A$5:$A$725,PROD!$AH$5:$AH$725)*IF($BM$5="Gr X H",1,100)</f>
        <v>0</v>
      </c>
      <c r="BN108" s="1153">
        <f>LOOKUP($BV108,PROD!$A$5:$A$725,PROD!$AI$5:$AI$725)*IF($BM$5="Gr X H",1,100)</f>
        <v>0</v>
      </c>
      <c r="BO108" s="1149">
        <f t="shared" si="50"/>
        <v>0</v>
      </c>
      <c r="BP108" s="1152">
        <f>LOOKUP(BV108,PROD!$A$5:$A$725,PROD!$AH$6:$AH$726)*IF($BM$5="Gr X H",1,100)</f>
        <v>0</v>
      </c>
      <c r="BQ108" s="1153">
        <f>LOOKUP($BV108,PROD!$A$5:$A$725,PROD!$AI$6:$AI$726)*IF($BM$5="Gr X H",1,100)</f>
        <v>0</v>
      </c>
      <c r="BR108" s="1149">
        <f t="shared" si="51"/>
        <v>0</v>
      </c>
      <c r="BS108" s="1152">
        <f>LOOKUP(TP!$A108,PROD!$A$5:$A$725,PROD!$AH$9:$AH$729)</f>
        <v>0</v>
      </c>
      <c r="BT108" s="1153">
        <f>LOOKUP(TP!$A108,PROD!$A$5:$A$725,PROD!$AI$9:$AI$729)</f>
        <v>0</v>
      </c>
      <c r="BU108" s="1149">
        <f t="shared" si="52"/>
        <v>0</v>
      </c>
      <c r="BV108" s="1154">
        <f>BV107+1</f>
        <v>120</v>
      </c>
      <c r="BW108" s="1155">
        <f ca="1">LOOKUP($BV108,INVENTARIOS!$A$4:$A$718,ECONO!$T$4:$T$724)*100</f>
        <v>0</v>
      </c>
      <c r="BX108" s="1156">
        <f ca="1">LOOKUP($BV108,INVENTARIOS!$A$4:$A$718,ECONO!$T$5:$T$725)*100</f>
        <v>0</v>
      </c>
      <c r="BY108" s="1156">
        <f ca="1">LOOKUP($BV108,INVENTARIOS!$A$4:$A$718,ECONO!$T$6:$T$726)*100</f>
        <v>0</v>
      </c>
      <c r="BZ108" s="1156">
        <f ca="1">LOOKUP($BV108,INVENTARIOS!$A$4:$A$718,ECONO!$T$7:$T$727)*100</f>
        <v>0</v>
      </c>
      <c r="CA108" s="1156">
        <f ca="1">LOOKUP($BV108,INVENTARIOS!$A$4:$A$718,ECONO!$T$8:$T$728)*100</f>
        <v>0</v>
      </c>
      <c r="CB108" s="1156">
        <f ca="1">LOOKUP($BV108,INVENTARIOS!$A$4:$A$718,ECONO!$T$9:$T$729)*100</f>
        <v>0</v>
      </c>
      <c r="CC108" s="1156">
        <f ca="1">LOOKUP($BV108,INVENTARIOS!$A$4:$A$718,ECONO!$T$10:$T$730)*100</f>
        <v>0</v>
      </c>
      <c r="CD108" s="1157">
        <f ca="1">LOOKUP($BV108,INVENTARIOS!$A$4:$A$718,ECONO!$X$8:$X$728)*100</f>
        <v>0</v>
      </c>
      <c r="CE108" s="1157">
        <f ca="1">LOOKUP($BV108,INVENTARIOS!$A$4:$A$718,ECONO!$X$9:$X$729)*100</f>
        <v>0</v>
      </c>
      <c r="CF108" s="1158">
        <f ca="1">LOOKUP($BV108,INVENTARIOS!$A$4:$A$718,ECONO!$X$10:$X$730)*100</f>
        <v>0</v>
      </c>
      <c r="CG108" s="1159">
        <f ca="1">LOOKUP(GSh!$BV108,INVENTARIOS!$A$4:$A$718,ECONO!$X$4:$X$724)*100</f>
        <v>0</v>
      </c>
      <c r="CH108" s="1160">
        <f ca="1">LOOKUP(GSh!$BV108,INVENTARIOS!$A$4:$A$718,ECONO!$X$5:$X$725)*100</f>
        <v>0</v>
      </c>
      <c r="CI108" s="1160">
        <f ca="1">LOOKUP(GSh!$BV108,INVENTARIOS!$A$4:$A$718,ECONO!$X$6:$X$726)*100</f>
        <v>0</v>
      </c>
      <c r="CJ108" s="1161">
        <f ca="1">LOOKUP(GSh!$BV108,INVENTARIOS!$A$4:$A$718,ECONO!$X$7:$X$727)*100</f>
        <v>0</v>
      </c>
      <c r="CK108" s="34">
        <f>IF(OR(AO108&gt;0,AT108&gt;0,AD108&gt;0),TP!A108,CK107)</f>
        <v>0</v>
      </c>
      <c r="CL108" s="1162">
        <f>LOOKUP($BV108,INVENTARIOS!$A$4:$A$724,ECONO!$O$10:$O$730)</f>
        <v>0</v>
      </c>
      <c r="CM108" s="1163">
        <f>LOOKUP($BV108,INVENTARIOS!$A$4:$A$724,ECONO!$Z$9:$Z$729)</f>
        <v>0</v>
      </c>
      <c r="CN108" s="1164">
        <f t="shared" si="68"/>
        <v>0</v>
      </c>
      <c r="CO108"/>
    </row>
    <row r="109" spans="29:93" x14ac:dyDescent="0.3">
      <c r="AC109" s="1170"/>
      <c r="AD109" s="1165">
        <f>COUNTIF(AD6:AD108,"&gt;90")</f>
        <v>0</v>
      </c>
      <c r="AE109" s="2017" t="str">
        <f>CONCATENATE(AH5,": ",AH110,AH4," Ptos")</f>
        <v>Cumpl Pdn.: +  Ptos</v>
      </c>
      <c r="AF109" s="2017"/>
      <c r="AG109" s="2017"/>
      <c r="AH109" s="2017"/>
      <c r="AI109" s="2019" t="str">
        <f>IF($CK$108&gt;0,CONCATENATE("H.A.A. Real vs. TAB : ",AM4," H"),"H.A.A. Real vs. TAB")</f>
        <v>H.A.A. Real vs. TAB</v>
      </c>
      <c r="AJ109" s="2019"/>
      <c r="AK109" s="2019"/>
      <c r="AL109" s="2019"/>
      <c r="AM109" s="2019"/>
      <c r="AN109" s="1165"/>
      <c r="AO109" s="1165" t="str">
        <f>CONCATENATE(AO5,": ",AO4)</f>
        <v xml:space="preserve">% M. Sem: </v>
      </c>
      <c r="AP109" s="1165" t="str">
        <f>CONCATENATE(AP5,": ",AP4)</f>
        <v xml:space="preserve">% M. Ac.: </v>
      </c>
      <c r="AQ109" s="1165" t="str">
        <f>CONCATENATE(AQ5,": ",AQ4)</f>
        <v xml:space="preserve">% Supv: </v>
      </c>
      <c r="AR109" s="1166" t="s">
        <v>134</v>
      </c>
      <c r="AS109" s="1167" t="s">
        <v>134</v>
      </c>
      <c r="AT109" s="2019" t="str">
        <f>CONCATENATE(AT5,": ",AT4)</f>
        <v xml:space="preserve">Gr.A.D Real: </v>
      </c>
      <c r="AU109" s="2019"/>
      <c r="AV109" s="1165" t="str">
        <f>IF(AV4&gt;0,"+ ",IF(AV4&lt;0,"",""))</f>
        <v xml:space="preserve">+ </v>
      </c>
      <c r="AW109" s="2019" t="str">
        <f>CONCATENATE(AW5,": ",AW4)</f>
        <v xml:space="preserve">Cons ml /ave día: </v>
      </c>
      <c r="AX109" s="2019"/>
      <c r="AY109" s="1166"/>
      <c r="AZ109" s="2017" t="str">
        <f>CONCATENATE(BA5,": ",BA110,BA4," Gr")</f>
        <v>Cumpl Peso Huevo: +  Gr</v>
      </c>
      <c r="BA109" s="2017"/>
      <c r="BB109" s="1168"/>
      <c r="BC109" s="1166" t="s">
        <v>134</v>
      </c>
      <c r="BD109" s="2017" t="str">
        <f>CONCATENATE(BF5,": ",BF110,BF4)</f>
        <v xml:space="preserve">% Cumpl  Masa Sem Huevo: + </v>
      </c>
      <c r="BE109" s="2017"/>
      <c r="BF109" s="2017"/>
      <c r="BG109" s="2019" t="str">
        <f>CONCATENATE(BG5,": ",BG4)</f>
        <v xml:space="preserve">Masa H. Ac A. Alj: </v>
      </c>
      <c r="BH109" s="2019"/>
      <c r="BI109" s="1165" t="str">
        <f>IF(BI4&gt;0,"+ ",IF(BI4&lt;0,"",""))</f>
        <v xml:space="preserve">+ </v>
      </c>
      <c r="BJ109" s="2019" t="str">
        <f>IFERROR(CONCATENATE(BJ5,": ",FIXED(BJ4,0)),"Peso Ave :           ")</f>
        <v xml:space="preserve">Peso Ave :           </v>
      </c>
      <c r="BK109" s="2019"/>
      <c r="BL109" s="1165" t="str">
        <f>IF(BL4&gt;0,"+ ",IF(BL4&lt;0,"",""))</f>
        <v xml:space="preserve">+ </v>
      </c>
      <c r="BM109" s="1169" t="str">
        <f>IFERROR(CONCATENATE(BM5,": ",ROUND(BM4,2)),"")</f>
        <v/>
      </c>
      <c r="BN109" s="2017" t="str">
        <f>CONCATENATE(BO5,": ",BO110,BO4)</f>
        <v xml:space="preserve">% Cumpl  Gr X H: + </v>
      </c>
      <c r="BO109" s="2017"/>
      <c r="BP109" s="1169" t="str">
        <f>IFERROR(CONCATENATE(BP5,": ",ROUND(BP4,2)),"")</f>
        <v/>
      </c>
      <c r="BQ109" s="2017" t="str">
        <f>CONCATENATE(BR5,": ",BR110,BR4)</f>
        <v xml:space="preserve">% Cumpl  Gr X H Acm: + </v>
      </c>
      <c r="BR109" s="2017"/>
      <c r="BS109" s="1165" t="str">
        <f>CONCATENATE(BS5,": ",BS4)</f>
        <v xml:space="preserve">IPP: </v>
      </c>
      <c r="BT109" s="2017" t="str">
        <f>CONCATENATE(BU5,": ",BU110,BU4)</f>
        <v xml:space="preserve">% Cumpl  IPP ▼: + </v>
      </c>
      <c r="BU109" s="2017"/>
      <c r="BV109" s="1170"/>
      <c r="BW109" s="1170"/>
      <c r="BX109" s="1170"/>
      <c r="BY109" s="1170"/>
      <c r="BZ109" s="1170"/>
      <c r="CA109" s="1170"/>
      <c r="CB109" s="1170"/>
      <c r="CC109" s="1170"/>
      <c r="CD109" s="1170"/>
      <c r="CE109" s="1170"/>
      <c r="CF109" s="1170"/>
      <c r="CG109" s="1170"/>
      <c r="CH109" s="1170"/>
      <c r="CI109" s="1170"/>
      <c r="CJ109" s="1170"/>
      <c r="CK109" s="1166"/>
      <c r="CL109" s="1171"/>
      <c r="CM109" s="1171"/>
      <c r="CN109" s="1171"/>
    </row>
    <row r="110" spans="29:93" x14ac:dyDescent="0.3">
      <c r="AD110" s="35" t="str">
        <f>CONCATENATE("Sem &gt; 90% : ",AD109)</f>
        <v>Sem &gt; 90% : 0</v>
      </c>
      <c r="AE110" s="2018" t="str">
        <f>CONCATENATE(AD5,": ",AD4)</f>
        <v xml:space="preserve">% Prod.: </v>
      </c>
      <c r="AF110" s="2018"/>
      <c r="AH110" s="35" t="str">
        <f>IF(AH4&gt;0,"+ ",IF(AH4&lt;0,"",""))</f>
        <v xml:space="preserve">+ </v>
      </c>
      <c r="AI110" s="2018" t="str">
        <f>CONCATENATE(AI5,": ",AI4)</f>
        <v xml:space="preserve">H.A.A. Real: </v>
      </c>
      <c r="AJ110" s="2018"/>
      <c r="AK110" s="2018" t="str">
        <f>CONCATENATE(AJ5,": ",AJ4)</f>
        <v xml:space="preserve">H.A.A. Tab.: </v>
      </c>
      <c r="AL110" s="2018"/>
      <c r="AM110" s="35" t="str">
        <f>IF(AM4&gt;0,"+ ",IF(AM4&lt;0,"",""))</f>
        <v xml:space="preserve">+ </v>
      </c>
      <c r="AN110" s="35"/>
      <c r="AO110" s="22"/>
      <c r="AP110" s="22"/>
      <c r="AQ110" s="22"/>
      <c r="AT110" s="2018" t="str">
        <f>CONCATENATE(AV5,": ",AV109,AV4)</f>
        <v xml:space="preserve">% Cumpl Gr.A.D: + </v>
      </c>
      <c r="AU110" s="2018"/>
      <c r="AY110" s="2016" t="str">
        <f>CONCATENATE("Peso H: ",AY4)</f>
        <v xml:space="preserve">Peso H: </v>
      </c>
      <c r="AZ110" s="2016"/>
      <c r="BA110" s="35" t="str">
        <f>IF(BA4&gt;0,"+ ",IF(BA4&lt;0,"",""))</f>
        <v xml:space="preserve">+ </v>
      </c>
      <c r="BB110" s="22"/>
      <c r="BD110" s="2018" t="str">
        <f>CONCATENATE(BD5,": ",BD4)</f>
        <v xml:space="preserve">Masa Sem Huevo: </v>
      </c>
      <c r="BE110" s="2018"/>
      <c r="BF110" s="35" t="str">
        <f>IF(BF4&gt;0,"+ ",IF(BF4&lt;0,"",""))</f>
        <v xml:space="preserve">+ </v>
      </c>
      <c r="BG110" s="2020" t="str">
        <f>CONCATENATE(BI5,": ",BI109,BI4)</f>
        <v xml:space="preserve">% Cumpl  Masa H. Ac A. Alj: + </v>
      </c>
      <c r="BH110" s="2020"/>
      <c r="BI110" s="2020"/>
      <c r="BJ110" s="2020" t="str">
        <f>CONCATENATE(BL5,": ",BL109,BL4)</f>
        <v xml:space="preserve">% Cumpl  Peso Ave Real: + </v>
      </c>
      <c r="BK110" s="2020"/>
      <c r="BL110" s="2020"/>
      <c r="BM110" s="2018" t="str">
        <f>IFERROR(CONCATENATE(BN5,": ",ROUND(BN4,2)),"")</f>
        <v/>
      </c>
      <c r="BN110" s="2018"/>
      <c r="BO110" s="35" t="str">
        <f>IF(BO4&gt;0,"+ ",IF(BO4&lt;0,"",""))</f>
        <v xml:space="preserve">+ </v>
      </c>
      <c r="BP110" s="2018" t="str">
        <f>IFERROR(CONCATENATE(BQ5,": ",ROUND(BQ4,2)),"")</f>
        <v/>
      </c>
      <c r="BQ110" s="2018"/>
      <c r="BR110" s="35" t="str">
        <f>IF(BR4&gt;0,"+ ",IF(BR4&lt;0,"",""))</f>
        <v xml:space="preserve">+ </v>
      </c>
      <c r="BS110" s="35" t="str">
        <f>CONCATENATE(BT5,": ",BT4)</f>
        <v xml:space="preserve">IPP Tab: </v>
      </c>
      <c r="BT110" s="22"/>
      <c r="BU110" s="35" t="str">
        <f>IF(BU4&gt;0,"+ ",IF(BU4&lt;0,"",""))</f>
        <v xml:space="preserve">+ </v>
      </c>
    </row>
    <row r="111" spans="29:93" x14ac:dyDescent="0.3">
      <c r="BB111" s="22"/>
    </row>
    <row r="112" spans="29:93" x14ac:dyDescent="0.3">
      <c r="AH112" s="79"/>
      <c r="BA112" s="79"/>
      <c r="BF112" s="79"/>
      <c r="BG112" s="79"/>
      <c r="BI112" s="79"/>
      <c r="BL112" s="79"/>
      <c r="BM112" s="183" t="str">
        <f>BM4</f>
        <v/>
      </c>
      <c r="BO112" s="79"/>
      <c r="BP112" s="183" t="str">
        <f>BP4</f>
        <v/>
      </c>
      <c r="BR112" s="79"/>
      <c r="BU112" s="79"/>
    </row>
    <row r="123" spans="1:105" s="30" customFormat="1" x14ac:dyDescent="0.3">
      <c r="A123" s="43"/>
      <c r="B123" s="43"/>
      <c r="E123" s="43"/>
      <c r="F123" s="43"/>
      <c r="G123" s="43"/>
      <c r="H123" s="43"/>
      <c r="I123" s="43"/>
      <c r="J123" s="43"/>
      <c r="K123" s="43"/>
      <c r="L123" s="43"/>
      <c r="M123" s="43"/>
      <c r="N123" s="43"/>
      <c r="Q123" s="43"/>
      <c r="R123" s="43"/>
      <c r="S123" s="43"/>
      <c r="T123" s="43"/>
      <c r="U123" s="43"/>
      <c r="X123" s="43"/>
      <c r="Y123" s="43"/>
      <c r="Z123" s="43"/>
      <c r="AA123" s="43"/>
      <c r="AB123" s="1"/>
      <c r="AC123" s="97"/>
      <c r="AD123" s="1"/>
      <c r="AE123" s="1"/>
      <c r="AF123" s="1"/>
      <c r="AG123" s="1"/>
      <c r="AH123" s="1"/>
      <c r="AI123" s="1"/>
      <c r="AJ123" s="1"/>
      <c r="AK123" s="1"/>
      <c r="AL123" s="1"/>
      <c r="AM123" s="1"/>
      <c r="AN123" s="1"/>
      <c r="AO123" s="1"/>
      <c r="AP123" s="1"/>
      <c r="AQ123" s="1"/>
      <c r="AR123" s="1"/>
      <c r="AS123"/>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97"/>
      <c r="BW123" s="97"/>
      <c r="BX123" s="97"/>
      <c r="BY123" s="97"/>
      <c r="BZ123" s="97"/>
      <c r="CA123" s="97"/>
      <c r="CB123" s="97"/>
      <c r="CC123" s="97"/>
      <c r="CD123" s="97"/>
      <c r="CE123" s="97"/>
      <c r="CF123" s="97"/>
      <c r="CG123" s="97"/>
      <c r="CH123" s="97"/>
      <c r="CI123" s="97"/>
      <c r="CJ123" s="97"/>
      <c r="CK123" s="1"/>
      <c r="CL123" s="198"/>
      <c r="CM123" s="198"/>
      <c r="CN123" s="198"/>
      <c r="CO123" s="1"/>
      <c r="CP123" s="1"/>
      <c r="CQ123" s="1"/>
      <c r="CR123" s="1"/>
      <c r="CS123" s="1"/>
      <c r="CT123" s="1"/>
      <c r="CU123" s="1"/>
      <c r="CV123" s="1"/>
      <c r="CW123" s="1"/>
      <c r="CX123" s="1"/>
      <c r="CY123" s="1"/>
      <c r="CZ123" s="1"/>
      <c r="DA123" s="1"/>
    </row>
    <row r="124" spans="1:105" s="30" customFormat="1" x14ac:dyDescent="0.3">
      <c r="A124" s="43"/>
      <c r="B124" s="43"/>
      <c r="E124" s="43"/>
      <c r="F124" s="43"/>
      <c r="G124" s="43"/>
      <c r="H124" s="43"/>
      <c r="I124" s="43"/>
      <c r="J124" s="43"/>
      <c r="K124" s="43"/>
      <c r="L124" s="43"/>
      <c r="M124" s="43"/>
      <c r="N124" s="43"/>
      <c r="Q124" s="43"/>
      <c r="R124" s="43"/>
      <c r="S124" s="43"/>
      <c r="T124" s="43"/>
      <c r="U124" s="43"/>
      <c r="X124" s="43"/>
      <c r="Y124" s="43"/>
      <c r="Z124" s="43"/>
      <c r="AA124" s="43"/>
      <c r="AB124" s="1"/>
      <c r="AC124" s="97"/>
      <c r="AD124" s="1"/>
      <c r="AE124" s="1"/>
      <c r="AF124" s="1"/>
      <c r="AG124" s="1"/>
      <c r="AH124" s="1"/>
      <c r="AI124" s="1"/>
      <c r="AJ124" s="1"/>
      <c r="AK124" s="1"/>
      <c r="AL124" s="1"/>
      <c r="AM124" s="1"/>
      <c r="AN124" s="1"/>
      <c r="AO124" s="1"/>
      <c r="AP124" s="1"/>
      <c r="AQ124" s="1"/>
      <c r="AR124" s="1"/>
      <c r="AS124"/>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97"/>
      <c r="BW124" s="97"/>
      <c r="BX124" s="97"/>
      <c r="BY124" s="97"/>
      <c r="BZ124" s="97"/>
      <c r="CA124" s="97"/>
      <c r="CB124" s="97"/>
      <c r="CC124" s="97"/>
      <c r="CD124" s="97"/>
      <c r="CE124" s="97"/>
      <c r="CF124" s="97"/>
      <c r="CG124" s="97"/>
      <c r="CH124" s="97"/>
      <c r="CI124" s="97"/>
      <c r="CJ124" s="97"/>
      <c r="CK124" s="1"/>
      <c r="CL124" s="198"/>
      <c r="CM124" s="198"/>
      <c r="CN124" s="198"/>
      <c r="CO124" s="1"/>
      <c r="CP124" s="1"/>
      <c r="CQ124" s="1"/>
      <c r="CR124" s="1"/>
      <c r="CS124" s="1"/>
      <c r="CT124" s="1"/>
      <c r="CU124" s="1"/>
      <c r="CV124" s="1"/>
      <c r="CW124" s="1"/>
      <c r="CX124" s="1"/>
      <c r="CY124" s="1"/>
      <c r="CZ124" s="1"/>
      <c r="DA124" s="1"/>
    </row>
    <row r="125" spans="1:105" s="30" customFormat="1" x14ac:dyDescent="0.3">
      <c r="A125" s="43"/>
      <c r="B125" s="43"/>
      <c r="E125" s="43"/>
      <c r="F125" s="43"/>
      <c r="G125" s="43"/>
      <c r="H125" s="43"/>
      <c r="I125" s="43"/>
      <c r="J125" s="43"/>
      <c r="K125" s="43"/>
      <c r="L125" s="43"/>
      <c r="M125" s="43"/>
      <c r="N125" s="43"/>
      <c r="Q125" s="43"/>
      <c r="R125" s="43"/>
      <c r="S125" s="43"/>
      <c r="T125" s="43"/>
      <c r="U125" s="43"/>
      <c r="X125" s="43"/>
      <c r="Y125" s="43"/>
      <c r="Z125" s="43"/>
      <c r="AA125" s="43"/>
      <c r="AB125" s="1"/>
      <c r="AC125" s="97"/>
      <c r="AD125" s="1"/>
      <c r="AE125" s="1"/>
      <c r="AF125" s="1"/>
      <c r="AG125" s="1"/>
      <c r="AH125" s="1"/>
      <c r="AI125" s="1"/>
      <c r="AJ125" s="1"/>
      <c r="AK125" s="1"/>
      <c r="AL125" s="1"/>
      <c r="AM125" s="1"/>
      <c r="AN125" s="1"/>
      <c r="AO125" s="1"/>
      <c r="AP125" s="1"/>
      <c r="AQ125" s="1"/>
      <c r="AR125" s="1"/>
      <c r="AS125"/>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97"/>
      <c r="BW125" s="97"/>
      <c r="BX125" s="97"/>
      <c r="BY125" s="97"/>
      <c r="BZ125" s="97"/>
      <c r="CA125" s="97"/>
      <c r="CB125" s="97"/>
      <c r="CC125" s="97"/>
      <c r="CD125" s="97"/>
      <c r="CE125" s="97"/>
      <c r="CF125" s="97"/>
      <c r="CG125" s="97"/>
      <c r="CH125" s="97"/>
      <c r="CI125" s="97"/>
      <c r="CJ125" s="97"/>
      <c r="CL125" s="198"/>
      <c r="CM125" s="198"/>
      <c r="CN125" s="198"/>
    </row>
    <row r="126" spans="1:105" s="30" customFormat="1" x14ac:dyDescent="0.3">
      <c r="A126" s="43"/>
      <c r="B126" s="43"/>
      <c r="E126" s="43"/>
      <c r="F126" s="43"/>
      <c r="G126" s="43"/>
      <c r="H126" s="43"/>
      <c r="I126" s="43"/>
      <c r="J126" s="43"/>
      <c r="K126" s="43"/>
      <c r="L126" s="43"/>
      <c r="M126" s="43"/>
      <c r="N126" s="43"/>
      <c r="Q126" s="43"/>
      <c r="R126" s="43"/>
      <c r="S126" s="43"/>
      <c r="T126" s="43"/>
      <c r="U126" s="43"/>
      <c r="X126" s="43"/>
      <c r="Y126" s="43"/>
      <c r="Z126" s="43"/>
      <c r="AA126" s="43"/>
      <c r="AB126" s="1"/>
      <c r="AC126" s="97"/>
      <c r="AD126" s="1"/>
      <c r="AE126" s="1"/>
      <c r="AF126" s="1"/>
      <c r="AG126" s="1"/>
      <c r="AH126" s="1"/>
      <c r="AI126" s="1"/>
      <c r="AJ126" s="1"/>
      <c r="AK126" s="1"/>
      <c r="AL126" s="1"/>
      <c r="AM126" s="1"/>
      <c r="AN126" s="1"/>
      <c r="AO126" s="1"/>
      <c r="AP126" s="1"/>
      <c r="AQ126" s="1"/>
      <c r="AR126" s="1"/>
      <c r="AS126"/>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97"/>
      <c r="BW126" s="97"/>
      <c r="BX126" s="97"/>
      <c r="BY126" s="97"/>
      <c r="BZ126" s="97"/>
      <c r="CA126" s="97"/>
      <c r="CB126" s="97"/>
      <c r="CC126" s="97"/>
      <c r="CD126" s="97"/>
      <c r="CE126" s="97"/>
      <c r="CF126" s="97"/>
      <c r="CG126" s="97"/>
      <c r="CH126" s="97"/>
      <c r="CI126" s="97"/>
      <c r="CJ126" s="97"/>
      <c r="CL126" s="198"/>
      <c r="CM126" s="198"/>
      <c r="CN126" s="198"/>
    </row>
    <row r="127" spans="1:105" s="30" customFormat="1" x14ac:dyDescent="0.3">
      <c r="A127" s="43"/>
      <c r="B127" s="43"/>
      <c r="E127" s="43"/>
      <c r="F127" s="43"/>
      <c r="G127" s="43"/>
      <c r="H127" s="43"/>
      <c r="I127" s="43"/>
      <c r="J127" s="43"/>
      <c r="K127" s="43"/>
      <c r="L127" s="43"/>
      <c r="M127" s="43"/>
      <c r="N127" s="43"/>
      <c r="Q127" s="43"/>
      <c r="R127" s="43"/>
      <c r="S127" s="43"/>
      <c r="T127" s="43"/>
      <c r="U127" s="43"/>
      <c r="X127" s="43"/>
      <c r="Y127" s="43"/>
      <c r="Z127" s="43"/>
      <c r="AA127" s="43"/>
      <c r="AB127" s="1"/>
      <c r="AC127" s="97"/>
      <c r="AD127" s="1"/>
      <c r="AE127" s="1"/>
      <c r="AF127" s="1"/>
      <c r="AG127" s="1"/>
      <c r="AH127" s="1"/>
      <c r="AI127" s="1"/>
      <c r="AJ127" s="1"/>
      <c r="AK127" s="1"/>
      <c r="AL127" s="1"/>
      <c r="AM127" s="1"/>
      <c r="AN127" s="1"/>
      <c r="AO127" s="1"/>
      <c r="AP127" s="1"/>
      <c r="AQ127" s="1"/>
      <c r="AR127" s="1"/>
      <c r="AS127"/>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97"/>
      <c r="BW127" s="97"/>
      <c r="BX127" s="97"/>
      <c r="BY127" s="97"/>
      <c r="BZ127" s="97"/>
      <c r="CA127" s="97"/>
      <c r="CB127" s="97"/>
      <c r="CC127" s="97"/>
      <c r="CD127" s="97"/>
      <c r="CE127" s="97"/>
      <c r="CF127" s="97"/>
      <c r="CG127" s="97"/>
      <c r="CH127" s="97"/>
      <c r="CI127" s="97"/>
      <c r="CJ127" s="97"/>
      <c r="CL127" s="198"/>
      <c r="CM127" s="198"/>
      <c r="CN127" s="198"/>
    </row>
    <row r="128" spans="1:105" s="30" customFormat="1" x14ac:dyDescent="0.3">
      <c r="A128" s="43"/>
      <c r="B128" s="43"/>
      <c r="E128" s="43"/>
      <c r="F128" s="43"/>
      <c r="G128" s="43"/>
      <c r="H128" s="43"/>
      <c r="I128" s="43"/>
      <c r="J128" s="43"/>
      <c r="K128" s="43"/>
      <c r="L128" s="43"/>
      <c r="M128" s="43"/>
      <c r="N128" s="43"/>
      <c r="Q128" s="43"/>
      <c r="R128" s="43"/>
      <c r="S128" s="43"/>
      <c r="T128" s="43"/>
      <c r="U128" s="43"/>
      <c r="X128" s="43"/>
      <c r="Y128" s="43"/>
      <c r="Z128" s="43"/>
      <c r="AA128" s="43"/>
      <c r="AB128" s="1"/>
      <c r="AC128" s="97"/>
      <c r="AD128" s="1"/>
      <c r="AE128" s="1"/>
      <c r="AF128" s="1"/>
      <c r="AG128" s="1"/>
      <c r="AH128" s="1"/>
      <c r="AI128" s="1"/>
      <c r="AJ128" s="1"/>
      <c r="AK128" s="1"/>
      <c r="AL128" s="1"/>
      <c r="AM128" s="1"/>
      <c r="AN128" s="1"/>
      <c r="AO128" s="1"/>
      <c r="AP128" s="1"/>
      <c r="AQ128" s="1"/>
      <c r="AR128" s="1"/>
      <c r="AS128"/>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97"/>
      <c r="BW128" s="97"/>
      <c r="BX128" s="97"/>
      <c r="BY128" s="97"/>
      <c r="BZ128" s="97"/>
      <c r="CA128" s="97"/>
      <c r="CB128" s="97"/>
      <c r="CC128" s="97"/>
      <c r="CD128" s="97"/>
      <c r="CE128" s="97"/>
      <c r="CF128" s="97"/>
      <c r="CG128" s="97"/>
      <c r="CH128" s="97"/>
      <c r="CI128" s="97"/>
      <c r="CJ128" s="97"/>
      <c r="CL128" s="198"/>
      <c r="CM128" s="198"/>
      <c r="CN128" s="198"/>
    </row>
    <row r="129" spans="1:92" s="30" customFormat="1" x14ac:dyDescent="0.3">
      <c r="A129" s="43"/>
      <c r="B129" s="43"/>
      <c r="E129" s="43"/>
      <c r="F129" s="43"/>
      <c r="G129" s="43"/>
      <c r="H129" s="43"/>
      <c r="I129" s="43"/>
      <c r="J129" s="43"/>
      <c r="K129" s="43"/>
      <c r="L129" s="43"/>
      <c r="M129" s="43"/>
      <c r="N129" s="43"/>
      <c r="Q129" s="43"/>
      <c r="R129" s="43"/>
      <c r="S129" s="43"/>
      <c r="T129" s="43"/>
      <c r="U129" s="43"/>
      <c r="X129" s="43"/>
      <c r="Y129" s="43"/>
      <c r="Z129" s="43"/>
      <c r="AA129" s="43"/>
      <c r="AB129" s="1"/>
      <c r="AC129" s="97"/>
      <c r="AD129" s="1"/>
      <c r="AE129" s="1"/>
      <c r="AF129" s="1"/>
      <c r="AG129" s="1"/>
      <c r="AH129" s="1"/>
      <c r="AI129" s="1"/>
      <c r="AJ129" s="1"/>
      <c r="AK129" s="1"/>
      <c r="AL129" s="1"/>
      <c r="AM129" s="1"/>
      <c r="AN129" s="1"/>
      <c r="AO129" s="1"/>
      <c r="AP129" s="1"/>
      <c r="AQ129" s="1"/>
      <c r="AR129" s="1"/>
      <c r="AS129"/>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97"/>
      <c r="BW129" s="97"/>
      <c r="BX129" s="97"/>
      <c r="BY129" s="97"/>
      <c r="BZ129" s="97"/>
      <c r="CA129" s="97"/>
      <c r="CB129" s="97"/>
      <c r="CC129" s="97"/>
      <c r="CD129" s="97"/>
      <c r="CE129" s="97"/>
      <c r="CF129" s="97"/>
      <c r="CG129" s="97"/>
      <c r="CH129" s="97"/>
      <c r="CI129" s="97"/>
      <c r="CJ129" s="97"/>
      <c r="CL129" s="198"/>
      <c r="CM129" s="198"/>
      <c r="CN129" s="198"/>
    </row>
    <row r="130" spans="1:92" s="30" customFormat="1" x14ac:dyDescent="0.3">
      <c r="A130" s="43"/>
      <c r="B130" s="43"/>
      <c r="E130" s="43"/>
      <c r="F130" s="43"/>
      <c r="G130" s="43"/>
      <c r="H130" s="43"/>
      <c r="I130" s="43"/>
      <c r="J130" s="43"/>
      <c r="K130" s="43"/>
      <c r="L130" s="43"/>
      <c r="M130" s="43"/>
      <c r="N130" s="43"/>
      <c r="Q130" s="43"/>
      <c r="R130" s="43"/>
      <c r="S130" s="43"/>
      <c r="T130" s="43"/>
      <c r="U130" s="43"/>
      <c r="X130" s="43"/>
      <c r="Y130" s="43"/>
      <c r="Z130" s="43"/>
      <c r="AA130" s="43"/>
      <c r="AB130" s="1"/>
      <c r="AC130" s="97"/>
      <c r="AD130" s="1"/>
      <c r="AE130" s="1"/>
      <c r="AF130" s="1"/>
      <c r="AG130" s="1"/>
      <c r="AH130" s="1"/>
      <c r="AI130" s="1"/>
      <c r="AJ130" s="1"/>
      <c r="AK130" s="1"/>
      <c r="AL130" s="1"/>
      <c r="AM130" s="1"/>
      <c r="AN130" s="1"/>
      <c r="AO130" s="1"/>
      <c r="AP130" s="1"/>
      <c r="AQ130" s="1"/>
      <c r="AR130" s="1"/>
      <c r="AS130"/>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97"/>
      <c r="BW130" s="97"/>
      <c r="BX130" s="97"/>
      <c r="BY130" s="97"/>
      <c r="BZ130" s="97"/>
      <c r="CA130" s="97"/>
      <c r="CB130" s="97"/>
      <c r="CC130" s="97"/>
      <c r="CD130" s="97"/>
      <c r="CE130" s="97"/>
      <c r="CF130" s="97"/>
      <c r="CG130" s="97"/>
      <c r="CH130" s="97"/>
      <c r="CI130" s="97"/>
      <c r="CJ130" s="97"/>
      <c r="CL130" s="198"/>
      <c r="CM130" s="198"/>
      <c r="CN130" s="198"/>
    </row>
    <row r="131" spans="1:92" s="30" customFormat="1" x14ac:dyDescent="0.3">
      <c r="A131" s="43"/>
      <c r="B131" s="43"/>
      <c r="E131" s="43"/>
      <c r="F131" s="43"/>
      <c r="G131" s="43"/>
      <c r="H131" s="43"/>
      <c r="I131" s="43"/>
      <c r="J131" s="43"/>
      <c r="K131" s="43"/>
      <c r="L131" s="43"/>
      <c r="M131" s="43"/>
      <c r="N131" s="43"/>
      <c r="Q131" s="43"/>
      <c r="R131" s="43"/>
      <c r="S131" s="43"/>
      <c r="T131" s="43"/>
      <c r="U131" s="43"/>
      <c r="X131" s="43"/>
      <c r="Y131" s="43"/>
      <c r="Z131" s="43"/>
      <c r="AA131" s="43"/>
      <c r="AB131" s="1"/>
      <c r="AC131" s="97"/>
      <c r="AD131" s="1"/>
      <c r="AE131" s="1"/>
      <c r="AF131" s="1"/>
      <c r="AG131" s="1"/>
      <c r="AH131" s="1"/>
      <c r="AI131" s="1"/>
      <c r="AJ131" s="1"/>
      <c r="AK131" s="1"/>
      <c r="AL131" s="1"/>
      <c r="AM131" s="1"/>
      <c r="AN131" s="1"/>
      <c r="AO131" s="1"/>
      <c r="AP131" s="1"/>
      <c r="AQ131" s="1"/>
      <c r="AR131" s="1"/>
      <c r="AS13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97"/>
      <c r="BW131" s="97"/>
      <c r="BX131" s="97"/>
      <c r="BY131" s="97"/>
      <c r="BZ131" s="97"/>
      <c r="CA131" s="97"/>
      <c r="CB131" s="97"/>
      <c r="CC131" s="97"/>
      <c r="CD131" s="97"/>
      <c r="CE131" s="97"/>
      <c r="CF131" s="97"/>
      <c r="CG131" s="97"/>
      <c r="CH131" s="97"/>
      <c r="CI131" s="97"/>
      <c r="CJ131" s="97"/>
      <c r="CL131" s="198"/>
      <c r="CM131" s="198"/>
      <c r="CN131" s="198"/>
    </row>
    <row r="132" spans="1:92" s="30" customFormat="1" x14ac:dyDescent="0.3">
      <c r="A132" s="43"/>
      <c r="B132" s="43"/>
      <c r="E132" s="43"/>
      <c r="F132" s="43"/>
      <c r="G132" s="43"/>
      <c r="H132" s="43"/>
      <c r="I132" s="43"/>
      <c r="J132" s="43"/>
      <c r="K132" s="43"/>
      <c r="L132" s="43"/>
      <c r="M132" s="43"/>
      <c r="N132" s="43"/>
      <c r="Q132" s="43"/>
      <c r="R132" s="43"/>
      <c r="S132" s="43"/>
      <c r="T132" s="43"/>
      <c r="U132" s="43"/>
      <c r="X132" s="43"/>
      <c r="Y132" s="43"/>
      <c r="Z132" s="43"/>
      <c r="AA132" s="43"/>
      <c r="AB132" s="1"/>
      <c r="AC132" s="97"/>
      <c r="AD132" s="1"/>
      <c r="AE132" s="1"/>
      <c r="AF132" s="1"/>
      <c r="AG132" s="1"/>
      <c r="AH132" s="1"/>
      <c r="AI132" s="1"/>
      <c r="AJ132" s="1"/>
      <c r="AK132" s="1"/>
      <c r="AL132" s="1"/>
      <c r="AM132" s="1"/>
      <c r="AN132" s="1"/>
      <c r="AO132" s="1"/>
      <c r="AP132" s="1"/>
      <c r="AQ132" s="1"/>
      <c r="AR132" s="1"/>
      <c r="AS132"/>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97"/>
      <c r="BW132" s="97"/>
      <c r="BX132" s="97"/>
      <c r="BY132" s="97"/>
      <c r="BZ132" s="97"/>
      <c r="CA132" s="97"/>
      <c r="CB132" s="97"/>
      <c r="CC132" s="97"/>
      <c r="CD132" s="97"/>
      <c r="CE132" s="97"/>
      <c r="CF132" s="97"/>
      <c r="CG132" s="97"/>
      <c r="CH132" s="97"/>
      <c r="CI132" s="97"/>
      <c r="CJ132" s="97"/>
      <c r="CL132" s="198"/>
      <c r="CM132" s="198"/>
      <c r="CN132" s="198"/>
    </row>
    <row r="133" spans="1:92" s="30" customFormat="1" x14ac:dyDescent="0.3">
      <c r="A133" s="43"/>
      <c r="B133" s="43"/>
      <c r="E133" s="43"/>
      <c r="F133" s="43"/>
      <c r="G133" s="43"/>
      <c r="H133" s="43"/>
      <c r="I133" s="43"/>
      <c r="J133" s="43"/>
      <c r="K133" s="43"/>
      <c r="L133" s="43"/>
      <c r="M133" s="43"/>
      <c r="N133" s="43"/>
      <c r="Q133" s="43"/>
      <c r="R133" s="43"/>
      <c r="S133" s="43"/>
      <c r="T133" s="43"/>
      <c r="U133" s="43"/>
      <c r="X133" s="43"/>
      <c r="Y133" s="43"/>
      <c r="Z133" s="43"/>
      <c r="AA133" s="43"/>
      <c r="AB133" s="1"/>
      <c r="AC133" s="97"/>
      <c r="AD133" s="1"/>
      <c r="AE133" s="1"/>
      <c r="AF133" s="1"/>
      <c r="AG133" s="1"/>
      <c r="AH133" s="1"/>
      <c r="AI133" s="1"/>
      <c r="AJ133" s="1"/>
      <c r="AK133" s="1"/>
      <c r="AL133" s="1"/>
      <c r="AM133" s="1"/>
      <c r="AN133" s="1"/>
      <c r="AO133" s="1"/>
      <c r="AP133" s="1"/>
      <c r="AQ133" s="1"/>
      <c r="AR133" s="1"/>
      <c r="AS133"/>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97"/>
      <c r="BW133" s="97"/>
      <c r="BX133" s="97"/>
      <c r="BY133" s="97"/>
      <c r="BZ133" s="97"/>
      <c r="CA133" s="97"/>
      <c r="CB133" s="97"/>
      <c r="CC133" s="97"/>
      <c r="CD133" s="97"/>
      <c r="CE133" s="97"/>
      <c r="CF133" s="97"/>
      <c r="CG133" s="97"/>
      <c r="CH133" s="97"/>
      <c r="CI133" s="97"/>
      <c r="CJ133" s="97"/>
      <c r="CL133" s="198"/>
      <c r="CM133" s="198"/>
      <c r="CN133" s="198"/>
    </row>
    <row r="134" spans="1:92" s="30" customFormat="1" x14ac:dyDescent="0.3">
      <c r="A134" s="43"/>
      <c r="B134" s="43"/>
      <c r="E134" s="43"/>
      <c r="F134" s="43"/>
      <c r="G134" s="43"/>
      <c r="H134" s="43"/>
      <c r="I134" s="43"/>
      <c r="J134" s="43"/>
      <c r="K134" s="43"/>
      <c r="L134" s="43"/>
      <c r="M134" s="43"/>
      <c r="N134" s="43"/>
      <c r="Q134" s="43"/>
      <c r="R134" s="43"/>
      <c r="S134" s="43"/>
      <c r="T134" s="43"/>
      <c r="U134" s="43"/>
      <c r="X134" s="43"/>
      <c r="Y134" s="43"/>
      <c r="Z134" s="43"/>
      <c r="AA134" s="43"/>
      <c r="AB134" s="1"/>
      <c r="AC134" s="97"/>
      <c r="AD134" s="1"/>
      <c r="AE134" s="1"/>
      <c r="AF134" s="1"/>
      <c r="AG134" s="1"/>
      <c r="AH134" s="1"/>
      <c r="AI134" s="1"/>
      <c r="AJ134" s="1"/>
      <c r="AK134" s="1"/>
      <c r="AL134" s="1"/>
      <c r="AM134" s="1"/>
      <c r="AN134" s="1"/>
      <c r="AO134" s="1"/>
      <c r="AP134" s="1"/>
      <c r="AQ134" s="1"/>
      <c r="AR134" s="1"/>
      <c r="AS134"/>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97"/>
      <c r="BW134" s="97"/>
      <c r="BX134" s="97"/>
      <c r="BY134" s="97"/>
      <c r="BZ134" s="97"/>
      <c r="CA134" s="97"/>
      <c r="CB134" s="97"/>
      <c r="CC134" s="97"/>
      <c r="CD134" s="97"/>
      <c r="CE134" s="97"/>
      <c r="CF134" s="97"/>
      <c r="CG134" s="97"/>
      <c r="CH134" s="97"/>
      <c r="CI134" s="97"/>
      <c r="CJ134" s="97"/>
      <c r="CL134" s="198"/>
      <c r="CM134" s="198"/>
      <c r="CN134" s="198"/>
    </row>
    <row r="135" spans="1:92" s="30" customFormat="1" x14ac:dyDescent="0.3">
      <c r="A135" s="43"/>
      <c r="B135" s="43"/>
      <c r="E135" s="43"/>
      <c r="F135" s="43"/>
      <c r="G135" s="43"/>
      <c r="H135" s="43"/>
      <c r="I135" s="43"/>
      <c r="J135" s="43"/>
      <c r="K135" s="43"/>
      <c r="L135" s="43"/>
      <c r="M135" s="43"/>
      <c r="N135" s="43"/>
      <c r="Q135" s="43"/>
      <c r="R135" s="43"/>
      <c r="S135" s="43"/>
      <c r="T135" s="43"/>
      <c r="U135" s="43"/>
      <c r="X135" s="43"/>
      <c r="Y135" s="43"/>
      <c r="Z135" s="43"/>
      <c r="AA135" s="43"/>
      <c r="AB135" s="1"/>
      <c r="AC135" s="97"/>
      <c r="AD135" s="1"/>
      <c r="AE135" s="1"/>
      <c r="AF135" s="1"/>
      <c r="AG135" s="1"/>
      <c r="AH135" s="1"/>
      <c r="AI135" s="1"/>
      <c r="AJ135" s="1"/>
      <c r="AK135" s="1"/>
      <c r="AL135" s="1"/>
      <c r="AM135" s="1"/>
      <c r="AN135" s="1"/>
      <c r="AO135" s="1"/>
      <c r="AP135" s="1"/>
      <c r="AQ135" s="1"/>
      <c r="AR135" s="1"/>
      <c r="AS135"/>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97"/>
      <c r="BW135" s="97"/>
      <c r="BX135" s="97"/>
      <c r="BY135" s="97"/>
      <c r="BZ135" s="97"/>
      <c r="CA135" s="97"/>
      <c r="CB135" s="97"/>
      <c r="CC135" s="97"/>
      <c r="CD135" s="97"/>
      <c r="CE135" s="97"/>
      <c r="CF135" s="97"/>
      <c r="CG135" s="97"/>
      <c r="CH135" s="97"/>
      <c r="CI135" s="97"/>
      <c r="CJ135" s="97"/>
      <c r="CL135" s="198"/>
      <c r="CM135" s="198"/>
      <c r="CN135" s="198"/>
    </row>
    <row r="136" spans="1:92" s="30" customFormat="1" x14ac:dyDescent="0.3">
      <c r="A136" s="43"/>
      <c r="B136" s="43"/>
      <c r="E136" s="43"/>
      <c r="F136" s="43"/>
      <c r="G136" s="43"/>
      <c r="H136" s="43"/>
      <c r="I136" s="43"/>
      <c r="J136" s="43"/>
      <c r="K136" s="43"/>
      <c r="L136" s="43"/>
      <c r="M136" s="43"/>
      <c r="N136" s="43"/>
      <c r="Q136" s="43"/>
      <c r="R136" s="43"/>
      <c r="S136" s="43"/>
      <c r="T136" s="43"/>
      <c r="U136" s="43"/>
      <c r="X136" s="43"/>
      <c r="Y136" s="43"/>
      <c r="Z136" s="43"/>
      <c r="AA136" s="43"/>
      <c r="AB136" s="1"/>
      <c r="AC136" s="97"/>
      <c r="AD136" s="1"/>
      <c r="AE136" s="1"/>
      <c r="AF136" s="1"/>
      <c r="AG136" s="1"/>
      <c r="AH136" s="1"/>
      <c r="AI136" s="1"/>
      <c r="AJ136" s="1"/>
      <c r="AK136" s="1"/>
      <c r="AL136" s="1"/>
      <c r="AM136" s="1"/>
      <c r="AN136" s="1"/>
      <c r="AO136" s="1"/>
      <c r="AP136" s="1"/>
      <c r="AQ136" s="1"/>
      <c r="AR136" s="1"/>
      <c r="AS136"/>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97"/>
      <c r="BW136" s="97"/>
      <c r="BX136" s="97"/>
      <c r="BY136" s="97"/>
      <c r="BZ136" s="97"/>
      <c r="CA136" s="97"/>
      <c r="CB136" s="97"/>
      <c r="CC136" s="97"/>
      <c r="CD136" s="97"/>
      <c r="CE136" s="97"/>
      <c r="CF136" s="97"/>
      <c r="CG136" s="97"/>
      <c r="CH136" s="97"/>
      <c r="CI136" s="97"/>
      <c r="CJ136" s="97"/>
      <c r="CL136" s="198"/>
      <c r="CM136" s="198"/>
      <c r="CN136" s="198"/>
    </row>
    <row r="137" spans="1:92" s="30" customFormat="1" x14ac:dyDescent="0.3">
      <c r="A137" s="43"/>
      <c r="B137" s="43"/>
      <c r="E137" s="43"/>
      <c r="F137" s="43"/>
      <c r="G137" s="43"/>
      <c r="H137" s="43"/>
      <c r="I137" s="43"/>
      <c r="J137" s="43"/>
      <c r="K137" s="43"/>
      <c r="L137" s="43"/>
      <c r="M137" s="43"/>
      <c r="N137" s="43"/>
      <c r="Q137" s="43"/>
      <c r="R137" s="43"/>
      <c r="S137" s="43"/>
      <c r="T137" s="43"/>
      <c r="U137" s="43"/>
      <c r="X137" s="43"/>
      <c r="Y137" s="43"/>
      <c r="Z137" s="43"/>
      <c r="AA137" s="43"/>
      <c r="AB137" s="1"/>
      <c r="AC137" s="97"/>
      <c r="AD137" s="1"/>
      <c r="AE137" s="1"/>
      <c r="AF137" s="1"/>
      <c r="AG137" s="1"/>
      <c r="AH137" s="1"/>
      <c r="AI137" s="1"/>
      <c r="AJ137" s="1"/>
      <c r="AK137" s="1"/>
      <c r="AL137" s="1"/>
      <c r="AM137" s="1"/>
      <c r="AN137" s="1"/>
      <c r="AO137" s="1"/>
      <c r="AP137" s="1"/>
      <c r="AQ137" s="1"/>
      <c r="AR137" s="1"/>
      <c r="AS137"/>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97"/>
      <c r="BW137" s="97"/>
      <c r="BX137" s="97"/>
      <c r="BY137" s="97"/>
      <c r="BZ137" s="97"/>
      <c r="CA137" s="97"/>
      <c r="CB137" s="97"/>
      <c r="CC137" s="97"/>
      <c r="CD137" s="97"/>
      <c r="CE137" s="97"/>
      <c r="CF137" s="97"/>
      <c r="CG137" s="97"/>
      <c r="CH137" s="97"/>
      <c r="CI137" s="97"/>
      <c r="CJ137" s="97"/>
      <c r="CL137" s="198"/>
      <c r="CM137" s="198"/>
      <c r="CN137" s="198"/>
    </row>
    <row r="138" spans="1:92" s="30" customFormat="1" x14ac:dyDescent="0.3">
      <c r="A138" s="43"/>
      <c r="B138" s="43"/>
      <c r="E138" s="43"/>
      <c r="F138" s="43"/>
      <c r="G138" s="43"/>
      <c r="H138" s="43"/>
      <c r="I138" s="43"/>
      <c r="J138" s="43"/>
      <c r="K138" s="43"/>
      <c r="L138" s="43"/>
      <c r="M138" s="43"/>
      <c r="N138" s="43"/>
      <c r="Q138" s="43"/>
      <c r="R138" s="43"/>
      <c r="S138" s="43"/>
      <c r="T138" s="43"/>
      <c r="U138" s="43"/>
      <c r="X138" s="43"/>
      <c r="Y138" s="43"/>
      <c r="Z138" s="43"/>
      <c r="AA138" s="43"/>
      <c r="AB138" s="1"/>
      <c r="AC138" s="97"/>
      <c r="AD138" s="1"/>
      <c r="AE138" s="1"/>
      <c r="AF138" s="1"/>
      <c r="AG138" s="1"/>
      <c r="AH138" s="1"/>
      <c r="AI138" s="1"/>
      <c r="AJ138" s="1"/>
      <c r="AK138" s="1"/>
      <c r="AL138" s="1"/>
      <c r="AM138" s="1"/>
      <c r="AN138" s="1"/>
      <c r="AO138" s="1"/>
      <c r="AP138" s="1"/>
      <c r="AQ138" s="1"/>
      <c r="AR138" s="1"/>
      <c r="AS138"/>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97"/>
      <c r="BW138" s="97"/>
      <c r="BX138" s="97"/>
      <c r="BY138" s="97"/>
      <c r="BZ138" s="97"/>
      <c r="CA138" s="97"/>
      <c r="CB138" s="97"/>
      <c r="CC138" s="97"/>
      <c r="CD138" s="97"/>
      <c r="CE138" s="97"/>
      <c r="CF138" s="97"/>
      <c r="CG138" s="97"/>
      <c r="CH138" s="97"/>
      <c r="CI138" s="97"/>
      <c r="CJ138" s="97"/>
      <c r="CL138" s="198"/>
      <c r="CM138" s="198"/>
      <c r="CN138" s="198"/>
    </row>
    <row r="139" spans="1:92" s="30" customFormat="1" x14ac:dyDescent="0.3">
      <c r="A139" s="43"/>
      <c r="B139" s="43"/>
      <c r="E139" s="43"/>
      <c r="F139" s="43"/>
      <c r="G139" s="43"/>
      <c r="H139" s="43"/>
      <c r="I139" s="43"/>
      <c r="J139" s="43"/>
      <c r="K139" s="43"/>
      <c r="L139" s="43"/>
      <c r="M139" s="43"/>
      <c r="N139" s="43"/>
      <c r="Q139" s="43"/>
      <c r="R139" s="43"/>
      <c r="S139" s="43"/>
      <c r="T139" s="43"/>
      <c r="U139" s="43"/>
      <c r="X139" s="43"/>
      <c r="Y139" s="43"/>
      <c r="Z139" s="43"/>
      <c r="AA139" s="43"/>
      <c r="AB139" s="1"/>
      <c r="AC139" s="97"/>
      <c r="AD139" s="1"/>
      <c r="AE139" s="1"/>
      <c r="AF139" s="1"/>
      <c r="AG139" s="1"/>
      <c r="AH139" s="1"/>
      <c r="AI139" s="1"/>
      <c r="AJ139" s="1"/>
      <c r="AK139" s="1"/>
      <c r="AL139" s="1"/>
      <c r="AM139" s="1"/>
      <c r="AN139" s="1"/>
      <c r="AO139" s="1"/>
      <c r="AP139" s="1"/>
      <c r="AQ139" s="1"/>
      <c r="AR139" s="1"/>
      <c r="AS139"/>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97"/>
      <c r="BW139" s="97"/>
      <c r="BX139" s="97"/>
      <c r="BY139" s="97"/>
      <c r="BZ139" s="97"/>
      <c r="CA139" s="97"/>
      <c r="CB139" s="97"/>
      <c r="CC139" s="97"/>
      <c r="CD139" s="97"/>
      <c r="CE139" s="97"/>
      <c r="CF139" s="97"/>
      <c r="CG139" s="97"/>
      <c r="CH139" s="97"/>
      <c r="CI139" s="97"/>
      <c r="CJ139" s="97"/>
      <c r="CL139" s="198"/>
      <c r="CM139" s="198"/>
      <c r="CN139" s="198"/>
    </row>
    <row r="140" spans="1:92" s="30" customFormat="1" x14ac:dyDescent="0.3">
      <c r="A140" s="43"/>
      <c r="B140" s="43"/>
      <c r="E140" s="43"/>
      <c r="F140" s="43"/>
      <c r="G140" s="43"/>
      <c r="H140" s="43"/>
      <c r="I140" s="43"/>
      <c r="J140" s="43"/>
      <c r="K140" s="43"/>
      <c r="L140" s="43"/>
      <c r="M140" s="43"/>
      <c r="N140" s="43"/>
      <c r="Q140" s="43"/>
      <c r="R140" s="43"/>
      <c r="S140" s="43"/>
      <c r="T140" s="43"/>
      <c r="U140" s="43"/>
      <c r="X140" s="43"/>
      <c r="Y140" s="43"/>
      <c r="Z140" s="43"/>
      <c r="AA140" s="43"/>
      <c r="AB140" s="1"/>
      <c r="AC140" s="97"/>
      <c r="AD140" s="1"/>
      <c r="AE140" s="1"/>
      <c r="AF140" s="1"/>
      <c r="AG140" s="1"/>
      <c r="AH140" s="1"/>
      <c r="AI140" s="1"/>
      <c r="AJ140" s="1"/>
      <c r="AK140" s="1"/>
      <c r="AL140" s="1"/>
      <c r="AM140" s="1"/>
      <c r="AN140" s="1"/>
      <c r="AO140" s="1"/>
      <c r="AP140" s="1"/>
      <c r="AQ140" s="1"/>
      <c r="AR140" s="1"/>
      <c r="AS140"/>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97"/>
      <c r="BW140" s="97"/>
      <c r="BX140" s="97"/>
      <c r="BY140" s="97"/>
      <c r="BZ140" s="97"/>
      <c r="CA140" s="97"/>
      <c r="CB140" s="97"/>
      <c r="CC140" s="97"/>
      <c r="CD140" s="97"/>
      <c r="CE140" s="97"/>
      <c r="CF140" s="97"/>
      <c r="CG140" s="97"/>
      <c r="CH140" s="97"/>
      <c r="CI140" s="97"/>
      <c r="CJ140" s="97"/>
      <c r="CL140" s="198"/>
      <c r="CM140" s="198"/>
      <c r="CN140" s="198"/>
    </row>
    <row r="141" spans="1:92" s="30" customFormat="1" x14ac:dyDescent="0.3">
      <c r="A141" s="43"/>
      <c r="B141" s="43"/>
      <c r="E141" s="43"/>
      <c r="F141" s="43"/>
      <c r="G141" s="43"/>
      <c r="H141" s="43"/>
      <c r="I141" s="43"/>
      <c r="J141" s="43"/>
      <c r="K141" s="43"/>
      <c r="L141" s="43"/>
      <c r="M141" s="43"/>
      <c r="N141" s="43"/>
      <c r="Q141" s="43"/>
      <c r="R141" s="43"/>
      <c r="S141" s="43"/>
      <c r="T141" s="43"/>
      <c r="U141" s="43"/>
      <c r="X141" s="43"/>
      <c r="Y141" s="43"/>
      <c r="Z141" s="43"/>
      <c r="AA141" s="43"/>
      <c r="AB141" s="1"/>
      <c r="AC141" s="97"/>
      <c r="AD141" s="1"/>
      <c r="AE141" s="1"/>
      <c r="AF141" s="1"/>
      <c r="AG141" s="1"/>
      <c r="AH141" s="1"/>
      <c r="AI141" s="1"/>
      <c r="AJ141" s="1"/>
      <c r="AK141" s="1"/>
      <c r="AL141" s="1"/>
      <c r="AM141" s="1"/>
      <c r="AN141" s="1"/>
      <c r="AO141" s="1"/>
      <c r="AP141" s="1"/>
      <c r="AQ141" s="1"/>
      <c r="AR141" s="1"/>
      <c r="AS14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97"/>
      <c r="BW141" s="97"/>
      <c r="BX141" s="97"/>
      <c r="BY141" s="97"/>
      <c r="BZ141" s="97"/>
      <c r="CA141" s="97"/>
      <c r="CB141" s="97"/>
      <c r="CC141" s="97"/>
      <c r="CD141" s="97"/>
      <c r="CE141" s="97"/>
      <c r="CF141" s="97"/>
      <c r="CG141" s="97"/>
      <c r="CH141" s="97"/>
      <c r="CI141" s="97"/>
      <c r="CJ141" s="97"/>
      <c r="CL141" s="198"/>
      <c r="CM141" s="198"/>
      <c r="CN141" s="198"/>
    </row>
    <row r="142" spans="1:92" s="30" customFormat="1" x14ac:dyDescent="0.3">
      <c r="A142" s="43"/>
      <c r="B142" s="43"/>
      <c r="E142" s="43"/>
      <c r="F142" s="43"/>
      <c r="G142" s="43"/>
      <c r="H142" s="43"/>
      <c r="I142" s="43"/>
      <c r="J142" s="43"/>
      <c r="K142" s="43"/>
      <c r="L142" s="43"/>
      <c r="M142" s="43"/>
      <c r="N142" s="43"/>
      <c r="Q142" s="43"/>
      <c r="R142" s="43"/>
      <c r="S142" s="43"/>
      <c r="T142" s="43"/>
      <c r="U142" s="43"/>
      <c r="X142" s="43"/>
      <c r="Y142" s="43"/>
      <c r="Z142" s="43"/>
      <c r="AA142" s="43"/>
      <c r="AB142" s="1"/>
      <c r="AC142" s="97"/>
      <c r="AD142" s="1"/>
      <c r="AE142" s="1"/>
      <c r="AF142" s="1"/>
      <c r="AG142" s="1"/>
      <c r="AH142" s="1"/>
      <c r="AI142" s="1"/>
      <c r="AJ142" s="1"/>
      <c r="AK142" s="1"/>
      <c r="AL142" s="1"/>
      <c r="AM142" s="1"/>
      <c r="AN142" s="1"/>
      <c r="AO142" s="1"/>
      <c r="AP142" s="1"/>
      <c r="AQ142" s="1"/>
      <c r="AR142" s="1"/>
      <c r="AS142"/>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97"/>
      <c r="BW142" s="97"/>
      <c r="BX142" s="97"/>
      <c r="BY142" s="97"/>
      <c r="BZ142" s="97"/>
      <c r="CA142" s="97"/>
      <c r="CB142" s="97"/>
      <c r="CC142" s="97"/>
      <c r="CD142" s="97"/>
      <c r="CE142" s="97"/>
      <c r="CF142" s="97"/>
      <c r="CG142" s="97"/>
      <c r="CH142" s="97"/>
      <c r="CI142" s="97"/>
      <c r="CJ142" s="97"/>
      <c r="CL142" s="198"/>
      <c r="CM142" s="198"/>
      <c r="CN142" s="198"/>
    </row>
    <row r="143" spans="1:92" s="30" customFormat="1" x14ac:dyDescent="0.3">
      <c r="A143" s="43"/>
      <c r="B143" s="43"/>
      <c r="E143" s="43"/>
      <c r="F143" s="43"/>
      <c r="G143" s="43"/>
      <c r="H143" s="43"/>
      <c r="I143" s="43"/>
      <c r="J143" s="43"/>
      <c r="K143" s="43"/>
      <c r="L143" s="43"/>
      <c r="M143" s="43"/>
      <c r="N143" s="43"/>
      <c r="Q143" s="43"/>
      <c r="R143" s="43"/>
      <c r="S143" s="43"/>
      <c r="T143" s="43"/>
      <c r="U143" s="43"/>
      <c r="X143" s="43"/>
      <c r="Y143" s="43"/>
      <c r="Z143" s="43"/>
      <c r="AA143" s="43"/>
      <c r="AB143" s="1"/>
      <c r="AC143" s="97"/>
      <c r="AD143" s="1"/>
      <c r="AE143" s="1"/>
      <c r="AF143" s="1"/>
      <c r="AG143" s="1"/>
      <c r="AH143" s="1"/>
      <c r="AI143" s="1"/>
      <c r="AJ143" s="1"/>
      <c r="AK143" s="1"/>
      <c r="AL143" s="1"/>
      <c r="AM143" s="1"/>
      <c r="AN143" s="1"/>
      <c r="AO143" s="1"/>
      <c r="AP143" s="1"/>
      <c r="AQ143" s="1"/>
      <c r="AR143" s="1"/>
      <c r="AS143"/>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97"/>
      <c r="BW143" s="97"/>
      <c r="BX143" s="97"/>
      <c r="BY143" s="97"/>
      <c r="BZ143" s="97"/>
      <c r="CA143" s="97"/>
      <c r="CB143" s="97"/>
      <c r="CC143" s="97"/>
      <c r="CD143" s="97"/>
      <c r="CE143" s="97"/>
      <c r="CF143" s="97"/>
      <c r="CG143" s="97"/>
      <c r="CH143" s="97"/>
      <c r="CI143" s="97"/>
      <c r="CJ143" s="97"/>
      <c r="CL143" s="198"/>
      <c r="CM143" s="198"/>
      <c r="CN143" s="198"/>
    </row>
    <row r="144" spans="1:92" s="30" customFormat="1" x14ac:dyDescent="0.3">
      <c r="A144" s="43"/>
      <c r="B144" s="43"/>
      <c r="E144" s="43"/>
      <c r="F144" s="43"/>
      <c r="G144" s="43"/>
      <c r="H144" s="43"/>
      <c r="I144" s="43"/>
      <c r="J144" s="43"/>
      <c r="K144" s="43"/>
      <c r="L144" s="43"/>
      <c r="M144" s="43"/>
      <c r="N144" s="43"/>
      <c r="Q144" s="43"/>
      <c r="R144" s="43"/>
      <c r="S144" s="43"/>
      <c r="T144" s="43"/>
      <c r="U144" s="43"/>
      <c r="X144" s="43"/>
      <c r="Y144" s="43"/>
      <c r="Z144" s="43"/>
      <c r="AA144" s="43"/>
      <c r="AB144" s="1"/>
      <c r="AC144" s="97"/>
      <c r="AD144" s="1"/>
      <c r="AE144" s="1"/>
      <c r="AF144" s="1"/>
      <c r="AG144" s="1"/>
      <c r="AH144" s="1"/>
      <c r="AI144" s="1"/>
      <c r="AJ144" s="1"/>
      <c r="AK144" s="1"/>
      <c r="AL144" s="1"/>
      <c r="AM144" s="1"/>
      <c r="AN144" s="1"/>
      <c r="AO144" s="1"/>
      <c r="AP144" s="1"/>
      <c r="AQ144" s="1"/>
      <c r="AR144" s="1"/>
      <c r="AS144"/>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97"/>
      <c r="BW144" s="97"/>
      <c r="BX144" s="97"/>
      <c r="BY144" s="97"/>
      <c r="BZ144" s="97"/>
      <c r="CA144" s="97"/>
      <c r="CB144" s="97"/>
      <c r="CC144" s="97"/>
      <c r="CD144" s="97"/>
      <c r="CE144" s="97"/>
      <c r="CF144" s="97"/>
      <c r="CG144" s="97"/>
      <c r="CH144" s="97"/>
      <c r="CI144" s="97"/>
      <c r="CJ144" s="97"/>
      <c r="CL144" s="198"/>
      <c r="CM144" s="198"/>
      <c r="CN144" s="198"/>
    </row>
    <row r="145" spans="1:92" s="30" customFormat="1" x14ac:dyDescent="0.3">
      <c r="A145" s="43"/>
      <c r="B145" s="43"/>
      <c r="E145" s="43"/>
      <c r="F145" s="43"/>
      <c r="G145" s="43"/>
      <c r="H145" s="43"/>
      <c r="I145" s="43"/>
      <c r="J145" s="43"/>
      <c r="K145" s="43"/>
      <c r="L145" s="43"/>
      <c r="M145" s="43"/>
      <c r="N145" s="43"/>
      <c r="Q145" s="43"/>
      <c r="R145" s="43"/>
      <c r="S145" s="43"/>
      <c r="T145" s="43"/>
      <c r="U145" s="43"/>
      <c r="X145" s="43"/>
      <c r="Y145" s="43"/>
      <c r="Z145" s="43"/>
      <c r="AA145" s="43"/>
      <c r="AB145" s="1"/>
      <c r="AC145" s="97"/>
      <c r="AD145" s="1"/>
      <c r="AE145" s="1"/>
      <c r="AF145" s="1"/>
      <c r="AG145" s="1"/>
      <c r="AH145" s="1"/>
      <c r="AI145" s="1"/>
      <c r="AJ145" s="1"/>
      <c r="AK145" s="1"/>
      <c r="AL145" s="1"/>
      <c r="AM145" s="1"/>
      <c r="AN145" s="1"/>
      <c r="AO145" s="1"/>
      <c r="AP145" s="1"/>
      <c r="AQ145" s="1"/>
      <c r="AR145" s="1"/>
      <c r="AS145"/>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97"/>
      <c r="BW145" s="97"/>
      <c r="BX145" s="97"/>
      <c r="BY145" s="97"/>
      <c r="BZ145" s="97"/>
      <c r="CA145" s="97"/>
      <c r="CB145" s="97"/>
      <c r="CC145" s="97"/>
      <c r="CD145" s="97"/>
      <c r="CE145" s="97"/>
      <c r="CF145" s="97"/>
      <c r="CG145" s="97"/>
      <c r="CH145" s="97"/>
      <c r="CI145" s="97"/>
      <c r="CJ145" s="97"/>
      <c r="CL145" s="198"/>
      <c r="CM145" s="198"/>
      <c r="CN145" s="198"/>
    </row>
    <row r="146" spans="1:92" s="30" customFormat="1" x14ac:dyDescent="0.3">
      <c r="A146" s="43"/>
      <c r="B146" s="43"/>
      <c r="E146" s="43"/>
      <c r="F146" s="43"/>
      <c r="G146" s="43"/>
      <c r="H146" s="43"/>
      <c r="I146" s="43"/>
      <c r="J146" s="43"/>
      <c r="K146" s="43"/>
      <c r="L146" s="43"/>
      <c r="M146" s="43"/>
      <c r="N146" s="43"/>
      <c r="Q146" s="43"/>
      <c r="R146" s="43"/>
      <c r="S146" s="43"/>
      <c r="T146" s="43"/>
      <c r="U146" s="43"/>
      <c r="X146" s="43"/>
      <c r="Y146" s="43"/>
      <c r="Z146" s="43"/>
      <c r="AA146" s="43"/>
      <c r="AB146" s="1"/>
      <c r="AC146" s="97"/>
      <c r="AD146" s="1"/>
      <c r="AE146" s="1"/>
      <c r="AF146" s="1"/>
      <c r="AG146" s="1"/>
      <c r="AH146" s="1"/>
      <c r="AI146" s="1"/>
      <c r="AJ146" s="1"/>
      <c r="AK146" s="1"/>
      <c r="AL146" s="1"/>
      <c r="AM146" s="1"/>
      <c r="AN146" s="1"/>
      <c r="AO146" s="1"/>
      <c r="AP146" s="1"/>
      <c r="AQ146" s="1"/>
      <c r="AR146" s="1"/>
      <c r="AS146"/>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97"/>
      <c r="BW146" s="97"/>
      <c r="BX146" s="97"/>
      <c r="BY146" s="97"/>
      <c r="BZ146" s="97"/>
      <c r="CA146" s="97"/>
      <c r="CB146" s="97"/>
      <c r="CC146" s="97"/>
      <c r="CD146" s="97"/>
      <c r="CE146" s="97"/>
      <c r="CF146" s="97"/>
      <c r="CG146" s="97"/>
      <c r="CH146" s="97"/>
      <c r="CI146" s="97"/>
      <c r="CJ146" s="97"/>
      <c r="CL146" s="198"/>
      <c r="CM146" s="198"/>
      <c r="CN146" s="198"/>
    </row>
    <row r="147" spans="1:92" s="30" customFormat="1" x14ac:dyDescent="0.3">
      <c r="A147" s="43"/>
      <c r="B147" s="43"/>
      <c r="E147" s="43"/>
      <c r="F147" s="43"/>
      <c r="G147" s="43"/>
      <c r="H147" s="43"/>
      <c r="I147" s="43"/>
      <c r="J147" s="43"/>
      <c r="K147" s="43"/>
      <c r="L147" s="43"/>
      <c r="M147" s="43"/>
      <c r="N147" s="43"/>
      <c r="Q147" s="43"/>
      <c r="R147" s="43"/>
      <c r="S147" s="43"/>
      <c r="T147" s="43"/>
      <c r="U147" s="43"/>
      <c r="X147" s="43"/>
      <c r="Y147" s="43"/>
      <c r="Z147" s="43"/>
      <c r="AA147" s="43"/>
      <c r="AB147" s="1"/>
      <c r="AC147" s="97"/>
      <c r="AD147" s="1"/>
      <c r="AE147" s="1"/>
      <c r="AF147" s="1"/>
      <c r="AG147" s="1"/>
      <c r="AH147" s="1"/>
      <c r="AI147" s="1"/>
      <c r="AJ147" s="1"/>
      <c r="AK147" s="1"/>
      <c r="AL147" s="1"/>
      <c r="AM147" s="1"/>
      <c r="AN147" s="1"/>
      <c r="AO147" s="1"/>
      <c r="AP147" s="1"/>
      <c r="AQ147" s="1"/>
      <c r="AR147" s="1"/>
      <c r="AS147"/>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97"/>
      <c r="BW147" s="97"/>
      <c r="BX147" s="97"/>
      <c r="BY147" s="97"/>
      <c r="BZ147" s="97"/>
      <c r="CA147" s="97"/>
      <c r="CB147" s="97"/>
      <c r="CC147" s="97"/>
      <c r="CD147" s="97"/>
      <c r="CE147" s="97"/>
      <c r="CF147" s="97"/>
      <c r="CG147" s="97"/>
      <c r="CH147" s="97"/>
      <c r="CI147" s="97"/>
      <c r="CJ147" s="97"/>
      <c r="CL147" s="198"/>
      <c r="CM147" s="198"/>
      <c r="CN147" s="198"/>
    </row>
    <row r="148" spans="1:92" s="30" customFormat="1" x14ac:dyDescent="0.3">
      <c r="A148" s="43"/>
      <c r="B148" s="43"/>
      <c r="E148" s="43"/>
      <c r="F148" s="43"/>
      <c r="G148" s="43"/>
      <c r="H148" s="43"/>
      <c r="I148" s="43"/>
      <c r="J148" s="43"/>
      <c r="K148" s="43"/>
      <c r="L148" s="43"/>
      <c r="M148" s="43"/>
      <c r="N148" s="43"/>
      <c r="Q148" s="43"/>
      <c r="R148" s="43"/>
      <c r="S148" s="43"/>
      <c r="T148" s="43"/>
      <c r="U148" s="43"/>
      <c r="X148" s="43"/>
      <c r="Y148" s="43"/>
      <c r="Z148" s="43"/>
      <c r="AA148" s="43"/>
      <c r="AB148" s="1"/>
      <c r="AC148" s="97"/>
      <c r="AD148" s="1"/>
      <c r="AE148" s="1"/>
      <c r="AF148" s="1"/>
      <c r="AG148" s="1"/>
      <c r="AH148" s="1"/>
      <c r="AI148" s="1"/>
      <c r="AJ148" s="1"/>
      <c r="AK148" s="1"/>
      <c r="AL148" s="1"/>
      <c r="AM148" s="1"/>
      <c r="AN148" s="1"/>
      <c r="AO148" s="1"/>
      <c r="AP148" s="1"/>
      <c r="AQ148" s="1"/>
      <c r="AR148" s="1"/>
      <c r="AS148"/>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97"/>
      <c r="BW148" s="97"/>
      <c r="BX148" s="97"/>
      <c r="BY148" s="97"/>
      <c r="BZ148" s="97"/>
      <c r="CA148" s="97"/>
      <c r="CB148" s="97"/>
      <c r="CC148" s="97"/>
      <c r="CD148" s="97"/>
      <c r="CE148" s="97"/>
      <c r="CF148" s="97"/>
      <c r="CG148" s="97"/>
      <c r="CH148" s="97"/>
      <c r="CI148" s="97"/>
      <c r="CJ148" s="97"/>
      <c r="CL148" s="198"/>
      <c r="CM148" s="198"/>
      <c r="CN148" s="198"/>
    </row>
    <row r="149" spans="1:92" s="30" customFormat="1" x14ac:dyDescent="0.3">
      <c r="A149" s="43"/>
      <c r="B149" s="43"/>
      <c r="E149" s="43"/>
      <c r="F149" s="43"/>
      <c r="G149" s="43"/>
      <c r="H149" s="43"/>
      <c r="I149" s="43"/>
      <c r="J149" s="43"/>
      <c r="K149" s="43"/>
      <c r="L149" s="43"/>
      <c r="M149" s="43"/>
      <c r="N149" s="43"/>
      <c r="Q149" s="43"/>
      <c r="R149" s="43"/>
      <c r="S149" s="43"/>
      <c r="T149" s="43"/>
      <c r="U149" s="43"/>
      <c r="X149" s="43"/>
      <c r="Y149" s="43"/>
      <c r="Z149" s="43"/>
      <c r="AA149" s="43"/>
      <c r="AB149" s="1"/>
      <c r="AC149" s="97"/>
      <c r="AD149" s="1"/>
      <c r="AE149" s="1"/>
      <c r="AF149" s="1"/>
      <c r="AG149" s="1"/>
      <c r="AH149" s="1"/>
      <c r="AI149" s="1"/>
      <c r="AJ149" s="1"/>
      <c r="AK149" s="1"/>
      <c r="AL149" s="1"/>
      <c r="AM149" s="1"/>
      <c r="AN149" s="1"/>
      <c r="AO149" s="1"/>
      <c r="AP149" s="1"/>
      <c r="AQ149" s="1"/>
      <c r="AR149" s="1"/>
      <c r="AS149"/>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97"/>
      <c r="BW149" s="97"/>
      <c r="BX149" s="97"/>
      <c r="BY149" s="97"/>
      <c r="BZ149" s="97"/>
      <c r="CA149" s="97"/>
      <c r="CB149" s="97"/>
      <c r="CC149" s="97"/>
      <c r="CD149" s="97"/>
      <c r="CE149" s="97"/>
      <c r="CF149" s="97"/>
      <c r="CG149" s="97"/>
      <c r="CH149" s="97"/>
      <c r="CI149" s="97"/>
      <c r="CJ149" s="97"/>
      <c r="CL149" s="198"/>
      <c r="CM149" s="198"/>
      <c r="CN149" s="198"/>
    </row>
    <row r="150" spans="1:92" s="30" customFormat="1" x14ac:dyDescent="0.3">
      <c r="A150" s="43"/>
      <c r="B150" s="43"/>
      <c r="E150" s="43"/>
      <c r="F150" s="43"/>
      <c r="G150" s="43"/>
      <c r="H150" s="43"/>
      <c r="I150" s="43"/>
      <c r="J150" s="43"/>
      <c r="K150" s="43"/>
      <c r="L150" s="43"/>
      <c r="M150" s="43"/>
      <c r="N150" s="43"/>
      <c r="Q150" s="43"/>
      <c r="R150" s="43"/>
      <c r="S150" s="43"/>
      <c r="T150" s="43"/>
      <c r="U150" s="43"/>
      <c r="X150" s="43"/>
      <c r="Y150" s="43"/>
      <c r="Z150" s="43"/>
      <c r="AA150" s="43"/>
      <c r="AB150" s="1"/>
      <c r="AC150" s="97"/>
      <c r="AD150" s="1"/>
      <c r="AE150" s="1"/>
      <c r="AF150" s="1"/>
      <c r="AG150" s="1"/>
      <c r="AH150" s="1"/>
      <c r="AI150" s="1"/>
      <c r="AJ150" s="1"/>
      <c r="AK150" s="1"/>
      <c r="AL150" s="1"/>
      <c r="AM150" s="1"/>
      <c r="AN150" s="1"/>
      <c r="AO150" s="1"/>
      <c r="AP150" s="1"/>
      <c r="AQ150" s="1"/>
      <c r="AR150" s="1"/>
      <c r="AS150"/>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97"/>
      <c r="BW150" s="97"/>
      <c r="BX150" s="97"/>
      <c r="BY150" s="97"/>
      <c r="BZ150" s="97"/>
      <c r="CA150" s="97"/>
      <c r="CB150" s="97"/>
      <c r="CC150" s="97"/>
      <c r="CD150" s="97"/>
      <c r="CE150" s="97"/>
      <c r="CF150" s="97"/>
      <c r="CG150" s="97"/>
      <c r="CH150" s="97"/>
      <c r="CI150" s="97"/>
      <c r="CJ150" s="97"/>
      <c r="CL150" s="198"/>
      <c r="CM150" s="198"/>
      <c r="CN150" s="198"/>
    </row>
    <row r="151" spans="1:92" s="30" customFormat="1" x14ac:dyDescent="0.3">
      <c r="A151" s="43"/>
      <c r="B151" s="43"/>
      <c r="E151" s="43"/>
      <c r="F151" s="43"/>
      <c r="G151" s="43"/>
      <c r="H151" s="43"/>
      <c r="I151" s="43"/>
      <c r="J151" s="43"/>
      <c r="K151" s="43"/>
      <c r="L151" s="43"/>
      <c r="M151" s="43"/>
      <c r="N151" s="43"/>
      <c r="Q151" s="43"/>
      <c r="R151" s="43"/>
      <c r="S151" s="43"/>
      <c r="T151" s="43"/>
      <c r="U151" s="43"/>
      <c r="X151" s="43"/>
      <c r="Y151" s="43"/>
      <c r="Z151" s="43"/>
      <c r="AA151" s="43"/>
      <c r="AB151" s="1"/>
      <c r="AC151" s="97"/>
      <c r="AD151" s="1"/>
      <c r="AE151" s="1"/>
      <c r="AF151" s="1"/>
      <c r="AG151" s="1"/>
      <c r="AH151" s="1"/>
      <c r="AI151" s="1"/>
      <c r="AJ151" s="1"/>
      <c r="AK151" s="1"/>
      <c r="AL151" s="1"/>
      <c r="AM151" s="1"/>
      <c r="AN151" s="1"/>
      <c r="AO151" s="1"/>
      <c r="AP151" s="1"/>
      <c r="AQ151" s="1"/>
      <c r="AR151" s="1"/>
      <c r="AS15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97"/>
      <c r="BW151" s="97"/>
      <c r="BX151" s="97"/>
      <c r="BY151" s="97"/>
      <c r="BZ151" s="97"/>
      <c r="CA151" s="97"/>
      <c r="CB151" s="97"/>
      <c r="CC151" s="97"/>
      <c r="CD151" s="97"/>
      <c r="CE151" s="97"/>
      <c r="CF151" s="97"/>
      <c r="CG151" s="97"/>
      <c r="CH151" s="97"/>
      <c r="CI151" s="97"/>
      <c r="CJ151" s="97"/>
      <c r="CL151" s="198"/>
      <c r="CM151" s="198"/>
      <c r="CN151" s="198"/>
    </row>
    <row r="152" spans="1:92" s="30" customFormat="1" x14ac:dyDescent="0.3">
      <c r="A152" s="43"/>
      <c r="B152" s="43"/>
      <c r="E152" s="43"/>
      <c r="F152" s="43"/>
      <c r="G152" s="43"/>
      <c r="H152" s="43"/>
      <c r="I152" s="43"/>
      <c r="J152" s="43"/>
      <c r="K152" s="43"/>
      <c r="L152" s="43"/>
      <c r="M152" s="43"/>
      <c r="N152" s="43"/>
      <c r="Q152" s="43"/>
      <c r="R152" s="43"/>
      <c r="S152" s="43"/>
      <c r="T152" s="43"/>
      <c r="U152" s="43"/>
      <c r="X152" s="43"/>
      <c r="Y152" s="43"/>
      <c r="Z152" s="43"/>
      <c r="AA152" s="43"/>
      <c r="AB152" s="1"/>
      <c r="AC152" s="97"/>
      <c r="AD152" s="1"/>
      <c r="AE152" s="1"/>
      <c r="AF152" s="1"/>
      <c r="AG152" s="1"/>
      <c r="AH152" s="1"/>
      <c r="AI152" s="1"/>
      <c r="AJ152" s="1"/>
      <c r="AK152" s="1"/>
      <c r="AL152" s="1"/>
      <c r="AM152" s="1"/>
      <c r="AN152" s="1"/>
      <c r="AO152" s="1"/>
      <c r="AP152" s="1"/>
      <c r="AQ152" s="1"/>
      <c r="AR152" s="1"/>
      <c r="AS152"/>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97"/>
      <c r="BW152" s="97"/>
      <c r="BX152" s="97"/>
      <c r="BY152" s="97"/>
      <c r="BZ152" s="97"/>
      <c r="CA152" s="97"/>
      <c r="CB152" s="97"/>
      <c r="CC152" s="97"/>
      <c r="CD152" s="97"/>
      <c r="CE152" s="97"/>
      <c r="CF152" s="97"/>
      <c r="CG152" s="97"/>
      <c r="CH152" s="97"/>
      <c r="CI152" s="97"/>
      <c r="CJ152" s="97"/>
      <c r="CL152" s="198"/>
      <c r="CM152" s="198"/>
      <c r="CN152" s="198"/>
    </row>
    <row r="153" spans="1:92" s="30" customFormat="1" x14ac:dyDescent="0.3">
      <c r="A153" s="43"/>
      <c r="B153" s="43"/>
      <c r="E153" s="43"/>
      <c r="F153" s="43"/>
      <c r="G153" s="43"/>
      <c r="H153" s="43"/>
      <c r="I153" s="43"/>
      <c r="J153" s="43"/>
      <c r="K153" s="43"/>
      <c r="L153" s="43"/>
      <c r="M153" s="43"/>
      <c r="N153" s="43"/>
      <c r="Q153" s="43"/>
      <c r="R153" s="43"/>
      <c r="S153" s="43"/>
      <c r="T153" s="43"/>
      <c r="U153" s="43"/>
      <c r="X153" s="43"/>
      <c r="Y153" s="43"/>
      <c r="Z153" s="43"/>
      <c r="AA153" s="43"/>
      <c r="AB153" s="1"/>
      <c r="AC153" s="97"/>
      <c r="AD153" s="1"/>
      <c r="AE153" s="1"/>
      <c r="AF153" s="1"/>
      <c r="AG153" s="1"/>
      <c r="AH153" s="1"/>
      <c r="AI153" s="1"/>
      <c r="AJ153" s="1"/>
      <c r="AK153" s="1"/>
      <c r="AL153" s="1"/>
      <c r="AM153" s="1"/>
      <c r="AN153" s="1"/>
      <c r="AO153" s="1"/>
      <c r="AP153" s="1"/>
      <c r="AQ153" s="1"/>
      <c r="AR153" s="1"/>
      <c r="AS153"/>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97"/>
      <c r="BW153" s="97"/>
      <c r="BX153" s="97"/>
      <c r="BY153" s="97"/>
      <c r="BZ153" s="97"/>
      <c r="CA153" s="97"/>
      <c r="CB153" s="97"/>
      <c r="CC153" s="97"/>
      <c r="CD153" s="97"/>
      <c r="CE153" s="97"/>
      <c r="CF153" s="97"/>
      <c r="CG153" s="97"/>
      <c r="CH153" s="97"/>
      <c r="CI153" s="97"/>
      <c r="CJ153" s="97"/>
      <c r="CL153" s="198"/>
      <c r="CM153" s="198"/>
      <c r="CN153" s="198"/>
    </row>
    <row r="154" spans="1:92" s="30" customFormat="1" x14ac:dyDescent="0.3">
      <c r="A154" s="43"/>
      <c r="B154" s="43"/>
      <c r="E154" s="43"/>
      <c r="F154" s="43"/>
      <c r="G154" s="43"/>
      <c r="H154" s="43"/>
      <c r="I154" s="43"/>
      <c r="J154" s="43"/>
      <c r="K154" s="43"/>
      <c r="L154" s="43"/>
      <c r="M154" s="43"/>
      <c r="N154" s="43"/>
      <c r="Q154" s="43"/>
      <c r="R154" s="43"/>
      <c r="S154" s="43"/>
      <c r="T154" s="43"/>
      <c r="U154" s="43"/>
      <c r="X154" s="43"/>
      <c r="Y154" s="43"/>
      <c r="Z154" s="43"/>
      <c r="AA154" s="43"/>
      <c r="AB154" s="1"/>
      <c r="AC154" s="97"/>
      <c r="AD154" s="1"/>
      <c r="AE154" s="1"/>
      <c r="AF154" s="1"/>
      <c r="AG154" s="1"/>
      <c r="AH154" s="1"/>
      <c r="AI154" s="1"/>
      <c r="AJ154" s="1"/>
      <c r="AK154" s="1"/>
      <c r="AL154" s="1"/>
      <c r="AM154" s="1"/>
      <c r="AN154" s="1"/>
      <c r="AO154" s="1"/>
      <c r="AP154" s="1"/>
      <c r="AQ154" s="1"/>
      <c r="AR154" s="1"/>
      <c r="AS154"/>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97"/>
      <c r="BW154" s="97"/>
      <c r="BX154" s="97"/>
      <c r="BY154" s="97"/>
      <c r="BZ154" s="97"/>
      <c r="CA154" s="97"/>
      <c r="CB154" s="97"/>
      <c r="CC154" s="97"/>
      <c r="CD154" s="97"/>
      <c r="CE154" s="97"/>
      <c r="CF154" s="97"/>
      <c r="CG154" s="97"/>
      <c r="CH154" s="97"/>
      <c r="CI154" s="97"/>
      <c r="CJ154" s="97"/>
      <c r="CL154" s="198"/>
      <c r="CM154" s="198"/>
      <c r="CN154" s="198"/>
    </row>
    <row r="155" spans="1:92" s="30" customFormat="1" x14ac:dyDescent="0.3">
      <c r="A155" s="43"/>
      <c r="B155" s="43"/>
      <c r="E155" s="43"/>
      <c r="F155" s="43"/>
      <c r="G155" s="43"/>
      <c r="H155" s="43"/>
      <c r="I155" s="43"/>
      <c r="J155" s="43"/>
      <c r="K155" s="43"/>
      <c r="L155" s="43"/>
      <c r="M155" s="43"/>
      <c r="N155" s="43"/>
      <c r="Q155" s="43"/>
      <c r="R155" s="43"/>
      <c r="S155" s="43"/>
      <c r="T155" s="43"/>
      <c r="U155" s="43"/>
      <c r="X155" s="43"/>
      <c r="Y155" s="43"/>
      <c r="Z155" s="43"/>
      <c r="AA155" s="43"/>
      <c r="AB155" s="1"/>
      <c r="AC155" s="97"/>
      <c r="AD155" s="1"/>
      <c r="AE155" s="1"/>
      <c r="AF155" s="1"/>
      <c r="AG155" s="1"/>
      <c r="AH155" s="1"/>
      <c r="AI155" s="1"/>
      <c r="AJ155" s="1"/>
      <c r="AK155" s="1"/>
      <c r="AL155" s="1"/>
      <c r="AM155" s="1"/>
      <c r="AN155" s="1"/>
      <c r="AO155" s="1"/>
      <c r="AP155" s="1"/>
      <c r="AQ155" s="1"/>
      <c r="AR155" s="1"/>
      <c r="AS155"/>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97"/>
      <c r="BW155" s="97"/>
      <c r="BX155" s="97"/>
      <c r="BY155" s="97"/>
      <c r="BZ155" s="97"/>
      <c r="CA155" s="97"/>
      <c r="CB155" s="97"/>
      <c r="CC155" s="97"/>
      <c r="CD155" s="97"/>
      <c r="CE155" s="97"/>
      <c r="CF155" s="97"/>
      <c r="CG155" s="97"/>
      <c r="CH155" s="97"/>
      <c r="CI155" s="97"/>
      <c r="CJ155" s="97"/>
      <c r="CL155" s="198"/>
      <c r="CM155" s="198"/>
      <c r="CN155" s="198"/>
    </row>
    <row r="156" spans="1:92" s="30" customFormat="1" x14ac:dyDescent="0.3">
      <c r="A156" s="43"/>
      <c r="B156" s="43"/>
      <c r="E156" s="43"/>
      <c r="F156" s="43"/>
      <c r="G156" s="43"/>
      <c r="H156" s="43"/>
      <c r="I156" s="43"/>
      <c r="J156" s="43"/>
      <c r="K156" s="43"/>
      <c r="L156" s="43"/>
      <c r="M156" s="43"/>
      <c r="N156" s="43"/>
      <c r="Q156" s="43"/>
      <c r="R156" s="43"/>
      <c r="S156" s="43"/>
      <c r="T156" s="43"/>
      <c r="U156" s="43"/>
      <c r="X156" s="43"/>
      <c r="Y156" s="43"/>
      <c r="Z156" s="43"/>
      <c r="AA156" s="43"/>
      <c r="AB156" s="1"/>
      <c r="AC156" s="97"/>
      <c r="AD156" s="1"/>
      <c r="AE156" s="1"/>
      <c r="AF156" s="1"/>
      <c r="AG156" s="1"/>
      <c r="AH156" s="1"/>
      <c r="AI156" s="1"/>
      <c r="AJ156" s="1"/>
      <c r="AK156" s="1"/>
      <c r="AL156" s="1"/>
      <c r="AM156" s="1"/>
      <c r="AN156" s="1"/>
      <c r="AO156" s="1"/>
      <c r="AP156" s="1"/>
      <c r="AQ156" s="1"/>
      <c r="AR156" s="1"/>
      <c r="AS156"/>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97"/>
      <c r="BW156" s="97"/>
      <c r="BX156" s="97"/>
      <c r="BY156" s="97"/>
      <c r="BZ156" s="97"/>
      <c r="CA156" s="97"/>
      <c r="CB156" s="97"/>
      <c r="CC156" s="97"/>
      <c r="CD156" s="97"/>
      <c r="CE156" s="97"/>
      <c r="CF156" s="97"/>
      <c r="CG156" s="97"/>
      <c r="CH156" s="97"/>
      <c r="CI156" s="97"/>
      <c r="CJ156" s="97"/>
      <c r="CL156" s="198"/>
      <c r="CM156" s="198"/>
      <c r="CN156" s="198"/>
    </row>
    <row r="157" spans="1:92" s="30" customFormat="1" x14ac:dyDescent="0.3">
      <c r="A157" s="43"/>
      <c r="B157" s="43"/>
      <c r="E157" s="43"/>
      <c r="F157" s="43"/>
      <c r="G157" s="43"/>
      <c r="H157" s="43"/>
      <c r="I157" s="43"/>
      <c r="J157" s="43"/>
      <c r="K157" s="43"/>
      <c r="L157" s="43"/>
      <c r="M157" s="43"/>
      <c r="N157" s="43"/>
      <c r="Q157" s="43"/>
      <c r="R157" s="43"/>
      <c r="S157" s="43"/>
      <c r="T157" s="43"/>
      <c r="U157" s="43"/>
      <c r="X157" s="43"/>
      <c r="Y157" s="43"/>
      <c r="Z157" s="43"/>
      <c r="AA157" s="43"/>
      <c r="AB157" s="1"/>
      <c r="AC157" s="97"/>
      <c r="AD157" s="1"/>
      <c r="AE157" s="1"/>
      <c r="AF157" s="1"/>
      <c r="AG157" s="1"/>
      <c r="AH157" s="1"/>
      <c r="AI157" s="1"/>
      <c r="AJ157" s="1"/>
      <c r="AK157" s="1"/>
      <c r="AL157" s="1"/>
      <c r="AM157" s="1"/>
      <c r="AN157" s="1"/>
      <c r="AO157" s="1"/>
      <c r="AP157" s="1"/>
      <c r="AQ157" s="1"/>
      <c r="AR157" s="1"/>
      <c r="AS157"/>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97"/>
      <c r="BW157" s="97"/>
      <c r="BX157" s="97"/>
      <c r="BY157" s="97"/>
      <c r="BZ157" s="97"/>
      <c r="CA157" s="97"/>
      <c r="CB157" s="97"/>
      <c r="CC157" s="97"/>
      <c r="CD157" s="97"/>
      <c r="CE157" s="97"/>
      <c r="CF157" s="97"/>
      <c r="CG157" s="97"/>
      <c r="CH157" s="97"/>
      <c r="CI157" s="97"/>
      <c r="CJ157" s="97"/>
      <c r="CL157" s="198"/>
      <c r="CM157" s="198"/>
      <c r="CN157" s="198"/>
    </row>
    <row r="158" spans="1:92" s="30" customFormat="1" x14ac:dyDescent="0.3">
      <c r="A158" s="43"/>
      <c r="B158" s="43"/>
      <c r="E158" s="43"/>
      <c r="F158" s="43"/>
      <c r="G158" s="43"/>
      <c r="H158" s="43"/>
      <c r="I158" s="43"/>
      <c r="J158" s="43"/>
      <c r="K158" s="43"/>
      <c r="L158" s="43"/>
      <c r="M158" s="43"/>
      <c r="N158" s="43"/>
      <c r="Q158" s="43"/>
      <c r="R158" s="43"/>
      <c r="S158" s="43"/>
      <c r="T158" s="43"/>
      <c r="U158" s="43"/>
      <c r="X158" s="43"/>
      <c r="Y158" s="43"/>
      <c r="Z158" s="43"/>
      <c r="AA158" s="43"/>
      <c r="AB158" s="1"/>
      <c r="AC158" s="97"/>
      <c r="AD158" s="1"/>
      <c r="AE158" s="1"/>
      <c r="AF158" s="1"/>
      <c r="AG158" s="1"/>
      <c r="AH158" s="1"/>
      <c r="AI158" s="1"/>
      <c r="AJ158" s="1"/>
      <c r="AK158" s="1"/>
      <c r="AL158" s="1"/>
      <c r="AM158" s="1"/>
      <c r="AN158" s="1"/>
      <c r="AO158" s="1"/>
      <c r="AP158" s="1"/>
      <c r="AQ158" s="1"/>
      <c r="AR158" s="1"/>
      <c r="AS158"/>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97"/>
      <c r="BW158" s="97"/>
      <c r="BX158" s="97"/>
      <c r="BY158" s="97"/>
      <c r="BZ158" s="97"/>
      <c r="CA158" s="97"/>
      <c r="CB158" s="97"/>
      <c r="CC158" s="97"/>
      <c r="CD158" s="97"/>
      <c r="CE158" s="97"/>
      <c r="CF158" s="97"/>
      <c r="CG158" s="97"/>
      <c r="CH158" s="97"/>
      <c r="CI158" s="97"/>
      <c r="CJ158" s="97"/>
      <c r="CL158" s="198"/>
      <c r="CM158" s="198"/>
      <c r="CN158" s="198"/>
    </row>
    <row r="159" spans="1:92" s="30" customFormat="1" x14ac:dyDescent="0.3">
      <c r="A159" s="43"/>
      <c r="B159" s="43"/>
      <c r="E159" s="43"/>
      <c r="F159" s="43"/>
      <c r="G159" s="43"/>
      <c r="H159" s="43"/>
      <c r="I159" s="43"/>
      <c r="J159" s="43"/>
      <c r="K159" s="43"/>
      <c r="L159" s="43"/>
      <c r="M159" s="43"/>
      <c r="N159" s="43"/>
      <c r="Q159" s="43"/>
      <c r="R159" s="43"/>
      <c r="S159" s="43"/>
      <c r="T159" s="43"/>
      <c r="U159" s="43"/>
      <c r="X159" s="43"/>
      <c r="Y159" s="43"/>
      <c r="Z159" s="43"/>
      <c r="AA159" s="43"/>
      <c r="AB159" s="1"/>
      <c r="AC159" s="97"/>
      <c r="AD159" s="1"/>
      <c r="AE159" s="1"/>
      <c r="AF159" s="1"/>
      <c r="AG159" s="1"/>
      <c r="AH159" s="1"/>
      <c r="AI159" s="1"/>
      <c r="AJ159" s="1"/>
      <c r="AK159" s="1"/>
      <c r="AL159" s="1"/>
      <c r="AM159" s="1"/>
      <c r="AN159" s="1"/>
      <c r="AO159" s="1"/>
      <c r="AP159" s="1"/>
      <c r="AQ159" s="1"/>
      <c r="AR159" s="1"/>
      <c r="AS159"/>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97"/>
      <c r="BW159" s="97"/>
      <c r="BX159" s="97"/>
      <c r="BY159" s="97"/>
      <c r="BZ159" s="97"/>
      <c r="CA159" s="97"/>
      <c r="CB159" s="97"/>
      <c r="CC159" s="97"/>
      <c r="CD159" s="97"/>
      <c r="CE159" s="97"/>
      <c r="CF159" s="97"/>
      <c r="CG159" s="97"/>
      <c r="CH159" s="97"/>
      <c r="CI159" s="97"/>
      <c r="CJ159" s="97"/>
      <c r="CL159" s="198"/>
      <c r="CM159" s="198"/>
      <c r="CN159" s="198"/>
    </row>
    <row r="160" spans="1:92" s="30" customFormat="1" x14ac:dyDescent="0.3">
      <c r="A160" s="43"/>
      <c r="B160" s="43"/>
      <c r="E160" s="43"/>
      <c r="F160" s="43"/>
      <c r="G160" s="43"/>
      <c r="H160" s="43"/>
      <c r="I160" s="43"/>
      <c r="J160" s="43"/>
      <c r="K160" s="43"/>
      <c r="L160" s="43"/>
      <c r="M160" s="43"/>
      <c r="N160" s="43"/>
      <c r="Q160" s="43"/>
      <c r="R160" s="43"/>
      <c r="S160" s="43"/>
      <c r="T160" s="43"/>
      <c r="U160" s="43"/>
      <c r="X160" s="43"/>
      <c r="Y160" s="43"/>
      <c r="Z160" s="43"/>
      <c r="AA160" s="43"/>
      <c r="AB160" s="1"/>
      <c r="AC160" s="97"/>
      <c r="AD160" s="1"/>
      <c r="AE160" s="1"/>
      <c r="AF160" s="1"/>
      <c r="AG160" s="1"/>
      <c r="AH160" s="1"/>
      <c r="AI160" s="1"/>
      <c r="AJ160" s="1"/>
      <c r="AK160" s="1"/>
      <c r="AL160" s="1"/>
      <c r="AM160" s="1"/>
      <c r="AN160" s="1"/>
      <c r="AO160" s="1"/>
      <c r="AP160" s="1"/>
      <c r="AQ160" s="1"/>
      <c r="AR160" s="1"/>
      <c r="AS160"/>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97"/>
      <c r="BW160" s="97"/>
      <c r="BX160" s="97"/>
      <c r="BY160" s="97"/>
      <c r="BZ160" s="97"/>
      <c r="CA160" s="97"/>
      <c r="CB160" s="97"/>
      <c r="CC160" s="97"/>
      <c r="CD160" s="97"/>
      <c r="CE160" s="97"/>
      <c r="CF160" s="97"/>
      <c r="CG160" s="97"/>
      <c r="CH160" s="97"/>
      <c r="CI160" s="97"/>
      <c r="CJ160" s="97"/>
      <c r="CL160" s="198"/>
      <c r="CM160" s="198"/>
      <c r="CN160" s="198"/>
    </row>
    <row r="161" spans="1:92" s="30" customFormat="1" x14ac:dyDescent="0.3">
      <c r="A161" s="43"/>
      <c r="B161" s="43"/>
      <c r="E161" s="43"/>
      <c r="F161" s="43"/>
      <c r="G161" s="43"/>
      <c r="H161" s="43"/>
      <c r="I161" s="43"/>
      <c r="J161" s="43"/>
      <c r="K161" s="43"/>
      <c r="L161" s="43"/>
      <c r="M161" s="43"/>
      <c r="N161" s="43"/>
      <c r="Q161" s="43"/>
      <c r="R161" s="43"/>
      <c r="S161" s="43"/>
      <c r="T161" s="43"/>
      <c r="U161" s="43"/>
      <c r="X161" s="43"/>
      <c r="Y161" s="43"/>
      <c r="Z161" s="43"/>
      <c r="AA161" s="43"/>
      <c r="AB161" s="1"/>
      <c r="AC161" s="97"/>
      <c r="AD161" s="1"/>
      <c r="AE161" s="1"/>
      <c r="AF161" s="1"/>
      <c r="AG161" s="1"/>
      <c r="AH161" s="1"/>
      <c r="AI161" s="1"/>
      <c r="AJ161" s="1"/>
      <c r="AK161" s="1"/>
      <c r="AL161" s="1"/>
      <c r="AM161" s="1"/>
      <c r="AN161" s="1"/>
      <c r="AO161" s="1"/>
      <c r="AP161" s="1"/>
      <c r="AQ161" s="1"/>
      <c r="AR161" s="1"/>
      <c r="AS16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97"/>
      <c r="BW161" s="97"/>
      <c r="BX161" s="97"/>
      <c r="BY161" s="97"/>
      <c r="BZ161" s="97"/>
      <c r="CA161" s="97"/>
      <c r="CB161" s="97"/>
      <c r="CC161" s="97"/>
      <c r="CD161" s="97"/>
      <c r="CE161" s="97"/>
      <c r="CF161" s="97"/>
      <c r="CG161" s="97"/>
      <c r="CH161" s="97"/>
      <c r="CI161" s="97"/>
      <c r="CJ161" s="97"/>
      <c r="CL161" s="198"/>
      <c r="CM161" s="198"/>
      <c r="CN161" s="198"/>
    </row>
    <row r="162" spans="1:92" s="30" customFormat="1" x14ac:dyDescent="0.3">
      <c r="A162" s="43"/>
      <c r="B162" s="43"/>
      <c r="E162" s="43"/>
      <c r="F162" s="43"/>
      <c r="G162" s="43"/>
      <c r="H162" s="43"/>
      <c r="I162" s="43"/>
      <c r="J162" s="43"/>
      <c r="K162" s="43"/>
      <c r="L162" s="43"/>
      <c r="M162" s="43"/>
      <c r="N162" s="43"/>
      <c r="Q162" s="43"/>
      <c r="R162" s="43"/>
      <c r="S162" s="43"/>
      <c r="T162" s="43"/>
      <c r="U162" s="43"/>
      <c r="X162" s="43"/>
      <c r="Y162" s="43"/>
      <c r="Z162" s="43"/>
      <c r="AA162" s="43"/>
      <c r="AB162" s="1"/>
      <c r="AC162" s="97"/>
      <c r="AD162" s="1"/>
      <c r="AE162" s="1"/>
      <c r="AF162" s="1"/>
      <c r="AG162" s="1"/>
      <c r="AH162" s="1"/>
      <c r="AI162" s="1"/>
      <c r="AJ162" s="1"/>
      <c r="AK162" s="1"/>
      <c r="AL162" s="1"/>
      <c r="AM162" s="1"/>
      <c r="AN162" s="1"/>
      <c r="AO162" s="1"/>
      <c r="AP162" s="1"/>
      <c r="AQ162" s="1"/>
      <c r="AR162" s="1"/>
      <c r="AS162"/>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97"/>
      <c r="BW162" s="97"/>
      <c r="BX162" s="97"/>
      <c r="BY162" s="97"/>
      <c r="BZ162" s="97"/>
      <c r="CA162" s="97"/>
      <c r="CB162" s="97"/>
      <c r="CC162" s="97"/>
      <c r="CD162" s="97"/>
      <c r="CE162" s="97"/>
      <c r="CF162" s="97"/>
      <c r="CG162" s="97"/>
      <c r="CH162" s="97"/>
      <c r="CI162" s="97"/>
      <c r="CJ162" s="97"/>
      <c r="CL162" s="198"/>
      <c r="CM162" s="198"/>
      <c r="CN162" s="198"/>
    </row>
    <row r="163" spans="1:92" s="30" customFormat="1" x14ac:dyDescent="0.3">
      <c r="A163" s="43"/>
      <c r="B163" s="43"/>
      <c r="E163" s="43"/>
      <c r="F163" s="43"/>
      <c r="G163" s="43"/>
      <c r="H163" s="43"/>
      <c r="I163" s="43"/>
      <c r="J163" s="43"/>
      <c r="K163" s="43"/>
      <c r="L163" s="43"/>
      <c r="M163" s="43"/>
      <c r="N163" s="43"/>
      <c r="Q163" s="43"/>
      <c r="R163" s="43"/>
      <c r="S163" s="43"/>
      <c r="T163" s="43"/>
      <c r="U163" s="43"/>
      <c r="X163" s="43"/>
      <c r="Y163" s="43"/>
      <c r="Z163" s="43"/>
      <c r="AA163" s="43"/>
      <c r="AB163" s="1"/>
      <c r="AC163" s="97"/>
      <c r="AD163" s="1"/>
      <c r="AE163" s="1"/>
      <c r="AF163" s="1"/>
      <c r="AG163" s="1"/>
      <c r="AH163" s="1"/>
      <c r="AI163" s="1"/>
      <c r="AJ163" s="1"/>
      <c r="AK163" s="1"/>
      <c r="AL163" s="1"/>
      <c r="AM163" s="1"/>
      <c r="AN163" s="1"/>
      <c r="AO163" s="1"/>
      <c r="AP163" s="1"/>
      <c r="AQ163" s="1"/>
      <c r="AR163" s="1"/>
      <c r="AS163"/>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97"/>
      <c r="BW163" s="97"/>
      <c r="BX163" s="97"/>
      <c r="BY163" s="97"/>
      <c r="BZ163" s="97"/>
      <c r="CA163" s="97"/>
      <c r="CB163" s="97"/>
      <c r="CC163" s="97"/>
      <c r="CD163" s="97"/>
      <c r="CE163" s="97"/>
      <c r="CF163" s="97"/>
      <c r="CG163" s="97"/>
      <c r="CH163" s="97"/>
      <c r="CI163" s="97"/>
      <c r="CJ163" s="97"/>
      <c r="CL163" s="198"/>
      <c r="CM163" s="198"/>
      <c r="CN163" s="198"/>
    </row>
    <row r="164" spans="1:92" s="30" customFormat="1" x14ac:dyDescent="0.3">
      <c r="A164" s="43"/>
      <c r="B164" s="43"/>
      <c r="E164" s="43"/>
      <c r="F164" s="43"/>
      <c r="G164" s="43"/>
      <c r="H164" s="43"/>
      <c r="I164" s="43"/>
      <c r="J164" s="43"/>
      <c r="K164" s="43"/>
      <c r="L164" s="43"/>
      <c r="M164" s="43"/>
      <c r="N164" s="43"/>
      <c r="Q164" s="43"/>
      <c r="R164" s="43"/>
      <c r="S164" s="43"/>
      <c r="T164" s="43"/>
      <c r="U164" s="43"/>
      <c r="X164" s="43"/>
      <c r="Y164" s="43"/>
      <c r="Z164" s="43"/>
      <c r="AA164" s="43"/>
      <c r="AB164" s="1"/>
      <c r="AC164" s="97"/>
      <c r="AD164" s="1"/>
      <c r="AE164" s="1"/>
      <c r="AF164" s="1"/>
      <c r="AG164" s="1"/>
      <c r="AH164" s="1"/>
      <c r="AI164" s="1"/>
      <c r="AJ164" s="1"/>
      <c r="AK164" s="1"/>
      <c r="AL164" s="1"/>
      <c r="AM164" s="1"/>
      <c r="AN164" s="1"/>
      <c r="AO164" s="1"/>
      <c r="AP164" s="1"/>
      <c r="AQ164" s="1"/>
      <c r="AR164" s="1"/>
      <c r="AS164"/>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97"/>
      <c r="BW164" s="97"/>
      <c r="BX164" s="97"/>
      <c r="BY164" s="97"/>
      <c r="BZ164" s="97"/>
      <c r="CA164" s="97"/>
      <c r="CB164" s="97"/>
      <c r="CC164" s="97"/>
      <c r="CD164" s="97"/>
      <c r="CE164" s="97"/>
      <c r="CF164" s="97"/>
      <c r="CG164" s="97"/>
      <c r="CH164" s="97"/>
      <c r="CI164" s="97"/>
      <c r="CJ164" s="97"/>
      <c r="CL164" s="198"/>
      <c r="CM164" s="198"/>
      <c r="CN164" s="198"/>
    </row>
    <row r="165" spans="1:92" s="30" customFormat="1" x14ac:dyDescent="0.3">
      <c r="A165" s="43"/>
      <c r="B165" s="43"/>
      <c r="E165" s="43"/>
      <c r="F165" s="43"/>
      <c r="G165" s="43"/>
      <c r="H165" s="43"/>
      <c r="I165" s="43"/>
      <c r="J165" s="43"/>
      <c r="K165" s="43"/>
      <c r="L165" s="43"/>
      <c r="M165" s="43"/>
      <c r="N165" s="43"/>
      <c r="Q165" s="43"/>
      <c r="R165" s="43"/>
      <c r="S165" s="43"/>
      <c r="T165" s="43"/>
      <c r="U165" s="43"/>
      <c r="X165" s="43"/>
      <c r="Y165" s="43"/>
      <c r="Z165" s="43"/>
      <c r="AA165" s="43"/>
      <c r="AB165" s="1"/>
      <c r="AC165" s="97"/>
      <c r="AD165" s="1"/>
      <c r="AE165" s="1"/>
      <c r="AF165" s="1"/>
      <c r="AG165" s="1"/>
      <c r="AH165" s="1"/>
      <c r="AI165" s="1"/>
      <c r="AJ165" s="1"/>
      <c r="AK165" s="1"/>
      <c r="AL165" s="1"/>
      <c r="AM165" s="1"/>
      <c r="AN165" s="1"/>
      <c r="AO165" s="1"/>
      <c r="AP165" s="1"/>
      <c r="AQ165" s="1"/>
      <c r="AR165" s="1"/>
      <c r="AS165"/>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97"/>
      <c r="BW165" s="97"/>
      <c r="BX165" s="97"/>
      <c r="BY165" s="97"/>
      <c r="BZ165" s="97"/>
      <c r="CA165" s="97"/>
      <c r="CB165" s="97"/>
      <c r="CC165" s="97"/>
      <c r="CD165" s="97"/>
      <c r="CE165" s="97"/>
      <c r="CF165" s="97"/>
      <c r="CG165" s="97"/>
      <c r="CH165" s="97"/>
      <c r="CI165" s="97"/>
      <c r="CJ165" s="97"/>
      <c r="CL165" s="198"/>
      <c r="CM165" s="198"/>
      <c r="CN165" s="198"/>
    </row>
    <row r="166" spans="1:92" s="30" customFormat="1" x14ac:dyDescent="0.3">
      <c r="A166" s="43"/>
      <c r="B166" s="43"/>
      <c r="E166" s="43"/>
      <c r="F166" s="43"/>
      <c r="G166" s="43"/>
      <c r="H166" s="43"/>
      <c r="I166" s="43"/>
      <c r="J166" s="43"/>
      <c r="K166" s="43"/>
      <c r="L166" s="43"/>
      <c r="M166" s="43"/>
      <c r="N166" s="43"/>
      <c r="Q166" s="43"/>
      <c r="R166" s="43"/>
      <c r="S166" s="43"/>
      <c r="T166" s="43"/>
      <c r="U166" s="43"/>
      <c r="X166" s="43"/>
      <c r="Y166" s="43"/>
      <c r="Z166" s="43"/>
      <c r="AA166" s="43"/>
      <c r="AB166" s="1"/>
      <c r="AC166" s="97"/>
      <c r="AD166" s="1"/>
      <c r="AE166" s="1"/>
      <c r="AF166" s="1"/>
      <c r="AG166" s="1"/>
      <c r="AH166" s="1"/>
      <c r="AI166" s="1"/>
      <c r="AJ166" s="1"/>
      <c r="AK166" s="1"/>
      <c r="AL166" s="1"/>
      <c r="AM166" s="1"/>
      <c r="AN166" s="1"/>
      <c r="AO166" s="1"/>
      <c r="AP166" s="1"/>
      <c r="AQ166" s="1"/>
      <c r="AR166" s="1"/>
      <c r="AS166"/>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97"/>
      <c r="BW166" s="97"/>
      <c r="BX166" s="97"/>
      <c r="BY166" s="97"/>
      <c r="BZ166" s="97"/>
      <c r="CA166" s="97"/>
      <c r="CB166" s="97"/>
      <c r="CC166" s="97"/>
      <c r="CD166" s="97"/>
      <c r="CE166" s="97"/>
      <c r="CF166" s="97"/>
      <c r="CG166" s="97"/>
      <c r="CH166" s="97"/>
      <c r="CI166" s="97"/>
      <c r="CJ166" s="97"/>
      <c r="CL166" s="198"/>
      <c r="CM166" s="198"/>
      <c r="CN166" s="198"/>
    </row>
    <row r="167" spans="1:92" s="30" customFormat="1" x14ac:dyDescent="0.3">
      <c r="A167" s="43"/>
      <c r="B167" s="43"/>
      <c r="E167" s="43"/>
      <c r="F167" s="43"/>
      <c r="G167" s="43"/>
      <c r="H167" s="43"/>
      <c r="I167" s="43"/>
      <c r="J167" s="43"/>
      <c r="K167" s="43"/>
      <c r="L167" s="43"/>
      <c r="M167" s="43"/>
      <c r="N167" s="43"/>
      <c r="Q167" s="43"/>
      <c r="R167" s="43"/>
      <c r="S167" s="43"/>
      <c r="T167" s="43"/>
      <c r="U167" s="43"/>
      <c r="X167" s="43"/>
      <c r="Y167" s="43"/>
      <c r="Z167" s="43"/>
      <c r="AA167" s="43"/>
      <c r="AB167" s="1"/>
      <c r="AC167" s="97"/>
      <c r="AD167" s="1"/>
      <c r="AE167" s="1"/>
      <c r="AF167" s="1"/>
      <c r="AG167" s="1"/>
      <c r="AH167" s="1"/>
      <c r="AI167" s="1"/>
      <c r="AJ167" s="1"/>
      <c r="AK167" s="1"/>
      <c r="AL167" s="1"/>
      <c r="AM167" s="1"/>
      <c r="AN167" s="1"/>
      <c r="AO167" s="1"/>
      <c r="AP167" s="1"/>
      <c r="AQ167" s="1"/>
      <c r="AR167" s="1"/>
      <c r="AS167"/>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97"/>
      <c r="BW167" s="97"/>
      <c r="BX167" s="97"/>
      <c r="BY167" s="97"/>
      <c r="BZ167" s="97"/>
      <c r="CA167" s="97"/>
      <c r="CB167" s="97"/>
      <c r="CC167" s="97"/>
      <c r="CD167" s="97"/>
      <c r="CE167" s="97"/>
      <c r="CF167" s="97"/>
      <c r="CG167" s="97"/>
      <c r="CH167" s="97"/>
      <c r="CI167" s="97"/>
      <c r="CJ167" s="97"/>
      <c r="CL167" s="198"/>
      <c r="CM167" s="198"/>
      <c r="CN167" s="198"/>
    </row>
    <row r="168" spans="1:92" s="30" customFormat="1" x14ac:dyDescent="0.3">
      <c r="A168" s="43"/>
      <c r="B168" s="43"/>
      <c r="E168" s="43"/>
      <c r="F168" s="43"/>
      <c r="G168" s="43"/>
      <c r="H168" s="43"/>
      <c r="I168" s="43"/>
      <c r="J168" s="43"/>
      <c r="K168" s="43"/>
      <c r="L168" s="43"/>
      <c r="M168" s="43"/>
      <c r="N168" s="43"/>
      <c r="Q168" s="43"/>
      <c r="R168" s="43"/>
      <c r="S168" s="43"/>
      <c r="T168" s="43"/>
      <c r="U168" s="43"/>
      <c r="X168" s="43"/>
      <c r="Y168" s="43"/>
      <c r="Z168" s="43"/>
      <c r="AA168" s="43"/>
      <c r="AB168" s="1"/>
      <c r="AC168" s="97"/>
      <c r="AD168" s="1"/>
      <c r="AE168" s="1"/>
      <c r="AF168" s="1"/>
      <c r="AG168" s="1"/>
      <c r="AH168" s="1"/>
      <c r="AI168" s="1"/>
      <c r="AJ168" s="1"/>
      <c r="AK168" s="1"/>
      <c r="AL168" s="1"/>
      <c r="AM168" s="1"/>
      <c r="AN168" s="1"/>
      <c r="AO168" s="1"/>
      <c r="AP168" s="1"/>
      <c r="AQ168" s="1"/>
      <c r="AR168" s="1"/>
      <c r="AS168"/>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97"/>
      <c r="BW168" s="97"/>
      <c r="BX168" s="97"/>
      <c r="BY168" s="97"/>
      <c r="BZ168" s="97"/>
      <c r="CA168" s="97"/>
      <c r="CB168" s="97"/>
      <c r="CC168" s="97"/>
      <c r="CD168" s="97"/>
      <c r="CE168" s="97"/>
      <c r="CF168" s="97"/>
      <c r="CG168" s="97"/>
      <c r="CH168" s="97"/>
      <c r="CI168" s="97"/>
      <c r="CJ168" s="97"/>
      <c r="CL168" s="198"/>
      <c r="CM168" s="198"/>
      <c r="CN168" s="198"/>
    </row>
    <row r="169" spans="1:92" s="30" customFormat="1" x14ac:dyDescent="0.3">
      <c r="A169" s="43"/>
      <c r="B169" s="43"/>
      <c r="E169" s="43"/>
      <c r="F169" s="43"/>
      <c r="G169" s="43"/>
      <c r="H169" s="43"/>
      <c r="I169" s="43"/>
      <c r="J169" s="43"/>
      <c r="K169" s="43"/>
      <c r="L169" s="43"/>
      <c r="M169" s="43"/>
      <c r="N169" s="43"/>
      <c r="Q169" s="43"/>
      <c r="R169" s="43"/>
      <c r="S169" s="43"/>
      <c r="T169" s="43"/>
      <c r="U169" s="43"/>
      <c r="X169" s="43"/>
      <c r="Y169" s="43"/>
      <c r="Z169" s="43"/>
      <c r="AA169" s="43"/>
      <c r="AB169" s="1"/>
      <c r="AC169" s="97"/>
      <c r="AD169" s="1"/>
      <c r="AE169" s="1"/>
      <c r="AF169" s="1"/>
      <c r="AG169" s="1"/>
      <c r="AH169" s="1"/>
      <c r="AI169" s="1"/>
      <c r="AJ169" s="1"/>
      <c r="AK169" s="1"/>
      <c r="AL169" s="1"/>
      <c r="AM169" s="1"/>
      <c r="AN169" s="1"/>
      <c r="AO169" s="1"/>
      <c r="AP169" s="1"/>
      <c r="AQ169" s="1"/>
      <c r="AR169" s="1"/>
      <c r="AS169"/>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97"/>
      <c r="BW169" s="97"/>
      <c r="BX169" s="97"/>
      <c r="BY169" s="97"/>
      <c r="BZ169" s="97"/>
      <c r="CA169" s="97"/>
      <c r="CB169" s="97"/>
      <c r="CC169" s="97"/>
      <c r="CD169" s="97"/>
      <c r="CE169" s="97"/>
      <c r="CF169" s="97"/>
      <c r="CG169" s="97"/>
      <c r="CH169" s="97"/>
      <c r="CI169" s="97"/>
      <c r="CJ169" s="97"/>
      <c r="CL169" s="198"/>
      <c r="CM169" s="198"/>
      <c r="CN169" s="198"/>
    </row>
    <row r="170" spans="1:92" s="30" customFormat="1" x14ac:dyDescent="0.3">
      <c r="A170" s="43"/>
      <c r="B170" s="43"/>
      <c r="E170" s="43"/>
      <c r="F170" s="43"/>
      <c r="G170" s="43"/>
      <c r="H170" s="43"/>
      <c r="I170" s="43"/>
      <c r="J170" s="43"/>
      <c r="K170" s="43"/>
      <c r="L170" s="43"/>
      <c r="M170" s="43"/>
      <c r="N170" s="43"/>
      <c r="Q170" s="43"/>
      <c r="R170" s="43"/>
      <c r="S170" s="43"/>
      <c r="T170" s="43"/>
      <c r="U170" s="43"/>
      <c r="X170" s="43"/>
      <c r="Y170" s="43"/>
      <c r="Z170" s="43"/>
      <c r="AA170" s="43"/>
      <c r="AB170" s="1"/>
      <c r="AC170" s="97"/>
      <c r="AD170" s="1"/>
      <c r="AE170" s="1"/>
      <c r="AF170" s="1"/>
      <c r="AG170" s="1"/>
      <c r="AH170" s="1"/>
      <c r="AI170" s="1"/>
      <c r="AJ170" s="1"/>
      <c r="AK170" s="1"/>
      <c r="AL170" s="1"/>
      <c r="AM170" s="1"/>
      <c r="AN170" s="1"/>
      <c r="AO170" s="1"/>
      <c r="AP170" s="1"/>
      <c r="AQ170" s="1"/>
      <c r="AR170" s="1"/>
      <c r="AS170"/>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97"/>
      <c r="BW170" s="97"/>
      <c r="BX170" s="97"/>
      <c r="BY170" s="97"/>
      <c r="BZ170" s="97"/>
      <c r="CA170" s="97"/>
      <c r="CB170" s="97"/>
      <c r="CC170" s="97"/>
      <c r="CD170" s="97"/>
      <c r="CE170" s="97"/>
      <c r="CF170" s="97"/>
      <c r="CG170" s="97"/>
      <c r="CH170" s="97"/>
      <c r="CI170" s="97"/>
      <c r="CJ170" s="97"/>
      <c r="CL170" s="198"/>
      <c r="CM170" s="198"/>
      <c r="CN170" s="198"/>
    </row>
    <row r="171" spans="1:92" s="30" customFormat="1" x14ac:dyDescent="0.3">
      <c r="A171" s="43"/>
      <c r="B171" s="43"/>
      <c r="E171" s="43"/>
      <c r="F171" s="43"/>
      <c r="G171" s="43"/>
      <c r="H171" s="43"/>
      <c r="I171" s="43"/>
      <c r="J171" s="43"/>
      <c r="K171" s="43"/>
      <c r="L171" s="43"/>
      <c r="M171" s="43"/>
      <c r="N171" s="43"/>
      <c r="Q171" s="43"/>
      <c r="R171" s="43"/>
      <c r="S171" s="43"/>
      <c r="T171" s="43"/>
      <c r="U171" s="43"/>
      <c r="X171" s="43"/>
      <c r="Y171" s="43"/>
      <c r="Z171" s="43"/>
      <c r="AA171" s="43"/>
      <c r="AB171" s="1"/>
      <c r="AC171" s="97"/>
      <c r="AD171" s="1"/>
      <c r="AE171" s="1"/>
      <c r="AF171" s="1"/>
      <c r="AG171" s="1"/>
      <c r="AH171" s="1"/>
      <c r="AI171" s="1"/>
      <c r="AJ171" s="1"/>
      <c r="AK171" s="1"/>
      <c r="AL171" s="1"/>
      <c r="AM171" s="1"/>
      <c r="AN171" s="1"/>
      <c r="AO171" s="1"/>
      <c r="AP171" s="1"/>
      <c r="AQ171" s="1"/>
      <c r="AR171" s="1"/>
      <c r="AS17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97"/>
      <c r="BW171" s="97"/>
      <c r="BX171" s="97"/>
      <c r="BY171" s="97"/>
      <c r="BZ171" s="97"/>
      <c r="CA171" s="97"/>
      <c r="CB171" s="97"/>
      <c r="CC171" s="97"/>
      <c r="CD171" s="97"/>
      <c r="CE171" s="97"/>
      <c r="CF171" s="97"/>
      <c r="CG171" s="97"/>
      <c r="CH171" s="97"/>
      <c r="CI171" s="97"/>
      <c r="CJ171" s="97"/>
      <c r="CL171" s="198"/>
      <c r="CM171" s="198"/>
      <c r="CN171" s="198"/>
    </row>
    <row r="172" spans="1:92" s="30" customFormat="1" x14ac:dyDescent="0.3">
      <c r="A172" s="43"/>
      <c r="B172" s="43"/>
      <c r="E172" s="43"/>
      <c r="F172" s="43"/>
      <c r="G172" s="43"/>
      <c r="H172" s="43"/>
      <c r="I172" s="43"/>
      <c r="J172" s="43"/>
      <c r="K172" s="43"/>
      <c r="L172" s="43"/>
      <c r="M172" s="43"/>
      <c r="N172" s="43"/>
      <c r="Q172" s="43"/>
      <c r="R172" s="43"/>
      <c r="S172" s="43"/>
      <c r="T172" s="43"/>
      <c r="U172" s="43"/>
      <c r="X172" s="43"/>
      <c r="Y172" s="43"/>
      <c r="Z172" s="43"/>
      <c r="AA172" s="43"/>
      <c r="AB172" s="1"/>
      <c r="AC172" s="97"/>
      <c r="AD172" s="1"/>
      <c r="AE172" s="1"/>
      <c r="AF172" s="1"/>
      <c r="AG172" s="1"/>
      <c r="AH172" s="1"/>
      <c r="AI172" s="1"/>
      <c r="AJ172" s="1"/>
      <c r="AK172" s="1"/>
      <c r="AL172" s="1"/>
      <c r="AM172" s="1"/>
      <c r="AN172" s="1"/>
      <c r="AO172" s="1"/>
      <c r="AP172" s="1"/>
      <c r="AQ172" s="1"/>
      <c r="AR172" s="1"/>
      <c r="AS172"/>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97"/>
      <c r="BW172" s="97"/>
      <c r="BX172" s="97"/>
      <c r="BY172" s="97"/>
      <c r="BZ172" s="97"/>
      <c r="CA172" s="97"/>
      <c r="CB172" s="97"/>
      <c r="CC172" s="97"/>
      <c r="CD172" s="97"/>
      <c r="CE172" s="97"/>
      <c r="CF172" s="97"/>
      <c r="CG172" s="97"/>
      <c r="CH172" s="97"/>
      <c r="CI172" s="97"/>
      <c r="CJ172" s="97"/>
      <c r="CL172" s="198"/>
      <c r="CM172" s="198"/>
      <c r="CN172" s="198"/>
    </row>
    <row r="173" spans="1:92" s="30" customFormat="1" x14ac:dyDescent="0.3">
      <c r="A173" s="43"/>
      <c r="B173" s="43"/>
      <c r="E173" s="43"/>
      <c r="F173" s="43"/>
      <c r="G173" s="43"/>
      <c r="H173" s="43"/>
      <c r="I173" s="43"/>
      <c r="J173" s="43"/>
      <c r="K173" s="43"/>
      <c r="L173" s="43"/>
      <c r="M173" s="43"/>
      <c r="N173" s="43"/>
      <c r="Q173" s="43"/>
      <c r="R173" s="43"/>
      <c r="S173" s="43"/>
      <c r="T173" s="43"/>
      <c r="U173" s="43"/>
      <c r="X173" s="43"/>
      <c r="Y173" s="43"/>
      <c r="Z173" s="43"/>
      <c r="AA173" s="43"/>
      <c r="AB173" s="1"/>
      <c r="AC173" s="97"/>
      <c r="AD173" s="1"/>
      <c r="AE173" s="1"/>
      <c r="AF173" s="1"/>
      <c r="AG173" s="1"/>
      <c r="AH173" s="1"/>
      <c r="AI173" s="1"/>
      <c r="AJ173" s="1"/>
      <c r="AK173" s="1"/>
      <c r="AL173" s="1"/>
      <c r="AM173" s="1"/>
      <c r="AN173" s="1"/>
      <c r="AO173" s="1"/>
      <c r="AP173" s="1"/>
      <c r="AQ173" s="1"/>
      <c r="AR173" s="1"/>
      <c r="AS173"/>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97"/>
      <c r="BW173" s="97"/>
      <c r="BX173" s="97"/>
      <c r="BY173" s="97"/>
      <c r="BZ173" s="97"/>
      <c r="CA173" s="97"/>
      <c r="CB173" s="97"/>
      <c r="CC173" s="97"/>
      <c r="CD173" s="97"/>
      <c r="CE173" s="97"/>
      <c r="CF173" s="97"/>
      <c r="CG173" s="97"/>
      <c r="CH173" s="97"/>
      <c r="CI173" s="97"/>
      <c r="CJ173" s="97"/>
      <c r="CL173" s="198"/>
      <c r="CM173" s="198"/>
      <c r="CN173" s="198"/>
    </row>
    <row r="174" spans="1:92" s="30" customFormat="1" x14ac:dyDescent="0.3">
      <c r="A174" s="43"/>
      <c r="B174" s="43"/>
      <c r="E174" s="43"/>
      <c r="F174" s="43"/>
      <c r="G174" s="43"/>
      <c r="H174" s="43"/>
      <c r="I174" s="43"/>
      <c r="J174" s="43"/>
      <c r="K174" s="43"/>
      <c r="L174" s="43"/>
      <c r="M174" s="43"/>
      <c r="N174" s="43"/>
      <c r="Q174" s="43"/>
      <c r="R174" s="43"/>
      <c r="S174" s="43"/>
      <c r="T174" s="43"/>
      <c r="U174" s="43"/>
      <c r="X174" s="43"/>
      <c r="Y174" s="43"/>
      <c r="Z174" s="43"/>
      <c r="AA174" s="43"/>
      <c r="AB174" s="1"/>
      <c r="AC174" s="97"/>
      <c r="AD174" s="1"/>
      <c r="AE174" s="1"/>
      <c r="AF174" s="1"/>
      <c r="AG174" s="1"/>
      <c r="AH174" s="1"/>
      <c r="AI174" s="1"/>
      <c r="AJ174" s="1"/>
      <c r="AK174" s="1"/>
      <c r="AL174" s="1"/>
      <c r="AM174" s="1"/>
      <c r="AN174" s="1"/>
      <c r="AO174" s="1"/>
      <c r="AP174" s="1"/>
      <c r="AQ174" s="1"/>
      <c r="AR174" s="1"/>
      <c r="AS174"/>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97"/>
      <c r="BW174" s="97"/>
      <c r="BX174" s="97"/>
      <c r="BY174" s="97"/>
      <c r="BZ174" s="97"/>
      <c r="CA174" s="97"/>
      <c r="CB174" s="97"/>
      <c r="CC174" s="97"/>
      <c r="CD174" s="97"/>
      <c r="CE174" s="97"/>
      <c r="CF174" s="97"/>
      <c r="CG174" s="97"/>
      <c r="CH174" s="97"/>
      <c r="CI174" s="97"/>
      <c r="CJ174" s="97"/>
      <c r="CL174" s="198"/>
      <c r="CM174" s="198"/>
      <c r="CN174" s="198"/>
    </row>
    <row r="175" spans="1:92" s="30" customFormat="1" x14ac:dyDescent="0.3">
      <c r="A175" s="43"/>
      <c r="B175" s="43"/>
      <c r="E175" s="43"/>
      <c r="F175" s="43"/>
      <c r="G175" s="43"/>
      <c r="H175" s="43"/>
      <c r="I175" s="43"/>
      <c r="J175" s="43"/>
      <c r="K175" s="43"/>
      <c r="L175" s="43"/>
      <c r="M175" s="43"/>
      <c r="N175" s="43"/>
      <c r="Q175" s="43"/>
      <c r="R175" s="43"/>
      <c r="S175" s="43"/>
      <c r="T175" s="43"/>
      <c r="U175" s="43"/>
      <c r="X175" s="43"/>
      <c r="Y175" s="43"/>
      <c r="Z175" s="43"/>
      <c r="AA175" s="43"/>
      <c r="AB175" s="1"/>
      <c r="AC175" s="97"/>
      <c r="AD175" s="1"/>
      <c r="AE175" s="1"/>
      <c r="AF175" s="1"/>
      <c r="AG175" s="1"/>
      <c r="AH175" s="1"/>
      <c r="AI175" s="1"/>
      <c r="AJ175" s="1"/>
      <c r="AK175" s="1"/>
      <c r="AL175" s="1"/>
      <c r="AM175" s="1"/>
      <c r="AN175" s="1"/>
      <c r="AO175" s="1"/>
      <c r="AP175" s="1"/>
      <c r="AQ175" s="1"/>
      <c r="AR175" s="1"/>
      <c r="AS175"/>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97"/>
      <c r="BW175" s="97"/>
      <c r="BX175" s="97"/>
      <c r="BY175" s="97"/>
      <c r="BZ175" s="97"/>
      <c r="CA175" s="97"/>
      <c r="CB175" s="97"/>
      <c r="CC175" s="97"/>
      <c r="CD175" s="97"/>
      <c r="CE175" s="97"/>
      <c r="CF175" s="97"/>
      <c r="CG175" s="97"/>
      <c r="CH175" s="97"/>
      <c r="CI175" s="97"/>
      <c r="CJ175" s="97"/>
      <c r="CL175" s="198"/>
      <c r="CM175" s="198"/>
      <c r="CN175" s="198"/>
    </row>
    <row r="176" spans="1:92" s="30" customFormat="1" x14ac:dyDescent="0.3">
      <c r="A176" s="43"/>
      <c r="B176" s="43"/>
      <c r="E176" s="43"/>
      <c r="F176" s="43"/>
      <c r="G176" s="43"/>
      <c r="H176" s="43"/>
      <c r="I176" s="43"/>
      <c r="J176" s="43"/>
      <c r="K176" s="43"/>
      <c r="L176" s="43"/>
      <c r="M176" s="43"/>
      <c r="N176" s="43"/>
      <c r="Q176" s="43"/>
      <c r="R176" s="43"/>
      <c r="S176" s="43"/>
      <c r="T176" s="43"/>
      <c r="U176" s="43"/>
      <c r="X176" s="43"/>
      <c r="Y176" s="43"/>
      <c r="Z176" s="43"/>
      <c r="AA176" s="43"/>
      <c r="AB176" s="1"/>
      <c r="AC176" s="97"/>
      <c r="AD176" s="1"/>
      <c r="AE176" s="1"/>
      <c r="AF176" s="1"/>
      <c r="AG176" s="1"/>
      <c r="AH176" s="1"/>
      <c r="AI176" s="1"/>
      <c r="AJ176" s="1"/>
      <c r="AK176" s="1"/>
      <c r="AL176" s="1"/>
      <c r="AM176" s="1"/>
      <c r="AN176" s="1"/>
      <c r="AO176" s="1"/>
      <c r="AP176" s="1"/>
      <c r="AQ176" s="1"/>
      <c r="AR176" s="1"/>
      <c r="AS176"/>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97"/>
      <c r="BW176" s="97"/>
      <c r="BX176" s="97"/>
      <c r="BY176" s="97"/>
      <c r="BZ176" s="97"/>
      <c r="CA176" s="97"/>
      <c r="CB176" s="97"/>
      <c r="CC176" s="97"/>
      <c r="CD176" s="97"/>
      <c r="CE176" s="97"/>
      <c r="CF176" s="97"/>
      <c r="CG176" s="97"/>
      <c r="CH176" s="97"/>
      <c r="CI176" s="97"/>
      <c r="CJ176" s="97"/>
      <c r="CL176" s="198"/>
      <c r="CM176" s="198"/>
      <c r="CN176" s="198"/>
    </row>
    <row r="177" spans="1:105" s="30" customFormat="1" x14ac:dyDescent="0.3">
      <c r="A177" s="43"/>
      <c r="B177" s="43"/>
      <c r="E177" s="43"/>
      <c r="F177" s="43"/>
      <c r="G177" s="43"/>
      <c r="H177" s="43"/>
      <c r="I177" s="43"/>
      <c r="J177" s="43"/>
      <c r="K177" s="43"/>
      <c r="L177" s="43"/>
      <c r="M177" s="43"/>
      <c r="N177" s="43"/>
      <c r="Q177" s="43"/>
      <c r="R177" s="43"/>
      <c r="S177" s="43"/>
      <c r="T177" s="43"/>
      <c r="U177" s="43"/>
      <c r="X177" s="43"/>
      <c r="Y177" s="43"/>
      <c r="Z177" s="43"/>
      <c r="AA177" s="43"/>
      <c r="AB177" s="1"/>
      <c r="AC177" s="97"/>
      <c r="AD177" s="1"/>
      <c r="AE177" s="1"/>
      <c r="AF177" s="1"/>
      <c r="AG177" s="1"/>
      <c r="AH177" s="1"/>
      <c r="AI177" s="1"/>
      <c r="AJ177" s="1"/>
      <c r="AK177" s="1"/>
      <c r="AL177" s="1"/>
      <c r="AM177" s="1"/>
      <c r="AN177" s="1"/>
      <c r="AO177" s="1"/>
      <c r="AP177" s="1"/>
      <c r="AQ177" s="1"/>
      <c r="AR177" s="1"/>
      <c r="AS177"/>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97"/>
      <c r="BW177" s="97"/>
      <c r="BX177" s="97"/>
      <c r="BY177" s="97"/>
      <c r="BZ177" s="97"/>
      <c r="CA177" s="97"/>
      <c r="CB177" s="97"/>
      <c r="CC177" s="97"/>
      <c r="CD177" s="97"/>
      <c r="CE177" s="97"/>
      <c r="CF177" s="97"/>
      <c r="CG177" s="97"/>
      <c r="CH177" s="97"/>
      <c r="CI177" s="97"/>
      <c r="CJ177" s="97"/>
      <c r="CL177" s="198"/>
      <c r="CM177" s="198"/>
      <c r="CN177" s="198"/>
    </row>
    <row r="178" spans="1:105" s="30" customFormat="1" x14ac:dyDescent="0.3">
      <c r="A178" s="43"/>
      <c r="B178" s="43"/>
      <c r="E178" s="43"/>
      <c r="F178" s="43"/>
      <c r="G178" s="43"/>
      <c r="H178" s="43"/>
      <c r="I178" s="43"/>
      <c r="J178" s="43"/>
      <c r="K178" s="43"/>
      <c r="L178" s="43"/>
      <c r="M178" s="43"/>
      <c r="N178" s="43"/>
      <c r="Q178" s="43"/>
      <c r="R178" s="43"/>
      <c r="S178" s="43"/>
      <c r="T178" s="43"/>
      <c r="U178" s="43"/>
      <c r="X178" s="43"/>
      <c r="Y178" s="43"/>
      <c r="Z178" s="43"/>
      <c r="AA178" s="43"/>
      <c r="AB178" s="1"/>
      <c r="AC178" s="97"/>
      <c r="AD178" s="1"/>
      <c r="AE178" s="1"/>
      <c r="AF178" s="1"/>
      <c r="AG178" s="1"/>
      <c r="AH178" s="1"/>
      <c r="AI178" s="1"/>
      <c r="AJ178" s="1"/>
      <c r="AK178" s="1"/>
      <c r="AL178" s="1"/>
      <c r="AM178" s="1"/>
      <c r="AN178" s="1"/>
      <c r="AO178" s="1"/>
      <c r="AP178" s="1"/>
      <c r="AQ178" s="1"/>
      <c r="AR178" s="1"/>
      <c r="AS178"/>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97"/>
      <c r="BW178" s="97"/>
      <c r="BX178" s="97"/>
      <c r="BY178" s="97"/>
      <c r="BZ178" s="97"/>
      <c r="CA178" s="97"/>
      <c r="CB178" s="97"/>
      <c r="CC178" s="97"/>
      <c r="CD178" s="97"/>
      <c r="CE178" s="97"/>
      <c r="CF178" s="97"/>
      <c r="CG178" s="97"/>
      <c r="CH178" s="97"/>
      <c r="CI178" s="97"/>
      <c r="CJ178" s="97"/>
      <c r="CL178" s="198"/>
      <c r="CM178" s="198"/>
      <c r="CN178" s="198"/>
    </row>
    <row r="179" spans="1:105" s="30" customFormat="1" x14ac:dyDescent="0.3">
      <c r="A179" s="43"/>
      <c r="B179" s="43"/>
      <c r="E179" s="43"/>
      <c r="F179" s="43"/>
      <c r="G179" s="43"/>
      <c r="H179" s="43"/>
      <c r="I179" s="43"/>
      <c r="J179" s="43"/>
      <c r="K179" s="43"/>
      <c r="L179" s="43"/>
      <c r="M179" s="43"/>
      <c r="N179" s="43"/>
      <c r="Q179" s="43"/>
      <c r="R179" s="43"/>
      <c r="S179" s="43"/>
      <c r="T179" s="43"/>
      <c r="U179" s="43"/>
      <c r="X179" s="43"/>
      <c r="Y179" s="43"/>
      <c r="Z179" s="43"/>
      <c r="AA179" s="43"/>
      <c r="AB179" s="1"/>
      <c r="AC179" s="97"/>
      <c r="AD179" s="1"/>
      <c r="AE179" s="1"/>
      <c r="AF179" s="1"/>
      <c r="AG179" s="1"/>
      <c r="AH179" s="1"/>
      <c r="AI179" s="1"/>
      <c r="AJ179" s="1"/>
      <c r="AK179" s="1"/>
      <c r="AL179" s="1"/>
      <c r="AM179" s="1"/>
      <c r="AN179" s="1"/>
      <c r="AO179" s="1"/>
      <c r="AP179" s="1"/>
      <c r="AQ179" s="1"/>
      <c r="AR179" s="1"/>
      <c r="AS179"/>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97"/>
      <c r="BW179" s="97"/>
      <c r="BX179" s="97"/>
      <c r="BY179" s="97"/>
      <c r="BZ179" s="97"/>
      <c r="CA179" s="97"/>
      <c r="CB179" s="97"/>
      <c r="CC179" s="97"/>
      <c r="CD179" s="97"/>
      <c r="CE179" s="97"/>
      <c r="CF179" s="97"/>
      <c r="CG179" s="97"/>
      <c r="CH179" s="97"/>
      <c r="CI179" s="97"/>
      <c r="CJ179" s="97"/>
      <c r="CL179" s="198"/>
      <c r="CM179" s="198"/>
      <c r="CN179" s="198"/>
    </row>
    <row r="180" spans="1:105" s="30" customFormat="1" x14ac:dyDescent="0.3">
      <c r="A180" s="43"/>
      <c r="B180" s="43"/>
      <c r="E180" s="43"/>
      <c r="F180" s="43"/>
      <c r="G180" s="43"/>
      <c r="H180" s="43"/>
      <c r="I180" s="43"/>
      <c r="J180" s="43"/>
      <c r="K180" s="43"/>
      <c r="L180" s="43"/>
      <c r="M180" s="43"/>
      <c r="N180" s="43"/>
      <c r="Q180" s="43"/>
      <c r="R180" s="43"/>
      <c r="S180" s="43"/>
      <c r="T180" s="43"/>
      <c r="U180" s="43"/>
      <c r="X180" s="43"/>
      <c r="Y180" s="43"/>
      <c r="Z180" s="43"/>
      <c r="AA180" s="43"/>
      <c r="AB180" s="1"/>
      <c r="AC180" s="97"/>
      <c r="AD180" s="1"/>
      <c r="AE180" s="1"/>
      <c r="AF180" s="1"/>
      <c r="AG180" s="1"/>
      <c r="AH180" s="1"/>
      <c r="AI180" s="1"/>
      <c r="AJ180" s="1"/>
      <c r="AK180" s="1"/>
      <c r="AL180" s="1"/>
      <c r="AM180" s="1"/>
      <c r="AN180" s="1"/>
      <c r="AO180" s="1"/>
      <c r="AP180" s="1"/>
      <c r="AQ180" s="1"/>
      <c r="AR180" s="1"/>
      <c r="AS180"/>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97"/>
      <c r="BW180" s="97"/>
      <c r="BX180" s="97"/>
      <c r="BY180" s="97"/>
      <c r="BZ180" s="97"/>
      <c r="CA180" s="97"/>
      <c r="CB180" s="97"/>
      <c r="CC180" s="97"/>
      <c r="CD180" s="97"/>
      <c r="CE180" s="97"/>
      <c r="CF180" s="97"/>
      <c r="CG180" s="97"/>
      <c r="CH180" s="97"/>
      <c r="CI180" s="97"/>
      <c r="CJ180" s="97"/>
      <c r="CL180" s="198"/>
      <c r="CM180" s="198"/>
      <c r="CN180" s="198"/>
    </row>
    <row r="181" spans="1:105" s="30" customFormat="1" x14ac:dyDescent="0.3">
      <c r="A181" s="43"/>
      <c r="B181" s="43"/>
      <c r="E181" s="43"/>
      <c r="F181" s="43"/>
      <c r="G181" s="43"/>
      <c r="H181" s="43"/>
      <c r="I181" s="43"/>
      <c r="J181" s="43"/>
      <c r="K181" s="43"/>
      <c r="L181" s="43"/>
      <c r="M181" s="43"/>
      <c r="N181" s="43"/>
      <c r="Q181" s="43"/>
      <c r="R181" s="43"/>
      <c r="S181" s="43"/>
      <c r="T181" s="43"/>
      <c r="U181" s="43"/>
      <c r="X181" s="43"/>
      <c r="Y181" s="43"/>
      <c r="Z181" s="43"/>
      <c r="AA181" s="43"/>
      <c r="AB181" s="1"/>
      <c r="AC181" s="97"/>
      <c r="AD181" s="1"/>
      <c r="AE181" s="1"/>
      <c r="AF181" s="1"/>
      <c r="AG181" s="1"/>
      <c r="AH181" s="1"/>
      <c r="AI181" s="1"/>
      <c r="AJ181" s="1"/>
      <c r="AK181" s="1"/>
      <c r="AL181" s="1"/>
      <c r="AM181" s="1"/>
      <c r="AN181" s="1"/>
      <c r="AO181" s="1"/>
      <c r="AP181" s="1"/>
      <c r="AQ181" s="1"/>
      <c r="AR181" s="1"/>
      <c r="AS18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97"/>
      <c r="BW181" s="97"/>
      <c r="BX181" s="97"/>
      <c r="BY181" s="97"/>
      <c r="BZ181" s="97"/>
      <c r="CA181" s="97"/>
      <c r="CB181" s="97"/>
      <c r="CC181" s="97"/>
      <c r="CD181" s="97"/>
      <c r="CE181" s="97"/>
      <c r="CF181" s="97"/>
      <c r="CG181" s="97"/>
      <c r="CH181" s="97"/>
      <c r="CI181" s="97"/>
      <c r="CJ181" s="97"/>
      <c r="CL181" s="198"/>
      <c r="CM181" s="198"/>
      <c r="CN181" s="198"/>
    </row>
    <row r="182" spans="1:105" s="30" customFormat="1" x14ac:dyDescent="0.3">
      <c r="A182" s="43"/>
      <c r="B182" s="43"/>
      <c r="E182" s="43"/>
      <c r="F182" s="43"/>
      <c r="G182" s="43"/>
      <c r="H182" s="43"/>
      <c r="I182" s="43"/>
      <c r="J182" s="43"/>
      <c r="K182" s="43"/>
      <c r="L182" s="43"/>
      <c r="M182" s="43"/>
      <c r="N182" s="43"/>
      <c r="Q182" s="43"/>
      <c r="R182" s="43"/>
      <c r="S182" s="43"/>
      <c r="T182" s="43"/>
      <c r="U182" s="43"/>
      <c r="X182" s="43"/>
      <c r="Y182" s="43"/>
      <c r="Z182" s="43"/>
      <c r="AA182" s="43"/>
      <c r="AB182" s="1"/>
      <c r="AC182" s="97"/>
      <c r="AD182" s="1"/>
      <c r="AE182" s="1"/>
      <c r="AF182" s="1"/>
      <c r="AG182" s="1"/>
      <c r="AH182" s="1"/>
      <c r="AI182" s="1"/>
      <c r="AJ182" s="1"/>
      <c r="AK182" s="1"/>
      <c r="AL182" s="1"/>
      <c r="AM182" s="1"/>
      <c r="AN182" s="1"/>
      <c r="AO182" s="1"/>
      <c r="AP182" s="1"/>
      <c r="AQ182" s="1"/>
      <c r="AR182" s="1"/>
      <c r="AS182"/>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97"/>
      <c r="BW182" s="97"/>
      <c r="BX182" s="97"/>
      <c r="BY182" s="97"/>
      <c r="BZ182" s="97"/>
      <c r="CA182" s="97"/>
      <c r="CB182" s="97"/>
      <c r="CC182" s="97"/>
      <c r="CD182" s="97"/>
      <c r="CE182" s="97"/>
      <c r="CF182" s="97"/>
      <c r="CG182" s="97"/>
      <c r="CH182" s="97"/>
      <c r="CI182" s="97"/>
      <c r="CJ182" s="97"/>
      <c r="CL182" s="198"/>
      <c r="CM182" s="198"/>
      <c r="CN182" s="198"/>
    </row>
    <row r="183" spans="1:105" s="30" customFormat="1" x14ac:dyDescent="0.3">
      <c r="A183" s="43"/>
      <c r="B183" s="43"/>
      <c r="E183" s="43"/>
      <c r="F183" s="43"/>
      <c r="G183" s="43"/>
      <c r="H183" s="43"/>
      <c r="I183" s="43"/>
      <c r="J183" s="43"/>
      <c r="K183" s="43"/>
      <c r="L183" s="43"/>
      <c r="M183" s="43"/>
      <c r="N183" s="43"/>
      <c r="Q183" s="43"/>
      <c r="R183" s="43"/>
      <c r="S183" s="43"/>
      <c r="T183" s="43"/>
      <c r="U183" s="43"/>
      <c r="X183" s="43"/>
      <c r="Y183" s="43"/>
      <c r="Z183" s="43"/>
      <c r="AA183" s="43"/>
      <c r="AB183" s="1"/>
      <c r="AC183" s="97"/>
      <c r="AD183" s="1"/>
      <c r="AE183" s="1"/>
      <c r="AF183" s="1"/>
      <c r="AG183" s="1"/>
      <c r="AH183" s="1"/>
      <c r="AI183" s="1"/>
      <c r="AJ183" s="1"/>
      <c r="AK183" s="1"/>
      <c r="AL183" s="1"/>
      <c r="AM183" s="1"/>
      <c r="AN183" s="1"/>
      <c r="AO183" s="1"/>
      <c r="AP183" s="1"/>
      <c r="AQ183" s="1"/>
      <c r="AR183" s="1"/>
      <c r="AS183"/>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97"/>
      <c r="BW183" s="97"/>
      <c r="BX183" s="97"/>
      <c r="BY183" s="97"/>
      <c r="BZ183" s="97"/>
      <c r="CA183" s="97"/>
      <c r="CB183" s="97"/>
      <c r="CC183" s="97"/>
      <c r="CD183" s="97"/>
      <c r="CE183" s="97"/>
      <c r="CF183" s="97"/>
      <c r="CG183" s="97"/>
      <c r="CH183" s="97"/>
      <c r="CI183" s="97"/>
      <c r="CJ183" s="97"/>
      <c r="CL183" s="198"/>
      <c r="CM183" s="198"/>
      <c r="CN183" s="198"/>
    </row>
    <row r="184" spans="1:105" s="30" customFormat="1" x14ac:dyDescent="0.3">
      <c r="A184" s="43"/>
      <c r="B184" s="43"/>
      <c r="E184" s="43"/>
      <c r="F184" s="43"/>
      <c r="G184" s="43"/>
      <c r="H184" s="43"/>
      <c r="I184" s="43"/>
      <c r="J184" s="43"/>
      <c r="K184" s="43"/>
      <c r="L184" s="43"/>
      <c r="M184" s="43"/>
      <c r="N184" s="43"/>
      <c r="Q184" s="43"/>
      <c r="R184" s="43"/>
      <c r="S184" s="43"/>
      <c r="T184" s="43"/>
      <c r="U184" s="43"/>
      <c r="X184" s="43"/>
      <c r="Y184" s="43"/>
      <c r="Z184" s="43"/>
      <c r="AA184" s="43"/>
      <c r="AB184" s="1"/>
      <c r="AC184" s="97"/>
      <c r="AD184" s="1"/>
      <c r="AE184" s="1"/>
      <c r="AF184" s="1"/>
      <c r="AG184" s="1"/>
      <c r="AH184" s="1"/>
      <c r="AI184" s="1"/>
      <c r="AJ184" s="1"/>
      <c r="AK184" s="1"/>
      <c r="AL184" s="1"/>
      <c r="AM184" s="1"/>
      <c r="AN184" s="1"/>
      <c r="AO184" s="1"/>
      <c r="AP184" s="1"/>
      <c r="AQ184" s="1"/>
      <c r="AR184" s="1"/>
      <c r="AS184"/>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97"/>
      <c r="BW184" s="97"/>
      <c r="BX184" s="97"/>
      <c r="BY184" s="97"/>
      <c r="BZ184" s="97"/>
      <c r="CA184" s="97"/>
      <c r="CB184" s="97"/>
      <c r="CC184" s="97"/>
      <c r="CD184" s="97"/>
      <c r="CE184" s="97"/>
      <c r="CF184" s="97"/>
      <c r="CG184" s="97"/>
      <c r="CH184" s="97"/>
      <c r="CI184" s="97"/>
      <c r="CJ184" s="97"/>
      <c r="CL184" s="198"/>
      <c r="CM184" s="198"/>
      <c r="CN184" s="198"/>
    </row>
    <row r="185" spans="1:105" s="30" customFormat="1" x14ac:dyDescent="0.3">
      <c r="A185" s="43"/>
      <c r="B185" s="43"/>
      <c r="E185" s="43"/>
      <c r="F185" s="43"/>
      <c r="G185" s="43"/>
      <c r="H185" s="43"/>
      <c r="I185" s="43"/>
      <c r="J185" s="43"/>
      <c r="K185" s="43"/>
      <c r="L185" s="43"/>
      <c r="M185" s="43"/>
      <c r="N185" s="43"/>
      <c r="Q185" s="43"/>
      <c r="R185" s="43"/>
      <c r="S185" s="43"/>
      <c r="T185" s="43"/>
      <c r="U185" s="43"/>
      <c r="X185" s="43"/>
      <c r="Y185" s="43"/>
      <c r="Z185" s="43"/>
      <c r="AA185" s="43"/>
      <c r="AB185" s="1"/>
      <c r="AC185" s="97"/>
      <c r="AD185" s="1"/>
      <c r="AE185" s="1"/>
      <c r="AF185" s="1"/>
      <c r="AG185" s="1"/>
      <c r="AH185" s="1"/>
      <c r="AI185" s="1"/>
      <c r="AJ185" s="1"/>
      <c r="AK185" s="1"/>
      <c r="AL185" s="1"/>
      <c r="AM185" s="1"/>
      <c r="AN185" s="1"/>
      <c r="AO185" s="1"/>
      <c r="AP185" s="1"/>
      <c r="AQ185" s="1"/>
      <c r="AR185" s="1"/>
      <c r="AS185"/>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97"/>
      <c r="BW185" s="97"/>
      <c r="BX185" s="97"/>
      <c r="BY185" s="97"/>
      <c r="BZ185" s="97"/>
      <c r="CA185" s="97"/>
      <c r="CB185" s="97"/>
      <c r="CC185" s="97"/>
      <c r="CD185" s="97"/>
      <c r="CE185" s="97"/>
      <c r="CF185" s="97"/>
      <c r="CG185" s="97"/>
      <c r="CH185" s="97"/>
      <c r="CI185" s="97"/>
      <c r="CJ185" s="97"/>
      <c r="CL185" s="198"/>
      <c r="CM185" s="198"/>
      <c r="CN185" s="198"/>
    </row>
    <row r="186" spans="1:105" s="30" customFormat="1" x14ac:dyDescent="0.3">
      <c r="A186" s="43"/>
      <c r="B186" s="43"/>
      <c r="E186" s="43"/>
      <c r="F186" s="43"/>
      <c r="G186" s="43"/>
      <c r="H186" s="43"/>
      <c r="I186" s="43"/>
      <c r="J186" s="43"/>
      <c r="K186" s="43"/>
      <c r="L186" s="43"/>
      <c r="M186" s="43"/>
      <c r="N186" s="43"/>
      <c r="Q186" s="43"/>
      <c r="R186" s="43"/>
      <c r="S186" s="43"/>
      <c r="T186" s="43"/>
      <c r="U186" s="43"/>
      <c r="X186" s="43"/>
      <c r="Y186" s="43"/>
      <c r="Z186" s="43"/>
      <c r="AA186" s="43"/>
      <c r="AB186" s="1"/>
      <c r="AC186" s="97"/>
      <c r="AD186" s="1"/>
      <c r="AE186" s="1"/>
      <c r="AF186" s="1"/>
      <c r="AG186" s="1"/>
      <c r="AH186" s="1"/>
      <c r="AI186" s="1"/>
      <c r="AJ186" s="1"/>
      <c r="AK186" s="1"/>
      <c r="AL186" s="1"/>
      <c r="AM186" s="1"/>
      <c r="AN186" s="1"/>
      <c r="AO186" s="1"/>
      <c r="AP186" s="1"/>
      <c r="AQ186" s="1"/>
      <c r="AR186" s="1"/>
      <c r="AS186"/>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97"/>
      <c r="BW186" s="97"/>
      <c r="BX186" s="97"/>
      <c r="BY186" s="97"/>
      <c r="BZ186" s="97"/>
      <c r="CA186" s="97"/>
      <c r="CB186" s="97"/>
      <c r="CC186" s="97"/>
      <c r="CD186" s="97"/>
      <c r="CE186" s="97"/>
      <c r="CF186" s="97"/>
      <c r="CG186" s="97"/>
      <c r="CH186" s="97"/>
      <c r="CI186" s="97"/>
      <c r="CJ186" s="97"/>
      <c r="CL186" s="198"/>
      <c r="CM186" s="198"/>
      <c r="CN186" s="198"/>
    </row>
    <row r="187" spans="1:105" s="30" customFormat="1" x14ac:dyDescent="0.3">
      <c r="A187" s="43"/>
      <c r="B187" s="43"/>
      <c r="E187" s="43"/>
      <c r="F187" s="43"/>
      <c r="G187" s="43"/>
      <c r="H187" s="43"/>
      <c r="I187" s="43"/>
      <c r="J187" s="43"/>
      <c r="K187" s="43"/>
      <c r="L187" s="43"/>
      <c r="M187" s="43"/>
      <c r="N187" s="43"/>
      <c r="Q187" s="43"/>
      <c r="R187" s="43"/>
      <c r="S187" s="43"/>
      <c r="T187" s="43"/>
      <c r="U187" s="43"/>
      <c r="X187" s="43"/>
      <c r="Y187" s="43"/>
      <c r="Z187" s="43"/>
      <c r="AA187" s="43"/>
      <c r="AB187" s="1"/>
      <c r="AC187" s="97"/>
      <c r="AD187" s="1"/>
      <c r="AE187" s="1"/>
      <c r="AF187" s="1"/>
      <c r="AG187" s="1"/>
      <c r="AH187" s="1"/>
      <c r="AI187" s="1"/>
      <c r="AJ187" s="1"/>
      <c r="AK187" s="1"/>
      <c r="AL187" s="1"/>
      <c r="AM187" s="1"/>
      <c r="AN187" s="1"/>
      <c r="AO187" s="1"/>
      <c r="AP187" s="1"/>
      <c r="AQ187" s="1"/>
      <c r="AR187" s="1"/>
      <c r="AS187"/>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97"/>
      <c r="BW187" s="97"/>
      <c r="BX187" s="97"/>
      <c r="BY187" s="97"/>
      <c r="BZ187" s="97"/>
      <c r="CA187" s="97"/>
      <c r="CB187" s="97"/>
      <c r="CC187" s="97"/>
      <c r="CD187" s="97"/>
      <c r="CE187" s="97"/>
      <c r="CF187" s="97"/>
      <c r="CG187" s="97"/>
      <c r="CH187" s="97"/>
      <c r="CI187" s="97"/>
      <c r="CJ187" s="97"/>
      <c r="CL187" s="198"/>
      <c r="CM187" s="198"/>
      <c r="CN187" s="198"/>
    </row>
    <row r="188" spans="1:105" s="30" customFormat="1" x14ac:dyDescent="0.3">
      <c r="A188" s="43"/>
      <c r="B188" s="43"/>
      <c r="E188" s="43"/>
      <c r="F188" s="43"/>
      <c r="G188" s="43"/>
      <c r="H188" s="43"/>
      <c r="I188" s="43"/>
      <c r="J188" s="43"/>
      <c r="K188" s="43"/>
      <c r="L188" s="43"/>
      <c r="M188" s="43"/>
      <c r="N188" s="43"/>
      <c r="Q188" s="43"/>
      <c r="R188" s="43"/>
      <c r="S188" s="43"/>
      <c r="T188" s="43"/>
      <c r="U188" s="43"/>
      <c r="X188" s="43"/>
      <c r="Y188" s="43"/>
      <c r="Z188" s="43"/>
      <c r="AA188" s="43"/>
      <c r="AB188" s="1"/>
      <c r="AC188" s="97"/>
      <c r="AD188" s="1"/>
      <c r="AE188" s="1"/>
      <c r="AF188" s="1"/>
      <c r="AG188" s="1"/>
      <c r="AH188" s="1"/>
      <c r="AI188" s="1"/>
      <c r="AJ188" s="1"/>
      <c r="AK188" s="1"/>
      <c r="AL188" s="1"/>
      <c r="AM188" s="1"/>
      <c r="AN188" s="1"/>
      <c r="AO188" s="1"/>
      <c r="AP188" s="1"/>
      <c r="AQ188" s="1"/>
      <c r="AR188" s="1"/>
      <c r="AS188"/>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97"/>
      <c r="BW188" s="97"/>
      <c r="BX188" s="97"/>
      <c r="BY188" s="97"/>
      <c r="BZ188" s="97"/>
      <c r="CA188" s="97"/>
      <c r="CB188" s="97"/>
      <c r="CC188" s="97"/>
      <c r="CD188" s="97"/>
      <c r="CE188" s="97"/>
      <c r="CF188" s="97"/>
      <c r="CG188" s="97"/>
      <c r="CH188" s="97"/>
      <c r="CI188" s="97"/>
      <c r="CJ188" s="97"/>
      <c r="CL188" s="198"/>
      <c r="CM188" s="198"/>
      <c r="CN188" s="198"/>
    </row>
    <row r="189" spans="1:105" s="30" customFormat="1" x14ac:dyDescent="0.3">
      <c r="A189" s="43"/>
      <c r="B189" s="43"/>
      <c r="E189" s="43"/>
      <c r="F189" s="43"/>
      <c r="G189" s="43"/>
      <c r="H189" s="43"/>
      <c r="I189" s="43"/>
      <c r="J189" s="43"/>
      <c r="K189" s="43"/>
      <c r="L189" s="43"/>
      <c r="M189" s="43"/>
      <c r="N189" s="43"/>
      <c r="Q189" s="43"/>
      <c r="R189" s="43"/>
      <c r="S189" s="43"/>
      <c r="T189" s="43"/>
      <c r="U189" s="43"/>
      <c r="X189" s="43"/>
      <c r="Y189" s="43"/>
      <c r="Z189" s="43"/>
      <c r="AA189" s="43"/>
      <c r="AB189" s="1"/>
      <c r="AC189" s="97"/>
      <c r="AD189" s="1"/>
      <c r="AE189" s="1"/>
      <c r="AF189" s="1"/>
      <c r="AG189" s="1"/>
      <c r="AH189" s="1"/>
      <c r="AI189" s="1"/>
      <c r="AJ189" s="1"/>
      <c r="AK189" s="1"/>
      <c r="AL189" s="1"/>
      <c r="AM189" s="1"/>
      <c r="AN189" s="1"/>
      <c r="AO189" s="1"/>
      <c r="AP189" s="1"/>
      <c r="AQ189" s="1"/>
      <c r="AR189" s="1"/>
      <c r="AS189"/>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97"/>
      <c r="BW189" s="97"/>
      <c r="BX189" s="97"/>
      <c r="BY189" s="97"/>
      <c r="BZ189" s="97"/>
      <c r="CA189" s="97"/>
      <c r="CB189" s="97"/>
      <c r="CC189" s="97"/>
      <c r="CD189" s="97"/>
      <c r="CE189" s="97"/>
      <c r="CF189" s="97"/>
      <c r="CG189" s="97"/>
      <c r="CH189" s="97"/>
      <c r="CI189" s="97"/>
      <c r="CJ189" s="97"/>
      <c r="CL189" s="198"/>
      <c r="CM189" s="198"/>
      <c r="CN189" s="198"/>
    </row>
    <row r="190" spans="1:105" x14ac:dyDescent="0.3">
      <c r="CK190" s="30"/>
      <c r="CO190" s="30"/>
      <c r="CP190" s="30"/>
      <c r="CQ190" s="30"/>
      <c r="CR190" s="30"/>
      <c r="CS190" s="30"/>
      <c r="CT190" s="30"/>
      <c r="CU190" s="30"/>
      <c r="CV190" s="30"/>
      <c r="CW190" s="30"/>
      <c r="CX190" s="30"/>
      <c r="CY190" s="30"/>
      <c r="CZ190" s="30"/>
      <c r="DA190" s="30"/>
    </row>
    <row r="191" spans="1:105" x14ac:dyDescent="0.3">
      <c r="CK191" s="30"/>
      <c r="CO191" s="30"/>
      <c r="CP191" s="30"/>
      <c r="CQ191" s="30"/>
      <c r="CR191" s="30"/>
      <c r="CS191" s="30"/>
      <c r="CT191" s="30"/>
      <c r="CU191" s="30"/>
      <c r="CV191" s="30"/>
      <c r="CW191" s="30"/>
      <c r="CX191" s="30"/>
      <c r="CY191" s="30"/>
      <c r="CZ191" s="30"/>
      <c r="DA191" s="30"/>
    </row>
  </sheetData>
  <sheetProtection algorithmName="SHA-512" hashValue="H16rp2LNbFRRbW6Kr4IvAo3zn/brrdaQaQJ2qDxgWjD8W+nNQ1k1/DFZCB94QShj811sCxn4ah9djQJfTgvbFQ==" saltValue="q37T4Z/4F2gK/w4cJi4T7A==" spinCount="100000" sheet="1" objects="1" scenarios="1"/>
  <customSheetViews>
    <customSheetView guid="{2AFB78BD-0AA0-48F7-9FB9-7ECB21AAFE3F}" showGridLines="0" zeroValues="0" fitToPage="1" topLeftCell="GK1">
      <pane ySplit="3" topLeftCell="A4" activePane="bottomLeft" state="frozen"/>
      <selection pane="bottomLeft" activeCell="GR4" sqref="GR4"/>
      <colBreaks count="5" manualBreakCount="5">
        <brk id="118" max="1048575" man="1"/>
        <brk id="238" max="1048575" man="1"/>
        <brk id="294" max="1048575" man="1"/>
        <brk id="350" max="1048575" man="1"/>
        <brk id="365" max="1048575" man="1"/>
      </colBreaks>
      <pageMargins left="0" right="0" top="0.51181102362204722" bottom="0.70866141732283472" header="0.39370078740157483" footer="0.55118110236220474"/>
      <printOptions horizontalCentered="1"/>
      <pageSetup scale="13" pageOrder="overThenDown" orientation="landscape" r:id="rId1"/>
      <headerFooter alignWithMargins="0"/>
    </customSheetView>
  </customSheetViews>
  <mergeCells count="40">
    <mergeCell ref="BW3:CF3"/>
    <mergeCell ref="BW4:CF4"/>
    <mergeCell ref="B3:E3"/>
    <mergeCell ref="BQ109:BR109"/>
    <mergeCell ref="BP110:BQ110"/>
    <mergeCell ref="AE110:AF110"/>
    <mergeCell ref="BD109:BF109"/>
    <mergeCell ref="AI109:AM109"/>
    <mergeCell ref="AE109:AH109"/>
    <mergeCell ref="N26:P26"/>
    <mergeCell ref="AW109:AX109"/>
    <mergeCell ref="AK110:AL110"/>
    <mergeCell ref="AI110:AJ110"/>
    <mergeCell ref="AT109:AU109"/>
    <mergeCell ref="AT110:AU110"/>
    <mergeCell ref="BG110:BI110"/>
    <mergeCell ref="AY110:AZ110"/>
    <mergeCell ref="BT109:BU109"/>
    <mergeCell ref="BD110:BE110"/>
    <mergeCell ref="BM110:BN110"/>
    <mergeCell ref="BN109:BO109"/>
    <mergeCell ref="BJ109:BK109"/>
    <mergeCell ref="BG109:BH109"/>
    <mergeCell ref="AZ109:BA109"/>
    <mergeCell ref="BJ110:BL110"/>
    <mergeCell ref="CL4:CN4"/>
    <mergeCell ref="Y25:Z25"/>
    <mergeCell ref="Y24:Z24"/>
    <mergeCell ref="CG4:CJ4"/>
    <mergeCell ref="BV4:BV5"/>
    <mergeCell ref="AC4:AC5"/>
    <mergeCell ref="U24:W24"/>
    <mergeCell ref="U25:W25"/>
    <mergeCell ref="B24:C24"/>
    <mergeCell ref="F24:G24"/>
    <mergeCell ref="D24:E24"/>
    <mergeCell ref="N24:P24"/>
    <mergeCell ref="N25:P25"/>
    <mergeCell ref="H24:J24"/>
    <mergeCell ref="K24:L24"/>
  </mergeCells>
  <conditionalFormatting sqref="AC4:AG4">
    <cfRule type="expression" dxfId="22" priority="7" stopIfTrue="1">
      <formula>AND(INT(#REF!/5)=#REF!/5)</formula>
    </cfRule>
  </conditionalFormatting>
  <conditionalFormatting sqref="AI4:AL4">
    <cfRule type="expression" dxfId="19" priority="25" stopIfTrue="1">
      <formula>AND(INT(#REF!/5)=#REF!/5)</formula>
    </cfRule>
  </conditionalFormatting>
  <conditionalFormatting sqref="AO4:AZ4">
    <cfRule type="expression" dxfId="17" priority="8" stopIfTrue="1">
      <formula>AND(INT(#REF!/5)=#REF!/5)</formula>
    </cfRule>
  </conditionalFormatting>
  <conditionalFormatting sqref="BB4:BI4">
    <cfRule type="expression" dxfId="15" priority="43" stopIfTrue="1">
      <formula>AND(INT(#REF!/5)=#REF!/5)</formula>
    </cfRule>
  </conditionalFormatting>
  <conditionalFormatting sqref="BL4:CC4">
    <cfRule type="expression" dxfId="14" priority="1" stopIfTrue="1">
      <formula>AND(INT(#REF!/5)=#REF!/5)</formula>
    </cfRule>
  </conditionalFormatting>
  <conditionalFormatting sqref="CG4:CJ4">
    <cfRule type="expression" dxfId="13" priority="75" stopIfTrue="1">
      <formula>AND(INT(#REF!/5)=#REF!/5)</formula>
    </cfRule>
  </conditionalFormatting>
  <dataValidations count="2">
    <dataValidation allowBlank="1" showInputMessage="1" showErrorMessage="1" prompt="Esta herramienta NO reemplaza su SISTEMA CONTABLE._x000a__x000a_Esta herramienta pretende facilitar el cálculo aproximado del Costo de producción de un huevo cada semana, y el precio aproximado de Venta.  " sqref="CL4:CN4" xr:uid="{F0EDD64A-8E95-464A-9689-97EAC8C7B8E8}"/>
    <dataValidation allowBlank="1" showInputMessage="1" showErrorMessage="1" promptTitle="Para Optimizar Gráficos" prompt="PARA LOGRAR UNA OPTIMA PRESENTACION DE LOS GRAFICOS DE PRODUCCION, NECESITA COPIAR LAS FORMULAS HACIA ABAJO (HASTA LA SEMANA EN QUE HAY INFORMACIÓN) DE LAS CELDAS QUE TIENEN EL SIMBOLO ▼" sqref="CL5" xr:uid="{A97CE659-2A77-47AC-877A-AEEEBAF5AE81}"/>
  </dataValidations>
  <printOptions horizontalCentered="1"/>
  <pageMargins left="0" right="0" top="0.51181102362204722" bottom="0.70866141732283472" header="0.39370078740157483" footer="0.55118110236220474"/>
  <pageSetup scale="13" pageOrder="overThenDown" orientation="landscape" r:id="rId2"/>
  <headerFooter alignWithMargins="0"/>
  <colBreaks count="4" manualBreakCount="4">
    <brk id="122" max="1048575" man="1"/>
    <brk id="178" max="1048575" man="1"/>
    <brk id="234" max="1048575" man="1"/>
    <brk id="249" max="1048575" man="1"/>
  </colBreaks>
  <extLst>
    <ext xmlns:x14="http://schemas.microsoft.com/office/spreadsheetml/2009/9/main" uri="{78C0D931-6437-407d-A8EE-F0AAD7539E65}">
      <x14:conditionalFormattings>
        <x14:conditionalFormatting xmlns:xm="http://schemas.microsoft.com/office/excel/2006/main">
          <x14:cfRule type="expression" priority="543" stopIfTrue="1" id="{00000000-000E-0000-0200-0000AF010000}">
            <xm:f>AND(INT(TL!$AX129/5)=TL!$AX129/5)</xm:f>
            <x14:dxf>
              <font>
                <condense val="0"/>
                <extend val="0"/>
                <color indexed="12"/>
              </font>
            </x14:dxf>
          </x14:cfRule>
          <xm:sqref>AH4</xm:sqref>
        </x14:conditionalFormatting>
        <x14:conditionalFormatting xmlns:xm="http://schemas.microsoft.com/office/excel/2006/main">
          <x14:cfRule type="expression" priority="545" stopIfTrue="1" id="{00000000-000E-0000-0200-0000AC010000}">
            <xm:f>AND(INT(TL!$BY109/5)=TL!$BY109/5)</xm:f>
            <x14:dxf>
              <font>
                <condense val="0"/>
                <extend val="0"/>
                <color indexed="12"/>
              </font>
            </x14:dxf>
          </x14:cfRule>
          <xm:sqref>AI4:AK4</xm:sqref>
        </x14:conditionalFormatting>
        <x14:conditionalFormatting xmlns:xm="http://schemas.microsoft.com/office/excel/2006/main">
          <x14:cfRule type="expression" priority="546" stopIfTrue="1" id="{00000000-000E-0000-0200-0000AE010000}">
            <xm:f>AND(INT(TL!$BY49/5)=TL!$BY49/5)</xm:f>
            <x14:dxf>
              <font>
                <condense val="0"/>
                <extend val="0"/>
                <color indexed="12"/>
              </font>
            </x14:dxf>
          </x14:cfRule>
          <xm:sqref>AM4:AN4 BA4</xm:sqref>
        </x14:conditionalFormatting>
        <x14:conditionalFormatting xmlns:xm="http://schemas.microsoft.com/office/excel/2006/main">
          <x14:cfRule type="expression" priority="537" stopIfTrue="1" id="{00000000-000E-0000-0200-0000C4000000}">
            <xm:f>AND(INT(TL!$AN7/5)=TL!$AN7/5)</xm:f>
            <x14:dxf>
              <font>
                <condense val="0"/>
                <extend val="0"/>
                <color indexed="12"/>
              </font>
            </x14:dxf>
          </x14:cfRule>
          <xm:sqref>BB5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pageSetUpPr fitToPage="1"/>
  </sheetPr>
  <dimension ref="A1:DJ730"/>
  <sheetViews>
    <sheetView showGridLines="0" showRowColHeaders="0" showZeros="0" zoomScaleNormal="100" workbookViewId="0">
      <pane xSplit="3" ySplit="4" topLeftCell="D5" activePane="bottomRight" state="frozen"/>
      <selection pane="topRight" activeCell="D1" sqref="D1"/>
      <selection pane="bottomLeft" activeCell="A5" sqref="A5"/>
      <selection pane="bottomRight" activeCell="G5" sqref="G5"/>
    </sheetView>
  </sheetViews>
  <sheetFormatPr baseColWidth="10" defaultColWidth="0" defaultRowHeight="16.5" zeroHeight="1" x14ac:dyDescent="0.3"/>
  <cols>
    <col min="1" max="1" width="4" style="274" customWidth="1"/>
    <col min="2" max="2" width="13.125" style="275" customWidth="1"/>
    <col min="3" max="3" width="7.75" style="275" customWidth="1"/>
    <col min="4" max="5" width="5.375" style="332" customWidth="1"/>
    <col min="6" max="6" width="6.875" style="332" customWidth="1"/>
    <col min="7" max="7" width="7.5" style="332" customWidth="1"/>
    <col min="8" max="8" width="21.125" style="332" customWidth="1"/>
    <col min="9" max="9" width="7.875" style="275" customWidth="1"/>
    <col min="10" max="10" width="17.875" style="275" bestFit="1" customWidth="1"/>
    <col min="11" max="11" width="7.625" style="275" customWidth="1"/>
    <col min="12" max="12" width="9.75" style="332" customWidth="1"/>
    <col min="13" max="13" width="6.375" style="332" customWidth="1"/>
    <col min="14" max="14" width="17.25" style="273" customWidth="1"/>
    <col min="15" max="15" width="7.375" style="274" customWidth="1"/>
    <col min="16" max="16" width="7.5" style="274" customWidth="1"/>
    <col min="17" max="17" width="8.875" style="274" customWidth="1"/>
    <col min="18" max="18" width="10.75" style="332" customWidth="1"/>
    <col min="19" max="19" width="14" style="332" customWidth="1"/>
    <col min="20" max="20" width="8.75" style="332" customWidth="1"/>
    <col min="21" max="21" width="6.625" style="332" customWidth="1"/>
    <col min="22" max="22" width="7.125" style="332" customWidth="1"/>
    <col min="23" max="23" width="6.625" style="332" customWidth="1"/>
    <col min="24" max="24" width="7.625" style="332" customWidth="1"/>
    <col min="25" max="25" width="6" style="332" hidden="1" customWidth="1"/>
    <col min="26" max="26" width="7.875" style="332" hidden="1" customWidth="1"/>
    <col min="27" max="28" width="7" style="332" customWidth="1"/>
    <col min="29" max="29" width="12.625" style="273" customWidth="1"/>
    <col min="30" max="30" width="7.875" style="273" customWidth="1"/>
    <col min="31" max="31" width="8.125" style="273" customWidth="1"/>
    <col min="32" max="32" width="10.375" style="273" customWidth="1"/>
    <col min="33" max="33" width="17.25" style="273" customWidth="1"/>
    <col min="34" max="34" width="7.375" style="274" customWidth="1"/>
    <col min="35" max="36" width="7.5" style="274" customWidth="1"/>
    <col min="37" max="37" width="41.25" style="274" customWidth="1"/>
    <col min="38" max="38" width="10" style="351" customWidth="1"/>
    <col min="39" max="52" width="9.375" style="351" customWidth="1"/>
    <col min="53" max="53" width="10.25" style="351" customWidth="1"/>
    <col min="54" max="54" width="12.625" style="351" customWidth="1"/>
    <col min="55" max="55" width="24" style="351" customWidth="1"/>
    <col min="56" max="56" width="8.625" style="351" customWidth="1"/>
    <col min="57" max="57" width="6.875" style="351" customWidth="1"/>
    <col min="58" max="58" width="6.375" style="273" customWidth="1"/>
    <col min="59" max="59" width="9.5" style="273" customWidth="1"/>
    <col min="60" max="60" width="11.5" style="273" customWidth="1"/>
    <col min="61" max="63" width="11.5" style="274" customWidth="1"/>
    <col min="64" max="114" width="0" style="274" hidden="1" customWidth="1"/>
    <col min="115" max="16384" width="11.5" style="274" hidden="1"/>
  </cols>
  <sheetData>
    <row r="1" spans="1:70" ht="15.75" customHeight="1" thickBot="1" x14ac:dyDescent="0.35">
      <c r="A1" s="2086">
        <f>IF(V4&gt;0,IF(V4=CONCATENATE("Cons ",Var!P3),40000,IF(V4=CONCATENATE("Cons ",Var!P4),50000,1000)),0)</f>
        <v>1000</v>
      </c>
      <c r="B1" s="2086"/>
      <c r="C1" s="270"/>
      <c r="D1" s="2073" t="str">
        <f>IF(Levante!I1="","Trabajamos con el corazón",CONCATENATE("EMPRESA : ",Levante!I1))</f>
        <v xml:space="preserve">EMPRESA :  </v>
      </c>
      <c r="E1" s="2074"/>
      <c r="F1" s="2074"/>
      <c r="G1" s="2074"/>
      <c r="H1" s="2075"/>
      <c r="I1" s="2063" t="str">
        <f>Iniciar!B3</f>
        <v xml:space="preserve">Estirpe / Línea : </v>
      </c>
      <c r="J1" s="2064"/>
      <c r="K1" s="2076">
        <f>Linea</f>
        <v>0</v>
      </c>
      <c r="L1" s="2077"/>
      <c r="M1" s="876" t="str">
        <f>Iniciar!B4</f>
        <v xml:space="preserve">Lote # : </v>
      </c>
      <c r="N1" s="1044">
        <f>LOTE</f>
        <v>0</v>
      </c>
      <c r="O1" s="2080" t="str">
        <f>CONCATENATE(Iniciar!B31,Iniciar!C31)</f>
        <v xml:space="preserve">Altura sobre el nivel del mar : </v>
      </c>
      <c r="P1" s="2081"/>
      <c r="Q1" s="2082"/>
      <c r="R1" s="2063" t="str">
        <f>Iniciar!B7</f>
        <v xml:space="preserve">Asesor Técnico : </v>
      </c>
      <c r="S1" s="2064"/>
      <c r="T1" s="2064"/>
      <c r="U1" s="2064"/>
      <c r="V1" s="2064"/>
      <c r="W1" s="2065">
        <f>Iniciar!C7</f>
        <v>0</v>
      </c>
      <c r="X1" s="2065"/>
      <c r="Y1" s="2065"/>
      <c r="Z1" s="2065"/>
      <c r="AA1" s="2065"/>
      <c r="AB1" s="2066"/>
      <c r="AC1" s="2111" t="str">
        <f>CONCATENATE(Iniciar!B32,Iniciar!C32)</f>
        <v xml:space="preserve">Clima : </v>
      </c>
      <c r="AD1" s="2112"/>
      <c r="AE1" s="2112"/>
      <c r="AF1" s="2113"/>
      <c r="AG1" s="2119" t="str">
        <f>Iniciar!B21</f>
        <v xml:space="preserve">Equipo de Comederos : </v>
      </c>
      <c r="AH1" s="2120"/>
      <c r="AI1" s="2117">
        <f>Iniciar!C36</f>
        <v>0</v>
      </c>
      <c r="AJ1" s="2118"/>
      <c r="AK1" s="2109"/>
      <c r="AL1" s="2137" t="str">
        <f>CONCATENATE(Iniciar!B34,Iniciar!C34)</f>
        <v xml:space="preserve">Clase de Alojamiento : </v>
      </c>
      <c r="AM1" s="2138"/>
      <c r="AN1" s="2138"/>
      <c r="AO1" s="2138"/>
      <c r="AP1" s="2138"/>
      <c r="AQ1" s="2139" t="str">
        <f>Iniciar!B35</f>
        <v xml:space="preserve">Manejo de la Luz : </v>
      </c>
      <c r="AR1" s="2140"/>
      <c r="AS1" s="2140"/>
      <c r="AT1" s="2141">
        <f>Iniciar!C35</f>
        <v>0</v>
      </c>
      <c r="AU1" s="2141"/>
      <c r="AV1" s="2142"/>
      <c r="AW1" s="1003"/>
      <c r="AX1" s="1003"/>
      <c r="AY1" s="1003"/>
      <c r="AZ1" s="1003"/>
      <c r="BA1" s="1003"/>
      <c r="BB1" s="1003"/>
      <c r="BC1" s="1003"/>
      <c r="BD1" s="1003"/>
      <c r="BE1" s="1004"/>
      <c r="BF1" s="271"/>
      <c r="BG1" s="272"/>
      <c r="BM1" s="275"/>
      <c r="BN1" s="275"/>
      <c r="BO1" s="275"/>
      <c r="BP1" s="275"/>
      <c r="BQ1" s="275"/>
      <c r="BR1" s="275"/>
    </row>
    <row r="2" spans="1:70" ht="17.25" customHeight="1" thickBot="1" x14ac:dyDescent="0.35">
      <c r="A2" s="2086"/>
      <c r="B2" s="2086"/>
      <c r="C2" s="270"/>
      <c r="D2" s="2067" t="str">
        <f>Iniciar!B29</f>
        <v xml:space="preserve">Nombre de la Granja : </v>
      </c>
      <c r="E2" s="2068"/>
      <c r="F2" s="2068"/>
      <c r="G2" s="2068"/>
      <c r="H2" s="1045">
        <f>GRANJAPROD</f>
        <v>0</v>
      </c>
      <c r="I2" s="2067" t="str">
        <f>Iniciar!B27</f>
        <v xml:space="preserve">Total Aves Encasetadas : </v>
      </c>
      <c r="J2" s="2068"/>
      <c r="K2" s="2078">
        <f>Levante!$J$127-SUMIF(PROD!F5:F46,"&lt;0")</f>
        <v>0</v>
      </c>
      <c r="L2" s="2079"/>
      <c r="M2" s="877" t="s">
        <v>337</v>
      </c>
      <c r="N2" s="1046">
        <f>Iniciar!C33</f>
        <v>0</v>
      </c>
      <c r="O2" s="2083"/>
      <c r="P2" s="2084"/>
      <c r="Q2" s="2085"/>
      <c r="R2" s="2067" t="str">
        <f>Iniciar!B37</f>
        <v xml:space="preserve">Fecha de Inicio semana 19 : </v>
      </c>
      <c r="S2" s="2068"/>
      <c r="T2" s="2068"/>
      <c r="U2" s="2068"/>
      <c r="V2" s="2068"/>
      <c r="W2" s="2069" t="str">
        <f>IF(Levante!C131="","",Levante!C131+1)</f>
        <v/>
      </c>
      <c r="X2" s="2069"/>
      <c r="Y2" s="2069"/>
      <c r="Z2" s="2069"/>
      <c r="AA2" s="2069"/>
      <c r="AB2" s="2070"/>
      <c r="AC2" s="2114" t="str">
        <f>CONCATENATE(Iniciar!B30,Iniciar!C30)</f>
        <v xml:space="preserve">Localización Granja : </v>
      </c>
      <c r="AD2" s="2115"/>
      <c r="AE2" s="2115"/>
      <c r="AF2" s="2116"/>
      <c r="AG2" s="2121" t="str">
        <f>CONCATENATE(Iniciar!B25,Iniciar!C25)</f>
        <v>Presentación empaque de alimento : Kilos</v>
      </c>
      <c r="AH2" s="2122"/>
      <c r="AI2" s="2122"/>
      <c r="AJ2" s="2123"/>
      <c r="AK2" s="2109"/>
      <c r="AL2" s="1002" t="s">
        <v>464</v>
      </c>
      <c r="AM2" s="703">
        <v>80</v>
      </c>
      <c r="AN2" s="704">
        <f>(67+77.9)/2</f>
        <v>72.45</v>
      </c>
      <c r="AO2" s="704">
        <f>(60+66.9)/2</f>
        <v>63.45</v>
      </c>
      <c r="AP2" s="704">
        <f>(53+59.9)/2</f>
        <v>56.45</v>
      </c>
      <c r="AQ2" s="704">
        <f>(46+52.9)/2</f>
        <v>49.45</v>
      </c>
      <c r="AR2" s="704">
        <v>44</v>
      </c>
      <c r="AS2" s="705">
        <v>40</v>
      </c>
      <c r="AT2" s="706">
        <v>68</v>
      </c>
      <c r="AU2" s="707">
        <v>56.5</v>
      </c>
      <c r="AV2" s="708">
        <v>46.7</v>
      </c>
      <c r="AW2" s="703">
        <v>59</v>
      </c>
      <c r="AX2" s="707">
        <v>63</v>
      </c>
      <c r="AY2" s="707">
        <v>66</v>
      </c>
      <c r="AZ2" s="708">
        <v>63</v>
      </c>
      <c r="BA2" s="2143" t="s">
        <v>465</v>
      </c>
      <c r="BB2" s="2144"/>
      <c r="BC2" s="2144"/>
      <c r="BD2" s="2144"/>
      <c r="BE2" s="2145"/>
      <c r="BG2" s="272"/>
      <c r="BM2" s="275"/>
      <c r="BN2" s="275"/>
      <c r="BO2" s="275"/>
      <c r="BP2" s="275"/>
      <c r="BQ2" s="275"/>
      <c r="BR2" s="275"/>
    </row>
    <row r="3" spans="1:70" ht="17.25" customHeight="1" thickBot="1" x14ac:dyDescent="0.35">
      <c r="A3" s="2087"/>
      <c r="B3" s="2087"/>
      <c r="C3" s="270"/>
      <c r="D3" s="2088" t="s">
        <v>347</v>
      </c>
      <c r="E3" s="2089"/>
      <c r="F3" s="2089"/>
      <c r="G3" s="2089"/>
      <c r="H3" s="2089"/>
      <c r="I3" s="2089"/>
      <c r="J3" s="2089"/>
      <c r="K3" s="2090"/>
      <c r="L3" s="2103" t="s">
        <v>361</v>
      </c>
      <c r="M3" s="2104"/>
      <c r="N3" s="2104"/>
      <c r="O3" s="2104"/>
      <c r="P3" s="2104"/>
      <c r="Q3" s="2104"/>
      <c r="R3" s="2071" t="s">
        <v>415</v>
      </c>
      <c r="S3" s="2072"/>
      <c r="T3" s="2072"/>
      <c r="U3" s="2072"/>
      <c r="V3" s="2072"/>
      <c r="W3" s="2072"/>
      <c r="X3" s="2072"/>
      <c r="Y3" s="2072"/>
      <c r="Z3" s="2072"/>
      <c r="AA3" s="2127" t="s">
        <v>348</v>
      </c>
      <c r="AB3" s="2128"/>
      <c r="AC3" s="2128"/>
      <c r="AD3" s="2128"/>
      <c r="AE3" s="2128"/>
      <c r="AF3" s="2129"/>
      <c r="AG3" s="2124" t="s">
        <v>360</v>
      </c>
      <c r="AH3" s="2125"/>
      <c r="AI3" s="2125"/>
      <c r="AJ3" s="2126"/>
      <c r="AK3" s="2110"/>
      <c r="AL3" s="2029" t="s">
        <v>335</v>
      </c>
      <c r="AM3" s="2030"/>
      <c r="AN3" s="2030"/>
      <c r="AO3" s="2030"/>
      <c r="AP3" s="2030"/>
      <c r="AQ3" s="2030"/>
      <c r="AR3" s="2030"/>
      <c r="AS3" s="2030"/>
      <c r="AT3" s="2030"/>
      <c r="AU3" s="2030"/>
      <c r="AV3" s="2031"/>
      <c r="AW3" s="2060" t="s">
        <v>263</v>
      </c>
      <c r="AX3" s="2061"/>
      <c r="AY3" s="2061"/>
      <c r="AZ3" s="2062"/>
      <c r="BA3" s="2146"/>
      <c r="BB3" s="2147"/>
      <c r="BC3" s="2147"/>
      <c r="BD3" s="2147"/>
      <c r="BE3" s="2148"/>
      <c r="BF3" s="276"/>
      <c r="BG3" s="272"/>
    </row>
    <row r="4" spans="1:70" s="279" customFormat="1" ht="30" customHeight="1" thickBot="1" x14ac:dyDescent="0.3">
      <c r="A4" s="754" t="s">
        <v>0</v>
      </c>
      <c r="B4" s="755" t="s">
        <v>267</v>
      </c>
      <c r="C4" s="756" t="s">
        <v>304</v>
      </c>
      <c r="D4" s="757" t="s">
        <v>300</v>
      </c>
      <c r="E4" s="746" t="s">
        <v>301</v>
      </c>
      <c r="F4" s="747" t="s">
        <v>222</v>
      </c>
      <c r="G4" s="748" t="s">
        <v>342</v>
      </c>
      <c r="H4" s="747" t="s">
        <v>341</v>
      </c>
      <c r="I4" s="758" t="s">
        <v>172</v>
      </c>
      <c r="J4" s="2044" t="s">
        <v>356</v>
      </c>
      <c r="K4" s="2045"/>
      <c r="L4" s="749" t="s">
        <v>354</v>
      </c>
      <c r="M4" s="759" t="s">
        <v>358</v>
      </c>
      <c r="N4" s="1047" t="s">
        <v>355</v>
      </c>
      <c r="O4" s="1048" t="s">
        <v>12</v>
      </c>
      <c r="P4" s="1049" t="s">
        <v>181</v>
      </c>
      <c r="Q4" s="1050" t="s">
        <v>182</v>
      </c>
      <c r="R4" s="1000" t="s">
        <v>462</v>
      </c>
      <c r="S4" s="760" t="s">
        <v>338</v>
      </c>
      <c r="T4" s="763" t="str">
        <f>CONCATENATE("Valor $ ",Iniciar!C25)</f>
        <v>Valor $ Kilos</v>
      </c>
      <c r="U4" s="750" t="str">
        <f>CONCATENATE("Entra ",Iniciar!$C$25)</f>
        <v>Entra Kilos</v>
      </c>
      <c r="V4" s="751" t="str">
        <f>CONCATENATE("Cons ",Iniciar!$C$25)</f>
        <v>Cons Kilos</v>
      </c>
      <c r="W4" s="751" t="str">
        <f>CONCATENATE("Trasl ",Iniciar!$C$25)</f>
        <v>Trasl Kilos</v>
      </c>
      <c r="X4" s="752" t="str">
        <f>CONCATENATE("Saldo ",Iniciar!$C$25)</f>
        <v>Saldo Kilos</v>
      </c>
      <c r="Y4" s="753" t="s">
        <v>339</v>
      </c>
      <c r="Z4" s="766" t="s">
        <v>340</v>
      </c>
      <c r="AA4" s="767" t="str">
        <f>Levante!S4</f>
        <v>Gr. Ave Dia</v>
      </c>
      <c r="AB4" s="767" t="s">
        <v>427</v>
      </c>
      <c r="AC4" s="1047" t="s">
        <v>355</v>
      </c>
      <c r="AD4" s="1051" t="s">
        <v>12</v>
      </c>
      <c r="AE4" s="1052" t="s">
        <v>181</v>
      </c>
      <c r="AF4" s="1053" t="s">
        <v>182</v>
      </c>
      <c r="AG4" s="1033" t="s">
        <v>355</v>
      </c>
      <c r="AH4" s="1034" t="s">
        <v>12</v>
      </c>
      <c r="AI4" s="1035" t="s">
        <v>181</v>
      </c>
      <c r="AJ4" s="1036" t="s">
        <v>182</v>
      </c>
      <c r="AK4" s="1037" t="s">
        <v>2</v>
      </c>
      <c r="AL4" s="1322" t="s">
        <v>463</v>
      </c>
      <c r="AM4" s="1054" t="s">
        <v>431</v>
      </c>
      <c r="AN4" s="1055" t="s">
        <v>216</v>
      </c>
      <c r="AO4" s="1056" t="s">
        <v>3</v>
      </c>
      <c r="AP4" s="1057" t="s">
        <v>4</v>
      </c>
      <c r="AQ4" s="1057" t="s">
        <v>5</v>
      </c>
      <c r="AR4" s="1057" t="s">
        <v>6</v>
      </c>
      <c r="AS4" s="1058" t="s">
        <v>432</v>
      </c>
      <c r="AT4" s="1059" t="s">
        <v>217</v>
      </c>
      <c r="AU4" s="1060" t="s">
        <v>218</v>
      </c>
      <c r="AV4" s="1061" t="s">
        <v>219</v>
      </c>
      <c r="AW4" s="1062" t="s">
        <v>327</v>
      </c>
      <c r="AX4" s="1063" t="s">
        <v>326</v>
      </c>
      <c r="AY4" s="1063" t="s">
        <v>8</v>
      </c>
      <c r="AZ4" s="1064" t="s">
        <v>7</v>
      </c>
      <c r="BA4" s="1065" t="s">
        <v>373</v>
      </c>
      <c r="BB4" s="1066" t="s">
        <v>333</v>
      </c>
      <c r="BC4" s="1067" t="s">
        <v>334</v>
      </c>
      <c r="BD4" s="1068" t="s">
        <v>362</v>
      </c>
      <c r="BE4" s="1069" t="s">
        <v>273</v>
      </c>
      <c r="BF4" s="271"/>
      <c r="BG4" s="277" t="s">
        <v>1</v>
      </c>
      <c r="BH4" s="278"/>
    </row>
    <row r="5" spans="1:70" ht="14.25" customHeight="1" thickTop="1" x14ac:dyDescent="0.3">
      <c r="A5" s="2041">
        <f>Levante!B125</f>
        <v>18</v>
      </c>
      <c r="B5" s="1223" t="str">
        <f>Levante!C125</f>
        <v/>
      </c>
      <c r="C5" s="1224" t="str">
        <f t="shared" ref="C5:C68" si="0">IF(B5="","",(B5-Fnac+1)/7)</f>
        <v/>
      </c>
      <c r="D5" s="1225">
        <f>Levante!$E125</f>
        <v>0</v>
      </c>
      <c r="E5" s="1226">
        <f>Levante!F125</f>
        <v>0</v>
      </c>
      <c r="F5" s="1227">
        <f>Levante!G125</f>
        <v>0</v>
      </c>
      <c r="G5" s="1228"/>
      <c r="H5" s="1229"/>
      <c r="I5" s="1230">
        <f>K2+SUMIF($D$5:F11,"&gt;0")-D5</f>
        <v>0</v>
      </c>
      <c r="J5" s="552" t="str">
        <f>CONCATENATE("% ",D4," Sem :")</f>
        <v>% Mort Sem :</v>
      </c>
      <c r="K5" s="553">
        <f>IF(PROD!$K$2&gt;0,SUM(D5:D11)/PROD!$K$2,0)</f>
        <v>0</v>
      </c>
      <c r="L5" s="696"/>
      <c r="M5" s="282">
        <f t="shared" ref="M5:M10" si="1">IF(I5&gt;0,L5/I5,0)</f>
        <v>0</v>
      </c>
      <c r="N5" s="1038" t="s">
        <v>357</v>
      </c>
      <c r="O5" s="1039">
        <f>IF(SUM(L5:L10)&gt;0,100*SUMPRODUCT(M5:M11,I5:I11)/SUMIF(L5:L11,"&gt;0",I5:I11),IF(L11&gt;0,100*L11/7/I11,0))</f>
        <v>0</v>
      </c>
      <c r="P5" s="1039">
        <f>IFERROR(LOOKUP($A5,TP!$A$6:$A$108,GSh!$AE$6:$AE$108),0)</f>
        <v>0</v>
      </c>
      <c r="Q5" s="1040">
        <f>IF(AND(P5&gt;0,O5&gt;0),O5-P5,0)</f>
        <v>0</v>
      </c>
      <c r="R5" s="1253">
        <f>Levante!K125</f>
        <v>0</v>
      </c>
      <c r="S5" s="1254">
        <f>Levante!L125</f>
        <v>0</v>
      </c>
      <c r="T5" s="1255">
        <f>Levante!M125</f>
        <v>0</v>
      </c>
      <c r="U5" s="1256">
        <f>Levante!N125*IF($V$4=Levante!$O$4,1,IF(Levante!$O$4="Cons Kilos",IF($V$4="Cons B X 40 K",0.025,0.02),IF(Levante!$O$4="Cons B X 40 K",IF(V$4="Cons Kilos",40,0.8),IF($V$4="Cons Kilos",50,1.25))))</f>
        <v>0</v>
      </c>
      <c r="V5" s="1257">
        <f>Levante!O125*IF($V$4=Levante!$O$4,1,IF(Levante!$O$4="Cons Kilos",IF($V$4="Cons B X 40 K",0.025,0.02),IF(Levante!$O$4="Cons B X 40 K",IF(V$4="Cons Kilos",40,0.8),IF($V$4="Cons Kilos",50,1.25))))</f>
        <v>0</v>
      </c>
      <c r="W5" s="1257">
        <f>Levante!Q125*IF($V$4=Levante!$O$4,1,IF(Levante!$O$4="Cons Kilos",IF($V$4="Cons B X 40 K",0.025,0.02),IF(Levante!$O$4="Cons B X 40 K",IF(V$4="Cons Kilos",40,0.8),IF($V$4="Cons Kilos",50,1.25))))</f>
        <v>0</v>
      </c>
      <c r="X5" s="1258">
        <f>Levante!R125*IF($V$4=Levante!$O$4,1,IF(Levante!$O$4="Cons Kilos",IF($V$4="Cons B X 40 K",0.025,0.02),IF(Levante!$O$4="Cons B X 40 K",IF(W$4="Cons Kilos",40,0.8),IF($V$4="Cons Kilos",50,1.25))))</f>
        <v>0</v>
      </c>
      <c r="Y5" s="1259">
        <f>IF(AA5&gt;0,V5,AE5/IF(Iniciar!$C$25="B X 40 K",40,IF(Iniciar!$C$25="B X 50 K",50,1))*I5/1000)</f>
        <v>0</v>
      </c>
      <c r="Z5" s="1259">
        <f>Levante!R125*IF($V$4=Levante!$O$4,1,IF(Levante!$O$4="Cons Kilos",IF($V$4="Cons B X 40 K",0.025,0.02),IF(Levante!$O$4="Cons B X 40 K",IF(W$4="Cons Kilos",40,0.8),IF($V$4="Cons Kilos",50,1.25))))</f>
        <v>0</v>
      </c>
      <c r="AA5" s="1260">
        <f t="shared" ref="AA5:AA10" si="2">IF(I5&gt;0,V5*$A$1/I5,0)</f>
        <v>0</v>
      </c>
      <c r="AB5" s="1260">
        <f t="shared" ref="AB5:AB68" si="3">IFERROR(R5*1000/I5,0)</f>
        <v>0</v>
      </c>
      <c r="AC5" s="1041" t="s">
        <v>183</v>
      </c>
      <c r="AD5" s="1042">
        <f>IF(SUMIF(V5:V11,"&gt;0")&gt;0,SUMPRODUCT(AA5:AA11,I5:I11)/SUMIF(AA5:AA11,"&gt;0",I5:I11),0)</f>
        <v>0</v>
      </c>
      <c r="AE5" s="1042">
        <f>IFERROR(LOOKUP($A5,TP!$A$6:$A$108,GSh!$AU$6:$AU$108),0)</f>
        <v>0</v>
      </c>
      <c r="AF5" s="1043">
        <f>IF(AND(AE5&gt;0,AD5&gt;0),(AD5/AE5-1)*100,0)</f>
        <v>0</v>
      </c>
      <c r="AG5" s="1030" t="s">
        <v>389</v>
      </c>
      <c r="AH5" s="1031">
        <f>IF(PROD!O5&gt;0,IF($AG5="Gr X H",PROD!AD5/PROD!O5*100,IF($AG5="Conv Kg/Doc",PROD!AD5/PROD!O5*1.2,IF(PROD!$O7&gt;0,PROD!AD5/(PROD!O5*PROD!$O7)*100,0))),0)</f>
        <v>0</v>
      </c>
      <c r="AI5" s="1031">
        <f>IF(PROD!P5&gt;0,IF($AG5="Gr X H",PROD!AE5/PROD!P5*100,IF($AG5="Conv Kg/Doc",PROD!AE5/PROD!P5*1.2,IF(PROD!$P7&gt;0,PROD!AE5/(PROD!P5*PROD!$P7)*100,0))),0)</f>
        <v>0</v>
      </c>
      <c r="AJ5" s="1032">
        <f>IF(AND(AI5&gt;0,AH5&gt;0),(AH5/AI5-1)*100,0)</f>
        <v>0</v>
      </c>
      <c r="AK5" s="2027"/>
      <c r="AL5" s="1272">
        <f t="shared" ref="AL5:AL68" si="4">L5-SUM(AM5:AS5)-SUM(AW5:AZ5)-SUM(AT5:AV5)</f>
        <v>0</v>
      </c>
      <c r="AM5" s="1273"/>
      <c r="AN5" s="1273"/>
      <c r="AO5" s="1273"/>
      <c r="AP5" s="1273"/>
      <c r="AQ5" s="1273"/>
      <c r="AR5" s="1273"/>
      <c r="AS5" s="1274"/>
      <c r="AT5" s="1275"/>
      <c r="AU5" s="1276"/>
      <c r="AV5" s="1277"/>
      <c r="AW5" s="1328"/>
      <c r="AX5" s="1278"/>
      <c r="AY5" s="1278"/>
      <c r="AZ5" s="1279"/>
      <c r="BA5" s="1280"/>
      <c r="BB5" s="1281"/>
      <c r="BC5" s="1282"/>
      <c r="BD5" s="1283">
        <f>PROD!L5-BA5</f>
        <v>0</v>
      </c>
      <c r="BE5" s="2151">
        <f>IF(SUM(AM5:AZ11)&gt;0,(SUM(AM5:AM11)*$AM$2+SUM(AN5:AN11)*$AN$2+SUM(AO5:AO11)*$AO$2+SUM(AP5:AP11)*$AP$2+SUM(AQ5:AQ11)*$AQ$2+SUM(AR5:AR11)*$AR$2+SUM(AS5:AS11)*$AS$2+SUM(AW5:AW11)*$AW$2+SUM(AX5:AX11)*$AX$2+SUM(AY5:AY11)*$AY$2+SUM(AZ5:AZ11)*$AZ$2+SUM(AT5:AT11)*$AT$2+SUM(AU5:AU11)*$AU$2+SUM(AV5:AV11)*$AV$2)/SUM(AM5:AZ11),0)</f>
        <v>0</v>
      </c>
      <c r="BF5" s="507" t="e">
        <f t="shared" ref="BF5:BF68" si="5">INT((B5-Fnac)/7)+1</f>
        <v>#VALUE!</v>
      </c>
      <c r="BG5" s="277">
        <f>IF(SUM(L5:L11)&gt;0,A5,IF(SUM(V5:V11)&gt;0,A5,0))</f>
        <v>0</v>
      </c>
      <c r="BH5" s="1018">
        <f t="shared" ref="BH5:BH68" si="6">T5*V5</f>
        <v>0</v>
      </c>
    </row>
    <row r="6" spans="1:70" ht="15" customHeight="1" x14ac:dyDescent="0.3">
      <c r="A6" s="2033"/>
      <c r="B6" s="287" t="str">
        <f t="shared" ref="B6:B69" si="7">IF(B5="","",B5+1)</f>
        <v/>
      </c>
      <c r="C6" s="288" t="str">
        <f t="shared" si="0"/>
        <v/>
      </c>
      <c r="D6" s="474">
        <f>Levante!$E126</f>
        <v>0</v>
      </c>
      <c r="E6" s="475">
        <f>Levante!F126</f>
        <v>0</v>
      </c>
      <c r="F6" s="300">
        <f>Levante!G126</f>
        <v>0</v>
      </c>
      <c r="G6" s="694"/>
      <c r="H6" s="695"/>
      <c r="I6" s="289">
        <f t="shared" ref="I6:I46" si="8">I5-SUMIF(D6:F6,"&gt;0")</f>
        <v>0</v>
      </c>
      <c r="J6" s="280" t="str">
        <f>CONCATENATE("% ",E4," Sem :")</f>
        <v>% Sel Sem :</v>
      </c>
      <c r="K6" s="290">
        <f>IF(PROD!$K$2&gt;0,SUM(E5:E11)/PROD!$K$2,0)</f>
        <v>0</v>
      </c>
      <c r="L6" s="697"/>
      <c r="M6" s="291">
        <f t="shared" si="1"/>
        <v>0</v>
      </c>
      <c r="N6" s="292" t="s">
        <v>224</v>
      </c>
      <c r="O6" s="293">
        <f>IF(AND(PROD!$K$2&gt;0,O5&gt;0),SUM(L$5:L11)/PROD!$K$2,0)</f>
        <v>0</v>
      </c>
      <c r="P6" s="293">
        <f>IFERROR(LOOKUP($A5,TP!$A$6:$A$108,GSh!$AJ$6:$AJ$108),0)</f>
        <v>0</v>
      </c>
      <c r="Q6" s="294">
        <f>IF(AND(P6&gt;0,O6&gt;0),O6-P6,0)</f>
        <v>0</v>
      </c>
      <c r="R6" s="540">
        <f>Levante!K126</f>
        <v>0</v>
      </c>
      <c r="S6" s="761">
        <f>Levante!L126</f>
        <v>0</v>
      </c>
      <c r="T6" s="764">
        <f>Levante!M126</f>
        <v>0</v>
      </c>
      <c r="U6" s="476">
        <f>Levante!N126*IF($V$4=Levante!$O$4,1,IF(Levante!$O$4="Cons Kilos",IF($V$4="Cons B X 40 K",0.025,0.02),IF(Levante!$O$4="Cons B X 40 K",IF(V$4="Cons Kilos",40,0.8),IF($V$4="Cons Kilos",50,1.25))))</f>
        <v>0</v>
      </c>
      <c r="V6" s="477">
        <f>Levante!O126*IF($V$4=Levante!$O$4,1,IF(Levante!$O$4="Cons Kilos",IF($V$4="Cons B X 40 K",0.025,0.02),IF(Levante!$O$4="Cons B X 40 K",IF(V$4="Cons Kilos",40,0.8),IF($V$4="Cons Kilos",50,1.25))))</f>
        <v>0</v>
      </c>
      <c r="W6" s="477">
        <f>Levante!Q126*IF($V$4=Levante!$O$4,1,IF(Levante!$O$4="Cons Kilos",IF($V$4="Cons B X 40 K",0.025,0.02),IF(Levante!$O$4="Cons B X 40 K",IF(V$4="Cons Kilos",40,0.8),IF($V$4="Cons Kilos",50,1.25))))</f>
        <v>0</v>
      </c>
      <c r="X6" s="295">
        <f t="shared" ref="X6:X69" si="9">X5+U6-V6-W6</f>
        <v>0</v>
      </c>
      <c r="Y6" s="296">
        <f>IF(AA6&gt;0,V6,AE5/IF(Iniciar!$C$25="B X 40 K",40,IF(Iniciar!$C$25="B X 50 K",50,1))*I6/1000)</f>
        <v>0</v>
      </c>
      <c r="Z6" s="296">
        <f t="shared" ref="Z6:Z69" si="10">Z5+U6-Y6-W6</f>
        <v>0</v>
      </c>
      <c r="AA6" s="297">
        <f t="shared" si="2"/>
        <v>0</v>
      </c>
      <c r="AB6" s="297">
        <f t="shared" si="3"/>
        <v>0</v>
      </c>
      <c r="AC6" s="283" t="s">
        <v>184</v>
      </c>
      <c r="AD6" s="284">
        <f>AD5*7</f>
        <v>0</v>
      </c>
      <c r="AE6" s="284">
        <f>AE5*7</f>
        <v>0</v>
      </c>
      <c r="AF6" s="285">
        <f>IF(AND(AE6&gt;0,AD6&gt;0),(AD6/AE6-1)*100,0)</f>
        <v>0</v>
      </c>
      <c r="AG6" s="1198" t="str">
        <f>CONCATENATE(AG5," Acm")</f>
        <v>Gr X H Acm</v>
      </c>
      <c r="AH6" s="298">
        <f>IF(SUM(PROD!L5:L11)&gt;0,IF(PROD!$AG$5="Gr X H",SUM(PROD!V$5:V11)*PROD!$A$1/SUM(PROD!L$5:L11),IF($AG5="Conv Kg/Doc",(SUM(PROD!V$5:V11)*PROD!$A$1/1000)/(SUM(PROD!L$5:L11)/12),IF(PROD!$O7&gt;0,SUM(PROD!V$5:V11)*PROD!$A$1/(SUM(PROD!L$5:L11)*LOOKUP(PROD!A5,TP!$A$6:$A$108,GSh!$BB$6:$BB$108)),0))),0)</f>
        <v>0</v>
      </c>
      <c r="AI6" s="298">
        <f>IF(PROD!P5&gt;0,IF($AG5="Gr X H",PROD!AE5/PROD!P5*100,IF($AG5="Conv Kg/Doc",PROD!AE5/PROD!P5*1.2,IF(PROD!$P6&gt;0,PROD!AE7/(PROD!P6*LOOKUP(PROD!$A5,TP!$A$6:$A$108,GSh!$BC$6:$BC$108)/1000),0))),0)</f>
        <v>0</v>
      </c>
      <c r="AJ6" s="299">
        <f>IF(AND(AI6&gt;0,AH6&gt;0),(AH6/AI6-1)*100,0)</f>
        <v>0</v>
      </c>
      <c r="AK6" s="2027"/>
      <c r="AL6" s="1284">
        <f t="shared" si="4"/>
        <v>0</v>
      </c>
      <c r="AM6" s="1285"/>
      <c r="AN6" s="1285"/>
      <c r="AO6" s="1285"/>
      <c r="AP6" s="1285"/>
      <c r="AQ6" s="1285"/>
      <c r="AR6" s="1285"/>
      <c r="AS6" s="1286"/>
      <c r="AT6" s="1287"/>
      <c r="AU6" s="1288"/>
      <c r="AV6" s="1289"/>
      <c r="AW6" s="1290"/>
      <c r="AX6" s="1291"/>
      <c r="AY6" s="1291"/>
      <c r="AZ6" s="1292"/>
      <c r="BA6" s="1293"/>
      <c r="BB6" s="1294"/>
      <c r="BC6" s="1295"/>
      <c r="BD6" s="1296">
        <f>BD5+PROD!L6-BA6</f>
        <v>0</v>
      </c>
      <c r="BE6" s="2133"/>
      <c r="BF6" s="507" t="e">
        <f t="shared" si="5"/>
        <v>#VALUE!</v>
      </c>
      <c r="BG6" s="301"/>
      <c r="BH6" s="1018">
        <f t="shared" si="6"/>
        <v>0</v>
      </c>
    </row>
    <row r="7" spans="1:70" ht="14.25" customHeight="1" x14ac:dyDescent="0.3">
      <c r="A7" s="2033"/>
      <c r="B7" s="287" t="str">
        <f t="shared" si="7"/>
        <v/>
      </c>
      <c r="C7" s="288" t="str">
        <f t="shared" si="0"/>
        <v/>
      </c>
      <c r="D7" s="474">
        <f>Levante!$E127</f>
        <v>0</v>
      </c>
      <c r="E7" s="475">
        <f>Levante!F127</f>
        <v>0</v>
      </c>
      <c r="F7" s="300">
        <f>Levante!G127</f>
        <v>0</v>
      </c>
      <c r="G7" s="694"/>
      <c r="H7" s="695"/>
      <c r="I7" s="289">
        <f t="shared" si="8"/>
        <v>0</v>
      </c>
      <c r="J7" s="302" t="s">
        <v>176</v>
      </c>
      <c r="K7" s="303">
        <f>K10</f>
        <v>0</v>
      </c>
      <c r="L7" s="697"/>
      <c r="M7" s="291">
        <f t="shared" si="1"/>
        <v>0</v>
      </c>
      <c r="N7" s="304" t="s">
        <v>225</v>
      </c>
      <c r="O7" s="305">
        <f>LOOKUP($A5,'Pr-Sem'!$A$6:$A$108,'Pr-Sem'!$Z$6:$Z$108)</f>
        <v>0</v>
      </c>
      <c r="P7" s="305">
        <f>IFERROR(LOOKUP($A5,TP!$A$6:$A$108,GSh!$AZ$6:$AZ$108),0)</f>
        <v>0</v>
      </c>
      <c r="Q7" s="306">
        <f>IF(AND(P7&gt;0,O7&gt;0),O7-P7,0)</f>
        <v>0</v>
      </c>
      <c r="R7" s="540">
        <f>Levante!K127</f>
        <v>0</v>
      </c>
      <c r="S7" s="761">
        <f>Levante!L127</f>
        <v>0</v>
      </c>
      <c r="T7" s="764">
        <f>Levante!M127</f>
        <v>0</v>
      </c>
      <c r="U7" s="476">
        <f>Levante!N127*IF($V$4=Levante!$O$4,1,IF(Levante!$O$4="Cons Kilos",IF($V$4="Cons B X 40 K",0.025,0.02),IF(Levante!$O$4="Cons B X 40 K",IF(V$4="Cons Kilos",40,0.8),IF($V$4="Cons Kilos",50,1.25))))</f>
        <v>0</v>
      </c>
      <c r="V7" s="477">
        <f>Levante!O127*IF($V$4=Levante!$O$4,1,IF(Levante!$O$4="Cons Kilos",IF($V$4="Cons B X 40 K",0.025,0.02),IF(Levante!$O$4="Cons B X 40 K",IF(V$4="Cons Kilos",40,0.8),IF($V$4="Cons Kilos",50,1.25))))</f>
        <v>0</v>
      </c>
      <c r="W7" s="477">
        <f>Levante!Q127*IF($V$4=Levante!$O$4,1,IF(Levante!$O$4="Cons Kilos",IF($V$4="Cons B X 40 K",0.025,0.02),IF(Levante!$O$4="Cons B X 40 K",IF(V$4="Cons Kilos",40,0.8),IF($V$4="Cons Kilos",50,1.25))))</f>
        <v>0</v>
      </c>
      <c r="X7" s="295">
        <f t="shared" si="9"/>
        <v>0</v>
      </c>
      <c r="Y7" s="296">
        <f>IF(AA7&gt;0,V7,AE5/IF(Iniciar!$C$25="B X 40 K",40,IF(Iniciar!$C$25="B X 50 K",50,1))*I7/1000)</f>
        <v>0</v>
      </c>
      <c r="Z7" s="296">
        <f t="shared" si="10"/>
        <v>0</v>
      </c>
      <c r="AA7" s="297">
        <f t="shared" si="2"/>
        <v>0</v>
      </c>
      <c r="AB7" s="297">
        <f t="shared" si="3"/>
        <v>0</v>
      </c>
      <c r="AC7" s="307" t="s">
        <v>223</v>
      </c>
      <c r="AD7" s="308">
        <f>IF(OR(SUM(L5:L11)&gt;0,SUM(V5:V11)&gt;0),AD6/1000,0)</f>
        <v>0</v>
      </c>
      <c r="AE7" s="309">
        <f>AE6/1000</f>
        <v>0</v>
      </c>
      <c r="AF7" s="310">
        <f>IF(AND(AE7&gt;0,AD7&gt;0),(AD7/AE7-1)*100,0)</f>
        <v>0</v>
      </c>
      <c r="AG7" s="311" t="s">
        <v>232</v>
      </c>
      <c r="AH7" s="312">
        <f>PROD!O5/100*7*PROD!O7</f>
        <v>0</v>
      </c>
      <c r="AI7" s="312">
        <f>PROD!P5/100*7*PROD!P7</f>
        <v>0</v>
      </c>
      <c r="AJ7" s="313">
        <f>IF(AND(AI7&gt;0,AH7&gt;0),(AH7/AI7-1)*100,0)</f>
        <v>0</v>
      </c>
      <c r="AK7" s="2027"/>
      <c r="AL7" s="1284">
        <f t="shared" si="4"/>
        <v>0</v>
      </c>
      <c r="AM7" s="1285"/>
      <c r="AN7" s="1285"/>
      <c r="AO7" s="1285"/>
      <c r="AP7" s="1285"/>
      <c r="AQ7" s="1285"/>
      <c r="AR7" s="1285"/>
      <c r="AS7" s="1286"/>
      <c r="AT7" s="1287"/>
      <c r="AU7" s="1288"/>
      <c r="AV7" s="1289"/>
      <c r="AW7" s="1290"/>
      <c r="AX7" s="1291"/>
      <c r="AY7" s="1291"/>
      <c r="AZ7" s="1292"/>
      <c r="BA7" s="1293"/>
      <c r="BB7" s="1294"/>
      <c r="BC7" s="1297"/>
      <c r="BD7" s="1296">
        <f>BD6+PROD!L7-BA7</f>
        <v>0</v>
      </c>
      <c r="BE7" s="2133"/>
      <c r="BF7" s="507" t="e">
        <f t="shared" si="5"/>
        <v>#VALUE!</v>
      </c>
      <c r="BG7" s="301"/>
      <c r="BH7" s="1018">
        <f t="shared" si="6"/>
        <v>0</v>
      </c>
    </row>
    <row r="8" spans="1:70" ht="14.25" customHeight="1" x14ac:dyDescent="0.3">
      <c r="A8" s="2033"/>
      <c r="B8" s="287" t="str">
        <f t="shared" si="7"/>
        <v/>
      </c>
      <c r="C8" s="288" t="str">
        <f t="shared" si="0"/>
        <v/>
      </c>
      <c r="D8" s="474">
        <f>Levante!$E128</f>
        <v>0</v>
      </c>
      <c r="E8" s="475">
        <f>Levante!F128</f>
        <v>0</v>
      </c>
      <c r="F8" s="300">
        <f>Levante!G128</f>
        <v>0</v>
      </c>
      <c r="G8" s="694"/>
      <c r="H8" s="695"/>
      <c r="I8" s="289">
        <f t="shared" si="8"/>
        <v>0</v>
      </c>
      <c r="J8" s="280" t="str">
        <f>CONCATENATE("% ",D4," Acm :")</f>
        <v>% Mort Acm :</v>
      </c>
      <c r="K8" s="281">
        <f>IF(PROD!$K$2&gt;0,SUM(D$5:D11)/PROD!$K$2,0)</f>
        <v>0</v>
      </c>
      <c r="L8" s="697"/>
      <c r="M8" s="291">
        <f t="shared" si="1"/>
        <v>0</v>
      </c>
      <c r="N8" s="314" t="s">
        <v>238</v>
      </c>
      <c r="O8" s="486">
        <f>'Sem-L'!U23</f>
        <v>0</v>
      </c>
      <c r="P8" s="315">
        <f>IFERROR(LOOKUP($A5,TP!$A$6:$A$108,GSh!$BK$6:$BK$108),0)</f>
        <v>0</v>
      </c>
      <c r="Q8" s="316">
        <f>IF(AND(P8&gt;0,O8&gt;0),(O8/P8-1)*100,0)</f>
        <v>0</v>
      </c>
      <c r="R8" s="540">
        <f>Levante!K128</f>
        <v>0</v>
      </c>
      <c r="S8" s="761">
        <f>Levante!L128</f>
        <v>0</v>
      </c>
      <c r="T8" s="764">
        <f>Levante!M128</f>
        <v>0</v>
      </c>
      <c r="U8" s="476">
        <f>Levante!N128*IF($V$4=Levante!$O$4,1,IF(Levante!$O$4="Cons Kilos",IF($V$4="Cons B X 40 K",0.025,0.02),IF(Levante!$O$4="Cons B X 40 K",IF(V$4="Cons Kilos",40,0.8),IF($V$4="Cons Kilos",50,1.25))))</f>
        <v>0</v>
      </c>
      <c r="V8" s="477">
        <f>Levante!O128*IF($V$4=Levante!$O$4,1,IF(Levante!$O$4="Cons Kilos",IF($V$4="Cons B X 40 K",0.025,0.02),IF(Levante!$O$4="Cons B X 40 K",IF(V$4="Cons Kilos",40,0.8),IF($V$4="Cons Kilos",50,1.25))))</f>
        <v>0</v>
      </c>
      <c r="W8" s="477">
        <f>Levante!Q128*IF($V$4=Levante!$O$4,1,IF(Levante!$O$4="Cons Kilos",IF($V$4="Cons B X 40 K",0.025,0.02),IF(Levante!$O$4="Cons B X 40 K",IF(V$4="Cons Kilos",40,0.8),IF($V$4="Cons Kilos",50,1.25))))</f>
        <v>0</v>
      </c>
      <c r="X8" s="295">
        <f t="shared" si="9"/>
        <v>0</v>
      </c>
      <c r="Y8" s="296">
        <f>IF(AA8&gt;0,V8,AE5/IF(Iniciar!$C$25="B X 40 K",40,IF(Iniciar!$C$25="B X 50 K",50,1))*I8/1000)</f>
        <v>0</v>
      </c>
      <c r="Z8" s="296">
        <f t="shared" si="10"/>
        <v>0</v>
      </c>
      <c r="AA8" s="297">
        <f t="shared" si="2"/>
        <v>0</v>
      </c>
      <c r="AB8" s="297">
        <f t="shared" si="3"/>
        <v>0</v>
      </c>
      <c r="AC8" s="541" t="s">
        <v>428</v>
      </c>
      <c r="AD8" s="544">
        <f>SUM($V$5:$V11)*$A$1/1000000</f>
        <v>0</v>
      </c>
      <c r="AE8" s="543">
        <f>(AE5/1000000*7*(I5+I11)/2)</f>
        <v>0</v>
      </c>
      <c r="AF8" s="542">
        <f>IF(AND(AE8&gt;0,AD8&gt;0),(AD8/AE8-1)*100,0)</f>
        <v>0</v>
      </c>
      <c r="AG8" s="317" t="s">
        <v>233</v>
      </c>
      <c r="AH8" s="318">
        <f>IF(PROD!$K$2&gt;0,SUM(PROD!L$5:L11)*LOOKUP(PROD!$A5,TP!$A$6:$A$108,GSh!$BB$6:$BB$108)/1000/PROD!$K$2,0)</f>
        <v>0</v>
      </c>
      <c r="AI8" s="318">
        <f>IFERROR(PROD!P6*LOOKUP(PROD!$A5,TP!$A$6:$A$108,GSh!$BC$6:$BC$108)/1000,0)</f>
        <v>0</v>
      </c>
      <c r="AJ8" s="319">
        <f>IF(AND(AI8&gt;0,AH8&gt;0),(AH8/AI8-1)*100,0)</f>
        <v>0</v>
      </c>
      <c r="AK8" s="2027"/>
      <c r="AL8" s="1284">
        <f t="shared" si="4"/>
        <v>0</v>
      </c>
      <c r="AM8" s="1285"/>
      <c r="AN8" s="1285"/>
      <c r="AO8" s="1285"/>
      <c r="AP8" s="1285"/>
      <c r="AQ8" s="1285"/>
      <c r="AR8" s="1285"/>
      <c r="AS8" s="1286"/>
      <c r="AT8" s="1287"/>
      <c r="AU8" s="1288"/>
      <c r="AV8" s="1289"/>
      <c r="AW8" s="1290"/>
      <c r="AX8" s="1291"/>
      <c r="AY8" s="1291"/>
      <c r="AZ8" s="1292"/>
      <c r="BA8" s="1293"/>
      <c r="BB8" s="1294"/>
      <c r="BC8" s="1295"/>
      <c r="BD8" s="1296">
        <f>BD7+PROD!L8-BA8</f>
        <v>0</v>
      </c>
      <c r="BE8" s="2133"/>
      <c r="BF8" s="507" t="e">
        <f t="shared" si="5"/>
        <v>#VALUE!</v>
      </c>
      <c r="BG8" s="301"/>
      <c r="BH8" s="1018">
        <f t="shared" si="6"/>
        <v>0</v>
      </c>
    </row>
    <row r="9" spans="1:70" ht="15" customHeight="1" x14ac:dyDescent="0.3">
      <c r="A9" s="2033"/>
      <c r="B9" s="287" t="str">
        <f t="shared" si="7"/>
        <v/>
      </c>
      <c r="C9" s="288" t="str">
        <f t="shared" si="0"/>
        <v/>
      </c>
      <c r="D9" s="474">
        <f>Levante!$E129</f>
        <v>0</v>
      </c>
      <c r="E9" s="475">
        <f>Levante!F129</f>
        <v>0</v>
      </c>
      <c r="F9" s="300">
        <f>Levante!G129</f>
        <v>0</v>
      </c>
      <c r="G9" s="694"/>
      <c r="H9" s="695"/>
      <c r="I9" s="289">
        <f t="shared" si="8"/>
        <v>0</v>
      </c>
      <c r="J9" s="280" t="str">
        <f>CONCATENATE("% ",E4," Acm :")</f>
        <v>% Sel Acm :</v>
      </c>
      <c r="K9" s="290">
        <f>IF(PROD!$K$2&gt;0,SUM(E$5:E11)/PROD!$K$2,0)</f>
        <v>0</v>
      </c>
      <c r="L9" s="697"/>
      <c r="M9" s="291">
        <f t="shared" si="1"/>
        <v>0</v>
      </c>
      <c r="N9" s="292" t="s">
        <v>234</v>
      </c>
      <c r="O9" s="487">
        <f>'Sem-L'!AF23</f>
        <v>0</v>
      </c>
      <c r="P9" s="320">
        <v>5</v>
      </c>
      <c r="Q9" s="321">
        <f>IF(AND(P9&gt;0,O9&gt;0),(1-O9/P9)*100,0)</f>
        <v>0</v>
      </c>
      <c r="R9" s="540">
        <f>Levante!K129</f>
        <v>0</v>
      </c>
      <c r="S9" s="761">
        <f>Levante!L129</f>
        <v>0</v>
      </c>
      <c r="T9" s="764">
        <f>Levante!M129</f>
        <v>0</v>
      </c>
      <c r="U9" s="476">
        <f>Levante!N129*IF($V$4=Levante!$O$4,1,IF(Levante!$O$4="Cons Kilos",IF($V$4="Cons B X 40 K",0.025,0.02),IF(Levante!$O$4="Cons B X 40 K",IF(V$4="Cons Kilos",40,0.8),IF($V$4="Cons Kilos",50,1.25))))</f>
        <v>0</v>
      </c>
      <c r="V9" s="477">
        <f>Levante!O129*IF($V$4=Levante!$O$4,1,IF(Levante!$O$4="Cons Kilos",IF($V$4="Cons B X 40 K",0.025,0.02),IF(Levante!$O$4="Cons B X 40 K",IF(V$4="Cons Kilos",40,0.8),IF($V$4="Cons Kilos",50,1.25))))</f>
        <v>0</v>
      </c>
      <c r="W9" s="477">
        <f>Levante!Q129*IF($V$4=Levante!$O$4,1,IF(Levante!$O$4="Cons Kilos",IF($V$4="Cons B X 40 K",0.025,0.02),IF(Levante!$O$4="Cons B X 40 K",IF(V$4="Cons Kilos",40,0.8),IF($V$4="Cons Kilos",50,1.25))))</f>
        <v>0</v>
      </c>
      <c r="X9" s="295">
        <f t="shared" si="9"/>
        <v>0</v>
      </c>
      <c r="Y9" s="296">
        <f>IF(AA9&gt;0,V9,AE5/IF(Iniciar!$C$25="B X 40 K",40,IF(Iniciar!$C$25="B X 50 K",50,1))*I9/1000)</f>
        <v>0</v>
      </c>
      <c r="Z9" s="296">
        <f t="shared" si="10"/>
        <v>0</v>
      </c>
      <c r="AA9" s="297">
        <f t="shared" si="2"/>
        <v>0</v>
      </c>
      <c r="AB9" s="297">
        <f t="shared" si="3"/>
        <v>0</v>
      </c>
      <c r="AC9" s="2035" t="s">
        <v>425</v>
      </c>
      <c r="AD9" s="2036"/>
      <c r="AE9" s="2050">
        <f>SUM(R5:R11)</f>
        <v>0</v>
      </c>
      <c r="AF9" s="2051"/>
      <c r="AG9" s="322" t="s">
        <v>255</v>
      </c>
      <c r="AH9" s="323">
        <f>IF(AND(AE9&gt;0,O6&gt;0,O7&gt;0,SUM(L5:L11)&gt;0),(PROD!AH8/O6)*K11*100/(AE9/(SUM(L5:L11)*O7/1000)),0)</f>
        <v>0</v>
      </c>
      <c r="AI9" s="324">
        <f>IF(AND(P6&gt;0,PROD!AI7&gt;0),(PROD!AI8/P6)*(1-K10)*100/(AE6/PROD!AI7),0)</f>
        <v>0</v>
      </c>
      <c r="AJ9" s="325">
        <f>IF(AND(AI9&gt;0,AH9&gt;0),(AH9/AI9-1)*100,0)</f>
        <v>0</v>
      </c>
      <c r="AK9" s="2027"/>
      <c r="AL9" s="1284">
        <f t="shared" si="4"/>
        <v>0</v>
      </c>
      <c r="AM9" s="1285"/>
      <c r="AN9" s="1285"/>
      <c r="AO9" s="1285"/>
      <c r="AP9" s="1285"/>
      <c r="AQ9" s="1285"/>
      <c r="AR9" s="1285"/>
      <c r="AS9" s="1286"/>
      <c r="AT9" s="1287"/>
      <c r="AU9" s="1288"/>
      <c r="AV9" s="1289"/>
      <c r="AW9" s="1290"/>
      <c r="AX9" s="1291"/>
      <c r="AY9" s="1291"/>
      <c r="AZ9" s="1292"/>
      <c r="BA9" s="1293"/>
      <c r="BB9" s="1294"/>
      <c r="BC9" s="1297"/>
      <c r="BD9" s="1296">
        <f>BD8+PROD!L9-BA9</f>
        <v>0</v>
      </c>
      <c r="BE9" s="2133"/>
      <c r="BF9" s="507" t="e">
        <f t="shared" si="5"/>
        <v>#VALUE!</v>
      </c>
      <c r="BG9" s="301"/>
      <c r="BH9" s="1018">
        <f t="shared" si="6"/>
        <v>0</v>
      </c>
    </row>
    <row r="10" spans="1:70" ht="15" customHeight="1" x14ac:dyDescent="0.3">
      <c r="A10" s="2033"/>
      <c r="B10" s="287" t="str">
        <f t="shared" si="7"/>
        <v/>
      </c>
      <c r="C10" s="288" t="str">
        <f t="shared" si="0"/>
        <v/>
      </c>
      <c r="D10" s="474">
        <f>Levante!$E130</f>
        <v>0</v>
      </c>
      <c r="E10" s="475">
        <f>Levante!F130</f>
        <v>0</v>
      </c>
      <c r="F10" s="300">
        <f>Levante!G130</f>
        <v>0</v>
      </c>
      <c r="G10" s="694"/>
      <c r="H10" s="695"/>
      <c r="I10" s="289">
        <f t="shared" si="8"/>
        <v>0</v>
      </c>
      <c r="J10" s="326" t="s">
        <v>177</v>
      </c>
      <c r="K10" s="327">
        <f>IFERROR(LOOKUP($A5,TP!$A$6:$A$108,GSh!$AR$6:$AR$108)/100,0)</f>
        <v>0</v>
      </c>
      <c r="L10" s="697"/>
      <c r="M10" s="291">
        <f t="shared" si="1"/>
        <v>0</v>
      </c>
      <c r="N10" s="292" t="s">
        <v>235</v>
      </c>
      <c r="O10" s="487">
        <f>'Sem-L'!AG23</f>
        <v>0</v>
      </c>
      <c r="P10" s="320">
        <v>90</v>
      </c>
      <c r="Q10" s="321">
        <f>IF(AND(P10&gt;0,O10&gt;0),(O10/P10-1)*100,0)</f>
        <v>0</v>
      </c>
      <c r="R10" s="540">
        <f>Levante!K130</f>
        <v>0</v>
      </c>
      <c r="S10" s="761">
        <f>Levante!L130</f>
        <v>0</v>
      </c>
      <c r="T10" s="764">
        <f>Levante!M130</f>
        <v>0</v>
      </c>
      <c r="U10" s="476">
        <f>Levante!N130*IF($V$4=Levante!$O$4,1,IF(Levante!$O$4="Cons Kilos",IF($V$4="Cons B X 40 K",0.025,0.02),IF(Levante!$O$4="Cons B X 40 K",IF(V$4="Cons Kilos",40,0.8),IF($V$4="Cons Kilos",50,1.25))))</f>
        <v>0</v>
      </c>
      <c r="V10" s="477">
        <f>Levante!O130*IF($V$4=Levante!$O$4,1,IF(Levante!$O$4="Cons Kilos",IF($V$4="Cons B X 40 K",0.025,0.02),IF(Levante!$O$4="Cons B X 40 K",IF(V$4="Cons Kilos",40,0.8),IF($V$4="Cons Kilos",50,1.25))))</f>
        <v>0</v>
      </c>
      <c r="W10" s="477">
        <f>Levante!Q130*IF($V$4=Levante!$O$4,1,IF(Levante!$O$4="Cons Kilos",IF($V$4="Cons B X 40 K",0.025,0.02),IF(Levante!$O$4="Cons B X 40 K",IF(V$4="Cons Kilos",40,0.8),IF($V$4="Cons Kilos",50,1.25))))</f>
        <v>0</v>
      </c>
      <c r="X10" s="295">
        <f t="shared" si="9"/>
        <v>0</v>
      </c>
      <c r="Y10" s="296">
        <f>IF(AA10&gt;0,V10,AE5/IF(Iniciar!$C$25="B X 40 K",40,IF(Iniciar!$C$25="B X 50 K",50,1))*I10/1000)</f>
        <v>0</v>
      </c>
      <c r="Z10" s="296">
        <f t="shared" si="10"/>
        <v>0</v>
      </c>
      <c r="AA10" s="297">
        <f t="shared" si="2"/>
        <v>0</v>
      </c>
      <c r="AB10" s="297">
        <f t="shared" si="3"/>
        <v>0</v>
      </c>
      <c r="AC10" s="2046" t="s">
        <v>420</v>
      </c>
      <c r="AD10" s="2047"/>
      <c r="AE10" s="2052">
        <f>IFERROR(SUMPRODUCT(AB5:AB11,I5:I11)/SUM(I5:I11),0)</f>
        <v>0</v>
      </c>
      <c r="AF10" s="2053"/>
      <c r="AG10" s="311" t="str">
        <f>CONCATENATE("Costo ",Iniciar!$C$25," : ")</f>
        <v xml:space="preserve">Costo Kilos : </v>
      </c>
      <c r="AH10" s="2043">
        <f>IFERROR(SUMPRODUCT(T5:T11,V5:V11)/SUMIF(T5:T11,"&gt;0",V5:V11),0)</f>
        <v>0</v>
      </c>
      <c r="AI10" s="2043"/>
      <c r="AJ10" s="313"/>
      <c r="AK10" s="2027"/>
      <c r="AL10" s="1284">
        <f t="shared" si="4"/>
        <v>0</v>
      </c>
      <c r="AM10" s="1285"/>
      <c r="AN10" s="1285"/>
      <c r="AO10" s="1285"/>
      <c r="AP10" s="1285"/>
      <c r="AQ10" s="1285"/>
      <c r="AR10" s="1285"/>
      <c r="AS10" s="1286"/>
      <c r="AT10" s="1287"/>
      <c r="AU10" s="1288"/>
      <c r="AV10" s="1289"/>
      <c r="AW10" s="1290"/>
      <c r="AX10" s="1291"/>
      <c r="AY10" s="1291"/>
      <c r="AZ10" s="1292"/>
      <c r="BA10" s="1293"/>
      <c r="BB10" s="1294"/>
      <c r="BC10" s="1295"/>
      <c r="BD10" s="1296">
        <f>BD9+PROD!L10-BA10</f>
        <v>0</v>
      </c>
      <c r="BE10" s="2133"/>
      <c r="BF10" s="507" t="e">
        <f t="shared" si="5"/>
        <v>#VALUE!</v>
      </c>
      <c r="BG10" s="301"/>
      <c r="BH10" s="1018">
        <f t="shared" si="6"/>
        <v>0</v>
      </c>
    </row>
    <row r="11" spans="1:70" ht="15" customHeight="1" x14ac:dyDescent="0.3">
      <c r="A11" s="2042"/>
      <c r="B11" s="287" t="str">
        <f t="shared" si="7"/>
        <v/>
      </c>
      <c r="C11" s="288" t="str">
        <f t="shared" si="0"/>
        <v/>
      </c>
      <c r="D11" s="474">
        <f>Levante!$E131</f>
        <v>0</v>
      </c>
      <c r="E11" s="475">
        <f>Levante!F131</f>
        <v>0</v>
      </c>
      <c r="F11" s="300">
        <f>Levante!G131</f>
        <v>0</v>
      </c>
      <c r="G11" s="694"/>
      <c r="H11" s="695"/>
      <c r="I11" s="289">
        <f t="shared" si="8"/>
        <v>0</v>
      </c>
      <c r="J11" s="545" t="s">
        <v>173</v>
      </c>
      <c r="K11" s="546">
        <f>IF(OR(SUM(L5:L11)&gt;0,SUM(V5:V11)&gt;0),1-(K8+K9),0)</f>
        <v>0</v>
      </c>
      <c r="L11" s="698"/>
      <c r="M11" s="547">
        <f>IF(I11&gt;0,(L11/IF(SUM(L5:L10)&gt;0,1,7))/I11,0)</f>
        <v>0</v>
      </c>
      <c r="N11" s="304" t="s">
        <v>236</v>
      </c>
      <c r="O11" s="548">
        <f>IF(O9&gt;0,IF(O10&gt;0,100-SUM(O9:O10),0),0)</f>
        <v>0</v>
      </c>
      <c r="P11" s="305">
        <f>100-SUM(P9:P10)</f>
        <v>5</v>
      </c>
      <c r="Q11" s="549">
        <f>IF(AND(P11&gt;0,O11&gt;0),(O11/P11-1)*100,0)</f>
        <v>0</v>
      </c>
      <c r="R11" s="540">
        <f>Levante!K131</f>
        <v>0</v>
      </c>
      <c r="S11" s="761">
        <f>Levante!L131</f>
        <v>0</v>
      </c>
      <c r="T11" s="764">
        <f>Levante!M131</f>
        <v>0</v>
      </c>
      <c r="U11" s="476">
        <f>Levante!N131*IF($V$4=Levante!$O$4,1,IF(Levante!$O$4="Cons Kilos",IF($V$4="Cons B X 40 K",0.025,0.02),IF(Levante!$O$4="Cons B X 40 K",IF(V$4="Cons Kilos",40,0.8),IF($V$4="Cons Kilos",50,1.25))))</f>
        <v>0</v>
      </c>
      <c r="V11" s="477">
        <f>Levante!O131*IF($V$4=Levante!$O$4,1,IF(Levante!$O$4="Cons Kilos",IF($V$4="Cons B X 40 K",0.025,0.02),IF(Levante!$O$4="Cons B X 40 K",IF(V$4="Cons Kilos",40,0.8),IF($V$4="Cons Kilos",50,1.25))))</f>
        <v>0</v>
      </c>
      <c r="W11" s="477">
        <f>Levante!Q131*IF($V$4=Levante!$O$4,1,IF(Levante!$O$4="Cons Kilos",IF($V$4="Cons B X 40 K",0.025,0.02),IF(Levante!$O$4="Cons B X 40 K",IF(V$4="Cons Kilos",40,0.8),IF($V$4="Cons Kilos",50,1.25))))</f>
        <v>0</v>
      </c>
      <c r="X11" s="295">
        <f t="shared" si="9"/>
        <v>0</v>
      </c>
      <c r="Y11" s="296">
        <f>IF(AA11&gt;0,V11,AE5/IF(Iniciar!$C$25="B X 40 K",40,IF(Iniciar!$C$25="B X 50 K",50,1))*I11/1000)</f>
        <v>0</v>
      </c>
      <c r="Z11" s="296">
        <f t="shared" si="10"/>
        <v>0</v>
      </c>
      <c r="AA11" s="297">
        <f>IF(I11&gt;0,(V11/IF(SUM(V5:V10)&gt;0,1,7))*$A$1/I11,0)</f>
        <v>0</v>
      </c>
      <c r="AB11" s="297">
        <f t="shared" si="3"/>
        <v>0</v>
      </c>
      <c r="AC11" s="2048" t="s">
        <v>421</v>
      </c>
      <c r="AD11" s="2049"/>
      <c r="AE11" s="2054">
        <f>IFERROR(AE10/AD5,0)</f>
        <v>0</v>
      </c>
      <c r="AF11" s="2055"/>
      <c r="AG11" s="317" t="s">
        <v>237</v>
      </c>
      <c r="AH11" s="550">
        <f>IF(SUM(L5:L11)&gt;0,AH10*SUM(V5:V11)/SUM(L5:L11),0)</f>
        <v>0</v>
      </c>
      <c r="AI11" s="550">
        <f>IF(AND($A$1&gt;0,P5&gt;0),AH10/$A$1*(AE5/P5)*100,0)</f>
        <v>0</v>
      </c>
      <c r="AJ11" s="551">
        <f t="shared" ref="AJ11:AJ16" si="11">IF(AND(AI11&gt;0,AH11&gt;0),(AH11/AI11-1)*100,0)</f>
        <v>0</v>
      </c>
      <c r="AK11" s="2027"/>
      <c r="AL11" s="1284">
        <f t="shared" si="4"/>
        <v>0</v>
      </c>
      <c r="AM11" s="1285"/>
      <c r="AN11" s="1285"/>
      <c r="AO11" s="1285"/>
      <c r="AP11" s="1285"/>
      <c r="AQ11" s="1285"/>
      <c r="AR11" s="1285"/>
      <c r="AS11" s="1286"/>
      <c r="AT11" s="1287"/>
      <c r="AU11" s="1288"/>
      <c r="AV11" s="1289"/>
      <c r="AW11" s="1290"/>
      <c r="AX11" s="1291"/>
      <c r="AY11" s="1291"/>
      <c r="AZ11" s="1292"/>
      <c r="BA11" s="1293"/>
      <c r="BB11" s="1294"/>
      <c r="BC11" s="1295"/>
      <c r="BD11" s="1296">
        <f>BD10+PROD!L11-BA11</f>
        <v>0</v>
      </c>
      <c r="BE11" s="2152"/>
      <c r="BF11" s="507" t="e">
        <f t="shared" si="5"/>
        <v>#VALUE!</v>
      </c>
      <c r="BG11" s="301"/>
      <c r="BH11" s="1018">
        <f t="shared" si="6"/>
        <v>0</v>
      </c>
    </row>
    <row r="12" spans="1:70" ht="15" customHeight="1" x14ac:dyDescent="0.3">
      <c r="A12" s="2032">
        <f>A5+1</f>
        <v>19</v>
      </c>
      <c r="B12" s="287" t="str">
        <f t="shared" si="7"/>
        <v/>
      </c>
      <c r="C12" s="288" t="str">
        <f t="shared" si="0"/>
        <v/>
      </c>
      <c r="D12" s="691"/>
      <c r="E12" s="692"/>
      <c r="F12" s="693"/>
      <c r="G12" s="694"/>
      <c r="H12" s="695"/>
      <c r="I12" s="289">
        <f t="shared" si="8"/>
        <v>0</v>
      </c>
      <c r="J12" s="1232" t="str">
        <f>$J$5</f>
        <v>% Mort Sem :</v>
      </c>
      <c r="K12" s="1233">
        <f>IF(PROD!$K$2&gt;0,SUM(D12:D18)/PROD!$K$2,0)</f>
        <v>0</v>
      </c>
      <c r="L12" s="1241"/>
      <c r="M12" s="1242">
        <f t="shared" ref="M12:M17" si="12">IF(I12&gt;0,L12/I12,0)</f>
        <v>0</v>
      </c>
      <c r="N12" s="1243" t="str">
        <f>$N$5</f>
        <v xml:space="preserve">% Pdn prom semana : </v>
      </c>
      <c r="O12" s="1244">
        <f>IF(SUM(L12:L17)&gt;0,100*SUMPRODUCT(M12:M18,I12:I18)/SUMIF(L12:L18,"&gt;0",I12:I18),IF(L18&gt;0,100*L18/7/I18,0))</f>
        <v>0</v>
      </c>
      <c r="P12" s="1244">
        <f>IFERROR(LOOKUP($A12,TP!$A$6:$A$108,GSh!$AE$6:$AE$108),0)</f>
        <v>0</v>
      </c>
      <c r="Q12" s="1245">
        <f>IF(AND(P12&gt;0,O12&gt;0),O12-P12,0)</f>
        <v>0</v>
      </c>
      <c r="R12" s="699"/>
      <c r="S12" s="762"/>
      <c r="T12" s="765"/>
      <c r="U12" s="700"/>
      <c r="V12" s="701"/>
      <c r="W12" s="701"/>
      <c r="X12" s="295">
        <f t="shared" si="9"/>
        <v>0</v>
      </c>
      <c r="Y12" s="296">
        <f>IF(AA12&gt;0,V12,AE12/IF(Iniciar!$C$25="B X 40 K",40,IF(Iniciar!$C$25="B X 50 K",50,1))*I12/1000)</f>
        <v>0</v>
      </c>
      <c r="Z12" s="296">
        <f t="shared" si="10"/>
        <v>0</v>
      </c>
      <c r="AA12" s="297">
        <f t="shared" ref="AA12:AA17" si="13">IF(I12&gt;0,V12*$A$1/I12,0)</f>
        <v>0</v>
      </c>
      <c r="AB12" s="297">
        <f t="shared" si="3"/>
        <v>0</v>
      </c>
      <c r="AC12" s="1261" t="str">
        <f>$AC$5</f>
        <v>Gr. Ave Dia :</v>
      </c>
      <c r="AD12" s="1262">
        <f>IF(SUMIF(V12:V18,"&gt;0")&gt;0,SUMPRODUCT(AA12:AA18,I12:I18)/SUMIF(AA12:AA18,"&gt;0",I12:I18),0)</f>
        <v>0</v>
      </c>
      <c r="AE12" s="1262">
        <f>IFERROR(LOOKUP($A12,TP!$A$6:$A$108,GSh!$AU$6:$AU$108),0)</f>
        <v>0</v>
      </c>
      <c r="AF12" s="1263">
        <f>IF(AND(AE12&gt;0,AD12&gt;0),(AD12/AE12-1)*100,0)</f>
        <v>0</v>
      </c>
      <c r="AG12" s="1264" t="str">
        <f>PROD!$AG$5</f>
        <v>Gr X H</v>
      </c>
      <c r="AH12" s="1265">
        <f>IF(PROD!O12&gt;0,IF($AG12="Gr X H",PROD!AD12/PROD!O12*100,IF($AG12="Conv Kg/Doc",PROD!AD12/PROD!O12*1.2,IF(PROD!$O14&gt;0,PROD!AD12/(PROD!O12*PROD!$O14)*100,0))),0)</f>
        <v>0</v>
      </c>
      <c r="AI12" s="1265">
        <f>IF(PROD!P12&gt;0,IF($AG12="Gr X H",PROD!AE12/PROD!P12*100,IF($AG12="Conv Kg/Doc",PROD!AE12/PROD!P12*1.2,IF(PROD!$P14&gt;0,PROD!AE12/(PROD!P12*PROD!$P14)*100,0))),0)</f>
        <v>0</v>
      </c>
      <c r="AJ12" s="1266">
        <f t="shared" si="11"/>
        <v>0</v>
      </c>
      <c r="AK12" s="2026"/>
      <c r="AL12" s="1284">
        <f t="shared" si="4"/>
        <v>0</v>
      </c>
      <c r="AM12" s="1285"/>
      <c r="AN12" s="1285"/>
      <c r="AO12" s="1285"/>
      <c r="AP12" s="1285"/>
      <c r="AQ12" s="1285"/>
      <c r="AR12" s="1285"/>
      <c r="AS12" s="1286"/>
      <c r="AT12" s="1287"/>
      <c r="AU12" s="1288"/>
      <c r="AV12" s="1289"/>
      <c r="AW12" s="1290"/>
      <c r="AX12" s="1291"/>
      <c r="AY12" s="1291"/>
      <c r="AZ12" s="1292"/>
      <c r="BA12" s="1293"/>
      <c r="BB12" s="1294"/>
      <c r="BC12" s="1295"/>
      <c r="BD12" s="1296">
        <f>BD11+PROD!L12-BA12</f>
        <v>0</v>
      </c>
      <c r="BE12" s="2132">
        <f>IF(SUM(AM12:AZ18)&gt;0,(SUM(AM12:AM18)*$AM$2+SUM(AN12:AN18)*$AN$2+SUM(AO12:AO18)*$AO$2+SUM(AP12:AP18)*$AP$2+SUM(AQ12:AQ18)*$AQ$2+SUM(AR12:AR18)*$AR$2+SUM(AS12:AS18)*$AS$2+SUM(AW12:AW18)*$AW$2+SUM(AX12:AX18)*$AX$2+SUM(AY12:AY18)*$AY$2+SUM(AZ12:AZ18)*$AZ$2+SUM(AT12:AT18)*$AT$2+SUM(AU12:AU18)*$AU$2+SUM(AV12:AV18)*$AV$2)/SUM(AM12:AZ18),0)</f>
        <v>0</v>
      </c>
      <c r="BF12" s="507" t="e">
        <f t="shared" si="5"/>
        <v>#VALUE!</v>
      </c>
      <c r="BG12" s="277">
        <f>IF(SUM(L12:L18)&gt;0,A12,IF(SUM(V12:V18)&gt;0,A12,BG5))</f>
        <v>0</v>
      </c>
      <c r="BH12" s="1018">
        <f t="shared" si="6"/>
        <v>0</v>
      </c>
    </row>
    <row r="13" spans="1:70" ht="15" customHeight="1" x14ac:dyDescent="0.3">
      <c r="A13" s="2033"/>
      <c r="B13" s="287" t="str">
        <f t="shared" si="7"/>
        <v/>
      </c>
      <c r="C13" s="288" t="str">
        <f t="shared" si="0"/>
        <v/>
      </c>
      <c r="D13" s="691"/>
      <c r="E13" s="692"/>
      <c r="F13" s="693"/>
      <c r="G13" s="694"/>
      <c r="H13" s="695"/>
      <c r="I13" s="289">
        <f t="shared" si="8"/>
        <v>0</v>
      </c>
      <c r="J13" s="1234" t="str">
        <f>$J$6</f>
        <v>% Sel Sem :</v>
      </c>
      <c r="K13" s="1231">
        <f>IF(PROD!$K$2&gt;0,SUM(E12:E18)/PROD!$K$2,0)</f>
        <v>0</v>
      </c>
      <c r="L13" s="1246"/>
      <c r="M13" s="291">
        <f t="shared" si="12"/>
        <v>0</v>
      </c>
      <c r="N13" s="292" t="str">
        <f>$N$6</f>
        <v xml:space="preserve">H. Ave Alojada : </v>
      </c>
      <c r="O13" s="293">
        <f>IF(AND(PROD!$K$2&gt;0,O12&gt;0),SUM(L$5:L18)/PROD!$K$2,0)</f>
        <v>0</v>
      </c>
      <c r="P13" s="293">
        <f>IFERROR(LOOKUP($A12,TP!$A$6:$A$108,GSh!$AJ$6:$AJ$108),0)</f>
        <v>0</v>
      </c>
      <c r="Q13" s="294">
        <f>IF(AND(P13&gt;0,O13&gt;0),O13-P13,0)</f>
        <v>0</v>
      </c>
      <c r="R13" s="699"/>
      <c r="S13" s="762"/>
      <c r="T13" s="765">
        <f t="shared" ref="T13:T75" si="14">T12</f>
        <v>0</v>
      </c>
      <c r="U13" s="700"/>
      <c r="V13" s="701"/>
      <c r="W13" s="701"/>
      <c r="X13" s="295">
        <f t="shared" si="9"/>
        <v>0</v>
      </c>
      <c r="Y13" s="296">
        <f>IF(AA13&gt;0,V13,AE12/IF(Iniciar!$C$25="B X 40 K",40,IF(Iniciar!$C$25="B X 50 K",50,1))*I13/1000)</f>
        <v>0</v>
      </c>
      <c r="Z13" s="296">
        <f t="shared" si="10"/>
        <v>0</v>
      </c>
      <c r="AA13" s="297">
        <f t="shared" si="13"/>
        <v>0</v>
      </c>
      <c r="AB13" s="297">
        <f t="shared" si="3"/>
        <v>0</v>
      </c>
      <c r="AC13" s="1267" t="str">
        <f>$AC$6</f>
        <v>Gr. Ave Sem :</v>
      </c>
      <c r="AD13" s="284">
        <f>AD12*7</f>
        <v>0</v>
      </c>
      <c r="AE13" s="284">
        <f>AE12*7</f>
        <v>0</v>
      </c>
      <c r="AF13" s="285">
        <f>IF(AND(AE13&gt;0,AD13&gt;0),(AD13/AE13-1)*100,0)</f>
        <v>0</v>
      </c>
      <c r="AG13" s="1199" t="str">
        <f>PROD!$AG$6</f>
        <v>Gr X H Acm</v>
      </c>
      <c r="AH13" s="298">
        <f>IF(SUM(PROD!L12:L18)&gt;0,IF(PROD!$AG$5="Gr X H",SUM(PROD!V$5:V18)*PROD!$A$1/SUM(PROD!L$5:L18),IF($AG12="Conv Kg/Doc",(SUM(PROD!V$5:V18)*PROD!$A$1/1000)/(SUM(PROD!L$5:L18)/12),IF(PROD!$O14&gt;0,SUM(PROD!V$5:V18)*PROD!$A$1/(SUM(PROD!L$5:L18)*LOOKUP(PROD!A12,TP!$A$6:$A$108,GSh!$BB$6:$BB$108)),0))),0)</f>
        <v>0</v>
      </c>
      <c r="AI13" s="298">
        <f>IF(PROD!P12&gt;0,IF($AG12="Gr X H",PROD!AE12/PROD!P12*100,IF($AG12="Conv Kg/Doc",PROD!AE12/PROD!P12*1.2,IF(PROD!$P13&gt;0,PROD!AE14/(PROD!P13*LOOKUP(PROD!$A12,TP!$A$6:$A$108,GSh!$BC$6:$BC$108)/1000),0))),0)</f>
        <v>0</v>
      </c>
      <c r="AJ13" s="328">
        <f t="shared" si="11"/>
        <v>0</v>
      </c>
      <c r="AK13" s="2027"/>
      <c r="AL13" s="1284">
        <f t="shared" si="4"/>
        <v>0</v>
      </c>
      <c r="AM13" s="1285"/>
      <c r="AN13" s="1285"/>
      <c r="AO13" s="1285"/>
      <c r="AP13" s="1285"/>
      <c r="AQ13" s="1285"/>
      <c r="AR13" s="1285"/>
      <c r="AS13" s="1286"/>
      <c r="AT13" s="1287"/>
      <c r="AU13" s="1288"/>
      <c r="AV13" s="1289"/>
      <c r="AW13" s="1290"/>
      <c r="AX13" s="1291"/>
      <c r="AY13" s="1291"/>
      <c r="AZ13" s="1292"/>
      <c r="BA13" s="1293"/>
      <c r="BB13" s="1294"/>
      <c r="BC13" s="1297"/>
      <c r="BD13" s="1296">
        <f>BD12+PROD!L13-BA13</f>
        <v>0</v>
      </c>
      <c r="BE13" s="2133"/>
      <c r="BF13" s="507" t="e">
        <f t="shared" si="5"/>
        <v>#VALUE!</v>
      </c>
      <c r="BG13" s="329"/>
      <c r="BH13" s="1018">
        <f t="shared" si="6"/>
        <v>0</v>
      </c>
    </row>
    <row r="14" spans="1:70" ht="15" customHeight="1" x14ac:dyDescent="0.3">
      <c r="A14" s="2033"/>
      <c r="B14" s="287" t="str">
        <f t="shared" si="7"/>
        <v/>
      </c>
      <c r="C14" s="288" t="str">
        <f t="shared" si="0"/>
        <v/>
      </c>
      <c r="D14" s="691"/>
      <c r="E14" s="692"/>
      <c r="F14" s="693"/>
      <c r="G14" s="694"/>
      <c r="H14" s="695"/>
      <c r="I14" s="289">
        <f t="shared" si="8"/>
        <v>0</v>
      </c>
      <c r="J14" s="1235" t="str">
        <f>$J$7</f>
        <v>% Mort/Sel Sem Tab :</v>
      </c>
      <c r="K14" s="1236">
        <f>K17-K10</f>
        <v>0</v>
      </c>
      <c r="L14" s="1246"/>
      <c r="M14" s="291">
        <f t="shared" si="12"/>
        <v>0</v>
      </c>
      <c r="N14" s="304" t="str">
        <f>$N$7</f>
        <v xml:space="preserve">Peso Huevo (Gr) : </v>
      </c>
      <c r="O14" s="305">
        <f>LOOKUP($A12,'Pr-Sem'!$A$6:$A$108,'Pr-Sem'!$Z$6:$Z$108)</f>
        <v>0</v>
      </c>
      <c r="P14" s="305">
        <f>IFERROR(LOOKUP($A12,TP!$A$6:$A$108,GSh!$AZ$6:$AZ$108),0)</f>
        <v>0</v>
      </c>
      <c r="Q14" s="306">
        <f>IF(AND(P14&gt;0,O14&gt;0),O14-P14,0)</f>
        <v>0</v>
      </c>
      <c r="R14" s="699"/>
      <c r="S14" s="762"/>
      <c r="T14" s="765">
        <f t="shared" si="14"/>
        <v>0</v>
      </c>
      <c r="U14" s="700"/>
      <c r="V14" s="701"/>
      <c r="W14" s="701"/>
      <c r="X14" s="295">
        <f t="shared" si="9"/>
        <v>0</v>
      </c>
      <c r="Y14" s="296">
        <f>IF(AA14&gt;0,V14,AE12/IF(Iniciar!$C$25="B X 40 K",40,IF(Iniciar!$C$25="B X 50 K",50,1))*I14/1000)</f>
        <v>0</v>
      </c>
      <c r="Z14" s="296">
        <f t="shared" si="10"/>
        <v>0</v>
      </c>
      <c r="AA14" s="297">
        <f t="shared" si="13"/>
        <v>0</v>
      </c>
      <c r="AB14" s="297">
        <f t="shared" si="3"/>
        <v>0</v>
      </c>
      <c r="AC14" s="1268" t="str">
        <f>$AC$7</f>
        <v>Kg Ave Acu :</v>
      </c>
      <c r="AD14" s="308">
        <f>IF(OR(SUM(L12:L18)&gt;0,SUM(V12:V18)&gt;0),AD13/1000+AD7,0)</f>
        <v>0</v>
      </c>
      <c r="AE14" s="309">
        <f>AE13/1000+AE7</f>
        <v>0</v>
      </c>
      <c r="AF14" s="310">
        <f>IF(AND(AE14&gt;0,AD14&gt;0),(AD14/AE14-1)*100,0)</f>
        <v>0</v>
      </c>
      <c r="AG14" s="311" t="str">
        <f>PROD!$AG$7</f>
        <v xml:space="preserve">Masa Sem H (Gr) : </v>
      </c>
      <c r="AH14" s="312">
        <f>PROD!O12/100*7*PROD!O14</f>
        <v>0</v>
      </c>
      <c r="AI14" s="312">
        <f>PROD!P12/100*7*PROD!P14</f>
        <v>0</v>
      </c>
      <c r="AJ14" s="313">
        <f t="shared" si="11"/>
        <v>0</v>
      </c>
      <c r="AK14" s="2027"/>
      <c r="AL14" s="1284">
        <f t="shared" si="4"/>
        <v>0</v>
      </c>
      <c r="AM14" s="1285"/>
      <c r="AN14" s="1285"/>
      <c r="AO14" s="1285"/>
      <c r="AP14" s="1285"/>
      <c r="AQ14" s="1285"/>
      <c r="AR14" s="1285"/>
      <c r="AS14" s="1286"/>
      <c r="AT14" s="1287"/>
      <c r="AU14" s="1288"/>
      <c r="AV14" s="1289"/>
      <c r="AW14" s="1290"/>
      <c r="AX14" s="1291"/>
      <c r="AY14" s="1291"/>
      <c r="AZ14" s="1292"/>
      <c r="BA14" s="1293"/>
      <c r="BB14" s="1294"/>
      <c r="BC14" s="1295"/>
      <c r="BD14" s="1296">
        <f>BD13+PROD!L14-BA14</f>
        <v>0</v>
      </c>
      <c r="BE14" s="2133"/>
      <c r="BF14" s="507" t="e">
        <f t="shared" si="5"/>
        <v>#VALUE!</v>
      </c>
      <c r="BG14" s="329"/>
      <c r="BH14" s="1018">
        <f t="shared" si="6"/>
        <v>0</v>
      </c>
    </row>
    <row r="15" spans="1:70" ht="15" customHeight="1" x14ac:dyDescent="0.3">
      <c r="A15" s="2033"/>
      <c r="B15" s="287" t="str">
        <f t="shared" si="7"/>
        <v/>
      </c>
      <c r="C15" s="288" t="str">
        <f t="shared" si="0"/>
        <v/>
      </c>
      <c r="D15" s="691"/>
      <c r="E15" s="692"/>
      <c r="F15" s="693"/>
      <c r="G15" s="694"/>
      <c r="H15" s="695"/>
      <c r="I15" s="289">
        <f t="shared" si="8"/>
        <v>0</v>
      </c>
      <c r="J15" s="1234" t="str">
        <f>$J$8</f>
        <v>% Mort Acm :</v>
      </c>
      <c r="K15" s="1231">
        <f>IF(PROD!$K$2&gt;0,SUM(D$5:D18)/PROD!$K$2,0)</f>
        <v>0</v>
      </c>
      <c r="L15" s="1246"/>
      <c r="M15" s="291">
        <f t="shared" si="12"/>
        <v>0</v>
      </c>
      <c r="N15" s="314" t="str">
        <f>N$8</f>
        <v xml:space="preserve">Peso Ave (Gr) : </v>
      </c>
      <c r="O15" s="315">
        <f>LOOKUP($A12,GSh!$BV$6:$BV$108,GSh!$BJ$6:$BJ$108)</f>
        <v>0</v>
      </c>
      <c r="P15" s="315">
        <f>IFERROR(LOOKUP($A12,TP!$A$6:$A$108,GSh!$BK$6:$BK$108),0)</f>
        <v>0</v>
      </c>
      <c r="Q15" s="316">
        <f>IF(AND(P15&gt;0,O15&gt;0),(O15/P15-1)*100,0)</f>
        <v>0</v>
      </c>
      <c r="R15" s="699"/>
      <c r="S15" s="762"/>
      <c r="T15" s="765">
        <f t="shared" si="14"/>
        <v>0</v>
      </c>
      <c r="U15" s="700"/>
      <c r="V15" s="701"/>
      <c r="W15" s="701"/>
      <c r="X15" s="295">
        <f t="shared" si="9"/>
        <v>0</v>
      </c>
      <c r="Y15" s="296">
        <f>IF(AA15&gt;0,V15,AE12/IF(Iniciar!$C$25="B X 40 K",40,IF(Iniciar!$C$25="B X 50 K",50,1))*I15/1000)</f>
        <v>0</v>
      </c>
      <c r="Z15" s="296">
        <f t="shared" si="10"/>
        <v>0</v>
      </c>
      <c r="AA15" s="297">
        <f t="shared" si="13"/>
        <v>0</v>
      </c>
      <c r="AB15" s="297">
        <f t="shared" si="3"/>
        <v>0</v>
      </c>
      <c r="AC15" s="541" t="str">
        <f>$AC$8</f>
        <v xml:space="preserve">Ton. Lote Acu : </v>
      </c>
      <c r="AD15" s="544">
        <f>SUM($V$5:$V18)*$A$1/1000000</f>
        <v>0</v>
      </c>
      <c r="AE15" s="543">
        <f>AE8+(AE12/1000000*7*(I12+I18)/2)</f>
        <v>0</v>
      </c>
      <c r="AF15" s="542">
        <f>IF(AND(AE15&gt;0,AD15&gt;0),(AD15/AE15-1)*100,0)</f>
        <v>0</v>
      </c>
      <c r="AG15" s="317" t="str">
        <f>PROD!$AG$8</f>
        <v xml:space="preserve">Masa Ac A. A (Kg) : </v>
      </c>
      <c r="AH15" s="318">
        <f>IF(PROD!$K$2&gt;0,SUM(PROD!L$5:L18)*LOOKUP(PROD!$A12,TP!$A$6:$A$108,GSh!$BB$6:$BB$108)/1000/PROD!$K$2,0)</f>
        <v>0</v>
      </c>
      <c r="AI15" s="318">
        <f>IFERROR(PROD!P13*LOOKUP(PROD!$A12,TP!$A$6:$A$108,GSh!$BC$6:$BC$108)/1000,0)</f>
        <v>0</v>
      </c>
      <c r="AJ15" s="330">
        <f t="shared" si="11"/>
        <v>0</v>
      </c>
      <c r="AK15" s="2027"/>
      <c r="AL15" s="1284">
        <f t="shared" si="4"/>
        <v>0</v>
      </c>
      <c r="AM15" s="1285"/>
      <c r="AN15" s="1285"/>
      <c r="AO15" s="1285"/>
      <c r="AP15" s="1285"/>
      <c r="AQ15" s="1285"/>
      <c r="AR15" s="1285"/>
      <c r="AS15" s="1286"/>
      <c r="AT15" s="1287"/>
      <c r="AU15" s="1288"/>
      <c r="AV15" s="1289"/>
      <c r="AW15" s="1290"/>
      <c r="AX15" s="1291"/>
      <c r="AY15" s="1291"/>
      <c r="AZ15" s="1292"/>
      <c r="BA15" s="1293"/>
      <c r="BB15" s="1294"/>
      <c r="BC15" s="1295"/>
      <c r="BD15" s="1296">
        <f>BD14+PROD!L15-BA15</f>
        <v>0</v>
      </c>
      <c r="BE15" s="2133"/>
      <c r="BF15" s="507" t="e">
        <f t="shared" si="5"/>
        <v>#VALUE!</v>
      </c>
      <c r="BG15" s="329"/>
      <c r="BH15" s="1018">
        <f t="shared" si="6"/>
        <v>0</v>
      </c>
    </row>
    <row r="16" spans="1:70" ht="15" customHeight="1" x14ac:dyDescent="0.3">
      <c r="A16" s="2033"/>
      <c r="B16" s="287" t="str">
        <f t="shared" si="7"/>
        <v/>
      </c>
      <c r="C16" s="288" t="str">
        <f t="shared" si="0"/>
        <v/>
      </c>
      <c r="D16" s="691"/>
      <c r="E16" s="692"/>
      <c r="F16" s="693"/>
      <c r="G16" s="694"/>
      <c r="H16" s="695"/>
      <c r="I16" s="289">
        <f t="shared" si="8"/>
        <v>0</v>
      </c>
      <c r="J16" s="1234" t="str">
        <f>$J$9</f>
        <v>% Sel Acm :</v>
      </c>
      <c r="K16" s="1231">
        <f>IF(PROD!$K$2&gt;0,SUM(E$5:E18)/PROD!$K$2,0)</f>
        <v>0</v>
      </c>
      <c r="L16" s="1246"/>
      <c r="M16" s="291">
        <f t="shared" si="12"/>
        <v>0</v>
      </c>
      <c r="N16" s="292" t="str">
        <f>$N$9</f>
        <v xml:space="preserve">Uniformidad (10% -) : </v>
      </c>
      <c r="O16" s="320">
        <f>LOOKUP($A12,'Pr-Sem'!$A$6:$A$108,'Pr-Sem'!$AH$6:$AH$108)</f>
        <v>0</v>
      </c>
      <c r="P16" s="320">
        <v>5</v>
      </c>
      <c r="Q16" s="321">
        <f>IF(AND(P16&gt;0,O16&gt;0),(1-O16/P16)*100,0)</f>
        <v>0</v>
      </c>
      <c r="R16" s="699"/>
      <c r="S16" s="762"/>
      <c r="T16" s="765">
        <f t="shared" si="14"/>
        <v>0</v>
      </c>
      <c r="U16" s="700"/>
      <c r="V16" s="701"/>
      <c r="W16" s="701"/>
      <c r="X16" s="295">
        <f t="shared" si="9"/>
        <v>0</v>
      </c>
      <c r="Y16" s="296">
        <f>IF(AA16&gt;0,V16,AE12/IF(Iniciar!$C$25="B X 40 K",40,IF(Iniciar!$C$25="B X 50 K",50,1))*I16/1000)</f>
        <v>0</v>
      </c>
      <c r="Z16" s="296">
        <f t="shared" si="10"/>
        <v>0</v>
      </c>
      <c r="AA16" s="297">
        <f t="shared" si="13"/>
        <v>0</v>
      </c>
      <c r="AB16" s="297">
        <f t="shared" si="3"/>
        <v>0</v>
      </c>
      <c r="AC16" s="2035" t="str">
        <f>$AC$9</f>
        <v xml:space="preserve">Total Litros Sem: </v>
      </c>
      <c r="AD16" s="2036"/>
      <c r="AE16" s="2050">
        <f>SUM(R12:R18)</f>
        <v>0</v>
      </c>
      <c r="AF16" s="2051"/>
      <c r="AG16" s="554" t="str">
        <f>$AG$9</f>
        <v xml:space="preserve">Indicador Eficiencia : </v>
      </c>
      <c r="AH16" s="555">
        <f>IF(AND(AE16&gt;0,O13&gt;0,O14&gt;0,SUM(L12:L18)&gt;0),(PROD!AH15/O13)*K18*100/(AE16/(SUM(L12:L18)*O14/1000)),0)</f>
        <v>0</v>
      </c>
      <c r="AI16" s="555">
        <f>IF(AND(P13&gt;0,PROD!AI14&gt;0),(PROD!AI15/P13)*(1-K17)*100/(AE13/PROD!AI14),0)</f>
        <v>0</v>
      </c>
      <c r="AJ16" s="331">
        <f t="shared" si="11"/>
        <v>0</v>
      </c>
      <c r="AK16" s="2027"/>
      <c r="AL16" s="1284">
        <f t="shared" si="4"/>
        <v>0</v>
      </c>
      <c r="AM16" s="1285"/>
      <c r="AN16" s="1285"/>
      <c r="AO16" s="1285"/>
      <c r="AP16" s="1285"/>
      <c r="AQ16" s="1285"/>
      <c r="AR16" s="1285"/>
      <c r="AS16" s="1286"/>
      <c r="AT16" s="1287"/>
      <c r="AU16" s="1288"/>
      <c r="AV16" s="1289"/>
      <c r="AW16" s="1290"/>
      <c r="AX16" s="1291"/>
      <c r="AY16" s="1291"/>
      <c r="AZ16" s="1292"/>
      <c r="BA16" s="1293"/>
      <c r="BB16" s="1294"/>
      <c r="BC16" s="1295"/>
      <c r="BD16" s="1296">
        <f>BD15+PROD!L16-BA16</f>
        <v>0</v>
      </c>
      <c r="BE16" s="2133"/>
      <c r="BF16" s="507" t="e">
        <f t="shared" si="5"/>
        <v>#VALUE!</v>
      </c>
      <c r="BG16" s="329"/>
      <c r="BH16" s="1018">
        <f t="shared" si="6"/>
        <v>0</v>
      </c>
    </row>
    <row r="17" spans="1:60" ht="15" customHeight="1" x14ac:dyDescent="0.3">
      <c r="A17" s="2033"/>
      <c r="B17" s="287" t="str">
        <f t="shared" si="7"/>
        <v/>
      </c>
      <c r="C17" s="288" t="str">
        <f t="shared" si="0"/>
        <v/>
      </c>
      <c r="D17" s="691"/>
      <c r="E17" s="692"/>
      <c r="F17" s="693"/>
      <c r="G17" s="694"/>
      <c r="H17" s="695"/>
      <c r="I17" s="289">
        <f t="shared" si="8"/>
        <v>0</v>
      </c>
      <c r="J17" s="1237" t="str">
        <f>$J$10</f>
        <v>% Mort/Sel Acm Tab :</v>
      </c>
      <c r="K17" s="1238">
        <f>IFERROR(LOOKUP($A12,TP!$A$6:$A$108,GSh!$AR$6:$AR$108)/100,0)</f>
        <v>0</v>
      </c>
      <c r="L17" s="1246"/>
      <c r="M17" s="291">
        <f t="shared" si="12"/>
        <v>0</v>
      </c>
      <c r="N17" s="292" t="str">
        <f>$N$10</f>
        <v xml:space="preserve">Uniformidad (C. Lote) : </v>
      </c>
      <c r="O17" s="320">
        <f>LOOKUP($A12,'Pr-Sem'!$A$6:$A$108,'Pr-Sem'!$AG$6:$AG$108)</f>
        <v>0</v>
      </c>
      <c r="P17" s="320">
        <v>90</v>
      </c>
      <c r="Q17" s="321">
        <f>IF(AND(P17&gt;0,O17&gt;0),(O17/P17-1)*100,0)</f>
        <v>0</v>
      </c>
      <c r="R17" s="699"/>
      <c r="S17" s="762"/>
      <c r="T17" s="765">
        <f t="shared" si="14"/>
        <v>0</v>
      </c>
      <c r="U17" s="700"/>
      <c r="V17" s="701"/>
      <c r="W17" s="701"/>
      <c r="X17" s="295">
        <f t="shared" si="9"/>
        <v>0</v>
      </c>
      <c r="Y17" s="296">
        <f>IF(AA17&gt;0,V17,AE12/IF(Iniciar!$C$25="B X 40 K",40,IF(Iniciar!$C$25="B X 50 K",50,1))*I17/1000)</f>
        <v>0</v>
      </c>
      <c r="Z17" s="296">
        <f t="shared" si="10"/>
        <v>0</v>
      </c>
      <c r="AA17" s="297">
        <f t="shared" si="13"/>
        <v>0</v>
      </c>
      <c r="AB17" s="297">
        <f t="shared" si="3"/>
        <v>0</v>
      </c>
      <c r="AC17" s="2037" t="str">
        <f>$AC$10</f>
        <v xml:space="preserve">Cons ml /ave día: </v>
      </c>
      <c r="AD17" s="2038"/>
      <c r="AE17" s="2056">
        <f>IFERROR(SUMPRODUCT(AB12:AB18,I12:I18)/SUM(I12:I18),0)</f>
        <v>0</v>
      </c>
      <c r="AF17" s="2057"/>
      <c r="AG17" s="311" t="str">
        <f>CONCATENATE("Costo ",Iniciar!$C$25," : ")</f>
        <v xml:space="preserve">Costo Kilos : </v>
      </c>
      <c r="AH17" s="2043">
        <f>IFERROR(SUMPRODUCT(T12:T18,V12:V18)/SUMIF(T12:T18,"&gt;0",V12:V18),0)</f>
        <v>0</v>
      </c>
      <c r="AI17" s="2043"/>
      <c r="AJ17" s="313"/>
      <c r="AK17" s="2027"/>
      <c r="AL17" s="1284">
        <f t="shared" si="4"/>
        <v>0</v>
      </c>
      <c r="AM17" s="1285"/>
      <c r="AN17" s="1285"/>
      <c r="AO17" s="1285"/>
      <c r="AP17" s="1285"/>
      <c r="AQ17" s="1285"/>
      <c r="AR17" s="1285"/>
      <c r="AS17" s="1286"/>
      <c r="AT17" s="1287"/>
      <c r="AU17" s="1288"/>
      <c r="AV17" s="1289"/>
      <c r="AW17" s="1290"/>
      <c r="AX17" s="1291"/>
      <c r="AY17" s="1291"/>
      <c r="AZ17" s="1292"/>
      <c r="BA17" s="1293"/>
      <c r="BB17" s="1294"/>
      <c r="BC17" s="1295"/>
      <c r="BD17" s="1296">
        <f>BD16+PROD!L17-BA17</f>
        <v>0</v>
      </c>
      <c r="BE17" s="2133"/>
      <c r="BF17" s="507" t="e">
        <f t="shared" si="5"/>
        <v>#VALUE!</v>
      </c>
      <c r="BG17" s="329"/>
      <c r="BH17" s="1018">
        <f t="shared" si="6"/>
        <v>0</v>
      </c>
    </row>
    <row r="18" spans="1:60" ht="15" customHeight="1" x14ac:dyDescent="0.3">
      <c r="A18" s="2034"/>
      <c r="B18" s="287" t="str">
        <f t="shared" si="7"/>
        <v/>
      </c>
      <c r="C18" s="288" t="str">
        <f t="shared" si="0"/>
        <v/>
      </c>
      <c r="D18" s="691"/>
      <c r="E18" s="692"/>
      <c r="F18" s="693"/>
      <c r="G18" s="694"/>
      <c r="H18" s="695"/>
      <c r="I18" s="289">
        <f t="shared" si="8"/>
        <v>0</v>
      </c>
      <c r="J18" s="1239" t="str">
        <f>$J$11</f>
        <v>% Viabilidad :</v>
      </c>
      <c r="K18" s="1240">
        <f>IF(OR(SUM(L12:L18)&gt;0,SUM(V12:V18)&gt;0),1-(K15+K16),0)</f>
        <v>0</v>
      </c>
      <c r="L18" s="1247"/>
      <c r="M18" s="1248">
        <f>IF(I18&gt;0,(L18/IF(SUM(L12:L17)&gt;0,1,7))/I18,0)</f>
        <v>0</v>
      </c>
      <c r="N18" s="1249" t="str">
        <f>$N$11</f>
        <v xml:space="preserve">Uniformidad (10% +) : </v>
      </c>
      <c r="O18" s="1250">
        <f>IF(O16&gt;0,IF(O17&gt;0,100-SUM(O16:O17),0),0)</f>
        <v>0</v>
      </c>
      <c r="P18" s="1251">
        <f>100-SUM(P16:P17)</f>
        <v>5</v>
      </c>
      <c r="Q18" s="1252">
        <f>IF(AND(P18&gt;0,O18&gt;0),(O18/P18-1)*100,0)</f>
        <v>0</v>
      </c>
      <c r="R18" s="699"/>
      <c r="S18" s="762"/>
      <c r="T18" s="765">
        <f t="shared" si="14"/>
        <v>0</v>
      </c>
      <c r="U18" s="700"/>
      <c r="V18" s="701"/>
      <c r="W18" s="701"/>
      <c r="X18" s="295">
        <f t="shared" si="9"/>
        <v>0</v>
      </c>
      <c r="Y18" s="296">
        <f>IF(AA18&gt;0,V18,AE12/IF(Iniciar!$C$25="B X 40 K",40,IF(Iniciar!$C$25="B X 50 K",50,1))*I18/1000)</f>
        <v>0</v>
      </c>
      <c r="Z18" s="296">
        <f t="shared" si="10"/>
        <v>0</v>
      </c>
      <c r="AA18" s="297">
        <f>IF(I18&gt;0,(V18/IF(SUM(V12:V17)&gt;0,1,7))*$A$1/I18,0)</f>
        <v>0</v>
      </c>
      <c r="AB18" s="297">
        <f t="shared" si="3"/>
        <v>0</v>
      </c>
      <c r="AC18" s="2039" t="str">
        <f>$AC$11</f>
        <v xml:space="preserve">Relación Agua /Alimto: </v>
      </c>
      <c r="AD18" s="2040"/>
      <c r="AE18" s="2058">
        <f>IFERROR(AE17/AD12,0)</f>
        <v>0</v>
      </c>
      <c r="AF18" s="2059"/>
      <c r="AG18" s="1269" t="s">
        <v>237</v>
      </c>
      <c r="AH18" s="1270">
        <f>IF(SUM(L12:L18)&gt;0,AH17*SUM(V12:V18)/SUM(L12:L18),0)</f>
        <v>0</v>
      </c>
      <c r="AI18" s="1270">
        <f>IF(AND($A$1&gt;0,P12&gt;0),AH17/$A$1*(AE12/P12)*100,0)</f>
        <v>0</v>
      </c>
      <c r="AJ18" s="1271">
        <f t="shared" ref="AJ18:AJ23" si="15">IF(AND(AI18&gt;0,AH18&gt;0),(AH18/AI18-1)*100,0)</f>
        <v>0</v>
      </c>
      <c r="AK18" s="2028"/>
      <c r="AL18" s="1284">
        <f t="shared" si="4"/>
        <v>0</v>
      </c>
      <c r="AM18" s="1285"/>
      <c r="AN18" s="1285"/>
      <c r="AO18" s="1285"/>
      <c r="AP18" s="1285"/>
      <c r="AQ18" s="1285"/>
      <c r="AR18" s="1285"/>
      <c r="AS18" s="1286"/>
      <c r="AT18" s="1287"/>
      <c r="AU18" s="1288"/>
      <c r="AV18" s="1289"/>
      <c r="AW18" s="1290"/>
      <c r="AX18" s="1291"/>
      <c r="AY18" s="1291"/>
      <c r="AZ18" s="1292"/>
      <c r="BA18" s="1293"/>
      <c r="BB18" s="1294"/>
      <c r="BC18" s="1295"/>
      <c r="BD18" s="1296">
        <f>BD17+PROD!L18-BA18</f>
        <v>0</v>
      </c>
      <c r="BE18" s="2134"/>
      <c r="BF18" s="507" t="e">
        <f t="shared" si="5"/>
        <v>#VALUE!</v>
      </c>
      <c r="BG18" s="329"/>
      <c r="BH18" s="1018">
        <f t="shared" si="6"/>
        <v>0</v>
      </c>
    </row>
    <row r="19" spans="1:60" ht="15" customHeight="1" x14ac:dyDescent="0.3">
      <c r="A19" s="2032">
        <f>A12+1</f>
        <v>20</v>
      </c>
      <c r="B19" s="287" t="str">
        <f t="shared" si="7"/>
        <v/>
      </c>
      <c r="C19" s="288" t="str">
        <f t="shared" si="0"/>
        <v/>
      </c>
      <c r="D19" s="691"/>
      <c r="E19" s="692"/>
      <c r="F19" s="693"/>
      <c r="G19" s="694"/>
      <c r="H19" s="695"/>
      <c r="I19" s="289">
        <f t="shared" si="8"/>
        <v>0</v>
      </c>
      <c r="J19" s="1232" t="str">
        <f>$J$5</f>
        <v>% Mort Sem :</v>
      </c>
      <c r="K19" s="1233">
        <f>IF(PROD!$K$2&gt;0,SUM(D19:D25)/PROD!$K$2,0)</f>
        <v>0</v>
      </c>
      <c r="L19" s="1241"/>
      <c r="M19" s="1242">
        <f t="shared" ref="M19:M24" si="16">IF(I19&gt;0,L19/I19,0)</f>
        <v>0</v>
      </c>
      <c r="N19" s="1243" t="str">
        <f>$N$5</f>
        <v xml:space="preserve">% Pdn prom semana : </v>
      </c>
      <c r="O19" s="1244">
        <f>IF(SUM(L19:L24)&gt;0,100*SUMPRODUCT(M19:M25,I19:I25)/SUMIF(L19:L25,"&gt;0",I19:I25),IF(L25&gt;0,100*L25/7/I25,0))</f>
        <v>0</v>
      </c>
      <c r="P19" s="1244">
        <f>IFERROR(LOOKUP($A19,TP!$A$6:$A$108,GSh!$AE$6:$AE$108),0)</f>
        <v>0</v>
      </c>
      <c r="Q19" s="1245">
        <f>IF(AND(P19&gt;0,O19&gt;0),O19-P19,0)</f>
        <v>0</v>
      </c>
      <c r="R19" s="699"/>
      <c r="S19" s="762"/>
      <c r="T19" s="765">
        <f t="shared" si="14"/>
        <v>0</v>
      </c>
      <c r="U19" s="700"/>
      <c r="V19" s="701"/>
      <c r="W19" s="701"/>
      <c r="X19" s="295">
        <f t="shared" si="9"/>
        <v>0</v>
      </c>
      <c r="Y19" s="296">
        <f>IF(AA19&gt;0,V19,AE19/IF(Iniciar!$C$25="B X 40 K",40,IF(Iniciar!$C$25="B X 50 K",50,1))*I19/1000)</f>
        <v>0</v>
      </c>
      <c r="Z19" s="296">
        <f t="shared" si="10"/>
        <v>0</v>
      </c>
      <c r="AA19" s="297">
        <f t="shared" ref="AA19:AA24" si="17">IF(I19&gt;0,V19*$A$1/I19,0)</f>
        <v>0</v>
      </c>
      <c r="AB19" s="297">
        <f t="shared" si="3"/>
        <v>0</v>
      </c>
      <c r="AC19" s="1261" t="str">
        <f>$AC$5</f>
        <v>Gr. Ave Dia :</v>
      </c>
      <c r="AD19" s="1262">
        <f>IF(SUMIF(V19:V25,"&gt;0")&gt;0,SUMPRODUCT(AA19:AA25,I19:I25)/SUMIF(AA19:AA25,"&gt;0",I19:I25),0)</f>
        <v>0</v>
      </c>
      <c r="AE19" s="1262">
        <f>IFERROR(LOOKUP($A19,TP!$A$6:$A$108,GSh!$AU$6:$AU$108),0)</f>
        <v>0</v>
      </c>
      <c r="AF19" s="1263">
        <f>IF(AND(AE19&gt;0,AD19&gt;0),(AD19/AE19-1)*100,0)</f>
        <v>0</v>
      </c>
      <c r="AG19" s="1264" t="str">
        <f>PROD!$AG$5</f>
        <v>Gr X H</v>
      </c>
      <c r="AH19" s="1265">
        <f>IF(PROD!O19&gt;0,IF($AG19="Gr X H",PROD!AD19/PROD!O19*100,IF($AG19="Conv Kg/Doc",PROD!AD19/PROD!O19*1.2,IF(PROD!$O21&gt;0,PROD!AD19/(PROD!O19*PROD!$O21)*100,0))),0)</f>
        <v>0</v>
      </c>
      <c r="AI19" s="1265">
        <f>IF(PROD!P19&gt;0,IF($AG19="Gr X H",PROD!AE19/PROD!P19*100,IF($AG19="Conv Kg/Doc",PROD!AE19/PROD!P19*1.2,IF(PROD!$P21&gt;0,PROD!AE19/(PROD!P19*PROD!$P21)*100,0))),0)</f>
        <v>0</v>
      </c>
      <c r="AJ19" s="1266">
        <f t="shared" si="15"/>
        <v>0</v>
      </c>
      <c r="AK19" s="2026"/>
      <c r="AL19" s="1284">
        <f t="shared" si="4"/>
        <v>0</v>
      </c>
      <c r="AM19" s="1285"/>
      <c r="AN19" s="1285"/>
      <c r="AO19" s="1285"/>
      <c r="AP19" s="1285"/>
      <c r="AQ19" s="1285"/>
      <c r="AR19" s="1285"/>
      <c r="AS19" s="1286"/>
      <c r="AT19" s="1287"/>
      <c r="AU19" s="1288"/>
      <c r="AV19" s="1289"/>
      <c r="AW19" s="1290"/>
      <c r="AX19" s="1291"/>
      <c r="AY19" s="1291"/>
      <c r="AZ19" s="1292"/>
      <c r="BA19" s="1293"/>
      <c r="BB19" s="1294"/>
      <c r="BC19" s="1295"/>
      <c r="BD19" s="1296">
        <f>BD18+PROD!L19-BA19</f>
        <v>0</v>
      </c>
      <c r="BE19" s="2132">
        <f>IF(SUM(AM19:AZ25)&gt;0,(SUM(AM19:AM25)*$AM$2+SUM(AN19:AN25)*$AN$2+SUM(AO19:AO25)*$AO$2+SUM(AP19:AP25)*$AP$2+SUM(AQ19:AQ25)*$AQ$2+SUM(AR19:AR25)*$AR$2+SUM(AS19:AS25)*$AS$2+SUM(AW19:AW25)*$AW$2+SUM(AX19:AX25)*$AX$2+SUM(AY19:AY25)*$AY$2+SUM(AZ19:AZ25)*$AZ$2+SUM(AT19:AT25)*$AT$2+SUM(AU19:AU25)*$AU$2+SUM(AV19:AV25)*$AV$2)/SUM(AM19:AZ25),0)</f>
        <v>0</v>
      </c>
      <c r="BF19" s="507" t="e">
        <f t="shared" si="5"/>
        <v>#VALUE!</v>
      </c>
      <c r="BG19" s="277">
        <f>IF(SUM(L19:L25)&gt;0,A19,IF(SUM(V19:V25)&gt;0,A19,BG12))</f>
        <v>0</v>
      </c>
      <c r="BH19" s="1018">
        <f t="shared" si="6"/>
        <v>0</v>
      </c>
    </row>
    <row r="20" spans="1:60" ht="15" customHeight="1" x14ac:dyDescent="0.3">
      <c r="A20" s="2033"/>
      <c r="B20" s="287" t="str">
        <f t="shared" si="7"/>
        <v/>
      </c>
      <c r="C20" s="288" t="str">
        <f t="shared" si="0"/>
        <v/>
      </c>
      <c r="D20" s="691"/>
      <c r="E20" s="692"/>
      <c r="F20" s="693"/>
      <c r="G20" s="694"/>
      <c r="H20" s="695"/>
      <c r="I20" s="289">
        <f t="shared" si="8"/>
        <v>0</v>
      </c>
      <c r="J20" s="1234" t="str">
        <f>$J$6</f>
        <v>% Sel Sem :</v>
      </c>
      <c r="K20" s="1231">
        <f>IF(PROD!$K$2&gt;0,SUM(E19:E25)/PROD!$K$2,0)</f>
        <v>0</v>
      </c>
      <c r="L20" s="1246"/>
      <c r="M20" s="291">
        <f t="shared" si="16"/>
        <v>0</v>
      </c>
      <c r="N20" s="292" t="str">
        <f>$N$6</f>
        <v xml:space="preserve">H. Ave Alojada : </v>
      </c>
      <c r="O20" s="293">
        <f>IF(AND(PROD!$K$2&gt;0,O19&gt;0),SUM(L$5:L25)/PROD!$K$2,0)</f>
        <v>0</v>
      </c>
      <c r="P20" s="293">
        <f>IFERROR(LOOKUP($A19,TP!$A$6:$A$108,GSh!$AJ$6:$AJ$108),0)</f>
        <v>0</v>
      </c>
      <c r="Q20" s="294">
        <f>IF(AND(P20&gt;0,O20&gt;0),O20-P20,0)</f>
        <v>0</v>
      </c>
      <c r="R20" s="699"/>
      <c r="S20" s="762"/>
      <c r="T20" s="765">
        <f t="shared" si="14"/>
        <v>0</v>
      </c>
      <c r="U20" s="700"/>
      <c r="V20" s="701"/>
      <c r="W20" s="701"/>
      <c r="X20" s="295">
        <f t="shared" si="9"/>
        <v>0</v>
      </c>
      <c r="Y20" s="296">
        <f>IF(AA20&gt;0,V20,AE19/IF(Iniciar!$C$25="B X 40 K",40,IF(Iniciar!$C$25="B X 50 K",50,1))*I20/1000)</f>
        <v>0</v>
      </c>
      <c r="Z20" s="296">
        <f t="shared" si="10"/>
        <v>0</v>
      </c>
      <c r="AA20" s="297">
        <f t="shared" si="17"/>
        <v>0</v>
      </c>
      <c r="AB20" s="297">
        <f t="shared" si="3"/>
        <v>0</v>
      </c>
      <c r="AC20" s="1267" t="str">
        <f>$AC$6</f>
        <v>Gr. Ave Sem :</v>
      </c>
      <c r="AD20" s="284">
        <f>AD19*7</f>
        <v>0</v>
      </c>
      <c r="AE20" s="284">
        <f>AE19*7</f>
        <v>0</v>
      </c>
      <c r="AF20" s="285">
        <f>IF(AND(AE20&gt;0,AD20&gt;0),(AD20/AE20-1)*100,0)</f>
        <v>0</v>
      </c>
      <c r="AG20" s="1199" t="str">
        <f>PROD!$AG$6</f>
        <v>Gr X H Acm</v>
      </c>
      <c r="AH20" s="298">
        <f>IF(SUM(PROD!L19:L25)&gt;0,IF(PROD!$AG$5="Gr X H",SUM(PROD!V$5:V25)*PROD!$A$1/SUM(PROD!L$5:L25),IF($AG19="Conv Kg/Doc",(SUM(PROD!V$5:V25)*PROD!$A$1/1000)/(SUM(PROD!L$5:L25)/12),IF(PROD!$O21&gt;0,SUM(PROD!V$5:V25)*PROD!$A$1/(SUM(PROD!L$5:L25)*LOOKUP(PROD!A19,TP!$A$6:$A$108,GSh!$BB$6:$BB$108)),0))),0)</f>
        <v>0</v>
      </c>
      <c r="AI20" s="298">
        <f>IF(PROD!P19&gt;0,IF($AG19="Gr X H",PROD!AE19/PROD!P19*100,IF($AG19="Conv Kg/Doc",PROD!AE19/PROD!P19*1.2,IF(PROD!$P20&gt;0,PROD!AE21/(PROD!P20*LOOKUP(PROD!$A19,TP!$A$6:$A$108,GSh!$BC$6:$BC$108)/1000),0))),0)</f>
        <v>0</v>
      </c>
      <c r="AJ20" s="328">
        <f t="shared" si="15"/>
        <v>0</v>
      </c>
      <c r="AK20" s="2027"/>
      <c r="AL20" s="1284">
        <f t="shared" si="4"/>
        <v>0</v>
      </c>
      <c r="AM20" s="1285"/>
      <c r="AN20" s="1285"/>
      <c r="AO20" s="1285"/>
      <c r="AP20" s="1285"/>
      <c r="AQ20" s="1285"/>
      <c r="AR20" s="1285"/>
      <c r="AS20" s="1286"/>
      <c r="AT20" s="1287"/>
      <c r="AU20" s="1288"/>
      <c r="AV20" s="1289"/>
      <c r="AW20" s="1290"/>
      <c r="AX20" s="1291"/>
      <c r="AY20" s="1291"/>
      <c r="AZ20" s="1292"/>
      <c r="BA20" s="1293"/>
      <c r="BB20" s="1294"/>
      <c r="BC20" s="1295"/>
      <c r="BD20" s="1296">
        <f>BD19+PROD!L20-BA20</f>
        <v>0</v>
      </c>
      <c r="BE20" s="2133"/>
      <c r="BF20" s="507" t="e">
        <f t="shared" si="5"/>
        <v>#VALUE!</v>
      </c>
      <c r="BG20" s="329"/>
      <c r="BH20" s="1018">
        <f t="shared" si="6"/>
        <v>0</v>
      </c>
    </row>
    <row r="21" spans="1:60" ht="15" customHeight="1" x14ac:dyDescent="0.3">
      <c r="A21" s="2033"/>
      <c r="B21" s="287" t="str">
        <f t="shared" si="7"/>
        <v/>
      </c>
      <c r="C21" s="288" t="str">
        <f t="shared" si="0"/>
        <v/>
      </c>
      <c r="D21" s="691"/>
      <c r="E21" s="692"/>
      <c r="F21" s="693"/>
      <c r="G21" s="694"/>
      <c r="H21" s="695"/>
      <c r="I21" s="289">
        <f t="shared" si="8"/>
        <v>0</v>
      </c>
      <c r="J21" s="1235" t="str">
        <f>$J$7</f>
        <v>% Mort/Sel Sem Tab :</v>
      </c>
      <c r="K21" s="1236">
        <f>K24-K17</f>
        <v>0</v>
      </c>
      <c r="L21" s="1246"/>
      <c r="M21" s="291">
        <f t="shared" si="16"/>
        <v>0</v>
      </c>
      <c r="N21" s="304" t="str">
        <f>$N$7</f>
        <v xml:space="preserve">Peso Huevo (Gr) : </v>
      </c>
      <c r="O21" s="305">
        <f>LOOKUP($A19,'Pr-Sem'!$A$6:$A$108,'Pr-Sem'!$Z$6:$Z$108)</f>
        <v>0</v>
      </c>
      <c r="P21" s="305">
        <f>IFERROR(LOOKUP($A19,TP!$A$6:$A$108,GSh!$AZ$6:$AZ$108),0)</f>
        <v>0</v>
      </c>
      <c r="Q21" s="306">
        <f>IF(AND(P21&gt;0,O21&gt;0),O21-P21,0)</f>
        <v>0</v>
      </c>
      <c r="R21" s="699"/>
      <c r="S21" s="762"/>
      <c r="T21" s="765">
        <f t="shared" si="14"/>
        <v>0</v>
      </c>
      <c r="U21" s="700"/>
      <c r="V21" s="701"/>
      <c r="W21" s="701"/>
      <c r="X21" s="295">
        <f t="shared" si="9"/>
        <v>0</v>
      </c>
      <c r="Y21" s="296">
        <f>IF(AA21&gt;0,V21,AE19/IF(Iniciar!$C$25="B X 40 K",40,IF(Iniciar!$C$25="B X 50 K",50,1))*I21/1000)</f>
        <v>0</v>
      </c>
      <c r="Z21" s="296">
        <f t="shared" si="10"/>
        <v>0</v>
      </c>
      <c r="AA21" s="297">
        <f t="shared" si="17"/>
        <v>0</v>
      </c>
      <c r="AB21" s="297">
        <f t="shared" si="3"/>
        <v>0</v>
      </c>
      <c r="AC21" s="1268" t="str">
        <f>$AC$7</f>
        <v>Kg Ave Acu :</v>
      </c>
      <c r="AD21" s="308">
        <f>IF(OR(SUM(L19:L25)&gt;0,SUM(V19:V25)&gt;0),AD20/1000+AD14,0)</f>
        <v>0</v>
      </c>
      <c r="AE21" s="309">
        <f>AE20/1000+AE14</f>
        <v>0</v>
      </c>
      <c r="AF21" s="310">
        <f>IF(AND(AE21&gt;0,AD21&gt;0),(AD21/AE21-1)*100,0)</f>
        <v>0</v>
      </c>
      <c r="AG21" s="311" t="str">
        <f>PROD!$AG$7</f>
        <v xml:space="preserve">Masa Sem H (Gr) : </v>
      </c>
      <c r="AH21" s="312">
        <f>PROD!O19/100*7*PROD!O21</f>
        <v>0</v>
      </c>
      <c r="AI21" s="312">
        <f>PROD!P19/100*7*PROD!P21</f>
        <v>0</v>
      </c>
      <c r="AJ21" s="313">
        <f t="shared" si="15"/>
        <v>0</v>
      </c>
      <c r="AK21" s="2027"/>
      <c r="AL21" s="1284">
        <f t="shared" si="4"/>
        <v>0</v>
      </c>
      <c r="AM21" s="1285"/>
      <c r="AN21" s="1285"/>
      <c r="AO21" s="1285"/>
      <c r="AP21" s="1285"/>
      <c r="AQ21" s="1285"/>
      <c r="AR21" s="1285"/>
      <c r="AS21" s="1286"/>
      <c r="AT21" s="1287"/>
      <c r="AU21" s="1288"/>
      <c r="AV21" s="1289"/>
      <c r="AW21" s="1290"/>
      <c r="AX21" s="1291"/>
      <c r="AY21" s="1291"/>
      <c r="AZ21" s="1292"/>
      <c r="BA21" s="1293"/>
      <c r="BB21" s="1294"/>
      <c r="BC21" s="1295"/>
      <c r="BD21" s="1296">
        <f>BD20+PROD!L21-BA21</f>
        <v>0</v>
      </c>
      <c r="BE21" s="2133"/>
      <c r="BF21" s="507" t="e">
        <f t="shared" si="5"/>
        <v>#VALUE!</v>
      </c>
      <c r="BG21" s="329"/>
      <c r="BH21" s="1018">
        <f t="shared" si="6"/>
        <v>0</v>
      </c>
    </row>
    <row r="22" spans="1:60" ht="15" customHeight="1" x14ac:dyDescent="0.3">
      <c r="A22" s="2033"/>
      <c r="B22" s="287" t="str">
        <f t="shared" si="7"/>
        <v/>
      </c>
      <c r="C22" s="288" t="str">
        <f t="shared" si="0"/>
        <v/>
      </c>
      <c r="D22" s="691"/>
      <c r="E22" s="692"/>
      <c r="F22" s="693"/>
      <c r="G22" s="694"/>
      <c r="H22" s="695"/>
      <c r="I22" s="289">
        <f t="shared" si="8"/>
        <v>0</v>
      </c>
      <c r="J22" s="1234" t="str">
        <f>$J$8</f>
        <v>% Mort Acm :</v>
      </c>
      <c r="K22" s="1231">
        <f>IF(PROD!$K$2&gt;0,SUM(D$5:D25)/PROD!$K$2,0)</f>
        <v>0</v>
      </c>
      <c r="L22" s="1246"/>
      <c r="M22" s="291">
        <f t="shared" si="16"/>
        <v>0</v>
      </c>
      <c r="N22" s="314" t="str">
        <f>N$8</f>
        <v xml:space="preserve">Peso Ave (Gr) : </v>
      </c>
      <c r="O22" s="315">
        <f>LOOKUP($A19,GSh!$BV$6:$BV$108,GSh!$BJ$6:$BJ$108)</f>
        <v>0</v>
      </c>
      <c r="P22" s="315">
        <f>IFERROR(LOOKUP($A19,TP!$A$6:$A$108,GSh!$BK$6:$BK$108),0)</f>
        <v>0</v>
      </c>
      <c r="Q22" s="316">
        <f>IF(AND(P22&gt;0,O22&gt;0),(O22/P22-1)*100,0)</f>
        <v>0</v>
      </c>
      <c r="R22" s="699"/>
      <c r="S22" s="762"/>
      <c r="T22" s="765">
        <f t="shared" si="14"/>
        <v>0</v>
      </c>
      <c r="U22" s="700"/>
      <c r="V22" s="701"/>
      <c r="W22" s="701"/>
      <c r="X22" s="295">
        <f t="shared" si="9"/>
        <v>0</v>
      </c>
      <c r="Y22" s="296">
        <f>IF(AA22&gt;0,V22,AE19/IF(Iniciar!$C$25="B X 40 K",40,IF(Iniciar!$C$25="B X 50 K",50,1))*I22/1000)</f>
        <v>0</v>
      </c>
      <c r="Z22" s="296">
        <f t="shared" si="10"/>
        <v>0</v>
      </c>
      <c r="AA22" s="297">
        <f t="shared" si="17"/>
        <v>0</v>
      </c>
      <c r="AB22" s="297">
        <f t="shared" si="3"/>
        <v>0</v>
      </c>
      <c r="AC22" s="541" t="str">
        <f>$AC$8</f>
        <v xml:space="preserve">Ton. Lote Acu : </v>
      </c>
      <c r="AD22" s="544">
        <f>SUM($V$5:$V25)*$A$1/1000000</f>
        <v>0</v>
      </c>
      <c r="AE22" s="543">
        <f>AE15+(AE19/1000000*7*(I19+I25)/2)</f>
        <v>0</v>
      </c>
      <c r="AF22" s="542">
        <f>IF(AND(AE22&gt;0,AD22&gt;0),(AD22/AE22-1)*100,0)</f>
        <v>0</v>
      </c>
      <c r="AG22" s="317" t="str">
        <f>PROD!$AG$8</f>
        <v xml:space="preserve">Masa Ac A. A (Kg) : </v>
      </c>
      <c r="AH22" s="318">
        <f>IF(PROD!$K$2&gt;0,SUM(PROD!L$5:L25)*LOOKUP(PROD!$A19,TP!$A$6:$A$108,GSh!$BB$6:$BB$108)/1000/PROD!$K$2,0)</f>
        <v>0</v>
      </c>
      <c r="AI22" s="318">
        <f>IFERROR(PROD!P20*LOOKUP(PROD!$A19,TP!$A$6:$A$108,GSh!$BC$6:$BC$108)/1000,0)</f>
        <v>0</v>
      </c>
      <c r="AJ22" s="330">
        <f t="shared" si="15"/>
        <v>0</v>
      </c>
      <c r="AK22" s="2027"/>
      <c r="AL22" s="1284">
        <f t="shared" si="4"/>
        <v>0</v>
      </c>
      <c r="AM22" s="1285"/>
      <c r="AN22" s="1285"/>
      <c r="AO22" s="1285"/>
      <c r="AP22" s="1285"/>
      <c r="AQ22" s="1285"/>
      <c r="AR22" s="1285"/>
      <c r="AS22" s="1286"/>
      <c r="AT22" s="1287"/>
      <c r="AU22" s="1288"/>
      <c r="AV22" s="1289"/>
      <c r="AW22" s="1290"/>
      <c r="AX22" s="1291"/>
      <c r="AY22" s="1291"/>
      <c r="AZ22" s="1292"/>
      <c r="BA22" s="1293"/>
      <c r="BB22" s="1294"/>
      <c r="BC22" s="1295"/>
      <c r="BD22" s="1296">
        <f>BD21+PROD!L22-BA22</f>
        <v>0</v>
      </c>
      <c r="BE22" s="2133"/>
      <c r="BF22" s="507" t="e">
        <f t="shared" si="5"/>
        <v>#VALUE!</v>
      </c>
      <c r="BG22" s="329"/>
      <c r="BH22" s="1018">
        <f t="shared" si="6"/>
        <v>0</v>
      </c>
    </row>
    <row r="23" spans="1:60" ht="15" customHeight="1" x14ac:dyDescent="0.3">
      <c r="A23" s="2033"/>
      <c r="B23" s="287" t="str">
        <f t="shared" si="7"/>
        <v/>
      </c>
      <c r="C23" s="288" t="str">
        <f t="shared" si="0"/>
        <v/>
      </c>
      <c r="D23" s="691"/>
      <c r="E23" s="692"/>
      <c r="F23" s="693"/>
      <c r="G23" s="694"/>
      <c r="H23" s="695"/>
      <c r="I23" s="289">
        <f t="shared" si="8"/>
        <v>0</v>
      </c>
      <c r="J23" s="1234" t="str">
        <f>$J$9</f>
        <v>% Sel Acm :</v>
      </c>
      <c r="K23" s="1231">
        <f>IF(PROD!$K$2&gt;0,SUM(E$5:E25)/PROD!$K$2,0)</f>
        <v>0</v>
      </c>
      <c r="L23" s="1246"/>
      <c r="M23" s="291">
        <f t="shared" si="16"/>
        <v>0</v>
      </c>
      <c r="N23" s="292" t="str">
        <f>$N$9</f>
        <v xml:space="preserve">Uniformidad (10% -) : </v>
      </c>
      <c r="O23" s="320">
        <f>LOOKUP($A19,'Pr-Sem'!$A$6:$A$108,'Pr-Sem'!$AH$6:$AH$108)</f>
        <v>0</v>
      </c>
      <c r="P23" s="320">
        <v>5</v>
      </c>
      <c r="Q23" s="321">
        <f>IF(AND(P23&gt;0,O23&gt;0),(1-O23/P23)*100,0)</f>
        <v>0</v>
      </c>
      <c r="R23" s="699"/>
      <c r="S23" s="762"/>
      <c r="T23" s="765">
        <f t="shared" si="14"/>
        <v>0</v>
      </c>
      <c r="U23" s="700"/>
      <c r="V23" s="701"/>
      <c r="W23" s="701"/>
      <c r="X23" s="295">
        <f t="shared" si="9"/>
        <v>0</v>
      </c>
      <c r="Y23" s="296">
        <f>IF(AA23&gt;0,V23,AE19/IF(Iniciar!$C$25="B X 40 K",40,IF(Iniciar!$C$25="B X 50 K",50,1))*I23/1000)</f>
        <v>0</v>
      </c>
      <c r="Z23" s="296">
        <f t="shared" si="10"/>
        <v>0</v>
      </c>
      <c r="AA23" s="297">
        <f t="shared" si="17"/>
        <v>0</v>
      </c>
      <c r="AB23" s="297">
        <f t="shared" si="3"/>
        <v>0</v>
      </c>
      <c r="AC23" s="2035" t="str">
        <f>$AC$9</f>
        <v xml:space="preserve">Total Litros Sem: </v>
      </c>
      <c r="AD23" s="2036"/>
      <c r="AE23" s="2050">
        <f>SUM(R19:R25)</f>
        <v>0</v>
      </c>
      <c r="AF23" s="2051"/>
      <c r="AG23" s="554" t="str">
        <f>$AG$9</f>
        <v xml:space="preserve">Indicador Eficiencia : </v>
      </c>
      <c r="AH23" s="555">
        <f>IF(AND(AE23&gt;0,O20&gt;0,O21&gt;0,SUM(L19:L25)&gt;0),(PROD!AH22/O20)*K25*100/(AE23/(SUM(L19:L25)*O21/1000)),0)</f>
        <v>0</v>
      </c>
      <c r="AI23" s="555">
        <f>IF(AND(P20&gt;0,PROD!AI21&gt;0),(PROD!AI22/P20)*(1-K24)*100/(AE20/PROD!AI21),0)</f>
        <v>0</v>
      </c>
      <c r="AJ23" s="331">
        <f t="shared" si="15"/>
        <v>0</v>
      </c>
      <c r="AK23" s="2027"/>
      <c r="AL23" s="1284">
        <f t="shared" si="4"/>
        <v>0</v>
      </c>
      <c r="AM23" s="1285"/>
      <c r="AN23" s="1285"/>
      <c r="AO23" s="1285"/>
      <c r="AP23" s="1285"/>
      <c r="AQ23" s="1285"/>
      <c r="AR23" s="1285"/>
      <c r="AS23" s="1286"/>
      <c r="AT23" s="1287"/>
      <c r="AU23" s="1288"/>
      <c r="AV23" s="1289"/>
      <c r="AW23" s="1290"/>
      <c r="AX23" s="1291"/>
      <c r="AY23" s="1291"/>
      <c r="AZ23" s="1292"/>
      <c r="BA23" s="1293"/>
      <c r="BB23" s="1294"/>
      <c r="BC23" s="1295"/>
      <c r="BD23" s="1296">
        <f>BD22+PROD!L23-BA23</f>
        <v>0</v>
      </c>
      <c r="BE23" s="2133"/>
      <c r="BF23" s="507" t="e">
        <f t="shared" si="5"/>
        <v>#VALUE!</v>
      </c>
      <c r="BG23" s="329"/>
      <c r="BH23" s="1018">
        <f t="shared" si="6"/>
        <v>0</v>
      </c>
    </row>
    <row r="24" spans="1:60" ht="15" customHeight="1" x14ac:dyDescent="0.3">
      <c r="A24" s="2033"/>
      <c r="B24" s="287" t="str">
        <f t="shared" si="7"/>
        <v/>
      </c>
      <c r="C24" s="288" t="str">
        <f t="shared" si="0"/>
        <v/>
      </c>
      <c r="D24" s="691"/>
      <c r="E24" s="692"/>
      <c r="F24" s="693"/>
      <c r="G24" s="694"/>
      <c r="H24" s="695"/>
      <c r="I24" s="289">
        <f t="shared" si="8"/>
        <v>0</v>
      </c>
      <c r="J24" s="1237" t="str">
        <f>$J$10</f>
        <v>% Mort/Sel Acm Tab :</v>
      </c>
      <c r="K24" s="1238">
        <f>IFERROR(LOOKUP($A19,TP!$A$6:$A$108,GSh!$AR$6:$AR$108)/100,0)</f>
        <v>0</v>
      </c>
      <c r="L24" s="1246"/>
      <c r="M24" s="291">
        <f t="shared" si="16"/>
        <v>0</v>
      </c>
      <c r="N24" s="292" t="str">
        <f>$N$10</f>
        <v xml:space="preserve">Uniformidad (C. Lote) : </v>
      </c>
      <c r="O24" s="320">
        <f>LOOKUP($A19,'Pr-Sem'!$A$6:$A$108,'Pr-Sem'!$AG$6:$AG$108)</f>
        <v>0</v>
      </c>
      <c r="P24" s="320">
        <v>90</v>
      </c>
      <c r="Q24" s="321">
        <f>IF(AND(P24&gt;0,O24&gt;0),(O24/P24-1)*100,0)</f>
        <v>0</v>
      </c>
      <c r="R24" s="699"/>
      <c r="S24" s="762"/>
      <c r="T24" s="765">
        <f t="shared" si="14"/>
        <v>0</v>
      </c>
      <c r="U24" s="700"/>
      <c r="V24" s="701"/>
      <c r="W24" s="701"/>
      <c r="X24" s="295">
        <f t="shared" si="9"/>
        <v>0</v>
      </c>
      <c r="Y24" s="296">
        <f>IF(AA24&gt;0,V24,AE19/IF(Iniciar!$C$25="B X 40 K",40,IF(Iniciar!$C$25="B X 50 K",50,1))*I24/1000)</f>
        <v>0</v>
      </c>
      <c r="Z24" s="296">
        <f t="shared" si="10"/>
        <v>0</v>
      </c>
      <c r="AA24" s="297">
        <f t="shared" si="17"/>
        <v>0</v>
      </c>
      <c r="AB24" s="297">
        <f t="shared" si="3"/>
        <v>0</v>
      </c>
      <c r="AC24" s="2037" t="str">
        <f>$AC$10</f>
        <v xml:space="preserve">Cons ml /ave día: </v>
      </c>
      <c r="AD24" s="2038"/>
      <c r="AE24" s="2056">
        <f>IFERROR(SUMPRODUCT(AB19:AB25,I19:I25)/SUM(I19:I25),0)</f>
        <v>0</v>
      </c>
      <c r="AF24" s="2057"/>
      <c r="AG24" s="311" t="str">
        <f>CONCATENATE("Costo ",Iniciar!$C$25," : ")</f>
        <v xml:space="preserve">Costo Kilos : </v>
      </c>
      <c r="AH24" s="2043">
        <f>IFERROR(SUMPRODUCT(T19:T25,V19:V25)/SUMIF(T19:T25,"&gt;0",V19:V25),0)</f>
        <v>0</v>
      </c>
      <c r="AI24" s="2043"/>
      <c r="AJ24" s="313"/>
      <c r="AK24" s="2027"/>
      <c r="AL24" s="1284">
        <f t="shared" si="4"/>
        <v>0</v>
      </c>
      <c r="AM24" s="1285"/>
      <c r="AN24" s="1285"/>
      <c r="AO24" s="1285"/>
      <c r="AP24" s="1285"/>
      <c r="AQ24" s="1285"/>
      <c r="AR24" s="1285"/>
      <c r="AS24" s="1286"/>
      <c r="AT24" s="1287"/>
      <c r="AU24" s="1288"/>
      <c r="AV24" s="1289"/>
      <c r="AW24" s="1290"/>
      <c r="AX24" s="1291"/>
      <c r="AY24" s="1291"/>
      <c r="AZ24" s="1292"/>
      <c r="BA24" s="1293"/>
      <c r="BB24" s="1294"/>
      <c r="BC24" s="1295"/>
      <c r="BD24" s="1296">
        <f>BD23+PROD!L24-BA24</f>
        <v>0</v>
      </c>
      <c r="BE24" s="2133"/>
      <c r="BF24" s="507" t="e">
        <f t="shared" si="5"/>
        <v>#VALUE!</v>
      </c>
      <c r="BG24" s="329"/>
      <c r="BH24" s="1018">
        <f t="shared" si="6"/>
        <v>0</v>
      </c>
    </row>
    <row r="25" spans="1:60" ht="15" customHeight="1" x14ac:dyDescent="0.3">
      <c r="A25" s="2034"/>
      <c r="B25" s="287" t="str">
        <f t="shared" si="7"/>
        <v/>
      </c>
      <c r="C25" s="288" t="str">
        <f t="shared" si="0"/>
        <v/>
      </c>
      <c r="D25" s="691"/>
      <c r="E25" s="692"/>
      <c r="F25" s="693"/>
      <c r="G25" s="694"/>
      <c r="H25" s="695"/>
      <c r="I25" s="289">
        <f t="shared" si="8"/>
        <v>0</v>
      </c>
      <c r="J25" s="1239" t="str">
        <f>$J$11</f>
        <v>% Viabilidad :</v>
      </c>
      <c r="K25" s="1240">
        <f>IF(OR(SUM(L19:L25)&gt;0,SUM(V19:V25)&gt;0),1-(K22+K23),0)</f>
        <v>0</v>
      </c>
      <c r="L25" s="1247"/>
      <c r="M25" s="1248">
        <f>IF(I25&gt;0,(L25/IF(SUM(L19:L24)&gt;0,1,7))/I25,0)</f>
        <v>0</v>
      </c>
      <c r="N25" s="1249" t="str">
        <f>$N$11</f>
        <v xml:space="preserve">Uniformidad (10% +) : </v>
      </c>
      <c r="O25" s="1250">
        <f>IF(O23&gt;0,IF(O24&gt;0,100-SUM(O23:O24),0),0)</f>
        <v>0</v>
      </c>
      <c r="P25" s="1251">
        <f>100-SUM(P23:P24)</f>
        <v>5</v>
      </c>
      <c r="Q25" s="1252">
        <f>IF(AND(P25&gt;0,O25&gt;0),(O25/P25-1)*100,0)</f>
        <v>0</v>
      </c>
      <c r="R25" s="699"/>
      <c r="S25" s="762"/>
      <c r="T25" s="765">
        <f t="shared" si="14"/>
        <v>0</v>
      </c>
      <c r="U25" s="700"/>
      <c r="V25" s="701"/>
      <c r="W25" s="701"/>
      <c r="X25" s="295">
        <f t="shared" si="9"/>
        <v>0</v>
      </c>
      <c r="Y25" s="296">
        <f>IF(AA25&gt;0,V25,AE19/IF(Iniciar!$C$25="B X 40 K",40,IF(Iniciar!$C$25="B X 50 K",50,1))*I25/1000)</f>
        <v>0</v>
      </c>
      <c r="Z25" s="296">
        <f t="shared" si="10"/>
        <v>0</v>
      </c>
      <c r="AA25" s="297">
        <f>IF(I25&gt;0,(V25/IF(SUM(V19:V24)&gt;0,1,7))*$A$1/I25,0)</f>
        <v>0</v>
      </c>
      <c r="AB25" s="297">
        <f t="shared" si="3"/>
        <v>0</v>
      </c>
      <c r="AC25" s="2039" t="str">
        <f>$AC$11</f>
        <v xml:space="preserve">Relación Agua /Alimto: </v>
      </c>
      <c r="AD25" s="2040"/>
      <c r="AE25" s="2058">
        <f>IFERROR(AE24/AD19,0)</f>
        <v>0</v>
      </c>
      <c r="AF25" s="2059"/>
      <c r="AG25" s="1269" t="s">
        <v>237</v>
      </c>
      <c r="AH25" s="1270">
        <f>IF(SUM(L19:L25)&gt;0,AH24*SUM(V19:V25)/SUM(L19:L25),0)</f>
        <v>0</v>
      </c>
      <c r="AI25" s="1270">
        <f>IF(AND($A$1&gt;0,P19&gt;0),AH24/$A$1*(AE19/P19)*100,0)</f>
        <v>0</v>
      </c>
      <c r="AJ25" s="1271">
        <f t="shared" ref="AJ25:AJ30" si="18">IF(AND(AI25&gt;0,AH25&gt;0),(AH25/AI25-1)*100,0)</f>
        <v>0</v>
      </c>
      <c r="AK25" s="2028"/>
      <c r="AL25" s="1284">
        <f t="shared" si="4"/>
        <v>0</v>
      </c>
      <c r="AM25" s="1285"/>
      <c r="AN25" s="1285"/>
      <c r="AO25" s="1285"/>
      <c r="AP25" s="1285"/>
      <c r="AQ25" s="1285"/>
      <c r="AR25" s="1285"/>
      <c r="AS25" s="1286"/>
      <c r="AT25" s="1287"/>
      <c r="AU25" s="1288"/>
      <c r="AV25" s="1289"/>
      <c r="AW25" s="1290"/>
      <c r="AX25" s="1291"/>
      <c r="AY25" s="1291"/>
      <c r="AZ25" s="1292"/>
      <c r="BA25" s="1293"/>
      <c r="BB25" s="1294"/>
      <c r="BC25" s="1295"/>
      <c r="BD25" s="1296">
        <f>BD24+PROD!L25-BA25</f>
        <v>0</v>
      </c>
      <c r="BE25" s="2134"/>
      <c r="BF25" s="507" t="e">
        <f t="shared" si="5"/>
        <v>#VALUE!</v>
      </c>
      <c r="BG25" s="329"/>
      <c r="BH25" s="1018">
        <f t="shared" si="6"/>
        <v>0</v>
      </c>
    </row>
    <row r="26" spans="1:60" ht="15.75" customHeight="1" x14ac:dyDescent="0.3">
      <c r="A26" s="2032">
        <f>A19+1</f>
        <v>21</v>
      </c>
      <c r="B26" s="287" t="str">
        <f t="shared" si="7"/>
        <v/>
      </c>
      <c r="C26" s="288" t="str">
        <f t="shared" si="0"/>
        <v/>
      </c>
      <c r="D26" s="691"/>
      <c r="E26" s="692"/>
      <c r="F26" s="693"/>
      <c r="G26" s="694"/>
      <c r="H26" s="695"/>
      <c r="I26" s="289">
        <f t="shared" si="8"/>
        <v>0</v>
      </c>
      <c r="J26" s="1232" t="str">
        <f>$J$5</f>
        <v>% Mort Sem :</v>
      </c>
      <c r="K26" s="1233">
        <f>IF(PROD!$K$2&gt;0,SUM(D26:D32)/PROD!$K$2,0)</f>
        <v>0</v>
      </c>
      <c r="L26" s="1241"/>
      <c r="M26" s="1242">
        <f t="shared" ref="M26:M31" si="19">IF(I26&gt;0,L26/I26,0)</f>
        <v>0</v>
      </c>
      <c r="N26" s="1243" t="str">
        <f>$N$5</f>
        <v xml:space="preserve">% Pdn prom semana : </v>
      </c>
      <c r="O26" s="1244">
        <f>IF(SUM(L26:L31)&gt;0,100*SUMPRODUCT(M26:M32,I26:I32)/SUMIF(L26:L32,"&gt;0",I26:I32),IF(L32&gt;0,100*L32/7/I32,0))</f>
        <v>0</v>
      </c>
      <c r="P26" s="1244">
        <f>IFERROR(LOOKUP($A26,TP!$A$6:$A$108,GSh!$AE$6:$AE$108),0)</f>
        <v>0</v>
      </c>
      <c r="Q26" s="1245">
        <f>IF(AND(P26&gt;0,O26&gt;0),O26-P26,0)</f>
        <v>0</v>
      </c>
      <c r="R26" s="699"/>
      <c r="S26" s="762"/>
      <c r="T26" s="765">
        <f t="shared" si="14"/>
        <v>0</v>
      </c>
      <c r="U26" s="700"/>
      <c r="V26" s="701"/>
      <c r="W26" s="701"/>
      <c r="X26" s="295">
        <f t="shared" si="9"/>
        <v>0</v>
      </c>
      <c r="Y26" s="296">
        <f>IF(AA26&gt;0,V26,AE26/IF(Iniciar!$C$25="B X 40 K",40,IF(Iniciar!$C$25="B X 50 K",50,1))*I26/1000)</f>
        <v>0</v>
      </c>
      <c r="Z26" s="296">
        <f t="shared" si="10"/>
        <v>0</v>
      </c>
      <c r="AA26" s="297">
        <f t="shared" ref="AA26:AA31" si="20">IF(I26&gt;0,V26*$A$1/I26,0)</f>
        <v>0</v>
      </c>
      <c r="AB26" s="297">
        <f t="shared" si="3"/>
        <v>0</v>
      </c>
      <c r="AC26" s="1261" t="str">
        <f>$AC$5</f>
        <v>Gr. Ave Dia :</v>
      </c>
      <c r="AD26" s="1262">
        <f>IF(SUMIF(V26:V32,"&gt;0")&gt;0,SUMPRODUCT(AA26:AA32,I26:I32)/SUMIF(AA26:AA32,"&gt;0",I26:I32),0)</f>
        <v>0</v>
      </c>
      <c r="AE26" s="1262">
        <f>IFERROR(LOOKUP($A26,TP!$A$6:$A$108,GSh!$AU$6:$AU$108),0)</f>
        <v>0</v>
      </c>
      <c r="AF26" s="1263">
        <f>IF(AND(AE26&gt;0,AD26&gt;0),(AD26/AE26-1)*100,0)</f>
        <v>0</v>
      </c>
      <c r="AG26" s="1264" t="str">
        <f>PROD!$AG$5</f>
        <v>Gr X H</v>
      </c>
      <c r="AH26" s="1265">
        <f>IF(PROD!O26&gt;0,IF($AG26="Gr X H",PROD!AD26/PROD!O26*100,IF($AG26="Conv Kg/Doc",PROD!AD26/PROD!O26*1.2,IF(PROD!$O28&gt;0,PROD!AD26/(PROD!O26*PROD!$O28)*100,0))),0)</f>
        <v>0</v>
      </c>
      <c r="AI26" s="1265">
        <f>IF(PROD!P26&gt;0,IF($AG26="Gr X H",PROD!AE26/PROD!P26*100,IF($AG26="Conv Kg/Doc",PROD!AE26/PROD!P26*1.2,IF(PROD!$P28&gt;0,PROD!AE26/(PROD!P26*PROD!$P28)*100,0))),0)</f>
        <v>0</v>
      </c>
      <c r="AJ26" s="1266">
        <f t="shared" si="18"/>
        <v>0</v>
      </c>
      <c r="AK26" s="2026"/>
      <c r="AL26" s="1284">
        <f t="shared" si="4"/>
        <v>0</v>
      </c>
      <c r="AM26" s="1285"/>
      <c r="AN26" s="1285"/>
      <c r="AO26" s="1285"/>
      <c r="AP26" s="1285"/>
      <c r="AQ26" s="1285"/>
      <c r="AR26" s="1285"/>
      <c r="AS26" s="1286"/>
      <c r="AT26" s="1287"/>
      <c r="AU26" s="1288"/>
      <c r="AV26" s="1289"/>
      <c r="AW26" s="1290"/>
      <c r="AX26" s="1291"/>
      <c r="AY26" s="1291"/>
      <c r="AZ26" s="1292"/>
      <c r="BA26" s="1293"/>
      <c r="BB26" s="1294"/>
      <c r="BC26" s="1295"/>
      <c r="BD26" s="1296">
        <f>BD25+PROD!L26-BA26</f>
        <v>0</v>
      </c>
      <c r="BE26" s="2132">
        <f>IF(SUM(AM26:AZ32)&gt;0,(SUM(AM26:AM32)*$AM$2+SUM(AN26:AN32)*$AN$2+SUM(AO26:AO32)*$AO$2+SUM(AP26:AP32)*$AP$2+SUM(AQ26:AQ32)*$AQ$2+SUM(AR26:AR32)*$AR$2+SUM(AS26:AS32)*$AS$2+SUM(AW26:AW32)*$AW$2+SUM(AX26:AX32)*$AX$2+SUM(AY26:AY32)*$AY$2+SUM(AZ26:AZ32)*$AZ$2+SUM(AT26:AT32)*$AT$2+SUM(AU26:AU32)*$AU$2+SUM(AV26:AV32)*$AV$2)/SUM(AM26:AZ32),0)</f>
        <v>0</v>
      </c>
      <c r="BF26" s="507" t="e">
        <f t="shared" si="5"/>
        <v>#VALUE!</v>
      </c>
      <c r="BG26" s="277">
        <f>IF(SUM(L26:L32)&gt;0,A26,IF(SUM(V26:V32)&gt;0,A26,BG19))</f>
        <v>0</v>
      </c>
      <c r="BH26" s="1018">
        <f t="shared" si="6"/>
        <v>0</v>
      </c>
    </row>
    <row r="27" spans="1:60" ht="15" customHeight="1" x14ac:dyDescent="0.3">
      <c r="A27" s="2033"/>
      <c r="B27" s="287" t="str">
        <f t="shared" si="7"/>
        <v/>
      </c>
      <c r="C27" s="288" t="str">
        <f t="shared" si="0"/>
        <v/>
      </c>
      <c r="D27" s="691"/>
      <c r="E27" s="692"/>
      <c r="F27" s="693"/>
      <c r="G27" s="694"/>
      <c r="H27" s="695"/>
      <c r="I27" s="289">
        <f t="shared" si="8"/>
        <v>0</v>
      </c>
      <c r="J27" s="1234" t="str">
        <f>$J$6</f>
        <v>% Sel Sem :</v>
      </c>
      <c r="K27" s="1231">
        <f>IF(PROD!$K$2&gt;0,SUM(E26:E32)/PROD!$K$2,0)</f>
        <v>0</v>
      </c>
      <c r="L27" s="1246"/>
      <c r="M27" s="291">
        <f t="shared" si="19"/>
        <v>0</v>
      </c>
      <c r="N27" s="292" t="str">
        <f>$N$6</f>
        <v xml:space="preserve">H. Ave Alojada : </v>
      </c>
      <c r="O27" s="293">
        <f>IF(AND(PROD!$K$2&gt;0,O26&gt;0),SUM(L$5:L32)/PROD!$K$2,0)</f>
        <v>0</v>
      </c>
      <c r="P27" s="293">
        <f>IFERROR(LOOKUP($A26,TP!$A$6:$A$108,GSh!$AJ$6:$AJ$108),0)</f>
        <v>0</v>
      </c>
      <c r="Q27" s="294">
        <f>IF(AND(P27&gt;0,O27&gt;0),O27-P27,0)</f>
        <v>0</v>
      </c>
      <c r="R27" s="699"/>
      <c r="S27" s="762"/>
      <c r="T27" s="765">
        <f t="shared" si="14"/>
        <v>0</v>
      </c>
      <c r="U27" s="700"/>
      <c r="V27" s="701"/>
      <c r="W27" s="701"/>
      <c r="X27" s="295">
        <f t="shared" si="9"/>
        <v>0</v>
      </c>
      <c r="Y27" s="296">
        <f>IF(AA27&gt;0,V27,AE26/IF(Iniciar!$C$25="B X 40 K",40,IF(Iniciar!$C$25="B X 50 K",50,1))*I27/1000)</f>
        <v>0</v>
      </c>
      <c r="Z27" s="296">
        <f t="shared" si="10"/>
        <v>0</v>
      </c>
      <c r="AA27" s="297">
        <f t="shared" si="20"/>
        <v>0</v>
      </c>
      <c r="AB27" s="297">
        <f t="shared" si="3"/>
        <v>0</v>
      </c>
      <c r="AC27" s="1267" t="str">
        <f>$AC$6</f>
        <v>Gr. Ave Sem :</v>
      </c>
      <c r="AD27" s="284">
        <f>AD26*7</f>
        <v>0</v>
      </c>
      <c r="AE27" s="284">
        <f>AE26*7</f>
        <v>0</v>
      </c>
      <c r="AF27" s="285">
        <f>IF(AND(AE27&gt;0,AD27&gt;0),(AD27/AE27-1)*100,0)</f>
        <v>0</v>
      </c>
      <c r="AG27" s="1199" t="str">
        <f>PROD!$AG$6</f>
        <v>Gr X H Acm</v>
      </c>
      <c r="AH27" s="298">
        <f>IF(SUM(PROD!L26:L32)&gt;0,IF(PROD!$AG$5="Gr X H",SUM(PROD!V$5:V32)*PROD!$A$1/SUM(PROD!L$5:L32),IF($AG26="Conv Kg/Doc",(SUM(PROD!V$5:V32)*PROD!$A$1/1000)/(SUM(PROD!L$5:L32)/12),IF(PROD!$O28&gt;0,SUM(PROD!V$5:V32)*PROD!$A$1/(SUM(PROD!L$5:L32)*LOOKUP(PROD!A26,TP!$A$6:$A$108,GSh!$BB$6:$BB$108)),0))),0)</f>
        <v>0</v>
      </c>
      <c r="AI27" s="298">
        <f>IF(PROD!P26&gt;0,IF($AG26="Gr X H",PROD!AE26/PROD!P26*100,IF($AG26="Conv Kg/Doc",PROD!AE26/PROD!P26*1.2,IF(PROD!$P27&gt;0,PROD!AE28/(PROD!P27*LOOKUP(PROD!$A26,TP!$A$6:$A$108,GSh!$BC$6:$BC$108)/1000),0))),0)</f>
        <v>0</v>
      </c>
      <c r="AJ27" s="328">
        <f t="shared" si="18"/>
        <v>0</v>
      </c>
      <c r="AK27" s="2027"/>
      <c r="AL27" s="1284">
        <f t="shared" si="4"/>
        <v>0</v>
      </c>
      <c r="AM27" s="1285"/>
      <c r="AN27" s="1285"/>
      <c r="AO27" s="1285"/>
      <c r="AP27" s="1285"/>
      <c r="AQ27" s="1285"/>
      <c r="AR27" s="1285"/>
      <c r="AS27" s="1286"/>
      <c r="AT27" s="1287"/>
      <c r="AU27" s="1288"/>
      <c r="AV27" s="1289"/>
      <c r="AW27" s="1290"/>
      <c r="AX27" s="1291"/>
      <c r="AY27" s="1291"/>
      <c r="AZ27" s="1292"/>
      <c r="BA27" s="1293"/>
      <c r="BB27" s="1294"/>
      <c r="BC27" s="1295"/>
      <c r="BD27" s="1296">
        <f>BD26+PROD!L27-BA27</f>
        <v>0</v>
      </c>
      <c r="BE27" s="2133"/>
      <c r="BF27" s="507" t="e">
        <f t="shared" si="5"/>
        <v>#VALUE!</v>
      </c>
      <c r="BG27" s="329"/>
      <c r="BH27" s="1018">
        <f t="shared" si="6"/>
        <v>0</v>
      </c>
    </row>
    <row r="28" spans="1:60" ht="15" customHeight="1" x14ac:dyDescent="0.3">
      <c r="A28" s="2033"/>
      <c r="B28" s="287" t="str">
        <f t="shared" si="7"/>
        <v/>
      </c>
      <c r="C28" s="288" t="str">
        <f t="shared" si="0"/>
        <v/>
      </c>
      <c r="D28" s="691"/>
      <c r="E28" s="692"/>
      <c r="F28" s="693"/>
      <c r="G28" s="694"/>
      <c r="H28" s="695"/>
      <c r="I28" s="289">
        <f t="shared" si="8"/>
        <v>0</v>
      </c>
      <c r="J28" s="1235" t="str">
        <f>$J$7</f>
        <v>% Mort/Sel Sem Tab :</v>
      </c>
      <c r="K28" s="1236">
        <f>K31-K24</f>
        <v>0</v>
      </c>
      <c r="L28" s="1246"/>
      <c r="M28" s="291">
        <f t="shared" si="19"/>
        <v>0</v>
      </c>
      <c r="N28" s="304" t="str">
        <f>$N$7</f>
        <v xml:space="preserve">Peso Huevo (Gr) : </v>
      </c>
      <c r="O28" s="305">
        <f>LOOKUP($A26,'Pr-Sem'!$A$6:$A$108,'Pr-Sem'!$Z$6:$Z$108)</f>
        <v>0</v>
      </c>
      <c r="P28" s="305">
        <f>IFERROR(LOOKUP($A26,TP!$A$6:$A$108,GSh!$AZ$6:$AZ$108),0)</f>
        <v>0</v>
      </c>
      <c r="Q28" s="306">
        <f>IF(AND(P28&gt;0,O28&gt;0),O28-P28,0)</f>
        <v>0</v>
      </c>
      <c r="R28" s="699"/>
      <c r="S28" s="762"/>
      <c r="T28" s="765">
        <f t="shared" si="14"/>
        <v>0</v>
      </c>
      <c r="U28" s="700"/>
      <c r="V28" s="701"/>
      <c r="W28" s="701"/>
      <c r="X28" s="295">
        <f t="shared" si="9"/>
        <v>0</v>
      </c>
      <c r="Y28" s="296">
        <f>IF(AA28&gt;0,V28,AE26/IF(Iniciar!$C$25="B X 40 K",40,IF(Iniciar!$C$25="B X 50 K",50,1))*I28/1000)</f>
        <v>0</v>
      </c>
      <c r="Z28" s="296">
        <f t="shared" si="10"/>
        <v>0</v>
      </c>
      <c r="AA28" s="297">
        <f t="shared" si="20"/>
        <v>0</v>
      </c>
      <c r="AB28" s="297">
        <f t="shared" si="3"/>
        <v>0</v>
      </c>
      <c r="AC28" s="1268" t="str">
        <f>$AC$7</f>
        <v>Kg Ave Acu :</v>
      </c>
      <c r="AD28" s="308">
        <f>IF(OR(SUM(L26:L32)&gt;0,SUM(V26:V32)&gt;0),AD27/1000+AD21,0)</f>
        <v>0</v>
      </c>
      <c r="AE28" s="309">
        <f>AE27/1000+AE21</f>
        <v>0</v>
      </c>
      <c r="AF28" s="310">
        <f>IF(AND(AE28&gt;0,AD28&gt;0),(AD28/AE28-1)*100,0)</f>
        <v>0</v>
      </c>
      <c r="AG28" s="311" t="str">
        <f>PROD!$AG$7</f>
        <v xml:space="preserve">Masa Sem H (Gr) : </v>
      </c>
      <c r="AH28" s="312">
        <f>PROD!O26/100*7*PROD!O28</f>
        <v>0</v>
      </c>
      <c r="AI28" s="312">
        <f>PROD!P26/100*7*PROD!P28</f>
        <v>0</v>
      </c>
      <c r="AJ28" s="313">
        <f t="shared" si="18"/>
        <v>0</v>
      </c>
      <c r="AK28" s="2027"/>
      <c r="AL28" s="1284">
        <f t="shared" si="4"/>
        <v>0</v>
      </c>
      <c r="AM28" s="1285"/>
      <c r="AN28" s="1285"/>
      <c r="AO28" s="1285"/>
      <c r="AP28" s="1285"/>
      <c r="AQ28" s="1285"/>
      <c r="AR28" s="1285"/>
      <c r="AS28" s="1286"/>
      <c r="AT28" s="1287"/>
      <c r="AU28" s="1288"/>
      <c r="AV28" s="1289"/>
      <c r="AW28" s="1290"/>
      <c r="AX28" s="1291"/>
      <c r="AY28" s="1291"/>
      <c r="AZ28" s="1292"/>
      <c r="BA28" s="1293"/>
      <c r="BB28" s="1294"/>
      <c r="BC28" s="1295"/>
      <c r="BD28" s="1296">
        <f>BD27+PROD!L28-BA28</f>
        <v>0</v>
      </c>
      <c r="BE28" s="2133"/>
      <c r="BF28" s="507" t="e">
        <f t="shared" si="5"/>
        <v>#VALUE!</v>
      </c>
      <c r="BG28" s="329"/>
      <c r="BH28" s="1018">
        <f t="shared" si="6"/>
        <v>0</v>
      </c>
    </row>
    <row r="29" spans="1:60" ht="15" customHeight="1" x14ac:dyDescent="0.3">
      <c r="A29" s="2033"/>
      <c r="B29" s="287" t="str">
        <f t="shared" si="7"/>
        <v/>
      </c>
      <c r="C29" s="288" t="str">
        <f t="shared" si="0"/>
        <v/>
      </c>
      <c r="D29" s="691"/>
      <c r="E29" s="692"/>
      <c r="F29" s="693"/>
      <c r="G29" s="694"/>
      <c r="H29" s="695"/>
      <c r="I29" s="289">
        <f t="shared" si="8"/>
        <v>0</v>
      </c>
      <c r="J29" s="1234" t="str">
        <f>$J$8</f>
        <v>% Mort Acm :</v>
      </c>
      <c r="K29" s="1231">
        <f>IF(PROD!$K$2&gt;0,SUM(D$5:D32)/PROD!$K$2,0)</f>
        <v>0</v>
      </c>
      <c r="L29" s="1246"/>
      <c r="M29" s="291">
        <f t="shared" si="19"/>
        <v>0</v>
      </c>
      <c r="N29" s="314" t="str">
        <f>N$8</f>
        <v xml:space="preserve">Peso Ave (Gr) : </v>
      </c>
      <c r="O29" s="315">
        <f>LOOKUP($A26,GSh!$BV$6:$BV$108,GSh!$BJ$6:$BJ$108)</f>
        <v>0</v>
      </c>
      <c r="P29" s="315">
        <f>IFERROR(LOOKUP($A26,TP!$A$6:$A$108,GSh!$BK$6:$BK$108),0)</f>
        <v>0</v>
      </c>
      <c r="Q29" s="316">
        <f>IF(AND(P29&gt;0,O29&gt;0),(O29/P29-1)*100,0)</f>
        <v>0</v>
      </c>
      <c r="R29" s="699"/>
      <c r="S29" s="762"/>
      <c r="T29" s="765">
        <f t="shared" si="14"/>
        <v>0</v>
      </c>
      <c r="U29" s="700"/>
      <c r="V29" s="701"/>
      <c r="W29" s="701"/>
      <c r="X29" s="295">
        <f t="shared" si="9"/>
        <v>0</v>
      </c>
      <c r="Y29" s="296">
        <f>IF(AA29&gt;0,V29,AE26/IF(Iniciar!$C$25="B X 40 K",40,IF(Iniciar!$C$25="B X 50 K",50,1))*I29/1000)</f>
        <v>0</v>
      </c>
      <c r="Z29" s="296">
        <f t="shared" si="10"/>
        <v>0</v>
      </c>
      <c r="AA29" s="297">
        <f t="shared" si="20"/>
        <v>0</v>
      </c>
      <c r="AB29" s="297">
        <f t="shared" si="3"/>
        <v>0</v>
      </c>
      <c r="AC29" s="541" t="str">
        <f>$AC$8</f>
        <v xml:space="preserve">Ton. Lote Acu : </v>
      </c>
      <c r="AD29" s="544">
        <f>SUM($V$5:$V32)*$A$1/1000000</f>
        <v>0</v>
      </c>
      <c r="AE29" s="543">
        <f>AE22+(AE26/1000000*7*(I26+I32)/2)</f>
        <v>0</v>
      </c>
      <c r="AF29" s="542">
        <f>IF(AND(AE29&gt;0,AD29&gt;0),(AD29/AE29-1)*100,0)</f>
        <v>0</v>
      </c>
      <c r="AG29" s="317" t="str">
        <f>PROD!$AG$8</f>
        <v xml:space="preserve">Masa Ac A. A (Kg) : </v>
      </c>
      <c r="AH29" s="318">
        <f>IF(PROD!$K$2&gt;0,SUM(PROD!L$5:L32)*LOOKUP(PROD!$A26,TP!$A$6:$A$108,GSh!$BB$6:$BB$108)/1000/PROD!$K$2,0)</f>
        <v>0</v>
      </c>
      <c r="AI29" s="318">
        <f>IFERROR(PROD!P27*LOOKUP(PROD!$A26,TP!$A$6:$A$108,GSh!$BC$6:$BC$108)/1000,0)</f>
        <v>0</v>
      </c>
      <c r="AJ29" s="330">
        <f t="shared" si="18"/>
        <v>0</v>
      </c>
      <c r="AK29" s="2027"/>
      <c r="AL29" s="1284">
        <f t="shared" si="4"/>
        <v>0</v>
      </c>
      <c r="AM29" s="1285"/>
      <c r="AN29" s="1285"/>
      <c r="AO29" s="1285"/>
      <c r="AP29" s="1285"/>
      <c r="AQ29" s="1285"/>
      <c r="AR29" s="1285"/>
      <c r="AS29" s="1286"/>
      <c r="AT29" s="1287"/>
      <c r="AU29" s="1288"/>
      <c r="AV29" s="1289"/>
      <c r="AW29" s="1290"/>
      <c r="AX29" s="1291"/>
      <c r="AY29" s="1291"/>
      <c r="AZ29" s="1292"/>
      <c r="BA29" s="1293"/>
      <c r="BB29" s="1294"/>
      <c r="BC29" s="1295"/>
      <c r="BD29" s="1296">
        <f>BD28+PROD!L29-BA29</f>
        <v>0</v>
      </c>
      <c r="BE29" s="2133"/>
      <c r="BF29" s="507" t="e">
        <f t="shared" si="5"/>
        <v>#VALUE!</v>
      </c>
      <c r="BG29" s="329"/>
      <c r="BH29" s="1018">
        <f t="shared" si="6"/>
        <v>0</v>
      </c>
    </row>
    <row r="30" spans="1:60" ht="15" customHeight="1" x14ac:dyDescent="0.3">
      <c r="A30" s="2033"/>
      <c r="B30" s="287" t="str">
        <f t="shared" si="7"/>
        <v/>
      </c>
      <c r="C30" s="288" t="str">
        <f t="shared" si="0"/>
        <v/>
      </c>
      <c r="D30" s="691"/>
      <c r="E30" s="692"/>
      <c r="F30" s="693"/>
      <c r="G30" s="694"/>
      <c r="H30" s="695"/>
      <c r="I30" s="289">
        <f t="shared" si="8"/>
        <v>0</v>
      </c>
      <c r="J30" s="1234" t="str">
        <f>$J$9</f>
        <v>% Sel Acm :</v>
      </c>
      <c r="K30" s="1231">
        <f>IF(PROD!$K$2&gt;0,SUM(E$5:E32)/PROD!$K$2,0)</f>
        <v>0</v>
      </c>
      <c r="L30" s="1246"/>
      <c r="M30" s="291">
        <f t="shared" si="19"/>
        <v>0</v>
      </c>
      <c r="N30" s="292" t="str">
        <f>$N$9</f>
        <v xml:space="preserve">Uniformidad (10% -) : </v>
      </c>
      <c r="O30" s="320">
        <f>LOOKUP($A26,'Pr-Sem'!$A$6:$A$108,'Pr-Sem'!$AH$6:$AH$108)</f>
        <v>0</v>
      </c>
      <c r="P30" s="320">
        <v>5</v>
      </c>
      <c r="Q30" s="321">
        <f>IF(AND(P30&gt;0,O30&gt;0),(1-O30/P30)*100,0)</f>
        <v>0</v>
      </c>
      <c r="R30" s="699"/>
      <c r="S30" s="762"/>
      <c r="T30" s="765">
        <f t="shared" si="14"/>
        <v>0</v>
      </c>
      <c r="U30" s="700"/>
      <c r="V30" s="701"/>
      <c r="W30" s="701"/>
      <c r="X30" s="295">
        <f t="shared" si="9"/>
        <v>0</v>
      </c>
      <c r="Y30" s="296">
        <f>IF(AA30&gt;0,V30,AE26/IF(Iniciar!$C$25="B X 40 K",40,IF(Iniciar!$C$25="B X 50 K",50,1))*I30/1000)</f>
        <v>0</v>
      </c>
      <c r="Z30" s="296">
        <f t="shared" si="10"/>
        <v>0</v>
      </c>
      <c r="AA30" s="297">
        <f t="shared" si="20"/>
        <v>0</v>
      </c>
      <c r="AB30" s="297">
        <f t="shared" si="3"/>
        <v>0</v>
      </c>
      <c r="AC30" s="2035" t="str">
        <f>$AC$9</f>
        <v xml:space="preserve">Total Litros Sem: </v>
      </c>
      <c r="AD30" s="2036"/>
      <c r="AE30" s="2050">
        <f>SUM(R26:R32)</f>
        <v>0</v>
      </c>
      <c r="AF30" s="2051"/>
      <c r="AG30" s="554" t="str">
        <f>$AG$9</f>
        <v xml:space="preserve">Indicador Eficiencia : </v>
      </c>
      <c r="AH30" s="555">
        <f>IF(AND(AE30&gt;0,O27&gt;0,O28&gt;0,SUM(L26:L32)&gt;0),(PROD!AH29/O27)*K32*100/(AE30/(SUM(L26:L32)*O28/1000)),0)</f>
        <v>0</v>
      </c>
      <c r="AI30" s="555">
        <f>IF(AND(P27&gt;0,PROD!AI28&gt;0),(PROD!AI29/P27)*(1-K31)*100/(AE27/PROD!AI28),0)</f>
        <v>0</v>
      </c>
      <c r="AJ30" s="331">
        <f t="shared" si="18"/>
        <v>0</v>
      </c>
      <c r="AK30" s="2027"/>
      <c r="AL30" s="1284">
        <f t="shared" si="4"/>
        <v>0</v>
      </c>
      <c r="AM30" s="1285"/>
      <c r="AN30" s="1285"/>
      <c r="AO30" s="1285"/>
      <c r="AP30" s="1285"/>
      <c r="AQ30" s="1285"/>
      <c r="AR30" s="1285"/>
      <c r="AS30" s="1286"/>
      <c r="AT30" s="1287"/>
      <c r="AU30" s="1288"/>
      <c r="AV30" s="1289"/>
      <c r="AW30" s="1290"/>
      <c r="AX30" s="1291"/>
      <c r="AY30" s="1291"/>
      <c r="AZ30" s="1292"/>
      <c r="BA30" s="1293"/>
      <c r="BB30" s="1294"/>
      <c r="BC30" s="1295"/>
      <c r="BD30" s="1296">
        <f>BD29+PROD!L30-BA30</f>
        <v>0</v>
      </c>
      <c r="BE30" s="2133"/>
      <c r="BF30" s="507" t="e">
        <f t="shared" si="5"/>
        <v>#VALUE!</v>
      </c>
      <c r="BG30" s="329"/>
      <c r="BH30" s="1018">
        <f t="shared" si="6"/>
        <v>0</v>
      </c>
    </row>
    <row r="31" spans="1:60" ht="15" customHeight="1" x14ac:dyDescent="0.3">
      <c r="A31" s="2033"/>
      <c r="B31" s="287" t="str">
        <f t="shared" si="7"/>
        <v/>
      </c>
      <c r="C31" s="288" t="str">
        <f t="shared" si="0"/>
        <v/>
      </c>
      <c r="D31" s="691"/>
      <c r="E31" s="692"/>
      <c r="F31" s="693"/>
      <c r="G31" s="694"/>
      <c r="H31" s="695"/>
      <c r="I31" s="289">
        <f t="shared" si="8"/>
        <v>0</v>
      </c>
      <c r="J31" s="1237" t="str">
        <f>$J$10</f>
        <v>% Mort/Sel Acm Tab :</v>
      </c>
      <c r="K31" s="1238">
        <f>IFERROR(LOOKUP($A26,TP!$A$6:$A$108,GSh!$AR$6:$AR$108)/100,0)</f>
        <v>0</v>
      </c>
      <c r="L31" s="1246"/>
      <c r="M31" s="291">
        <f t="shared" si="19"/>
        <v>0</v>
      </c>
      <c r="N31" s="292" t="str">
        <f>$N$10</f>
        <v xml:space="preserve">Uniformidad (C. Lote) : </v>
      </c>
      <c r="O31" s="320">
        <f>LOOKUP($A26,'Pr-Sem'!$A$6:$A$108,'Pr-Sem'!$AG$6:$AG$108)</f>
        <v>0</v>
      </c>
      <c r="P31" s="320">
        <v>90</v>
      </c>
      <c r="Q31" s="321">
        <f>IF(AND(P31&gt;0,O31&gt;0),(O31/P31-1)*100,0)</f>
        <v>0</v>
      </c>
      <c r="R31" s="699"/>
      <c r="S31" s="762"/>
      <c r="T31" s="765">
        <f t="shared" si="14"/>
        <v>0</v>
      </c>
      <c r="U31" s="700"/>
      <c r="V31" s="701"/>
      <c r="W31" s="701"/>
      <c r="X31" s="295">
        <f t="shared" si="9"/>
        <v>0</v>
      </c>
      <c r="Y31" s="296">
        <f>IF(AA31&gt;0,V31,AE26/IF(Iniciar!$C$25="B X 40 K",40,IF(Iniciar!$C$25="B X 50 K",50,1))*I31/1000)</f>
        <v>0</v>
      </c>
      <c r="Z31" s="296">
        <f t="shared" si="10"/>
        <v>0</v>
      </c>
      <c r="AA31" s="297">
        <f t="shared" si="20"/>
        <v>0</v>
      </c>
      <c r="AB31" s="297">
        <f t="shared" si="3"/>
        <v>0</v>
      </c>
      <c r="AC31" s="2037" t="str">
        <f>$AC$10</f>
        <v xml:space="preserve">Cons ml /ave día: </v>
      </c>
      <c r="AD31" s="2038"/>
      <c r="AE31" s="2056">
        <f>IFERROR(SUMPRODUCT(AB26:AB32,I26:I32)/SUM(I26:I32),0)</f>
        <v>0</v>
      </c>
      <c r="AF31" s="2057"/>
      <c r="AG31" s="311" t="str">
        <f>CONCATENATE("Costo ",Iniciar!$C$25," : ")</f>
        <v xml:space="preserve">Costo Kilos : </v>
      </c>
      <c r="AH31" s="2043">
        <f>IFERROR(SUMPRODUCT(T26:T32,V26:V32)/SUMIF(T26:T32,"&gt;0",V26:V32),0)</f>
        <v>0</v>
      </c>
      <c r="AI31" s="2043"/>
      <c r="AJ31" s="313"/>
      <c r="AK31" s="2027"/>
      <c r="AL31" s="1284">
        <f t="shared" si="4"/>
        <v>0</v>
      </c>
      <c r="AM31" s="1285"/>
      <c r="AN31" s="1285"/>
      <c r="AO31" s="1285"/>
      <c r="AP31" s="1285"/>
      <c r="AQ31" s="1285"/>
      <c r="AR31" s="1285"/>
      <c r="AS31" s="1286"/>
      <c r="AT31" s="1287"/>
      <c r="AU31" s="1288"/>
      <c r="AV31" s="1289"/>
      <c r="AW31" s="1290"/>
      <c r="AX31" s="1291"/>
      <c r="AY31" s="1291"/>
      <c r="AZ31" s="1292"/>
      <c r="BA31" s="1293"/>
      <c r="BB31" s="1294"/>
      <c r="BC31" s="1295"/>
      <c r="BD31" s="1296">
        <f>BD30+PROD!L31-BA31</f>
        <v>0</v>
      </c>
      <c r="BE31" s="2133"/>
      <c r="BF31" s="507" t="e">
        <f t="shared" si="5"/>
        <v>#VALUE!</v>
      </c>
      <c r="BG31" s="329"/>
      <c r="BH31" s="1018">
        <f t="shared" si="6"/>
        <v>0</v>
      </c>
    </row>
    <row r="32" spans="1:60" ht="15" customHeight="1" x14ac:dyDescent="0.3">
      <c r="A32" s="2034"/>
      <c r="B32" s="287" t="str">
        <f t="shared" si="7"/>
        <v/>
      </c>
      <c r="C32" s="288" t="str">
        <f t="shared" si="0"/>
        <v/>
      </c>
      <c r="D32" s="691"/>
      <c r="E32" s="692"/>
      <c r="F32" s="693"/>
      <c r="G32" s="694"/>
      <c r="H32" s="695"/>
      <c r="I32" s="289">
        <f t="shared" si="8"/>
        <v>0</v>
      </c>
      <c r="J32" s="1239" t="str">
        <f>$J$11</f>
        <v>% Viabilidad :</v>
      </c>
      <c r="K32" s="1240">
        <f>IF(OR(SUM(L26:L32)&gt;0,SUM(V26:V32)&gt;0),1-(K29+K30),0)</f>
        <v>0</v>
      </c>
      <c r="L32" s="1247"/>
      <c r="M32" s="1248">
        <f>IF(I32&gt;0,(L32/IF(SUM(L26:L31)&gt;0,1,7))/I32,0)</f>
        <v>0</v>
      </c>
      <c r="N32" s="1249" t="str">
        <f>$N$11</f>
        <v xml:space="preserve">Uniformidad (10% +) : </v>
      </c>
      <c r="O32" s="1250">
        <f>IF(O30&gt;0,IF(O31&gt;0,100-SUM(O30:O31),0),0)</f>
        <v>0</v>
      </c>
      <c r="P32" s="1251">
        <f>100-SUM(P30:P31)</f>
        <v>5</v>
      </c>
      <c r="Q32" s="1252">
        <f>IF(AND(P32&gt;0,O32&gt;0),(O32/P32-1)*100,0)</f>
        <v>0</v>
      </c>
      <c r="R32" s="699"/>
      <c r="S32" s="762"/>
      <c r="T32" s="765">
        <f t="shared" si="14"/>
        <v>0</v>
      </c>
      <c r="U32" s="700"/>
      <c r="V32" s="701"/>
      <c r="W32" s="701"/>
      <c r="X32" s="295">
        <f t="shared" si="9"/>
        <v>0</v>
      </c>
      <c r="Y32" s="296">
        <f>IF(AA32&gt;0,V32,AE26/IF(Iniciar!$C$25="B X 40 K",40,IF(Iniciar!$C$25="B X 50 K",50,1))*I32/1000)</f>
        <v>0</v>
      </c>
      <c r="Z32" s="296">
        <f t="shared" si="10"/>
        <v>0</v>
      </c>
      <c r="AA32" s="297">
        <f>IF(I32&gt;0,(V32/IF(SUM(V26:V31)&gt;0,1,7))*$A$1/I32,0)</f>
        <v>0</v>
      </c>
      <c r="AB32" s="297">
        <f t="shared" si="3"/>
        <v>0</v>
      </c>
      <c r="AC32" s="2039" t="str">
        <f>$AC$11</f>
        <v xml:space="preserve">Relación Agua /Alimto: </v>
      </c>
      <c r="AD32" s="2040"/>
      <c r="AE32" s="2058">
        <f>IFERROR(AE31/AD26,0)</f>
        <v>0</v>
      </c>
      <c r="AF32" s="2059"/>
      <c r="AG32" s="1269" t="s">
        <v>237</v>
      </c>
      <c r="AH32" s="1270">
        <f>IF(SUM(L26:L32)&gt;0,AH31*SUM(V26:V32)/SUM(L26:L32),0)</f>
        <v>0</v>
      </c>
      <c r="AI32" s="1270">
        <f>IF(AND($A$1&gt;0,P26&gt;0),AH31/$A$1*(AE26/P26)*100,0)</f>
        <v>0</v>
      </c>
      <c r="AJ32" s="1271">
        <f t="shared" ref="AJ32:AJ37" si="21">IF(AND(AI32&gt;0,AH32&gt;0),(AH32/AI32-1)*100,0)</f>
        <v>0</v>
      </c>
      <c r="AK32" s="2028"/>
      <c r="AL32" s="1284">
        <f t="shared" si="4"/>
        <v>0</v>
      </c>
      <c r="AM32" s="1285"/>
      <c r="AN32" s="1285"/>
      <c r="AO32" s="1285"/>
      <c r="AP32" s="1285"/>
      <c r="AQ32" s="1285"/>
      <c r="AR32" s="1285"/>
      <c r="AS32" s="1286"/>
      <c r="AT32" s="1287"/>
      <c r="AU32" s="1288"/>
      <c r="AV32" s="1289"/>
      <c r="AW32" s="1290"/>
      <c r="AX32" s="1291"/>
      <c r="AY32" s="1291"/>
      <c r="AZ32" s="1292"/>
      <c r="BA32" s="1293"/>
      <c r="BB32" s="1294"/>
      <c r="BC32" s="1295"/>
      <c r="BD32" s="1296">
        <f>BD31+PROD!L32-BA32</f>
        <v>0</v>
      </c>
      <c r="BE32" s="2134"/>
      <c r="BF32" s="507" t="e">
        <f t="shared" si="5"/>
        <v>#VALUE!</v>
      </c>
      <c r="BG32" s="329"/>
      <c r="BH32" s="1018">
        <f t="shared" si="6"/>
        <v>0</v>
      </c>
    </row>
    <row r="33" spans="1:60" ht="15" customHeight="1" x14ac:dyDescent="0.3">
      <c r="A33" s="2032">
        <f>A26+1</f>
        <v>22</v>
      </c>
      <c r="B33" s="287" t="str">
        <f t="shared" si="7"/>
        <v/>
      </c>
      <c r="C33" s="288" t="str">
        <f t="shared" si="0"/>
        <v/>
      </c>
      <c r="D33" s="691"/>
      <c r="E33" s="692"/>
      <c r="F33" s="693"/>
      <c r="G33" s="694"/>
      <c r="H33" s="695"/>
      <c r="I33" s="289">
        <f t="shared" si="8"/>
        <v>0</v>
      </c>
      <c r="J33" s="1232" t="str">
        <f>$J$5</f>
        <v>% Mort Sem :</v>
      </c>
      <c r="K33" s="1233">
        <f>IF(PROD!$K$2&gt;0,SUM(D33:D39)/PROD!$K$2,0)</f>
        <v>0</v>
      </c>
      <c r="L33" s="1241"/>
      <c r="M33" s="1242">
        <f t="shared" ref="M33:M38" si="22">IF(I33&gt;0,L33/I33,0)</f>
        <v>0</v>
      </c>
      <c r="N33" s="1243" t="str">
        <f>$N$5</f>
        <v xml:space="preserve">% Pdn prom semana : </v>
      </c>
      <c r="O33" s="1244">
        <f>IF(SUM(L33:L38)&gt;0,100*SUMPRODUCT(M33:M39,I33:I39)/SUMIF(L33:L39,"&gt;0",I33:I39),IF(L39&gt;0,100*L39/7/I39,0))</f>
        <v>0</v>
      </c>
      <c r="P33" s="1244">
        <f>IFERROR(LOOKUP($A33,TP!$A$6:$A$108,GSh!$AE$6:$AE$108),0)</f>
        <v>0</v>
      </c>
      <c r="Q33" s="1245">
        <f>IF(AND(P33&gt;0,O33&gt;0),O33-P33,0)</f>
        <v>0</v>
      </c>
      <c r="R33" s="699"/>
      <c r="S33" s="762"/>
      <c r="T33" s="765">
        <f t="shared" si="14"/>
        <v>0</v>
      </c>
      <c r="U33" s="700"/>
      <c r="V33" s="701"/>
      <c r="W33" s="701"/>
      <c r="X33" s="295">
        <f t="shared" si="9"/>
        <v>0</v>
      </c>
      <c r="Y33" s="296">
        <f>IF(AA33&gt;0,V33,AE33/IF(Iniciar!$C$25="B X 40 K",40,IF(Iniciar!$C$25="B X 50 K",50,1))*I33/1000)</f>
        <v>0</v>
      </c>
      <c r="Z33" s="296">
        <f t="shared" si="10"/>
        <v>0</v>
      </c>
      <c r="AA33" s="297">
        <f t="shared" ref="AA33:AA38" si="23">IF(I33&gt;0,V33*$A$1/I33,0)</f>
        <v>0</v>
      </c>
      <c r="AB33" s="297">
        <f t="shared" si="3"/>
        <v>0</v>
      </c>
      <c r="AC33" s="1261" t="str">
        <f>$AC$5</f>
        <v>Gr. Ave Dia :</v>
      </c>
      <c r="AD33" s="1262">
        <f>IF(SUMIF(V33:V39,"&gt;0")&gt;0,SUMPRODUCT(AA33:AA39,I33:I39)/SUMIF(AA33:AA39,"&gt;0",I33:I39),0)</f>
        <v>0</v>
      </c>
      <c r="AE33" s="1262">
        <f>IFERROR(LOOKUP($A33,TP!$A$6:$A$108,GSh!$AU$6:$AU$108),0)</f>
        <v>0</v>
      </c>
      <c r="AF33" s="1263">
        <f>IF(AND(AE33&gt;0,AD33&gt;0),(AD33/AE33-1)*100,0)</f>
        <v>0</v>
      </c>
      <c r="AG33" s="1264" t="str">
        <f>PROD!$AG$5</f>
        <v>Gr X H</v>
      </c>
      <c r="AH33" s="1265">
        <f>IF(PROD!O33&gt;0,IF($AG33="Gr X H",PROD!AD33/PROD!O33*100,IF($AG33="Conv Kg/Doc",PROD!AD33/PROD!O33*1.2,IF(PROD!$O35&gt;0,PROD!AD33/(PROD!O33*PROD!$O35)*100,0))),0)</f>
        <v>0</v>
      </c>
      <c r="AI33" s="1265">
        <f>IF(PROD!P33&gt;0,IF($AG33="Gr X H",PROD!AE33/PROD!P33*100,IF($AG33="Conv Kg/Doc",PROD!AE33/PROD!P33*1.2,IF(PROD!$P35&gt;0,PROD!AE33/(PROD!P33*PROD!$P35)*100,0))),0)</f>
        <v>0</v>
      </c>
      <c r="AJ33" s="1266">
        <f t="shared" si="21"/>
        <v>0</v>
      </c>
      <c r="AK33" s="2026"/>
      <c r="AL33" s="1284">
        <f t="shared" si="4"/>
        <v>0</v>
      </c>
      <c r="AM33" s="1285"/>
      <c r="AN33" s="1285"/>
      <c r="AO33" s="1285"/>
      <c r="AP33" s="1285"/>
      <c r="AQ33" s="1285"/>
      <c r="AR33" s="1285"/>
      <c r="AS33" s="1286"/>
      <c r="AT33" s="1287"/>
      <c r="AU33" s="1288"/>
      <c r="AV33" s="1289"/>
      <c r="AW33" s="1290"/>
      <c r="AX33" s="1291"/>
      <c r="AY33" s="1291"/>
      <c r="AZ33" s="1292"/>
      <c r="BA33" s="1293"/>
      <c r="BB33" s="1294"/>
      <c r="BC33" s="1295"/>
      <c r="BD33" s="1296">
        <f>BD32+PROD!L33-BA33</f>
        <v>0</v>
      </c>
      <c r="BE33" s="2132">
        <f>IF(SUM(AM33:AZ39)&gt;0,(SUM(AM33:AM39)*$AM$2+SUM(AN33:AN39)*$AN$2+SUM(AO33:AO39)*$AO$2+SUM(AP33:AP39)*$AP$2+SUM(AQ33:AQ39)*$AQ$2+SUM(AR33:AR39)*$AR$2+SUM(AS33:AS39)*$AS$2+SUM(AW33:AW39)*$AW$2+SUM(AX33:AX39)*$AX$2+SUM(AY33:AY39)*$AY$2+SUM(AZ33:AZ39)*$AZ$2+SUM(AT33:AT39)*$AT$2+SUM(AU33:AU39)*$AU$2+SUM(AV33:AV39)*$AV$2)/SUM(AM33:AZ39),0)</f>
        <v>0</v>
      </c>
      <c r="BF33" s="507" t="e">
        <f t="shared" si="5"/>
        <v>#VALUE!</v>
      </c>
      <c r="BG33" s="277">
        <f>IF(SUM(L33:L39)&gt;0,A33,IF(SUM(V33:V39)&gt;0,A33,BG26))</f>
        <v>0</v>
      </c>
      <c r="BH33" s="1018">
        <f t="shared" si="6"/>
        <v>0</v>
      </c>
    </row>
    <row r="34" spans="1:60" ht="15" customHeight="1" x14ac:dyDescent="0.3">
      <c r="A34" s="2033"/>
      <c r="B34" s="287" t="str">
        <f t="shared" si="7"/>
        <v/>
      </c>
      <c r="C34" s="288" t="str">
        <f t="shared" si="0"/>
        <v/>
      </c>
      <c r="D34" s="691"/>
      <c r="E34" s="692"/>
      <c r="F34" s="693"/>
      <c r="G34" s="694"/>
      <c r="H34" s="695"/>
      <c r="I34" s="289">
        <f t="shared" si="8"/>
        <v>0</v>
      </c>
      <c r="J34" s="1234" t="str">
        <f>$J$6</f>
        <v>% Sel Sem :</v>
      </c>
      <c r="K34" s="1231">
        <f>IF(PROD!$K$2&gt;0,SUM(E33:E39)/PROD!$K$2,0)</f>
        <v>0</v>
      </c>
      <c r="L34" s="1246"/>
      <c r="M34" s="291">
        <f t="shared" si="22"/>
        <v>0</v>
      </c>
      <c r="N34" s="292" t="str">
        <f>$N$6</f>
        <v xml:space="preserve">H. Ave Alojada : </v>
      </c>
      <c r="O34" s="293">
        <f>IF(AND(PROD!$K$2&gt;0,O33&gt;0),SUM(L$5:L39)/PROD!$K$2,0)</f>
        <v>0</v>
      </c>
      <c r="P34" s="293">
        <f>IFERROR(LOOKUP($A33,TP!$A$6:$A$108,GSh!$AJ$6:$AJ$108),0)</f>
        <v>0</v>
      </c>
      <c r="Q34" s="294">
        <f>IF(AND(P34&gt;0,O34&gt;0),O34-P34,0)</f>
        <v>0</v>
      </c>
      <c r="R34" s="699"/>
      <c r="S34" s="762"/>
      <c r="T34" s="765">
        <f t="shared" si="14"/>
        <v>0</v>
      </c>
      <c r="U34" s="700"/>
      <c r="V34" s="701"/>
      <c r="W34" s="701"/>
      <c r="X34" s="295">
        <f t="shared" si="9"/>
        <v>0</v>
      </c>
      <c r="Y34" s="296">
        <f>IF(AA34&gt;0,V34,AE33/IF(Iniciar!$C$25="B X 40 K",40,IF(Iniciar!$C$25="B X 50 K",50,1))*I34/1000)</f>
        <v>0</v>
      </c>
      <c r="Z34" s="296">
        <f t="shared" si="10"/>
        <v>0</v>
      </c>
      <c r="AA34" s="297">
        <f t="shared" si="23"/>
        <v>0</v>
      </c>
      <c r="AB34" s="297">
        <f t="shared" si="3"/>
        <v>0</v>
      </c>
      <c r="AC34" s="1267" t="str">
        <f>$AC$6</f>
        <v>Gr. Ave Sem :</v>
      </c>
      <c r="AD34" s="284">
        <f>AD33*7</f>
        <v>0</v>
      </c>
      <c r="AE34" s="284">
        <f>AE33*7</f>
        <v>0</v>
      </c>
      <c r="AF34" s="285">
        <f>IF(AND(AE34&gt;0,AD34&gt;0),(AD34/AE34-1)*100,0)</f>
        <v>0</v>
      </c>
      <c r="AG34" s="1199" t="str">
        <f>PROD!$AG$6</f>
        <v>Gr X H Acm</v>
      </c>
      <c r="AH34" s="298">
        <f>IF(SUM(PROD!L33:L39)&gt;0,IF(PROD!$AG$5="Gr X H",SUM(PROD!V$5:V39)*PROD!$A$1/SUM(PROD!L$5:L39),IF($AG33="Conv Kg/Doc",(SUM(PROD!V$5:V39)*PROD!$A$1/1000)/(SUM(PROD!L$5:L39)/12),IF(PROD!$O35&gt;0,SUM(PROD!V$5:V39)*PROD!$A$1/(SUM(PROD!L$5:L39)*LOOKUP(PROD!A33,TP!$A$6:$A$108,GSh!$BB$6:$BB$108)),0))),0)</f>
        <v>0</v>
      </c>
      <c r="AI34" s="298">
        <f>IF(PROD!P33&gt;0,IF($AG33="Gr X H",PROD!AE33/PROD!P33*100,IF($AG33="Conv Kg/Doc",PROD!AE33/PROD!P33*1.2,IF(PROD!$P34&gt;0,PROD!AE35/(PROD!P34*LOOKUP(PROD!$A33,TP!$A$6:$A$108,GSh!$BC$6:$BC$108)/1000),0))),0)</f>
        <v>0</v>
      </c>
      <c r="AJ34" s="328">
        <f t="shared" si="21"/>
        <v>0</v>
      </c>
      <c r="AK34" s="2027"/>
      <c r="AL34" s="1284">
        <f t="shared" si="4"/>
        <v>0</v>
      </c>
      <c r="AM34" s="1285"/>
      <c r="AN34" s="1285"/>
      <c r="AO34" s="1285"/>
      <c r="AP34" s="1285"/>
      <c r="AQ34" s="1285"/>
      <c r="AR34" s="1285"/>
      <c r="AS34" s="1286"/>
      <c r="AT34" s="1287"/>
      <c r="AU34" s="1288"/>
      <c r="AV34" s="1289"/>
      <c r="AW34" s="1290"/>
      <c r="AX34" s="1291"/>
      <c r="AY34" s="1291"/>
      <c r="AZ34" s="1292"/>
      <c r="BA34" s="1293"/>
      <c r="BB34" s="1294"/>
      <c r="BC34" s="1295"/>
      <c r="BD34" s="1296">
        <f>BD33+PROD!L34-BA34</f>
        <v>0</v>
      </c>
      <c r="BE34" s="2133"/>
      <c r="BF34" s="507" t="e">
        <f t="shared" si="5"/>
        <v>#VALUE!</v>
      </c>
      <c r="BG34" s="329"/>
      <c r="BH34" s="1018">
        <f t="shared" si="6"/>
        <v>0</v>
      </c>
    </row>
    <row r="35" spans="1:60" ht="15" customHeight="1" x14ac:dyDescent="0.3">
      <c r="A35" s="2033"/>
      <c r="B35" s="287" t="str">
        <f t="shared" si="7"/>
        <v/>
      </c>
      <c r="C35" s="288" t="str">
        <f t="shared" si="0"/>
        <v/>
      </c>
      <c r="D35" s="691"/>
      <c r="E35" s="692"/>
      <c r="F35" s="693"/>
      <c r="G35" s="694"/>
      <c r="H35" s="695"/>
      <c r="I35" s="289">
        <f t="shared" si="8"/>
        <v>0</v>
      </c>
      <c r="J35" s="1235" t="str">
        <f>$J$7</f>
        <v>% Mort/Sel Sem Tab :</v>
      </c>
      <c r="K35" s="1236">
        <f>K38-K31</f>
        <v>0</v>
      </c>
      <c r="L35" s="1246"/>
      <c r="M35" s="291">
        <f t="shared" si="22"/>
        <v>0</v>
      </c>
      <c r="N35" s="304" t="str">
        <f>$N$7</f>
        <v xml:space="preserve">Peso Huevo (Gr) : </v>
      </c>
      <c r="O35" s="305">
        <f>LOOKUP($A33,'Pr-Sem'!$A$6:$A$108,'Pr-Sem'!$Z$6:$Z$108)</f>
        <v>0</v>
      </c>
      <c r="P35" s="305">
        <f>IFERROR(LOOKUP($A33,TP!$A$6:$A$108,GSh!$AZ$6:$AZ$108),0)</f>
        <v>0</v>
      </c>
      <c r="Q35" s="306">
        <f>IF(AND(P35&gt;0,O35&gt;0),O35-P35,0)</f>
        <v>0</v>
      </c>
      <c r="R35" s="699"/>
      <c r="S35" s="762"/>
      <c r="T35" s="765">
        <f t="shared" si="14"/>
        <v>0</v>
      </c>
      <c r="U35" s="700"/>
      <c r="V35" s="701"/>
      <c r="W35" s="701"/>
      <c r="X35" s="295">
        <f t="shared" si="9"/>
        <v>0</v>
      </c>
      <c r="Y35" s="296">
        <f>IF(AA35&gt;0,V35,AE33/IF(Iniciar!$C$25="B X 40 K",40,IF(Iniciar!$C$25="B X 50 K",50,1))*I35/1000)</f>
        <v>0</v>
      </c>
      <c r="Z35" s="296">
        <f t="shared" si="10"/>
        <v>0</v>
      </c>
      <c r="AA35" s="297">
        <f t="shared" si="23"/>
        <v>0</v>
      </c>
      <c r="AB35" s="297">
        <f t="shared" si="3"/>
        <v>0</v>
      </c>
      <c r="AC35" s="1268" t="str">
        <f>$AC$7</f>
        <v>Kg Ave Acu :</v>
      </c>
      <c r="AD35" s="308">
        <f>IF(OR(SUM(L33:L39)&gt;0,SUM(V33:V39)&gt;0),AD34/1000+AD28,0)</f>
        <v>0</v>
      </c>
      <c r="AE35" s="309">
        <f>AE34/1000+AE28</f>
        <v>0</v>
      </c>
      <c r="AF35" s="310">
        <f>IF(AND(AE35&gt;0,AD35&gt;0),(AD35/AE35-1)*100,0)</f>
        <v>0</v>
      </c>
      <c r="AG35" s="311" t="str">
        <f>PROD!$AG$7</f>
        <v xml:space="preserve">Masa Sem H (Gr) : </v>
      </c>
      <c r="AH35" s="312">
        <f>PROD!O33/100*7*PROD!O35</f>
        <v>0</v>
      </c>
      <c r="AI35" s="312">
        <f>PROD!P33/100*7*PROD!P35</f>
        <v>0</v>
      </c>
      <c r="AJ35" s="313">
        <f t="shared" si="21"/>
        <v>0</v>
      </c>
      <c r="AK35" s="2027"/>
      <c r="AL35" s="1284">
        <f t="shared" si="4"/>
        <v>0</v>
      </c>
      <c r="AM35" s="1285"/>
      <c r="AN35" s="1285"/>
      <c r="AO35" s="1285"/>
      <c r="AP35" s="1285"/>
      <c r="AQ35" s="1285"/>
      <c r="AR35" s="1285"/>
      <c r="AS35" s="1286"/>
      <c r="AT35" s="1287"/>
      <c r="AU35" s="1288"/>
      <c r="AV35" s="1289"/>
      <c r="AW35" s="1290"/>
      <c r="AX35" s="1291"/>
      <c r="AY35" s="1291"/>
      <c r="AZ35" s="1292"/>
      <c r="BA35" s="1293"/>
      <c r="BB35" s="1294"/>
      <c r="BC35" s="1295"/>
      <c r="BD35" s="1296">
        <f>BD34+PROD!L35-BA35</f>
        <v>0</v>
      </c>
      <c r="BE35" s="2133"/>
      <c r="BF35" s="507" t="e">
        <f t="shared" si="5"/>
        <v>#VALUE!</v>
      </c>
      <c r="BG35" s="329"/>
      <c r="BH35" s="1018">
        <f t="shared" si="6"/>
        <v>0</v>
      </c>
    </row>
    <row r="36" spans="1:60" ht="15" customHeight="1" x14ac:dyDescent="0.3">
      <c r="A36" s="2033"/>
      <c r="B36" s="287" t="str">
        <f t="shared" si="7"/>
        <v/>
      </c>
      <c r="C36" s="288" t="str">
        <f t="shared" si="0"/>
        <v/>
      </c>
      <c r="D36" s="691"/>
      <c r="E36" s="692"/>
      <c r="F36" s="693"/>
      <c r="G36" s="694"/>
      <c r="H36" s="695"/>
      <c r="I36" s="289">
        <f t="shared" si="8"/>
        <v>0</v>
      </c>
      <c r="J36" s="1234" t="str">
        <f>$J$8</f>
        <v>% Mort Acm :</v>
      </c>
      <c r="K36" s="1231">
        <f>IF(PROD!$K$2&gt;0,SUM(D$5:D39)/PROD!$K$2,0)</f>
        <v>0</v>
      </c>
      <c r="L36" s="1246"/>
      <c r="M36" s="291">
        <f t="shared" si="22"/>
        <v>0</v>
      </c>
      <c r="N36" s="314" t="str">
        <f>N$8</f>
        <v xml:space="preserve">Peso Ave (Gr) : </v>
      </c>
      <c r="O36" s="315">
        <f>LOOKUP($A33,GSh!$BV$6:$BV$108,GSh!$BJ$6:$BJ$108)</f>
        <v>0</v>
      </c>
      <c r="P36" s="315">
        <f>IFERROR(LOOKUP($A33,TP!$A$6:$A$108,GSh!$BK$6:$BK$108),0)</f>
        <v>0</v>
      </c>
      <c r="Q36" s="316">
        <f>IF(AND(P36&gt;0,O36&gt;0),(O36/P36-1)*100,0)</f>
        <v>0</v>
      </c>
      <c r="R36" s="699"/>
      <c r="S36" s="762"/>
      <c r="T36" s="765">
        <f t="shared" si="14"/>
        <v>0</v>
      </c>
      <c r="U36" s="700"/>
      <c r="V36" s="701"/>
      <c r="W36" s="701"/>
      <c r="X36" s="295">
        <f t="shared" si="9"/>
        <v>0</v>
      </c>
      <c r="Y36" s="296">
        <f>IF(AA36&gt;0,V36,AE33/IF(Iniciar!$C$25="B X 40 K",40,IF(Iniciar!$C$25="B X 50 K",50,1))*I36/1000)</f>
        <v>0</v>
      </c>
      <c r="Z36" s="296">
        <f t="shared" si="10"/>
        <v>0</v>
      </c>
      <c r="AA36" s="297">
        <f t="shared" si="23"/>
        <v>0</v>
      </c>
      <c r="AB36" s="297">
        <f t="shared" si="3"/>
        <v>0</v>
      </c>
      <c r="AC36" s="541" t="str">
        <f>$AC$8</f>
        <v xml:space="preserve">Ton. Lote Acu : </v>
      </c>
      <c r="AD36" s="544">
        <f>SUM($V$5:$V39)*$A$1/1000000</f>
        <v>0</v>
      </c>
      <c r="AE36" s="543">
        <f>AE29+(AE33/1000000*7*(I33+I39)/2)</f>
        <v>0</v>
      </c>
      <c r="AF36" s="542">
        <f>IF(AND(AE36&gt;0,AD36&gt;0),(AD36/AE36-1)*100,0)</f>
        <v>0</v>
      </c>
      <c r="AG36" s="317" t="str">
        <f>PROD!$AG$8</f>
        <v xml:space="preserve">Masa Ac A. A (Kg) : </v>
      </c>
      <c r="AH36" s="318">
        <f>IF(PROD!$K$2&gt;0,SUM(PROD!L$5:L39)*LOOKUP(PROD!$A33,TP!$A$6:$A$108,GSh!$BB$6:$BB$108)/1000/PROD!$K$2,0)</f>
        <v>0</v>
      </c>
      <c r="AI36" s="318">
        <f>IFERROR(PROD!P34*LOOKUP(PROD!$A33,TP!$A$6:$A$108,GSh!$BC$6:$BC$108)/1000,0)</f>
        <v>0</v>
      </c>
      <c r="AJ36" s="330">
        <f t="shared" si="21"/>
        <v>0</v>
      </c>
      <c r="AK36" s="2027"/>
      <c r="AL36" s="1284">
        <f t="shared" si="4"/>
        <v>0</v>
      </c>
      <c r="AM36" s="1285"/>
      <c r="AN36" s="1285"/>
      <c r="AO36" s="1285"/>
      <c r="AP36" s="1285"/>
      <c r="AQ36" s="1285"/>
      <c r="AR36" s="1285"/>
      <c r="AS36" s="1286"/>
      <c r="AT36" s="1287"/>
      <c r="AU36" s="1288"/>
      <c r="AV36" s="1289"/>
      <c r="AW36" s="1290"/>
      <c r="AX36" s="1291"/>
      <c r="AY36" s="1291"/>
      <c r="AZ36" s="1292"/>
      <c r="BA36" s="1293"/>
      <c r="BB36" s="1294"/>
      <c r="BC36" s="1295"/>
      <c r="BD36" s="1296">
        <f>BD35+PROD!L36-BA36</f>
        <v>0</v>
      </c>
      <c r="BE36" s="2133"/>
      <c r="BF36" s="507" t="e">
        <f t="shared" si="5"/>
        <v>#VALUE!</v>
      </c>
      <c r="BG36" s="329"/>
      <c r="BH36" s="1018">
        <f t="shared" si="6"/>
        <v>0</v>
      </c>
    </row>
    <row r="37" spans="1:60" ht="15" customHeight="1" x14ac:dyDescent="0.3">
      <c r="A37" s="2033"/>
      <c r="B37" s="287" t="str">
        <f t="shared" si="7"/>
        <v/>
      </c>
      <c r="C37" s="288" t="str">
        <f t="shared" si="0"/>
        <v/>
      </c>
      <c r="D37" s="691"/>
      <c r="E37" s="692"/>
      <c r="F37" s="693"/>
      <c r="G37" s="694"/>
      <c r="H37" s="695"/>
      <c r="I37" s="289">
        <f t="shared" si="8"/>
        <v>0</v>
      </c>
      <c r="J37" s="1234" t="str">
        <f>$J$9</f>
        <v>% Sel Acm :</v>
      </c>
      <c r="K37" s="1231">
        <f>IF(PROD!$K$2&gt;0,SUM(E$5:E39)/PROD!$K$2,0)</f>
        <v>0</v>
      </c>
      <c r="L37" s="1246"/>
      <c r="M37" s="291">
        <f t="shared" si="22"/>
        <v>0</v>
      </c>
      <c r="N37" s="292" t="str">
        <f>$N$9</f>
        <v xml:space="preserve">Uniformidad (10% -) : </v>
      </c>
      <c r="O37" s="320">
        <f>LOOKUP($A33,'Pr-Sem'!$A$6:$A$108,'Pr-Sem'!$AH$6:$AH$108)</f>
        <v>0</v>
      </c>
      <c r="P37" s="320">
        <v>5</v>
      </c>
      <c r="Q37" s="321">
        <f>IF(AND(P37&gt;0,O37&gt;0),(1-O37/P37)*100,0)</f>
        <v>0</v>
      </c>
      <c r="R37" s="699"/>
      <c r="S37" s="762"/>
      <c r="T37" s="765">
        <f t="shared" si="14"/>
        <v>0</v>
      </c>
      <c r="U37" s="700"/>
      <c r="V37" s="701"/>
      <c r="W37" s="701"/>
      <c r="X37" s="295">
        <f t="shared" si="9"/>
        <v>0</v>
      </c>
      <c r="Y37" s="296">
        <f>IF(AA37&gt;0,V37,AE33/IF(Iniciar!$C$25="B X 40 K",40,IF(Iniciar!$C$25="B X 50 K",50,1))*I37/1000)</f>
        <v>0</v>
      </c>
      <c r="Z37" s="296">
        <f t="shared" si="10"/>
        <v>0</v>
      </c>
      <c r="AA37" s="297">
        <f t="shared" si="23"/>
        <v>0</v>
      </c>
      <c r="AB37" s="297">
        <f t="shared" si="3"/>
        <v>0</v>
      </c>
      <c r="AC37" s="2035" t="str">
        <f>$AC$9</f>
        <v xml:space="preserve">Total Litros Sem: </v>
      </c>
      <c r="AD37" s="2036"/>
      <c r="AE37" s="2050">
        <f>SUM(R33:R39)</f>
        <v>0</v>
      </c>
      <c r="AF37" s="2051"/>
      <c r="AG37" s="554" t="str">
        <f>$AG$9</f>
        <v xml:space="preserve">Indicador Eficiencia : </v>
      </c>
      <c r="AH37" s="555">
        <f>IF(AND(AE37&gt;0,O34&gt;0,O35&gt;0,SUM(L33:L39)&gt;0),(PROD!AH36/O34)*K39*100/(AE37/(SUM(L33:L39)*O35/1000)),0)</f>
        <v>0</v>
      </c>
      <c r="AI37" s="555">
        <f>IF(AND(P34&gt;0,PROD!AI35&gt;0),(PROD!AI36/P34)*(1-K38)*100/(AE34/PROD!AI35),0)</f>
        <v>0</v>
      </c>
      <c r="AJ37" s="331">
        <f t="shared" si="21"/>
        <v>0</v>
      </c>
      <c r="AK37" s="2027"/>
      <c r="AL37" s="1284">
        <f t="shared" si="4"/>
        <v>0</v>
      </c>
      <c r="AM37" s="1285"/>
      <c r="AN37" s="1285"/>
      <c r="AO37" s="1285"/>
      <c r="AP37" s="1285"/>
      <c r="AQ37" s="1285"/>
      <c r="AR37" s="1285"/>
      <c r="AS37" s="1286"/>
      <c r="AT37" s="1287"/>
      <c r="AU37" s="1288"/>
      <c r="AV37" s="1289"/>
      <c r="AW37" s="1290"/>
      <c r="AX37" s="1291"/>
      <c r="AY37" s="1291"/>
      <c r="AZ37" s="1292"/>
      <c r="BA37" s="1293"/>
      <c r="BB37" s="1294"/>
      <c r="BC37" s="1295"/>
      <c r="BD37" s="1296">
        <f>BD36+PROD!L37-BA37</f>
        <v>0</v>
      </c>
      <c r="BE37" s="2133"/>
      <c r="BF37" s="507" t="e">
        <f t="shared" si="5"/>
        <v>#VALUE!</v>
      </c>
      <c r="BG37" s="329"/>
      <c r="BH37" s="1018">
        <f t="shared" si="6"/>
        <v>0</v>
      </c>
    </row>
    <row r="38" spans="1:60" ht="15" customHeight="1" x14ac:dyDescent="0.3">
      <c r="A38" s="2033"/>
      <c r="B38" s="287" t="str">
        <f t="shared" si="7"/>
        <v/>
      </c>
      <c r="C38" s="288" t="str">
        <f t="shared" si="0"/>
        <v/>
      </c>
      <c r="D38" s="691"/>
      <c r="E38" s="692"/>
      <c r="F38" s="693"/>
      <c r="G38" s="694"/>
      <c r="H38" s="695"/>
      <c r="I38" s="289">
        <f t="shared" si="8"/>
        <v>0</v>
      </c>
      <c r="J38" s="1237" t="str">
        <f>$J$10</f>
        <v>% Mort/Sel Acm Tab :</v>
      </c>
      <c r="K38" s="1238">
        <f>IFERROR(LOOKUP($A33,TP!$A$6:$A$108,GSh!$AR$6:$AR$108)/100,0)</f>
        <v>0</v>
      </c>
      <c r="L38" s="1246"/>
      <c r="M38" s="291">
        <f t="shared" si="22"/>
        <v>0</v>
      </c>
      <c r="N38" s="292" t="str">
        <f>$N$10</f>
        <v xml:space="preserve">Uniformidad (C. Lote) : </v>
      </c>
      <c r="O38" s="320">
        <f>LOOKUP($A33,'Pr-Sem'!$A$6:$A$108,'Pr-Sem'!$AG$6:$AG$108)</f>
        <v>0</v>
      </c>
      <c r="P38" s="320">
        <v>90</v>
      </c>
      <c r="Q38" s="321">
        <f>IF(AND(P38&gt;0,O38&gt;0),(O38/P38-1)*100,0)</f>
        <v>0</v>
      </c>
      <c r="R38" s="699"/>
      <c r="S38" s="762"/>
      <c r="T38" s="765">
        <f t="shared" si="14"/>
        <v>0</v>
      </c>
      <c r="U38" s="700"/>
      <c r="V38" s="701"/>
      <c r="W38" s="701"/>
      <c r="X38" s="295">
        <f t="shared" si="9"/>
        <v>0</v>
      </c>
      <c r="Y38" s="296">
        <f>IF(AA38&gt;0,V38,AE33/IF(Iniciar!$C$25="B X 40 K",40,IF(Iniciar!$C$25="B X 50 K",50,1))*I38/1000)</f>
        <v>0</v>
      </c>
      <c r="Z38" s="296">
        <f t="shared" si="10"/>
        <v>0</v>
      </c>
      <c r="AA38" s="297">
        <f t="shared" si="23"/>
        <v>0</v>
      </c>
      <c r="AB38" s="297">
        <f t="shared" si="3"/>
        <v>0</v>
      </c>
      <c r="AC38" s="2037" t="str">
        <f>$AC$10</f>
        <v xml:space="preserve">Cons ml /ave día: </v>
      </c>
      <c r="AD38" s="2038"/>
      <c r="AE38" s="2056">
        <f>IFERROR(SUMPRODUCT(AB33:AB39,I33:I39)/SUM(I33:I39),0)</f>
        <v>0</v>
      </c>
      <c r="AF38" s="2057"/>
      <c r="AG38" s="311" t="str">
        <f>CONCATENATE("Costo ",Iniciar!$C$25," : ")</f>
        <v xml:space="preserve">Costo Kilos : </v>
      </c>
      <c r="AH38" s="2043">
        <f>IFERROR(SUMPRODUCT(T33:T39,V33:V39)/SUMIF(T33:T39,"&gt;0",V33:V39),0)</f>
        <v>0</v>
      </c>
      <c r="AI38" s="2043"/>
      <c r="AJ38" s="313"/>
      <c r="AK38" s="2027"/>
      <c r="AL38" s="1284">
        <f t="shared" si="4"/>
        <v>0</v>
      </c>
      <c r="AM38" s="1285"/>
      <c r="AN38" s="1285"/>
      <c r="AO38" s="1285"/>
      <c r="AP38" s="1285"/>
      <c r="AQ38" s="1285"/>
      <c r="AR38" s="1285"/>
      <c r="AS38" s="1286"/>
      <c r="AT38" s="1287"/>
      <c r="AU38" s="1288"/>
      <c r="AV38" s="1289"/>
      <c r="AW38" s="1290"/>
      <c r="AX38" s="1291"/>
      <c r="AY38" s="1291"/>
      <c r="AZ38" s="1292"/>
      <c r="BA38" s="1293"/>
      <c r="BB38" s="1294"/>
      <c r="BC38" s="1295"/>
      <c r="BD38" s="1296">
        <f>BD37+PROD!L38-BA38</f>
        <v>0</v>
      </c>
      <c r="BE38" s="2133"/>
      <c r="BF38" s="507" t="e">
        <f t="shared" si="5"/>
        <v>#VALUE!</v>
      </c>
      <c r="BG38" s="329"/>
      <c r="BH38" s="1018">
        <f t="shared" si="6"/>
        <v>0</v>
      </c>
    </row>
    <row r="39" spans="1:60" ht="15" customHeight="1" x14ac:dyDescent="0.3">
      <c r="A39" s="2034"/>
      <c r="B39" s="287" t="str">
        <f t="shared" si="7"/>
        <v/>
      </c>
      <c r="C39" s="288" t="str">
        <f t="shared" si="0"/>
        <v/>
      </c>
      <c r="D39" s="691"/>
      <c r="E39" s="692"/>
      <c r="F39" s="693"/>
      <c r="G39" s="694"/>
      <c r="H39" s="695"/>
      <c r="I39" s="289">
        <f t="shared" si="8"/>
        <v>0</v>
      </c>
      <c r="J39" s="1239" t="str">
        <f>$J$11</f>
        <v>% Viabilidad :</v>
      </c>
      <c r="K39" s="1240">
        <f>IF(OR(SUM(L33:L39)&gt;0,SUM(V33:V39)&gt;0),1-(K36+K37),0)</f>
        <v>0</v>
      </c>
      <c r="L39" s="1247"/>
      <c r="M39" s="1248">
        <f>IF(I39&gt;0,(L39/IF(SUM(L33:L38)&gt;0,1,7))/I39,0)</f>
        <v>0</v>
      </c>
      <c r="N39" s="1249" t="str">
        <f>$N$11</f>
        <v xml:space="preserve">Uniformidad (10% +) : </v>
      </c>
      <c r="O39" s="1250">
        <f>IF(O37&gt;0,IF(O38&gt;0,100-SUM(O37:O38),0),0)</f>
        <v>0</v>
      </c>
      <c r="P39" s="1251">
        <f>100-SUM(P37:P38)</f>
        <v>5</v>
      </c>
      <c r="Q39" s="1252">
        <f>IF(AND(P39&gt;0,O39&gt;0),(O39/P39-1)*100,0)</f>
        <v>0</v>
      </c>
      <c r="R39" s="699"/>
      <c r="S39" s="762"/>
      <c r="T39" s="765">
        <f t="shared" si="14"/>
        <v>0</v>
      </c>
      <c r="U39" s="700"/>
      <c r="V39" s="701"/>
      <c r="W39" s="701"/>
      <c r="X39" s="295">
        <f t="shared" si="9"/>
        <v>0</v>
      </c>
      <c r="Y39" s="296">
        <f>IF(AA39&gt;0,V39,AE33/IF(Iniciar!$C$25="B X 40 K",40,IF(Iniciar!$C$25="B X 50 K",50,1))*I39/1000)</f>
        <v>0</v>
      </c>
      <c r="Z39" s="296">
        <f t="shared" si="10"/>
        <v>0</v>
      </c>
      <c r="AA39" s="297">
        <f>IF(I39&gt;0,(V39/IF(SUM(V33:V38)&gt;0,1,7))*$A$1/I39,0)</f>
        <v>0</v>
      </c>
      <c r="AB39" s="297">
        <f t="shared" si="3"/>
        <v>0</v>
      </c>
      <c r="AC39" s="2039" t="str">
        <f>$AC$11</f>
        <v xml:space="preserve">Relación Agua /Alimto: </v>
      </c>
      <c r="AD39" s="2040"/>
      <c r="AE39" s="2058">
        <f>IFERROR(AE38/AD33,0)</f>
        <v>0</v>
      </c>
      <c r="AF39" s="2059"/>
      <c r="AG39" s="1269" t="s">
        <v>237</v>
      </c>
      <c r="AH39" s="1270">
        <f>IF(SUM(L33:L39)&gt;0,AH38*SUM(V33:V39)/SUM(L33:L39),0)</f>
        <v>0</v>
      </c>
      <c r="AI39" s="1270">
        <f>IF(AND($A$1&gt;0,P33&gt;0),AH38/$A$1*(AE33/P33)*100,0)</f>
        <v>0</v>
      </c>
      <c r="AJ39" s="1271">
        <f t="shared" ref="AJ39:AJ44" si="24">IF(AND(AI39&gt;0,AH39&gt;0),(AH39/AI39-1)*100,0)</f>
        <v>0</v>
      </c>
      <c r="AK39" s="2028"/>
      <c r="AL39" s="1284">
        <f t="shared" si="4"/>
        <v>0</v>
      </c>
      <c r="AM39" s="1285"/>
      <c r="AN39" s="1285"/>
      <c r="AO39" s="1285"/>
      <c r="AP39" s="1285"/>
      <c r="AQ39" s="1285"/>
      <c r="AR39" s="1285"/>
      <c r="AS39" s="1286"/>
      <c r="AT39" s="1287"/>
      <c r="AU39" s="1288"/>
      <c r="AV39" s="1289"/>
      <c r="AW39" s="1290"/>
      <c r="AX39" s="1291"/>
      <c r="AY39" s="1291"/>
      <c r="AZ39" s="1292"/>
      <c r="BA39" s="1293"/>
      <c r="BB39" s="1294"/>
      <c r="BC39" s="1295"/>
      <c r="BD39" s="1296">
        <f>BD38+PROD!L39-BA39</f>
        <v>0</v>
      </c>
      <c r="BE39" s="2134"/>
      <c r="BF39" s="507" t="e">
        <f t="shared" si="5"/>
        <v>#VALUE!</v>
      </c>
      <c r="BG39" s="329"/>
      <c r="BH39" s="1018">
        <f t="shared" si="6"/>
        <v>0</v>
      </c>
    </row>
    <row r="40" spans="1:60" ht="15" customHeight="1" x14ac:dyDescent="0.3">
      <c r="A40" s="2032">
        <f>A33+1</f>
        <v>23</v>
      </c>
      <c r="B40" s="287" t="str">
        <f t="shared" si="7"/>
        <v/>
      </c>
      <c r="C40" s="288" t="str">
        <f t="shared" si="0"/>
        <v/>
      </c>
      <c r="D40" s="691"/>
      <c r="E40" s="692"/>
      <c r="F40" s="693"/>
      <c r="G40" s="694"/>
      <c r="H40" s="695"/>
      <c r="I40" s="289">
        <f t="shared" si="8"/>
        <v>0</v>
      </c>
      <c r="J40" s="1232" t="str">
        <f>$J$5</f>
        <v>% Mort Sem :</v>
      </c>
      <c r="K40" s="1233">
        <f>IF(PROD!$K$2&gt;0,SUM(D40:D46)/PROD!$K$2,0)</f>
        <v>0</v>
      </c>
      <c r="L40" s="1241"/>
      <c r="M40" s="1242">
        <f t="shared" ref="M40:M45" si="25">IF(I40&gt;0,L40/I40,0)</f>
        <v>0</v>
      </c>
      <c r="N40" s="1243" t="str">
        <f>$N$5</f>
        <v xml:space="preserve">% Pdn prom semana : </v>
      </c>
      <c r="O40" s="1244">
        <f>IF(SUM(L40:L45)&gt;0,100*SUMPRODUCT(M40:M46,I40:I46)/SUMIF(L40:L46,"&gt;0",I40:I46),IF(L46&gt;0,100*L46/7/I46,0))</f>
        <v>0</v>
      </c>
      <c r="P40" s="1244">
        <f>IFERROR(LOOKUP($A40,TP!$A$6:$A$108,GSh!$AE$6:$AE$108),0)</f>
        <v>0</v>
      </c>
      <c r="Q40" s="1245">
        <f>IF(AND(P40&gt;0,O40&gt;0),O40-P40,0)</f>
        <v>0</v>
      </c>
      <c r="R40" s="699"/>
      <c r="S40" s="762"/>
      <c r="T40" s="765">
        <f t="shared" si="14"/>
        <v>0</v>
      </c>
      <c r="U40" s="700"/>
      <c r="V40" s="701"/>
      <c r="W40" s="701"/>
      <c r="X40" s="295">
        <f t="shared" si="9"/>
        <v>0</v>
      </c>
      <c r="Y40" s="296">
        <f>IF(AA40&gt;0,V40,AE40/IF(Iniciar!$C$25="B X 40 K",40,IF(Iniciar!$C$25="B X 50 K",50,1))*I40/1000)</f>
        <v>0</v>
      </c>
      <c r="Z40" s="296">
        <f t="shared" si="10"/>
        <v>0</v>
      </c>
      <c r="AA40" s="297">
        <f t="shared" ref="AA40:AA45" si="26">IF(I40&gt;0,V40*$A$1/I40,0)</f>
        <v>0</v>
      </c>
      <c r="AB40" s="297">
        <f t="shared" si="3"/>
        <v>0</v>
      </c>
      <c r="AC40" s="1261" t="str">
        <f>$AC$5</f>
        <v>Gr. Ave Dia :</v>
      </c>
      <c r="AD40" s="1262">
        <f>IF(SUMIF(V40:V46,"&gt;0")&gt;0,SUMPRODUCT(AA40:AA46,I40:I46)/SUMIF(AA40:AA46,"&gt;0",I40:I46),0)</f>
        <v>0</v>
      </c>
      <c r="AE40" s="1262">
        <f>IFERROR(LOOKUP($A40,TP!$A$6:$A$108,GSh!$AU$6:$AU$108),0)</f>
        <v>0</v>
      </c>
      <c r="AF40" s="1263">
        <f>IF(AND(AE40&gt;0,AD40&gt;0),(AD40/AE40-1)*100,0)</f>
        <v>0</v>
      </c>
      <c r="AG40" s="1264" t="str">
        <f>PROD!$AG$5</f>
        <v>Gr X H</v>
      </c>
      <c r="AH40" s="1265">
        <f>IF(PROD!O40&gt;0,IF($AG40="Gr X H",PROD!AD40/PROD!O40*100,IF($AG40="Conv Kg/Doc",PROD!AD40/PROD!O40*1.2,IF(PROD!$O42&gt;0,PROD!AD40/(PROD!O40*PROD!$O42)*100,0))),0)</f>
        <v>0</v>
      </c>
      <c r="AI40" s="1265">
        <f>IF(PROD!P40&gt;0,IF($AG40="Gr X H",PROD!AE40/PROD!P40*100,IF($AG40="Conv Kg/Doc",PROD!AE40/PROD!P40*1.2,IF(PROD!$P42&gt;0,PROD!AE40/(PROD!P40*PROD!$P42)*100,0))),0)</f>
        <v>0</v>
      </c>
      <c r="AJ40" s="1266">
        <f t="shared" si="24"/>
        <v>0</v>
      </c>
      <c r="AK40" s="2026"/>
      <c r="AL40" s="1284">
        <f t="shared" si="4"/>
        <v>0</v>
      </c>
      <c r="AM40" s="1285"/>
      <c r="AN40" s="1285"/>
      <c r="AO40" s="1285"/>
      <c r="AP40" s="1285"/>
      <c r="AQ40" s="1285"/>
      <c r="AR40" s="1285"/>
      <c r="AS40" s="1286"/>
      <c r="AT40" s="1287"/>
      <c r="AU40" s="1288"/>
      <c r="AV40" s="1289"/>
      <c r="AW40" s="1290"/>
      <c r="AX40" s="1291"/>
      <c r="AY40" s="1291"/>
      <c r="AZ40" s="1292"/>
      <c r="BA40" s="1293"/>
      <c r="BB40" s="1294"/>
      <c r="BC40" s="1295"/>
      <c r="BD40" s="1296">
        <f>BD39+PROD!L40-BA40</f>
        <v>0</v>
      </c>
      <c r="BE40" s="2132">
        <f>IF(SUM(AM40:AZ46)&gt;0,(SUM(AM40:AM46)*$AM$2+SUM(AN40:AN46)*$AN$2+SUM(AO40:AO46)*$AO$2+SUM(AP40:AP46)*$AP$2+SUM(AQ40:AQ46)*$AQ$2+SUM(AR40:AR46)*$AR$2+SUM(AS40:AS46)*$AS$2+SUM(AW40:AW46)*$AW$2+SUM(AX40:AX46)*$AX$2+SUM(AY40:AY46)*$AY$2+SUM(AZ40:AZ46)*$AZ$2+SUM(AT40:AT46)*$AT$2+SUM(AU40:AU46)*$AU$2+SUM(AV40:AV46)*$AV$2)/SUM(AM40:AZ46),0)</f>
        <v>0</v>
      </c>
      <c r="BF40" s="507" t="e">
        <f t="shared" si="5"/>
        <v>#VALUE!</v>
      </c>
      <c r="BG40" s="277">
        <f>IF(SUM(L40:L46)&gt;0,A40,IF(SUM(V40:V46)&gt;0,A40,BG33))</f>
        <v>0</v>
      </c>
      <c r="BH40" s="1018">
        <f t="shared" si="6"/>
        <v>0</v>
      </c>
    </row>
    <row r="41" spans="1:60" ht="15" customHeight="1" x14ac:dyDescent="0.3">
      <c r="A41" s="2033"/>
      <c r="B41" s="287" t="str">
        <f t="shared" si="7"/>
        <v/>
      </c>
      <c r="C41" s="288" t="str">
        <f t="shared" si="0"/>
        <v/>
      </c>
      <c r="D41" s="691"/>
      <c r="E41" s="692"/>
      <c r="F41" s="693"/>
      <c r="G41" s="694"/>
      <c r="H41" s="695"/>
      <c r="I41" s="289">
        <f t="shared" si="8"/>
        <v>0</v>
      </c>
      <c r="J41" s="1234" t="str">
        <f>$J$6</f>
        <v>% Sel Sem :</v>
      </c>
      <c r="K41" s="1231">
        <f>IF(PROD!$K$2&gt;0,SUM(E40:E46)/PROD!$K$2,0)</f>
        <v>0</v>
      </c>
      <c r="L41" s="1246"/>
      <c r="M41" s="291">
        <f t="shared" si="25"/>
        <v>0</v>
      </c>
      <c r="N41" s="292" t="str">
        <f>$N$6</f>
        <v xml:space="preserve">H. Ave Alojada : </v>
      </c>
      <c r="O41" s="293">
        <f>IF(AND(PROD!$K$2&gt;0,O40&gt;0),SUM(L$5:L46)/PROD!$K$2,0)</f>
        <v>0</v>
      </c>
      <c r="P41" s="293">
        <f>IFERROR(LOOKUP($A40,TP!$A$6:$A$108,GSh!$AJ$6:$AJ$108),0)</f>
        <v>0</v>
      </c>
      <c r="Q41" s="294">
        <f>IF(AND(P41&gt;0,O41&gt;0),O41-P41,0)</f>
        <v>0</v>
      </c>
      <c r="R41" s="699"/>
      <c r="S41" s="762"/>
      <c r="T41" s="765">
        <f t="shared" si="14"/>
        <v>0</v>
      </c>
      <c r="U41" s="700"/>
      <c r="V41" s="701"/>
      <c r="W41" s="701"/>
      <c r="X41" s="295">
        <f t="shared" si="9"/>
        <v>0</v>
      </c>
      <c r="Y41" s="296">
        <f>IF(AA41&gt;0,V41,AE40/IF(Iniciar!$C$25="B X 40 K",40,IF(Iniciar!$C$25="B X 50 K",50,1))*I41/1000)</f>
        <v>0</v>
      </c>
      <c r="Z41" s="296">
        <f t="shared" si="10"/>
        <v>0</v>
      </c>
      <c r="AA41" s="297">
        <f t="shared" si="26"/>
        <v>0</v>
      </c>
      <c r="AB41" s="297">
        <f t="shared" si="3"/>
        <v>0</v>
      </c>
      <c r="AC41" s="1267" t="str">
        <f>$AC$6</f>
        <v>Gr. Ave Sem :</v>
      </c>
      <c r="AD41" s="284">
        <f>AD40*7</f>
        <v>0</v>
      </c>
      <c r="AE41" s="284">
        <f>AE40*7</f>
        <v>0</v>
      </c>
      <c r="AF41" s="285">
        <f>IF(AND(AE41&gt;0,AD41&gt;0),(AD41/AE41-1)*100,0)</f>
        <v>0</v>
      </c>
      <c r="AG41" s="1199" t="str">
        <f>PROD!$AG$6</f>
        <v>Gr X H Acm</v>
      </c>
      <c r="AH41" s="298">
        <f>IF(SUM(PROD!L40:L46)&gt;0,IF(PROD!$AG$5="Gr X H",SUM(PROD!V$5:V46)*PROD!$A$1/SUM(PROD!L$5:L46),IF($AG40="Conv Kg/Doc",(SUM(PROD!V$5:V46)*PROD!$A$1/1000)/(SUM(PROD!L$5:L46)/12),IF(PROD!$O42&gt;0,SUM(PROD!V$5:V46)*PROD!$A$1/(SUM(PROD!L$5:L46)*LOOKUP(PROD!A40,TP!$A$6:$A$108,GSh!$BB$6:$BB$108)),0))),0)</f>
        <v>0</v>
      </c>
      <c r="AI41" s="298">
        <f>IF(PROD!P40&gt;0,IF($AG40="Gr X H",PROD!AE40/PROD!P40*100,IF($AG40="Conv Kg/Doc",PROD!AE40/PROD!P40*1.2,IF(PROD!$P41&gt;0,PROD!AE42/(PROD!P41*LOOKUP(PROD!$A40,TP!$A$6:$A$108,GSh!$BC$6:$BC$108)/1000),0))),0)</f>
        <v>0</v>
      </c>
      <c r="AJ41" s="328">
        <f t="shared" si="24"/>
        <v>0</v>
      </c>
      <c r="AK41" s="2027"/>
      <c r="AL41" s="1284">
        <f t="shared" si="4"/>
        <v>0</v>
      </c>
      <c r="AM41" s="1285"/>
      <c r="AN41" s="1285"/>
      <c r="AO41" s="1285"/>
      <c r="AP41" s="1285"/>
      <c r="AQ41" s="1285"/>
      <c r="AR41" s="1285"/>
      <c r="AS41" s="1286"/>
      <c r="AT41" s="1287"/>
      <c r="AU41" s="1288"/>
      <c r="AV41" s="1289"/>
      <c r="AW41" s="1290"/>
      <c r="AX41" s="1291"/>
      <c r="AY41" s="1291"/>
      <c r="AZ41" s="1292"/>
      <c r="BA41" s="1293"/>
      <c r="BB41" s="1294"/>
      <c r="BC41" s="1295"/>
      <c r="BD41" s="1296">
        <f>BD40+PROD!L41-BA41</f>
        <v>0</v>
      </c>
      <c r="BE41" s="2133"/>
      <c r="BF41" s="507" t="e">
        <f t="shared" si="5"/>
        <v>#VALUE!</v>
      </c>
      <c r="BG41" s="329"/>
      <c r="BH41" s="1018">
        <f t="shared" si="6"/>
        <v>0</v>
      </c>
    </row>
    <row r="42" spans="1:60" ht="15" customHeight="1" x14ac:dyDescent="0.3">
      <c r="A42" s="2033"/>
      <c r="B42" s="287" t="str">
        <f t="shared" si="7"/>
        <v/>
      </c>
      <c r="C42" s="288" t="str">
        <f t="shared" si="0"/>
        <v/>
      </c>
      <c r="D42" s="691"/>
      <c r="E42" s="692"/>
      <c r="F42" s="693"/>
      <c r="G42" s="694"/>
      <c r="H42" s="695"/>
      <c r="I42" s="289">
        <f t="shared" si="8"/>
        <v>0</v>
      </c>
      <c r="J42" s="1235" t="str">
        <f>$J$7</f>
        <v>% Mort/Sel Sem Tab :</v>
      </c>
      <c r="K42" s="1236">
        <f>K45-K38</f>
        <v>0</v>
      </c>
      <c r="L42" s="1246"/>
      <c r="M42" s="291">
        <f t="shared" si="25"/>
        <v>0</v>
      </c>
      <c r="N42" s="304" t="str">
        <f>$N$7</f>
        <v xml:space="preserve">Peso Huevo (Gr) : </v>
      </c>
      <c r="O42" s="305">
        <f>LOOKUP($A40,'Pr-Sem'!$A$6:$A$108,'Pr-Sem'!$Z$6:$Z$108)</f>
        <v>0</v>
      </c>
      <c r="P42" s="305">
        <f>IFERROR(LOOKUP($A40,TP!$A$6:$A$108,GSh!$AZ$6:$AZ$108),0)</f>
        <v>0</v>
      </c>
      <c r="Q42" s="306">
        <f>IF(AND(P42&gt;0,O42&gt;0),O42-P42,0)</f>
        <v>0</v>
      </c>
      <c r="R42" s="699"/>
      <c r="S42" s="762"/>
      <c r="T42" s="765">
        <f t="shared" si="14"/>
        <v>0</v>
      </c>
      <c r="U42" s="700"/>
      <c r="V42" s="701"/>
      <c r="W42" s="701"/>
      <c r="X42" s="295">
        <f t="shared" si="9"/>
        <v>0</v>
      </c>
      <c r="Y42" s="296">
        <f>IF(AA42&gt;0,V42,AE40/IF(Iniciar!$C$25="B X 40 K",40,IF(Iniciar!$C$25="B X 50 K",50,1))*I42/1000)</f>
        <v>0</v>
      </c>
      <c r="Z42" s="296">
        <f t="shared" si="10"/>
        <v>0</v>
      </c>
      <c r="AA42" s="297">
        <f t="shared" si="26"/>
        <v>0</v>
      </c>
      <c r="AB42" s="297">
        <f t="shared" si="3"/>
        <v>0</v>
      </c>
      <c r="AC42" s="1268" t="str">
        <f>$AC$7</f>
        <v>Kg Ave Acu :</v>
      </c>
      <c r="AD42" s="308">
        <f>IF(OR(SUM(L40:L46)&gt;0,SUM(V40:V46)&gt;0),AD41/1000+AD35,0)</f>
        <v>0</v>
      </c>
      <c r="AE42" s="309">
        <f>AE41/1000+AE35</f>
        <v>0</v>
      </c>
      <c r="AF42" s="310">
        <f>IF(AND(AE42&gt;0,AD42&gt;0),(AD42/AE42-1)*100,0)</f>
        <v>0</v>
      </c>
      <c r="AG42" s="311" t="str">
        <f>PROD!$AG$7</f>
        <v xml:space="preserve">Masa Sem H (Gr) : </v>
      </c>
      <c r="AH42" s="312">
        <f>PROD!O40/100*7*PROD!O42</f>
        <v>0</v>
      </c>
      <c r="AI42" s="312">
        <f>PROD!P40/100*7*PROD!P42</f>
        <v>0</v>
      </c>
      <c r="AJ42" s="313">
        <f t="shared" si="24"/>
        <v>0</v>
      </c>
      <c r="AK42" s="2027"/>
      <c r="AL42" s="1284">
        <f t="shared" si="4"/>
        <v>0</v>
      </c>
      <c r="AM42" s="1285"/>
      <c r="AN42" s="1285"/>
      <c r="AO42" s="1285"/>
      <c r="AP42" s="1285"/>
      <c r="AQ42" s="1285"/>
      <c r="AR42" s="1285"/>
      <c r="AS42" s="1286"/>
      <c r="AT42" s="1287"/>
      <c r="AU42" s="1288"/>
      <c r="AV42" s="1289"/>
      <c r="AW42" s="1290"/>
      <c r="AX42" s="1291"/>
      <c r="AY42" s="1291"/>
      <c r="AZ42" s="1292"/>
      <c r="BA42" s="1293"/>
      <c r="BB42" s="1294"/>
      <c r="BC42" s="1295"/>
      <c r="BD42" s="1296">
        <f>BD41+PROD!L42-BA42</f>
        <v>0</v>
      </c>
      <c r="BE42" s="2133"/>
      <c r="BF42" s="507" t="e">
        <f t="shared" si="5"/>
        <v>#VALUE!</v>
      </c>
      <c r="BG42" s="329"/>
      <c r="BH42" s="1018">
        <f t="shared" si="6"/>
        <v>0</v>
      </c>
    </row>
    <row r="43" spans="1:60" ht="15" customHeight="1" x14ac:dyDescent="0.3">
      <c r="A43" s="2033"/>
      <c r="B43" s="287" t="str">
        <f t="shared" si="7"/>
        <v/>
      </c>
      <c r="C43" s="288" t="str">
        <f t="shared" si="0"/>
        <v/>
      </c>
      <c r="D43" s="691"/>
      <c r="E43" s="692"/>
      <c r="F43" s="693"/>
      <c r="G43" s="694"/>
      <c r="H43" s="695"/>
      <c r="I43" s="289">
        <f t="shared" si="8"/>
        <v>0</v>
      </c>
      <c r="J43" s="1234" t="str">
        <f>$J$8</f>
        <v>% Mort Acm :</v>
      </c>
      <c r="K43" s="1231">
        <f>IF(PROD!$K$2&gt;0,SUM(D$5:D46)/PROD!$K$2,0)</f>
        <v>0</v>
      </c>
      <c r="L43" s="1246"/>
      <c r="M43" s="291">
        <f t="shared" si="25"/>
        <v>0</v>
      </c>
      <c r="N43" s="314" t="str">
        <f>N$8</f>
        <v xml:space="preserve">Peso Ave (Gr) : </v>
      </c>
      <c r="O43" s="315">
        <f>LOOKUP($A40,GSh!$BV$6:$BV$108,GSh!$BJ$6:$BJ$108)</f>
        <v>0</v>
      </c>
      <c r="P43" s="315">
        <f>IFERROR(LOOKUP($A40,TP!$A$6:$A$108,GSh!$BK$6:$BK$108),0)</f>
        <v>0</v>
      </c>
      <c r="Q43" s="316">
        <f>IF(AND(P43&gt;0,O43&gt;0),(O43/P43-1)*100,0)</f>
        <v>0</v>
      </c>
      <c r="R43" s="699"/>
      <c r="S43" s="762"/>
      <c r="T43" s="765">
        <f t="shared" si="14"/>
        <v>0</v>
      </c>
      <c r="U43" s="700"/>
      <c r="V43" s="701"/>
      <c r="W43" s="701"/>
      <c r="X43" s="295">
        <f t="shared" si="9"/>
        <v>0</v>
      </c>
      <c r="Y43" s="296">
        <f>IF(AA43&gt;0,V43,AE40/IF(Iniciar!$C$25="B X 40 K",40,IF(Iniciar!$C$25="B X 50 K",50,1))*I43/1000)</f>
        <v>0</v>
      </c>
      <c r="Z43" s="296">
        <f t="shared" si="10"/>
        <v>0</v>
      </c>
      <c r="AA43" s="297">
        <f t="shared" si="26"/>
        <v>0</v>
      </c>
      <c r="AB43" s="297">
        <f t="shared" si="3"/>
        <v>0</v>
      </c>
      <c r="AC43" s="541" t="str">
        <f>$AC$8</f>
        <v xml:space="preserve">Ton. Lote Acu : </v>
      </c>
      <c r="AD43" s="544">
        <f>SUM($V$5:$V46)*$A$1/1000000</f>
        <v>0</v>
      </c>
      <c r="AE43" s="543">
        <f>AE36+(AE40/1000000*7*(I40+I46)/2)</f>
        <v>0</v>
      </c>
      <c r="AF43" s="542">
        <f>IF(AND(AE43&gt;0,AD43&gt;0),(AD43/AE43-1)*100,0)</f>
        <v>0</v>
      </c>
      <c r="AG43" s="317" t="str">
        <f>PROD!$AG$8</f>
        <v xml:space="preserve">Masa Ac A. A (Kg) : </v>
      </c>
      <c r="AH43" s="318">
        <f>IF(PROD!$K$2&gt;0,SUM(PROD!L$5:L46)*LOOKUP(PROD!$A40,TP!$A$6:$A$108,GSh!$BB$6:$BB$108)/1000/PROD!$K$2,0)</f>
        <v>0</v>
      </c>
      <c r="AI43" s="318">
        <f>IFERROR(PROD!P41*LOOKUP(PROD!$A40,TP!$A$6:$A$108,GSh!$BC$6:$BC$108)/1000,0)</f>
        <v>0</v>
      </c>
      <c r="AJ43" s="330">
        <f t="shared" si="24"/>
        <v>0</v>
      </c>
      <c r="AK43" s="2027"/>
      <c r="AL43" s="1284">
        <f t="shared" si="4"/>
        <v>0</v>
      </c>
      <c r="AM43" s="1285"/>
      <c r="AN43" s="1285"/>
      <c r="AO43" s="1285"/>
      <c r="AP43" s="1285"/>
      <c r="AQ43" s="1285"/>
      <c r="AR43" s="1285"/>
      <c r="AS43" s="1286"/>
      <c r="AT43" s="1287"/>
      <c r="AU43" s="1288"/>
      <c r="AV43" s="1289"/>
      <c r="AW43" s="1290"/>
      <c r="AX43" s="1291"/>
      <c r="AY43" s="1291"/>
      <c r="AZ43" s="1292"/>
      <c r="BA43" s="1293"/>
      <c r="BB43" s="1294"/>
      <c r="BC43" s="1295"/>
      <c r="BD43" s="1296">
        <f>BD42+PROD!L43-BA43</f>
        <v>0</v>
      </c>
      <c r="BE43" s="2133"/>
      <c r="BF43" s="507" t="e">
        <f t="shared" si="5"/>
        <v>#VALUE!</v>
      </c>
      <c r="BG43" s="329"/>
      <c r="BH43" s="1018">
        <f t="shared" si="6"/>
        <v>0</v>
      </c>
    </row>
    <row r="44" spans="1:60" ht="15" customHeight="1" x14ac:dyDescent="0.3">
      <c r="A44" s="2033"/>
      <c r="B44" s="287" t="str">
        <f t="shared" si="7"/>
        <v/>
      </c>
      <c r="C44" s="288" t="str">
        <f t="shared" si="0"/>
        <v/>
      </c>
      <c r="D44" s="691"/>
      <c r="E44" s="692"/>
      <c r="F44" s="693"/>
      <c r="G44" s="694"/>
      <c r="H44" s="695"/>
      <c r="I44" s="289">
        <f t="shared" si="8"/>
        <v>0</v>
      </c>
      <c r="J44" s="1234" t="str">
        <f>$J$9</f>
        <v>% Sel Acm :</v>
      </c>
      <c r="K44" s="1231">
        <f>IF(PROD!$K$2&gt;0,SUM(E$5:E46)/PROD!$K$2,0)</f>
        <v>0</v>
      </c>
      <c r="L44" s="1246"/>
      <c r="M44" s="291">
        <f t="shared" si="25"/>
        <v>0</v>
      </c>
      <c r="N44" s="292" t="str">
        <f>$N$9</f>
        <v xml:space="preserve">Uniformidad (10% -) : </v>
      </c>
      <c r="O44" s="320">
        <f>LOOKUP($A40,'Pr-Sem'!$A$6:$A$108,'Pr-Sem'!$AH$6:$AH$108)</f>
        <v>0</v>
      </c>
      <c r="P44" s="320">
        <v>5</v>
      </c>
      <c r="Q44" s="321">
        <f>IF(AND(P44&gt;0,O44&gt;0),(1-O44/P44)*100,0)</f>
        <v>0</v>
      </c>
      <c r="R44" s="699"/>
      <c r="S44" s="762"/>
      <c r="T44" s="765">
        <f t="shared" si="14"/>
        <v>0</v>
      </c>
      <c r="U44" s="700"/>
      <c r="V44" s="701"/>
      <c r="W44" s="701"/>
      <c r="X44" s="295">
        <f t="shared" si="9"/>
        <v>0</v>
      </c>
      <c r="Y44" s="296">
        <f>IF(AA44&gt;0,V44,AE40/IF(Iniciar!$C$25="B X 40 K",40,IF(Iniciar!$C$25="B X 50 K",50,1))*I44/1000)</f>
        <v>0</v>
      </c>
      <c r="Z44" s="296">
        <f t="shared" si="10"/>
        <v>0</v>
      </c>
      <c r="AA44" s="297">
        <f t="shared" si="26"/>
        <v>0</v>
      </c>
      <c r="AB44" s="297">
        <f t="shared" si="3"/>
        <v>0</v>
      </c>
      <c r="AC44" s="2035" t="str">
        <f>$AC$9</f>
        <v xml:space="preserve">Total Litros Sem: </v>
      </c>
      <c r="AD44" s="2036"/>
      <c r="AE44" s="2050">
        <f>SUM(R40:R46)</f>
        <v>0</v>
      </c>
      <c r="AF44" s="2051"/>
      <c r="AG44" s="554" t="str">
        <f>$AG$9</f>
        <v xml:space="preserve">Indicador Eficiencia : </v>
      </c>
      <c r="AH44" s="555">
        <f>IF(AND(AE44&gt;0,O41&gt;0,O42&gt;0,SUM(L40:L46)&gt;0),(PROD!AH43/O41)*K46*100/(AE44/(SUM(L40:L46)*O42/1000)),0)</f>
        <v>0</v>
      </c>
      <c r="AI44" s="555">
        <f>IF(AND(P41&gt;0,PROD!AI42&gt;0),(PROD!AI43/P41)*(1-K45)*100/(AE41/PROD!AI42),0)</f>
        <v>0</v>
      </c>
      <c r="AJ44" s="331">
        <f t="shared" si="24"/>
        <v>0</v>
      </c>
      <c r="AK44" s="2027"/>
      <c r="AL44" s="1284">
        <f t="shared" si="4"/>
        <v>0</v>
      </c>
      <c r="AM44" s="1285"/>
      <c r="AN44" s="1285"/>
      <c r="AO44" s="1285"/>
      <c r="AP44" s="1285"/>
      <c r="AQ44" s="1285"/>
      <c r="AR44" s="1285"/>
      <c r="AS44" s="1286"/>
      <c r="AT44" s="1287"/>
      <c r="AU44" s="1288"/>
      <c r="AV44" s="1289"/>
      <c r="AW44" s="1290"/>
      <c r="AX44" s="1291"/>
      <c r="AY44" s="1291"/>
      <c r="AZ44" s="1292"/>
      <c r="BA44" s="1293"/>
      <c r="BB44" s="1294"/>
      <c r="BC44" s="1295"/>
      <c r="BD44" s="1296">
        <f>BD43+PROD!L44-BA44</f>
        <v>0</v>
      </c>
      <c r="BE44" s="2133"/>
      <c r="BF44" s="507" t="e">
        <f t="shared" si="5"/>
        <v>#VALUE!</v>
      </c>
      <c r="BG44" s="329"/>
      <c r="BH44" s="1018">
        <f t="shared" si="6"/>
        <v>0</v>
      </c>
    </row>
    <row r="45" spans="1:60" ht="15" customHeight="1" x14ac:dyDescent="0.3">
      <c r="A45" s="2033"/>
      <c r="B45" s="287" t="str">
        <f t="shared" si="7"/>
        <v/>
      </c>
      <c r="C45" s="288" t="str">
        <f t="shared" si="0"/>
        <v/>
      </c>
      <c r="D45" s="691"/>
      <c r="E45" s="692"/>
      <c r="F45" s="693"/>
      <c r="G45" s="694"/>
      <c r="H45" s="695"/>
      <c r="I45" s="289">
        <f t="shared" si="8"/>
        <v>0</v>
      </c>
      <c r="J45" s="1237" t="str">
        <f>$J$10</f>
        <v>% Mort/Sel Acm Tab :</v>
      </c>
      <c r="K45" s="1238">
        <f>IFERROR(LOOKUP($A40,TP!$A$6:$A$108,GSh!$AR$6:$AR$108)/100,0)</f>
        <v>0</v>
      </c>
      <c r="L45" s="1246"/>
      <c r="M45" s="291">
        <f t="shared" si="25"/>
        <v>0</v>
      </c>
      <c r="N45" s="292" t="str">
        <f>$N$10</f>
        <v xml:space="preserve">Uniformidad (C. Lote) : </v>
      </c>
      <c r="O45" s="320">
        <f>LOOKUP($A40,'Pr-Sem'!$A$6:$A$108,'Pr-Sem'!$AG$6:$AG$108)</f>
        <v>0</v>
      </c>
      <c r="P45" s="320">
        <v>90</v>
      </c>
      <c r="Q45" s="321">
        <f>IF(AND(P45&gt;0,O45&gt;0),(O45/P45-1)*100,0)</f>
        <v>0</v>
      </c>
      <c r="R45" s="699"/>
      <c r="S45" s="762"/>
      <c r="T45" s="765">
        <f t="shared" si="14"/>
        <v>0</v>
      </c>
      <c r="U45" s="700"/>
      <c r="V45" s="701"/>
      <c r="W45" s="701"/>
      <c r="X45" s="295">
        <f t="shared" si="9"/>
        <v>0</v>
      </c>
      <c r="Y45" s="296">
        <f>IF(AA45&gt;0,V45,AE40/IF(Iniciar!$C$25="B X 40 K",40,IF(Iniciar!$C$25="B X 50 K",50,1))*I45/1000)</f>
        <v>0</v>
      </c>
      <c r="Z45" s="296">
        <f t="shared" si="10"/>
        <v>0</v>
      </c>
      <c r="AA45" s="297">
        <f t="shared" si="26"/>
        <v>0</v>
      </c>
      <c r="AB45" s="297">
        <f t="shared" si="3"/>
        <v>0</v>
      </c>
      <c r="AC45" s="2037" t="str">
        <f>$AC$10</f>
        <v xml:space="preserve">Cons ml /ave día: </v>
      </c>
      <c r="AD45" s="2038"/>
      <c r="AE45" s="2056">
        <f>IFERROR(SUMPRODUCT(AB40:AB46,I40:I46)/SUM(I40:I46),0)</f>
        <v>0</v>
      </c>
      <c r="AF45" s="2057"/>
      <c r="AG45" s="311" t="str">
        <f>CONCATENATE("Costo ",Iniciar!$C$25," : ")</f>
        <v xml:space="preserve">Costo Kilos : </v>
      </c>
      <c r="AH45" s="2043">
        <f>IFERROR(SUMPRODUCT(T40:T46,V40:V46)/SUMIF(T40:T46,"&gt;0",V40:V46),0)</f>
        <v>0</v>
      </c>
      <c r="AI45" s="2043"/>
      <c r="AJ45" s="313"/>
      <c r="AK45" s="2027"/>
      <c r="AL45" s="1284">
        <f t="shared" si="4"/>
        <v>0</v>
      </c>
      <c r="AM45" s="1285"/>
      <c r="AN45" s="1285"/>
      <c r="AO45" s="1285"/>
      <c r="AP45" s="1285"/>
      <c r="AQ45" s="1285"/>
      <c r="AR45" s="1285"/>
      <c r="AS45" s="1286"/>
      <c r="AT45" s="1287"/>
      <c r="AU45" s="1288"/>
      <c r="AV45" s="1289"/>
      <c r="AW45" s="1290"/>
      <c r="AX45" s="1291"/>
      <c r="AY45" s="1291"/>
      <c r="AZ45" s="1292"/>
      <c r="BA45" s="1293"/>
      <c r="BB45" s="1294"/>
      <c r="BC45" s="1295"/>
      <c r="BD45" s="1296">
        <f>BD44+PROD!L45-BA45</f>
        <v>0</v>
      </c>
      <c r="BE45" s="2133"/>
      <c r="BF45" s="507" t="e">
        <f t="shared" si="5"/>
        <v>#VALUE!</v>
      </c>
      <c r="BG45" s="329"/>
      <c r="BH45" s="1018">
        <f t="shared" si="6"/>
        <v>0</v>
      </c>
    </row>
    <row r="46" spans="1:60" ht="15" customHeight="1" x14ac:dyDescent="0.3">
      <c r="A46" s="2034"/>
      <c r="B46" s="287" t="str">
        <f t="shared" si="7"/>
        <v/>
      </c>
      <c r="C46" s="288" t="str">
        <f t="shared" si="0"/>
        <v/>
      </c>
      <c r="D46" s="691"/>
      <c r="E46" s="692"/>
      <c r="F46" s="693"/>
      <c r="G46" s="694"/>
      <c r="H46" s="695"/>
      <c r="I46" s="289">
        <f t="shared" si="8"/>
        <v>0</v>
      </c>
      <c r="J46" s="1239" t="str">
        <f>$J$11</f>
        <v>% Viabilidad :</v>
      </c>
      <c r="K46" s="1240">
        <f>IF(OR(SUM(L40:L46)&gt;0,SUM(V40:V46)&gt;0),1-(K43+K44),0)</f>
        <v>0</v>
      </c>
      <c r="L46" s="1247"/>
      <c r="M46" s="1248">
        <f>IF(I46&gt;0,(L46/IF(SUM(L40:L45)&gt;0,1,7))/I46,0)</f>
        <v>0</v>
      </c>
      <c r="N46" s="1249" t="str">
        <f>$N$11</f>
        <v xml:space="preserve">Uniformidad (10% +) : </v>
      </c>
      <c r="O46" s="1250">
        <f>IF(O44&gt;0,IF(O45&gt;0,100-SUM(O44:O45),0),0)</f>
        <v>0</v>
      </c>
      <c r="P46" s="1251">
        <f>100-SUM(P44:P45)</f>
        <v>5</v>
      </c>
      <c r="Q46" s="1252">
        <f>IF(AND(P46&gt;0,O46&gt;0),(O46/P46-1)*100,0)</f>
        <v>0</v>
      </c>
      <c r="R46" s="699"/>
      <c r="S46" s="762"/>
      <c r="T46" s="765">
        <f t="shared" si="14"/>
        <v>0</v>
      </c>
      <c r="U46" s="700"/>
      <c r="V46" s="701"/>
      <c r="W46" s="701"/>
      <c r="X46" s="295">
        <f t="shared" si="9"/>
        <v>0</v>
      </c>
      <c r="Y46" s="296">
        <f>IF(AA46&gt;0,V46,AE40/IF(Iniciar!$C$25="B X 40 K",40,IF(Iniciar!$C$25="B X 50 K",50,1))*I46/1000)</f>
        <v>0</v>
      </c>
      <c r="Z46" s="296">
        <f t="shared" si="10"/>
        <v>0</v>
      </c>
      <c r="AA46" s="297">
        <f>IF(I46&gt;0,(V46/IF(SUM(V40:V45)&gt;0,1,7))*$A$1/I46,0)</f>
        <v>0</v>
      </c>
      <c r="AB46" s="297">
        <f t="shared" si="3"/>
        <v>0</v>
      </c>
      <c r="AC46" s="2039" t="str">
        <f>$AC$11</f>
        <v xml:space="preserve">Relación Agua /Alimto: </v>
      </c>
      <c r="AD46" s="2040"/>
      <c r="AE46" s="2058">
        <f>IFERROR(AE45/AD40,0)</f>
        <v>0</v>
      </c>
      <c r="AF46" s="2059"/>
      <c r="AG46" s="1269" t="s">
        <v>237</v>
      </c>
      <c r="AH46" s="1270">
        <f>IF(SUM(L40:L46)&gt;0,AH45*SUM(V40:V46)/SUM(L40:L46),0)</f>
        <v>0</v>
      </c>
      <c r="AI46" s="1270">
        <f>IF(AND($A$1&gt;0,P40&gt;0),AH45/$A$1*(AE40/P40)*100,0)</f>
        <v>0</v>
      </c>
      <c r="AJ46" s="1271">
        <f t="shared" ref="AJ46:AJ51" si="27">IF(AND(AI46&gt;0,AH46&gt;0),(AH46/AI46-1)*100,0)</f>
        <v>0</v>
      </c>
      <c r="AK46" s="2028"/>
      <c r="AL46" s="1284">
        <f t="shared" si="4"/>
        <v>0</v>
      </c>
      <c r="AM46" s="1285"/>
      <c r="AN46" s="1285"/>
      <c r="AO46" s="1285"/>
      <c r="AP46" s="1285"/>
      <c r="AQ46" s="1285"/>
      <c r="AR46" s="1285"/>
      <c r="AS46" s="1286"/>
      <c r="AT46" s="1287"/>
      <c r="AU46" s="1288"/>
      <c r="AV46" s="1289"/>
      <c r="AW46" s="1290"/>
      <c r="AX46" s="1291"/>
      <c r="AY46" s="1291"/>
      <c r="AZ46" s="1292"/>
      <c r="BA46" s="1293"/>
      <c r="BB46" s="1294"/>
      <c r="BC46" s="1295"/>
      <c r="BD46" s="1296">
        <f>BD45+PROD!L46-BA46</f>
        <v>0</v>
      </c>
      <c r="BE46" s="2134"/>
      <c r="BF46" s="507" t="e">
        <f t="shared" si="5"/>
        <v>#VALUE!</v>
      </c>
      <c r="BG46" s="329"/>
      <c r="BH46" s="1018">
        <f t="shared" si="6"/>
        <v>0</v>
      </c>
    </row>
    <row r="47" spans="1:60" ht="15" customHeight="1" x14ac:dyDescent="0.3">
      <c r="A47" s="2032">
        <f>A40+1</f>
        <v>24</v>
      </c>
      <c r="B47" s="287" t="str">
        <f t="shared" si="7"/>
        <v/>
      </c>
      <c r="C47" s="288" t="str">
        <f t="shared" si="0"/>
        <v/>
      </c>
      <c r="D47" s="691"/>
      <c r="E47" s="692"/>
      <c r="F47" s="693"/>
      <c r="G47" s="694"/>
      <c r="H47" s="695"/>
      <c r="I47" s="289">
        <f>I46-SUM($D47:F47)</f>
        <v>0</v>
      </c>
      <c r="J47" s="1232" t="str">
        <f>$J$5</f>
        <v>% Mort Sem :</v>
      </c>
      <c r="K47" s="1233">
        <f>IF(PROD!$K$2&gt;0,SUM(D47:D53)/PROD!$K$2,0)</f>
        <v>0</v>
      </c>
      <c r="L47" s="1241"/>
      <c r="M47" s="1242">
        <f t="shared" ref="M47:M52" si="28">IF(I47&gt;0,L47/I47,0)</f>
        <v>0</v>
      </c>
      <c r="N47" s="1243" t="str">
        <f>$N$5</f>
        <v xml:space="preserve">% Pdn prom semana : </v>
      </c>
      <c r="O47" s="1244">
        <f>IF(SUM(L47:L52)&gt;0,100*SUMPRODUCT(M47:M53,I47:I53)/SUMIF(L47:L53,"&gt;0",I47:I53),IF(L53&gt;0,100*L53/7/I53,0))</f>
        <v>0</v>
      </c>
      <c r="P47" s="1244">
        <f>IFERROR(LOOKUP($A47,TP!$A$6:$A$108,GSh!$AE$6:$AE$108),0)</f>
        <v>0</v>
      </c>
      <c r="Q47" s="1245">
        <f>IF(AND(P47&gt;0,O47&gt;0),O47-P47,0)</f>
        <v>0</v>
      </c>
      <c r="R47" s="699"/>
      <c r="S47" s="762"/>
      <c r="T47" s="765">
        <f t="shared" si="14"/>
        <v>0</v>
      </c>
      <c r="U47" s="700"/>
      <c r="V47" s="701"/>
      <c r="W47" s="701"/>
      <c r="X47" s="295">
        <f t="shared" si="9"/>
        <v>0</v>
      </c>
      <c r="Y47" s="296">
        <f>IF(AA47&gt;0,V47,AE47/IF(Iniciar!$C$25="B X 40 K",40,IF(Iniciar!$C$25="B X 50 K",50,1))*I47/1000)</f>
        <v>0</v>
      </c>
      <c r="Z47" s="296">
        <f t="shared" si="10"/>
        <v>0</v>
      </c>
      <c r="AA47" s="297">
        <f t="shared" ref="AA47:AA52" si="29">IF(I47&gt;0,V47*$A$1/I47,0)</f>
        <v>0</v>
      </c>
      <c r="AB47" s="297">
        <f t="shared" si="3"/>
        <v>0</v>
      </c>
      <c r="AC47" s="1261" t="str">
        <f>$AC$5</f>
        <v>Gr. Ave Dia :</v>
      </c>
      <c r="AD47" s="1262">
        <f>IF(SUMIF(V47:V53,"&gt;0")&gt;0,SUMPRODUCT(AA47:AA53,I47:I53)/SUMIF(AA47:AA53,"&gt;0",I47:I53),0)</f>
        <v>0</v>
      </c>
      <c r="AE47" s="1262">
        <f>IFERROR(LOOKUP($A47,TP!$A$6:$A$108,GSh!$AU$6:$AU$108),0)</f>
        <v>0</v>
      </c>
      <c r="AF47" s="1263">
        <f>IF(AND(AE47&gt;0,AD47&gt;0),(AD47/AE47-1)*100,0)</f>
        <v>0</v>
      </c>
      <c r="AG47" s="1264" t="str">
        <f>PROD!$AG$5</f>
        <v>Gr X H</v>
      </c>
      <c r="AH47" s="1265">
        <f>IF(PROD!O47&gt;0,IF($AG47="Gr X H",PROD!AD47/PROD!O47*100,IF($AG47="Conv Kg/Doc",PROD!AD47/PROD!O47*1.2,IF(PROD!$O49&gt;0,PROD!AD47/(PROD!O47*PROD!$O49)*100,0))),0)</f>
        <v>0</v>
      </c>
      <c r="AI47" s="1265">
        <f>IF(PROD!P47&gt;0,IF($AG47="Gr X H",PROD!AE47/PROD!P47*100,IF($AG47="Conv Kg/Doc",PROD!AE47/PROD!P47*1.2,IF(PROD!$P49&gt;0,PROD!AE47/(PROD!P47*PROD!$P49)*100,0))),0)</f>
        <v>0</v>
      </c>
      <c r="AJ47" s="1266">
        <f t="shared" si="27"/>
        <v>0</v>
      </c>
      <c r="AK47" s="2026"/>
      <c r="AL47" s="1284">
        <f t="shared" si="4"/>
        <v>0</v>
      </c>
      <c r="AM47" s="1285"/>
      <c r="AN47" s="1285"/>
      <c r="AO47" s="1285"/>
      <c r="AP47" s="1285"/>
      <c r="AQ47" s="1285"/>
      <c r="AR47" s="1285"/>
      <c r="AS47" s="1286"/>
      <c r="AT47" s="1287"/>
      <c r="AU47" s="1288"/>
      <c r="AV47" s="1289"/>
      <c r="AW47" s="1290"/>
      <c r="AX47" s="1291"/>
      <c r="AY47" s="1291"/>
      <c r="AZ47" s="1292"/>
      <c r="BA47" s="1293"/>
      <c r="BB47" s="1294"/>
      <c r="BC47" s="1295"/>
      <c r="BD47" s="1296">
        <f>BD46+PROD!L47-BA47</f>
        <v>0</v>
      </c>
      <c r="BE47" s="2132">
        <f>IF(SUM(AM47:AZ53)&gt;0,(SUM(AM47:AM53)*$AM$2+SUM(AN47:AN53)*$AN$2+SUM(AO47:AO53)*$AO$2+SUM(AP47:AP53)*$AP$2+SUM(AQ47:AQ53)*$AQ$2+SUM(AR47:AR53)*$AR$2+SUM(AS47:AS53)*$AS$2+SUM(AW47:AW53)*$AW$2+SUM(AX47:AX53)*$AX$2+SUM(AY47:AY53)*$AY$2+SUM(AZ47:AZ53)*$AZ$2+SUM(AT47:AT53)*$AT$2+SUM(AU47:AU53)*$AU$2+SUM(AV47:AV53)*$AV$2)/SUM(AM47:AZ53),0)</f>
        <v>0</v>
      </c>
      <c r="BF47" s="507" t="e">
        <f t="shared" si="5"/>
        <v>#VALUE!</v>
      </c>
      <c r="BG47" s="277">
        <f>IF(SUM(L47:L53)&gt;0,A47,IF(SUM(V47:V53)&gt;0,A47,BG40))</f>
        <v>0</v>
      </c>
      <c r="BH47" s="1018">
        <f t="shared" si="6"/>
        <v>0</v>
      </c>
    </row>
    <row r="48" spans="1:60" ht="15" customHeight="1" x14ac:dyDescent="0.3">
      <c r="A48" s="2033"/>
      <c r="B48" s="287" t="str">
        <f t="shared" si="7"/>
        <v/>
      </c>
      <c r="C48" s="288" t="str">
        <f t="shared" si="0"/>
        <v/>
      </c>
      <c r="D48" s="691"/>
      <c r="E48" s="692"/>
      <c r="F48" s="693"/>
      <c r="G48" s="694"/>
      <c r="H48" s="695"/>
      <c r="I48" s="289">
        <f>I47-SUM($D48:F48)</f>
        <v>0</v>
      </c>
      <c r="J48" s="1234" t="str">
        <f>$J$6</f>
        <v>% Sel Sem :</v>
      </c>
      <c r="K48" s="1231">
        <f>IF(PROD!$K$2&gt;0,SUM(E47:E53)/PROD!$K$2,0)</f>
        <v>0</v>
      </c>
      <c r="L48" s="1246"/>
      <c r="M48" s="291">
        <f t="shared" si="28"/>
        <v>0</v>
      </c>
      <c r="N48" s="292" t="str">
        <f>$N$6</f>
        <v xml:space="preserve">H. Ave Alojada : </v>
      </c>
      <c r="O48" s="293">
        <f>IF(AND(PROD!$K$2&gt;0,O47&gt;0),SUM(L$5:L53)/PROD!$K$2,0)</f>
        <v>0</v>
      </c>
      <c r="P48" s="293">
        <f>IFERROR(LOOKUP($A47,TP!$A$6:$A$108,GSh!$AJ$6:$AJ$108),0)</f>
        <v>0</v>
      </c>
      <c r="Q48" s="294">
        <f>IF(AND(P48&gt;0,O48&gt;0),O48-P48,0)</f>
        <v>0</v>
      </c>
      <c r="R48" s="699"/>
      <c r="S48" s="762"/>
      <c r="T48" s="765">
        <f t="shared" si="14"/>
        <v>0</v>
      </c>
      <c r="U48" s="700"/>
      <c r="V48" s="701"/>
      <c r="W48" s="701"/>
      <c r="X48" s="295">
        <f t="shared" si="9"/>
        <v>0</v>
      </c>
      <c r="Y48" s="296">
        <f>IF(AA48&gt;0,V48,AE47/IF(Iniciar!$C$25="B X 40 K",40,IF(Iniciar!$C$25="B X 50 K",50,1))*I48/1000)</f>
        <v>0</v>
      </c>
      <c r="Z48" s="296">
        <f t="shared" si="10"/>
        <v>0</v>
      </c>
      <c r="AA48" s="297">
        <f t="shared" si="29"/>
        <v>0</v>
      </c>
      <c r="AB48" s="297">
        <f t="shared" si="3"/>
        <v>0</v>
      </c>
      <c r="AC48" s="1267" t="str">
        <f>$AC$6</f>
        <v>Gr. Ave Sem :</v>
      </c>
      <c r="AD48" s="284">
        <f>AD47*7</f>
        <v>0</v>
      </c>
      <c r="AE48" s="284">
        <f>AE47*7</f>
        <v>0</v>
      </c>
      <c r="AF48" s="285">
        <f>IF(AND(AE48&gt;0,AD48&gt;0),(AD48/AE48-1)*100,0)</f>
        <v>0</v>
      </c>
      <c r="AG48" s="1199" t="str">
        <f>PROD!$AG$6</f>
        <v>Gr X H Acm</v>
      </c>
      <c r="AH48" s="298">
        <f>IF(SUM(PROD!L47:L53)&gt;0,IF(PROD!$AG$5="Gr X H",SUM(PROD!V$5:V53)*PROD!$A$1/SUM(PROD!L$5:L53),IF($AG47="Conv Kg/Doc",(SUM(PROD!V$5:V53)*PROD!$A$1/1000)/(SUM(PROD!L$5:L53)/12),IF(PROD!$O49&gt;0,SUM(PROD!V$5:V53)*PROD!$A$1/(SUM(PROD!L$5:L53)*LOOKUP(PROD!A47,TP!$A$6:$A$108,GSh!$BB$6:$BB$108)),0))),0)</f>
        <v>0</v>
      </c>
      <c r="AI48" s="298">
        <f>IF(PROD!P47&gt;0,IF($AG47="Gr X H",PROD!AE47/PROD!P47*100,IF($AG47="Conv Kg/Doc",PROD!AE47/PROD!P47*1.2,IF(PROD!$P48&gt;0,PROD!AE49/(PROD!P48*LOOKUP(PROD!$A47,TP!$A$6:$A$108,GSh!$BC$6:$BC$108)/1000),0))),0)</f>
        <v>0</v>
      </c>
      <c r="AJ48" s="328">
        <f t="shared" si="27"/>
        <v>0</v>
      </c>
      <c r="AK48" s="2027"/>
      <c r="AL48" s="1284">
        <f t="shared" si="4"/>
        <v>0</v>
      </c>
      <c r="AM48" s="1285"/>
      <c r="AN48" s="1285"/>
      <c r="AO48" s="1285"/>
      <c r="AP48" s="1285"/>
      <c r="AQ48" s="1285"/>
      <c r="AR48" s="1285"/>
      <c r="AS48" s="1286"/>
      <c r="AT48" s="1287"/>
      <c r="AU48" s="1288"/>
      <c r="AV48" s="1289"/>
      <c r="AW48" s="1290"/>
      <c r="AX48" s="1291"/>
      <c r="AY48" s="1291"/>
      <c r="AZ48" s="1292"/>
      <c r="BA48" s="1293"/>
      <c r="BB48" s="1294"/>
      <c r="BC48" s="1295"/>
      <c r="BD48" s="1296">
        <f>BD47+PROD!L48-BA48</f>
        <v>0</v>
      </c>
      <c r="BE48" s="2133"/>
      <c r="BF48" s="507" t="e">
        <f t="shared" si="5"/>
        <v>#VALUE!</v>
      </c>
      <c r="BG48" s="329"/>
      <c r="BH48" s="1018">
        <f t="shared" si="6"/>
        <v>0</v>
      </c>
    </row>
    <row r="49" spans="1:60" ht="15" customHeight="1" x14ac:dyDescent="0.3">
      <c r="A49" s="2033"/>
      <c r="B49" s="287" t="str">
        <f t="shared" si="7"/>
        <v/>
      </c>
      <c r="C49" s="288" t="str">
        <f t="shared" si="0"/>
        <v/>
      </c>
      <c r="D49" s="691"/>
      <c r="E49" s="692"/>
      <c r="F49" s="693"/>
      <c r="G49" s="694"/>
      <c r="H49" s="695"/>
      <c r="I49" s="289">
        <f>I48-SUM($D49:F49)</f>
        <v>0</v>
      </c>
      <c r="J49" s="1235" t="str">
        <f>$J$7</f>
        <v>% Mort/Sel Sem Tab :</v>
      </c>
      <c r="K49" s="1236">
        <f>K52-K45</f>
        <v>0</v>
      </c>
      <c r="L49" s="1246"/>
      <c r="M49" s="291">
        <f t="shared" si="28"/>
        <v>0</v>
      </c>
      <c r="N49" s="304" t="str">
        <f>$N$7</f>
        <v xml:space="preserve">Peso Huevo (Gr) : </v>
      </c>
      <c r="O49" s="305">
        <f>LOOKUP($A47,'Pr-Sem'!$A$6:$A$108,'Pr-Sem'!$Z$6:$Z$108)</f>
        <v>0</v>
      </c>
      <c r="P49" s="305">
        <f>IFERROR(LOOKUP($A47,TP!$A$6:$A$108,GSh!$AZ$6:$AZ$108),0)</f>
        <v>0</v>
      </c>
      <c r="Q49" s="306">
        <f>IF(AND(P49&gt;0,O49&gt;0),O49-P49,0)</f>
        <v>0</v>
      </c>
      <c r="R49" s="699"/>
      <c r="S49" s="762"/>
      <c r="T49" s="765">
        <f t="shared" si="14"/>
        <v>0</v>
      </c>
      <c r="U49" s="700"/>
      <c r="V49" s="701"/>
      <c r="W49" s="701"/>
      <c r="X49" s="295">
        <f t="shared" si="9"/>
        <v>0</v>
      </c>
      <c r="Y49" s="296">
        <f>IF(AA49&gt;0,V49,AE47/IF(Iniciar!$C$25="B X 40 K",40,IF(Iniciar!$C$25="B X 50 K",50,1))*I49/1000)</f>
        <v>0</v>
      </c>
      <c r="Z49" s="296">
        <f t="shared" si="10"/>
        <v>0</v>
      </c>
      <c r="AA49" s="297">
        <f t="shared" si="29"/>
        <v>0</v>
      </c>
      <c r="AB49" s="297">
        <f t="shared" si="3"/>
        <v>0</v>
      </c>
      <c r="AC49" s="1268" t="str">
        <f>$AC$7</f>
        <v>Kg Ave Acu :</v>
      </c>
      <c r="AD49" s="308">
        <f>IF(OR(SUM(L47:L53)&gt;0,SUM(V47:V53)&gt;0),AD48/1000+AD42,0)</f>
        <v>0</v>
      </c>
      <c r="AE49" s="309">
        <f>AE48/1000+AE42</f>
        <v>0</v>
      </c>
      <c r="AF49" s="310">
        <f>IF(AND(AE49&gt;0,AD49&gt;0),(AD49/AE49-1)*100,0)</f>
        <v>0</v>
      </c>
      <c r="AG49" s="311" t="str">
        <f>PROD!$AG$7</f>
        <v xml:space="preserve">Masa Sem H (Gr) : </v>
      </c>
      <c r="AH49" s="312">
        <f>PROD!O47/100*7*PROD!O49</f>
        <v>0</v>
      </c>
      <c r="AI49" s="312">
        <f>PROD!P47/100*7*PROD!P49</f>
        <v>0</v>
      </c>
      <c r="AJ49" s="313">
        <f t="shared" si="27"/>
        <v>0</v>
      </c>
      <c r="AK49" s="2027"/>
      <c r="AL49" s="1284">
        <f t="shared" si="4"/>
        <v>0</v>
      </c>
      <c r="AM49" s="1285"/>
      <c r="AN49" s="1285"/>
      <c r="AO49" s="1285"/>
      <c r="AP49" s="1285"/>
      <c r="AQ49" s="1285"/>
      <c r="AR49" s="1285"/>
      <c r="AS49" s="1286"/>
      <c r="AT49" s="1287"/>
      <c r="AU49" s="1288"/>
      <c r="AV49" s="1289"/>
      <c r="AW49" s="1290"/>
      <c r="AX49" s="1291"/>
      <c r="AY49" s="1291"/>
      <c r="AZ49" s="1292"/>
      <c r="BA49" s="1293"/>
      <c r="BB49" s="1294"/>
      <c r="BC49" s="1295"/>
      <c r="BD49" s="1296">
        <f>BD48+PROD!L49-BA49</f>
        <v>0</v>
      </c>
      <c r="BE49" s="2133"/>
      <c r="BF49" s="507" t="e">
        <f t="shared" si="5"/>
        <v>#VALUE!</v>
      </c>
      <c r="BG49" s="329"/>
      <c r="BH49" s="1018">
        <f t="shared" si="6"/>
        <v>0</v>
      </c>
    </row>
    <row r="50" spans="1:60" ht="15" customHeight="1" x14ac:dyDescent="0.3">
      <c r="A50" s="2033"/>
      <c r="B50" s="287" t="str">
        <f t="shared" si="7"/>
        <v/>
      </c>
      <c r="C50" s="288" t="str">
        <f t="shared" si="0"/>
        <v/>
      </c>
      <c r="D50" s="691"/>
      <c r="E50" s="692"/>
      <c r="F50" s="693"/>
      <c r="G50" s="694"/>
      <c r="H50" s="695"/>
      <c r="I50" s="289">
        <f>I49-SUM($D50:F50)</f>
        <v>0</v>
      </c>
      <c r="J50" s="1234" t="str">
        <f>$J$8</f>
        <v>% Mort Acm :</v>
      </c>
      <c r="K50" s="1231">
        <f>IF(PROD!$K$2&gt;0,SUM(D$5:D53)/PROD!$K$2,0)</f>
        <v>0</v>
      </c>
      <c r="L50" s="1246"/>
      <c r="M50" s="291">
        <f t="shared" si="28"/>
        <v>0</v>
      </c>
      <c r="N50" s="314" t="str">
        <f>N$8</f>
        <v xml:space="preserve">Peso Ave (Gr) : </v>
      </c>
      <c r="O50" s="315">
        <f>LOOKUP($A47,GSh!$BV$6:$BV$108,GSh!$BJ$6:$BJ$108)</f>
        <v>0</v>
      </c>
      <c r="P50" s="315">
        <f>IFERROR(LOOKUP($A47,TP!$A$6:$A$108,GSh!$BK$6:$BK$108),0)</f>
        <v>0</v>
      </c>
      <c r="Q50" s="316">
        <f>IF(AND(P50&gt;0,O50&gt;0),(O50/P50-1)*100,0)</f>
        <v>0</v>
      </c>
      <c r="R50" s="699"/>
      <c r="S50" s="762"/>
      <c r="T50" s="765">
        <f t="shared" si="14"/>
        <v>0</v>
      </c>
      <c r="U50" s="700"/>
      <c r="V50" s="701"/>
      <c r="W50" s="701"/>
      <c r="X50" s="295">
        <f t="shared" si="9"/>
        <v>0</v>
      </c>
      <c r="Y50" s="296">
        <f>IF(AA50&gt;0,V50,AE47/IF(Iniciar!$C$25="B X 40 K",40,IF(Iniciar!$C$25="B X 50 K",50,1))*I50/1000)</f>
        <v>0</v>
      </c>
      <c r="Z50" s="296">
        <f t="shared" si="10"/>
        <v>0</v>
      </c>
      <c r="AA50" s="297">
        <f t="shared" si="29"/>
        <v>0</v>
      </c>
      <c r="AB50" s="297">
        <f t="shared" si="3"/>
        <v>0</v>
      </c>
      <c r="AC50" s="541" t="str">
        <f>$AC$8</f>
        <v xml:space="preserve">Ton. Lote Acu : </v>
      </c>
      <c r="AD50" s="544">
        <f>SUM($V$5:$V53)*$A$1/1000000</f>
        <v>0</v>
      </c>
      <c r="AE50" s="543">
        <f>AE43+(AE47/1000000*7*(I47+I53)/2)</f>
        <v>0</v>
      </c>
      <c r="AF50" s="542">
        <f>IF(AND(AE50&gt;0,AD50&gt;0),(AD50/AE50-1)*100,0)</f>
        <v>0</v>
      </c>
      <c r="AG50" s="317" t="str">
        <f>PROD!$AG$8</f>
        <v xml:space="preserve">Masa Ac A. A (Kg) : </v>
      </c>
      <c r="AH50" s="318">
        <f>IF(PROD!$K$2&gt;0,SUM(PROD!L$5:L53)*LOOKUP(PROD!$A47,TP!$A$6:$A$108,GSh!$BB$6:$BB$108)/1000/PROD!$K$2,0)</f>
        <v>0</v>
      </c>
      <c r="AI50" s="318">
        <f>IFERROR(PROD!P48*LOOKUP(PROD!$A47,TP!$A$6:$A$108,GSh!$BC$6:$BC$108)/1000,0)</f>
        <v>0</v>
      </c>
      <c r="AJ50" s="330">
        <f t="shared" si="27"/>
        <v>0</v>
      </c>
      <c r="AK50" s="2027"/>
      <c r="AL50" s="1284">
        <f t="shared" si="4"/>
        <v>0</v>
      </c>
      <c r="AM50" s="1285"/>
      <c r="AN50" s="1285"/>
      <c r="AO50" s="1285"/>
      <c r="AP50" s="1285"/>
      <c r="AQ50" s="1285"/>
      <c r="AR50" s="1285"/>
      <c r="AS50" s="1286"/>
      <c r="AT50" s="1287"/>
      <c r="AU50" s="1288"/>
      <c r="AV50" s="1289"/>
      <c r="AW50" s="1290"/>
      <c r="AX50" s="1291"/>
      <c r="AY50" s="1291"/>
      <c r="AZ50" s="1292"/>
      <c r="BA50" s="1293"/>
      <c r="BB50" s="1294"/>
      <c r="BC50" s="1295"/>
      <c r="BD50" s="1296">
        <f>BD49+PROD!L50-BA50</f>
        <v>0</v>
      </c>
      <c r="BE50" s="2133"/>
      <c r="BF50" s="507" t="e">
        <f t="shared" si="5"/>
        <v>#VALUE!</v>
      </c>
      <c r="BG50" s="329"/>
      <c r="BH50" s="1018">
        <f t="shared" si="6"/>
        <v>0</v>
      </c>
    </row>
    <row r="51" spans="1:60" ht="15" customHeight="1" x14ac:dyDescent="0.3">
      <c r="A51" s="2033"/>
      <c r="B51" s="287" t="str">
        <f t="shared" si="7"/>
        <v/>
      </c>
      <c r="C51" s="288" t="str">
        <f t="shared" si="0"/>
        <v/>
      </c>
      <c r="D51" s="691"/>
      <c r="E51" s="692"/>
      <c r="F51" s="693"/>
      <c r="G51" s="694"/>
      <c r="H51" s="695"/>
      <c r="I51" s="289">
        <f>I50-SUM($D51:F51)</f>
        <v>0</v>
      </c>
      <c r="J51" s="1234" t="str">
        <f>$J$9</f>
        <v>% Sel Acm :</v>
      </c>
      <c r="K51" s="1231">
        <f>IF(PROD!$K$2&gt;0,SUM(E$5:E53)/PROD!$K$2,0)</f>
        <v>0</v>
      </c>
      <c r="L51" s="1246"/>
      <c r="M51" s="291">
        <f t="shared" si="28"/>
        <v>0</v>
      </c>
      <c r="N51" s="292" t="str">
        <f>$N$9</f>
        <v xml:space="preserve">Uniformidad (10% -) : </v>
      </c>
      <c r="O51" s="320">
        <f>LOOKUP($A47,'Pr-Sem'!$A$6:$A$108,'Pr-Sem'!$AH$6:$AH$108)</f>
        <v>0</v>
      </c>
      <c r="P51" s="320">
        <v>5</v>
      </c>
      <c r="Q51" s="321">
        <f>IF(AND(P51&gt;0,O51&gt;0),(1-O51/P51)*100,0)</f>
        <v>0</v>
      </c>
      <c r="R51" s="699"/>
      <c r="S51" s="762"/>
      <c r="T51" s="765">
        <f t="shared" si="14"/>
        <v>0</v>
      </c>
      <c r="U51" s="700"/>
      <c r="V51" s="701"/>
      <c r="W51" s="701"/>
      <c r="X51" s="295">
        <f t="shared" si="9"/>
        <v>0</v>
      </c>
      <c r="Y51" s="296">
        <f>IF(AA51&gt;0,V51,AE47/IF(Iniciar!$C$25="B X 40 K",40,IF(Iniciar!$C$25="B X 50 K",50,1))*I51/1000)</f>
        <v>0</v>
      </c>
      <c r="Z51" s="296">
        <f t="shared" si="10"/>
        <v>0</v>
      </c>
      <c r="AA51" s="297">
        <f t="shared" si="29"/>
        <v>0</v>
      </c>
      <c r="AB51" s="297">
        <f t="shared" si="3"/>
        <v>0</v>
      </c>
      <c r="AC51" s="2035" t="str">
        <f>$AC$9</f>
        <v xml:space="preserve">Total Litros Sem: </v>
      </c>
      <c r="AD51" s="2036"/>
      <c r="AE51" s="2050">
        <f>SUM(R47:R53)</f>
        <v>0</v>
      </c>
      <c r="AF51" s="2051"/>
      <c r="AG51" s="554" t="str">
        <f>$AG$9</f>
        <v xml:space="preserve">Indicador Eficiencia : </v>
      </c>
      <c r="AH51" s="555">
        <f>IF(AND(AE51&gt;0,O48&gt;0,O49&gt;0,SUM(L47:L53)&gt;0),(PROD!AH50/O48)*K53*100/(AE51/(SUM(L47:L53)*O49/1000)),0)</f>
        <v>0</v>
      </c>
      <c r="AI51" s="555">
        <f>IF(AND(P48&gt;0,PROD!AI49&gt;0),(PROD!AI50/P48)*(1-K52)*100/(AE48/PROD!AI49),0)</f>
        <v>0</v>
      </c>
      <c r="AJ51" s="331">
        <f t="shared" si="27"/>
        <v>0</v>
      </c>
      <c r="AK51" s="2027"/>
      <c r="AL51" s="1284">
        <f t="shared" si="4"/>
        <v>0</v>
      </c>
      <c r="AM51" s="1285"/>
      <c r="AN51" s="1285"/>
      <c r="AO51" s="1285"/>
      <c r="AP51" s="1285"/>
      <c r="AQ51" s="1285"/>
      <c r="AR51" s="1285"/>
      <c r="AS51" s="1286"/>
      <c r="AT51" s="1287"/>
      <c r="AU51" s="1288"/>
      <c r="AV51" s="1289"/>
      <c r="AW51" s="1290"/>
      <c r="AX51" s="1291"/>
      <c r="AY51" s="1291"/>
      <c r="AZ51" s="1292"/>
      <c r="BA51" s="1293"/>
      <c r="BB51" s="1294"/>
      <c r="BC51" s="1295"/>
      <c r="BD51" s="1296">
        <f>BD50+PROD!L51-BA51</f>
        <v>0</v>
      </c>
      <c r="BE51" s="2133"/>
      <c r="BF51" s="507" t="e">
        <f t="shared" si="5"/>
        <v>#VALUE!</v>
      </c>
      <c r="BG51" s="329"/>
      <c r="BH51" s="1018">
        <f t="shared" si="6"/>
        <v>0</v>
      </c>
    </row>
    <row r="52" spans="1:60" ht="15" customHeight="1" x14ac:dyDescent="0.3">
      <c r="A52" s="2033"/>
      <c r="B52" s="287" t="str">
        <f t="shared" si="7"/>
        <v/>
      </c>
      <c r="C52" s="288" t="str">
        <f t="shared" si="0"/>
        <v/>
      </c>
      <c r="D52" s="691"/>
      <c r="E52" s="692"/>
      <c r="F52" s="693"/>
      <c r="G52" s="694"/>
      <c r="H52" s="695"/>
      <c r="I52" s="289">
        <f>I51-SUM($D52:F52)</f>
        <v>0</v>
      </c>
      <c r="J52" s="1237" t="str">
        <f>$J$10</f>
        <v>% Mort/Sel Acm Tab :</v>
      </c>
      <c r="K52" s="1238">
        <f>IFERROR(LOOKUP($A47,TP!$A$6:$A$108,GSh!$AR$6:$AR$108)/100,0)</f>
        <v>0</v>
      </c>
      <c r="L52" s="1246"/>
      <c r="M52" s="291">
        <f t="shared" si="28"/>
        <v>0</v>
      </c>
      <c r="N52" s="292" t="str">
        <f>$N$10</f>
        <v xml:space="preserve">Uniformidad (C. Lote) : </v>
      </c>
      <c r="O52" s="320">
        <f>LOOKUP($A47,'Pr-Sem'!$A$6:$A$108,'Pr-Sem'!$AG$6:$AG$108)</f>
        <v>0</v>
      </c>
      <c r="P52" s="320">
        <v>90</v>
      </c>
      <c r="Q52" s="321">
        <f>IF(AND(P52&gt;0,O52&gt;0),(O52/P52-1)*100,0)</f>
        <v>0</v>
      </c>
      <c r="R52" s="699"/>
      <c r="S52" s="762"/>
      <c r="T52" s="765">
        <f t="shared" si="14"/>
        <v>0</v>
      </c>
      <c r="U52" s="700"/>
      <c r="V52" s="701"/>
      <c r="W52" s="701"/>
      <c r="X52" s="295">
        <f t="shared" si="9"/>
        <v>0</v>
      </c>
      <c r="Y52" s="296">
        <f>IF(AA52&gt;0,V52,AE47/IF(Iniciar!$C$25="B X 40 K",40,IF(Iniciar!$C$25="B X 50 K",50,1))*I52/1000)</f>
        <v>0</v>
      </c>
      <c r="Z52" s="296">
        <f t="shared" si="10"/>
        <v>0</v>
      </c>
      <c r="AA52" s="297">
        <f t="shared" si="29"/>
        <v>0</v>
      </c>
      <c r="AB52" s="297">
        <f t="shared" si="3"/>
        <v>0</v>
      </c>
      <c r="AC52" s="2037" t="str">
        <f>$AC$10</f>
        <v xml:space="preserve">Cons ml /ave día: </v>
      </c>
      <c r="AD52" s="2038"/>
      <c r="AE52" s="2056">
        <f>IFERROR(SUMPRODUCT(AB47:AB53,I47:I53)/SUM(I47:I53),0)</f>
        <v>0</v>
      </c>
      <c r="AF52" s="2057"/>
      <c r="AG52" s="311" t="str">
        <f>CONCATENATE("Costo ",Iniciar!$C$25," : ")</f>
        <v xml:space="preserve">Costo Kilos : </v>
      </c>
      <c r="AH52" s="2043">
        <f>IFERROR(SUMPRODUCT(T47:T53,V47:V53)/SUMIF(T47:T53,"&gt;0",V47:V53),0)</f>
        <v>0</v>
      </c>
      <c r="AI52" s="2043"/>
      <c r="AJ52" s="313"/>
      <c r="AK52" s="2027"/>
      <c r="AL52" s="1284">
        <f t="shared" si="4"/>
        <v>0</v>
      </c>
      <c r="AM52" s="1285"/>
      <c r="AN52" s="1285"/>
      <c r="AO52" s="1285"/>
      <c r="AP52" s="1285"/>
      <c r="AQ52" s="1285"/>
      <c r="AR52" s="1285"/>
      <c r="AS52" s="1286"/>
      <c r="AT52" s="1287"/>
      <c r="AU52" s="1288"/>
      <c r="AV52" s="1289"/>
      <c r="AW52" s="1290"/>
      <c r="AX52" s="1291"/>
      <c r="AY52" s="1291"/>
      <c r="AZ52" s="1292"/>
      <c r="BA52" s="1293"/>
      <c r="BB52" s="1294"/>
      <c r="BC52" s="1295"/>
      <c r="BD52" s="1296">
        <f>BD51+PROD!L52-BA52</f>
        <v>0</v>
      </c>
      <c r="BE52" s="2133"/>
      <c r="BF52" s="507" t="e">
        <f t="shared" si="5"/>
        <v>#VALUE!</v>
      </c>
      <c r="BG52" s="329"/>
      <c r="BH52" s="1018">
        <f t="shared" si="6"/>
        <v>0</v>
      </c>
    </row>
    <row r="53" spans="1:60" ht="15" customHeight="1" x14ac:dyDescent="0.3">
      <c r="A53" s="2034"/>
      <c r="B53" s="287" t="str">
        <f t="shared" si="7"/>
        <v/>
      </c>
      <c r="C53" s="288" t="str">
        <f t="shared" si="0"/>
        <v/>
      </c>
      <c r="D53" s="691"/>
      <c r="E53" s="692"/>
      <c r="F53" s="693"/>
      <c r="G53" s="694"/>
      <c r="H53" s="695"/>
      <c r="I53" s="289">
        <f>I52-SUM($D53:F53)</f>
        <v>0</v>
      </c>
      <c r="J53" s="1239" t="str">
        <f>$J$11</f>
        <v>% Viabilidad :</v>
      </c>
      <c r="K53" s="1240">
        <f>IF(OR(SUM(L47:L53)&gt;0,SUM(V47:V53)&gt;0),1-(K50+K51),0)</f>
        <v>0</v>
      </c>
      <c r="L53" s="1247"/>
      <c r="M53" s="1248">
        <f>IF(I53&gt;0,(L53/IF(SUM(L47:L52)&gt;0,1,7))/I53,0)</f>
        <v>0</v>
      </c>
      <c r="N53" s="1249" t="str">
        <f>$N$11</f>
        <v xml:space="preserve">Uniformidad (10% +) : </v>
      </c>
      <c r="O53" s="1250">
        <f>IF(O51&gt;0,IF(O52&gt;0,100-SUM(O51:O52),0),0)</f>
        <v>0</v>
      </c>
      <c r="P53" s="1251">
        <f>100-SUM(P51:P52)</f>
        <v>5</v>
      </c>
      <c r="Q53" s="1252">
        <f>IF(AND(P53&gt;0,O53&gt;0),(O53/P53-1)*100,0)</f>
        <v>0</v>
      </c>
      <c r="R53" s="699"/>
      <c r="S53" s="762"/>
      <c r="T53" s="765">
        <f t="shared" si="14"/>
        <v>0</v>
      </c>
      <c r="U53" s="700"/>
      <c r="V53" s="701"/>
      <c r="W53" s="701"/>
      <c r="X53" s="295">
        <f t="shared" si="9"/>
        <v>0</v>
      </c>
      <c r="Y53" s="296">
        <f>IF(AA53&gt;0,V53,AE47/IF(Iniciar!$C$25="B X 40 K",40,IF(Iniciar!$C$25="B X 50 K",50,1))*I53/1000)</f>
        <v>0</v>
      </c>
      <c r="Z53" s="296">
        <f t="shared" si="10"/>
        <v>0</v>
      </c>
      <c r="AA53" s="297">
        <f>IF(I53&gt;0,(V53/IF(SUM(V47:V52)&gt;0,1,7))*$A$1/I53,0)</f>
        <v>0</v>
      </c>
      <c r="AB53" s="297">
        <f t="shared" si="3"/>
        <v>0</v>
      </c>
      <c r="AC53" s="2039" t="str">
        <f>$AC$11</f>
        <v xml:space="preserve">Relación Agua /Alimto: </v>
      </c>
      <c r="AD53" s="2040"/>
      <c r="AE53" s="2058">
        <f>IFERROR(AE52/AD47,0)</f>
        <v>0</v>
      </c>
      <c r="AF53" s="2059"/>
      <c r="AG53" s="1269" t="s">
        <v>237</v>
      </c>
      <c r="AH53" s="1270">
        <f>IF(SUM(L47:L53)&gt;0,AH52*SUM(V47:V53)/SUM(L47:L53),0)</f>
        <v>0</v>
      </c>
      <c r="AI53" s="1270">
        <f>IF(AND($A$1&gt;0,P47&gt;0),AH52/$A$1*(AE47/P47)*100,0)</f>
        <v>0</v>
      </c>
      <c r="AJ53" s="1271">
        <f t="shared" ref="AJ53:AJ58" si="30">IF(AND(AI53&gt;0,AH53&gt;0),(AH53/AI53-1)*100,0)</f>
        <v>0</v>
      </c>
      <c r="AK53" s="2028"/>
      <c r="AL53" s="1284">
        <f t="shared" si="4"/>
        <v>0</v>
      </c>
      <c r="AM53" s="1285"/>
      <c r="AN53" s="1285"/>
      <c r="AO53" s="1285"/>
      <c r="AP53" s="1285"/>
      <c r="AQ53" s="1285"/>
      <c r="AR53" s="1285"/>
      <c r="AS53" s="1286"/>
      <c r="AT53" s="1287"/>
      <c r="AU53" s="1288"/>
      <c r="AV53" s="1289"/>
      <c r="AW53" s="1290"/>
      <c r="AX53" s="1291"/>
      <c r="AY53" s="1291"/>
      <c r="AZ53" s="1292"/>
      <c r="BA53" s="1293"/>
      <c r="BB53" s="1294"/>
      <c r="BC53" s="1295"/>
      <c r="BD53" s="1296">
        <f>BD52+PROD!L53-BA53</f>
        <v>0</v>
      </c>
      <c r="BE53" s="2134"/>
      <c r="BF53" s="507" t="e">
        <f t="shared" si="5"/>
        <v>#VALUE!</v>
      </c>
      <c r="BG53" s="329"/>
      <c r="BH53" s="1018">
        <f t="shared" si="6"/>
        <v>0</v>
      </c>
    </row>
    <row r="54" spans="1:60" ht="15" customHeight="1" x14ac:dyDescent="0.3">
      <c r="A54" s="2032">
        <f>A47+1</f>
        <v>25</v>
      </c>
      <c r="B54" s="287" t="str">
        <f t="shared" si="7"/>
        <v/>
      </c>
      <c r="C54" s="288" t="str">
        <f t="shared" si="0"/>
        <v/>
      </c>
      <c r="D54" s="691"/>
      <c r="E54" s="692"/>
      <c r="F54" s="693"/>
      <c r="G54" s="694"/>
      <c r="H54" s="695"/>
      <c r="I54" s="289">
        <f>I53-SUM($D54:F54)</f>
        <v>0</v>
      </c>
      <c r="J54" s="1232" t="str">
        <f>$J$5</f>
        <v>% Mort Sem :</v>
      </c>
      <c r="K54" s="1233">
        <f>IF(PROD!$K$2&gt;0,SUM(D54:D60)/PROD!$K$2,0)</f>
        <v>0</v>
      </c>
      <c r="L54" s="1241"/>
      <c r="M54" s="1242">
        <f t="shared" ref="M54:M59" si="31">IF(I54&gt;0,L54/I54,0)</f>
        <v>0</v>
      </c>
      <c r="N54" s="1243" t="str">
        <f>$N$5</f>
        <v xml:space="preserve">% Pdn prom semana : </v>
      </c>
      <c r="O54" s="1244">
        <f>IF(SUM(L54:L59)&gt;0,100*SUMPRODUCT(M54:M60,I54:I60)/SUMIF(L54:L60,"&gt;0",I54:I60),IF(L60&gt;0,100*L60/7/I60,0))</f>
        <v>0</v>
      </c>
      <c r="P54" s="1244">
        <f>IFERROR(LOOKUP($A54,TP!$A$6:$A$108,GSh!$AE$6:$AE$108),0)</f>
        <v>0</v>
      </c>
      <c r="Q54" s="1245">
        <f>IF(AND(P54&gt;0,O54&gt;0),O54-P54,0)</f>
        <v>0</v>
      </c>
      <c r="R54" s="699"/>
      <c r="S54" s="762"/>
      <c r="T54" s="765">
        <f t="shared" si="14"/>
        <v>0</v>
      </c>
      <c r="U54" s="700"/>
      <c r="V54" s="701"/>
      <c r="W54" s="701"/>
      <c r="X54" s="295">
        <f t="shared" si="9"/>
        <v>0</v>
      </c>
      <c r="Y54" s="296">
        <f>IF(AA54&gt;0,V54,AE54/IF(Iniciar!$C$25="B X 40 K",40,IF(Iniciar!$C$25="B X 50 K",50,1))*I54/1000)</f>
        <v>0</v>
      </c>
      <c r="Z54" s="296">
        <f t="shared" si="10"/>
        <v>0</v>
      </c>
      <c r="AA54" s="297">
        <f t="shared" ref="AA54:AA59" si="32">IF(I54&gt;0,V54*$A$1/I54,0)</f>
        <v>0</v>
      </c>
      <c r="AB54" s="297">
        <f t="shared" si="3"/>
        <v>0</v>
      </c>
      <c r="AC54" s="1261" t="str">
        <f>$AC$5</f>
        <v>Gr. Ave Dia :</v>
      </c>
      <c r="AD54" s="1262">
        <f>IF(SUMIF(V54:V60,"&gt;0")&gt;0,SUMPRODUCT(AA54:AA60,I54:I60)/SUMIF(AA54:AA60,"&gt;0",I54:I60),0)</f>
        <v>0</v>
      </c>
      <c r="AE54" s="1262">
        <f>IFERROR(LOOKUP($A54,TP!$A$6:$A$108,GSh!$AU$6:$AU$108),0)</f>
        <v>0</v>
      </c>
      <c r="AF54" s="1263">
        <f>IF(AND(AE54&gt;0,AD54&gt;0),(AD54/AE54-1)*100,0)</f>
        <v>0</v>
      </c>
      <c r="AG54" s="1264" t="str">
        <f>PROD!$AG$5</f>
        <v>Gr X H</v>
      </c>
      <c r="AH54" s="1265">
        <f>IF(PROD!O54&gt;0,IF($AG54="Gr X H",PROD!AD54/PROD!O54*100,IF($AG54="Conv Kg/Doc",PROD!AD54/PROD!O54*1.2,IF(PROD!$O56&gt;0,PROD!AD54/(PROD!O54*PROD!$O56)*100,0))),0)</f>
        <v>0</v>
      </c>
      <c r="AI54" s="1265">
        <f>IF(PROD!P54&gt;0,IF($AG54="Gr X H",PROD!AE54/PROD!P54*100,IF($AG54="Conv Kg/Doc",PROD!AE54/PROD!P54*1.2,IF(PROD!$P56&gt;0,PROD!AE54/(PROD!P54*PROD!$P56)*100,0))),0)</f>
        <v>0</v>
      </c>
      <c r="AJ54" s="1266">
        <f t="shared" si="30"/>
        <v>0</v>
      </c>
      <c r="AK54" s="2026"/>
      <c r="AL54" s="1284">
        <f t="shared" si="4"/>
        <v>0</v>
      </c>
      <c r="AM54" s="1285"/>
      <c r="AN54" s="1285"/>
      <c r="AO54" s="1285"/>
      <c r="AP54" s="1285"/>
      <c r="AQ54" s="1285"/>
      <c r="AR54" s="1285"/>
      <c r="AS54" s="1286"/>
      <c r="AT54" s="1287"/>
      <c r="AU54" s="1288"/>
      <c r="AV54" s="1289"/>
      <c r="AW54" s="1290"/>
      <c r="AX54" s="1291"/>
      <c r="AY54" s="1291"/>
      <c r="AZ54" s="1292"/>
      <c r="BA54" s="1293"/>
      <c r="BB54" s="1294"/>
      <c r="BC54" s="1295"/>
      <c r="BD54" s="1296">
        <f>BD53+PROD!L54-BA54</f>
        <v>0</v>
      </c>
      <c r="BE54" s="2132">
        <f>IF(SUM(AM54:AZ60)&gt;0,(SUM(AM54:AM60)*$AM$2+SUM(AN54:AN60)*$AN$2+SUM(AO54:AO60)*$AO$2+SUM(AP54:AP60)*$AP$2+SUM(AQ54:AQ60)*$AQ$2+SUM(AR54:AR60)*$AR$2+SUM(AS54:AS60)*$AS$2+SUM(AW54:AW60)*$AW$2+SUM(AX54:AX60)*$AX$2+SUM(AY54:AY60)*$AY$2+SUM(AZ54:AZ60)*$AZ$2+SUM(AT54:AT60)*$AT$2+SUM(AU54:AU60)*$AU$2+SUM(AV54:AV60)*$AV$2)/SUM(AM54:AZ60),0)</f>
        <v>0</v>
      </c>
      <c r="BF54" s="507" t="e">
        <f t="shared" si="5"/>
        <v>#VALUE!</v>
      </c>
      <c r="BG54" s="277">
        <f>IF(SUM(L54:L60)&gt;0,A54,IF(SUM(V54:V60)&gt;0,A54,BG47))</f>
        <v>0</v>
      </c>
      <c r="BH54" s="1018">
        <f t="shared" si="6"/>
        <v>0</v>
      </c>
    </row>
    <row r="55" spans="1:60" ht="15" customHeight="1" x14ac:dyDescent="0.3">
      <c r="A55" s="2033"/>
      <c r="B55" s="287" t="str">
        <f t="shared" si="7"/>
        <v/>
      </c>
      <c r="C55" s="288" t="str">
        <f t="shared" si="0"/>
        <v/>
      </c>
      <c r="D55" s="691"/>
      <c r="E55" s="692"/>
      <c r="F55" s="693"/>
      <c r="G55" s="694"/>
      <c r="H55" s="695"/>
      <c r="I55" s="289">
        <f>I54-SUM($D55:F55)</f>
        <v>0</v>
      </c>
      <c r="J55" s="1234" t="str">
        <f>$J$6</f>
        <v>% Sel Sem :</v>
      </c>
      <c r="K55" s="1231">
        <f>IF(PROD!$K$2&gt;0,SUM(E54:E60)/PROD!$K$2,0)</f>
        <v>0</v>
      </c>
      <c r="L55" s="1246"/>
      <c r="M55" s="291">
        <f t="shared" si="31"/>
        <v>0</v>
      </c>
      <c r="N55" s="292" t="str">
        <f>$N$6</f>
        <v xml:space="preserve">H. Ave Alojada : </v>
      </c>
      <c r="O55" s="293">
        <f>IF(AND(PROD!$K$2&gt;0,O54&gt;0),SUM(L$5:L60)/PROD!$K$2,0)</f>
        <v>0</v>
      </c>
      <c r="P55" s="293">
        <f>IFERROR(LOOKUP($A54,TP!$A$6:$A$108,GSh!$AJ$6:$AJ$108),0)</f>
        <v>0</v>
      </c>
      <c r="Q55" s="294">
        <f>IF(AND(P55&gt;0,O55&gt;0),O55-P55,0)</f>
        <v>0</v>
      </c>
      <c r="R55" s="699"/>
      <c r="S55" s="762"/>
      <c r="T55" s="765">
        <f t="shared" si="14"/>
        <v>0</v>
      </c>
      <c r="U55" s="700"/>
      <c r="V55" s="701"/>
      <c r="W55" s="701"/>
      <c r="X55" s="295">
        <f t="shared" si="9"/>
        <v>0</v>
      </c>
      <c r="Y55" s="296">
        <f>IF(AA55&gt;0,V55,AE54/IF(Iniciar!$C$25="B X 40 K",40,IF(Iniciar!$C$25="B X 50 K",50,1))*I55/1000)</f>
        <v>0</v>
      </c>
      <c r="Z55" s="296">
        <f t="shared" si="10"/>
        <v>0</v>
      </c>
      <c r="AA55" s="297">
        <f t="shared" si="32"/>
        <v>0</v>
      </c>
      <c r="AB55" s="297">
        <f t="shared" si="3"/>
        <v>0</v>
      </c>
      <c r="AC55" s="1267" t="str">
        <f>$AC$6</f>
        <v>Gr. Ave Sem :</v>
      </c>
      <c r="AD55" s="284">
        <f>AD54*7</f>
        <v>0</v>
      </c>
      <c r="AE55" s="284">
        <f>AE54*7</f>
        <v>0</v>
      </c>
      <c r="AF55" s="285">
        <f>IF(AND(AE55&gt;0,AD55&gt;0),(AD55/AE55-1)*100,0)</f>
        <v>0</v>
      </c>
      <c r="AG55" s="1199" t="str">
        <f>PROD!$AG$6</f>
        <v>Gr X H Acm</v>
      </c>
      <c r="AH55" s="298">
        <f>IF(SUM(PROD!L54:L60)&gt;0,IF(PROD!$AG$5="Gr X H",SUM(PROD!V$5:V60)*PROD!$A$1/SUM(PROD!L$5:L60),IF($AG54="Conv Kg/Doc",(SUM(PROD!V$5:V60)*PROD!$A$1/1000)/(SUM(PROD!L$5:L60)/12),IF(PROD!$O56&gt;0,SUM(PROD!V$5:V60)*PROD!$A$1/(SUM(PROD!L$5:L60)*LOOKUP(PROD!A54,TP!$A$6:$A$108,GSh!$BB$6:$BB$108)),0))),0)</f>
        <v>0</v>
      </c>
      <c r="AI55" s="298">
        <f>IF(PROD!P54&gt;0,IF($AG54="Gr X H",PROD!AE54/PROD!P54*100,IF($AG54="Conv Kg/Doc",PROD!AE54/PROD!P54*1.2,IF(PROD!$P55&gt;0,PROD!AE56/(PROD!P55*LOOKUP(PROD!$A54,TP!$A$6:$A$108,GSh!$BC$6:$BC$108)/1000),0))),0)</f>
        <v>0</v>
      </c>
      <c r="AJ55" s="328">
        <f t="shared" si="30"/>
        <v>0</v>
      </c>
      <c r="AK55" s="2027"/>
      <c r="AL55" s="1284">
        <f t="shared" si="4"/>
        <v>0</v>
      </c>
      <c r="AM55" s="1285"/>
      <c r="AN55" s="1285"/>
      <c r="AO55" s="1285"/>
      <c r="AP55" s="1285"/>
      <c r="AQ55" s="1285"/>
      <c r="AR55" s="1285"/>
      <c r="AS55" s="1286"/>
      <c r="AT55" s="1287"/>
      <c r="AU55" s="1288"/>
      <c r="AV55" s="1289"/>
      <c r="AW55" s="1290"/>
      <c r="AX55" s="1291"/>
      <c r="AY55" s="1291"/>
      <c r="AZ55" s="1292"/>
      <c r="BA55" s="1293"/>
      <c r="BB55" s="1294"/>
      <c r="BC55" s="1295"/>
      <c r="BD55" s="1296">
        <f>BD54+PROD!L55-BA55</f>
        <v>0</v>
      </c>
      <c r="BE55" s="2133"/>
      <c r="BF55" s="507" t="e">
        <f t="shared" si="5"/>
        <v>#VALUE!</v>
      </c>
      <c r="BG55" s="329"/>
      <c r="BH55" s="1018">
        <f t="shared" si="6"/>
        <v>0</v>
      </c>
    </row>
    <row r="56" spans="1:60" ht="15" customHeight="1" x14ac:dyDescent="0.3">
      <c r="A56" s="2033"/>
      <c r="B56" s="287" t="str">
        <f t="shared" si="7"/>
        <v/>
      </c>
      <c r="C56" s="288" t="str">
        <f t="shared" si="0"/>
        <v/>
      </c>
      <c r="D56" s="691"/>
      <c r="E56" s="692"/>
      <c r="F56" s="693"/>
      <c r="G56" s="694"/>
      <c r="H56" s="695"/>
      <c r="I56" s="289">
        <f>I55-SUM($D56:F56)</f>
        <v>0</v>
      </c>
      <c r="J56" s="1235" t="str">
        <f>$J$7</f>
        <v>% Mort/Sel Sem Tab :</v>
      </c>
      <c r="K56" s="1236">
        <f>K59-K52</f>
        <v>0</v>
      </c>
      <c r="L56" s="1246"/>
      <c r="M56" s="291">
        <f t="shared" si="31"/>
        <v>0</v>
      </c>
      <c r="N56" s="304" t="str">
        <f>$N$7</f>
        <v xml:space="preserve">Peso Huevo (Gr) : </v>
      </c>
      <c r="O56" s="305">
        <f>LOOKUP($A54,'Pr-Sem'!$A$6:$A$108,'Pr-Sem'!$Z$6:$Z$108)</f>
        <v>0</v>
      </c>
      <c r="P56" s="305">
        <f>IFERROR(LOOKUP($A54,TP!$A$6:$A$108,GSh!$AZ$6:$AZ$108),0)</f>
        <v>0</v>
      </c>
      <c r="Q56" s="306">
        <f>IF(AND(P56&gt;0,O56&gt;0),O56-P56,0)</f>
        <v>0</v>
      </c>
      <c r="R56" s="699"/>
      <c r="S56" s="762"/>
      <c r="T56" s="765">
        <f t="shared" si="14"/>
        <v>0</v>
      </c>
      <c r="U56" s="700"/>
      <c r="V56" s="701"/>
      <c r="W56" s="701"/>
      <c r="X56" s="295">
        <f t="shared" si="9"/>
        <v>0</v>
      </c>
      <c r="Y56" s="296">
        <f>IF(AA56&gt;0,V56,AE54/IF(Iniciar!$C$25="B X 40 K",40,IF(Iniciar!$C$25="B X 50 K",50,1))*I56/1000)</f>
        <v>0</v>
      </c>
      <c r="Z56" s="296">
        <f t="shared" si="10"/>
        <v>0</v>
      </c>
      <c r="AA56" s="297">
        <f t="shared" si="32"/>
        <v>0</v>
      </c>
      <c r="AB56" s="297">
        <f t="shared" si="3"/>
        <v>0</v>
      </c>
      <c r="AC56" s="1268" t="str">
        <f>$AC$7</f>
        <v>Kg Ave Acu :</v>
      </c>
      <c r="AD56" s="308">
        <f>IF(OR(SUM(L54:L60)&gt;0,SUM(V54:V60)&gt;0),AD55/1000+AD49,0)</f>
        <v>0</v>
      </c>
      <c r="AE56" s="309">
        <f>AE55/1000+AE49</f>
        <v>0</v>
      </c>
      <c r="AF56" s="310">
        <f>IF(AND(AE56&gt;0,AD56&gt;0),(AD56/AE56-1)*100,0)</f>
        <v>0</v>
      </c>
      <c r="AG56" s="311" t="str">
        <f>PROD!$AG$7</f>
        <v xml:space="preserve">Masa Sem H (Gr) : </v>
      </c>
      <c r="AH56" s="312">
        <f>PROD!O54/100*7*PROD!O56</f>
        <v>0</v>
      </c>
      <c r="AI56" s="312">
        <f>PROD!P54/100*7*PROD!P56</f>
        <v>0</v>
      </c>
      <c r="AJ56" s="313">
        <f t="shared" si="30"/>
        <v>0</v>
      </c>
      <c r="AK56" s="2027"/>
      <c r="AL56" s="1284">
        <f t="shared" si="4"/>
        <v>0</v>
      </c>
      <c r="AM56" s="1285"/>
      <c r="AN56" s="1285"/>
      <c r="AO56" s="1285"/>
      <c r="AP56" s="1285"/>
      <c r="AQ56" s="1285"/>
      <c r="AR56" s="1285"/>
      <c r="AS56" s="1286"/>
      <c r="AT56" s="1287"/>
      <c r="AU56" s="1288"/>
      <c r="AV56" s="1289"/>
      <c r="AW56" s="1290"/>
      <c r="AX56" s="1291"/>
      <c r="AY56" s="1291"/>
      <c r="AZ56" s="1292"/>
      <c r="BA56" s="1293"/>
      <c r="BB56" s="1294"/>
      <c r="BC56" s="1295"/>
      <c r="BD56" s="1296">
        <f>BD55+PROD!L56-BA56</f>
        <v>0</v>
      </c>
      <c r="BE56" s="2133"/>
      <c r="BF56" s="507" t="e">
        <f t="shared" si="5"/>
        <v>#VALUE!</v>
      </c>
      <c r="BG56" s="329"/>
      <c r="BH56" s="1018">
        <f t="shared" si="6"/>
        <v>0</v>
      </c>
    </row>
    <row r="57" spans="1:60" ht="15" customHeight="1" x14ac:dyDescent="0.3">
      <c r="A57" s="2033"/>
      <c r="B57" s="287" t="str">
        <f t="shared" si="7"/>
        <v/>
      </c>
      <c r="C57" s="288" t="str">
        <f t="shared" si="0"/>
        <v/>
      </c>
      <c r="D57" s="691"/>
      <c r="E57" s="692"/>
      <c r="F57" s="693"/>
      <c r="G57" s="694"/>
      <c r="H57" s="695"/>
      <c r="I57" s="289">
        <f>I56-SUM($D57:F57)</f>
        <v>0</v>
      </c>
      <c r="J57" s="1234" t="str">
        <f>$J$8</f>
        <v>% Mort Acm :</v>
      </c>
      <c r="K57" s="1231">
        <f>IF(PROD!$K$2&gt;0,SUM(D$5:D60)/PROD!$K$2,0)</f>
        <v>0</v>
      </c>
      <c r="L57" s="1246"/>
      <c r="M57" s="291">
        <f t="shared" si="31"/>
        <v>0</v>
      </c>
      <c r="N57" s="314" t="str">
        <f>N$8</f>
        <v xml:space="preserve">Peso Ave (Gr) : </v>
      </c>
      <c r="O57" s="315">
        <f>LOOKUP($A54,GSh!$BV$6:$BV$108,GSh!$BJ$6:$BJ$108)</f>
        <v>0</v>
      </c>
      <c r="P57" s="315">
        <f>IFERROR(LOOKUP($A54,TP!$A$6:$A$108,GSh!$BK$6:$BK$108),0)</f>
        <v>0</v>
      </c>
      <c r="Q57" s="316">
        <f>IF(AND(P57&gt;0,O57&gt;0),(O57/P57-1)*100,0)</f>
        <v>0</v>
      </c>
      <c r="R57" s="699"/>
      <c r="S57" s="762"/>
      <c r="T57" s="765">
        <f t="shared" si="14"/>
        <v>0</v>
      </c>
      <c r="U57" s="700"/>
      <c r="V57" s="701"/>
      <c r="W57" s="701"/>
      <c r="X57" s="295">
        <f t="shared" si="9"/>
        <v>0</v>
      </c>
      <c r="Y57" s="296">
        <f>IF(AA57&gt;0,V57,AE54/IF(Iniciar!$C$25="B X 40 K",40,IF(Iniciar!$C$25="B X 50 K",50,1))*I57/1000)</f>
        <v>0</v>
      </c>
      <c r="Z57" s="296">
        <f t="shared" si="10"/>
        <v>0</v>
      </c>
      <c r="AA57" s="297">
        <f t="shared" si="32"/>
        <v>0</v>
      </c>
      <c r="AB57" s="297">
        <f t="shared" si="3"/>
        <v>0</v>
      </c>
      <c r="AC57" s="541" t="str">
        <f>$AC$8</f>
        <v xml:space="preserve">Ton. Lote Acu : </v>
      </c>
      <c r="AD57" s="544">
        <f>SUM($V$5:$V60)*$A$1/1000000</f>
        <v>0</v>
      </c>
      <c r="AE57" s="543">
        <f>AE50+(AE54/1000000*7*(I54+I60)/2)</f>
        <v>0</v>
      </c>
      <c r="AF57" s="542">
        <f>IF(AND(AE57&gt;0,AD57&gt;0),(AD57/AE57-1)*100,0)</f>
        <v>0</v>
      </c>
      <c r="AG57" s="317" t="str">
        <f>PROD!$AG$8</f>
        <v xml:space="preserve">Masa Ac A. A (Kg) : </v>
      </c>
      <c r="AH57" s="318">
        <f>IF(PROD!$K$2&gt;0,SUM(PROD!L$5:L60)*LOOKUP(PROD!$A54,TP!$A$6:$A$108,GSh!$BB$6:$BB$108)/1000/PROD!$K$2,0)</f>
        <v>0</v>
      </c>
      <c r="AI57" s="318">
        <f>IFERROR(PROD!P55*LOOKUP(PROD!$A54,TP!$A$6:$A$108,GSh!$BC$6:$BC$108)/1000,0)</f>
        <v>0</v>
      </c>
      <c r="AJ57" s="330">
        <f t="shared" si="30"/>
        <v>0</v>
      </c>
      <c r="AK57" s="2027"/>
      <c r="AL57" s="1284">
        <f t="shared" si="4"/>
        <v>0</v>
      </c>
      <c r="AM57" s="1285"/>
      <c r="AN57" s="1285"/>
      <c r="AO57" s="1285"/>
      <c r="AP57" s="1285"/>
      <c r="AQ57" s="1285"/>
      <c r="AR57" s="1285"/>
      <c r="AS57" s="1286"/>
      <c r="AT57" s="1287"/>
      <c r="AU57" s="1288"/>
      <c r="AV57" s="1289"/>
      <c r="AW57" s="1290"/>
      <c r="AX57" s="1291"/>
      <c r="AY57" s="1291"/>
      <c r="AZ57" s="1292"/>
      <c r="BA57" s="1293"/>
      <c r="BB57" s="1294"/>
      <c r="BC57" s="1295"/>
      <c r="BD57" s="1296">
        <f>BD56+PROD!L57-BA57</f>
        <v>0</v>
      </c>
      <c r="BE57" s="2133"/>
      <c r="BF57" s="507" t="e">
        <f t="shared" si="5"/>
        <v>#VALUE!</v>
      </c>
      <c r="BG57" s="329"/>
      <c r="BH57" s="1018">
        <f t="shared" si="6"/>
        <v>0</v>
      </c>
    </row>
    <row r="58" spans="1:60" ht="15" customHeight="1" x14ac:dyDescent="0.3">
      <c r="A58" s="2033"/>
      <c r="B58" s="287" t="str">
        <f t="shared" si="7"/>
        <v/>
      </c>
      <c r="C58" s="288" t="str">
        <f t="shared" si="0"/>
        <v/>
      </c>
      <c r="D58" s="691"/>
      <c r="E58" s="692"/>
      <c r="F58" s="693"/>
      <c r="G58" s="694"/>
      <c r="H58" s="695"/>
      <c r="I58" s="289">
        <f>I57-SUM($D58:F58)</f>
        <v>0</v>
      </c>
      <c r="J58" s="1234" t="str">
        <f>$J$9</f>
        <v>% Sel Acm :</v>
      </c>
      <c r="K58" s="1231">
        <f>IF(PROD!$K$2&gt;0,SUM(E$5:E60)/PROD!$K$2,0)</f>
        <v>0</v>
      </c>
      <c r="L58" s="1246"/>
      <c r="M58" s="291">
        <f t="shared" si="31"/>
        <v>0</v>
      </c>
      <c r="N58" s="292" t="str">
        <f>$N$9</f>
        <v xml:space="preserve">Uniformidad (10% -) : </v>
      </c>
      <c r="O58" s="320">
        <f>LOOKUP($A54,'Pr-Sem'!$A$6:$A$108,'Pr-Sem'!$AH$6:$AH$108)</f>
        <v>0</v>
      </c>
      <c r="P58" s="320">
        <v>5</v>
      </c>
      <c r="Q58" s="321">
        <f>IF(AND(P58&gt;0,O58&gt;0),(1-O58/P58)*100,0)</f>
        <v>0</v>
      </c>
      <c r="R58" s="699"/>
      <c r="S58" s="762"/>
      <c r="T58" s="765">
        <f t="shared" si="14"/>
        <v>0</v>
      </c>
      <c r="U58" s="700"/>
      <c r="V58" s="701"/>
      <c r="W58" s="701"/>
      <c r="X58" s="295">
        <f t="shared" si="9"/>
        <v>0</v>
      </c>
      <c r="Y58" s="296">
        <f>IF(AA58&gt;0,V58,AE54/IF(Iniciar!$C$25="B X 40 K",40,IF(Iniciar!$C$25="B X 50 K",50,1))*I58/1000)</f>
        <v>0</v>
      </c>
      <c r="Z58" s="296">
        <f t="shared" si="10"/>
        <v>0</v>
      </c>
      <c r="AA58" s="297">
        <f t="shared" si="32"/>
        <v>0</v>
      </c>
      <c r="AB58" s="297">
        <f t="shared" si="3"/>
        <v>0</v>
      </c>
      <c r="AC58" s="2035" t="str">
        <f>$AC$9</f>
        <v xml:space="preserve">Total Litros Sem: </v>
      </c>
      <c r="AD58" s="2036"/>
      <c r="AE58" s="2050">
        <f>SUM(R54:R60)</f>
        <v>0</v>
      </c>
      <c r="AF58" s="2051"/>
      <c r="AG58" s="554" t="str">
        <f>$AG$9</f>
        <v xml:space="preserve">Indicador Eficiencia : </v>
      </c>
      <c r="AH58" s="555">
        <f>IF(AND(AE58&gt;0,O55&gt;0,O56&gt;0,SUM(L54:L60)&gt;0),(PROD!AH57/O55)*K60*100/(AE58/(SUM(L54:L60)*O56/1000)),0)</f>
        <v>0</v>
      </c>
      <c r="AI58" s="555">
        <f>IF(AND(P55&gt;0,PROD!AI56&gt;0),(PROD!AI57/P55)*(1-K59)*100/(AE55/PROD!AI56),0)</f>
        <v>0</v>
      </c>
      <c r="AJ58" s="331">
        <f t="shared" si="30"/>
        <v>0</v>
      </c>
      <c r="AK58" s="2027"/>
      <c r="AL58" s="1284">
        <f t="shared" si="4"/>
        <v>0</v>
      </c>
      <c r="AM58" s="1285"/>
      <c r="AN58" s="1285"/>
      <c r="AO58" s="1285"/>
      <c r="AP58" s="1285"/>
      <c r="AQ58" s="1285"/>
      <c r="AR58" s="1285"/>
      <c r="AS58" s="1286"/>
      <c r="AT58" s="1287"/>
      <c r="AU58" s="1288"/>
      <c r="AV58" s="1289"/>
      <c r="AW58" s="1290"/>
      <c r="AX58" s="1291"/>
      <c r="AY58" s="1291"/>
      <c r="AZ58" s="1292"/>
      <c r="BA58" s="1293"/>
      <c r="BB58" s="1294"/>
      <c r="BC58" s="1295"/>
      <c r="BD58" s="1296">
        <f>BD57+PROD!L58-BA58</f>
        <v>0</v>
      </c>
      <c r="BE58" s="2133"/>
      <c r="BF58" s="507" t="e">
        <f t="shared" si="5"/>
        <v>#VALUE!</v>
      </c>
      <c r="BG58" s="329"/>
      <c r="BH58" s="1018">
        <f t="shared" si="6"/>
        <v>0</v>
      </c>
    </row>
    <row r="59" spans="1:60" ht="15" customHeight="1" x14ac:dyDescent="0.3">
      <c r="A59" s="2033"/>
      <c r="B59" s="287" t="str">
        <f t="shared" si="7"/>
        <v/>
      </c>
      <c r="C59" s="288" t="str">
        <f t="shared" si="0"/>
        <v/>
      </c>
      <c r="D59" s="691"/>
      <c r="E59" s="692"/>
      <c r="F59" s="693"/>
      <c r="G59" s="694"/>
      <c r="H59" s="695"/>
      <c r="I59" s="289">
        <f>I58-SUM($D59:F59)</f>
        <v>0</v>
      </c>
      <c r="J59" s="1237" t="str">
        <f>$J$10</f>
        <v>% Mort/Sel Acm Tab :</v>
      </c>
      <c r="K59" s="1238">
        <f>IFERROR(LOOKUP($A54,TP!$A$6:$A$108,GSh!$AR$6:$AR$108)/100,0)</f>
        <v>0</v>
      </c>
      <c r="L59" s="1246"/>
      <c r="M59" s="291">
        <f t="shared" si="31"/>
        <v>0</v>
      </c>
      <c r="N59" s="292" t="str">
        <f>$N$10</f>
        <v xml:space="preserve">Uniformidad (C. Lote) : </v>
      </c>
      <c r="O59" s="320">
        <f>LOOKUP($A54,'Pr-Sem'!$A$6:$A$108,'Pr-Sem'!$AG$6:$AG$108)</f>
        <v>0</v>
      </c>
      <c r="P59" s="320">
        <v>90</v>
      </c>
      <c r="Q59" s="321">
        <f>IF(AND(P59&gt;0,O59&gt;0),(O59/P59-1)*100,0)</f>
        <v>0</v>
      </c>
      <c r="R59" s="699"/>
      <c r="S59" s="762"/>
      <c r="T59" s="765">
        <f t="shared" si="14"/>
        <v>0</v>
      </c>
      <c r="U59" s="700"/>
      <c r="V59" s="701"/>
      <c r="W59" s="701"/>
      <c r="X59" s="295">
        <f t="shared" si="9"/>
        <v>0</v>
      </c>
      <c r="Y59" s="296">
        <f>IF(AA59&gt;0,V59,AE54/IF(Iniciar!$C$25="B X 40 K",40,IF(Iniciar!$C$25="B X 50 K",50,1))*I59/1000)</f>
        <v>0</v>
      </c>
      <c r="Z59" s="296">
        <f t="shared" si="10"/>
        <v>0</v>
      </c>
      <c r="AA59" s="297">
        <f t="shared" si="32"/>
        <v>0</v>
      </c>
      <c r="AB59" s="297">
        <f t="shared" si="3"/>
        <v>0</v>
      </c>
      <c r="AC59" s="2037" t="str">
        <f>$AC$10</f>
        <v xml:space="preserve">Cons ml /ave día: </v>
      </c>
      <c r="AD59" s="2038"/>
      <c r="AE59" s="2056">
        <f>IFERROR(SUMPRODUCT(AB54:AB60,I54:I60)/SUM(I54:I60),0)</f>
        <v>0</v>
      </c>
      <c r="AF59" s="2057"/>
      <c r="AG59" s="311" t="str">
        <f>CONCATENATE("Costo ",Iniciar!$C$25," : ")</f>
        <v xml:space="preserve">Costo Kilos : </v>
      </c>
      <c r="AH59" s="2043">
        <f>IFERROR(SUMPRODUCT(T54:T60,V54:V60)/SUMIF(T54:T60,"&gt;0",V54:V60),0)</f>
        <v>0</v>
      </c>
      <c r="AI59" s="2043"/>
      <c r="AJ59" s="313"/>
      <c r="AK59" s="2027"/>
      <c r="AL59" s="1284">
        <f t="shared" si="4"/>
        <v>0</v>
      </c>
      <c r="AM59" s="1285"/>
      <c r="AN59" s="1285"/>
      <c r="AO59" s="1285"/>
      <c r="AP59" s="1285"/>
      <c r="AQ59" s="1285"/>
      <c r="AR59" s="1285"/>
      <c r="AS59" s="1286"/>
      <c r="AT59" s="1287"/>
      <c r="AU59" s="1288"/>
      <c r="AV59" s="1289"/>
      <c r="AW59" s="1290"/>
      <c r="AX59" s="1291"/>
      <c r="AY59" s="1291"/>
      <c r="AZ59" s="1292"/>
      <c r="BA59" s="1293"/>
      <c r="BB59" s="1294"/>
      <c r="BC59" s="1295"/>
      <c r="BD59" s="1296">
        <f>BD58+PROD!L59-BA59</f>
        <v>0</v>
      </c>
      <c r="BE59" s="2133"/>
      <c r="BF59" s="507" t="e">
        <f t="shared" si="5"/>
        <v>#VALUE!</v>
      </c>
      <c r="BG59" s="329"/>
      <c r="BH59" s="1018">
        <f t="shared" si="6"/>
        <v>0</v>
      </c>
    </row>
    <row r="60" spans="1:60" ht="15" customHeight="1" x14ac:dyDescent="0.3">
      <c r="A60" s="2034"/>
      <c r="B60" s="287" t="str">
        <f t="shared" si="7"/>
        <v/>
      </c>
      <c r="C60" s="288" t="str">
        <f t="shared" si="0"/>
        <v/>
      </c>
      <c r="D60" s="691"/>
      <c r="E60" s="692"/>
      <c r="F60" s="693"/>
      <c r="G60" s="694"/>
      <c r="H60" s="695"/>
      <c r="I60" s="289">
        <f>I59-SUM($D60:F60)</f>
        <v>0</v>
      </c>
      <c r="J60" s="1239" t="str">
        <f>$J$11</f>
        <v>% Viabilidad :</v>
      </c>
      <c r="K60" s="1240">
        <f>IF(OR(SUM(L54:L60)&gt;0,SUM(V54:V60)&gt;0),1-(K57+K58),0)</f>
        <v>0</v>
      </c>
      <c r="L60" s="1247"/>
      <c r="M60" s="1248">
        <f>IF(I60&gt;0,(L60/IF(SUM(L54:L59)&gt;0,1,7))/I60,0)</f>
        <v>0</v>
      </c>
      <c r="N60" s="1249" t="str">
        <f>$N$11</f>
        <v xml:space="preserve">Uniformidad (10% +) : </v>
      </c>
      <c r="O60" s="1250">
        <f>IF(O58&gt;0,IF(O59&gt;0,100-SUM(O58:O59),0),0)</f>
        <v>0</v>
      </c>
      <c r="P60" s="1251">
        <f>100-SUM(P58:P59)</f>
        <v>5</v>
      </c>
      <c r="Q60" s="1252">
        <f>IF(AND(P60&gt;0,O60&gt;0),(O60/P60-1)*100,0)</f>
        <v>0</v>
      </c>
      <c r="R60" s="699"/>
      <c r="S60" s="762"/>
      <c r="T60" s="765">
        <f t="shared" si="14"/>
        <v>0</v>
      </c>
      <c r="U60" s="700"/>
      <c r="V60" s="701"/>
      <c r="W60" s="701"/>
      <c r="X60" s="295">
        <f t="shared" si="9"/>
        <v>0</v>
      </c>
      <c r="Y60" s="296">
        <f>IF(AA60&gt;0,V60,AE54/IF(Iniciar!$C$25="B X 40 K",40,IF(Iniciar!$C$25="B X 50 K",50,1))*I60/1000)</f>
        <v>0</v>
      </c>
      <c r="Z60" s="296">
        <f t="shared" si="10"/>
        <v>0</v>
      </c>
      <c r="AA60" s="297">
        <f>IF(I60&gt;0,(V60/IF(SUM(V54:V59)&gt;0,1,7))*$A$1/I60,0)</f>
        <v>0</v>
      </c>
      <c r="AB60" s="297">
        <f t="shared" si="3"/>
        <v>0</v>
      </c>
      <c r="AC60" s="2039" t="str">
        <f>$AC$11</f>
        <v xml:space="preserve">Relación Agua /Alimto: </v>
      </c>
      <c r="AD60" s="2040"/>
      <c r="AE60" s="2058">
        <f>IFERROR(AE59/AD54,0)</f>
        <v>0</v>
      </c>
      <c r="AF60" s="2059"/>
      <c r="AG60" s="1269" t="s">
        <v>237</v>
      </c>
      <c r="AH60" s="1270">
        <f>IF(SUM(L54:L60)&gt;0,AH59*SUM(V54:V60)/SUM(L54:L60),0)</f>
        <v>0</v>
      </c>
      <c r="AI60" s="1270">
        <f>IF(AND($A$1&gt;0,P54&gt;0),AH59/$A$1*(AE54/P54)*100,0)</f>
        <v>0</v>
      </c>
      <c r="AJ60" s="1271">
        <f t="shared" ref="AJ60:AJ65" si="33">IF(AND(AI60&gt;0,AH60&gt;0),(AH60/AI60-1)*100,0)</f>
        <v>0</v>
      </c>
      <c r="AK60" s="2028"/>
      <c r="AL60" s="1284">
        <f t="shared" si="4"/>
        <v>0</v>
      </c>
      <c r="AM60" s="1285"/>
      <c r="AN60" s="1285"/>
      <c r="AO60" s="1285"/>
      <c r="AP60" s="1285"/>
      <c r="AQ60" s="1285"/>
      <c r="AR60" s="1285"/>
      <c r="AS60" s="1286"/>
      <c r="AT60" s="1287"/>
      <c r="AU60" s="1288"/>
      <c r="AV60" s="1289"/>
      <c r="AW60" s="1290"/>
      <c r="AX60" s="1291"/>
      <c r="AY60" s="1291"/>
      <c r="AZ60" s="1292"/>
      <c r="BA60" s="1293"/>
      <c r="BB60" s="1294"/>
      <c r="BC60" s="1295"/>
      <c r="BD60" s="1296">
        <f>BD59+PROD!L60-BA60</f>
        <v>0</v>
      </c>
      <c r="BE60" s="2134"/>
      <c r="BF60" s="507" t="e">
        <f t="shared" si="5"/>
        <v>#VALUE!</v>
      </c>
      <c r="BG60" s="329"/>
      <c r="BH60" s="1018">
        <f t="shared" si="6"/>
        <v>0</v>
      </c>
    </row>
    <row r="61" spans="1:60" ht="15" customHeight="1" x14ac:dyDescent="0.3">
      <c r="A61" s="2032">
        <f>A54+1</f>
        <v>26</v>
      </c>
      <c r="B61" s="287" t="str">
        <f t="shared" si="7"/>
        <v/>
      </c>
      <c r="C61" s="288" t="str">
        <f t="shared" si="0"/>
        <v/>
      </c>
      <c r="D61" s="691"/>
      <c r="E61" s="692"/>
      <c r="F61" s="693"/>
      <c r="G61" s="694"/>
      <c r="H61" s="695"/>
      <c r="I61" s="289">
        <f>I60-SUM($D61:F61)</f>
        <v>0</v>
      </c>
      <c r="J61" s="1232" t="str">
        <f>$J$5</f>
        <v>% Mort Sem :</v>
      </c>
      <c r="K61" s="1233">
        <f>IF(PROD!$K$2&gt;0,SUM(D61:D67)/PROD!$K$2,0)</f>
        <v>0</v>
      </c>
      <c r="L61" s="1241"/>
      <c r="M61" s="1242">
        <f t="shared" ref="M61:M66" si="34">IF(I61&gt;0,L61/I61,0)</f>
        <v>0</v>
      </c>
      <c r="N61" s="1243" t="str">
        <f>$N$5</f>
        <v xml:space="preserve">% Pdn prom semana : </v>
      </c>
      <c r="O61" s="1244">
        <f>IF(SUM(L61:L66)&gt;0,100*SUMPRODUCT(M61:M67,I61:I67)/SUMIF(L61:L67,"&gt;0",I61:I67),IF(L67&gt;0,100*L67/7/I67,0))</f>
        <v>0</v>
      </c>
      <c r="P61" s="1244">
        <f>IFERROR(LOOKUP($A61,TP!$A$6:$A$108,GSh!$AE$6:$AE$108),0)</f>
        <v>0</v>
      </c>
      <c r="Q61" s="1245">
        <f>IF(AND(P61&gt;0,O61&gt;0),O61-P61,0)</f>
        <v>0</v>
      </c>
      <c r="R61" s="699"/>
      <c r="S61" s="762"/>
      <c r="T61" s="765">
        <f t="shared" si="14"/>
        <v>0</v>
      </c>
      <c r="U61" s="700"/>
      <c r="V61" s="701"/>
      <c r="W61" s="701"/>
      <c r="X61" s="295">
        <f t="shared" si="9"/>
        <v>0</v>
      </c>
      <c r="Y61" s="296">
        <f>IF(AA61&gt;0,V61,AE61/IF(Iniciar!$C$25="B X 40 K",40,IF(Iniciar!$C$25="B X 50 K",50,1))*I61/1000)</f>
        <v>0</v>
      </c>
      <c r="Z61" s="296">
        <f t="shared" si="10"/>
        <v>0</v>
      </c>
      <c r="AA61" s="297">
        <f t="shared" ref="AA61:AA66" si="35">IF(I61&gt;0,V61*$A$1/I61,0)</f>
        <v>0</v>
      </c>
      <c r="AB61" s="297">
        <f t="shared" si="3"/>
        <v>0</v>
      </c>
      <c r="AC61" s="1261" t="str">
        <f>$AC$5</f>
        <v>Gr. Ave Dia :</v>
      </c>
      <c r="AD61" s="1262">
        <f>IF(SUMIF(V61:V67,"&gt;0")&gt;0,SUMPRODUCT(AA61:AA67,I61:I67)/SUMIF(AA61:AA67,"&gt;0",I61:I67),0)</f>
        <v>0</v>
      </c>
      <c r="AE61" s="1262">
        <f>IFERROR(LOOKUP($A61,TP!$A$6:$A$108,GSh!$AU$6:$AU$108),0)</f>
        <v>0</v>
      </c>
      <c r="AF61" s="1263">
        <f>IF(AND(AE61&gt;0,AD61&gt;0),(AD61/AE61-1)*100,0)</f>
        <v>0</v>
      </c>
      <c r="AG61" s="1264" t="str">
        <f>PROD!$AG$5</f>
        <v>Gr X H</v>
      </c>
      <c r="AH61" s="1265">
        <f>IF(PROD!O61&gt;0,IF($AG61="Gr X H",PROD!AD61/PROD!O61*100,IF($AG61="Conv Kg/Doc",PROD!AD61/PROD!O61*1.2,IF(PROD!$O63&gt;0,PROD!AD61/(PROD!O61*PROD!$O63)*100,0))),0)</f>
        <v>0</v>
      </c>
      <c r="AI61" s="1265">
        <f>IF(PROD!P61&gt;0,IF($AG61="Gr X H",PROD!AE61/PROD!P61*100,IF($AG61="Conv Kg/Doc",PROD!AE61/PROD!P61*1.2,IF(PROD!$P63&gt;0,PROD!AE61/(PROD!P61*PROD!$P63)*100,0))),0)</f>
        <v>0</v>
      </c>
      <c r="AJ61" s="1266">
        <f t="shared" si="33"/>
        <v>0</v>
      </c>
      <c r="AK61" s="2026"/>
      <c r="AL61" s="1284">
        <f t="shared" si="4"/>
        <v>0</v>
      </c>
      <c r="AM61" s="1285"/>
      <c r="AN61" s="1285"/>
      <c r="AO61" s="1285"/>
      <c r="AP61" s="1285"/>
      <c r="AQ61" s="1285"/>
      <c r="AR61" s="1285"/>
      <c r="AS61" s="1286"/>
      <c r="AT61" s="1287"/>
      <c r="AU61" s="1288"/>
      <c r="AV61" s="1289"/>
      <c r="AW61" s="1290"/>
      <c r="AX61" s="1291"/>
      <c r="AY61" s="1291"/>
      <c r="AZ61" s="1292"/>
      <c r="BA61" s="1293"/>
      <c r="BB61" s="1294"/>
      <c r="BC61" s="1295"/>
      <c r="BD61" s="1296">
        <f>BD60+PROD!L61-BA61</f>
        <v>0</v>
      </c>
      <c r="BE61" s="2132">
        <f>IF(SUM(AM61:AZ67)&gt;0,(SUM(AM61:AM67)*$AM$2+SUM(AN61:AN67)*$AN$2+SUM(AO61:AO67)*$AO$2+SUM(AP61:AP67)*$AP$2+SUM(AQ61:AQ67)*$AQ$2+SUM(AR61:AR67)*$AR$2+SUM(AS61:AS67)*$AS$2+SUM(AW61:AW67)*$AW$2+SUM(AX61:AX67)*$AX$2+SUM(AY61:AY67)*$AY$2+SUM(AZ61:AZ67)*$AZ$2+SUM(AT61:AT67)*$AT$2+SUM(AU61:AU67)*$AU$2+SUM(AV61:AV67)*$AV$2)/SUM(AM61:AZ67),0)</f>
        <v>0</v>
      </c>
      <c r="BF61" s="507" t="e">
        <f t="shared" si="5"/>
        <v>#VALUE!</v>
      </c>
      <c r="BG61" s="277">
        <f>IF(SUM(L61:L67)&gt;0,A61,IF(SUM(V61:V67)&gt;0,A61,BG54))</f>
        <v>0</v>
      </c>
      <c r="BH61" s="1018">
        <f t="shared" si="6"/>
        <v>0</v>
      </c>
    </row>
    <row r="62" spans="1:60" ht="15" customHeight="1" x14ac:dyDescent="0.3">
      <c r="A62" s="2033"/>
      <c r="B62" s="287" t="str">
        <f t="shared" si="7"/>
        <v/>
      </c>
      <c r="C62" s="288" t="str">
        <f t="shared" si="0"/>
        <v/>
      </c>
      <c r="D62" s="691"/>
      <c r="E62" s="692"/>
      <c r="F62" s="693"/>
      <c r="G62" s="694"/>
      <c r="H62" s="695"/>
      <c r="I62" s="289">
        <f>I61-SUM($D62:F62)</f>
        <v>0</v>
      </c>
      <c r="J62" s="1234" t="str">
        <f>$J$6</f>
        <v>% Sel Sem :</v>
      </c>
      <c r="K62" s="1231">
        <f>IF(PROD!$K$2&gt;0,SUM(E61:E67)/PROD!$K$2,0)</f>
        <v>0</v>
      </c>
      <c r="L62" s="1246"/>
      <c r="M62" s="291">
        <f t="shared" si="34"/>
        <v>0</v>
      </c>
      <c r="N62" s="292" t="str">
        <f>$N$6</f>
        <v xml:space="preserve">H. Ave Alojada : </v>
      </c>
      <c r="O62" s="293">
        <f>IF(AND(PROD!$K$2&gt;0,O61&gt;0),SUM(L$5:L67)/PROD!$K$2,0)</f>
        <v>0</v>
      </c>
      <c r="P62" s="293">
        <f>IFERROR(LOOKUP($A61,TP!$A$6:$A$108,GSh!$AJ$6:$AJ$108),0)</f>
        <v>0</v>
      </c>
      <c r="Q62" s="294">
        <f>IF(AND(P62&gt;0,O62&gt;0),O62-P62,0)</f>
        <v>0</v>
      </c>
      <c r="R62" s="699"/>
      <c r="S62" s="762"/>
      <c r="T62" s="765">
        <f t="shared" si="14"/>
        <v>0</v>
      </c>
      <c r="U62" s="700"/>
      <c r="V62" s="701"/>
      <c r="W62" s="701"/>
      <c r="X62" s="295">
        <f t="shared" si="9"/>
        <v>0</v>
      </c>
      <c r="Y62" s="296">
        <f>IF(AA62&gt;0,V62,AE61/IF(Iniciar!$C$25="B X 40 K",40,IF(Iniciar!$C$25="B X 50 K",50,1))*I62/1000)</f>
        <v>0</v>
      </c>
      <c r="Z62" s="296">
        <f t="shared" si="10"/>
        <v>0</v>
      </c>
      <c r="AA62" s="297">
        <f t="shared" si="35"/>
        <v>0</v>
      </c>
      <c r="AB62" s="297">
        <f t="shared" si="3"/>
        <v>0</v>
      </c>
      <c r="AC62" s="1267" t="str">
        <f>$AC$6</f>
        <v>Gr. Ave Sem :</v>
      </c>
      <c r="AD62" s="284">
        <f>AD61*7</f>
        <v>0</v>
      </c>
      <c r="AE62" s="284">
        <f>AE61*7</f>
        <v>0</v>
      </c>
      <c r="AF62" s="285">
        <f>IF(AND(AE62&gt;0,AD62&gt;0),(AD62/AE62-1)*100,0)</f>
        <v>0</v>
      </c>
      <c r="AG62" s="1199" t="str">
        <f>PROD!$AG$6</f>
        <v>Gr X H Acm</v>
      </c>
      <c r="AH62" s="298">
        <f>IF(SUM(PROD!L61:L67)&gt;0,IF(PROD!$AG$5="Gr X H",SUM(PROD!V$5:V67)*PROD!$A$1/SUM(PROD!L$5:L67),IF($AG61="Conv Kg/Doc",(SUM(PROD!V$5:V67)*PROD!$A$1/1000)/(SUM(PROD!L$5:L67)/12),IF(PROD!$O63&gt;0,SUM(PROD!V$5:V67)*PROD!$A$1/(SUM(PROD!L$5:L67)*LOOKUP(PROD!A61,TP!$A$6:$A$108,GSh!$BB$6:$BB$108)),0))),0)</f>
        <v>0</v>
      </c>
      <c r="AI62" s="298">
        <f>IF(PROD!P61&gt;0,IF($AG61="Gr X H",PROD!AE61/PROD!P61*100,IF($AG61="Conv Kg/Doc",PROD!AE61/PROD!P61*1.2,IF(PROD!$P62&gt;0,PROD!AE63/(PROD!P62*LOOKUP(PROD!$A61,TP!$A$6:$A$108,GSh!$BC$6:$BC$108)/1000),0))),0)</f>
        <v>0</v>
      </c>
      <c r="AJ62" s="328">
        <f t="shared" si="33"/>
        <v>0</v>
      </c>
      <c r="AK62" s="2027"/>
      <c r="AL62" s="1284">
        <f t="shared" si="4"/>
        <v>0</v>
      </c>
      <c r="AM62" s="1285"/>
      <c r="AN62" s="1285"/>
      <c r="AO62" s="1285"/>
      <c r="AP62" s="1285"/>
      <c r="AQ62" s="1285"/>
      <c r="AR62" s="1285"/>
      <c r="AS62" s="1286"/>
      <c r="AT62" s="1287"/>
      <c r="AU62" s="1288"/>
      <c r="AV62" s="1289"/>
      <c r="AW62" s="1290"/>
      <c r="AX62" s="1291"/>
      <c r="AY62" s="1291"/>
      <c r="AZ62" s="1292"/>
      <c r="BA62" s="1293"/>
      <c r="BB62" s="1294"/>
      <c r="BC62" s="1295"/>
      <c r="BD62" s="1296">
        <f>BD61+PROD!L62-BA62</f>
        <v>0</v>
      </c>
      <c r="BE62" s="2133"/>
      <c r="BF62" s="507" t="e">
        <f t="shared" si="5"/>
        <v>#VALUE!</v>
      </c>
      <c r="BG62" s="329"/>
      <c r="BH62" s="1018">
        <f t="shared" si="6"/>
        <v>0</v>
      </c>
    </row>
    <row r="63" spans="1:60" ht="15" customHeight="1" x14ac:dyDescent="0.3">
      <c r="A63" s="2033"/>
      <c r="B63" s="287" t="str">
        <f t="shared" si="7"/>
        <v/>
      </c>
      <c r="C63" s="288" t="str">
        <f t="shared" si="0"/>
        <v/>
      </c>
      <c r="D63" s="691"/>
      <c r="E63" s="692"/>
      <c r="F63" s="693"/>
      <c r="G63" s="694"/>
      <c r="H63" s="695"/>
      <c r="I63" s="289">
        <f>I62-SUM($D63:F63)</f>
        <v>0</v>
      </c>
      <c r="J63" s="1235" t="str">
        <f>$J$7</f>
        <v>% Mort/Sel Sem Tab :</v>
      </c>
      <c r="K63" s="1236">
        <f>K66-K59</f>
        <v>0</v>
      </c>
      <c r="L63" s="1246"/>
      <c r="M63" s="291">
        <f t="shared" si="34"/>
        <v>0</v>
      </c>
      <c r="N63" s="304" t="str">
        <f>$N$7</f>
        <v xml:space="preserve">Peso Huevo (Gr) : </v>
      </c>
      <c r="O63" s="305">
        <f>LOOKUP($A61,'Pr-Sem'!$A$6:$A$108,'Pr-Sem'!$Z$6:$Z$108)</f>
        <v>0</v>
      </c>
      <c r="P63" s="305">
        <f>IFERROR(LOOKUP($A61,TP!$A$6:$A$108,GSh!$AZ$6:$AZ$108),0)</f>
        <v>0</v>
      </c>
      <c r="Q63" s="306">
        <f>IF(AND(P63&gt;0,O63&gt;0),O63-P63,0)</f>
        <v>0</v>
      </c>
      <c r="R63" s="699"/>
      <c r="S63" s="762"/>
      <c r="T63" s="765">
        <f t="shared" si="14"/>
        <v>0</v>
      </c>
      <c r="U63" s="700"/>
      <c r="V63" s="701"/>
      <c r="W63" s="701"/>
      <c r="X63" s="295">
        <f t="shared" si="9"/>
        <v>0</v>
      </c>
      <c r="Y63" s="296">
        <f>IF(AA63&gt;0,V63,AE61/IF(Iniciar!$C$25="B X 40 K",40,IF(Iniciar!$C$25="B X 50 K",50,1))*I63/1000)</f>
        <v>0</v>
      </c>
      <c r="Z63" s="296">
        <f t="shared" si="10"/>
        <v>0</v>
      </c>
      <c r="AA63" s="297">
        <f t="shared" si="35"/>
        <v>0</v>
      </c>
      <c r="AB63" s="297">
        <f t="shared" si="3"/>
        <v>0</v>
      </c>
      <c r="AC63" s="1268" t="str">
        <f>$AC$7</f>
        <v>Kg Ave Acu :</v>
      </c>
      <c r="AD63" s="308">
        <f>IF(OR(SUM(L61:L67)&gt;0,SUM(V61:V67)&gt;0),AD62/1000+AD56,0)</f>
        <v>0</v>
      </c>
      <c r="AE63" s="309">
        <f>AE62/1000+AE56</f>
        <v>0</v>
      </c>
      <c r="AF63" s="310">
        <f>IF(AND(AE63&gt;0,AD63&gt;0),(AD63/AE63-1)*100,0)</f>
        <v>0</v>
      </c>
      <c r="AG63" s="311" t="str">
        <f>PROD!$AG$7</f>
        <v xml:space="preserve">Masa Sem H (Gr) : </v>
      </c>
      <c r="AH63" s="312">
        <f>PROD!O61/100*7*PROD!O63</f>
        <v>0</v>
      </c>
      <c r="AI63" s="312">
        <f>PROD!P61/100*7*PROD!P63</f>
        <v>0</v>
      </c>
      <c r="AJ63" s="313">
        <f t="shared" si="33"/>
        <v>0</v>
      </c>
      <c r="AK63" s="2027"/>
      <c r="AL63" s="1284">
        <f t="shared" si="4"/>
        <v>0</v>
      </c>
      <c r="AM63" s="1285"/>
      <c r="AN63" s="1285"/>
      <c r="AO63" s="1285"/>
      <c r="AP63" s="1285"/>
      <c r="AQ63" s="1285"/>
      <c r="AR63" s="1285"/>
      <c r="AS63" s="1286"/>
      <c r="AT63" s="1287"/>
      <c r="AU63" s="1288"/>
      <c r="AV63" s="1289"/>
      <c r="AW63" s="1290"/>
      <c r="AX63" s="1291"/>
      <c r="AY63" s="1291"/>
      <c r="AZ63" s="1292"/>
      <c r="BA63" s="1293"/>
      <c r="BB63" s="1294"/>
      <c r="BC63" s="1295"/>
      <c r="BD63" s="1296">
        <f>BD62+PROD!L63-BA63</f>
        <v>0</v>
      </c>
      <c r="BE63" s="2133"/>
      <c r="BF63" s="507" t="e">
        <f t="shared" si="5"/>
        <v>#VALUE!</v>
      </c>
      <c r="BG63" s="329"/>
      <c r="BH63" s="1018">
        <f t="shared" si="6"/>
        <v>0</v>
      </c>
    </row>
    <row r="64" spans="1:60" ht="15" customHeight="1" x14ac:dyDescent="0.3">
      <c r="A64" s="2033"/>
      <c r="B64" s="287" t="str">
        <f t="shared" si="7"/>
        <v/>
      </c>
      <c r="C64" s="288" t="str">
        <f t="shared" si="0"/>
        <v/>
      </c>
      <c r="D64" s="691"/>
      <c r="E64" s="692"/>
      <c r="F64" s="693"/>
      <c r="G64" s="694"/>
      <c r="H64" s="695"/>
      <c r="I64" s="289">
        <f>I63-SUM($D64:F64)</f>
        <v>0</v>
      </c>
      <c r="J64" s="1234" t="str">
        <f>$J$8</f>
        <v>% Mort Acm :</v>
      </c>
      <c r="K64" s="1231">
        <f>IF(PROD!$K$2&gt;0,SUM(D$5:D67)/PROD!$K$2,0)</f>
        <v>0</v>
      </c>
      <c r="L64" s="1246"/>
      <c r="M64" s="291">
        <f t="shared" si="34"/>
        <v>0</v>
      </c>
      <c r="N64" s="314" t="str">
        <f>N$8</f>
        <v xml:space="preserve">Peso Ave (Gr) : </v>
      </c>
      <c r="O64" s="315">
        <f>LOOKUP($A61,GSh!$BV$6:$BV$108,GSh!$BJ$6:$BJ$108)</f>
        <v>0</v>
      </c>
      <c r="P64" s="315">
        <f>IFERROR(LOOKUP($A61,TP!$A$6:$A$108,GSh!$BK$6:$BK$108),0)</f>
        <v>0</v>
      </c>
      <c r="Q64" s="316">
        <f>IF(AND(P64&gt;0,O64&gt;0),(O64/P64-1)*100,0)</f>
        <v>0</v>
      </c>
      <c r="R64" s="699"/>
      <c r="S64" s="762"/>
      <c r="T64" s="765">
        <f t="shared" si="14"/>
        <v>0</v>
      </c>
      <c r="U64" s="700"/>
      <c r="V64" s="701"/>
      <c r="W64" s="701"/>
      <c r="X64" s="295">
        <f t="shared" si="9"/>
        <v>0</v>
      </c>
      <c r="Y64" s="296">
        <f>IF(AA64&gt;0,V64,AE61/IF(Iniciar!$C$25="B X 40 K",40,IF(Iniciar!$C$25="B X 50 K",50,1))*I64/1000)</f>
        <v>0</v>
      </c>
      <c r="Z64" s="296">
        <f t="shared" si="10"/>
        <v>0</v>
      </c>
      <c r="AA64" s="297">
        <f t="shared" si="35"/>
        <v>0</v>
      </c>
      <c r="AB64" s="297">
        <f t="shared" si="3"/>
        <v>0</v>
      </c>
      <c r="AC64" s="541" t="str">
        <f>$AC$8</f>
        <v xml:space="preserve">Ton. Lote Acu : </v>
      </c>
      <c r="AD64" s="544">
        <f>SUM($V$5:$V67)*$A$1/1000000</f>
        <v>0</v>
      </c>
      <c r="AE64" s="543">
        <f>AE57+(AE61/1000000*7*(I61+I67)/2)</f>
        <v>0</v>
      </c>
      <c r="AF64" s="542">
        <f>IF(AND(AE64&gt;0,AD64&gt;0),(AD64/AE64-1)*100,0)</f>
        <v>0</v>
      </c>
      <c r="AG64" s="317" t="str">
        <f>PROD!$AG$8</f>
        <v xml:space="preserve">Masa Ac A. A (Kg) : </v>
      </c>
      <c r="AH64" s="318">
        <f>IF(PROD!$K$2&gt;0,SUM(PROD!L$5:L67)*LOOKUP(PROD!$A61,TP!$A$6:$A$108,GSh!$BB$6:$BB$108)/1000/PROD!$K$2,0)</f>
        <v>0</v>
      </c>
      <c r="AI64" s="318">
        <f>IFERROR(PROD!P62*LOOKUP(PROD!$A61,TP!$A$6:$A$108,GSh!$BC$6:$BC$108)/1000,0)</f>
        <v>0</v>
      </c>
      <c r="AJ64" s="330">
        <f t="shared" si="33"/>
        <v>0</v>
      </c>
      <c r="AK64" s="2027"/>
      <c r="AL64" s="1284">
        <f t="shared" si="4"/>
        <v>0</v>
      </c>
      <c r="AM64" s="1285"/>
      <c r="AN64" s="1285"/>
      <c r="AO64" s="1285"/>
      <c r="AP64" s="1285"/>
      <c r="AQ64" s="1285"/>
      <c r="AR64" s="1285"/>
      <c r="AS64" s="1286"/>
      <c r="AT64" s="1287"/>
      <c r="AU64" s="1288"/>
      <c r="AV64" s="1289"/>
      <c r="AW64" s="1290"/>
      <c r="AX64" s="1291"/>
      <c r="AY64" s="1291"/>
      <c r="AZ64" s="1292"/>
      <c r="BA64" s="1293"/>
      <c r="BB64" s="1294"/>
      <c r="BC64" s="1295"/>
      <c r="BD64" s="1296">
        <f>BD63+PROD!L64-BA64</f>
        <v>0</v>
      </c>
      <c r="BE64" s="2133"/>
      <c r="BF64" s="507" t="e">
        <f t="shared" si="5"/>
        <v>#VALUE!</v>
      </c>
      <c r="BG64" s="329"/>
      <c r="BH64" s="1018">
        <f t="shared" si="6"/>
        <v>0</v>
      </c>
    </row>
    <row r="65" spans="1:60" ht="15" customHeight="1" x14ac:dyDescent="0.3">
      <c r="A65" s="2033"/>
      <c r="B65" s="287" t="str">
        <f t="shared" si="7"/>
        <v/>
      </c>
      <c r="C65" s="288" t="str">
        <f t="shared" si="0"/>
        <v/>
      </c>
      <c r="D65" s="691"/>
      <c r="E65" s="692"/>
      <c r="F65" s="693"/>
      <c r="G65" s="694"/>
      <c r="H65" s="695"/>
      <c r="I65" s="289">
        <f>I64-SUM($D65:F65)</f>
        <v>0</v>
      </c>
      <c r="J65" s="1234" t="str">
        <f>$J$9</f>
        <v>% Sel Acm :</v>
      </c>
      <c r="K65" s="1231">
        <f>IF(PROD!$K$2&gt;0,SUM(E$5:E67)/PROD!$K$2,0)</f>
        <v>0</v>
      </c>
      <c r="L65" s="1246"/>
      <c r="M65" s="291">
        <f t="shared" si="34"/>
        <v>0</v>
      </c>
      <c r="N65" s="292" t="str">
        <f>$N$9</f>
        <v xml:space="preserve">Uniformidad (10% -) : </v>
      </c>
      <c r="O65" s="320">
        <f>LOOKUP($A61,'Pr-Sem'!$A$6:$A$108,'Pr-Sem'!$AH$6:$AH$108)</f>
        <v>0</v>
      </c>
      <c r="P65" s="320">
        <v>5</v>
      </c>
      <c r="Q65" s="321">
        <f>IF(AND(P65&gt;0,O65&gt;0),(1-O65/P65)*100,0)</f>
        <v>0</v>
      </c>
      <c r="R65" s="699"/>
      <c r="S65" s="762"/>
      <c r="T65" s="765">
        <f t="shared" si="14"/>
        <v>0</v>
      </c>
      <c r="U65" s="700"/>
      <c r="V65" s="701"/>
      <c r="W65" s="701"/>
      <c r="X65" s="295">
        <f t="shared" si="9"/>
        <v>0</v>
      </c>
      <c r="Y65" s="296">
        <f>IF(AA65&gt;0,V65,AE61/IF(Iniciar!$C$25="B X 40 K",40,IF(Iniciar!$C$25="B X 50 K",50,1))*I65/1000)</f>
        <v>0</v>
      </c>
      <c r="Z65" s="296">
        <f t="shared" si="10"/>
        <v>0</v>
      </c>
      <c r="AA65" s="297">
        <f t="shared" si="35"/>
        <v>0</v>
      </c>
      <c r="AB65" s="297">
        <f t="shared" si="3"/>
        <v>0</v>
      </c>
      <c r="AC65" s="2035" t="str">
        <f>$AC$9</f>
        <v xml:space="preserve">Total Litros Sem: </v>
      </c>
      <c r="AD65" s="2036"/>
      <c r="AE65" s="2050">
        <f>SUM(R61:R67)</f>
        <v>0</v>
      </c>
      <c r="AF65" s="2051"/>
      <c r="AG65" s="554" t="str">
        <f>$AG$9</f>
        <v xml:space="preserve">Indicador Eficiencia : </v>
      </c>
      <c r="AH65" s="555">
        <f>IF(AND(AE65&gt;0,O62&gt;0,O63&gt;0,SUM(L61:L67)&gt;0),(PROD!AH64/O62)*K67*100/(AE65/(SUM(L61:L67)*O63/1000)),0)</f>
        <v>0</v>
      </c>
      <c r="AI65" s="555">
        <f>IF(AND(P62&gt;0,PROD!AI63&gt;0),(PROD!AI64/P62)*(1-K66)*100/(AE62/PROD!AI63),0)</f>
        <v>0</v>
      </c>
      <c r="AJ65" s="331">
        <f t="shared" si="33"/>
        <v>0</v>
      </c>
      <c r="AK65" s="2027"/>
      <c r="AL65" s="1284">
        <f t="shared" si="4"/>
        <v>0</v>
      </c>
      <c r="AM65" s="1285"/>
      <c r="AN65" s="1285"/>
      <c r="AO65" s="1285"/>
      <c r="AP65" s="1285"/>
      <c r="AQ65" s="1285"/>
      <c r="AR65" s="1285"/>
      <c r="AS65" s="1286"/>
      <c r="AT65" s="1287"/>
      <c r="AU65" s="1288"/>
      <c r="AV65" s="1289"/>
      <c r="AW65" s="1290"/>
      <c r="AX65" s="1291"/>
      <c r="AY65" s="1291"/>
      <c r="AZ65" s="1292"/>
      <c r="BA65" s="1293"/>
      <c r="BB65" s="1294"/>
      <c r="BC65" s="1295"/>
      <c r="BD65" s="1296">
        <f>BD64+PROD!L65-BA65</f>
        <v>0</v>
      </c>
      <c r="BE65" s="2133"/>
      <c r="BF65" s="507" t="e">
        <f t="shared" si="5"/>
        <v>#VALUE!</v>
      </c>
      <c r="BG65" s="329"/>
      <c r="BH65" s="1018">
        <f t="shared" si="6"/>
        <v>0</v>
      </c>
    </row>
    <row r="66" spans="1:60" ht="15" customHeight="1" x14ac:dyDescent="0.3">
      <c r="A66" s="2033"/>
      <c r="B66" s="287" t="str">
        <f t="shared" si="7"/>
        <v/>
      </c>
      <c r="C66" s="288" t="str">
        <f t="shared" si="0"/>
        <v/>
      </c>
      <c r="D66" s="691"/>
      <c r="E66" s="692"/>
      <c r="F66" s="693"/>
      <c r="G66" s="694"/>
      <c r="H66" s="695"/>
      <c r="I66" s="289">
        <f>I65-SUM($D66:F66)</f>
        <v>0</v>
      </c>
      <c r="J66" s="1237" t="str">
        <f>$J$10</f>
        <v>% Mort/Sel Acm Tab :</v>
      </c>
      <c r="K66" s="1238">
        <f>IFERROR(LOOKUP($A61,TP!$A$6:$A$108,GSh!$AR$6:$AR$108)/100,0)</f>
        <v>0</v>
      </c>
      <c r="L66" s="1246"/>
      <c r="M66" s="291">
        <f t="shared" si="34"/>
        <v>0</v>
      </c>
      <c r="N66" s="292" t="str">
        <f>$N$10</f>
        <v xml:space="preserve">Uniformidad (C. Lote) : </v>
      </c>
      <c r="O66" s="320">
        <f>LOOKUP($A61,'Pr-Sem'!$A$6:$A$108,'Pr-Sem'!$AG$6:$AG$108)</f>
        <v>0</v>
      </c>
      <c r="P66" s="320">
        <v>90</v>
      </c>
      <c r="Q66" s="321">
        <f>IF(AND(P66&gt;0,O66&gt;0),(O66/P66-1)*100,0)</f>
        <v>0</v>
      </c>
      <c r="R66" s="699"/>
      <c r="S66" s="762"/>
      <c r="T66" s="765">
        <f t="shared" si="14"/>
        <v>0</v>
      </c>
      <c r="U66" s="700"/>
      <c r="V66" s="701"/>
      <c r="W66" s="701"/>
      <c r="X66" s="295">
        <f t="shared" si="9"/>
        <v>0</v>
      </c>
      <c r="Y66" s="296">
        <f>IF(AA66&gt;0,V66,AE61/IF(Iniciar!$C$25="B X 40 K",40,IF(Iniciar!$C$25="B X 50 K",50,1))*I66/1000)</f>
        <v>0</v>
      </c>
      <c r="Z66" s="296">
        <f t="shared" si="10"/>
        <v>0</v>
      </c>
      <c r="AA66" s="297">
        <f t="shared" si="35"/>
        <v>0</v>
      </c>
      <c r="AB66" s="297">
        <f t="shared" si="3"/>
        <v>0</v>
      </c>
      <c r="AC66" s="2037" t="str">
        <f>$AC$10</f>
        <v xml:space="preserve">Cons ml /ave día: </v>
      </c>
      <c r="AD66" s="2038"/>
      <c r="AE66" s="2056">
        <f>IFERROR(SUMPRODUCT(AB61:AB67,I61:I67)/SUM(I61:I67),0)</f>
        <v>0</v>
      </c>
      <c r="AF66" s="2057"/>
      <c r="AG66" s="311" t="str">
        <f>CONCATENATE("Costo ",Iniciar!$C$25," : ")</f>
        <v xml:space="preserve">Costo Kilos : </v>
      </c>
      <c r="AH66" s="2043">
        <f>IFERROR(SUMPRODUCT(T61:T67,V61:V67)/SUMIF(T61:T67,"&gt;0",V61:V67),0)</f>
        <v>0</v>
      </c>
      <c r="AI66" s="2043"/>
      <c r="AJ66" s="313"/>
      <c r="AK66" s="2027"/>
      <c r="AL66" s="1284">
        <f t="shared" si="4"/>
        <v>0</v>
      </c>
      <c r="AM66" s="1285"/>
      <c r="AN66" s="1285"/>
      <c r="AO66" s="1285"/>
      <c r="AP66" s="1285"/>
      <c r="AQ66" s="1285"/>
      <c r="AR66" s="1285"/>
      <c r="AS66" s="1286"/>
      <c r="AT66" s="1287"/>
      <c r="AU66" s="1288"/>
      <c r="AV66" s="1289"/>
      <c r="AW66" s="1290"/>
      <c r="AX66" s="1291"/>
      <c r="AY66" s="1291"/>
      <c r="AZ66" s="1292"/>
      <c r="BA66" s="1293"/>
      <c r="BB66" s="1294"/>
      <c r="BC66" s="1295"/>
      <c r="BD66" s="1296">
        <f>BD65+PROD!L66-BA66</f>
        <v>0</v>
      </c>
      <c r="BE66" s="2133"/>
      <c r="BF66" s="507" t="e">
        <f t="shared" si="5"/>
        <v>#VALUE!</v>
      </c>
      <c r="BG66" s="329"/>
      <c r="BH66" s="1018">
        <f t="shared" si="6"/>
        <v>0</v>
      </c>
    </row>
    <row r="67" spans="1:60" ht="15" customHeight="1" x14ac:dyDescent="0.3">
      <c r="A67" s="2034"/>
      <c r="B67" s="287" t="str">
        <f t="shared" si="7"/>
        <v/>
      </c>
      <c r="C67" s="288" t="str">
        <f t="shared" si="0"/>
        <v/>
      </c>
      <c r="D67" s="691"/>
      <c r="E67" s="692"/>
      <c r="F67" s="693"/>
      <c r="G67" s="694"/>
      <c r="H67" s="695"/>
      <c r="I67" s="289">
        <f>I66-SUM($D67:F67)</f>
        <v>0</v>
      </c>
      <c r="J67" s="1239" t="str">
        <f>$J$11</f>
        <v>% Viabilidad :</v>
      </c>
      <c r="K67" s="1240">
        <f>IF(OR(SUM(L61:L67)&gt;0,SUM(V61:V67)&gt;0),1-(K64+K65),0)</f>
        <v>0</v>
      </c>
      <c r="L67" s="1247"/>
      <c r="M67" s="1248">
        <f>IF(I67&gt;0,(L67/IF(SUM(L61:L66)&gt;0,1,7))/I67,0)</f>
        <v>0</v>
      </c>
      <c r="N67" s="1249" t="str">
        <f>$N$11</f>
        <v xml:space="preserve">Uniformidad (10% +) : </v>
      </c>
      <c r="O67" s="1250">
        <f>IF(O65&gt;0,IF(O66&gt;0,100-SUM(O65:O66),0),0)</f>
        <v>0</v>
      </c>
      <c r="P67" s="1251">
        <f>100-SUM(P65:P66)</f>
        <v>5</v>
      </c>
      <c r="Q67" s="1252">
        <f>IF(AND(P67&gt;0,O67&gt;0),(O67/P67-1)*100,0)</f>
        <v>0</v>
      </c>
      <c r="R67" s="699"/>
      <c r="S67" s="762"/>
      <c r="T67" s="765">
        <f t="shared" si="14"/>
        <v>0</v>
      </c>
      <c r="U67" s="700"/>
      <c r="V67" s="701"/>
      <c r="W67" s="701"/>
      <c r="X67" s="295">
        <f t="shared" si="9"/>
        <v>0</v>
      </c>
      <c r="Y67" s="296">
        <f>IF(AA67&gt;0,V67,AE61/IF(Iniciar!$C$25="B X 40 K",40,IF(Iniciar!$C$25="B X 50 K",50,1))*I67/1000)</f>
        <v>0</v>
      </c>
      <c r="Z67" s="296">
        <f t="shared" si="10"/>
        <v>0</v>
      </c>
      <c r="AA67" s="297">
        <f>IF(I67&gt;0,(V67/IF(SUM(V61:V66)&gt;0,1,7))*$A$1/I67,0)</f>
        <v>0</v>
      </c>
      <c r="AB67" s="297">
        <f t="shared" si="3"/>
        <v>0</v>
      </c>
      <c r="AC67" s="2039" t="str">
        <f>$AC$11</f>
        <v xml:space="preserve">Relación Agua /Alimto: </v>
      </c>
      <c r="AD67" s="2040"/>
      <c r="AE67" s="2058">
        <f>IFERROR(AE66/AD61,0)</f>
        <v>0</v>
      </c>
      <c r="AF67" s="2059"/>
      <c r="AG67" s="1269" t="s">
        <v>237</v>
      </c>
      <c r="AH67" s="1270">
        <f>IF(SUM(L61:L67)&gt;0,AH66*SUM(V61:V67)/SUM(L61:L67),0)</f>
        <v>0</v>
      </c>
      <c r="AI67" s="1270">
        <f>IF(AND($A$1&gt;0,P61&gt;0),AH66/$A$1*(AE61/P61)*100,0)</f>
        <v>0</v>
      </c>
      <c r="AJ67" s="1271">
        <f t="shared" ref="AJ67:AJ72" si="36">IF(AND(AI67&gt;0,AH67&gt;0),(AH67/AI67-1)*100,0)</f>
        <v>0</v>
      </c>
      <c r="AK67" s="2028"/>
      <c r="AL67" s="1284">
        <f t="shared" si="4"/>
        <v>0</v>
      </c>
      <c r="AM67" s="1285"/>
      <c r="AN67" s="1285"/>
      <c r="AO67" s="1285"/>
      <c r="AP67" s="1285"/>
      <c r="AQ67" s="1285"/>
      <c r="AR67" s="1285"/>
      <c r="AS67" s="1286"/>
      <c r="AT67" s="1287"/>
      <c r="AU67" s="1288"/>
      <c r="AV67" s="1289"/>
      <c r="AW67" s="1290"/>
      <c r="AX67" s="1291"/>
      <c r="AY67" s="1291"/>
      <c r="AZ67" s="1292"/>
      <c r="BA67" s="1293"/>
      <c r="BB67" s="1294"/>
      <c r="BC67" s="1295"/>
      <c r="BD67" s="1296">
        <f>BD66+PROD!L67-BA67</f>
        <v>0</v>
      </c>
      <c r="BE67" s="2134"/>
      <c r="BF67" s="507" t="e">
        <f t="shared" si="5"/>
        <v>#VALUE!</v>
      </c>
      <c r="BG67" s="329"/>
      <c r="BH67" s="1018">
        <f t="shared" si="6"/>
        <v>0</v>
      </c>
    </row>
    <row r="68" spans="1:60" ht="15" customHeight="1" x14ac:dyDescent="0.3">
      <c r="A68" s="2032">
        <f>A61+1</f>
        <v>27</v>
      </c>
      <c r="B68" s="287" t="str">
        <f t="shared" si="7"/>
        <v/>
      </c>
      <c r="C68" s="288" t="str">
        <f t="shared" si="0"/>
        <v/>
      </c>
      <c r="D68" s="691"/>
      <c r="E68" s="692"/>
      <c r="F68" s="693"/>
      <c r="G68" s="694"/>
      <c r="H68" s="695"/>
      <c r="I68" s="289">
        <f>I67-SUM($D68:F68)</f>
        <v>0</v>
      </c>
      <c r="J68" s="1232" t="str">
        <f>$J$5</f>
        <v>% Mort Sem :</v>
      </c>
      <c r="K68" s="1233">
        <f>IF(PROD!$K$2&gt;0,SUM(D68:D74)/PROD!$K$2,0)</f>
        <v>0</v>
      </c>
      <c r="L68" s="1241"/>
      <c r="M68" s="1242">
        <f t="shared" ref="M68:M73" si="37">IF(I68&gt;0,L68/I68,0)</f>
        <v>0</v>
      </c>
      <c r="N68" s="1243" t="str">
        <f>$N$5</f>
        <v xml:space="preserve">% Pdn prom semana : </v>
      </c>
      <c r="O68" s="1244">
        <f>IF(SUM(L68:L73)&gt;0,100*SUMPRODUCT(M68:M74,I68:I74)/SUMIF(L68:L74,"&gt;0",I68:I74),IF(L74&gt;0,100*L74/7/I74,0))</f>
        <v>0</v>
      </c>
      <c r="P68" s="1244">
        <f>IFERROR(LOOKUP($A68,TP!$A$6:$A$108,GSh!$AE$6:$AE$108),0)</f>
        <v>0</v>
      </c>
      <c r="Q68" s="1245">
        <f>IF(AND(P68&gt;0,O68&gt;0),O68-P68,0)</f>
        <v>0</v>
      </c>
      <c r="R68" s="699"/>
      <c r="S68" s="762"/>
      <c r="T68" s="765">
        <f t="shared" si="14"/>
        <v>0</v>
      </c>
      <c r="U68" s="700"/>
      <c r="V68" s="701"/>
      <c r="W68" s="701"/>
      <c r="X68" s="295">
        <f t="shared" si="9"/>
        <v>0</v>
      </c>
      <c r="Y68" s="296">
        <f>IF(AA68&gt;0,V68,AE68/IF(Iniciar!$C$25="B X 40 K",40,IF(Iniciar!$C$25="B X 50 K",50,1))*I68/1000)</f>
        <v>0</v>
      </c>
      <c r="Z68" s="296">
        <f t="shared" si="10"/>
        <v>0</v>
      </c>
      <c r="AA68" s="297">
        <f t="shared" ref="AA68:AA73" si="38">IF(I68&gt;0,V68*$A$1/I68,0)</f>
        <v>0</v>
      </c>
      <c r="AB68" s="297">
        <f t="shared" si="3"/>
        <v>0</v>
      </c>
      <c r="AC68" s="1261" t="str">
        <f>$AC$5</f>
        <v>Gr. Ave Dia :</v>
      </c>
      <c r="AD68" s="1262">
        <f>IF(SUMIF(V68:V74,"&gt;0")&gt;0,SUMPRODUCT(AA68:AA74,I68:I74)/SUMIF(AA68:AA74,"&gt;0",I68:I74),0)</f>
        <v>0</v>
      </c>
      <c r="AE68" s="1262">
        <f>IFERROR(LOOKUP($A68,TP!$A$6:$A$108,GSh!$AU$6:$AU$108),0)</f>
        <v>0</v>
      </c>
      <c r="AF68" s="1263">
        <f>IF(AND(AE68&gt;0,AD68&gt;0),(AD68/AE68-1)*100,0)</f>
        <v>0</v>
      </c>
      <c r="AG68" s="1264" t="str">
        <f>PROD!$AG$5</f>
        <v>Gr X H</v>
      </c>
      <c r="AH68" s="1265">
        <f>IF(PROD!O68&gt;0,IF($AG68="Gr X H",PROD!AD68/PROD!O68*100,IF($AG68="Conv Kg/Doc",PROD!AD68/PROD!O68*1.2,IF(PROD!$O70&gt;0,PROD!AD68/(PROD!O68*PROD!$O70)*100,0))),0)</f>
        <v>0</v>
      </c>
      <c r="AI68" s="1265">
        <f>IF(PROD!P68&gt;0,IF($AG68="Gr X H",PROD!AE68/PROD!P68*100,IF($AG68="Conv Kg/Doc",PROD!AE68/PROD!P68*1.2,IF(PROD!$P70&gt;0,PROD!AE68/(PROD!P68*PROD!$P70)*100,0))),0)</f>
        <v>0</v>
      </c>
      <c r="AJ68" s="1266">
        <f t="shared" si="36"/>
        <v>0</v>
      </c>
      <c r="AK68" s="2026"/>
      <c r="AL68" s="1284">
        <f t="shared" si="4"/>
        <v>0</v>
      </c>
      <c r="AM68" s="1285"/>
      <c r="AN68" s="1285"/>
      <c r="AO68" s="1285"/>
      <c r="AP68" s="1285"/>
      <c r="AQ68" s="1285"/>
      <c r="AR68" s="1285"/>
      <c r="AS68" s="1286"/>
      <c r="AT68" s="1287"/>
      <c r="AU68" s="1288"/>
      <c r="AV68" s="1289"/>
      <c r="AW68" s="1290"/>
      <c r="AX68" s="1291"/>
      <c r="AY68" s="1291"/>
      <c r="AZ68" s="1292"/>
      <c r="BA68" s="1293"/>
      <c r="BB68" s="1294"/>
      <c r="BC68" s="1295"/>
      <c r="BD68" s="1296">
        <f>BD67+PROD!L68-BA68</f>
        <v>0</v>
      </c>
      <c r="BE68" s="2132">
        <f>IF(SUM(AM68:AZ74)&gt;0,(SUM(AM68:AM74)*$AM$2+SUM(AN68:AN74)*$AN$2+SUM(AO68:AO74)*$AO$2+SUM(AP68:AP74)*$AP$2+SUM(AQ68:AQ74)*$AQ$2+SUM(AR68:AR74)*$AR$2+SUM(AS68:AS74)*$AS$2+SUM(AW68:AW74)*$AW$2+SUM(AX68:AX74)*$AX$2+SUM(AY68:AY74)*$AY$2+SUM(AZ68:AZ74)*$AZ$2+SUM(AT68:AT74)*$AT$2+SUM(AU68:AU74)*$AU$2+SUM(AV68:AV74)*$AV$2)/SUM(AM68:AZ74),0)</f>
        <v>0</v>
      </c>
      <c r="BF68" s="507" t="e">
        <f t="shared" si="5"/>
        <v>#VALUE!</v>
      </c>
      <c r="BG68" s="277">
        <f>IF(SUM(L68:L74)&gt;0,A68,IF(SUM(V68:V74)&gt;0,A68,BG61))</f>
        <v>0</v>
      </c>
      <c r="BH68" s="1018">
        <f t="shared" si="6"/>
        <v>0</v>
      </c>
    </row>
    <row r="69" spans="1:60" ht="15" customHeight="1" x14ac:dyDescent="0.3">
      <c r="A69" s="2033"/>
      <c r="B69" s="287" t="str">
        <f t="shared" si="7"/>
        <v/>
      </c>
      <c r="C69" s="288" t="str">
        <f t="shared" ref="C69:C132" si="39">IF(B69="","",(B69-Fnac+1)/7)</f>
        <v/>
      </c>
      <c r="D69" s="691"/>
      <c r="E69" s="692"/>
      <c r="F69" s="693"/>
      <c r="G69" s="694"/>
      <c r="H69" s="695"/>
      <c r="I69" s="289">
        <f>I68-SUM($D69:F69)</f>
        <v>0</v>
      </c>
      <c r="J69" s="1234" t="str">
        <f>$J$6</f>
        <v>% Sel Sem :</v>
      </c>
      <c r="K69" s="1231">
        <f>IF(PROD!$K$2&gt;0,SUM(E68:E74)/PROD!$K$2,0)</f>
        <v>0</v>
      </c>
      <c r="L69" s="1246"/>
      <c r="M69" s="291">
        <f t="shared" si="37"/>
        <v>0</v>
      </c>
      <c r="N69" s="292" t="str">
        <f>$N$6</f>
        <v xml:space="preserve">H. Ave Alojada : </v>
      </c>
      <c r="O69" s="293">
        <f>IF(AND(PROD!$K$2&gt;0,O68&gt;0),SUM(L$5:L74)/PROD!$K$2,0)</f>
        <v>0</v>
      </c>
      <c r="P69" s="293">
        <f>IFERROR(LOOKUP($A68,TP!$A$6:$A$108,GSh!$AJ$6:$AJ$108),0)</f>
        <v>0</v>
      </c>
      <c r="Q69" s="294">
        <f>IF(AND(P69&gt;0,O69&gt;0),O69-P69,0)</f>
        <v>0</v>
      </c>
      <c r="R69" s="699"/>
      <c r="S69" s="762"/>
      <c r="T69" s="765">
        <f t="shared" si="14"/>
        <v>0</v>
      </c>
      <c r="U69" s="700"/>
      <c r="V69" s="701"/>
      <c r="W69" s="701"/>
      <c r="X69" s="295">
        <f t="shared" si="9"/>
        <v>0</v>
      </c>
      <c r="Y69" s="296">
        <f>IF(AA69&gt;0,V69,AE68/IF(Iniciar!$C$25="B X 40 K",40,IF(Iniciar!$C$25="B X 50 K",50,1))*I69/1000)</f>
        <v>0</v>
      </c>
      <c r="Z69" s="296">
        <f t="shared" si="10"/>
        <v>0</v>
      </c>
      <c r="AA69" s="297">
        <f t="shared" si="38"/>
        <v>0</v>
      </c>
      <c r="AB69" s="297">
        <f t="shared" ref="AB69:AB132" si="40">IFERROR(R69*1000/I69,0)</f>
        <v>0</v>
      </c>
      <c r="AC69" s="1267" t="str">
        <f>$AC$6</f>
        <v>Gr. Ave Sem :</v>
      </c>
      <c r="AD69" s="284">
        <f>AD68*7</f>
        <v>0</v>
      </c>
      <c r="AE69" s="284">
        <f>AE68*7</f>
        <v>0</v>
      </c>
      <c r="AF69" s="285">
        <f>IF(AND(AE69&gt;0,AD69&gt;0),(AD69/AE69-1)*100,0)</f>
        <v>0</v>
      </c>
      <c r="AG69" s="1199" t="str">
        <f>PROD!$AG$6</f>
        <v>Gr X H Acm</v>
      </c>
      <c r="AH69" s="298">
        <f>IF(SUM(PROD!L68:L74)&gt;0,IF(PROD!$AG$5="Gr X H",SUM(PROD!V$5:V74)*PROD!$A$1/SUM(PROD!L$5:L74),IF($AG68="Conv Kg/Doc",(SUM(PROD!V$5:V74)*PROD!$A$1/1000)/(SUM(PROD!L$5:L74)/12),IF(PROD!$O70&gt;0,SUM(PROD!V$5:V74)*PROD!$A$1/(SUM(PROD!L$5:L74)*LOOKUP(PROD!A68,TP!$A$6:$A$108,GSh!$BB$6:$BB$108)),0))),0)</f>
        <v>0</v>
      </c>
      <c r="AI69" s="298">
        <f>IF(PROD!P68&gt;0,IF($AG68="Gr X H",PROD!AE68/PROD!P68*100,IF($AG68="Conv Kg/Doc",PROD!AE68/PROD!P68*1.2,IF(PROD!$P69&gt;0,PROD!AE70/(PROD!P69*LOOKUP(PROD!$A68,TP!$A$6:$A$108,GSh!$BC$6:$BC$108)/1000),0))),0)</f>
        <v>0</v>
      </c>
      <c r="AJ69" s="328">
        <f t="shared" si="36"/>
        <v>0</v>
      </c>
      <c r="AK69" s="2027"/>
      <c r="AL69" s="1284">
        <f t="shared" ref="AL69:AL132" si="41">L69-SUM(AM69:AS69)-SUM(AW69:AZ69)-SUM(AT69:AV69)</f>
        <v>0</v>
      </c>
      <c r="AM69" s="1285"/>
      <c r="AN69" s="1285"/>
      <c r="AO69" s="1285"/>
      <c r="AP69" s="1285"/>
      <c r="AQ69" s="1285"/>
      <c r="AR69" s="1285"/>
      <c r="AS69" s="1286"/>
      <c r="AT69" s="1287"/>
      <c r="AU69" s="1288"/>
      <c r="AV69" s="1289"/>
      <c r="AW69" s="1290"/>
      <c r="AX69" s="1291"/>
      <c r="AY69" s="1291"/>
      <c r="AZ69" s="1292"/>
      <c r="BA69" s="1293"/>
      <c r="BB69" s="1294"/>
      <c r="BC69" s="1295"/>
      <c r="BD69" s="1296">
        <f>BD68+PROD!L69-BA69</f>
        <v>0</v>
      </c>
      <c r="BE69" s="2133"/>
      <c r="BF69" s="507" t="e">
        <f t="shared" ref="BF69:BF132" si="42">INT((B69-Fnac)/7)+1</f>
        <v>#VALUE!</v>
      </c>
      <c r="BG69" s="329"/>
      <c r="BH69" s="1018">
        <f t="shared" ref="BH69:BH132" si="43">T69*V69</f>
        <v>0</v>
      </c>
    </row>
    <row r="70" spans="1:60" ht="15" customHeight="1" x14ac:dyDescent="0.3">
      <c r="A70" s="2033"/>
      <c r="B70" s="287" t="str">
        <f t="shared" ref="B70:B133" si="44">IF(B69="","",B69+1)</f>
        <v/>
      </c>
      <c r="C70" s="288" t="str">
        <f t="shared" si="39"/>
        <v/>
      </c>
      <c r="D70" s="691"/>
      <c r="E70" s="692"/>
      <c r="F70" s="693"/>
      <c r="G70" s="694"/>
      <c r="H70" s="695"/>
      <c r="I70" s="289">
        <f>I69-SUM($D70:F70)</f>
        <v>0</v>
      </c>
      <c r="J70" s="1235" t="str">
        <f>$J$7</f>
        <v>% Mort/Sel Sem Tab :</v>
      </c>
      <c r="K70" s="1236">
        <f>K73-K66</f>
        <v>0</v>
      </c>
      <c r="L70" s="1246"/>
      <c r="M70" s="291">
        <f t="shared" si="37"/>
        <v>0</v>
      </c>
      <c r="N70" s="304" t="str">
        <f>$N$7</f>
        <v xml:space="preserve">Peso Huevo (Gr) : </v>
      </c>
      <c r="O70" s="305">
        <f>LOOKUP($A68,'Pr-Sem'!$A$6:$A$108,'Pr-Sem'!$Z$6:$Z$108)</f>
        <v>0</v>
      </c>
      <c r="P70" s="305">
        <f>IFERROR(LOOKUP($A68,TP!$A$6:$A$108,GSh!$AZ$6:$AZ$108),0)</f>
        <v>0</v>
      </c>
      <c r="Q70" s="306">
        <f>IF(AND(P70&gt;0,O70&gt;0),O70-P70,0)</f>
        <v>0</v>
      </c>
      <c r="R70" s="699"/>
      <c r="S70" s="762"/>
      <c r="T70" s="765">
        <f t="shared" si="14"/>
        <v>0</v>
      </c>
      <c r="U70" s="700"/>
      <c r="V70" s="701"/>
      <c r="W70" s="701"/>
      <c r="X70" s="295">
        <f t="shared" ref="X70:X133" si="45">X69+U70-V70-W70</f>
        <v>0</v>
      </c>
      <c r="Y70" s="296">
        <f>IF(AA70&gt;0,V70,AE68/IF(Iniciar!$C$25="B X 40 K",40,IF(Iniciar!$C$25="B X 50 K",50,1))*I70/1000)</f>
        <v>0</v>
      </c>
      <c r="Z70" s="296">
        <f t="shared" ref="Z70:Z133" si="46">Z69+U70-Y70-W70</f>
        <v>0</v>
      </c>
      <c r="AA70" s="297">
        <f t="shared" si="38"/>
        <v>0</v>
      </c>
      <c r="AB70" s="297">
        <f t="shared" si="40"/>
        <v>0</v>
      </c>
      <c r="AC70" s="1268" t="str">
        <f>$AC$7</f>
        <v>Kg Ave Acu :</v>
      </c>
      <c r="AD70" s="308">
        <f>IF(OR(SUM(L68:L74)&gt;0,SUM(V68:V74)&gt;0),AD69/1000+AD63,0)</f>
        <v>0</v>
      </c>
      <c r="AE70" s="309">
        <f>AE69/1000+AE63</f>
        <v>0</v>
      </c>
      <c r="AF70" s="310">
        <f>IF(AND(AE70&gt;0,AD70&gt;0),(AD70/AE70-1)*100,0)</f>
        <v>0</v>
      </c>
      <c r="AG70" s="311" t="str">
        <f>PROD!$AG$7</f>
        <v xml:space="preserve">Masa Sem H (Gr) : </v>
      </c>
      <c r="AH70" s="312">
        <f>PROD!O68/100*7*PROD!O70</f>
        <v>0</v>
      </c>
      <c r="AI70" s="312">
        <f>PROD!P68/100*7*PROD!P70</f>
        <v>0</v>
      </c>
      <c r="AJ70" s="313">
        <f t="shared" si="36"/>
        <v>0</v>
      </c>
      <c r="AK70" s="2027"/>
      <c r="AL70" s="1284">
        <f t="shared" si="41"/>
        <v>0</v>
      </c>
      <c r="AM70" s="1285"/>
      <c r="AN70" s="1285"/>
      <c r="AO70" s="1285"/>
      <c r="AP70" s="1285"/>
      <c r="AQ70" s="1285"/>
      <c r="AR70" s="1285"/>
      <c r="AS70" s="1286"/>
      <c r="AT70" s="1287"/>
      <c r="AU70" s="1288"/>
      <c r="AV70" s="1289"/>
      <c r="AW70" s="1290"/>
      <c r="AX70" s="1291"/>
      <c r="AY70" s="1291"/>
      <c r="AZ70" s="1292"/>
      <c r="BA70" s="1293"/>
      <c r="BB70" s="1294"/>
      <c r="BC70" s="1295"/>
      <c r="BD70" s="1296">
        <f>BD69+PROD!L70-BA70</f>
        <v>0</v>
      </c>
      <c r="BE70" s="2133"/>
      <c r="BF70" s="507" t="e">
        <f t="shared" si="42"/>
        <v>#VALUE!</v>
      </c>
      <c r="BG70" s="329"/>
      <c r="BH70" s="1018">
        <f t="shared" si="43"/>
        <v>0</v>
      </c>
    </row>
    <row r="71" spans="1:60" ht="15" customHeight="1" x14ac:dyDescent="0.3">
      <c r="A71" s="2033"/>
      <c r="B71" s="287" t="str">
        <f t="shared" si="44"/>
        <v/>
      </c>
      <c r="C71" s="288" t="str">
        <f t="shared" si="39"/>
        <v/>
      </c>
      <c r="D71" s="691"/>
      <c r="E71" s="692"/>
      <c r="F71" s="693"/>
      <c r="G71" s="694"/>
      <c r="H71" s="695"/>
      <c r="I71" s="289">
        <f>I70-SUM($D71:F71)</f>
        <v>0</v>
      </c>
      <c r="J71" s="1234" t="str">
        <f>$J$8</f>
        <v>% Mort Acm :</v>
      </c>
      <c r="K71" s="1231">
        <f>IF(PROD!$K$2&gt;0,SUM(D$5:D74)/PROD!$K$2,0)</f>
        <v>0</v>
      </c>
      <c r="L71" s="1246"/>
      <c r="M71" s="291">
        <f t="shared" si="37"/>
        <v>0</v>
      </c>
      <c r="N71" s="314" t="str">
        <f>N$8</f>
        <v xml:space="preserve">Peso Ave (Gr) : </v>
      </c>
      <c r="O71" s="315">
        <f>LOOKUP($A68,GSh!$BV$6:$BV$108,GSh!$BJ$6:$BJ$108)</f>
        <v>0</v>
      </c>
      <c r="P71" s="315">
        <f>IFERROR(LOOKUP($A68,TP!$A$6:$A$108,GSh!$BK$6:$BK$108),0)</f>
        <v>0</v>
      </c>
      <c r="Q71" s="316">
        <f>IF(AND(P71&gt;0,O71&gt;0),(O71/P71-1)*100,0)</f>
        <v>0</v>
      </c>
      <c r="R71" s="699"/>
      <c r="S71" s="762"/>
      <c r="T71" s="765">
        <f t="shared" si="14"/>
        <v>0</v>
      </c>
      <c r="U71" s="700"/>
      <c r="V71" s="701"/>
      <c r="W71" s="701"/>
      <c r="X71" s="295">
        <f t="shared" si="45"/>
        <v>0</v>
      </c>
      <c r="Y71" s="296">
        <f>IF(AA71&gt;0,V71,AE68/IF(Iniciar!$C$25="B X 40 K",40,IF(Iniciar!$C$25="B X 50 K",50,1))*I71/1000)</f>
        <v>0</v>
      </c>
      <c r="Z71" s="296">
        <f t="shared" si="46"/>
        <v>0</v>
      </c>
      <c r="AA71" s="297">
        <f t="shared" si="38"/>
        <v>0</v>
      </c>
      <c r="AB71" s="297">
        <f t="shared" si="40"/>
        <v>0</v>
      </c>
      <c r="AC71" s="541" t="str">
        <f>$AC$8</f>
        <v xml:space="preserve">Ton. Lote Acu : </v>
      </c>
      <c r="AD71" s="544">
        <f>SUM($V$5:$V74)*$A$1/1000000</f>
        <v>0</v>
      </c>
      <c r="AE71" s="543">
        <f>AE64+(AE68/1000000*7*(I68+I74)/2)</f>
        <v>0</v>
      </c>
      <c r="AF71" s="542">
        <f>IF(AND(AE71&gt;0,AD71&gt;0),(AD71/AE71-1)*100,0)</f>
        <v>0</v>
      </c>
      <c r="AG71" s="317" t="str">
        <f>PROD!$AG$8</f>
        <v xml:space="preserve">Masa Ac A. A (Kg) : </v>
      </c>
      <c r="AH71" s="318">
        <f>IF(PROD!$K$2&gt;0,SUM(PROD!L$5:L74)*LOOKUP(PROD!$A68,TP!$A$6:$A$108,GSh!$BB$6:$BB$108)/1000/PROD!$K$2,0)</f>
        <v>0</v>
      </c>
      <c r="AI71" s="318">
        <f>IFERROR(PROD!P69*LOOKUP(PROD!$A68,TP!$A$6:$A$108,GSh!$BC$6:$BC$108)/1000,0)</f>
        <v>0</v>
      </c>
      <c r="AJ71" s="330">
        <f t="shared" si="36"/>
        <v>0</v>
      </c>
      <c r="AK71" s="2027"/>
      <c r="AL71" s="1284">
        <f t="shared" si="41"/>
        <v>0</v>
      </c>
      <c r="AM71" s="1285"/>
      <c r="AN71" s="1285"/>
      <c r="AO71" s="1285"/>
      <c r="AP71" s="1285"/>
      <c r="AQ71" s="1285"/>
      <c r="AR71" s="1285"/>
      <c r="AS71" s="1286"/>
      <c r="AT71" s="1287"/>
      <c r="AU71" s="1288"/>
      <c r="AV71" s="1289"/>
      <c r="AW71" s="1290"/>
      <c r="AX71" s="1291"/>
      <c r="AY71" s="1291"/>
      <c r="AZ71" s="1292"/>
      <c r="BA71" s="1293"/>
      <c r="BB71" s="1294"/>
      <c r="BC71" s="1295"/>
      <c r="BD71" s="1296">
        <f>BD70+PROD!L71-BA71</f>
        <v>0</v>
      </c>
      <c r="BE71" s="2133"/>
      <c r="BF71" s="507" t="e">
        <f t="shared" si="42"/>
        <v>#VALUE!</v>
      </c>
      <c r="BG71" s="329"/>
      <c r="BH71" s="1018">
        <f t="shared" si="43"/>
        <v>0</v>
      </c>
    </row>
    <row r="72" spans="1:60" ht="15" customHeight="1" x14ac:dyDescent="0.3">
      <c r="A72" s="2033"/>
      <c r="B72" s="287" t="str">
        <f t="shared" si="44"/>
        <v/>
      </c>
      <c r="C72" s="288" t="str">
        <f t="shared" si="39"/>
        <v/>
      </c>
      <c r="D72" s="691"/>
      <c r="E72" s="692"/>
      <c r="F72" s="693"/>
      <c r="G72" s="694"/>
      <c r="H72" s="695"/>
      <c r="I72" s="289">
        <f>I71-SUM($D72:F72)</f>
        <v>0</v>
      </c>
      <c r="J72" s="1234" t="str">
        <f>$J$9</f>
        <v>% Sel Acm :</v>
      </c>
      <c r="K72" s="1231">
        <f>IF(PROD!$K$2&gt;0,SUM(E$5:E74)/PROD!$K$2,0)</f>
        <v>0</v>
      </c>
      <c r="L72" s="1246"/>
      <c r="M72" s="291">
        <f t="shared" si="37"/>
        <v>0</v>
      </c>
      <c r="N72" s="292" t="str">
        <f>$N$9</f>
        <v xml:space="preserve">Uniformidad (10% -) : </v>
      </c>
      <c r="O72" s="320">
        <f>LOOKUP($A68,'Pr-Sem'!$A$6:$A$108,'Pr-Sem'!$AH$6:$AH$108)</f>
        <v>0</v>
      </c>
      <c r="P72" s="320">
        <v>5</v>
      </c>
      <c r="Q72" s="321">
        <f>IF(AND(P72&gt;0,O72&gt;0),(1-O72/P72)*100,0)</f>
        <v>0</v>
      </c>
      <c r="R72" s="699"/>
      <c r="S72" s="762"/>
      <c r="T72" s="765">
        <f t="shared" si="14"/>
        <v>0</v>
      </c>
      <c r="U72" s="700"/>
      <c r="V72" s="701"/>
      <c r="W72" s="701"/>
      <c r="X72" s="295">
        <f t="shared" si="45"/>
        <v>0</v>
      </c>
      <c r="Y72" s="296">
        <f>IF(AA72&gt;0,V72,AE68/IF(Iniciar!$C$25="B X 40 K",40,IF(Iniciar!$C$25="B X 50 K",50,1))*I72/1000)</f>
        <v>0</v>
      </c>
      <c r="Z72" s="296">
        <f t="shared" si="46"/>
        <v>0</v>
      </c>
      <c r="AA72" s="297">
        <f t="shared" si="38"/>
        <v>0</v>
      </c>
      <c r="AB72" s="297">
        <f t="shared" si="40"/>
        <v>0</v>
      </c>
      <c r="AC72" s="2035" t="str">
        <f>$AC$9</f>
        <v xml:space="preserve">Total Litros Sem: </v>
      </c>
      <c r="AD72" s="2036"/>
      <c r="AE72" s="2050">
        <f>SUM(R68:R74)</f>
        <v>0</v>
      </c>
      <c r="AF72" s="2051"/>
      <c r="AG72" s="554" t="str">
        <f>$AG$9</f>
        <v xml:space="preserve">Indicador Eficiencia : </v>
      </c>
      <c r="AH72" s="555">
        <f>IF(AND(AE72&gt;0,O69&gt;0,O70&gt;0,SUM(L68:L74)&gt;0),(PROD!AH71/O69)*K74*100/(AE72/(SUM(L68:L74)*O70/1000)),0)</f>
        <v>0</v>
      </c>
      <c r="AI72" s="555">
        <f>IF(AND(P69&gt;0,PROD!AI70&gt;0),(PROD!AI71/P69)*(1-K73)*100/(AE69/PROD!AI70),0)</f>
        <v>0</v>
      </c>
      <c r="AJ72" s="331">
        <f t="shared" si="36"/>
        <v>0</v>
      </c>
      <c r="AK72" s="2027"/>
      <c r="AL72" s="1284">
        <f t="shared" si="41"/>
        <v>0</v>
      </c>
      <c r="AM72" s="1285"/>
      <c r="AN72" s="1285"/>
      <c r="AO72" s="1285"/>
      <c r="AP72" s="1285"/>
      <c r="AQ72" s="1285"/>
      <c r="AR72" s="1285"/>
      <c r="AS72" s="1286"/>
      <c r="AT72" s="1287"/>
      <c r="AU72" s="1288"/>
      <c r="AV72" s="1289"/>
      <c r="AW72" s="1290"/>
      <c r="AX72" s="1291"/>
      <c r="AY72" s="1291"/>
      <c r="AZ72" s="1292"/>
      <c r="BA72" s="1293"/>
      <c r="BB72" s="1294"/>
      <c r="BC72" s="1295"/>
      <c r="BD72" s="1296">
        <f>BD71+PROD!L72-BA72</f>
        <v>0</v>
      </c>
      <c r="BE72" s="2133"/>
      <c r="BF72" s="507" t="e">
        <f t="shared" si="42"/>
        <v>#VALUE!</v>
      </c>
      <c r="BG72" s="329"/>
      <c r="BH72" s="1018">
        <f t="shared" si="43"/>
        <v>0</v>
      </c>
    </row>
    <row r="73" spans="1:60" ht="15" customHeight="1" x14ac:dyDescent="0.3">
      <c r="A73" s="2033"/>
      <c r="B73" s="287" t="str">
        <f t="shared" si="44"/>
        <v/>
      </c>
      <c r="C73" s="288" t="str">
        <f t="shared" si="39"/>
        <v/>
      </c>
      <c r="D73" s="691"/>
      <c r="E73" s="692"/>
      <c r="F73" s="693"/>
      <c r="G73" s="694"/>
      <c r="H73" s="695"/>
      <c r="I73" s="289">
        <f>I72-SUM($D73:F73)</f>
        <v>0</v>
      </c>
      <c r="J73" s="1237" t="str">
        <f>$J$10</f>
        <v>% Mort/Sel Acm Tab :</v>
      </c>
      <c r="K73" s="1238">
        <f>IFERROR(LOOKUP($A68,TP!$A$6:$A$108,GSh!$AR$6:$AR$108)/100,0)</f>
        <v>0</v>
      </c>
      <c r="L73" s="1246"/>
      <c r="M73" s="291">
        <f t="shared" si="37"/>
        <v>0</v>
      </c>
      <c r="N73" s="292" t="str">
        <f>$N$10</f>
        <v xml:space="preserve">Uniformidad (C. Lote) : </v>
      </c>
      <c r="O73" s="320">
        <f>LOOKUP($A68,'Pr-Sem'!$A$6:$A$108,'Pr-Sem'!$AG$6:$AG$108)</f>
        <v>0</v>
      </c>
      <c r="P73" s="320">
        <v>90</v>
      </c>
      <c r="Q73" s="321">
        <f>IF(AND(P73&gt;0,O73&gt;0),(O73/P73-1)*100,0)</f>
        <v>0</v>
      </c>
      <c r="R73" s="699"/>
      <c r="S73" s="762"/>
      <c r="T73" s="765">
        <f t="shared" si="14"/>
        <v>0</v>
      </c>
      <c r="U73" s="700"/>
      <c r="V73" s="701"/>
      <c r="W73" s="701"/>
      <c r="X73" s="295">
        <f t="shared" si="45"/>
        <v>0</v>
      </c>
      <c r="Y73" s="296">
        <f>IF(AA73&gt;0,V73,AE68/IF(Iniciar!$C$25="B X 40 K",40,IF(Iniciar!$C$25="B X 50 K",50,1))*I73/1000)</f>
        <v>0</v>
      </c>
      <c r="Z73" s="296">
        <f t="shared" si="46"/>
        <v>0</v>
      </c>
      <c r="AA73" s="297">
        <f t="shared" si="38"/>
        <v>0</v>
      </c>
      <c r="AB73" s="297">
        <f t="shared" si="40"/>
        <v>0</v>
      </c>
      <c r="AC73" s="2037" t="str">
        <f>$AC$10</f>
        <v xml:space="preserve">Cons ml /ave día: </v>
      </c>
      <c r="AD73" s="2038"/>
      <c r="AE73" s="2056">
        <f>IFERROR(SUMPRODUCT(AB68:AB74,I68:I74)/SUM(I68:I74),0)</f>
        <v>0</v>
      </c>
      <c r="AF73" s="2057"/>
      <c r="AG73" s="311" t="str">
        <f>CONCATENATE("Costo ",Iniciar!$C$25," : ")</f>
        <v xml:space="preserve">Costo Kilos : </v>
      </c>
      <c r="AH73" s="2043">
        <f>IFERROR(SUMPRODUCT(T68:T74,V68:V74)/SUMIF(T68:T74,"&gt;0",V68:V74),0)</f>
        <v>0</v>
      </c>
      <c r="AI73" s="2043"/>
      <c r="AJ73" s="313"/>
      <c r="AK73" s="2027"/>
      <c r="AL73" s="1284">
        <f t="shared" si="41"/>
        <v>0</v>
      </c>
      <c r="AM73" s="1285"/>
      <c r="AN73" s="1285"/>
      <c r="AO73" s="1285"/>
      <c r="AP73" s="1285"/>
      <c r="AQ73" s="1285"/>
      <c r="AR73" s="1285"/>
      <c r="AS73" s="1286"/>
      <c r="AT73" s="1287"/>
      <c r="AU73" s="1288"/>
      <c r="AV73" s="1289"/>
      <c r="AW73" s="1290"/>
      <c r="AX73" s="1291"/>
      <c r="AY73" s="1291"/>
      <c r="AZ73" s="1292"/>
      <c r="BA73" s="1293"/>
      <c r="BB73" s="1294"/>
      <c r="BC73" s="1295"/>
      <c r="BD73" s="1296">
        <f>BD72+PROD!L73-BA73</f>
        <v>0</v>
      </c>
      <c r="BE73" s="2133"/>
      <c r="BF73" s="507" t="e">
        <f t="shared" si="42"/>
        <v>#VALUE!</v>
      </c>
      <c r="BG73" s="329"/>
      <c r="BH73" s="1018">
        <f t="shared" si="43"/>
        <v>0</v>
      </c>
    </row>
    <row r="74" spans="1:60" ht="15" customHeight="1" x14ac:dyDescent="0.3">
      <c r="A74" s="2034"/>
      <c r="B74" s="287" t="str">
        <f t="shared" si="44"/>
        <v/>
      </c>
      <c r="C74" s="288" t="str">
        <f t="shared" si="39"/>
        <v/>
      </c>
      <c r="D74" s="691"/>
      <c r="E74" s="692"/>
      <c r="F74" s="693"/>
      <c r="G74" s="694"/>
      <c r="H74" s="695"/>
      <c r="I74" s="289">
        <f>I73-SUM($D74:F74)</f>
        <v>0</v>
      </c>
      <c r="J74" s="1239" t="str">
        <f>$J$11</f>
        <v>% Viabilidad :</v>
      </c>
      <c r="K74" s="1240">
        <f>IF(OR(SUM(L68:L74)&gt;0,SUM(V68:V74)&gt;0),1-(K71+K72),0)</f>
        <v>0</v>
      </c>
      <c r="L74" s="1247"/>
      <c r="M74" s="1248">
        <f>IF(I74&gt;0,(L74/IF(SUM(L68:L73)&gt;0,1,7))/I74,0)</f>
        <v>0</v>
      </c>
      <c r="N74" s="1249" t="str">
        <f>$N$11</f>
        <v xml:space="preserve">Uniformidad (10% +) : </v>
      </c>
      <c r="O74" s="1250">
        <f>IF(O72&gt;0,IF(O73&gt;0,100-SUM(O72:O73),0),0)</f>
        <v>0</v>
      </c>
      <c r="P74" s="1251">
        <f>100-SUM(P72:P73)</f>
        <v>5</v>
      </c>
      <c r="Q74" s="1252">
        <f>IF(AND(P74&gt;0,O74&gt;0),(O74/P74-1)*100,0)</f>
        <v>0</v>
      </c>
      <c r="R74" s="699"/>
      <c r="S74" s="762"/>
      <c r="T74" s="765">
        <f t="shared" si="14"/>
        <v>0</v>
      </c>
      <c r="U74" s="700"/>
      <c r="V74" s="701"/>
      <c r="W74" s="701"/>
      <c r="X74" s="295">
        <f t="shared" si="45"/>
        <v>0</v>
      </c>
      <c r="Y74" s="296">
        <f>IF(AA74&gt;0,V74,AE68/IF(Iniciar!$C$25="B X 40 K",40,IF(Iniciar!$C$25="B X 50 K",50,1))*I74/1000)</f>
        <v>0</v>
      </c>
      <c r="Z74" s="296">
        <f t="shared" si="46"/>
        <v>0</v>
      </c>
      <c r="AA74" s="297">
        <f>IF(I74&gt;0,(V74/IF(SUM(V68:V73)&gt;0,1,7))*$A$1/I74,0)</f>
        <v>0</v>
      </c>
      <c r="AB74" s="297">
        <f t="shared" si="40"/>
        <v>0</v>
      </c>
      <c r="AC74" s="2039" t="str">
        <f>$AC$11</f>
        <v xml:space="preserve">Relación Agua /Alimto: </v>
      </c>
      <c r="AD74" s="2040"/>
      <c r="AE74" s="2058">
        <f>IFERROR(AE73/AD68,0)</f>
        <v>0</v>
      </c>
      <c r="AF74" s="2059"/>
      <c r="AG74" s="1269" t="s">
        <v>237</v>
      </c>
      <c r="AH74" s="1270">
        <f>IF(SUM(L68:L74)&gt;0,AH73*SUM(V68:V74)/SUM(L68:L74),0)</f>
        <v>0</v>
      </c>
      <c r="AI74" s="1270">
        <f>IF(AND($A$1&gt;0,P68&gt;0),AH73/$A$1*(AE68/P68)*100,0)</f>
        <v>0</v>
      </c>
      <c r="AJ74" s="1271">
        <f t="shared" ref="AJ74:AJ79" si="47">IF(AND(AI74&gt;0,AH74&gt;0),(AH74/AI74-1)*100,0)</f>
        <v>0</v>
      </c>
      <c r="AK74" s="2028"/>
      <c r="AL74" s="1284">
        <f t="shared" si="41"/>
        <v>0</v>
      </c>
      <c r="AM74" s="1285"/>
      <c r="AN74" s="1285"/>
      <c r="AO74" s="1285"/>
      <c r="AP74" s="1285"/>
      <c r="AQ74" s="1285"/>
      <c r="AR74" s="1285"/>
      <c r="AS74" s="1286"/>
      <c r="AT74" s="1287"/>
      <c r="AU74" s="1288"/>
      <c r="AV74" s="1289"/>
      <c r="AW74" s="1290"/>
      <c r="AX74" s="1291"/>
      <c r="AY74" s="1291"/>
      <c r="AZ74" s="1292"/>
      <c r="BA74" s="1293"/>
      <c r="BB74" s="1294"/>
      <c r="BC74" s="1295"/>
      <c r="BD74" s="1296">
        <f>BD73+PROD!L74-BA74</f>
        <v>0</v>
      </c>
      <c r="BE74" s="2134"/>
      <c r="BF74" s="507" t="e">
        <f t="shared" si="42"/>
        <v>#VALUE!</v>
      </c>
      <c r="BG74" s="329"/>
      <c r="BH74" s="1018">
        <f t="shared" si="43"/>
        <v>0</v>
      </c>
    </row>
    <row r="75" spans="1:60" ht="15" customHeight="1" x14ac:dyDescent="0.3">
      <c r="A75" s="2032">
        <f>A68+1</f>
        <v>28</v>
      </c>
      <c r="B75" s="287" t="str">
        <f t="shared" si="44"/>
        <v/>
      </c>
      <c r="C75" s="288" t="str">
        <f t="shared" si="39"/>
        <v/>
      </c>
      <c r="D75" s="691"/>
      <c r="E75" s="692"/>
      <c r="F75" s="693"/>
      <c r="G75" s="694"/>
      <c r="H75" s="695"/>
      <c r="I75" s="289">
        <f>I74-SUM($D75:F75)</f>
        <v>0</v>
      </c>
      <c r="J75" s="1232" t="str">
        <f>$J$5</f>
        <v>% Mort Sem :</v>
      </c>
      <c r="K75" s="1233">
        <f>IF(PROD!$K$2&gt;0,SUM(D75:D81)/PROD!$K$2,0)</f>
        <v>0</v>
      </c>
      <c r="L75" s="1241"/>
      <c r="M75" s="1242">
        <f t="shared" ref="M75:M80" si="48">IF(I75&gt;0,L75/I75,0)</f>
        <v>0</v>
      </c>
      <c r="N75" s="1243" t="str">
        <f>$N$5</f>
        <v xml:space="preserve">% Pdn prom semana : </v>
      </c>
      <c r="O75" s="1244">
        <f>IF(SUM(L75:L80)&gt;0,100*SUMPRODUCT(M75:M81,I75:I81)/SUMIF(L75:L81,"&gt;0",I75:I81),IF(L81&gt;0,100*L81/7/I81,0))</f>
        <v>0</v>
      </c>
      <c r="P75" s="1244">
        <f>IFERROR(LOOKUP($A75,TP!$A$6:$A$108,GSh!$AE$6:$AE$108),0)</f>
        <v>0</v>
      </c>
      <c r="Q75" s="1245">
        <f>IF(AND(P75&gt;0,O75&gt;0),O75-P75,0)</f>
        <v>0</v>
      </c>
      <c r="R75" s="699"/>
      <c r="S75" s="762"/>
      <c r="T75" s="765">
        <f t="shared" si="14"/>
        <v>0</v>
      </c>
      <c r="U75" s="700"/>
      <c r="V75" s="701"/>
      <c r="W75" s="701"/>
      <c r="X75" s="295">
        <f t="shared" si="45"/>
        <v>0</v>
      </c>
      <c r="Y75" s="296">
        <f>IF(AA75&gt;0,V75,AE75/IF(Iniciar!$C$25="B X 40 K",40,IF(Iniciar!$C$25="B X 50 K",50,1))*I75/1000)</f>
        <v>0</v>
      </c>
      <c r="Z75" s="296">
        <f t="shared" si="46"/>
        <v>0</v>
      </c>
      <c r="AA75" s="297">
        <f t="shared" ref="AA75:AA80" si="49">IF(I75&gt;0,V75*$A$1/I75,0)</f>
        <v>0</v>
      </c>
      <c r="AB75" s="297">
        <f t="shared" si="40"/>
        <v>0</v>
      </c>
      <c r="AC75" s="1261" t="str">
        <f>$AC$5</f>
        <v>Gr. Ave Dia :</v>
      </c>
      <c r="AD75" s="1262">
        <f>IF(SUMIF(V75:V81,"&gt;0")&gt;0,SUMPRODUCT(AA75:AA81,I75:I81)/SUMIF(AA75:AA81,"&gt;0",I75:I81),0)</f>
        <v>0</v>
      </c>
      <c r="AE75" s="1262">
        <f>IFERROR(LOOKUP($A75,TP!$A$6:$A$108,GSh!$AU$6:$AU$108),0)</f>
        <v>0</v>
      </c>
      <c r="AF75" s="1263">
        <f>IF(AND(AE75&gt;0,AD75&gt;0),(AD75/AE75-1)*100,0)</f>
        <v>0</v>
      </c>
      <c r="AG75" s="1264" t="str">
        <f>PROD!$AG$5</f>
        <v>Gr X H</v>
      </c>
      <c r="AH75" s="1265">
        <f>IF(PROD!O75&gt;0,IF($AG75="Gr X H",PROD!AD75/PROD!O75*100,IF($AG75="Conv Kg/Doc",PROD!AD75/PROD!O75*1.2,IF(PROD!$O77&gt;0,PROD!AD75/(PROD!O75*PROD!$O77)*100,0))),0)</f>
        <v>0</v>
      </c>
      <c r="AI75" s="1265">
        <f>IF(PROD!P75&gt;0,IF($AG75="Gr X H",PROD!AE75/PROD!P75*100,IF($AG75="Conv Kg/Doc",PROD!AE75/PROD!P75*1.2,IF(PROD!$P77&gt;0,PROD!AE75/(PROD!P75*PROD!$P77)*100,0))),0)</f>
        <v>0</v>
      </c>
      <c r="AJ75" s="1266">
        <f t="shared" si="47"/>
        <v>0</v>
      </c>
      <c r="AK75" s="2026"/>
      <c r="AL75" s="1284">
        <f t="shared" si="41"/>
        <v>0</v>
      </c>
      <c r="AM75" s="1285"/>
      <c r="AN75" s="1285"/>
      <c r="AO75" s="1285"/>
      <c r="AP75" s="1285"/>
      <c r="AQ75" s="1285"/>
      <c r="AR75" s="1285"/>
      <c r="AS75" s="1286"/>
      <c r="AT75" s="1287"/>
      <c r="AU75" s="1288"/>
      <c r="AV75" s="1289"/>
      <c r="AW75" s="1290"/>
      <c r="AX75" s="1291"/>
      <c r="AY75" s="1291"/>
      <c r="AZ75" s="1292"/>
      <c r="BA75" s="1293"/>
      <c r="BB75" s="1294"/>
      <c r="BC75" s="1295"/>
      <c r="BD75" s="1296">
        <f>BD74+PROD!L75-BA75</f>
        <v>0</v>
      </c>
      <c r="BE75" s="2132">
        <f>IF(SUM(AM75:AZ81)&gt;0,(SUM(AM75:AM81)*$AM$2+SUM(AN75:AN81)*$AN$2+SUM(AO75:AO81)*$AO$2+SUM(AP75:AP81)*$AP$2+SUM(AQ75:AQ81)*$AQ$2+SUM(AR75:AR81)*$AR$2+SUM(AS75:AS81)*$AS$2+SUM(AW75:AW81)*$AW$2+SUM(AX75:AX81)*$AX$2+SUM(AY75:AY81)*$AY$2+SUM(AZ75:AZ81)*$AZ$2+SUM(AT75:AT81)*$AT$2+SUM(AU75:AU81)*$AU$2+SUM(AV75:AV81)*$AV$2)/SUM(AM75:AZ81),0)</f>
        <v>0</v>
      </c>
      <c r="BF75" s="507" t="e">
        <f t="shared" si="42"/>
        <v>#VALUE!</v>
      </c>
      <c r="BG75" s="277">
        <f>IF(SUM(L75:L81)&gt;0,A75,IF(SUM(V75:V81)&gt;0,A75,BG68))</f>
        <v>0</v>
      </c>
      <c r="BH75" s="1018">
        <f t="shared" si="43"/>
        <v>0</v>
      </c>
    </row>
    <row r="76" spans="1:60" ht="15" customHeight="1" x14ac:dyDescent="0.3">
      <c r="A76" s="2033"/>
      <c r="B76" s="287" t="str">
        <f t="shared" si="44"/>
        <v/>
      </c>
      <c r="C76" s="288" t="str">
        <f t="shared" si="39"/>
        <v/>
      </c>
      <c r="D76" s="691"/>
      <c r="E76" s="692"/>
      <c r="F76" s="693"/>
      <c r="G76" s="694"/>
      <c r="H76" s="695"/>
      <c r="I76" s="289">
        <f>I75-SUM($D76:F76)</f>
        <v>0</v>
      </c>
      <c r="J76" s="1234" t="str">
        <f>$J$6</f>
        <v>% Sel Sem :</v>
      </c>
      <c r="K76" s="1231">
        <f>IF(PROD!$K$2&gt;0,SUM(E75:E81)/PROD!$K$2,0)</f>
        <v>0</v>
      </c>
      <c r="L76" s="1246"/>
      <c r="M76" s="291">
        <f t="shared" si="48"/>
        <v>0</v>
      </c>
      <c r="N76" s="292" t="str">
        <f>$N$6</f>
        <v xml:space="preserve">H. Ave Alojada : </v>
      </c>
      <c r="O76" s="293">
        <f>IF(AND(PROD!$K$2&gt;0,O75&gt;0),SUM(L$5:L81)/PROD!$K$2,0)</f>
        <v>0</v>
      </c>
      <c r="P76" s="293">
        <f>IFERROR(LOOKUP($A75,TP!$A$6:$A$108,GSh!$AJ$6:$AJ$108),0)</f>
        <v>0</v>
      </c>
      <c r="Q76" s="294">
        <f>IF(AND(P76&gt;0,O76&gt;0),O76-P76,0)</f>
        <v>0</v>
      </c>
      <c r="R76" s="699"/>
      <c r="S76" s="762"/>
      <c r="T76" s="765">
        <f t="shared" ref="T76:T139" si="50">T75</f>
        <v>0</v>
      </c>
      <c r="U76" s="700"/>
      <c r="V76" s="701"/>
      <c r="W76" s="701"/>
      <c r="X76" s="295">
        <f t="shared" si="45"/>
        <v>0</v>
      </c>
      <c r="Y76" s="296">
        <f>IF(AA76&gt;0,V76,AE75/IF(Iniciar!$C$25="B X 40 K",40,IF(Iniciar!$C$25="B X 50 K",50,1))*I76/1000)</f>
        <v>0</v>
      </c>
      <c r="Z76" s="296">
        <f t="shared" si="46"/>
        <v>0</v>
      </c>
      <c r="AA76" s="297">
        <f t="shared" si="49"/>
        <v>0</v>
      </c>
      <c r="AB76" s="297">
        <f t="shared" si="40"/>
        <v>0</v>
      </c>
      <c r="AC76" s="1267" t="str">
        <f>$AC$6</f>
        <v>Gr. Ave Sem :</v>
      </c>
      <c r="AD76" s="284">
        <f>AD75*7</f>
        <v>0</v>
      </c>
      <c r="AE76" s="284">
        <f>AE75*7</f>
        <v>0</v>
      </c>
      <c r="AF76" s="285">
        <f>IF(AND(AE76&gt;0,AD76&gt;0),(AD76/AE76-1)*100,0)</f>
        <v>0</v>
      </c>
      <c r="AG76" s="1199" t="str">
        <f>PROD!$AG$6</f>
        <v>Gr X H Acm</v>
      </c>
      <c r="AH76" s="298">
        <f>IF(SUM(PROD!L75:L81)&gt;0,IF(PROD!$AG$5="Gr X H",SUM(PROD!V$5:V81)*PROD!$A$1/SUM(PROD!L$5:L81),IF($AG75="Conv Kg/Doc",(SUM(PROD!V$5:V81)*PROD!$A$1/1000)/(SUM(PROD!L$5:L81)/12),IF(PROD!$O77&gt;0,SUM(PROD!V$5:V81)*PROD!$A$1/(SUM(PROD!L$5:L81)*LOOKUP(PROD!A75,TP!$A$6:$A$108,GSh!$BB$6:$BB$108)),0))),0)</f>
        <v>0</v>
      </c>
      <c r="AI76" s="298">
        <f>IF(PROD!P75&gt;0,IF($AG75="Gr X H",PROD!AE75/PROD!P75*100,IF($AG75="Conv Kg/Doc",PROD!AE75/PROD!P75*1.2,IF(PROD!$P76&gt;0,PROD!AE77/(PROD!P76*LOOKUP(PROD!$A75,TP!$A$6:$A$108,GSh!$BC$6:$BC$108)/1000),0))),0)</f>
        <v>0</v>
      </c>
      <c r="AJ76" s="328">
        <f t="shared" si="47"/>
        <v>0</v>
      </c>
      <c r="AK76" s="2027"/>
      <c r="AL76" s="1284">
        <f t="shared" si="41"/>
        <v>0</v>
      </c>
      <c r="AM76" s="1285"/>
      <c r="AN76" s="1285"/>
      <c r="AO76" s="1285"/>
      <c r="AP76" s="1285"/>
      <c r="AQ76" s="1285"/>
      <c r="AR76" s="1285"/>
      <c r="AS76" s="1286"/>
      <c r="AT76" s="1287"/>
      <c r="AU76" s="1288"/>
      <c r="AV76" s="1289"/>
      <c r="AW76" s="1290"/>
      <c r="AX76" s="1291"/>
      <c r="AY76" s="1291"/>
      <c r="AZ76" s="1292"/>
      <c r="BA76" s="1293"/>
      <c r="BB76" s="1294"/>
      <c r="BC76" s="1295"/>
      <c r="BD76" s="1296">
        <f>BD75+PROD!L76-BA76</f>
        <v>0</v>
      </c>
      <c r="BE76" s="2133"/>
      <c r="BF76" s="507" t="e">
        <f t="shared" si="42"/>
        <v>#VALUE!</v>
      </c>
      <c r="BG76" s="329"/>
      <c r="BH76" s="1018">
        <f t="shared" si="43"/>
        <v>0</v>
      </c>
    </row>
    <row r="77" spans="1:60" ht="15" customHeight="1" x14ac:dyDescent="0.3">
      <c r="A77" s="2033"/>
      <c r="B77" s="287" t="str">
        <f t="shared" si="44"/>
        <v/>
      </c>
      <c r="C77" s="288" t="str">
        <f t="shared" si="39"/>
        <v/>
      </c>
      <c r="D77" s="691"/>
      <c r="E77" s="692"/>
      <c r="F77" s="693"/>
      <c r="G77" s="694"/>
      <c r="H77" s="695"/>
      <c r="I77" s="289">
        <f>I76-SUM($D77:F77)</f>
        <v>0</v>
      </c>
      <c r="J77" s="1235" t="str">
        <f>$J$7</f>
        <v>% Mort/Sel Sem Tab :</v>
      </c>
      <c r="K77" s="1236">
        <f>K80-K73</f>
        <v>0</v>
      </c>
      <c r="L77" s="1246"/>
      <c r="M77" s="291">
        <f t="shared" si="48"/>
        <v>0</v>
      </c>
      <c r="N77" s="304" t="str">
        <f>$N$7</f>
        <v xml:space="preserve">Peso Huevo (Gr) : </v>
      </c>
      <c r="O77" s="305">
        <f>LOOKUP($A75,'Pr-Sem'!$A$6:$A$108,'Pr-Sem'!$Z$6:$Z$108)</f>
        <v>0</v>
      </c>
      <c r="P77" s="305">
        <f>IFERROR(LOOKUP($A75,TP!$A$6:$A$108,GSh!$AZ$6:$AZ$108),0)</f>
        <v>0</v>
      </c>
      <c r="Q77" s="306">
        <f>IF(AND(P77&gt;0,O77&gt;0),O77-P77,0)</f>
        <v>0</v>
      </c>
      <c r="R77" s="699"/>
      <c r="S77" s="762"/>
      <c r="T77" s="765">
        <f t="shared" si="50"/>
        <v>0</v>
      </c>
      <c r="U77" s="700"/>
      <c r="V77" s="701"/>
      <c r="W77" s="701"/>
      <c r="X77" s="295">
        <f t="shared" si="45"/>
        <v>0</v>
      </c>
      <c r="Y77" s="296">
        <f>IF(AA77&gt;0,V77,AE75/IF(Iniciar!$C$25="B X 40 K",40,IF(Iniciar!$C$25="B X 50 K",50,1))*I77/1000)</f>
        <v>0</v>
      </c>
      <c r="Z77" s="296">
        <f t="shared" si="46"/>
        <v>0</v>
      </c>
      <c r="AA77" s="297">
        <f t="shared" si="49"/>
        <v>0</v>
      </c>
      <c r="AB77" s="297">
        <f t="shared" si="40"/>
        <v>0</v>
      </c>
      <c r="AC77" s="1268" t="str">
        <f>$AC$7</f>
        <v>Kg Ave Acu :</v>
      </c>
      <c r="AD77" s="308">
        <f>IF(OR(SUM(L75:L81)&gt;0,SUM(V75:V81)&gt;0),AD76/1000+AD70,0)</f>
        <v>0</v>
      </c>
      <c r="AE77" s="309">
        <f>AE76/1000+AE70</f>
        <v>0</v>
      </c>
      <c r="AF77" s="310">
        <f>IF(AND(AE77&gt;0,AD77&gt;0),(AD77/AE77-1)*100,0)</f>
        <v>0</v>
      </c>
      <c r="AG77" s="311" t="str">
        <f>PROD!$AG$7</f>
        <v xml:space="preserve">Masa Sem H (Gr) : </v>
      </c>
      <c r="AH77" s="312">
        <f>PROD!O75/100*7*PROD!O77</f>
        <v>0</v>
      </c>
      <c r="AI77" s="312">
        <f>PROD!P75/100*7*PROD!P77</f>
        <v>0</v>
      </c>
      <c r="AJ77" s="313">
        <f t="shared" si="47"/>
        <v>0</v>
      </c>
      <c r="AK77" s="2027"/>
      <c r="AL77" s="1284">
        <f t="shared" si="41"/>
        <v>0</v>
      </c>
      <c r="AM77" s="1285"/>
      <c r="AN77" s="1285"/>
      <c r="AO77" s="1285"/>
      <c r="AP77" s="1285"/>
      <c r="AQ77" s="1285"/>
      <c r="AR77" s="1285"/>
      <c r="AS77" s="1286"/>
      <c r="AT77" s="1287"/>
      <c r="AU77" s="1288"/>
      <c r="AV77" s="1289"/>
      <c r="AW77" s="1290"/>
      <c r="AX77" s="1291"/>
      <c r="AY77" s="1291"/>
      <c r="AZ77" s="1292"/>
      <c r="BA77" s="1293"/>
      <c r="BB77" s="1294"/>
      <c r="BC77" s="1295"/>
      <c r="BD77" s="1296">
        <f>BD76+PROD!L77-BA77</f>
        <v>0</v>
      </c>
      <c r="BE77" s="2133"/>
      <c r="BF77" s="507" t="e">
        <f t="shared" si="42"/>
        <v>#VALUE!</v>
      </c>
      <c r="BG77" s="329"/>
      <c r="BH77" s="1018">
        <f t="shared" si="43"/>
        <v>0</v>
      </c>
    </row>
    <row r="78" spans="1:60" ht="15" customHeight="1" x14ac:dyDescent="0.3">
      <c r="A78" s="2033"/>
      <c r="B78" s="287" t="str">
        <f t="shared" si="44"/>
        <v/>
      </c>
      <c r="C78" s="288" t="str">
        <f t="shared" si="39"/>
        <v/>
      </c>
      <c r="D78" s="691"/>
      <c r="E78" s="692"/>
      <c r="F78" s="693"/>
      <c r="G78" s="694"/>
      <c r="H78" s="695"/>
      <c r="I78" s="289">
        <f>I77-SUM($D78:F78)</f>
        <v>0</v>
      </c>
      <c r="J78" s="1234" t="str">
        <f>$J$8</f>
        <v>% Mort Acm :</v>
      </c>
      <c r="K78" s="1231">
        <f>IF(PROD!$K$2&gt;0,SUM(D$5:D81)/PROD!$K$2,0)</f>
        <v>0</v>
      </c>
      <c r="L78" s="1246"/>
      <c r="M78" s="291">
        <f t="shared" si="48"/>
        <v>0</v>
      </c>
      <c r="N78" s="314" t="str">
        <f>N$8</f>
        <v xml:space="preserve">Peso Ave (Gr) : </v>
      </c>
      <c r="O78" s="315">
        <f>LOOKUP($A75,GSh!$BV$6:$BV$108,GSh!$BJ$6:$BJ$108)</f>
        <v>0</v>
      </c>
      <c r="P78" s="315">
        <f>IFERROR(LOOKUP($A75,TP!$A$6:$A$108,GSh!$BK$6:$BK$108),0)</f>
        <v>0</v>
      </c>
      <c r="Q78" s="316">
        <f>IF(AND(P78&gt;0,O78&gt;0),(O78/P78-1)*100,0)</f>
        <v>0</v>
      </c>
      <c r="R78" s="699"/>
      <c r="S78" s="762"/>
      <c r="T78" s="765">
        <f t="shared" si="50"/>
        <v>0</v>
      </c>
      <c r="U78" s="700"/>
      <c r="V78" s="701"/>
      <c r="W78" s="701"/>
      <c r="X78" s="295">
        <f t="shared" si="45"/>
        <v>0</v>
      </c>
      <c r="Y78" s="296">
        <f>IF(AA78&gt;0,V78,AE75/IF(Iniciar!$C$25="B X 40 K",40,IF(Iniciar!$C$25="B X 50 K",50,1))*I78/1000)</f>
        <v>0</v>
      </c>
      <c r="Z78" s="296">
        <f t="shared" si="46"/>
        <v>0</v>
      </c>
      <c r="AA78" s="297">
        <f t="shared" si="49"/>
        <v>0</v>
      </c>
      <c r="AB78" s="297">
        <f t="shared" si="40"/>
        <v>0</v>
      </c>
      <c r="AC78" s="541" t="str">
        <f>$AC$8</f>
        <v xml:space="preserve">Ton. Lote Acu : </v>
      </c>
      <c r="AD78" s="544">
        <f>SUM($V$5:$V81)*$A$1/1000000</f>
        <v>0</v>
      </c>
      <c r="AE78" s="543">
        <f>AE71+(AE75/1000000*7*(I75+I81)/2)</f>
        <v>0</v>
      </c>
      <c r="AF78" s="542">
        <f>IF(AND(AE78&gt;0,AD78&gt;0),(AD78/AE78-1)*100,0)</f>
        <v>0</v>
      </c>
      <c r="AG78" s="317" t="str">
        <f>PROD!$AG$8</f>
        <v xml:space="preserve">Masa Ac A. A (Kg) : </v>
      </c>
      <c r="AH78" s="318">
        <f>IF(PROD!$K$2&gt;0,SUM(PROD!L$5:L81)*LOOKUP(PROD!$A75,TP!$A$6:$A$108,GSh!$BB$6:$BB$108)/1000/PROD!$K$2,0)</f>
        <v>0</v>
      </c>
      <c r="AI78" s="318">
        <f>IFERROR(PROD!P76*LOOKUP(PROD!$A75,TP!$A$6:$A$108,GSh!$BC$6:$BC$108)/1000,0)</f>
        <v>0</v>
      </c>
      <c r="AJ78" s="330">
        <f t="shared" si="47"/>
        <v>0</v>
      </c>
      <c r="AK78" s="2027"/>
      <c r="AL78" s="1284">
        <f t="shared" si="41"/>
        <v>0</v>
      </c>
      <c r="AM78" s="1285"/>
      <c r="AN78" s="1285"/>
      <c r="AO78" s="1285"/>
      <c r="AP78" s="1285"/>
      <c r="AQ78" s="1285"/>
      <c r="AR78" s="1285"/>
      <c r="AS78" s="1286"/>
      <c r="AT78" s="1287"/>
      <c r="AU78" s="1288"/>
      <c r="AV78" s="1289"/>
      <c r="AW78" s="1290"/>
      <c r="AX78" s="1291"/>
      <c r="AY78" s="1291"/>
      <c r="AZ78" s="1292"/>
      <c r="BA78" s="1293"/>
      <c r="BB78" s="1294"/>
      <c r="BC78" s="1295"/>
      <c r="BD78" s="1296">
        <f>BD77+PROD!L78-BA78</f>
        <v>0</v>
      </c>
      <c r="BE78" s="2133"/>
      <c r="BF78" s="507" t="e">
        <f t="shared" si="42"/>
        <v>#VALUE!</v>
      </c>
      <c r="BG78" s="329"/>
      <c r="BH78" s="1018">
        <f t="shared" si="43"/>
        <v>0</v>
      </c>
    </row>
    <row r="79" spans="1:60" ht="15" customHeight="1" x14ac:dyDescent="0.3">
      <c r="A79" s="2033"/>
      <c r="B79" s="287" t="str">
        <f t="shared" si="44"/>
        <v/>
      </c>
      <c r="C79" s="288" t="str">
        <f t="shared" si="39"/>
        <v/>
      </c>
      <c r="D79" s="691"/>
      <c r="E79" s="692"/>
      <c r="F79" s="693"/>
      <c r="G79" s="694"/>
      <c r="H79" s="695"/>
      <c r="I79" s="289">
        <f>I78-SUM($D79:F79)</f>
        <v>0</v>
      </c>
      <c r="J79" s="1234" t="str">
        <f>$J$9</f>
        <v>% Sel Acm :</v>
      </c>
      <c r="K79" s="1231">
        <f>IF(PROD!$K$2&gt;0,SUM(E$5:E81)/PROD!$K$2,0)</f>
        <v>0</v>
      </c>
      <c r="L79" s="1246"/>
      <c r="M79" s="291">
        <f t="shared" si="48"/>
        <v>0</v>
      </c>
      <c r="N79" s="292" t="str">
        <f>$N$9</f>
        <v xml:space="preserve">Uniformidad (10% -) : </v>
      </c>
      <c r="O79" s="320">
        <f>LOOKUP($A75,'Pr-Sem'!$A$6:$A$108,'Pr-Sem'!$AH$6:$AH$108)</f>
        <v>0</v>
      </c>
      <c r="P79" s="320">
        <v>5</v>
      </c>
      <c r="Q79" s="321">
        <f>IF(AND(P79&gt;0,O79&gt;0),(1-O79/P79)*100,0)</f>
        <v>0</v>
      </c>
      <c r="R79" s="699"/>
      <c r="S79" s="762"/>
      <c r="T79" s="765">
        <f t="shared" si="50"/>
        <v>0</v>
      </c>
      <c r="U79" s="700"/>
      <c r="V79" s="701"/>
      <c r="W79" s="701"/>
      <c r="X79" s="295">
        <f t="shared" si="45"/>
        <v>0</v>
      </c>
      <c r="Y79" s="296">
        <f>IF(AA79&gt;0,V79,AE75/IF(Iniciar!$C$25="B X 40 K",40,IF(Iniciar!$C$25="B X 50 K",50,1))*I79/1000)</f>
        <v>0</v>
      </c>
      <c r="Z79" s="296">
        <f t="shared" si="46"/>
        <v>0</v>
      </c>
      <c r="AA79" s="297">
        <f t="shared" si="49"/>
        <v>0</v>
      </c>
      <c r="AB79" s="297">
        <f t="shared" si="40"/>
        <v>0</v>
      </c>
      <c r="AC79" s="2035" t="str">
        <f>$AC$9</f>
        <v xml:space="preserve">Total Litros Sem: </v>
      </c>
      <c r="AD79" s="2036"/>
      <c r="AE79" s="2050">
        <f>SUM(R75:R81)</f>
        <v>0</v>
      </c>
      <c r="AF79" s="2051"/>
      <c r="AG79" s="554" t="str">
        <f>$AG$9</f>
        <v xml:space="preserve">Indicador Eficiencia : </v>
      </c>
      <c r="AH79" s="555">
        <f>IF(AND(AE79&gt;0,O76&gt;0,O77&gt;0,SUM(L75:L81)&gt;0),(PROD!AH78/O76)*K81*100/(AE79/(SUM(L75:L81)*O77/1000)),0)</f>
        <v>0</v>
      </c>
      <c r="AI79" s="555">
        <f>IF(AND(P76&gt;0,PROD!AI77&gt;0),(PROD!AI78/P76)*(1-K80)*100/(AE76/PROD!AI77),0)</f>
        <v>0</v>
      </c>
      <c r="AJ79" s="331">
        <f t="shared" si="47"/>
        <v>0</v>
      </c>
      <c r="AK79" s="2027"/>
      <c r="AL79" s="1284">
        <f t="shared" si="41"/>
        <v>0</v>
      </c>
      <c r="AM79" s="1285"/>
      <c r="AN79" s="1285"/>
      <c r="AO79" s="1285"/>
      <c r="AP79" s="1285"/>
      <c r="AQ79" s="1285"/>
      <c r="AR79" s="1285"/>
      <c r="AS79" s="1286"/>
      <c r="AT79" s="1287"/>
      <c r="AU79" s="1288"/>
      <c r="AV79" s="1289"/>
      <c r="AW79" s="1290"/>
      <c r="AX79" s="1291"/>
      <c r="AY79" s="1291"/>
      <c r="AZ79" s="1292"/>
      <c r="BA79" s="1293"/>
      <c r="BB79" s="1294"/>
      <c r="BC79" s="1295"/>
      <c r="BD79" s="1296">
        <f>BD78+PROD!L79-BA79</f>
        <v>0</v>
      </c>
      <c r="BE79" s="2133"/>
      <c r="BF79" s="507" t="e">
        <f t="shared" si="42"/>
        <v>#VALUE!</v>
      </c>
      <c r="BG79" s="329"/>
      <c r="BH79" s="1018">
        <f t="shared" si="43"/>
        <v>0</v>
      </c>
    </row>
    <row r="80" spans="1:60" ht="15" customHeight="1" x14ac:dyDescent="0.3">
      <c r="A80" s="2033"/>
      <c r="B80" s="287" t="str">
        <f t="shared" si="44"/>
        <v/>
      </c>
      <c r="C80" s="288" t="str">
        <f t="shared" si="39"/>
        <v/>
      </c>
      <c r="D80" s="691"/>
      <c r="E80" s="692"/>
      <c r="F80" s="693"/>
      <c r="G80" s="694"/>
      <c r="H80" s="695"/>
      <c r="I80" s="289">
        <f>I79-SUM($D80:F80)</f>
        <v>0</v>
      </c>
      <c r="J80" s="1237" t="str">
        <f>$J$10</f>
        <v>% Mort/Sel Acm Tab :</v>
      </c>
      <c r="K80" s="1238">
        <f>IFERROR(LOOKUP($A75,TP!$A$6:$A$108,GSh!$AR$6:$AR$108)/100,0)</f>
        <v>0</v>
      </c>
      <c r="L80" s="1246"/>
      <c r="M80" s="291">
        <f t="shared" si="48"/>
        <v>0</v>
      </c>
      <c r="N80" s="292" t="str">
        <f>$N$10</f>
        <v xml:space="preserve">Uniformidad (C. Lote) : </v>
      </c>
      <c r="O80" s="320">
        <f>LOOKUP($A75,'Pr-Sem'!$A$6:$A$108,'Pr-Sem'!$AG$6:$AG$108)</f>
        <v>0</v>
      </c>
      <c r="P80" s="320">
        <v>90</v>
      </c>
      <c r="Q80" s="321">
        <f>IF(AND(P80&gt;0,O80&gt;0),(O80/P80-1)*100,0)</f>
        <v>0</v>
      </c>
      <c r="R80" s="699"/>
      <c r="S80" s="762"/>
      <c r="T80" s="765">
        <f t="shared" si="50"/>
        <v>0</v>
      </c>
      <c r="U80" s="700"/>
      <c r="V80" s="701"/>
      <c r="W80" s="701"/>
      <c r="X80" s="295">
        <f t="shared" si="45"/>
        <v>0</v>
      </c>
      <c r="Y80" s="296">
        <f>IF(AA80&gt;0,V80,AE75/IF(Iniciar!$C$25="B X 40 K",40,IF(Iniciar!$C$25="B X 50 K",50,1))*I80/1000)</f>
        <v>0</v>
      </c>
      <c r="Z80" s="296">
        <f t="shared" si="46"/>
        <v>0</v>
      </c>
      <c r="AA80" s="297">
        <f t="shared" si="49"/>
        <v>0</v>
      </c>
      <c r="AB80" s="297">
        <f t="shared" si="40"/>
        <v>0</v>
      </c>
      <c r="AC80" s="2037" t="str">
        <f>$AC$10</f>
        <v xml:space="preserve">Cons ml /ave día: </v>
      </c>
      <c r="AD80" s="2038"/>
      <c r="AE80" s="2056">
        <f>IFERROR(SUMPRODUCT(AB75:AB81,I75:I81)/SUM(I75:I81),0)</f>
        <v>0</v>
      </c>
      <c r="AF80" s="2057"/>
      <c r="AG80" s="311" t="str">
        <f>CONCATENATE("Costo ",Iniciar!$C$25," : ")</f>
        <v xml:space="preserve">Costo Kilos : </v>
      </c>
      <c r="AH80" s="2043">
        <f>IFERROR(SUMPRODUCT(T75:T81,V75:V81)/SUMIF(T75:T81,"&gt;0",V75:V81),0)</f>
        <v>0</v>
      </c>
      <c r="AI80" s="2043"/>
      <c r="AJ80" s="313"/>
      <c r="AK80" s="2027"/>
      <c r="AL80" s="1284">
        <f t="shared" si="41"/>
        <v>0</v>
      </c>
      <c r="AM80" s="1285"/>
      <c r="AN80" s="1285"/>
      <c r="AO80" s="1285"/>
      <c r="AP80" s="1285"/>
      <c r="AQ80" s="1285"/>
      <c r="AR80" s="1285"/>
      <c r="AS80" s="1286"/>
      <c r="AT80" s="1287"/>
      <c r="AU80" s="1288"/>
      <c r="AV80" s="1289"/>
      <c r="AW80" s="1290"/>
      <c r="AX80" s="1291"/>
      <c r="AY80" s="1291"/>
      <c r="AZ80" s="1292"/>
      <c r="BA80" s="1293"/>
      <c r="BB80" s="1294"/>
      <c r="BC80" s="1295"/>
      <c r="BD80" s="1296">
        <f>BD79+PROD!L80-BA80</f>
        <v>0</v>
      </c>
      <c r="BE80" s="2133"/>
      <c r="BF80" s="507" t="e">
        <f t="shared" si="42"/>
        <v>#VALUE!</v>
      </c>
      <c r="BG80" s="329"/>
      <c r="BH80" s="1018">
        <f t="shared" si="43"/>
        <v>0</v>
      </c>
    </row>
    <row r="81" spans="1:60" ht="15" customHeight="1" x14ac:dyDescent="0.3">
      <c r="A81" s="2034"/>
      <c r="B81" s="287" t="str">
        <f t="shared" si="44"/>
        <v/>
      </c>
      <c r="C81" s="288" t="str">
        <f t="shared" si="39"/>
        <v/>
      </c>
      <c r="D81" s="691"/>
      <c r="E81" s="692"/>
      <c r="F81" s="693"/>
      <c r="G81" s="694"/>
      <c r="H81" s="695"/>
      <c r="I81" s="289">
        <f>I80-SUM($D81:F81)</f>
        <v>0</v>
      </c>
      <c r="J81" s="1239" t="str">
        <f>$J$11</f>
        <v>% Viabilidad :</v>
      </c>
      <c r="K81" s="1240">
        <f>IF(OR(SUM(L75:L81)&gt;0,SUM(V75:V81)&gt;0),1-(K78+K79),0)</f>
        <v>0</v>
      </c>
      <c r="L81" s="1247"/>
      <c r="M81" s="1248">
        <f>IF(I81&gt;0,(L81/IF(SUM(L75:L80)&gt;0,1,7))/I81,0)</f>
        <v>0</v>
      </c>
      <c r="N81" s="1249" t="str">
        <f>$N$11</f>
        <v xml:space="preserve">Uniformidad (10% +) : </v>
      </c>
      <c r="O81" s="1250">
        <f>IF(O79&gt;0,IF(O80&gt;0,100-SUM(O79:O80),0),0)</f>
        <v>0</v>
      </c>
      <c r="P81" s="1251">
        <f>100-SUM(P79:P80)</f>
        <v>5</v>
      </c>
      <c r="Q81" s="1252">
        <f>IF(AND(P81&gt;0,O81&gt;0),(O81/P81-1)*100,0)</f>
        <v>0</v>
      </c>
      <c r="R81" s="699"/>
      <c r="S81" s="762"/>
      <c r="T81" s="765">
        <f t="shared" si="50"/>
        <v>0</v>
      </c>
      <c r="U81" s="700"/>
      <c r="V81" s="701"/>
      <c r="W81" s="701"/>
      <c r="X81" s="295">
        <f t="shared" si="45"/>
        <v>0</v>
      </c>
      <c r="Y81" s="296">
        <f>IF(AA81&gt;0,V81,AE75/IF(Iniciar!$C$25="B X 40 K",40,IF(Iniciar!$C$25="B X 50 K",50,1))*I81/1000)</f>
        <v>0</v>
      </c>
      <c r="Z81" s="296">
        <f t="shared" si="46"/>
        <v>0</v>
      </c>
      <c r="AA81" s="297">
        <f>IF(I81&gt;0,(V81/IF(SUM(V75:V80)&gt;0,1,7))*$A$1/I81,0)</f>
        <v>0</v>
      </c>
      <c r="AB81" s="297">
        <f t="shared" si="40"/>
        <v>0</v>
      </c>
      <c r="AC81" s="2039" t="str">
        <f>$AC$11</f>
        <v xml:space="preserve">Relación Agua /Alimto: </v>
      </c>
      <c r="AD81" s="2040"/>
      <c r="AE81" s="2058">
        <f>IFERROR(AE80/AD75,0)</f>
        <v>0</v>
      </c>
      <c r="AF81" s="2059"/>
      <c r="AG81" s="1269" t="s">
        <v>237</v>
      </c>
      <c r="AH81" s="1270">
        <f>IF(SUM(L75:L81)&gt;0,AH80*SUM(V75:V81)/SUM(L75:L81),0)</f>
        <v>0</v>
      </c>
      <c r="AI81" s="1270">
        <f>IF(AND($A$1&gt;0,P75&gt;0),AH80/$A$1*(AE75/P75)*100,0)</f>
        <v>0</v>
      </c>
      <c r="AJ81" s="1271">
        <f t="shared" ref="AJ81:AJ86" si="51">IF(AND(AI81&gt;0,AH81&gt;0),(AH81/AI81-1)*100,0)</f>
        <v>0</v>
      </c>
      <c r="AK81" s="2028"/>
      <c r="AL81" s="1284">
        <f t="shared" si="41"/>
        <v>0</v>
      </c>
      <c r="AM81" s="1285"/>
      <c r="AN81" s="1285"/>
      <c r="AO81" s="1285"/>
      <c r="AP81" s="1285"/>
      <c r="AQ81" s="1285"/>
      <c r="AR81" s="1285"/>
      <c r="AS81" s="1286"/>
      <c r="AT81" s="1287"/>
      <c r="AU81" s="1288"/>
      <c r="AV81" s="1289"/>
      <c r="AW81" s="1290"/>
      <c r="AX81" s="1291"/>
      <c r="AY81" s="1291"/>
      <c r="AZ81" s="1292"/>
      <c r="BA81" s="1293"/>
      <c r="BB81" s="1294"/>
      <c r="BC81" s="1295"/>
      <c r="BD81" s="1296">
        <f>BD80+PROD!L81-BA81</f>
        <v>0</v>
      </c>
      <c r="BE81" s="2134"/>
      <c r="BF81" s="507" t="e">
        <f t="shared" si="42"/>
        <v>#VALUE!</v>
      </c>
      <c r="BG81" s="329"/>
      <c r="BH81" s="1018">
        <f t="shared" si="43"/>
        <v>0</v>
      </c>
    </row>
    <row r="82" spans="1:60" ht="15" customHeight="1" x14ac:dyDescent="0.3">
      <c r="A82" s="2032">
        <f>A75+1</f>
        <v>29</v>
      </c>
      <c r="B82" s="287" t="str">
        <f t="shared" si="44"/>
        <v/>
      </c>
      <c r="C82" s="288" t="str">
        <f t="shared" si="39"/>
        <v/>
      </c>
      <c r="D82" s="691"/>
      <c r="E82" s="692"/>
      <c r="F82" s="693"/>
      <c r="G82" s="694"/>
      <c r="H82" s="695"/>
      <c r="I82" s="289">
        <f>I81-SUM($D82:F82)</f>
        <v>0</v>
      </c>
      <c r="J82" s="1232" t="str">
        <f>$J$5</f>
        <v>% Mort Sem :</v>
      </c>
      <c r="K82" s="1233">
        <f>IF(PROD!$K$2&gt;0,SUM(D82:D88)/PROD!$K$2,0)</f>
        <v>0</v>
      </c>
      <c r="L82" s="1241"/>
      <c r="M82" s="1242">
        <f t="shared" ref="M82:M87" si="52">IF(I82&gt;0,L82/I82,0)</f>
        <v>0</v>
      </c>
      <c r="N82" s="1243" t="str">
        <f>$N$5</f>
        <v xml:space="preserve">% Pdn prom semana : </v>
      </c>
      <c r="O82" s="1244">
        <f>IF(SUM(L82:L87)&gt;0,100*SUMPRODUCT(M82:M88,I82:I88)/SUMIF(L82:L88,"&gt;0",I82:I88),IF(L88&gt;0,100*L88/7/I88,0))</f>
        <v>0</v>
      </c>
      <c r="P82" s="1244">
        <f>IFERROR(LOOKUP($A82,TP!$A$6:$A$108,GSh!$AE$6:$AE$108),0)</f>
        <v>0</v>
      </c>
      <c r="Q82" s="1245">
        <f>IF(AND(P82&gt;0,O82&gt;0),O82-P82,0)</f>
        <v>0</v>
      </c>
      <c r="R82" s="699"/>
      <c r="S82" s="762"/>
      <c r="T82" s="765">
        <f t="shared" si="50"/>
        <v>0</v>
      </c>
      <c r="U82" s="700"/>
      <c r="V82" s="701"/>
      <c r="W82" s="701"/>
      <c r="X82" s="295">
        <f t="shared" si="45"/>
        <v>0</v>
      </c>
      <c r="Y82" s="296">
        <f>IF(AA82&gt;0,V82,AE82/IF(Iniciar!$C$25="B X 40 K",40,IF(Iniciar!$C$25="B X 50 K",50,1))*I82/1000)</f>
        <v>0</v>
      </c>
      <c r="Z82" s="296">
        <f t="shared" si="46"/>
        <v>0</v>
      </c>
      <c r="AA82" s="297">
        <f t="shared" ref="AA82:AA87" si="53">IF(I82&gt;0,V82*$A$1/I82,0)</f>
        <v>0</v>
      </c>
      <c r="AB82" s="297">
        <f t="shared" si="40"/>
        <v>0</v>
      </c>
      <c r="AC82" s="1261" t="str">
        <f>$AC$5</f>
        <v>Gr. Ave Dia :</v>
      </c>
      <c r="AD82" s="1262">
        <f>IF(SUMIF(V82:V88,"&gt;0")&gt;0,SUMPRODUCT(AA82:AA88,I82:I88)/SUMIF(AA82:AA88,"&gt;0",I82:I88),0)</f>
        <v>0</v>
      </c>
      <c r="AE82" s="1262">
        <f>IFERROR(LOOKUP($A82,TP!$A$6:$A$108,GSh!$AU$6:$AU$108),0)</f>
        <v>0</v>
      </c>
      <c r="AF82" s="1263">
        <f>IF(AND(AE82&gt;0,AD82&gt;0),(AD82/AE82-1)*100,0)</f>
        <v>0</v>
      </c>
      <c r="AG82" s="1264" t="str">
        <f>PROD!$AG$5</f>
        <v>Gr X H</v>
      </c>
      <c r="AH82" s="1265">
        <f>IF(PROD!O82&gt;0,IF($AG82="Gr X H",PROD!AD82/PROD!O82*100,IF($AG82="Conv Kg/Doc",PROD!AD82/PROD!O82*1.2,IF(PROD!$O84&gt;0,PROD!AD82/(PROD!O82*PROD!$O84)*100,0))),0)</f>
        <v>0</v>
      </c>
      <c r="AI82" s="1265">
        <f>IF(PROD!P82&gt;0,IF($AG82="Gr X H",PROD!AE82/PROD!P82*100,IF($AG82="Conv Kg/Doc",PROD!AE82/PROD!P82*1.2,IF(PROD!$P84&gt;0,PROD!AE82/(PROD!P82*PROD!$P84)*100,0))),0)</f>
        <v>0</v>
      </c>
      <c r="AJ82" s="1266">
        <f t="shared" si="51"/>
        <v>0</v>
      </c>
      <c r="AK82" s="2026"/>
      <c r="AL82" s="1284">
        <f t="shared" si="41"/>
        <v>0</v>
      </c>
      <c r="AM82" s="1285"/>
      <c r="AN82" s="1285"/>
      <c r="AO82" s="1285"/>
      <c r="AP82" s="1285"/>
      <c r="AQ82" s="1285"/>
      <c r="AR82" s="1285"/>
      <c r="AS82" s="1286"/>
      <c r="AT82" s="1287"/>
      <c r="AU82" s="1288"/>
      <c r="AV82" s="1289"/>
      <c r="AW82" s="1290"/>
      <c r="AX82" s="1291"/>
      <c r="AY82" s="1291"/>
      <c r="AZ82" s="1292"/>
      <c r="BA82" s="1293"/>
      <c r="BB82" s="1294"/>
      <c r="BC82" s="1295"/>
      <c r="BD82" s="1296">
        <f>BD81+PROD!L82-BA82</f>
        <v>0</v>
      </c>
      <c r="BE82" s="2132">
        <f>IF(SUM(AM82:AZ88)&gt;0,(SUM(AM82:AM88)*$AM$2+SUM(AN82:AN88)*$AN$2+SUM(AO82:AO88)*$AO$2+SUM(AP82:AP88)*$AP$2+SUM(AQ82:AQ88)*$AQ$2+SUM(AR82:AR88)*$AR$2+SUM(AS82:AS88)*$AS$2+SUM(AW82:AW88)*$AW$2+SUM(AX82:AX88)*$AX$2+SUM(AY82:AY88)*$AY$2+SUM(AZ82:AZ88)*$AZ$2+SUM(AT82:AT88)*$AT$2+SUM(AU82:AU88)*$AU$2+SUM(AV82:AV88)*$AV$2)/SUM(AM82:AZ88),0)</f>
        <v>0</v>
      </c>
      <c r="BF82" s="507" t="e">
        <f t="shared" si="42"/>
        <v>#VALUE!</v>
      </c>
      <c r="BG82" s="277">
        <f>IF(SUM(L82:L88)&gt;0,A82,IF(SUM(V82:V88)&gt;0,A82,BG75))</f>
        <v>0</v>
      </c>
      <c r="BH82" s="1018">
        <f t="shared" si="43"/>
        <v>0</v>
      </c>
    </row>
    <row r="83" spans="1:60" ht="15" customHeight="1" x14ac:dyDescent="0.3">
      <c r="A83" s="2033"/>
      <c r="B83" s="287" t="str">
        <f t="shared" si="44"/>
        <v/>
      </c>
      <c r="C83" s="288" t="str">
        <f t="shared" si="39"/>
        <v/>
      </c>
      <c r="D83" s="691"/>
      <c r="E83" s="692"/>
      <c r="F83" s="693"/>
      <c r="G83" s="694"/>
      <c r="H83" s="695"/>
      <c r="I83" s="289">
        <f>I82-SUM($D83:F83)</f>
        <v>0</v>
      </c>
      <c r="J83" s="1234" t="str">
        <f>$J$6</f>
        <v>% Sel Sem :</v>
      </c>
      <c r="K83" s="1231">
        <f>IF(PROD!$K$2&gt;0,SUM(E82:E88)/PROD!$K$2,0)</f>
        <v>0</v>
      </c>
      <c r="L83" s="1246"/>
      <c r="M83" s="291">
        <f t="shared" si="52"/>
        <v>0</v>
      </c>
      <c r="N83" s="292" t="str">
        <f>$N$6</f>
        <v xml:space="preserve">H. Ave Alojada : </v>
      </c>
      <c r="O83" s="293">
        <f>IF(AND(PROD!$K$2&gt;0,O82&gt;0),SUM(L$5:L88)/PROD!$K$2,0)</f>
        <v>0</v>
      </c>
      <c r="P83" s="293">
        <f>IFERROR(LOOKUP($A82,TP!$A$6:$A$108,GSh!$AJ$6:$AJ$108),0)</f>
        <v>0</v>
      </c>
      <c r="Q83" s="294">
        <f>IF(AND(P83&gt;0,O83&gt;0),O83-P83,0)</f>
        <v>0</v>
      </c>
      <c r="R83" s="699"/>
      <c r="S83" s="762"/>
      <c r="T83" s="765">
        <f t="shared" si="50"/>
        <v>0</v>
      </c>
      <c r="U83" s="700"/>
      <c r="V83" s="701"/>
      <c r="W83" s="701"/>
      <c r="X83" s="295">
        <f t="shared" si="45"/>
        <v>0</v>
      </c>
      <c r="Y83" s="296">
        <f>IF(AA83&gt;0,V83,AE82/IF(Iniciar!$C$25="B X 40 K",40,IF(Iniciar!$C$25="B X 50 K",50,1))*I83/1000)</f>
        <v>0</v>
      </c>
      <c r="Z83" s="296">
        <f t="shared" si="46"/>
        <v>0</v>
      </c>
      <c r="AA83" s="297">
        <f t="shared" si="53"/>
        <v>0</v>
      </c>
      <c r="AB83" s="297">
        <f t="shared" si="40"/>
        <v>0</v>
      </c>
      <c r="AC83" s="1267" t="str">
        <f>$AC$6</f>
        <v>Gr. Ave Sem :</v>
      </c>
      <c r="AD83" s="284">
        <f>AD82*7</f>
        <v>0</v>
      </c>
      <c r="AE83" s="284">
        <f>AE82*7</f>
        <v>0</v>
      </c>
      <c r="AF83" s="285">
        <f>IF(AND(AE83&gt;0,AD83&gt;0),(AD83/AE83-1)*100,0)</f>
        <v>0</v>
      </c>
      <c r="AG83" s="1199" t="str">
        <f>PROD!$AG$6</f>
        <v>Gr X H Acm</v>
      </c>
      <c r="AH83" s="298">
        <f>IF(SUM(PROD!L82:L88)&gt;0,IF(PROD!$AG$5="Gr X H",SUM(PROD!V$5:V88)*PROD!$A$1/SUM(PROD!L$5:L88),IF($AG82="Conv Kg/Doc",(SUM(PROD!V$5:V88)*PROD!$A$1/1000)/(SUM(PROD!L$5:L88)/12),IF(PROD!$O84&gt;0,SUM(PROD!V$5:V88)*PROD!$A$1/(SUM(PROD!L$5:L88)*LOOKUP(PROD!A82,TP!$A$6:$A$108,GSh!$BB$6:$BB$108)),0))),0)</f>
        <v>0</v>
      </c>
      <c r="AI83" s="298">
        <f>IF(PROD!P82&gt;0,IF($AG82="Gr X H",PROD!AE82/PROD!P82*100,IF($AG82="Conv Kg/Doc",PROD!AE82/PROD!P82*1.2,IF(PROD!$P83&gt;0,PROD!AE84/(PROD!P83*LOOKUP(PROD!$A82,TP!$A$6:$A$108,GSh!$BC$6:$BC$108)/1000),0))),0)</f>
        <v>0</v>
      </c>
      <c r="AJ83" s="328">
        <f t="shared" si="51"/>
        <v>0</v>
      </c>
      <c r="AK83" s="2027"/>
      <c r="AL83" s="1284">
        <f t="shared" si="41"/>
        <v>0</v>
      </c>
      <c r="AM83" s="1285"/>
      <c r="AN83" s="1285"/>
      <c r="AO83" s="1285"/>
      <c r="AP83" s="1285"/>
      <c r="AQ83" s="1285"/>
      <c r="AR83" s="1285"/>
      <c r="AS83" s="1286"/>
      <c r="AT83" s="1287"/>
      <c r="AU83" s="1288"/>
      <c r="AV83" s="1289"/>
      <c r="AW83" s="1290"/>
      <c r="AX83" s="1291"/>
      <c r="AY83" s="1291"/>
      <c r="AZ83" s="1292"/>
      <c r="BA83" s="1293"/>
      <c r="BB83" s="1294"/>
      <c r="BC83" s="1295"/>
      <c r="BD83" s="1296">
        <f>BD82+PROD!L83-BA83</f>
        <v>0</v>
      </c>
      <c r="BE83" s="2133"/>
      <c r="BF83" s="507" t="e">
        <f t="shared" si="42"/>
        <v>#VALUE!</v>
      </c>
      <c r="BG83" s="329"/>
      <c r="BH83" s="1018">
        <f t="shared" si="43"/>
        <v>0</v>
      </c>
    </row>
    <row r="84" spans="1:60" ht="15" customHeight="1" x14ac:dyDescent="0.3">
      <c r="A84" s="2033"/>
      <c r="B84" s="287" t="str">
        <f t="shared" si="44"/>
        <v/>
      </c>
      <c r="C84" s="288" t="str">
        <f t="shared" si="39"/>
        <v/>
      </c>
      <c r="D84" s="691"/>
      <c r="E84" s="692"/>
      <c r="F84" s="693"/>
      <c r="G84" s="694"/>
      <c r="H84" s="695"/>
      <c r="I84" s="289">
        <f>I83-SUM($D84:F84)</f>
        <v>0</v>
      </c>
      <c r="J84" s="1235" t="str">
        <f>$J$7</f>
        <v>% Mort/Sel Sem Tab :</v>
      </c>
      <c r="K84" s="1236">
        <f>K87-K80</f>
        <v>0</v>
      </c>
      <c r="L84" s="1246"/>
      <c r="M84" s="291">
        <f t="shared" si="52"/>
        <v>0</v>
      </c>
      <c r="N84" s="304" t="str">
        <f>$N$7</f>
        <v xml:space="preserve">Peso Huevo (Gr) : </v>
      </c>
      <c r="O84" s="305">
        <f>LOOKUP($A82,'Pr-Sem'!$A$6:$A$108,'Pr-Sem'!$Z$6:$Z$108)</f>
        <v>0</v>
      </c>
      <c r="P84" s="305">
        <f>IFERROR(LOOKUP($A82,TP!$A$6:$A$108,GSh!$AZ$6:$AZ$108),0)</f>
        <v>0</v>
      </c>
      <c r="Q84" s="306">
        <f>IF(AND(P84&gt;0,O84&gt;0),O84-P84,0)</f>
        <v>0</v>
      </c>
      <c r="R84" s="699"/>
      <c r="S84" s="762"/>
      <c r="T84" s="765">
        <f t="shared" si="50"/>
        <v>0</v>
      </c>
      <c r="U84" s="700"/>
      <c r="V84" s="701"/>
      <c r="W84" s="701"/>
      <c r="X84" s="295">
        <f t="shared" si="45"/>
        <v>0</v>
      </c>
      <c r="Y84" s="296">
        <f>IF(AA84&gt;0,V84,AE82/IF(Iniciar!$C$25="B X 40 K",40,IF(Iniciar!$C$25="B X 50 K",50,1))*I84/1000)</f>
        <v>0</v>
      </c>
      <c r="Z84" s="296">
        <f t="shared" si="46"/>
        <v>0</v>
      </c>
      <c r="AA84" s="297">
        <f t="shared" si="53"/>
        <v>0</v>
      </c>
      <c r="AB84" s="297">
        <f t="shared" si="40"/>
        <v>0</v>
      </c>
      <c r="AC84" s="1268" t="str">
        <f>$AC$7</f>
        <v>Kg Ave Acu :</v>
      </c>
      <c r="AD84" s="308">
        <f>IF(OR(SUM(L82:L88)&gt;0,SUM(V82:V88)&gt;0),AD83/1000+AD77,0)</f>
        <v>0</v>
      </c>
      <c r="AE84" s="309">
        <f>AE83/1000+AE77</f>
        <v>0</v>
      </c>
      <c r="AF84" s="310">
        <f>IF(AND(AE84&gt;0,AD84&gt;0),(AD84/AE84-1)*100,0)</f>
        <v>0</v>
      </c>
      <c r="AG84" s="311" t="str">
        <f>PROD!$AG$7</f>
        <v xml:space="preserve">Masa Sem H (Gr) : </v>
      </c>
      <c r="AH84" s="312">
        <f>PROD!O82/100*7*PROD!O84</f>
        <v>0</v>
      </c>
      <c r="AI84" s="312">
        <f>PROD!P82/100*7*PROD!P84</f>
        <v>0</v>
      </c>
      <c r="AJ84" s="313">
        <f t="shared" si="51"/>
        <v>0</v>
      </c>
      <c r="AK84" s="2027"/>
      <c r="AL84" s="1284">
        <f t="shared" si="41"/>
        <v>0</v>
      </c>
      <c r="AM84" s="1285"/>
      <c r="AN84" s="1285"/>
      <c r="AO84" s="1285"/>
      <c r="AP84" s="1285"/>
      <c r="AQ84" s="1285"/>
      <c r="AR84" s="1285"/>
      <c r="AS84" s="1286"/>
      <c r="AT84" s="1287"/>
      <c r="AU84" s="1288"/>
      <c r="AV84" s="1289"/>
      <c r="AW84" s="1290"/>
      <c r="AX84" s="1291"/>
      <c r="AY84" s="1291"/>
      <c r="AZ84" s="1292"/>
      <c r="BA84" s="1293"/>
      <c r="BB84" s="1294"/>
      <c r="BC84" s="1295"/>
      <c r="BD84" s="1296">
        <f>BD83+PROD!L84-BA84</f>
        <v>0</v>
      </c>
      <c r="BE84" s="2133"/>
      <c r="BF84" s="507" t="e">
        <f t="shared" si="42"/>
        <v>#VALUE!</v>
      </c>
      <c r="BG84" s="329"/>
      <c r="BH84" s="1018">
        <f t="shared" si="43"/>
        <v>0</v>
      </c>
    </row>
    <row r="85" spans="1:60" ht="15" customHeight="1" x14ac:dyDescent="0.3">
      <c r="A85" s="2033"/>
      <c r="B85" s="287" t="str">
        <f t="shared" si="44"/>
        <v/>
      </c>
      <c r="C85" s="288" t="str">
        <f t="shared" si="39"/>
        <v/>
      </c>
      <c r="D85" s="691"/>
      <c r="E85" s="692"/>
      <c r="F85" s="693"/>
      <c r="G85" s="694"/>
      <c r="H85" s="695"/>
      <c r="I85" s="289">
        <f>I84-SUM($D85:F85)</f>
        <v>0</v>
      </c>
      <c r="J85" s="1234" t="str">
        <f>$J$8</f>
        <v>% Mort Acm :</v>
      </c>
      <c r="K85" s="1231">
        <f>IF(PROD!$K$2&gt;0,SUM(D$5:D88)/PROD!$K$2,0)</f>
        <v>0</v>
      </c>
      <c r="L85" s="1246"/>
      <c r="M85" s="291">
        <f t="shared" si="52"/>
        <v>0</v>
      </c>
      <c r="N85" s="314" t="str">
        <f>N$8</f>
        <v xml:space="preserve">Peso Ave (Gr) : </v>
      </c>
      <c r="O85" s="315">
        <f>LOOKUP($A82,GSh!$BV$6:$BV$108,GSh!$BJ$6:$BJ$108)</f>
        <v>0</v>
      </c>
      <c r="P85" s="315">
        <f>IFERROR(LOOKUP($A82,TP!$A$6:$A$108,GSh!$BK$6:$BK$108),0)</f>
        <v>0</v>
      </c>
      <c r="Q85" s="316">
        <f>IF(AND(P85&gt;0,O85&gt;0),(O85/P85-1)*100,0)</f>
        <v>0</v>
      </c>
      <c r="R85" s="699"/>
      <c r="S85" s="762"/>
      <c r="T85" s="765">
        <f t="shared" si="50"/>
        <v>0</v>
      </c>
      <c r="U85" s="700"/>
      <c r="V85" s="701"/>
      <c r="W85" s="701"/>
      <c r="X85" s="295">
        <f t="shared" si="45"/>
        <v>0</v>
      </c>
      <c r="Y85" s="296">
        <f>IF(AA85&gt;0,V85,AE82/IF(Iniciar!$C$25="B X 40 K",40,IF(Iniciar!$C$25="B X 50 K",50,1))*I85/1000)</f>
        <v>0</v>
      </c>
      <c r="Z85" s="296">
        <f t="shared" si="46"/>
        <v>0</v>
      </c>
      <c r="AA85" s="297">
        <f t="shared" si="53"/>
        <v>0</v>
      </c>
      <c r="AB85" s="297">
        <f t="shared" si="40"/>
        <v>0</v>
      </c>
      <c r="AC85" s="541" t="str">
        <f>$AC$8</f>
        <v xml:space="preserve">Ton. Lote Acu : </v>
      </c>
      <c r="AD85" s="544">
        <f>SUM($V$5:$V88)*$A$1/1000000</f>
        <v>0</v>
      </c>
      <c r="AE85" s="543">
        <f>AE78+(AE82/1000000*7*(I82+I88)/2)</f>
        <v>0</v>
      </c>
      <c r="AF85" s="542">
        <f>IF(AND(AE85&gt;0,AD85&gt;0),(AD85/AE85-1)*100,0)</f>
        <v>0</v>
      </c>
      <c r="AG85" s="317" t="str">
        <f>PROD!$AG$8</f>
        <v xml:space="preserve">Masa Ac A. A (Kg) : </v>
      </c>
      <c r="AH85" s="318">
        <f>IF(PROD!$K$2&gt;0,SUM(PROD!L$5:L88)*LOOKUP(PROD!$A82,TP!$A$6:$A$108,GSh!$BB$6:$BB$108)/1000/PROD!$K$2,0)</f>
        <v>0</v>
      </c>
      <c r="AI85" s="318">
        <f>IFERROR(PROD!P83*LOOKUP(PROD!$A82,TP!$A$6:$A$108,GSh!$BC$6:$BC$108)/1000,0)</f>
        <v>0</v>
      </c>
      <c r="AJ85" s="330">
        <f t="shared" si="51"/>
        <v>0</v>
      </c>
      <c r="AK85" s="2027"/>
      <c r="AL85" s="1284">
        <f t="shared" si="41"/>
        <v>0</v>
      </c>
      <c r="AM85" s="1285"/>
      <c r="AN85" s="1285"/>
      <c r="AO85" s="1285"/>
      <c r="AP85" s="1285"/>
      <c r="AQ85" s="1285"/>
      <c r="AR85" s="1285"/>
      <c r="AS85" s="1286"/>
      <c r="AT85" s="1287"/>
      <c r="AU85" s="1288"/>
      <c r="AV85" s="1289"/>
      <c r="AW85" s="1290"/>
      <c r="AX85" s="1291"/>
      <c r="AY85" s="1291"/>
      <c r="AZ85" s="1292"/>
      <c r="BA85" s="1293"/>
      <c r="BB85" s="1294"/>
      <c r="BC85" s="1295"/>
      <c r="BD85" s="1296">
        <f>BD84+PROD!L85-BA85</f>
        <v>0</v>
      </c>
      <c r="BE85" s="2133"/>
      <c r="BF85" s="507" t="e">
        <f t="shared" si="42"/>
        <v>#VALUE!</v>
      </c>
      <c r="BG85" s="329"/>
      <c r="BH85" s="1018">
        <f t="shared" si="43"/>
        <v>0</v>
      </c>
    </row>
    <row r="86" spans="1:60" ht="15" customHeight="1" x14ac:dyDescent="0.3">
      <c r="A86" s="2033"/>
      <c r="B86" s="287" t="str">
        <f t="shared" si="44"/>
        <v/>
      </c>
      <c r="C86" s="288" t="str">
        <f t="shared" si="39"/>
        <v/>
      </c>
      <c r="D86" s="691"/>
      <c r="E86" s="692"/>
      <c r="F86" s="693"/>
      <c r="G86" s="694"/>
      <c r="H86" s="695"/>
      <c r="I86" s="289">
        <f>I85-SUM($D86:F86)</f>
        <v>0</v>
      </c>
      <c r="J86" s="1234" t="str">
        <f>$J$9</f>
        <v>% Sel Acm :</v>
      </c>
      <c r="K86" s="1231">
        <f>IF(PROD!$K$2&gt;0,SUM(E$5:E88)/PROD!$K$2,0)</f>
        <v>0</v>
      </c>
      <c r="L86" s="1246"/>
      <c r="M86" s="291">
        <f t="shared" si="52"/>
        <v>0</v>
      </c>
      <c r="N86" s="292" t="str">
        <f>$N$9</f>
        <v xml:space="preserve">Uniformidad (10% -) : </v>
      </c>
      <c r="O86" s="320">
        <f>LOOKUP($A82,'Pr-Sem'!$A$6:$A$108,'Pr-Sem'!$AH$6:$AH$108)</f>
        <v>0</v>
      </c>
      <c r="P86" s="320">
        <v>5</v>
      </c>
      <c r="Q86" s="321">
        <f>IF(AND(P86&gt;0,O86&gt;0),(1-O86/P86)*100,0)</f>
        <v>0</v>
      </c>
      <c r="R86" s="699"/>
      <c r="S86" s="762"/>
      <c r="T86" s="765">
        <f t="shared" si="50"/>
        <v>0</v>
      </c>
      <c r="U86" s="700"/>
      <c r="V86" s="701"/>
      <c r="W86" s="701"/>
      <c r="X86" s="295">
        <f t="shared" si="45"/>
        <v>0</v>
      </c>
      <c r="Y86" s="296">
        <f>IF(AA86&gt;0,V86,AE82/IF(Iniciar!$C$25="B X 40 K",40,IF(Iniciar!$C$25="B X 50 K",50,1))*I86/1000)</f>
        <v>0</v>
      </c>
      <c r="Z86" s="296">
        <f t="shared" si="46"/>
        <v>0</v>
      </c>
      <c r="AA86" s="297">
        <f t="shared" si="53"/>
        <v>0</v>
      </c>
      <c r="AB86" s="297">
        <f t="shared" si="40"/>
        <v>0</v>
      </c>
      <c r="AC86" s="2035" t="str">
        <f>$AC$9</f>
        <v xml:space="preserve">Total Litros Sem: </v>
      </c>
      <c r="AD86" s="2036"/>
      <c r="AE86" s="2050">
        <f>SUM(R82:R88)</f>
        <v>0</v>
      </c>
      <c r="AF86" s="2051"/>
      <c r="AG86" s="554" t="str">
        <f>$AG$9</f>
        <v xml:space="preserve">Indicador Eficiencia : </v>
      </c>
      <c r="AH86" s="555">
        <f>IF(AND(AE86&gt;0,O83&gt;0,O84&gt;0,SUM(L82:L88)&gt;0),(PROD!AH85/O83)*K88*100/(AE86/(SUM(L82:L88)*O84/1000)),0)</f>
        <v>0</v>
      </c>
      <c r="AI86" s="555">
        <f>IF(AND(P83&gt;0,PROD!AI84&gt;0),(PROD!AI85/P83)*(1-K87)*100/(AE83/PROD!AI84),0)</f>
        <v>0</v>
      </c>
      <c r="AJ86" s="331">
        <f t="shared" si="51"/>
        <v>0</v>
      </c>
      <c r="AK86" s="2027"/>
      <c r="AL86" s="1284">
        <f t="shared" si="41"/>
        <v>0</v>
      </c>
      <c r="AM86" s="1285"/>
      <c r="AN86" s="1285"/>
      <c r="AO86" s="1285"/>
      <c r="AP86" s="1285"/>
      <c r="AQ86" s="1285"/>
      <c r="AR86" s="1285"/>
      <c r="AS86" s="1286"/>
      <c r="AT86" s="1287"/>
      <c r="AU86" s="1288"/>
      <c r="AV86" s="1289"/>
      <c r="AW86" s="1290"/>
      <c r="AX86" s="1291"/>
      <c r="AY86" s="1291"/>
      <c r="AZ86" s="1292"/>
      <c r="BA86" s="1293"/>
      <c r="BB86" s="1294"/>
      <c r="BC86" s="1295"/>
      <c r="BD86" s="1296">
        <f>BD85+PROD!L86-BA86</f>
        <v>0</v>
      </c>
      <c r="BE86" s="2133"/>
      <c r="BF86" s="507" t="e">
        <f t="shared" si="42"/>
        <v>#VALUE!</v>
      </c>
      <c r="BG86" s="329"/>
      <c r="BH86" s="1018">
        <f t="shared" si="43"/>
        <v>0</v>
      </c>
    </row>
    <row r="87" spans="1:60" ht="15" customHeight="1" x14ac:dyDescent="0.3">
      <c r="A87" s="2033"/>
      <c r="B87" s="287" t="str">
        <f t="shared" si="44"/>
        <v/>
      </c>
      <c r="C87" s="288" t="str">
        <f t="shared" si="39"/>
        <v/>
      </c>
      <c r="D87" s="691"/>
      <c r="E87" s="692"/>
      <c r="F87" s="693"/>
      <c r="G87" s="694"/>
      <c r="H87" s="695"/>
      <c r="I87" s="289">
        <f>I86-SUM($D87:F87)</f>
        <v>0</v>
      </c>
      <c r="J87" s="1237" t="str">
        <f>$J$10</f>
        <v>% Mort/Sel Acm Tab :</v>
      </c>
      <c r="K87" s="1238">
        <f>IFERROR(LOOKUP($A82,TP!$A$6:$A$108,GSh!$AR$6:$AR$108)/100,0)</f>
        <v>0</v>
      </c>
      <c r="L87" s="1246"/>
      <c r="M87" s="291">
        <f t="shared" si="52"/>
        <v>0</v>
      </c>
      <c r="N87" s="292" t="str">
        <f>$N$10</f>
        <v xml:space="preserve">Uniformidad (C. Lote) : </v>
      </c>
      <c r="O87" s="320">
        <f>LOOKUP($A82,'Pr-Sem'!$A$6:$A$108,'Pr-Sem'!$AG$6:$AG$108)</f>
        <v>0</v>
      </c>
      <c r="P87" s="320">
        <v>90</v>
      </c>
      <c r="Q87" s="321">
        <f>IF(AND(P87&gt;0,O87&gt;0),(O87/P87-1)*100,0)</f>
        <v>0</v>
      </c>
      <c r="R87" s="699"/>
      <c r="S87" s="762"/>
      <c r="T87" s="765">
        <f t="shared" si="50"/>
        <v>0</v>
      </c>
      <c r="U87" s="700"/>
      <c r="V87" s="701"/>
      <c r="W87" s="701"/>
      <c r="X87" s="295">
        <f t="shared" si="45"/>
        <v>0</v>
      </c>
      <c r="Y87" s="296">
        <f>IF(AA87&gt;0,V87,AE82/IF(Iniciar!$C$25="B X 40 K",40,IF(Iniciar!$C$25="B X 50 K",50,1))*I87/1000)</f>
        <v>0</v>
      </c>
      <c r="Z87" s="296">
        <f t="shared" si="46"/>
        <v>0</v>
      </c>
      <c r="AA87" s="297">
        <f t="shared" si="53"/>
        <v>0</v>
      </c>
      <c r="AB87" s="297">
        <f t="shared" si="40"/>
        <v>0</v>
      </c>
      <c r="AC87" s="2037" t="str">
        <f>$AC$10</f>
        <v xml:space="preserve">Cons ml /ave día: </v>
      </c>
      <c r="AD87" s="2038"/>
      <c r="AE87" s="2056">
        <f>IFERROR(SUMPRODUCT(AB82:AB88,I82:I88)/SUM(I82:I88),0)</f>
        <v>0</v>
      </c>
      <c r="AF87" s="2057"/>
      <c r="AG87" s="311" t="str">
        <f>CONCATENATE("Costo ",Iniciar!$C$25," : ")</f>
        <v xml:space="preserve">Costo Kilos : </v>
      </c>
      <c r="AH87" s="2043">
        <f>IFERROR(SUMPRODUCT(T82:T88,V82:V88)/SUMIF(T82:T88,"&gt;0",V82:V88),0)</f>
        <v>0</v>
      </c>
      <c r="AI87" s="2043"/>
      <c r="AJ87" s="313"/>
      <c r="AK87" s="2027"/>
      <c r="AL87" s="1284">
        <f t="shared" si="41"/>
        <v>0</v>
      </c>
      <c r="AM87" s="1285"/>
      <c r="AN87" s="1285"/>
      <c r="AO87" s="1285"/>
      <c r="AP87" s="1285"/>
      <c r="AQ87" s="1285"/>
      <c r="AR87" s="1285"/>
      <c r="AS87" s="1286"/>
      <c r="AT87" s="1287"/>
      <c r="AU87" s="1288"/>
      <c r="AV87" s="1289"/>
      <c r="AW87" s="1290"/>
      <c r="AX87" s="1291"/>
      <c r="AY87" s="1291"/>
      <c r="AZ87" s="1292"/>
      <c r="BA87" s="1293"/>
      <c r="BB87" s="1294"/>
      <c r="BC87" s="1295"/>
      <c r="BD87" s="1296">
        <f>BD86+PROD!L87-BA87</f>
        <v>0</v>
      </c>
      <c r="BE87" s="2133"/>
      <c r="BF87" s="507" t="e">
        <f t="shared" si="42"/>
        <v>#VALUE!</v>
      </c>
      <c r="BG87" s="329"/>
      <c r="BH87" s="1018">
        <f t="shared" si="43"/>
        <v>0</v>
      </c>
    </row>
    <row r="88" spans="1:60" ht="15" customHeight="1" x14ac:dyDescent="0.3">
      <c r="A88" s="2034"/>
      <c r="B88" s="287" t="str">
        <f t="shared" si="44"/>
        <v/>
      </c>
      <c r="C88" s="288" t="str">
        <f t="shared" si="39"/>
        <v/>
      </c>
      <c r="D88" s="691"/>
      <c r="E88" s="692"/>
      <c r="F88" s="693"/>
      <c r="G88" s="694"/>
      <c r="H88" s="695"/>
      <c r="I88" s="289">
        <f>I87-SUM($D88:F88)</f>
        <v>0</v>
      </c>
      <c r="J88" s="1239" t="str">
        <f>$J$11</f>
        <v>% Viabilidad :</v>
      </c>
      <c r="K88" s="1240">
        <f>IF(OR(SUM(L82:L88)&gt;0,SUM(V82:V88)&gt;0),1-(K85+K86),0)</f>
        <v>0</v>
      </c>
      <c r="L88" s="1247"/>
      <c r="M88" s="1248">
        <f>IF(I88&gt;0,(L88/IF(SUM(L82:L87)&gt;0,1,7))/I88,0)</f>
        <v>0</v>
      </c>
      <c r="N88" s="1249" t="str">
        <f>$N$11</f>
        <v xml:space="preserve">Uniformidad (10% +) : </v>
      </c>
      <c r="O88" s="1250">
        <f>IF(O86&gt;0,IF(O87&gt;0,100-SUM(O86:O87),0),0)</f>
        <v>0</v>
      </c>
      <c r="P88" s="1251">
        <f>100-SUM(P86:P87)</f>
        <v>5</v>
      </c>
      <c r="Q88" s="1252">
        <f>IF(AND(P88&gt;0,O88&gt;0),(O88/P88-1)*100,0)</f>
        <v>0</v>
      </c>
      <c r="R88" s="699"/>
      <c r="S88" s="762"/>
      <c r="T88" s="765">
        <f t="shared" si="50"/>
        <v>0</v>
      </c>
      <c r="U88" s="700"/>
      <c r="V88" s="701"/>
      <c r="W88" s="701"/>
      <c r="X88" s="295">
        <f t="shared" si="45"/>
        <v>0</v>
      </c>
      <c r="Y88" s="296">
        <f>IF(AA88&gt;0,V88,AE82/IF(Iniciar!$C$25="B X 40 K",40,IF(Iniciar!$C$25="B X 50 K",50,1))*I88/1000)</f>
        <v>0</v>
      </c>
      <c r="Z88" s="296">
        <f t="shared" si="46"/>
        <v>0</v>
      </c>
      <c r="AA88" s="297">
        <f>IF(I88&gt;0,(V88/IF(SUM(V82:V87)&gt;0,1,7))*$A$1/I88,0)</f>
        <v>0</v>
      </c>
      <c r="AB88" s="297">
        <f t="shared" si="40"/>
        <v>0</v>
      </c>
      <c r="AC88" s="2039" t="str">
        <f>$AC$11</f>
        <v xml:space="preserve">Relación Agua /Alimto: </v>
      </c>
      <c r="AD88" s="2040"/>
      <c r="AE88" s="2058">
        <f>IFERROR(AE87/AD82,0)</f>
        <v>0</v>
      </c>
      <c r="AF88" s="2059"/>
      <c r="AG88" s="1269" t="s">
        <v>237</v>
      </c>
      <c r="AH88" s="1270">
        <f>IF(SUM(L82:L88)&gt;0,AH87*SUM(V82:V88)/SUM(L82:L88),0)</f>
        <v>0</v>
      </c>
      <c r="AI88" s="1270">
        <f>IF(AND($A$1&gt;0,P82&gt;0),AH87/$A$1*(AE82/P82)*100,0)</f>
        <v>0</v>
      </c>
      <c r="AJ88" s="1271">
        <f t="shared" ref="AJ88:AJ93" si="54">IF(AND(AI88&gt;0,AH88&gt;0),(AH88/AI88-1)*100,0)</f>
        <v>0</v>
      </c>
      <c r="AK88" s="2028"/>
      <c r="AL88" s="1284">
        <f t="shared" si="41"/>
        <v>0</v>
      </c>
      <c r="AM88" s="1285"/>
      <c r="AN88" s="1285"/>
      <c r="AO88" s="1285"/>
      <c r="AP88" s="1285"/>
      <c r="AQ88" s="1285"/>
      <c r="AR88" s="1285"/>
      <c r="AS88" s="1286"/>
      <c r="AT88" s="1287"/>
      <c r="AU88" s="1288"/>
      <c r="AV88" s="1289"/>
      <c r="AW88" s="1290"/>
      <c r="AX88" s="1291"/>
      <c r="AY88" s="1291"/>
      <c r="AZ88" s="1292"/>
      <c r="BA88" s="1293"/>
      <c r="BB88" s="1294"/>
      <c r="BC88" s="1295"/>
      <c r="BD88" s="1296">
        <f>BD87+PROD!L88-BA88</f>
        <v>0</v>
      </c>
      <c r="BE88" s="2134"/>
      <c r="BF88" s="507" t="e">
        <f t="shared" si="42"/>
        <v>#VALUE!</v>
      </c>
      <c r="BG88" s="329"/>
      <c r="BH88" s="1018">
        <f t="shared" si="43"/>
        <v>0</v>
      </c>
    </row>
    <row r="89" spans="1:60" ht="15" customHeight="1" x14ac:dyDescent="0.3">
      <c r="A89" s="2032">
        <f>A82+1</f>
        <v>30</v>
      </c>
      <c r="B89" s="287" t="str">
        <f t="shared" si="44"/>
        <v/>
      </c>
      <c r="C89" s="288" t="str">
        <f t="shared" si="39"/>
        <v/>
      </c>
      <c r="D89" s="691"/>
      <c r="E89" s="692"/>
      <c r="F89" s="693"/>
      <c r="G89" s="694"/>
      <c r="H89" s="695"/>
      <c r="I89" s="289">
        <f>I88-SUM($D89:F89)</f>
        <v>0</v>
      </c>
      <c r="J89" s="1232" t="str">
        <f>$J$5</f>
        <v>% Mort Sem :</v>
      </c>
      <c r="K89" s="1233">
        <f>IF(PROD!$K$2&gt;0,SUM(D89:D95)/PROD!$K$2,0)</f>
        <v>0</v>
      </c>
      <c r="L89" s="1241"/>
      <c r="M89" s="1242">
        <f t="shared" ref="M89:M94" si="55">IF(I89&gt;0,L89/I89,0)</f>
        <v>0</v>
      </c>
      <c r="N89" s="1243" t="str">
        <f>$N$5</f>
        <v xml:space="preserve">% Pdn prom semana : </v>
      </c>
      <c r="O89" s="1244">
        <f>IF(SUM(L89:L94)&gt;0,100*SUMPRODUCT(M89:M95,I89:I95)/SUMIF(L89:L95,"&gt;0",I89:I95),IF(L95&gt;0,100*L95/7/I95,0))</f>
        <v>0</v>
      </c>
      <c r="P89" s="1244">
        <f>IFERROR(LOOKUP($A89,TP!$A$6:$A$108,GSh!$AE$6:$AE$108),0)</f>
        <v>0</v>
      </c>
      <c r="Q89" s="1245">
        <f>IF(AND(P89&gt;0,O89&gt;0),O89-P89,0)</f>
        <v>0</v>
      </c>
      <c r="R89" s="699"/>
      <c r="S89" s="762"/>
      <c r="T89" s="765">
        <f t="shared" si="50"/>
        <v>0</v>
      </c>
      <c r="U89" s="700"/>
      <c r="V89" s="701"/>
      <c r="W89" s="701"/>
      <c r="X89" s="295">
        <f t="shared" si="45"/>
        <v>0</v>
      </c>
      <c r="Y89" s="296">
        <f>IF(AA89&gt;0,V89,AE89/IF(Iniciar!$C$25="B X 40 K",40,IF(Iniciar!$C$25="B X 50 K",50,1))*I89/1000)</f>
        <v>0</v>
      </c>
      <c r="Z89" s="296">
        <f t="shared" si="46"/>
        <v>0</v>
      </c>
      <c r="AA89" s="297">
        <f t="shared" ref="AA89:AA94" si="56">IF(I89&gt;0,V89*$A$1/I89,0)</f>
        <v>0</v>
      </c>
      <c r="AB89" s="297">
        <f t="shared" si="40"/>
        <v>0</v>
      </c>
      <c r="AC89" s="1261" t="str">
        <f>$AC$5</f>
        <v>Gr. Ave Dia :</v>
      </c>
      <c r="AD89" s="1262">
        <f>IF(SUMIF(V89:V95,"&gt;0")&gt;0,SUMPRODUCT(AA89:AA95,I89:I95)/SUMIF(AA89:AA95,"&gt;0",I89:I95),0)</f>
        <v>0</v>
      </c>
      <c r="AE89" s="1262">
        <f>IFERROR(LOOKUP($A89,TP!$A$6:$A$108,GSh!$AU$6:$AU$108),0)</f>
        <v>0</v>
      </c>
      <c r="AF89" s="1263">
        <f>IF(AND(AE89&gt;0,AD89&gt;0),(AD89/AE89-1)*100,0)</f>
        <v>0</v>
      </c>
      <c r="AG89" s="1264" t="str">
        <f>PROD!$AG$5</f>
        <v>Gr X H</v>
      </c>
      <c r="AH89" s="1265">
        <f>IF(PROD!O89&gt;0,IF($AG89="Gr X H",PROD!AD89/PROD!O89*100,IF($AG89="Conv Kg/Doc",PROD!AD89/PROD!O89*1.2,IF(PROD!$O91&gt;0,PROD!AD89/(PROD!O89*PROD!$O91)*100,0))),0)</f>
        <v>0</v>
      </c>
      <c r="AI89" s="1265">
        <f>IF(PROD!P89&gt;0,IF($AG89="Gr X H",PROD!AE89/PROD!P89*100,IF($AG89="Conv Kg/Doc",PROD!AE89/PROD!P89*1.2,IF(PROD!$P91&gt;0,PROD!AE89/(PROD!P89*PROD!$P91)*100,0))),0)</f>
        <v>0</v>
      </c>
      <c r="AJ89" s="1266">
        <f t="shared" si="54"/>
        <v>0</v>
      </c>
      <c r="AK89" s="2026"/>
      <c r="AL89" s="1284">
        <f t="shared" si="41"/>
        <v>0</v>
      </c>
      <c r="AM89" s="1285"/>
      <c r="AN89" s="1285"/>
      <c r="AO89" s="1285"/>
      <c r="AP89" s="1285"/>
      <c r="AQ89" s="1285"/>
      <c r="AR89" s="1285"/>
      <c r="AS89" s="1286"/>
      <c r="AT89" s="1287"/>
      <c r="AU89" s="1288"/>
      <c r="AV89" s="1289"/>
      <c r="AW89" s="1290"/>
      <c r="AX89" s="1291"/>
      <c r="AY89" s="1291"/>
      <c r="AZ89" s="1292"/>
      <c r="BA89" s="1293"/>
      <c r="BB89" s="1294"/>
      <c r="BC89" s="1295"/>
      <c r="BD89" s="1296">
        <f>BD88+PROD!L89-BA89</f>
        <v>0</v>
      </c>
      <c r="BE89" s="2132">
        <f>IF(SUM(AM89:AZ95)&gt;0,(SUM(AM89:AM95)*$AM$2+SUM(AN89:AN95)*$AN$2+SUM(AO89:AO95)*$AO$2+SUM(AP89:AP95)*$AP$2+SUM(AQ89:AQ95)*$AQ$2+SUM(AR89:AR95)*$AR$2+SUM(AS89:AS95)*$AS$2+SUM(AW89:AW95)*$AW$2+SUM(AX89:AX95)*$AX$2+SUM(AY89:AY95)*$AY$2+SUM(AZ89:AZ95)*$AZ$2+SUM(AT89:AT95)*$AT$2+SUM(AU89:AU95)*$AU$2+SUM(AV89:AV95)*$AV$2)/SUM(AM89:AZ95),0)</f>
        <v>0</v>
      </c>
      <c r="BF89" s="507" t="e">
        <f t="shared" si="42"/>
        <v>#VALUE!</v>
      </c>
      <c r="BG89" s="277">
        <f>IF(SUM(L89:L95)&gt;0,A89,IF(SUM(V89:V95)&gt;0,A89,BG82))</f>
        <v>0</v>
      </c>
      <c r="BH89" s="1018">
        <f t="shared" si="43"/>
        <v>0</v>
      </c>
    </row>
    <row r="90" spans="1:60" ht="15" customHeight="1" x14ac:dyDescent="0.3">
      <c r="A90" s="2033"/>
      <c r="B90" s="287" t="str">
        <f t="shared" si="44"/>
        <v/>
      </c>
      <c r="C90" s="288" t="str">
        <f t="shared" si="39"/>
        <v/>
      </c>
      <c r="D90" s="691"/>
      <c r="E90" s="692"/>
      <c r="F90" s="693"/>
      <c r="G90" s="694"/>
      <c r="H90" s="695"/>
      <c r="I90" s="289">
        <f>I89-SUM($D90:F90)</f>
        <v>0</v>
      </c>
      <c r="J90" s="1234" t="str">
        <f>$J$6</f>
        <v>% Sel Sem :</v>
      </c>
      <c r="K90" s="1231">
        <f>IF(PROD!$K$2&gt;0,SUM(E89:E95)/PROD!$K$2,0)</f>
        <v>0</v>
      </c>
      <c r="L90" s="1246"/>
      <c r="M90" s="291">
        <f t="shared" si="55"/>
        <v>0</v>
      </c>
      <c r="N90" s="292" t="str">
        <f>$N$6</f>
        <v xml:space="preserve">H. Ave Alojada : </v>
      </c>
      <c r="O90" s="293">
        <f>IF(AND(PROD!$K$2&gt;0,O89&gt;0),SUM(L$5:L95)/PROD!$K$2,0)</f>
        <v>0</v>
      </c>
      <c r="P90" s="293">
        <f>IFERROR(LOOKUP($A89,TP!$A$6:$A$108,GSh!$AJ$6:$AJ$108),0)</f>
        <v>0</v>
      </c>
      <c r="Q90" s="294">
        <f>IF(AND(P90&gt;0,O90&gt;0),O90-P90,0)</f>
        <v>0</v>
      </c>
      <c r="R90" s="699"/>
      <c r="S90" s="762"/>
      <c r="T90" s="765">
        <f t="shared" si="50"/>
        <v>0</v>
      </c>
      <c r="U90" s="700"/>
      <c r="V90" s="701"/>
      <c r="W90" s="701"/>
      <c r="X90" s="295">
        <f t="shared" si="45"/>
        <v>0</v>
      </c>
      <c r="Y90" s="296">
        <f>IF(AA90&gt;0,V90,AE89/IF(Iniciar!$C$25="B X 40 K",40,IF(Iniciar!$C$25="B X 50 K",50,1))*I90/1000)</f>
        <v>0</v>
      </c>
      <c r="Z90" s="296">
        <f t="shared" si="46"/>
        <v>0</v>
      </c>
      <c r="AA90" s="297">
        <f t="shared" si="56"/>
        <v>0</v>
      </c>
      <c r="AB90" s="297">
        <f t="shared" si="40"/>
        <v>0</v>
      </c>
      <c r="AC90" s="1267" t="str">
        <f>$AC$6</f>
        <v>Gr. Ave Sem :</v>
      </c>
      <c r="AD90" s="284">
        <f>AD89*7</f>
        <v>0</v>
      </c>
      <c r="AE90" s="284">
        <f>AE89*7</f>
        <v>0</v>
      </c>
      <c r="AF90" s="285">
        <f>IF(AND(AE90&gt;0,AD90&gt;0),(AD90/AE90-1)*100,0)</f>
        <v>0</v>
      </c>
      <c r="AG90" s="1199" t="str">
        <f>PROD!$AG$6</f>
        <v>Gr X H Acm</v>
      </c>
      <c r="AH90" s="298">
        <f>IF(SUM(PROD!L89:L95)&gt;0,IF(PROD!$AG$5="Gr X H",SUM(PROD!V$5:V95)*PROD!$A$1/SUM(PROD!L$5:L95),IF($AG89="Conv Kg/Doc",(SUM(PROD!V$5:V95)*PROD!$A$1/1000)/(SUM(PROD!L$5:L95)/12),IF(PROD!$O91&gt;0,SUM(PROD!V$5:V95)*PROD!$A$1/(SUM(PROD!L$5:L95)*LOOKUP(PROD!A89,TP!$A$6:$A$108,GSh!$BB$6:$BB$108)),0))),0)</f>
        <v>0</v>
      </c>
      <c r="AI90" s="298">
        <f>IF(PROD!P89&gt;0,IF($AG89="Gr X H",PROD!AE89/PROD!P89*100,IF($AG89="Conv Kg/Doc",PROD!AE89/PROD!P89*1.2,IF(PROD!$P90&gt;0,PROD!AE91/(PROD!P90*LOOKUP(PROD!$A89,TP!$A$6:$A$108,GSh!$BC$6:$BC$108)/1000),0))),0)</f>
        <v>0</v>
      </c>
      <c r="AJ90" s="328">
        <f t="shared" si="54"/>
        <v>0</v>
      </c>
      <c r="AK90" s="2027"/>
      <c r="AL90" s="1284">
        <f t="shared" si="41"/>
        <v>0</v>
      </c>
      <c r="AM90" s="1285"/>
      <c r="AN90" s="1285"/>
      <c r="AO90" s="1285"/>
      <c r="AP90" s="1285"/>
      <c r="AQ90" s="1285"/>
      <c r="AR90" s="1285"/>
      <c r="AS90" s="1286"/>
      <c r="AT90" s="1287"/>
      <c r="AU90" s="1288"/>
      <c r="AV90" s="1289"/>
      <c r="AW90" s="1290"/>
      <c r="AX90" s="1291"/>
      <c r="AY90" s="1291"/>
      <c r="AZ90" s="1292"/>
      <c r="BA90" s="1293"/>
      <c r="BB90" s="1294"/>
      <c r="BC90" s="1295"/>
      <c r="BD90" s="1296">
        <f>BD89+PROD!L90-BA90</f>
        <v>0</v>
      </c>
      <c r="BE90" s="2133"/>
      <c r="BF90" s="507" t="e">
        <f t="shared" si="42"/>
        <v>#VALUE!</v>
      </c>
      <c r="BG90" s="329"/>
      <c r="BH90" s="1018">
        <f t="shared" si="43"/>
        <v>0</v>
      </c>
    </row>
    <row r="91" spans="1:60" ht="15" customHeight="1" x14ac:dyDescent="0.3">
      <c r="A91" s="2033"/>
      <c r="B91" s="287" t="str">
        <f t="shared" si="44"/>
        <v/>
      </c>
      <c r="C91" s="288" t="str">
        <f t="shared" si="39"/>
        <v/>
      </c>
      <c r="D91" s="691"/>
      <c r="E91" s="692"/>
      <c r="F91" s="693"/>
      <c r="G91" s="694"/>
      <c r="H91" s="695"/>
      <c r="I91" s="289">
        <f>I90-SUM($D91:F91)</f>
        <v>0</v>
      </c>
      <c r="J91" s="1235" t="str">
        <f>$J$7</f>
        <v>% Mort/Sel Sem Tab :</v>
      </c>
      <c r="K91" s="1236">
        <f>K94-K87</f>
        <v>0</v>
      </c>
      <c r="L91" s="1246"/>
      <c r="M91" s="291">
        <f t="shared" si="55"/>
        <v>0</v>
      </c>
      <c r="N91" s="304" t="str">
        <f>$N$7</f>
        <v xml:space="preserve">Peso Huevo (Gr) : </v>
      </c>
      <c r="O91" s="305">
        <f>LOOKUP($A89,'Pr-Sem'!$A$6:$A$108,'Pr-Sem'!$Z$6:$Z$108)</f>
        <v>0</v>
      </c>
      <c r="P91" s="305">
        <f>IFERROR(LOOKUP($A89,TP!$A$6:$A$108,GSh!$AZ$6:$AZ$108),0)</f>
        <v>0</v>
      </c>
      <c r="Q91" s="306">
        <f>IF(AND(P91&gt;0,O91&gt;0),O91-P91,0)</f>
        <v>0</v>
      </c>
      <c r="R91" s="699"/>
      <c r="S91" s="762"/>
      <c r="T91" s="765">
        <f t="shared" si="50"/>
        <v>0</v>
      </c>
      <c r="U91" s="700"/>
      <c r="V91" s="701"/>
      <c r="W91" s="701"/>
      <c r="X91" s="295">
        <f t="shared" si="45"/>
        <v>0</v>
      </c>
      <c r="Y91" s="296">
        <f>IF(AA91&gt;0,V91,AE89/IF(Iniciar!$C$25="B X 40 K",40,IF(Iniciar!$C$25="B X 50 K",50,1))*I91/1000)</f>
        <v>0</v>
      </c>
      <c r="Z91" s="296">
        <f t="shared" si="46"/>
        <v>0</v>
      </c>
      <c r="AA91" s="297">
        <f t="shared" si="56"/>
        <v>0</v>
      </c>
      <c r="AB91" s="297">
        <f t="shared" si="40"/>
        <v>0</v>
      </c>
      <c r="AC91" s="1268" t="str">
        <f>$AC$7</f>
        <v>Kg Ave Acu :</v>
      </c>
      <c r="AD91" s="308">
        <f>IF(OR(SUM(L89:L95)&gt;0,SUM(V89:V95)&gt;0),AD90/1000+AD84,0)</f>
        <v>0</v>
      </c>
      <c r="AE91" s="309">
        <f>AE90/1000+AE84</f>
        <v>0</v>
      </c>
      <c r="AF91" s="310">
        <f>IF(AND(AE91&gt;0,AD91&gt;0),(AD91/AE91-1)*100,0)</f>
        <v>0</v>
      </c>
      <c r="AG91" s="311" t="str">
        <f>PROD!$AG$7</f>
        <v xml:space="preserve">Masa Sem H (Gr) : </v>
      </c>
      <c r="AH91" s="312">
        <f>PROD!O89/100*7*PROD!O91</f>
        <v>0</v>
      </c>
      <c r="AI91" s="312">
        <f>PROD!P89/100*7*PROD!P91</f>
        <v>0</v>
      </c>
      <c r="AJ91" s="313">
        <f t="shared" si="54"/>
        <v>0</v>
      </c>
      <c r="AK91" s="2027"/>
      <c r="AL91" s="1284">
        <f t="shared" si="41"/>
        <v>0</v>
      </c>
      <c r="AM91" s="1285"/>
      <c r="AN91" s="1285"/>
      <c r="AO91" s="1285"/>
      <c r="AP91" s="1285"/>
      <c r="AQ91" s="1285"/>
      <c r="AR91" s="1285"/>
      <c r="AS91" s="1286"/>
      <c r="AT91" s="1287"/>
      <c r="AU91" s="1288"/>
      <c r="AV91" s="1289"/>
      <c r="AW91" s="1290"/>
      <c r="AX91" s="1291"/>
      <c r="AY91" s="1291"/>
      <c r="AZ91" s="1292"/>
      <c r="BA91" s="1293"/>
      <c r="BB91" s="1294"/>
      <c r="BC91" s="1295"/>
      <c r="BD91" s="1296">
        <f>BD90+PROD!L91-BA91</f>
        <v>0</v>
      </c>
      <c r="BE91" s="2133"/>
      <c r="BF91" s="507" t="e">
        <f t="shared" si="42"/>
        <v>#VALUE!</v>
      </c>
      <c r="BG91" s="329"/>
      <c r="BH91" s="1018">
        <f t="shared" si="43"/>
        <v>0</v>
      </c>
    </row>
    <row r="92" spans="1:60" ht="15" customHeight="1" x14ac:dyDescent="0.3">
      <c r="A92" s="2033"/>
      <c r="B92" s="287" t="str">
        <f t="shared" si="44"/>
        <v/>
      </c>
      <c r="C92" s="288" t="str">
        <f t="shared" si="39"/>
        <v/>
      </c>
      <c r="D92" s="691"/>
      <c r="E92" s="692"/>
      <c r="F92" s="693"/>
      <c r="G92" s="694"/>
      <c r="H92" s="695"/>
      <c r="I92" s="289">
        <f>I91-SUM($D92:F92)</f>
        <v>0</v>
      </c>
      <c r="J92" s="1234" t="str">
        <f>$J$8</f>
        <v>% Mort Acm :</v>
      </c>
      <c r="K92" s="1231">
        <f>IF(PROD!$K$2&gt;0,SUM(D$5:D95)/PROD!$K$2,0)</f>
        <v>0</v>
      </c>
      <c r="L92" s="1246"/>
      <c r="M92" s="291">
        <f t="shared" si="55"/>
        <v>0</v>
      </c>
      <c r="N92" s="314" t="str">
        <f>N$8</f>
        <v xml:space="preserve">Peso Ave (Gr) : </v>
      </c>
      <c r="O92" s="315">
        <f>LOOKUP($A89,GSh!$BV$6:$BV$108,GSh!$BJ$6:$BJ$108)</f>
        <v>0</v>
      </c>
      <c r="P92" s="315">
        <f>IFERROR(LOOKUP($A89,TP!$A$6:$A$108,GSh!$BK$6:$BK$108),0)</f>
        <v>0</v>
      </c>
      <c r="Q92" s="316">
        <f>IF(AND(P92&gt;0,O92&gt;0),(O92/P92-1)*100,0)</f>
        <v>0</v>
      </c>
      <c r="R92" s="699"/>
      <c r="S92" s="762"/>
      <c r="T92" s="765">
        <f t="shared" si="50"/>
        <v>0</v>
      </c>
      <c r="U92" s="700"/>
      <c r="V92" s="701"/>
      <c r="W92" s="701"/>
      <c r="X92" s="295">
        <f t="shared" si="45"/>
        <v>0</v>
      </c>
      <c r="Y92" s="296">
        <f>IF(AA92&gt;0,V92,AE89/IF(Iniciar!$C$25="B X 40 K",40,IF(Iniciar!$C$25="B X 50 K",50,1))*I92/1000)</f>
        <v>0</v>
      </c>
      <c r="Z92" s="296">
        <f t="shared" si="46"/>
        <v>0</v>
      </c>
      <c r="AA92" s="297">
        <f t="shared" si="56"/>
        <v>0</v>
      </c>
      <c r="AB92" s="297">
        <f t="shared" si="40"/>
        <v>0</v>
      </c>
      <c r="AC92" s="541" t="str">
        <f>$AC$8</f>
        <v xml:space="preserve">Ton. Lote Acu : </v>
      </c>
      <c r="AD92" s="544">
        <f>SUM($V$5:$V95)*$A$1/1000000</f>
        <v>0</v>
      </c>
      <c r="AE92" s="543">
        <f>AE85+(AE89/1000000*7*(I89+I95)/2)</f>
        <v>0</v>
      </c>
      <c r="AF92" s="542">
        <f>IF(AND(AE92&gt;0,AD92&gt;0),(AD92/AE92-1)*100,0)</f>
        <v>0</v>
      </c>
      <c r="AG92" s="317" t="str">
        <f>PROD!$AG$8</f>
        <v xml:space="preserve">Masa Ac A. A (Kg) : </v>
      </c>
      <c r="AH92" s="318">
        <f>IF(PROD!$K$2&gt;0,SUM(PROD!L$5:L95)*LOOKUP(PROD!$A89,TP!$A$6:$A$108,GSh!$BB$6:$BB$108)/1000/PROD!$K$2,0)</f>
        <v>0</v>
      </c>
      <c r="AI92" s="318">
        <f>IFERROR(PROD!P90*LOOKUP(PROD!$A89,TP!$A$6:$A$108,GSh!$BC$6:$BC$108)/1000,0)</f>
        <v>0</v>
      </c>
      <c r="AJ92" s="330">
        <f t="shared" si="54"/>
        <v>0</v>
      </c>
      <c r="AK92" s="2027"/>
      <c r="AL92" s="1284">
        <f t="shared" si="41"/>
        <v>0</v>
      </c>
      <c r="AM92" s="1285"/>
      <c r="AN92" s="1285"/>
      <c r="AO92" s="1285"/>
      <c r="AP92" s="1285"/>
      <c r="AQ92" s="1285"/>
      <c r="AR92" s="1285"/>
      <c r="AS92" s="1286"/>
      <c r="AT92" s="1287"/>
      <c r="AU92" s="1288"/>
      <c r="AV92" s="1289"/>
      <c r="AW92" s="1290"/>
      <c r="AX92" s="1291"/>
      <c r="AY92" s="1291"/>
      <c r="AZ92" s="1292"/>
      <c r="BA92" s="1293"/>
      <c r="BB92" s="1294"/>
      <c r="BC92" s="1295"/>
      <c r="BD92" s="1296">
        <f>BD91+PROD!L92-BA92</f>
        <v>0</v>
      </c>
      <c r="BE92" s="2133"/>
      <c r="BF92" s="507" t="e">
        <f t="shared" si="42"/>
        <v>#VALUE!</v>
      </c>
      <c r="BG92" s="329"/>
      <c r="BH92" s="1018">
        <f t="shared" si="43"/>
        <v>0</v>
      </c>
    </row>
    <row r="93" spans="1:60" ht="15" customHeight="1" x14ac:dyDescent="0.3">
      <c r="A93" s="2033"/>
      <c r="B93" s="287" t="str">
        <f t="shared" si="44"/>
        <v/>
      </c>
      <c r="C93" s="288" t="str">
        <f t="shared" si="39"/>
        <v/>
      </c>
      <c r="D93" s="691"/>
      <c r="E93" s="692"/>
      <c r="F93" s="693"/>
      <c r="G93" s="694"/>
      <c r="H93" s="695"/>
      <c r="I93" s="289">
        <f>I92-SUM($D93:F93)</f>
        <v>0</v>
      </c>
      <c r="J93" s="1234" t="str">
        <f>$J$9</f>
        <v>% Sel Acm :</v>
      </c>
      <c r="K93" s="1231">
        <f>IF(PROD!$K$2&gt;0,SUM(E$5:E95)/PROD!$K$2,0)</f>
        <v>0</v>
      </c>
      <c r="L93" s="1246"/>
      <c r="M93" s="291">
        <f t="shared" si="55"/>
        <v>0</v>
      </c>
      <c r="N93" s="292" t="str">
        <f>$N$9</f>
        <v xml:space="preserve">Uniformidad (10% -) : </v>
      </c>
      <c r="O93" s="320">
        <f>LOOKUP($A89,'Pr-Sem'!$A$6:$A$108,'Pr-Sem'!$AH$6:$AH$108)</f>
        <v>0</v>
      </c>
      <c r="P93" s="320">
        <v>5</v>
      </c>
      <c r="Q93" s="321">
        <f>IF(AND(P93&gt;0,O93&gt;0),(1-O93/P93)*100,0)</f>
        <v>0</v>
      </c>
      <c r="R93" s="699"/>
      <c r="S93" s="762"/>
      <c r="T93" s="765">
        <f t="shared" si="50"/>
        <v>0</v>
      </c>
      <c r="U93" s="700"/>
      <c r="V93" s="701"/>
      <c r="W93" s="701"/>
      <c r="X93" s="295">
        <f t="shared" si="45"/>
        <v>0</v>
      </c>
      <c r="Y93" s="296">
        <f>IF(AA93&gt;0,V93,AE89/IF(Iniciar!$C$25="B X 40 K",40,IF(Iniciar!$C$25="B X 50 K",50,1))*I93/1000)</f>
        <v>0</v>
      </c>
      <c r="Z93" s="296">
        <f t="shared" si="46"/>
        <v>0</v>
      </c>
      <c r="AA93" s="297">
        <f t="shared" si="56"/>
        <v>0</v>
      </c>
      <c r="AB93" s="297">
        <f t="shared" si="40"/>
        <v>0</v>
      </c>
      <c r="AC93" s="2035" t="str">
        <f>$AC$9</f>
        <v xml:space="preserve">Total Litros Sem: </v>
      </c>
      <c r="AD93" s="2036"/>
      <c r="AE93" s="2050">
        <f>SUM(R89:R95)</f>
        <v>0</v>
      </c>
      <c r="AF93" s="2051"/>
      <c r="AG93" s="554" t="str">
        <f>$AG$9</f>
        <v xml:space="preserve">Indicador Eficiencia : </v>
      </c>
      <c r="AH93" s="555">
        <f>IF(AND(AE93&gt;0,O90&gt;0,O91&gt;0,SUM(L89:L95)&gt;0),(PROD!AH92/O90)*K95*100/(AE93/(SUM(L89:L95)*O91/1000)),0)</f>
        <v>0</v>
      </c>
      <c r="AI93" s="555">
        <f>IF(AND(P90&gt;0,PROD!AI91&gt;0),(PROD!AI92/P90)*(1-K94)*100/(AE90/PROD!AI91),0)</f>
        <v>0</v>
      </c>
      <c r="AJ93" s="331">
        <f t="shared" si="54"/>
        <v>0</v>
      </c>
      <c r="AK93" s="2027"/>
      <c r="AL93" s="1284">
        <f t="shared" si="41"/>
        <v>0</v>
      </c>
      <c r="AM93" s="1285"/>
      <c r="AN93" s="1285"/>
      <c r="AO93" s="1285"/>
      <c r="AP93" s="1285"/>
      <c r="AQ93" s="1285"/>
      <c r="AR93" s="1285"/>
      <c r="AS93" s="1286"/>
      <c r="AT93" s="1287"/>
      <c r="AU93" s="1288"/>
      <c r="AV93" s="1289"/>
      <c r="AW93" s="1290"/>
      <c r="AX93" s="1291"/>
      <c r="AY93" s="1291"/>
      <c r="AZ93" s="1292"/>
      <c r="BA93" s="1293"/>
      <c r="BB93" s="1294"/>
      <c r="BC93" s="1295"/>
      <c r="BD93" s="1296">
        <f>BD92+PROD!L93-BA93</f>
        <v>0</v>
      </c>
      <c r="BE93" s="2133"/>
      <c r="BF93" s="507" t="e">
        <f t="shared" si="42"/>
        <v>#VALUE!</v>
      </c>
      <c r="BG93" s="329"/>
      <c r="BH93" s="1018">
        <f t="shared" si="43"/>
        <v>0</v>
      </c>
    </row>
    <row r="94" spans="1:60" ht="15" customHeight="1" x14ac:dyDescent="0.3">
      <c r="A94" s="2033"/>
      <c r="B94" s="287" t="str">
        <f t="shared" si="44"/>
        <v/>
      </c>
      <c r="C94" s="288" t="str">
        <f t="shared" si="39"/>
        <v/>
      </c>
      <c r="D94" s="691"/>
      <c r="E94" s="692"/>
      <c r="F94" s="693"/>
      <c r="G94" s="694"/>
      <c r="H94" s="695"/>
      <c r="I94" s="289">
        <f>I93-SUM($D94:F94)</f>
        <v>0</v>
      </c>
      <c r="J94" s="1237" t="str">
        <f>$J$10</f>
        <v>% Mort/Sel Acm Tab :</v>
      </c>
      <c r="K94" s="1238">
        <f>IFERROR(LOOKUP($A89,TP!$A$6:$A$108,GSh!$AR$6:$AR$108)/100,0)</f>
        <v>0</v>
      </c>
      <c r="L94" s="1246"/>
      <c r="M94" s="291">
        <f t="shared" si="55"/>
        <v>0</v>
      </c>
      <c r="N94" s="292" t="str">
        <f>$N$10</f>
        <v xml:space="preserve">Uniformidad (C. Lote) : </v>
      </c>
      <c r="O94" s="320">
        <f>LOOKUP($A89,'Pr-Sem'!$A$6:$A$108,'Pr-Sem'!$AG$6:$AG$108)</f>
        <v>0</v>
      </c>
      <c r="P94" s="320">
        <v>90</v>
      </c>
      <c r="Q94" s="321">
        <f>IF(AND(P94&gt;0,O94&gt;0),(O94/P94-1)*100,0)</f>
        <v>0</v>
      </c>
      <c r="R94" s="699"/>
      <c r="S94" s="762"/>
      <c r="T94" s="765">
        <f t="shared" si="50"/>
        <v>0</v>
      </c>
      <c r="U94" s="700"/>
      <c r="V94" s="701"/>
      <c r="W94" s="701"/>
      <c r="X94" s="295">
        <f t="shared" si="45"/>
        <v>0</v>
      </c>
      <c r="Y94" s="296">
        <f>IF(AA94&gt;0,V94,AE89/IF(Iniciar!$C$25="B X 40 K",40,IF(Iniciar!$C$25="B X 50 K",50,1))*I94/1000)</f>
        <v>0</v>
      </c>
      <c r="Z94" s="296">
        <f t="shared" si="46"/>
        <v>0</v>
      </c>
      <c r="AA94" s="297">
        <f t="shared" si="56"/>
        <v>0</v>
      </c>
      <c r="AB94" s="297">
        <f t="shared" si="40"/>
        <v>0</v>
      </c>
      <c r="AC94" s="2037" t="str">
        <f>$AC$10</f>
        <v xml:space="preserve">Cons ml /ave día: </v>
      </c>
      <c r="AD94" s="2038"/>
      <c r="AE94" s="2056">
        <f>IFERROR(SUMPRODUCT(AB89:AB95,I89:I95)/SUM(I89:I95),0)</f>
        <v>0</v>
      </c>
      <c r="AF94" s="2057"/>
      <c r="AG94" s="311" t="str">
        <f>CONCATENATE("Costo ",Iniciar!$C$25," : ")</f>
        <v xml:space="preserve">Costo Kilos : </v>
      </c>
      <c r="AH94" s="2043">
        <f>IFERROR(SUMPRODUCT(T89:T95,V89:V95)/SUMIF(T89:T95,"&gt;0",V89:V95),0)</f>
        <v>0</v>
      </c>
      <c r="AI94" s="2043"/>
      <c r="AJ94" s="313"/>
      <c r="AK94" s="2027"/>
      <c r="AL94" s="1284">
        <f t="shared" si="41"/>
        <v>0</v>
      </c>
      <c r="AM94" s="1285"/>
      <c r="AN94" s="1285"/>
      <c r="AO94" s="1285"/>
      <c r="AP94" s="1285"/>
      <c r="AQ94" s="1285"/>
      <c r="AR94" s="1285"/>
      <c r="AS94" s="1286"/>
      <c r="AT94" s="1287"/>
      <c r="AU94" s="1288"/>
      <c r="AV94" s="1289"/>
      <c r="AW94" s="1290"/>
      <c r="AX94" s="1291"/>
      <c r="AY94" s="1291"/>
      <c r="AZ94" s="1292"/>
      <c r="BA94" s="1293"/>
      <c r="BB94" s="1294"/>
      <c r="BC94" s="1295"/>
      <c r="BD94" s="1296">
        <f>BD93+PROD!L94-BA94</f>
        <v>0</v>
      </c>
      <c r="BE94" s="2133"/>
      <c r="BF94" s="507" t="e">
        <f t="shared" si="42"/>
        <v>#VALUE!</v>
      </c>
      <c r="BG94" s="329"/>
      <c r="BH94" s="1018">
        <f t="shared" si="43"/>
        <v>0</v>
      </c>
    </row>
    <row r="95" spans="1:60" ht="15" customHeight="1" x14ac:dyDescent="0.3">
      <c r="A95" s="2034"/>
      <c r="B95" s="287" t="str">
        <f t="shared" si="44"/>
        <v/>
      </c>
      <c r="C95" s="288" t="str">
        <f t="shared" si="39"/>
        <v/>
      </c>
      <c r="D95" s="691"/>
      <c r="E95" s="692"/>
      <c r="F95" s="693"/>
      <c r="G95" s="694"/>
      <c r="H95" s="695"/>
      <c r="I95" s="289">
        <f>I94-SUM($D95:F95)</f>
        <v>0</v>
      </c>
      <c r="J95" s="1239" t="str">
        <f>$J$11</f>
        <v>% Viabilidad :</v>
      </c>
      <c r="K95" s="1240">
        <f>IF(OR(SUM(L89:L95)&gt;0,SUM(V89:V95)&gt;0),1-(K92+K93),0)</f>
        <v>0</v>
      </c>
      <c r="L95" s="1247"/>
      <c r="M95" s="1248">
        <f>IF(I95&gt;0,(L95/IF(SUM(L89:L94)&gt;0,1,7))/I95,0)</f>
        <v>0</v>
      </c>
      <c r="N95" s="1249" t="str">
        <f>$N$11</f>
        <v xml:space="preserve">Uniformidad (10% +) : </v>
      </c>
      <c r="O95" s="1250">
        <f>IF(O93&gt;0,IF(O94&gt;0,100-SUM(O93:O94),0),0)</f>
        <v>0</v>
      </c>
      <c r="P95" s="1251">
        <f>100-SUM(P93:P94)</f>
        <v>5</v>
      </c>
      <c r="Q95" s="1252">
        <f>IF(AND(P95&gt;0,O95&gt;0),(O95/P95-1)*100,0)</f>
        <v>0</v>
      </c>
      <c r="R95" s="699"/>
      <c r="S95" s="762"/>
      <c r="T95" s="765">
        <f t="shared" si="50"/>
        <v>0</v>
      </c>
      <c r="U95" s="700"/>
      <c r="V95" s="701"/>
      <c r="W95" s="701"/>
      <c r="X95" s="295">
        <f t="shared" si="45"/>
        <v>0</v>
      </c>
      <c r="Y95" s="296">
        <f>IF(AA95&gt;0,V95,AE89/IF(Iniciar!$C$25="B X 40 K",40,IF(Iniciar!$C$25="B X 50 K",50,1))*I95/1000)</f>
        <v>0</v>
      </c>
      <c r="Z95" s="296">
        <f t="shared" si="46"/>
        <v>0</v>
      </c>
      <c r="AA95" s="297">
        <f>IF(I95&gt;0,(V95/IF(SUM(V89:V94)&gt;0,1,7))*$A$1/I95,0)</f>
        <v>0</v>
      </c>
      <c r="AB95" s="297">
        <f t="shared" si="40"/>
        <v>0</v>
      </c>
      <c r="AC95" s="2039" t="str">
        <f>$AC$11</f>
        <v xml:space="preserve">Relación Agua /Alimto: </v>
      </c>
      <c r="AD95" s="2040"/>
      <c r="AE95" s="2058">
        <f>IFERROR(AE94/AD89,0)</f>
        <v>0</v>
      </c>
      <c r="AF95" s="2059"/>
      <c r="AG95" s="1269" t="s">
        <v>237</v>
      </c>
      <c r="AH95" s="1270">
        <f>IF(SUM(L89:L95)&gt;0,AH94*SUM(V89:V95)/SUM(L89:L95),0)</f>
        <v>0</v>
      </c>
      <c r="AI95" s="1270">
        <f>IF(AND($A$1&gt;0,P89&gt;0),AH94/$A$1*(AE89/P89)*100,0)</f>
        <v>0</v>
      </c>
      <c r="AJ95" s="1271">
        <f t="shared" ref="AJ95:AJ100" si="57">IF(AND(AI95&gt;0,AH95&gt;0),(AH95/AI95-1)*100,0)</f>
        <v>0</v>
      </c>
      <c r="AK95" s="2028"/>
      <c r="AL95" s="1284">
        <f t="shared" si="41"/>
        <v>0</v>
      </c>
      <c r="AM95" s="1285"/>
      <c r="AN95" s="1285"/>
      <c r="AO95" s="1285"/>
      <c r="AP95" s="1285"/>
      <c r="AQ95" s="1285"/>
      <c r="AR95" s="1285"/>
      <c r="AS95" s="1286"/>
      <c r="AT95" s="1287"/>
      <c r="AU95" s="1288"/>
      <c r="AV95" s="1289"/>
      <c r="AW95" s="1290"/>
      <c r="AX95" s="1291"/>
      <c r="AY95" s="1291"/>
      <c r="AZ95" s="1292"/>
      <c r="BA95" s="1293"/>
      <c r="BB95" s="1294"/>
      <c r="BC95" s="1295"/>
      <c r="BD95" s="1296">
        <f>BD94+PROD!L95-BA95</f>
        <v>0</v>
      </c>
      <c r="BE95" s="2134"/>
      <c r="BF95" s="507" t="e">
        <f t="shared" si="42"/>
        <v>#VALUE!</v>
      </c>
      <c r="BG95" s="329"/>
      <c r="BH95" s="1018">
        <f t="shared" si="43"/>
        <v>0</v>
      </c>
    </row>
    <row r="96" spans="1:60" ht="15" customHeight="1" x14ac:dyDescent="0.3">
      <c r="A96" s="2032">
        <f>A89+1</f>
        <v>31</v>
      </c>
      <c r="B96" s="287" t="str">
        <f t="shared" si="44"/>
        <v/>
      </c>
      <c r="C96" s="288" t="str">
        <f t="shared" si="39"/>
        <v/>
      </c>
      <c r="D96" s="691"/>
      <c r="E96" s="692"/>
      <c r="F96" s="693"/>
      <c r="G96" s="694"/>
      <c r="H96" s="695"/>
      <c r="I96" s="289">
        <f>I95-SUM($D96:F96)</f>
        <v>0</v>
      </c>
      <c r="J96" s="1232" t="str">
        <f>$J$5</f>
        <v>% Mort Sem :</v>
      </c>
      <c r="K96" s="1233">
        <f>IF(PROD!$K$2&gt;0,SUM(D96:D102)/PROD!$K$2,0)</f>
        <v>0</v>
      </c>
      <c r="L96" s="1241"/>
      <c r="M96" s="1242">
        <f t="shared" ref="M96:M101" si="58">IF(I96&gt;0,L96/I96,0)</f>
        <v>0</v>
      </c>
      <c r="N96" s="1243" t="str">
        <f>$N$5</f>
        <v xml:space="preserve">% Pdn prom semana : </v>
      </c>
      <c r="O96" s="1244">
        <f>IF(SUM(L96:L101)&gt;0,100*SUMPRODUCT(M96:M102,I96:I102)/SUMIF(L96:L102,"&gt;0",I96:I102),IF(L102&gt;0,100*L102/7/I102,0))</f>
        <v>0</v>
      </c>
      <c r="P96" s="1244">
        <f>IFERROR(LOOKUP($A96,TP!$A$6:$A$108,GSh!$AE$6:$AE$108),0)</f>
        <v>0</v>
      </c>
      <c r="Q96" s="1245">
        <f>IF(AND(P96&gt;0,O96&gt;0),O96-P96,0)</f>
        <v>0</v>
      </c>
      <c r="R96" s="699"/>
      <c r="S96" s="762"/>
      <c r="T96" s="765">
        <f t="shared" si="50"/>
        <v>0</v>
      </c>
      <c r="U96" s="700"/>
      <c r="V96" s="701"/>
      <c r="W96" s="701"/>
      <c r="X96" s="295">
        <f t="shared" si="45"/>
        <v>0</v>
      </c>
      <c r="Y96" s="296">
        <f>IF(AA96&gt;0,V96,AE96/IF(Iniciar!$C$25="B X 40 K",40,IF(Iniciar!$C$25="B X 50 K",50,1))*I96/1000)</f>
        <v>0</v>
      </c>
      <c r="Z96" s="296">
        <f t="shared" si="46"/>
        <v>0</v>
      </c>
      <c r="AA96" s="297">
        <f t="shared" ref="AA96:AA101" si="59">IF(I96&gt;0,V96*$A$1/I96,0)</f>
        <v>0</v>
      </c>
      <c r="AB96" s="297">
        <f t="shared" si="40"/>
        <v>0</v>
      </c>
      <c r="AC96" s="1261" t="str">
        <f>$AC$5</f>
        <v>Gr. Ave Dia :</v>
      </c>
      <c r="AD96" s="1262">
        <f>IF(SUMIF(V96:V102,"&gt;0")&gt;0,SUMPRODUCT(AA96:AA102,I96:I102)/SUMIF(AA96:AA102,"&gt;0",I96:I102),0)</f>
        <v>0</v>
      </c>
      <c r="AE96" s="1262">
        <f>IFERROR(LOOKUP($A96,TP!$A$6:$A$108,GSh!$AU$6:$AU$108),0)</f>
        <v>0</v>
      </c>
      <c r="AF96" s="1263">
        <f>IF(AND(AE96&gt;0,AD96&gt;0),(AD96/AE96-1)*100,0)</f>
        <v>0</v>
      </c>
      <c r="AG96" s="1264" t="str">
        <f>PROD!$AG$5</f>
        <v>Gr X H</v>
      </c>
      <c r="AH96" s="1265">
        <f>IF(PROD!O96&gt;0,IF($AG96="Gr X H",PROD!AD96/PROD!O96*100,IF($AG96="Conv Kg/Doc",PROD!AD96/PROD!O96*1.2,IF(PROD!$O98&gt;0,PROD!AD96/(PROD!O96*PROD!$O98)*100,0))),0)</f>
        <v>0</v>
      </c>
      <c r="AI96" s="1265">
        <f>IF(PROD!P96&gt;0,IF($AG96="Gr X H",PROD!AE96/PROD!P96*100,IF($AG96="Conv Kg/Doc",PROD!AE96/PROD!P96*1.2,IF(PROD!$P98&gt;0,PROD!AE96/(PROD!P96*PROD!$P98)*100,0))),0)</f>
        <v>0</v>
      </c>
      <c r="AJ96" s="1266">
        <f t="shared" si="57"/>
        <v>0</v>
      </c>
      <c r="AK96" s="2026"/>
      <c r="AL96" s="1284">
        <f t="shared" si="41"/>
        <v>0</v>
      </c>
      <c r="AM96" s="1285"/>
      <c r="AN96" s="1285"/>
      <c r="AO96" s="1285"/>
      <c r="AP96" s="1285"/>
      <c r="AQ96" s="1285"/>
      <c r="AR96" s="1285"/>
      <c r="AS96" s="1286"/>
      <c r="AT96" s="1287"/>
      <c r="AU96" s="1288"/>
      <c r="AV96" s="1289"/>
      <c r="AW96" s="1290"/>
      <c r="AX96" s="1291"/>
      <c r="AY96" s="1291"/>
      <c r="AZ96" s="1292"/>
      <c r="BA96" s="1293"/>
      <c r="BB96" s="1294"/>
      <c r="BC96" s="1295"/>
      <c r="BD96" s="1296">
        <f>BD95+PROD!L96-BA96</f>
        <v>0</v>
      </c>
      <c r="BE96" s="2132">
        <f>IF(SUM(AM96:AZ102)&gt;0,(SUM(AM96:AM102)*$AM$2+SUM(AN96:AN102)*$AN$2+SUM(AO96:AO102)*$AO$2+SUM(AP96:AP102)*$AP$2+SUM(AQ96:AQ102)*$AQ$2+SUM(AR96:AR102)*$AR$2+SUM(AS96:AS102)*$AS$2+SUM(AW96:AW102)*$AW$2+SUM(AX96:AX102)*$AX$2+SUM(AY96:AY102)*$AY$2+SUM(AZ96:AZ102)*$AZ$2+SUM(AT96:AT102)*$AT$2+SUM(AU96:AU102)*$AU$2+SUM(AV96:AV102)*$AV$2)/SUM(AM96:AZ102),0)</f>
        <v>0</v>
      </c>
      <c r="BF96" s="507" t="e">
        <f t="shared" si="42"/>
        <v>#VALUE!</v>
      </c>
      <c r="BG96" s="277">
        <f>IF(SUM(L96:L102)&gt;0,A96,IF(SUM(V96:V102)&gt;0,A96,BG89))</f>
        <v>0</v>
      </c>
      <c r="BH96" s="1018">
        <f t="shared" si="43"/>
        <v>0</v>
      </c>
    </row>
    <row r="97" spans="1:60" ht="15" customHeight="1" x14ac:dyDescent="0.3">
      <c r="A97" s="2033"/>
      <c r="B97" s="287" t="str">
        <f t="shared" si="44"/>
        <v/>
      </c>
      <c r="C97" s="288" t="str">
        <f t="shared" si="39"/>
        <v/>
      </c>
      <c r="D97" s="691"/>
      <c r="E97" s="692"/>
      <c r="F97" s="693"/>
      <c r="G97" s="694"/>
      <c r="H97" s="695"/>
      <c r="I97" s="289">
        <f>I96-SUM($D97:F97)</f>
        <v>0</v>
      </c>
      <c r="J97" s="1234" t="str">
        <f>$J$6</f>
        <v>% Sel Sem :</v>
      </c>
      <c r="K97" s="1231">
        <f>IF(PROD!$K$2&gt;0,SUM(E96:E102)/PROD!$K$2,0)</f>
        <v>0</v>
      </c>
      <c r="L97" s="1246"/>
      <c r="M97" s="291">
        <f t="shared" si="58"/>
        <v>0</v>
      </c>
      <c r="N97" s="292" t="str">
        <f>$N$6</f>
        <v xml:space="preserve">H. Ave Alojada : </v>
      </c>
      <c r="O97" s="293">
        <f>IF(AND(PROD!$K$2&gt;0,O96&gt;0),SUM(L$5:L102)/PROD!$K$2,0)</f>
        <v>0</v>
      </c>
      <c r="P97" s="293">
        <f>IFERROR(LOOKUP($A96,TP!$A$6:$A$108,GSh!$AJ$6:$AJ$108),0)</f>
        <v>0</v>
      </c>
      <c r="Q97" s="294">
        <f>IF(AND(P97&gt;0,O97&gt;0),O97-P97,0)</f>
        <v>0</v>
      </c>
      <c r="R97" s="699"/>
      <c r="S97" s="762"/>
      <c r="T97" s="765">
        <f t="shared" si="50"/>
        <v>0</v>
      </c>
      <c r="U97" s="700"/>
      <c r="V97" s="701"/>
      <c r="W97" s="701"/>
      <c r="X97" s="295">
        <f t="shared" si="45"/>
        <v>0</v>
      </c>
      <c r="Y97" s="296">
        <f>IF(AA97&gt;0,V97,AE96/IF(Iniciar!$C$25="B X 40 K",40,IF(Iniciar!$C$25="B X 50 K",50,1))*I97/1000)</f>
        <v>0</v>
      </c>
      <c r="Z97" s="296">
        <f t="shared" si="46"/>
        <v>0</v>
      </c>
      <c r="AA97" s="297">
        <f t="shared" si="59"/>
        <v>0</v>
      </c>
      <c r="AB97" s="297">
        <f t="shared" si="40"/>
        <v>0</v>
      </c>
      <c r="AC97" s="1267" t="str">
        <f>$AC$6</f>
        <v>Gr. Ave Sem :</v>
      </c>
      <c r="AD97" s="284">
        <f>AD96*7</f>
        <v>0</v>
      </c>
      <c r="AE97" s="284">
        <f>AE96*7</f>
        <v>0</v>
      </c>
      <c r="AF97" s="285">
        <f>IF(AND(AE97&gt;0,AD97&gt;0),(AD97/AE97-1)*100,0)</f>
        <v>0</v>
      </c>
      <c r="AG97" s="1199" t="str">
        <f>PROD!$AG$6</f>
        <v>Gr X H Acm</v>
      </c>
      <c r="AH97" s="298">
        <f>IF(SUM(PROD!L96:L102)&gt;0,IF(PROD!$AG$5="Gr X H",SUM(PROD!V$5:V102)*PROD!$A$1/SUM(PROD!L$5:L102),IF($AG96="Conv Kg/Doc",(SUM(PROD!V$5:V102)*PROD!$A$1/1000)/(SUM(PROD!L$5:L102)/12),IF(PROD!$O98&gt;0,SUM(PROD!V$5:V102)*PROD!$A$1/(SUM(PROD!L$5:L102)*LOOKUP(PROD!A96,TP!$A$6:$A$108,GSh!$BB$6:$BB$108)),0))),0)</f>
        <v>0</v>
      </c>
      <c r="AI97" s="298">
        <f>IF(PROD!P96&gt;0,IF($AG96="Gr X H",PROD!AE96/PROD!P96*100,IF($AG96="Conv Kg/Doc",PROD!AE96/PROD!P96*1.2,IF(PROD!$P97&gt;0,PROD!AE98/(PROD!P97*LOOKUP(PROD!$A96,TP!$A$6:$A$108,GSh!$BC$6:$BC$108)/1000),0))),0)</f>
        <v>0</v>
      </c>
      <c r="AJ97" s="328">
        <f t="shared" si="57"/>
        <v>0</v>
      </c>
      <c r="AK97" s="2027"/>
      <c r="AL97" s="1284">
        <f t="shared" si="41"/>
        <v>0</v>
      </c>
      <c r="AM97" s="1285"/>
      <c r="AN97" s="1285"/>
      <c r="AO97" s="1285"/>
      <c r="AP97" s="1285"/>
      <c r="AQ97" s="1285"/>
      <c r="AR97" s="1285"/>
      <c r="AS97" s="1286"/>
      <c r="AT97" s="1287"/>
      <c r="AU97" s="1288"/>
      <c r="AV97" s="1289"/>
      <c r="AW97" s="1290"/>
      <c r="AX97" s="1291"/>
      <c r="AY97" s="1291"/>
      <c r="AZ97" s="1292"/>
      <c r="BA97" s="1293"/>
      <c r="BB97" s="1294"/>
      <c r="BC97" s="1295"/>
      <c r="BD97" s="1296">
        <f>BD96+PROD!L97-BA97</f>
        <v>0</v>
      </c>
      <c r="BE97" s="2133"/>
      <c r="BF97" s="507" t="e">
        <f t="shared" si="42"/>
        <v>#VALUE!</v>
      </c>
      <c r="BG97" s="329"/>
      <c r="BH97" s="1018">
        <f t="shared" si="43"/>
        <v>0</v>
      </c>
    </row>
    <row r="98" spans="1:60" ht="15" customHeight="1" x14ac:dyDescent="0.3">
      <c r="A98" s="2033"/>
      <c r="B98" s="287" t="str">
        <f t="shared" si="44"/>
        <v/>
      </c>
      <c r="C98" s="288" t="str">
        <f t="shared" si="39"/>
        <v/>
      </c>
      <c r="D98" s="691"/>
      <c r="E98" s="692"/>
      <c r="F98" s="693"/>
      <c r="G98" s="694"/>
      <c r="H98" s="695"/>
      <c r="I98" s="289">
        <f>I97-SUM($D98:F98)</f>
        <v>0</v>
      </c>
      <c r="J98" s="1235" t="str">
        <f>$J$7</f>
        <v>% Mort/Sel Sem Tab :</v>
      </c>
      <c r="K98" s="1236">
        <f>K101-K94</f>
        <v>0</v>
      </c>
      <c r="L98" s="1246"/>
      <c r="M98" s="291">
        <f t="shared" si="58"/>
        <v>0</v>
      </c>
      <c r="N98" s="304" t="str">
        <f>$N$7</f>
        <v xml:space="preserve">Peso Huevo (Gr) : </v>
      </c>
      <c r="O98" s="305">
        <f>LOOKUP($A96,'Pr-Sem'!$A$6:$A$108,'Pr-Sem'!$Z$6:$Z$108)</f>
        <v>0</v>
      </c>
      <c r="P98" s="305">
        <f>IFERROR(LOOKUP($A96,TP!$A$6:$A$108,GSh!$AZ$6:$AZ$108),0)</f>
        <v>0</v>
      </c>
      <c r="Q98" s="306">
        <f>IF(AND(P98&gt;0,O98&gt;0),O98-P98,0)</f>
        <v>0</v>
      </c>
      <c r="R98" s="699"/>
      <c r="S98" s="762"/>
      <c r="T98" s="765">
        <f t="shared" si="50"/>
        <v>0</v>
      </c>
      <c r="U98" s="700"/>
      <c r="V98" s="701"/>
      <c r="W98" s="701"/>
      <c r="X98" s="295">
        <f t="shared" si="45"/>
        <v>0</v>
      </c>
      <c r="Y98" s="296">
        <f>IF(AA98&gt;0,V98,AE96/IF(Iniciar!$C$25="B X 40 K",40,IF(Iniciar!$C$25="B X 50 K",50,1))*I98/1000)</f>
        <v>0</v>
      </c>
      <c r="Z98" s="296">
        <f t="shared" si="46"/>
        <v>0</v>
      </c>
      <c r="AA98" s="297">
        <f t="shared" si="59"/>
        <v>0</v>
      </c>
      <c r="AB98" s="297">
        <f t="shared" si="40"/>
        <v>0</v>
      </c>
      <c r="AC98" s="1268" t="str">
        <f>$AC$7</f>
        <v>Kg Ave Acu :</v>
      </c>
      <c r="AD98" s="308">
        <f>IF(OR(SUM(L96:L102)&gt;0,SUM(V96:V102)&gt;0),AD97/1000+AD91,0)</f>
        <v>0</v>
      </c>
      <c r="AE98" s="309">
        <f>AE97/1000+AE91</f>
        <v>0</v>
      </c>
      <c r="AF98" s="310">
        <f>IF(AND(AE98&gt;0,AD98&gt;0),(AD98/AE98-1)*100,0)</f>
        <v>0</v>
      </c>
      <c r="AG98" s="311" t="str">
        <f>PROD!$AG$7</f>
        <v xml:space="preserve">Masa Sem H (Gr) : </v>
      </c>
      <c r="AH98" s="312">
        <f>PROD!O96/100*7*PROD!O98</f>
        <v>0</v>
      </c>
      <c r="AI98" s="312">
        <f>PROD!P96/100*7*PROD!P98</f>
        <v>0</v>
      </c>
      <c r="AJ98" s="313">
        <f t="shared" si="57"/>
        <v>0</v>
      </c>
      <c r="AK98" s="2027"/>
      <c r="AL98" s="1284">
        <f t="shared" si="41"/>
        <v>0</v>
      </c>
      <c r="AM98" s="1285"/>
      <c r="AN98" s="1285"/>
      <c r="AO98" s="1285"/>
      <c r="AP98" s="1285"/>
      <c r="AQ98" s="1285"/>
      <c r="AR98" s="1285"/>
      <c r="AS98" s="1286"/>
      <c r="AT98" s="1287"/>
      <c r="AU98" s="1288"/>
      <c r="AV98" s="1289"/>
      <c r="AW98" s="1290"/>
      <c r="AX98" s="1291"/>
      <c r="AY98" s="1291"/>
      <c r="AZ98" s="1292"/>
      <c r="BA98" s="1293"/>
      <c r="BB98" s="1294"/>
      <c r="BC98" s="1295"/>
      <c r="BD98" s="1296">
        <f>BD97+PROD!L98-BA98</f>
        <v>0</v>
      </c>
      <c r="BE98" s="2133"/>
      <c r="BF98" s="507" t="e">
        <f t="shared" si="42"/>
        <v>#VALUE!</v>
      </c>
      <c r="BG98" s="329"/>
      <c r="BH98" s="1018">
        <f t="shared" si="43"/>
        <v>0</v>
      </c>
    </row>
    <row r="99" spans="1:60" ht="15" customHeight="1" x14ac:dyDescent="0.3">
      <c r="A99" s="2033"/>
      <c r="B99" s="287" t="str">
        <f t="shared" si="44"/>
        <v/>
      </c>
      <c r="C99" s="288" t="str">
        <f t="shared" si="39"/>
        <v/>
      </c>
      <c r="D99" s="691"/>
      <c r="E99" s="692"/>
      <c r="F99" s="693"/>
      <c r="G99" s="694"/>
      <c r="H99" s="695"/>
      <c r="I99" s="289">
        <f>I98-SUM($D99:F99)</f>
        <v>0</v>
      </c>
      <c r="J99" s="1234" t="str">
        <f>$J$8</f>
        <v>% Mort Acm :</v>
      </c>
      <c r="K99" s="1231">
        <f>IF(PROD!$K$2&gt;0,SUM(D$5:D102)/PROD!$K$2,0)</f>
        <v>0</v>
      </c>
      <c r="L99" s="1246"/>
      <c r="M99" s="291">
        <f t="shared" si="58"/>
        <v>0</v>
      </c>
      <c r="N99" s="314" t="str">
        <f>N$8</f>
        <v xml:space="preserve">Peso Ave (Gr) : </v>
      </c>
      <c r="O99" s="315">
        <f>LOOKUP($A96,GSh!$BV$6:$BV$108,GSh!$BJ$6:$BJ$108)</f>
        <v>0</v>
      </c>
      <c r="P99" s="315">
        <f>IFERROR(LOOKUP($A96,TP!$A$6:$A$108,GSh!$BK$6:$BK$108),0)</f>
        <v>0</v>
      </c>
      <c r="Q99" s="316">
        <f>IF(AND(P99&gt;0,O99&gt;0),(O99/P99-1)*100,0)</f>
        <v>0</v>
      </c>
      <c r="R99" s="699"/>
      <c r="S99" s="762"/>
      <c r="T99" s="765">
        <f t="shared" si="50"/>
        <v>0</v>
      </c>
      <c r="U99" s="700"/>
      <c r="V99" s="701"/>
      <c r="W99" s="701"/>
      <c r="X99" s="295">
        <f t="shared" si="45"/>
        <v>0</v>
      </c>
      <c r="Y99" s="296">
        <f>IF(AA99&gt;0,V99,AE96/IF(Iniciar!$C$25="B X 40 K",40,IF(Iniciar!$C$25="B X 50 K",50,1))*I99/1000)</f>
        <v>0</v>
      </c>
      <c r="Z99" s="296">
        <f t="shared" si="46"/>
        <v>0</v>
      </c>
      <c r="AA99" s="297">
        <f t="shared" si="59"/>
        <v>0</v>
      </c>
      <c r="AB99" s="297">
        <f t="shared" si="40"/>
        <v>0</v>
      </c>
      <c r="AC99" s="541" t="str">
        <f>$AC$8</f>
        <v xml:space="preserve">Ton. Lote Acu : </v>
      </c>
      <c r="AD99" s="544">
        <f>SUM($V$5:$V102)*$A$1/1000000</f>
        <v>0</v>
      </c>
      <c r="AE99" s="543">
        <f>AE92+(AE96/1000000*7*(I96+I102)/2)</f>
        <v>0</v>
      </c>
      <c r="AF99" s="542">
        <f>IF(AND(AE99&gt;0,AD99&gt;0),(AD99/AE99-1)*100,0)</f>
        <v>0</v>
      </c>
      <c r="AG99" s="317" t="str">
        <f>PROD!$AG$8</f>
        <v xml:space="preserve">Masa Ac A. A (Kg) : </v>
      </c>
      <c r="AH99" s="318">
        <f>IF(PROD!$K$2&gt;0,SUM(PROD!L$5:L102)*LOOKUP(PROD!$A96,TP!$A$6:$A$108,GSh!$BB$6:$BB$108)/1000/PROD!$K$2,0)</f>
        <v>0</v>
      </c>
      <c r="AI99" s="318">
        <f>IFERROR(PROD!P97*LOOKUP(PROD!$A96,TP!$A$6:$A$108,GSh!$BC$6:$BC$108)/1000,0)</f>
        <v>0</v>
      </c>
      <c r="AJ99" s="330">
        <f t="shared" si="57"/>
        <v>0</v>
      </c>
      <c r="AK99" s="2027"/>
      <c r="AL99" s="1284">
        <f t="shared" si="41"/>
        <v>0</v>
      </c>
      <c r="AM99" s="1285"/>
      <c r="AN99" s="1285"/>
      <c r="AO99" s="1285"/>
      <c r="AP99" s="1285"/>
      <c r="AQ99" s="1285"/>
      <c r="AR99" s="1285"/>
      <c r="AS99" s="1286"/>
      <c r="AT99" s="1287"/>
      <c r="AU99" s="1288"/>
      <c r="AV99" s="1289"/>
      <c r="AW99" s="1290"/>
      <c r="AX99" s="1291"/>
      <c r="AY99" s="1291"/>
      <c r="AZ99" s="1292"/>
      <c r="BA99" s="1293"/>
      <c r="BB99" s="1294"/>
      <c r="BC99" s="1295"/>
      <c r="BD99" s="1296">
        <f>BD98+PROD!L99-BA99</f>
        <v>0</v>
      </c>
      <c r="BE99" s="2133"/>
      <c r="BF99" s="507" t="e">
        <f t="shared" si="42"/>
        <v>#VALUE!</v>
      </c>
      <c r="BG99" s="329"/>
      <c r="BH99" s="1018">
        <f t="shared" si="43"/>
        <v>0</v>
      </c>
    </row>
    <row r="100" spans="1:60" ht="15" customHeight="1" x14ac:dyDescent="0.3">
      <c r="A100" s="2033"/>
      <c r="B100" s="287" t="str">
        <f t="shared" si="44"/>
        <v/>
      </c>
      <c r="C100" s="288" t="str">
        <f t="shared" si="39"/>
        <v/>
      </c>
      <c r="D100" s="691"/>
      <c r="E100" s="692"/>
      <c r="F100" s="693"/>
      <c r="G100" s="694"/>
      <c r="H100" s="695"/>
      <c r="I100" s="289">
        <f>I99-SUM($D100:F100)</f>
        <v>0</v>
      </c>
      <c r="J100" s="1234" t="str">
        <f>$J$9</f>
        <v>% Sel Acm :</v>
      </c>
      <c r="K100" s="1231">
        <f>IF(PROD!$K$2&gt;0,SUM(E$5:E102)/PROD!$K$2,0)</f>
        <v>0</v>
      </c>
      <c r="L100" s="1246"/>
      <c r="M100" s="291">
        <f t="shared" si="58"/>
        <v>0</v>
      </c>
      <c r="N100" s="292" t="str">
        <f>$N$9</f>
        <v xml:space="preserve">Uniformidad (10% -) : </v>
      </c>
      <c r="O100" s="320">
        <f>LOOKUP($A96,'Pr-Sem'!$A$6:$A$108,'Pr-Sem'!$AH$6:$AH$108)</f>
        <v>0</v>
      </c>
      <c r="P100" s="320">
        <v>5</v>
      </c>
      <c r="Q100" s="321">
        <f>IF(AND(P100&gt;0,O100&gt;0),(1-O100/P100)*100,0)</f>
        <v>0</v>
      </c>
      <c r="R100" s="699"/>
      <c r="S100" s="762"/>
      <c r="T100" s="765">
        <f t="shared" si="50"/>
        <v>0</v>
      </c>
      <c r="U100" s="700"/>
      <c r="V100" s="701"/>
      <c r="W100" s="701"/>
      <c r="X100" s="295">
        <f t="shared" si="45"/>
        <v>0</v>
      </c>
      <c r="Y100" s="296">
        <f>IF(AA100&gt;0,V100,AE96/IF(Iniciar!$C$25="B X 40 K",40,IF(Iniciar!$C$25="B X 50 K",50,1))*I100/1000)</f>
        <v>0</v>
      </c>
      <c r="Z100" s="296">
        <f t="shared" si="46"/>
        <v>0</v>
      </c>
      <c r="AA100" s="297">
        <f t="shared" si="59"/>
        <v>0</v>
      </c>
      <c r="AB100" s="297">
        <f t="shared" si="40"/>
        <v>0</v>
      </c>
      <c r="AC100" s="2035" t="str">
        <f>$AC$9</f>
        <v xml:space="preserve">Total Litros Sem: </v>
      </c>
      <c r="AD100" s="2036"/>
      <c r="AE100" s="2050">
        <f>SUM(R96:R102)</f>
        <v>0</v>
      </c>
      <c r="AF100" s="2051"/>
      <c r="AG100" s="554" t="str">
        <f>$AG$9</f>
        <v xml:space="preserve">Indicador Eficiencia : </v>
      </c>
      <c r="AH100" s="555">
        <f>IF(AND(AE100&gt;0,O97&gt;0,O98&gt;0,SUM(L96:L102)&gt;0),(PROD!AH99/O97)*K102*100/(AE100/(SUM(L96:L102)*O98/1000)),0)</f>
        <v>0</v>
      </c>
      <c r="AI100" s="555">
        <f>IF(AND(P97&gt;0,PROD!AI98&gt;0),(PROD!AI99/P97)*(1-K101)*100/(AE97/PROD!AI98),0)</f>
        <v>0</v>
      </c>
      <c r="AJ100" s="331">
        <f t="shared" si="57"/>
        <v>0</v>
      </c>
      <c r="AK100" s="2027"/>
      <c r="AL100" s="1284">
        <f t="shared" si="41"/>
        <v>0</v>
      </c>
      <c r="AM100" s="1285"/>
      <c r="AN100" s="1285"/>
      <c r="AO100" s="1285"/>
      <c r="AP100" s="1285"/>
      <c r="AQ100" s="1285"/>
      <c r="AR100" s="1285"/>
      <c r="AS100" s="1286"/>
      <c r="AT100" s="1287"/>
      <c r="AU100" s="1288"/>
      <c r="AV100" s="1289"/>
      <c r="AW100" s="1290"/>
      <c r="AX100" s="1291"/>
      <c r="AY100" s="1291"/>
      <c r="AZ100" s="1292"/>
      <c r="BA100" s="1293"/>
      <c r="BB100" s="1294"/>
      <c r="BC100" s="1295"/>
      <c r="BD100" s="1296">
        <f>BD99+PROD!L100-BA100</f>
        <v>0</v>
      </c>
      <c r="BE100" s="2133"/>
      <c r="BF100" s="507" t="e">
        <f t="shared" si="42"/>
        <v>#VALUE!</v>
      </c>
      <c r="BG100" s="329"/>
      <c r="BH100" s="1018">
        <f t="shared" si="43"/>
        <v>0</v>
      </c>
    </row>
    <row r="101" spans="1:60" ht="15" customHeight="1" x14ac:dyDescent="0.3">
      <c r="A101" s="2033"/>
      <c r="B101" s="287" t="str">
        <f t="shared" si="44"/>
        <v/>
      </c>
      <c r="C101" s="288" t="str">
        <f t="shared" si="39"/>
        <v/>
      </c>
      <c r="D101" s="691"/>
      <c r="E101" s="692"/>
      <c r="F101" s="693"/>
      <c r="G101" s="694"/>
      <c r="H101" s="695"/>
      <c r="I101" s="289">
        <f>I100-SUM($D101:F101)</f>
        <v>0</v>
      </c>
      <c r="J101" s="1237" t="str">
        <f>$J$10</f>
        <v>% Mort/Sel Acm Tab :</v>
      </c>
      <c r="K101" s="1238">
        <f>IFERROR(LOOKUP($A96,TP!$A$6:$A$108,GSh!$AR$6:$AR$108)/100,0)</f>
        <v>0</v>
      </c>
      <c r="L101" s="1246"/>
      <c r="M101" s="291">
        <f t="shared" si="58"/>
        <v>0</v>
      </c>
      <c r="N101" s="292" t="str">
        <f>$N$10</f>
        <v xml:space="preserve">Uniformidad (C. Lote) : </v>
      </c>
      <c r="O101" s="320">
        <f>LOOKUP($A96,'Pr-Sem'!$A$6:$A$108,'Pr-Sem'!$AG$6:$AG$108)</f>
        <v>0</v>
      </c>
      <c r="P101" s="320">
        <v>90</v>
      </c>
      <c r="Q101" s="321">
        <f>IF(AND(P101&gt;0,O101&gt;0),(O101/P101-1)*100,0)</f>
        <v>0</v>
      </c>
      <c r="R101" s="699"/>
      <c r="S101" s="762"/>
      <c r="T101" s="765">
        <f t="shared" si="50"/>
        <v>0</v>
      </c>
      <c r="U101" s="700"/>
      <c r="V101" s="701"/>
      <c r="W101" s="701"/>
      <c r="X101" s="295">
        <f t="shared" si="45"/>
        <v>0</v>
      </c>
      <c r="Y101" s="296">
        <f>IF(AA101&gt;0,V101,AE96/IF(Iniciar!$C$25="B X 40 K",40,IF(Iniciar!$C$25="B X 50 K",50,1))*I101/1000)</f>
        <v>0</v>
      </c>
      <c r="Z101" s="296">
        <f t="shared" si="46"/>
        <v>0</v>
      </c>
      <c r="AA101" s="297">
        <f t="shared" si="59"/>
        <v>0</v>
      </c>
      <c r="AB101" s="297">
        <f t="shared" si="40"/>
        <v>0</v>
      </c>
      <c r="AC101" s="2037" t="str">
        <f>$AC$10</f>
        <v xml:space="preserve">Cons ml /ave día: </v>
      </c>
      <c r="AD101" s="2038"/>
      <c r="AE101" s="2056">
        <f>IFERROR(SUMPRODUCT(AB96:AB102,I96:I102)/SUM(I96:I102),0)</f>
        <v>0</v>
      </c>
      <c r="AF101" s="2057"/>
      <c r="AG101" s="311" t="str">
        <f>CONCATENATE("Costo ",Iniciar!$C$25," : ")</f>
        <v xml:space="preserve">Costo Kilos : </v>
      </c>
      <c r="AH101" s="2043">
        <f>IFERROR(SUMPRODUCT(T96:T102,V96:V102)/SUMIF(T96:T102,"&gt;0",V96:V102),0)</f>
        <v>0</v>
      </c>
      <c r="AI101" s="2043"/>
      <c r="AJ101" s="313"/>
      <c r="AK101" s="2027"/>
      <c r="AL101" s="1284">
        <f t="shared" si="41"/>
        <v>0</v>
      </c>
      <c r="AM101" s="1285"/>
      <c r="AN101" s="1285"/>
      <c r="AO101" s="1285"/>
      <c r="AP101" s="1285"/>
      <c r="AQ101" s="1285"/>
      <c r="AR101" s="1285"/>
      <c r="AS101" s="1286"/>
      <c r="AT101" s="1287"/>
      <c r="AU101" s="1288"/>
      <c r="AV101" s="1289"/>
      <c r="AW101" s="1290"/>
      <c r="AX101" s="1291"/>
      <c r="AY101" s="1291"/>
      <c r="AZ101" s="1292"/>
      <c r="BA101" s="1293"/>
      <c r="BB101" s="1294"/>
      <c r="BC101" s="1295"/>
      <c r="BD101" s="1296">
        <f>BD100+PROD!L101-BA101</f>
        <v>0</v>
      </c>
      <c r="BE101" s="2133"/>
      <c r="BF101" s="507" t="e">
        <f t="shared" si="42"/>
        <v>#VALUE!</v>
      </c>
      <c r="BG101" s="329"/>
      <c r="BH101" s="1018">
        <f t="shared" si="43"/>
        <v>0</v>
      </c>
    </row>
    <row r="102" spans="1:60" ht="15" customHeight="1" x14ac:dyDescent="0.3">
      <c r="A102" s="2034"/>
      <c r="B102" s="287" t="str">
        <f t="shared" si="44"/>
        <v/>
      </c>
      <c r="C102" s="288" t="str">
        <f t="shared" si="39"/>
        <v/>
      </c>
      <c r="D102" s="691"/>
      <c r="E102" s="692"/>
      <c r="F102" s="693"/>
      <c r="G102" s="694"/>
      <c r="H102" s="695"/>
      <c r="I102" s="289">
        <f>I101-SUM($D102:F102)</f>
        <v>0</v>
      </c>
      <c r="J102" s="1239" t="str">
        <f>$J$11</f>
        <v>% Viabilidad :</v>
      </c>
      <c r="K102" s="1240">
        <f>IF(OR(SUM(L96:L102)&gt;0,SUM(V96:V102)&gt;0),1-(K99+K100),0)</f>
        <v>0</v>
      </c>
      <c r="L102" s="1247"/>
      <c r="M102" s="1248">
        <f>IF(I102&gt;0,(L102/IF(SUM(L96:L101)&gt;0,1,7))/I102,0)</f>
        <v>0</v>
      </c>
      <c r="N102" s="1249" t="str">
        <f>$N$11</f>
        <v xml:space="preserve">Uniformidad (10% +) : </v>
      </c>
      <c r="O102" s="1250">
        <f>IF(O100&gt;0,IF(O101&gt;0,100-SUM(O100:O101),0),0)</f>
        <v>0</v>
      </c>
      <c r="P102" s="1251">
        <f>100-SUM(P100:P101)</f>
        <v>5</v>
      </c>
      <c r="Q102" s="1252">
        <f>IF(AND(P102&gt;0,O102&gt;0),(O102/P102-1)*100,0)</f>
        <v>0</v>
      </c>
      <c r="R102" s="699"/>
      <c r="S102" s="762"/>
      <c r="T102" s="765">
        <f t="shared" si="50"/>
        <v>0</v>
      </c>
      <c r="U102" s="700"/>
      <c r="V102" s="701"/>
      <c r="W102" s="701"/>
      <c r="X102" s="295">
        <f t="shared" si="45"/>
        <v>0</v>
      </c>
      <c r="Y102" s="296">
        <f>IF(AA102&gt;0,V102,AE96/IF(Iniciar!$C$25="B X 40 K",40,IF(Iniciar!$C$25="B X 50 K",50,1))*I102/1000)</f>
        <v>0</v>
      </c>
      <c r="Z102" s="296">
        <f t="shared" si="46"/>
        <v>0</v>
      </c>
      <c r="AA102" s="297">
        <f>IF(I102&gt;0,(V102/IF(SUM(V96:V101)&gt;0,1,7))*$A$1/I102,0)</f>
        <v>0</v>
      </c>
      <c r="AB102" s="297">
        <f t="shared" si="40"/>
        <v>0</v>
      </c>
      <c r="AC102" s="2039" t="str">
        <f>$AC$11</f>
        <v xml:space="preserve">Relación Agua /Alimto: </v>
      </c>
      <c r="AD102" s="2040"/>
      <c r="AE102" s="2058">
        <f>IFERROR(AE101/AD96,0)</f>
        <v>0</v>
      </c>
      <c r="AF102" s="2059"/>
      <c r="AG102" s="1269" t="s">
        <v>237</v>
      </c>
      <c r="AH102" s="1270">
        <f>IF(SUM(L96:L102)&gt;0,AH101*SUM(V96:V102)/SUM(L96:L102),0)</f>
        <v>0</v>
      </c>
      <c r="AI102" s="1270">
        <f>IF(AND($A$1&gt;0,P96&gt;0),AH101/$A$1*(AE96/P96)*100,0)</f>
        <v>0</v>
      </c>
      <c r="AJ102" s="1271">
        <f t="shared" ref="AJ102:AJ107" si="60">IF(AND(AI102&gt;0,AH102&gt;0),(AH102/AI102-1)*100,0)</f>
        <v>0</v>
      </c>
      <c r="AK102" s="2028"/>
      <c r="AL102" s="1284">
        <f t="shared" si="41"/>
        <v>0</v>
      </c>
      <c r="AM102" s="1285"/>
      <c r="AN102" s="1285"/>
      <c r="AO102" s="1285"/>
      <c r="AP102" s="1285"/>
      <c r="AQ102" s="1285"/>
      <c r="AR102" s="1285"/>
      <c r="AS102" s="1286"/>
      <c r="AT102" s="1287"/>
      <c r="AU102" s="1288"/>
      <c r="AV102" s="1289"/>
      <c r="AW102" s="1290"/>
      <c r="AX102" s="1291"/>
      <c r="AY102" s="1291"/>
      <c r="AZ102" s="1292"/>
      <c r="BA102" s="1293"/>
      <c r="BB102" s="1294"/>
      <c r="BC102" s="1295"/>
      <c r="BD102" s="1296">
        <f>BD101+PROD!L102-BA102</f>
        <v>0</v>
      </c>
      <c r="BE102" s="2134"/>
      <c r="BF102" s="507" t="e">
        <f t="shared" si="42"/>
        <v>#VALUE!</v>
      </c>
      <c r="BG102" s="329"/>
      <c r="BH102" s="1018">
        <f t="shared" si="43"/>
        <v>0</v>
      </c>
    </row>
    <row r="103" spans="1:60" ht="15" customHeight="1" x14ac:dyDescent="0.3">
      <c r="A103" s="2032">
        <f>A96+1</f>
        <v>32</v>
      </c>
      <c r="B103" s="287" t="str">
        <f t="shared" si="44"/>
        <v/>
      </c>
      <c r="C103" s="288" t="str">
        <f t="shared" si="39"/>
        <v/>
      </c>
      <c r="D103" s="691"/>
      <c r="E103" s="692"/>
      <c r="F103" s="693"/>
      <c r="G103" s="694"/>
      <c r="H103" s="695"/>
      <c r="I103" s="289">
        <f>I102-SUM($D103:F103)</f>
        <v>0</v>
      </c>
      <c r="J103" s="1232" t="str">
        <f>$J$5</f>
        <v>% Mort Sem :</v>
      </c>
      <c r="K103" s="1233">
        <f>IF(PROD!$K$2&gt;0,SUM(D103:D109)/PROD!$K$2,0)</f>
        <v>0</v>
      </c>
      <c r="L103" s="1241"/>
      <c r="M103" s="1242">
        <f t="shared" ref="M103:M108" si="61">IF(I103&gt;0,L103/I103,0)</f>
        <v>0</v>
      </c>
      <c r="N103" s="1243" t="str">
        <f>$N$5</f>
        <v xml:space="preserve">% Pdn prom semana : </v>
      </c>
      <c r="O103" s="1244">
        <f>IF(SUM(L103:L108)&gt;0,100*SUMPRODUCT(M103:M109,I103:I109)/SUMIF(L103:L109,"&gt;0",I103:I109),IF(L109&gt;0,100*L109/7/I109,0))</f>
        <v>0</v>
      </c>
      <c r="P103" s="1244">
        <f>IFERROR(LOOKUP($A103,TP!$A$6:$A$108,GSh!$AE$6:$AE$108),0)</f>
        <v>0</v>
      </c>
      <c r="Q103" s="1245">
        <f>IF(AND(P103&gt;0,O103&gt;0),O103-P103,0)</f>
        <v>0</v>
      </c>
      <c r="R103" s="699"/>
      <c r="S103" s="762"/>
      <c r="T103" s="765">
        <f t="shared" si="50"/>
        <v>0</v>
      </c>
      <c r="U103" s="700"/>
      <c r="V103" s="701"/>
      <c r="W103" s="701"/>
      <c r="X103" s="295">
        <f t="shared" si="45"/>
        <v>0</v>
      </c>
      <c r="Y103" s="296">
        <f>IF(AA103&gt;0,V103,AE103/IF(Iniciar!$C$25="B X 40 K",40,IF(Iniciar!$C$25="B X 50 K",50,1))*I103/1000)</f>
        <v>0</v>
      </c>
      <c r="Z103" s="296">
        <f t="shared" si="46"/>
        <v>0</v>
      </c>
      <c r="AA103" s="297">
        <f t="shared" ref="AA103:AA108" si="62">IF(I103&gt;0,V103*$A$1/I103,0)</f>
        <v>0</v>
      </c>
      <c r="AB103" s="297">
        <f t="shared" si="40"/>
        <v>0</v>
      </c>
      <c r="AC103" s="1261" t="str">
        <f>$AC$5</f>
        <v>Gr. Ave Dia :</v>
      </c>
      <c r="AD103" s="1262">
        <f>IF(SUMIF(V103:V109,"&gt;0")&gt;0,SUMPRODUCT(AA103:AA109,I103:I109)/SUMIF(AA103:AA109,"&gt;0",I103:I109),0)</f>
        <v>0</v>
      </c>
      <c r="AE103" s="1262">
        <f>IFERROR(LOOKUP($A103,TP!$A$6:$A$108,GSh!$AU$6:$AU$108),0)</f>
        <v>0</v>
      </c>
      <c r="AF103" s="1263">
        <f>IF(AND(AE103&gt;0,AD103&gt;0),(AD103/AE103-1)*100,0)</f>
        <v>0</v>
      </c>
      <c r="AG103" s="1264" t="str">
        <f>PROD!$AG$5</f>
        <v>Gr X H</v>
      </c>
      <c r="AH103" s="1265">
        <f>IF(PROD!O103&gt;0,IF($AG103="Gr X H",PROD!AD103/PROD!O103*100,IF($AG103="Conv Kg/Doc",PROD!AD103/PROD!O103*1.2,IF(PROD!$O105&gt;0,PROD!AD103/(PROD!O103*PROD!$O105)*100,0))),0)</f>
        <v>0</v>
      </c>
      <c r="AI103" s="1265">
        <f>IF(PROD!P103&gt;0,IF($AG103="Gr X H",PROD!AE103/PROD!P103*100,IF($AG103="Conv Kg/Doc",PROD!AE103/PROD!P103*1.2,IF(PROD!$P105&gt;0,PROD!AE103/(PROD!P103*PROD!$P105)*100,0))),0)</f>
        <v>0</v>
      </c>
      <c r="AJ103" s="1266">
        <f t="shared" si="60"/>
        <v>0</v>
      </c>
      <c r="AK103" s="2026"/>
      <c r="AL103" s="1284">
        <f t="shared" si="41"/>
        <v>0</v>
      </c>
      <c r="AM103" s="1285"/>
      <c r="AN103" s="1285"/>
      <c r="AO103" s="1285"/>
      <c r="AP103" s="1285"/>
      <c r="AQ103" s="1285"/>
      <c r="AR103" s="1285"/>
      <c r="AS103" s="1286"/>
      <c r="AT103" s="1287"/>
      <c r="AU103" s="1288"/>
      <c r="AV103" s="1289"/>
      <c r="AW103" s="1290"/>
      <c r="AX103" s="1291"/>
      <c r="AY103" s="1291"/>
      <c r="AZ103" s="1292"/>
      <c r="BA103" s="1293"/>
      <c r="BB103" s="1294"/>
      <c r="BC103" s="1295"/>
      <c r="BD103" s="1296">
        <f>BD102+PROD!L103-BA103</f>
        <v>0</v>
      </c>
      <c r="BE103" s="2132">
        <f>IF(SUM(AM103:AZ109)&gt;0,(SUM(AM103:AM109)*$AM$2+SUM(AN103:AN109)*$AN$2+SUM(AO103:AO109)*$AO$2+SUM(AP103:AP109)*$AP$2+SUM(AQ103:AQ109)*$AQ$2+SUM(AR103:AR109)*$AR$2+SUM(AS103:AS109)*$AS$2+SUM(AW103:AW109)*$AW$2+SUM(AX103:AX109)*$AX$2+SUM(AY103:AY109)*$AY$2+SUM(AZ103:AZ109)*$AZ$2+SUM(AT103:AT109)*$AT$2+SUM(AU103:AU109)*$AU$2+SUM(AV103:AV109)*$AV$2)/SUM(AM103:AZ109),0)</f>
        <v>0</v>
      </c>
      <c r="BF103" s="507" t="e">
        <f t="shared" si="42"/>
        <v>#VALUE!</v>
      </c>
      <c r="BG103" s="277">
        <f>IF(SUM(L103:L109)&gt;0,A103,IF(SUM(V103:V109)&gt;0,A103,BG96))</f>
        <v>0</v>
      </c>
      <c r="BH103" s="1018">
        <f t="shared" si="43"/>
        <v>0</v>
      </c>
    </row>
    <row r="104" spans="1:60" ht="15" customHeight="1" x14ac:dyDescent="0.3">
      <c r="A104" s="2033"/>
      <c r="B104" s="287" t="str">
        <f t="shared" si="44"/>
        <v/>
      </c>
      <c r="C104" s="288" t="str">
        <f t="shared" si="39"/>
        <v/>
      </c>
      <c r="D104" s="691"/>
      <c r="E104" s="692"/>
      <c r="F104" s="693"/>
      <c r="G104" s="694"/>
      <c r="H104" s="695"/>
      <c r="I104" s="289">
        <f>I103-SUM($D104:F104)</f>
        <v>0</v>
      </c>
      <c r="J104" s="1234" t="str">
        <f>$J$6</f>
        <v>% Sel Sem :</v>
      </c>
      <c r="K104" s="1231">
        <f>IF(PROD!$K$2&gt;0,SUM(E103:E109)/PROD!$K$2,0)</f>
        <v>0</v>
      </c>
      <c r="L104" s="1246"/>
      <c r="M104" s="291">
        <f t="shared" si="61"/>
        <v>0</v>
      </c>
      <c r="N104" s="292" t="str">
        <f>$N$6</f>
        <v xml:space="preserve">H. Ave Alojada : </v>
      </c>
      <c r="O104" s="293">
        <f>IF(AND(PROD!$K$2&gt;0,O103&gt;0),SUM(L$5:L109)/PROD!$K$2,0)</f>
        <v>0</v>
      </c>
      <c r="P104" s="293">
        <f>IFERROR(LOOKUP($A103,TP!$A$6:$A$108,GSh!$AJ$6:$AJ$108),0)</f>
        <v>0</v>
      </c>
      <c r="Q104" s="294">
        <f>IF(AND(P104&gt;0,O104&gt;0),O104-P104,0)</f>
        <v>0</v>
      </c>
      <c r="R104" s="699"/>
      <c r="S104" s="762"/>
      <c r="T104" s="765">
        <f t="shared" si="50"/>
        <v>0</v>
      </c>
      <c r="U104" s="700"/>
      <c r="V104" s="701"/>
      <c r="W104" s="701"/>
      <c r="X104" s="295">
        <f t="shared" si="45"/>
        <v>0</v>
      </c>
      <c r="Y104" s="296">
        <f>IF(AA104&gt;0,V104,AE103/IF(Iniciar!$C$25="B X 40 K",40,IF(Iniciar!$C$25="B X 50 K",50,1))*I104/1000)</f>
        <v>0</v>
      </c>
      <c r="Z104" s="296">
        <f t="shared" si="46"/>
        <v>0</v>
      </c>
      <c r="AA104" s="297">
        <f t="shared" si="62"/>
        <v>0</v>
      </c>
      <c r="AB104" s="297">
        <f t="shared" si="40"/>
        <v>0</v>
      </c>
      <c r="AC104" s="1267" t="str">
        <f>$AC$6</f>
        <v>Gr. Ave Sem :</v>
      </c>
      <c r="AD104" s="284">
        <f>AD103*7</f>
        <v>0</v>
      </c>
      <c r="AE104" s="284">
        <f>AE103*7</f>
        <v>0</v>
      </c>
      <c r="AF104" s="285">
        <f>IF(AND(AE104&gt;0,AD104&gt;0),(AD104/AE104-1)*100,0)</f>
        <v>0</v>
      </c>
      <c r="AG104" s="1199" t="str">
        <f>PROD!$AG$6</f>
        <v>Gr X H Acm</v>
      </c>
      <c r="AH104" s="298">
        <f>IF(SUM(PROD!L103:L109)&gt;0,IF(PROD!$AG$5="Gr X H",SUM(PROD!V$5:V109)*PROD!$A$1/SUM(PROD!L$5:L109),IF($AG103="Conv Kg/Doc",(SUM(PROD!V$5:V109)*PROD!$A$1/1000)/(SUM(PROD!L$5:L109)/12),IF(PROD!$O105&gt;0,SUM(PROD!V$5:V109)*PROD!$A$1/(SUM(PROD!L$5:L109)*LOOKUP(PROD!A103,TP!$A$6:$A$108,GSh!$BB$6:$BB$108)),0))),0)</f>
        <v>0</v>
      </c>
      <c r="AI104" s="298">
        <f>IF(PROD!P103&gt;0,IF($AG103="Gr X H",PROD!AE103/PROD!P103*100,IF($AG103="Conv Kg/Doc",PROD!AE103/PROD!P103*1.2,IF(PROD!$P104&gt;0,PROD!AE105/(PROD!P104*LOOKUP(PROD!$A103,TP!$A$6:$A$108,GSh!$BC$6:$BC$108)/1000),0))),0)</f>
        <v>0</v>
      </c>
      <c r="AJ104" s="328">
        <f t="shared" si="60"/>
        <v>0</v>
      </c>
      <c r="AK104" s="2027"/>
      <c r="AL104" s="1284">
        <f t="shared" si="41"/>
        <v>0</v>
      </c>
      <c r="AM104" s="1285"/>
      <c r="AN104" s="1285"/>
      <c r="AO104" s="1285"/>
      <c r="AP104" s="1285"/>
      <c r="AQ104" s="1285"/>
      <c r="AR104" s="1285"/>
      <c r="AS104" s="1286"/>
      <c r="AT104" s="1287"/>
      <c r="AU104" s="1288"/>
      <c r="AV104" s="1289"/>
      <c r="AW104" s="1290"/>
      <c r="AX104" s="1291"/>
      <c r="AY104" s="1291"/>
      <c r="AZ104" s="1292"/>
      <c r="BA104" s="1293"/>
      <c r="BB104" s="1294"/>
      <c r="BC104" s="1295"/>
      <c r="BD104" s="1296">
        <f>BD103+PROD!L104-BA104</f>
        <v>0</v>
      </c>
      <c r="BE104" s="2133"/>
      <c r="BF104" s="507" t="e">
        <f t="shared" si="42"/>
        <v>#VALUE!</v>
      </c>
      <c r="BG104" s="329"/>
      <c r="BH104" s="1018">
        <f t="shared" si="43"/>
        <v>0</v>
      </c>
    </row>
    <row r="105" spans="1:60" ht="15" customHeight="1" x14ac:dyDescent="0.3">
      <c r="A105" s="2033"/>
      <c r="B105" s="287" t="str">
        <f t="shared" si="44"/>
        <v/>
      </c>
      <c r="C105" s="288" t="str">
        <f t="shared" si="39"/>
        <v/>
      </c>
      <c r="D105" s="691"/>
      <c r="E105" s="692"/>
      <c r="F105" s="693"/>
      <c r="G105" s="694"/>
      <c r="H105" s="695"/>
      <c r="I105" s="289">
        <f>I104-SUM($D105:F105)</f>
        <v>0</v>
      </c>
      <c r="J105" s="1235" t="str">
        <f>$J$7</f>
        <v>% Mort/Sel Sem Tab :</v>
      </c>
      <c r="K105" s="1236">
        <f>K108-K101</f>
        <v>0</v>
      </c>
      <c r="L105" s="1246"/>
      <c r="M105" s="291">
        <f t="shared" si="61"/>
        <v>0</v>
      </c>
      <c r="N105" s="304" t="str">
        <f>$N$7</f>
        <v xml:space="preserve">Peso Huevo (Gr) : </v>
      </c>
      <c r="O105" s="305">
        <f>LOOKUP($A103,'Pr-Sem'!$A$6:$A$108,'Pr-Sem'!$Z$6:$Z$108)</f>
        <v>0</v>
      </c>
      <c r="P105" s="305">
        <f>IFERROR(LOOKUP($A103,TP!$A$6:$A$108,GSh!$AZ$6:$AZ$108),0)</f>
        <v>0</v>
      </c>
      <c r="Q105" s="306">
        <f>IF(AND(P105&gt;0,O105&gt;0),O105-P105,0)</f>
        <v>0</v>
      </c>
      <c r="R105" s="699"/>
      <c r="S105" s="762"/>
      <c r="T105" s="765">
        <f t="shared" si="50"/>
        <v>0</v>
      </c>
      <c r="U105" s="700"/>
      <c r="V105" s="701"/>
      <c r="W105" s="701"/>
      <c r="X105" s="295">
        <f t="shared" si="45"/>
        <v>0</v>
      </c>
      <c r="Y105" s="296">
        <f>IF(AA105&gt;0,V105,AE103/IF(Iniciar!$C$25="B X 40 K",40,IF(Iniciar!$C$25="B X 50 K",50,1))*I105/1000)</f>
        <v>0</v>
      </c>
      <c r="Z105" s="296">
        <f t="shared" si="46"/>
        <v>0</v>
      </c>
      <c r="AA105" s="297">
        <f t="shared" si="62"/>
        <v>0</v>
      </c>
      <c r="AB105" s="297">
        <f t="shared" si="40"/>
        <v>0</v>
      </c>
      <c r="AC105" s="1268" t="str">
        <f>$AC$7</f>
        <v>Kg Ave Acu :</v>
      </c>
      <c r="AD105" s="308">
        <f>IF(OR(SUM(L103:L109)&gt;0,SUM(V103:V109)&gt;0),AD104/1000+AD98,0)</f>
        <v>0</v>
      </c>
      <c r="AE105" s="309">
        <f>AE104/1000+AE98</f>
        <v>0</v>
      </c>
      <c r="AF105" s="310">
        <f>IF(AND(AE105&gt;0,AD105&gt;0),(AD105/AE105-1)*100,0)</f>
        <v>0</v>
      </c>
      <c r="AG105" s="311" t="str">
        <f>PROD!$AG$7</f>
        <v xml:space="preserve">Masa Sem H (Gr) : </v>
      </c>
      <c r="AH105" s="312">
        <f>PROD!O103/100*7*PROD!O105</f>
        <v>0</v>
      </c>
      <c r="AI105" s="312">
        <f>PROD!P103/100*7*PROD!P105</f>
        <v>0</v>
      </c>
      <c r="AJ105" s="313">
        <f t="shared" si="60"/>
        <v>0</v>
      </c>
      <c r="AK105" s="2027"/>
      <c r="AL105" s="1284">
        <f t="shared" si="41"/>
        <v>0</v>
      </c>
      <c r="AM105" s="1285"/>
      <c r="AN105" s="1285"/>
      <c r="AO105" s="1285"/>
      <c r="AP105" s="1285"/>
      <c r="AQ105" s="1285"/>
      <c r="AR105" s="1285"/>
      <c r="AS105" s="1286"/>
      <c r="AT105" s="1287"/>
      <c r="AU105" s="1288"/>
      <c r="AV105" s="1289"/>
      <c r="AW105" s="1290"/>
      <c r="AX105" s="1291"/>
      <c r="AY105" s="1291"/>
      <c r="AZ105" s="1292"/>
      <c r="BA105" s="1293"/>
      <c r="BB105" s="1294"/>
      <c r="BC105" s="1295"/>
      <c r="BD105" s="1296">
        <f>BD104+PROD!L105-BA105</f>
        <v>0</v>
      </c>
      <c r="BE105" s="2133"/>
      <c r="BF105" s="507" t="e">
        <f t="shared" si="42"/>
        <v>#VALUE!</v>
      </c>
      <c r="BG105" s="329"/>
      <c r="BH105" s="1018">
        <f t="shared" si="43"/>
        <v>0</v>
      </c>
    </row>
    <row r="106" spans="1:60" ht="15" customHeight="1" x14ac:dyDescent="0.3">
      <c r="A106" s="2033"/>
      <c r="B106" s="287" t="str">
        <f t="shared" si="44"/>
        <v/>
      </c>
      <c r="C106" s="288" t="str">
        <f t="shared" si="39"/>
        <v/>
      </c>
      <c r="D106" s="691"/>
      <c r="E106" s="692"/>
      <c r="F106" s="693"/>
      <c r="G106" s="694"/>
      <c r="H106" s="695"/>
      <c r="I106" s="289">
        <f>I105-SUM($D106:F106)</f>
        <v>0</v>
      </c>
      <c r="J106" s="1234" t="str">
        <f>$J$8</f>
        <v>% Mort Acm :</v>
      </c>
      <c r="K106" s="1231">
        <f>IF(PROD!$K$2&gt;0,SUM(D$5:D109)/PROD!$K$2,0)</f>
        <v>0</v>
      </c>
      <c r="L106" s="1246"/>
      <c r="M106" s="291">
        <f t="shared" si="61"/>
        <v>0</v>
      </c>
      <c r="N106" s="314" t="str">
        <f>N$8</f>
        <v xml:space="preserve">Peso Ave (Gr) : </v>
      </c>
      <c r="O106" s="315">
        <f>LOOKUP($A103,GSh!$BV$6:$BV$108,GSh!$BJ$6:$BJ$108)</f>
        <v>0</v>
      </c>
      <c r="P106" s="315">
        <f>IFERROR(LOOKUP($A103,TP!$A$6:$A$108,GSh!$BK$6:$BK$108),0)</f>
        <v>0</v>
      </c>
      <c r="Q106" s="316">
        <f>IF(AND(P106&gt;0,O106&gt;0),(O106/P106-1)*100,0)</f>
        <v>0</v>
      </c>
      <c r="R106" s="699"/>
      <c r="S106" s="762"/>
      <c r="T106" s="765">
        <f t="shared" si="50"/>
        <v>0</v>
      </c>
      <c r="U106" s="700"/>
      <c r="V106" s="701"/>
      <c r="W106" s="701"/>
      <c r="X106" s="295">
        <f t="shared" si="45"/>
        <v>0</v>
      </c>
      <c r="Y106" s="296">
        <f>IF(AA106&gt;0,V106,AE103/IF(Iniciar!$C$25="B X 40 K",40,IF(Iniciar!$C$25="B X 50 K",50,1))*I106/1000)</f>
        <v>0</v>
      </c>
      <c r="Z106" s="296">
        <f t="shared" si="46"/>
        <v>0</v>
      </c>
      <c r="AA106" s="297">
        <f t="shared" si="62"/>
        <v>0</v>
      </c>
      <c r="AB106" s="297">
        <f t="shared" si="40"/>
        <v>0</v>
      </c>
      <c r="AC106" s="541" t="str">
        <f>$AC$8</f>
        <v xml:space="preserve">Ton. Lote Acu : </v>
      </c>
      <c r="AD106" s="544">
        <f>SUM($V$5:$V109)*$A$1/1000000</f>
        <v>0</v>
      </c>
      <c r="AE106" s="543">
        <f>AE99+(AE103/1000000*7*(I103+I109)/2)</f>
        <v>0</v>
      </c>
      <c r="AF106" s="542">
        <f>IF(AND(AE106&gt;0,AD106&gt;0),(AD106/AE106-1)*100,0)</f>
        <v>0</v>
      </c>
      <c r="AG106" s="317" t="str">
        <f>PROD!$AG$8</f>
        <v xml:space="preserve">Masa Ac A. A (Kg) : </v>
      </c>
      <c r="AH106" s="318">
        <f>IF(PROD!$K$2&gt;0,SUM(PROD!L$5:L109)*LOOKUP(PROD!$A103,TP!$A$6:$A$108,GSh!$BB$6:$BB$108)/1000/PROD!$K$2,0)</f>
        <v>0</v>
      </c>
      <c r="AI106" s="318">
        <f>IFERROR(PROD!P104*LOOKUP(PROD!$A103,TP!$A$6:$A$108,GSh!$BC$6:$BC$108)/1000,0)</f>
        <v>0</v>
      </c>
      <c r="AJ106" s="330">
        <f t="shared" si="60"/>
        <v>0</v>
      </c>
      <c r="AK106" s="2027"/>
      <c r="AL106" s="1284">
        <f t="shared" si="41"/>
        <v>0</v>
      </c>
      <c r="AM106" s="1285"/>
      <c r="AN106" s="1285"/>
      <c r="AO106" s="1285"/>
      <c r="AP106" s="1285"/>
      <c r="AQ106" s="1285"/>
      <c r="AR106" s="1285"/>
      <c r="AS106" s="1286"/>
      <c r="AT106" s="1287"/>
      <c r="AU106" s="1288"/>
      <c r="AV106" s="1289"/>
      <c r="AW106" s="1290"/>
      <c r="AX106" s="1291"/>
      <c r="AY106" s="1291"/>
      <c r="AZ106" s="1292"/>
      <c r="BA106" s="1293"/>
      <c r="BB106" s="1294"/>
      <c r="BC106" s="1295"/>
      <c r="BD106" s="1296">
        <f>BD105+PROD!L106-BA106</f>
        <v>0</v>
      </c>
      <c r="BE106" s="2133"/>
      <c r="BF106" s="507" t="e">
        <f t="shared" si="42"/>
        <v>#VALUE!</v>
      </c>
      <c r="BG106" s="329"/>
      <c r="BH106" s="1018">
        <f t="shared" si="43"/>
        <v>0</v>
      </c>
    </row>
    <row r="107" spans="1:60" ht="15" customHeight="1" x14ac:dyDescent="0.3">
      <c r="A107" s="2033"/>
      <c r="B107" s="287" t="str">
        <f t="shared" si="44"/>
        <v/>
      </c>
      <c r="C107" s="288" t="str">
        <f t="shared" si="39"/>
        <v/>
      </c>
      <c r="D107" s="691"/>
      <c r="E107" s="692"/>
      <c r="F107" s="693"/>
      <c r="G107" s="694"/>
      <c r="H107" s="695"/>
      <c r="I107" s="289">
        <f>I106-SUM($D107:F107)</f>
        <v>0</v>
      </c>
      <c r="J107" s="1234" t="str">
        <f>$J$9</f>
        <v>% Sel Acm :</v>
      </c>
      <c r="K107" s="1231">
        <f>IF(PROD!$K$2&gt;0,SUM(E$5:E109)/PROD!$K$2,0)</f>
        <v>0</v>
      </c>
      <c r="L107" s="1246"/>
      <c r="M107" s="291">
        <f t="shared" si="61"/>
        <v>0</v>
      </c>
      <c r="N107" s="292" t="str">
        <f>$N$9</f>
        <v xml:space="preserve">Uniformidad (10% -) : </v>
      </c>
      <c r="O107" s="320">
        <f>LOOKUP($A103,'Pr-Sem'!$A$6:$A$108,'Pr-Sem'!$AH$6:$AH$108)</f>
        <v>0</v>
      </c>
      <c r="P107" s="320">
        <v>5</v>
      </c>
      <c r="Q107" s="321">
        <f>IF(AND(P107&gt;0,O107&gt;0),(1-O107/P107)*100,0)</f>
        <v>0</v>
      </c>
      <c r="R107" s="699"/>
      <c r="S107" s="762"/>
      <c r="T107" s="765">
        <f t="shared" si="50"/>
        <v>0</v>
      </c>
      <c r="U107" s="700"/>
      <c r="V107" s="701"/>
      <c r="W107" s="701"/>
      <c r="X107" s="295">
        <f t="shared" si="45"/>
        <v>0</v>
      </c>
      <c r="Y107" s="296">
        <f>IF(AA107&gt;0,V107,AE103/IF(Iniciar!$C$25="B X 40 K",40,IF(Iniciar!$C$25="B X 50 K",50,1))*I107/1000)</f>
        <v>0</v>
      </c>
      <c r="Z107" s="296">
        <f t="shared" si="46"/>
        <v>0</v>
      </c>
      <c r="AA107" s="297">
        <f t="shared" si="62"/>
        <v>0</v>
      </c>
      <c r="AB107" s="297">
        <f t="shared" si="40"/>
        <v>0</v>
      </c>
      <c r="AC107" s="2035" t="str">
        <f>$AC$9</f>
        <v xml:space="preserve">Total Litros Sem: </v>
      </c>
      <c r="AD107" s="2036"/>
      <c r="AE107" s="2050">
        <f>SUM(R103:R109)</f>
        <v>0</v>
      </c>
      <c r="AF107" s="2051"/>
      <c r="AG107" s="554" t="str">
        <f>$AG$9</f>
        <v xml:space="preserve">Indicador Eficiencia : </v>
      </c>
      <c r="AH107" s="555">
        <f>IF(AND(AE107&gt;0,O104&gt;0,O105&gt;0,SUM(L103:L109)&gt;0),(PROD!AH106/O104)*K109*100/(AE107/(SUM(L103:L109)*O105/1000)),0)</f>
        <v>0</v>
      </c>
      <c r="AI107" s="555">
        <f>IF(AND(P104&gt;0,PROD!AI105&gt;0),(PROD!AI106/P104)*(1-K108)*100/(AE104/PROD!AI105),0)</f>
        <v>0</v>
      </c>
      <c r="AJ107" s="331">
        <f t="shared" si="60"/>
        <v>0</v>
      </c>
      <c r="AK107" s="2027"/>
      <c r="AL107" s="1284">
        <f t="shared" si="41"/>
        <v>0</v>
      </c>
      <c r="AM107" s="1285"/>
      <c r="AN107" s="1285"/>
      <c r="AO107" s="1285"/>
      <c r="AP107" s="1285"/>
      <c r="AQ107" s="1285"/>
      <c r="AR107" s="1285"/>
      <c r="AS107" s="1286"/>
      <c r="AT107" s="1287"/>
      <c r="AU107" s="1288"/>
      <c r="AV107" s="1289"/>
      <c r="AW107" s="1290"/>
      <c r="AX107" s="1291"/>
      <c r="AY107" s="1291"/>
      <c r="AZ107" s="1292"/>
      <c r="BA107" s="1293"/>
      <c r="BB107" s="1294"/>
      <c r="BC107" s="1295"/>
      <c r="BD107" s="1296">
        <f>BD106+PROD!L107-BA107</f>
        <v>0</v>
      </c>
      <c r="BE107" s="2133"/>
      <c r="BF107" s="507" t="e">
        <f t="shared" si="42"/>
        <v>#VALUE!</v>
      </c>
      <c r="BG107" s="329"/>
      <c r="BH107" s="1018">
        <f t="shared" si="43"/>
        <v>0</v>
      </c>
    </row>
    <row r="108" spans="1:60" ht="15" customHeight="1" x14ac:dyDescent="0.3">
      <c r="A108" s="2033"/>
      <c r="B108" s="287" t="str">
        <f t="shared" si="44"/>
        <v/>
      </c>
      <c r="C108" s="288" t="str">
        <f t="shared" si="39"/>
        <v/>
      </c>
      <c r="D108" s="691"/>
      <c r="E108" s="692"/>
      <c r="F108" s="693"/>
      <c r="G108" s="694"/>
      <c r="H108" s="695"/>
      <c r="I108" s="289">
        <f>I107-SUM($D108:F108)</f>
        <v>0</v>
      </c>
      <c r="J108" s="1237" t="str">
        <f>$J$10</f>
        <v>% Mort/Sel Acm Tab :</v>
      </c>
      <c r="K108" s="1238">
        <f>IFERROR(LOOKUP($A103,TP!$A$6:$A$108,GSh!$AR$6:$AR$108)/100,0)</f>
        <v>0</v>
      </c>
      <c r="L108" s="1246"/>
      <c r="M108" s="291">
        <f t="shared" si="61"/>
        <v>0</v>
      </c>
      <c r="N108" s="292" t="str">
        <f>$N$10</f>
        <v xml:space="preserve">Uniformidad (C. Lote) : </v>
      </c>
      <c r="O108" s="320">
        <f>LOOKUP($A103,'Pr-Sem'!$A$6:$A$108,'Pr-Sem'!$AG$6:$AG$108)</f>
        <v>0</v>
      </c>
      <c r="P108" s="320">
        <v>90</v>
      </c>
      <c r="Q108" s="321">
        <f>IF(AND(P108&gt;0,O108&gt;0),(O108/P108-1)*100,0)</f>
        <v>0</v>
      </c>
      <c r="R108" s="699"/>
      <c r="S108" s="762"/>
      <c r="T108" s="765">
        <f t="shared" si="50"/>
        <v>0</v>
      </c>
      <c r="U108" s="700"/>
      <c r="V108" s="701"/>
      <c r="W108" s="701"/>
      <c r="X108" s="295">
        <f t="shared" si="45"/>
        <v>0</v>
      </c>
      <c r="Y108" s="296">
        <f>IF(AA108&gt;0,V108,AE103/IF(Iniciar!$C$25="B X 40 K",40,IF(Iniciar!$C$25="B X 50 K",50,1))*I108/1000)</f>
        <v>0</v>
      </c>
      <c r="Z108" s="296">
        <f t="shared" si="46"/>
        <v>0</v>
      </c>
      <c r="AA108" s="297">
        <f t="shared" si="62"/>
        <v>0</v>
      </c>
      <c r="AB108" s="297">
        <f t="shared" si="40"/>
        <v>0</v>
      </c>
      <c r="AC108" s="2037" t="str">
        <f>$AC$10</f>
        <v xml:space="preserve">Cons ml /ave día: </v>
      </c>
      <c r="AD108" s="2038"/>
      <c r="AE108" s="2056">
        <f>IFERROR(SUMPRODUCT(AB103:AB109,I103:I109)/SUM(I103:I109),0)</f>
        <v>0</v>
      </c>
      <c r="AF108" s="2057"/>
      <c r="AG108" s="311" t="str">
        <f>CONCATENATE("Costo ",Iniciar!$C$25," : ")</f>
        <v xml:space="preserve">Costo Kilos : </v>
      </c>
      <c r="AH108" s="2043">
        <f>IFERROR(SUMPRODUCT(T103:T109,V103:V109)/SUMIF(T103:T109,"&gt;0",V103:V109),0)</f>
        <v>0</v>
      </c>
      <c r="AI108" s="2043"/>
      <c r="AJ108" s="313"/>
      <c r="AK108" s="2027"/>
      <c r="AL108" s="1284">
        <f t="shared" si="41"/>
        <v>0</v>
      </c>
      <c r="AM108" s="1285"/>
      <c r="AN108" s="1285"/>
      <c r="AO108" s="1285"/>
      <c r="AP108" s="1285"/>
      <c r="AQ108" s="1285"/>
      <c r="AR108" s="1285"/>
      <c r="AS108" s="1286"/>
      <c r="AT108" s="1287"/>
      <c r="AU108" s="1288"/>
      <c r="AV108" s="1289"/>
      <c r="AW108" s="1290"/>
      <c r="AX108" s="1291"/>
      <c r="AY108" s="1291"/>
      <c r="AZ108" s="1292"/>
      <c r="BA108" s="1293"/>
      <c r="BB108" s="1294"/>
      <c r="BC108" s="1295"/>
      <c r="BD108" s="1296">
        <f>BD107+PROD!L108-BA108</f>
        <v>0</v>
      </c>
      <c r="BE108" s="2133"/>
      <c r="BF108" s="507" t="e">
        <f t="shared" si="42"/>
        <v>#VALUE!</v>
      </c>
      <c r="BG108" s="329"/>
      <c r="BH108" s="1018">
        <f t="shared" si="43"/>
        <v>0</v>
      </c>
    </row>
    <row r="109" spans="1:60" ht="15" customHeight="1" x14ac:dyDescent="0.3">
      <c r="A109" s="2034"/>
      <c r="B109" s="287" t="str">
        <f t="shared" si="44"/>
        <v/>
      </c>
      <c r="C109" s="288" t="str">
        <f t="shared" si="39"/>
        <v/>
      </c>
      <c r="D109" s="691"/>
      <c r="E109" s="692"/>
      <c r="F109" s="693"/>
      <c r="G109" s="694"/>
      <c r="H109" s="695"/>
      <c r="I109" s="289">
        <f>I108-SUM($D109:F109)</f>
        <v>0</v>
      </c>
      <c r="J109" s="1239" t="str">
        <f>$J$11</f>
        <v>% Viabilidad :</v>
      </c>
      <c r="K109" s="1240">
        <f>IF(OR(SUM(L103:L109)&gt;0,SUM(V103:V109)&gt;0),1-(K106+K107),0)</f>
        <v>0</v>
      </c>
      <c r="L109" s="1247"/>
      <c r="M109" s="1248">
        <f>IF(I109&gt;0,(L109/IF(SUM(L103:L108)&gt;0,1,7))/I109,0)</f>
        <v>0</v>
      </c>
      <c r="N109" s="1249" t="str">
        <f>$N$11</f>
        <v xml:space="preserve">Uniformidad (10% +) : </v>
      </c>
      <c r="O109" s="1250">
        <f>IF(O107&gt;0,IF(O108&gt;0,100-SUM(O107:O108),0),0)</f>
        <v>0</v>
      </c>
      <c r="P109" s="1251">
        <f>100-SUM(P107:P108)</f>
        <v>5</v>
      </c>
      <c r="Q109" s="1252">
        <f>IF(AND(P109&gt;0,O109&gt;0),(O109/P109-1)*100,0)</f>
        <v>0</v>
      </c>
      <c r="R109" s="699"/>
      <c r="S109" s="762"/>
      <c r="T109" s="765">
        <f t="shared" si="50"/>
        <v>0</v>
      </c>
      <c r="U109" s="700"/>
      <c r="V109" s="701"/>
      <c r="W109" s="701"/>
      <c r="X109" s="295">
        <f t="shared" si="45"/>
        <v>0</v>
      </c>
      <c r="Y109" s="296">
        <f>IF(AA109&gt;0,V109,AE103/IF(Iniciar!$C$25="B X 40 K",40,IF(Iniciar!$C$25="B X 50 K",50,1))*I109/1000)</f>
        <v>0</v>
      </c>
      <c r="Z109" s="296">
        <f t="shared" si="46"/>
        <v>0</v>
      </c>
      <c r="AA109" s="297">
        <f>IF(I109&gt;0,(V109/IF(SUM(V103:V108)&gt;0,1,7))*$A$1/I109,0)</f>
        <v>0</v>
      </c>
      <c r="AB109" s="297">
        <f t="shared" si="40"/>
        <v>0</v>
      </c>
      <c r="AC109" s="2039" t="str">
        <f>$AC$11</f>
        <v xml:space="preserve">Relación Agua /Alimto: </v>
      </c>
      <c r="AD109" s="2040"/>
      <c r="AE109" s="2058">
        <f>IFERROR(AE108/AD103,0)</f>
        <v>0</v>
      </c>
      <c r="AF109" s="2059"/>
      <c r="AG109" s="1269" t="s">
        <v>237</v>
      </c>
      <c r="AH109" s="1270">
        <f>IF(SUM(L103:L109)&gt;0,AH108*SUM(V103:V109)/SUM(L103:L109),0)</f>
        <v>0</v>
      </c>
      <c r="AI109" s="1270">
        <f>IF(AND($A$1&gt;0,P103&gt;0),AH108/$A$1*(AE103/P103)*100,0)</f>
        <v>0</v>
      </c>
      <c r="AJ109" s="1271">
        <f t="shared" ref="AJ109:AJ114" si="63">IF(AND(AI109&gt;0,AH109&gt;0),(AH109/AI109-1)*100,0)</f>
        <v>0</v>
      </c>
      <c r="AK109" s="2028"/>
      <c r="AL109" s="1284">
        <f t="shared" si="41"/>
        <v>0</v>
      </c>
      <c r="AM109" s="1285"/>
      <c r="AN109" s="1285"/>
      <c r="AO109" s="1285"/>
      <c r="AP109" s="1285"/>
      <c r="AQ109" s="1285"/>
      <c r="AR109" s="1285"/>
      <c r="AS109" s="1286"/>
      <c r="AT109" s="1287"/>
      <c r="AU109" s="1288"/>
      <c r="AV109" s="1289"/>
      <c r="AW109" s="1290"/>
      <c r="AX109" s="1291"/>
      <c r="AY109" s="1291"/>
      <c r="AZ109" s="1292"/>
      <c r="BA109" s="1293"/>
      <c r="BB109" s="1294"/>
      <c r="BC109" s="1295"/>
      <c r="BD109" s="1296">
        <f>BD108+PROD!L109-BA109</f>
        <v>0</v>
      </c>
      <c r="BE109" s="2134"/>
      <c r="BF109" s="507" t="e">
        <f t="shared" si="42"/>
        <v>#VALUE!</v>
      </c>
      <c r="BG109" s="329"/>
      <c r="BH109" s="1018">
        <f t="shared" si="43"/>
        <v>0</v>
      </c>
    </row>
    <row r="110" spans="1:60" ht="15" customHeight="1" x14ac:dyDescent="0.3">
      <c r="A110" s="2032">
        <f>A103+1</f>
        <v>33</v>
      </c>
      <c r="B110" s="287" t="str">
        <f t="shared" si="44"/>
        <v/>
      </c>
      <c r="C110" s="288" t="str">
        <f t="shared" si="39"/>
        <v/>
      </c>
      <c r="D110" s="691"/>
      <c r="E110" s="692"/>
      <c r="F110" s="693"/>
      <c r="G110" s="694"/>
      <c r="H110" s="695"/>
      <c r="I110" s="289">
        <f>I109-SUM($D110:F110)</f>
        <v>0</v>
      </c>
      <c r="J110" s="1232" t="str">
        <f>$J$5</f>
        <v>% Mort Sem :</v>
      </c>
      <c r="K110" s="1233">
        <f>IF(PROD!$K$2&gt;0,SUM(D110:D116)/PROD!$K$2,0)</f>
        <v>0</v>
      </c>
      <c r="L110" s="1241"/>
      <c r="M110" s="1242">
        <f t="shared" ref="M110:M115" si="64">IF(I110&gt;0,L110/I110,0)</f>
        <v>0</v>
      </c>
      <c r="N110" s="1243" t="str">
        <f>$N$5</f>
        <v xml:space="preserve">% Pdn prom semana : </v>
      </c>
      <c r="O110" s="1244">
        <f>IF(SUM(L110:L115)&gt;0,100*SUMPRODUCT(M110:M116,I110:I116)/SUMIF(L110:L116,"&gt;0",I110:I116),IF(L116&gt;0,100*L116/7/I116,0))</f>
        <v>0</v>
      </c>
      <c r="P110" s="1244">
        <f>IFERROR(LOOKUP($A110,TP!$A$6:$A$108,GSh!$AE$6:$AE$108),0)</f>
        <v>0</v>
      </c>
      <c r="Q110" s="1245">
        <f>IF(AND(P110&gt;0,O110&gt;0),O110-P110,0)</f>
        <v>0</v>
      </c>
      <c r="R110" s="699"/>
      <c r="S110" s="762"/>
      <c r="T110" s="765">
        <f t="shared" si="50"/>
        <v>0</v>
      </c>
      <c r="U110" s="700"/>
      <c r="V110" s="701"/>
      <c r="W110" s="701"/>
      <c r="X110" s="295">
        <f t="shared" si="45"/>
        <v>0</v>
      </c>
      <c r="Y110" s="296">
        <f>IF(AA110&gt;0,V110,AE110/IF(Iniciar!$C$25="B X 40 K",40,IF(Iniciar!$C$25="B X 50 K",50,1))*I110/1000)</f>
        <v>0</v>
      </c>
      <c r="Z110" s="296">
        <f t="shared" si="46"/>
        <v>0</v>
      </c>
      <c r="AA110" s="297">
        <f t="shared" ref="AA110:AA115" si="65">IF(I110&gt;0,V110*$A$1/I110,0)</f>
        <v>0</v>
      </c>
      <c r="AB110" s="297">
        <f t="shared" si="40"/>
        <v>0</v>
      </c>
      <c r="AC110" s="1261" t="str">
        <f>$AC$5</f>
        <v>Gr. Ave Dia :</v>
      </c>
      <c r="AD110" s="1262">
        <f>IF(SUMIF(V110:V116,"&gt;0")&gt;0,SUMPRODUCT(AA110:AA116,I110:I116)/SUMIF(AA110:AA116,"&gt;0",I110:I116),0)</f>
        <v>0</v>
      </c>
      <c r="AE110" s="1262">
        <f>IFERROR(LOOKUP($A110,TP!$A$6:$A$108,GSh!$AU$6:$AU$108),0)</f>
        <v>0</v>
      </c>
      <c r="AF110" s="1263">
        <f>IF(AND(AE110&gt;0,AD110&gt;0),(AD110/AE110-1)*100,0)</f>
        <v>0</v>
      </c>
      <c r="AG110" s="1264" t="str">
        <f>PROD!$AG$5</f>
        <v>Gr X H</v>
      </c>
      <c r="AH110" s="1265">
        <f>IF(PROD!O110&gt;0,IF($AG110="Gr X H",PROD!AD110/PROD!O110*100,IF($AG110="Conv Kg/Doc",PROD!AD110/PROD!O110*1.2,IF(PROD!$O112&gt;0,PROD!AD110/(PROD!O110*PROD!$O112)*100,0))),0)</f>
        <v>0</v>
      </c>
      <c r="AI110" s="1265">
        <f>IF(PROD!P110&gt;0,IF($AG110="Gr X H",PROD!AE110/PROD!P110*100,IF($AG110="Conv Kg/Doc",PROD!AE110/PROD!P110*1.2,IF(PROD!$P112&gt;0,PROD!AE110/(PROD!P110*PROD!$P112)*100,0))),0)</f>
        <v>0</v>
      </c>
      <c r="AJ110" s="1266">
        <f t="shared" si="63"/>
        <v>0</v>
      </c>
      <c r="AK110" s="2026"/>
      <c r="AL110" s="1284">
        <f t="shared" si="41"/>
        <v>0</v>
      </c>
      <c r="AM110" s="1285"/>
      <c r="AN110" s="1285"/>
      <c r="AO110" s="1285"/>
      <c r="AP110" s="1285"/>
      <c r="AQ110" s="1285"/>
      <c r="AR110" s="1285"/>
      <c r="AS110" s="1286"/>
      <c r="AT110" s="1287"/>
      <c r="AU110" s="1288"/>
      <c r="AV110" s="1289"/>
      <c r="AW110" s="1290"/>
      <c r="AX110" s="1291"/>
      <c r="AY110" s="1291"/>
      <c r="AZ110" s="1292"/>
      <c r="BA110" s="1293"/>
      <c r="BB110" s="1294"/>
      <c r="BC110" s="1295"/>
      <c r="BD110" s="1296">
        <f>BD109+PROD!L110-BA110</f>
        <v>0</v>
      </c>
      <c r="BE110" s="2132">
        <f>IF(SUM(AM110:AZ116)&gt;0,(SUM(AM110:AM116)*$AM$2+SUM(AN110:AN116)*$AN$2+SUM(AO110:AO116)*$AO$2+SUM(AP110:AP116)*$AP$2+SUM(AQ110:AQ116)*$AQ$2+SUM(AR110:AR116)*$AR$2+SUM(AS110:AS116)*$AS$2+SUM(AW110:AW116)*$AW$2+SUM(AX110:AX116)*$AX$2+SUM(AY110:AY116)*$AY$2+SUM(AZ110:AZ116)*$AZ$2+SUM(AT110:AT116)*$AT$2+SUM(AU110:AU116)*$AU$2+SUM(AV110:AV116)*$AV$2)/SUM(AM110:AZ116),0)</f>
        <v>0</v>
      </c>
      <c r="BF110" s="507" t="e">
        <f t="shared" si="42"/>
        <v>#VALUE!</v>
      </c>
      <c r="BG110" s="277">
        <f>IF(SUM(L110:L116)&gt;0,A110,IF(SUM(V110:V116)&gt;0,A110,BG103))</f>
        <v>0</v>
      </c>
      <c r="BH110" s="1018">
        <f t="shared" si="43"/>
        <v>0</v>
      </c>
    </row>
    <row r="111" spans="1:60" ht="15" customHeight="1" x14ac:dyDescent="0.3">
      <c r="A111" s="2033"/>
      <c r="B111" s="287" t="str">
        <f t="shared" si="44"/>
        <v/>
      </c>
      <c r="C111" s="288" t="str">
        <f t="shared" si="39"/>
        <v/>
      </c>
      <c r="D111" s="691"/>
      <c r="E111" s="692"/>
      <c r="F111" s="693"/>
      <c r="G111" s="694"/>
      <c r="H111" s="695"/>
      <c r="I111" s="289">
        <f>I110-SUM($D111:F111)</f>
        <v>0</v>
      </c>
      <c r="J111" s="1234" t="str">
        <f>$J$6</f>
        <v>% Sel Sem :</v>
      </c>
      <c r="K111" s="1231">
        <f>IF(PROD!$K$2&gt;0,SUM(E110:E116)/PROD!$K$2,0)</f>
        <v>0</v>
      </c>
      <c r="L111" s="1246"/>
      <c r="M111" s="291">
        <f t="shared" si="64"/>
        <v>0</v>
      </c>
      <c r="N111" s="292" t="str">
        <f>$N$6</f>
        <v xml:space="preserve">H. Ave Alojada : </v>
      </c>
      <c r="O111" s="293">
        <f>IF(AND(PROD!$K$2&gt;0,O110&gt;0),SUM(L$5:L116)/PROD!$K$2,0)</f>
        <v>0</v>
      </c>
      <c r="P111" s="293">
        <f>IFERROR(LOOKUP($A110,TP!$A$6:$A$108,GSh!$AJ$6:$AJ$108),0)</f>
        <v>0</v>
      </c>
      <c r="Q111" s="294">
        <f>IF(AND(P111&gt;0,O111&gt;0),O111-P111,0)</f>
        <v>0</v>
      </c>
      <c r="R111" s="699"/>
      <c r="S111" s="762"/>
      <c r="T111" s="765">
        <f t="shared" si="50"/>
        <v>0</v>
      </c>
      <c r="U111" s="700"/>
      <c r="V111" s="701"/>
      <c r="W111" s="701"/>
      <c r="X111" s="295">
        <f t="shared" si="45"/>
        <v>0</v>
      </c>
      <c r="Y111" s="296">
        <f>IF(AA111&gt;0,V111,AE110/IF(Iniciar!$C$25="B X 40 K",40,IF(Iniciar!$C$25="B X 50 K",50,1))*I111/1000)</f>
        <v>0</v>
      </c>
      <c r="Z111" s="296">
        <f t="shared" si="46"/>
        <v>0</v>
      </c>
      <c r="AA111" s="297">
        <f t="shared" si="65"/>
        <v>0</v>
      </c>
      <c r="AB111" s="297">
        <f t="shared" si="40"/>
        <v>0</v>
      </c>
      <c r="AC111" s="1267" t="str">
        <f>$AC$6</f>
        <v>Gr. Ave Sem :</v>
      </c>
      <c r="AD111" s="284">
        <f>AD110*7</f>
        <v>0</v>
      </c>
      <c r="AE111" s="284">
        <f>AE110*7</f>
        <v>0</v>
      </c>
      <c r="AF111" s="285">
        <f>IF(AND(AE111&gt;0,AD111&gt;0),(AD111/AE111-1)*100,0)</f>
        <v>0</v>
      </c>
      <c r="AG111" s="1199" t="str">
        <f>PROD!$AG$6</f>
        <v>Gr X H Acm</v>
      </c>
      <c r="AH111" s="298">
        <f>IF(SUM(PROD!L110:L116)&gt;0,IF(PROD!$AG$5="Gr X H",SUM(PROD!V$5:V116)*PROD!$A$1/SUM(PROD!L$5:L116),IF($AG110="Conv Kg/Doc",(SUM(PROD!V$5:V116)*PROD!$A$1/1000)/(SUM(PROD!L$5:L116)/12),IF(PROD!$O112&gt;0,SUM(PROD!V$5:V116)*PROD!$A$1/(SUM(PROD!L$5:L116)*LOOKUP(PROD!A110,TP!$A$6:$A$108,GSh!$BB$6:$BB$108)),0))),0)</f>
        <v>0</v>
      </c>
      <c r="AI111" s="298">
        <f>IF(PROD!P110&gt;0,IF($AG110="Gr X H",PROD!AE110/PROD!P110*100,IF($AG110="Conv Kg/Doc",PROD!AE110/PROD!P110*1.2,IF(PROD!$P111&gt;0,PROD!AE112/(PROD!P111*LOOKUP(PROD!$A110,TP!$A$6:$A$108,GSh!$BC$6:$BC$108)/1000),0))),0)</f>
        <v>0</v>
      </c>
      <c r="AJ111" s="328">
        <f t="shared" si="63"/>
        <v>0</v>
      </c>
      <c r="AK111" s="2027"/>
      <c r="AL111" s="1284">
        <f t="shared" si="41"/>
        <v>0</v>
      </c>
      <c r="AM111" s="1285"/>
      <c r="AN111" s="1285"/>
      <c r="AO111" s="1285"/>
      <c r="AP111" s="1285"/>
      <c r="AQ111" s="1285"/>
      <c r="AR111" s="1285"/>
      <c r="AS111" s="1286"/>
      <c r="AT111" s="1287"/>
      <c r="AU111" s="1288"/>
      <c r="AV111" s="1289"/>
      <c r="AW111" s="1290"/>
      <c r="AX111" s="1291"/>
      <c r="AY111" s="1291"/>
      <c r="AZ111" s="1292"/>
      <c r="BA111" s="1293"/>
      <c r="BB111" s="1294"/>
      <c r="BC111" s="1295"/>
      <c r="BD111" s="1296">
        <f>BD110+PROD!L111-BA111</f>
        <v>0</v>
      </c>
      <c r="BE111" s="2133"/>
      <c r="BF111" s="507" t="e">
        <f t="shared" si="42"/>
        <v>#VALUE!</v>
      </c>
      <c r="BG111" s="329"/>
      <c r="BH111" s="1018">
        <f t="shared" si="43"/>
        <v>0</v>
      </c>
    </row>
    <row r="112" spans="1:60" ht="15" customHeight="1" x14ac:dyDescent="0.3">
      <c r="A112" s="2033"/>
      <c r="B112" s="287" t="str">
        <f t="shared" si="44"/>
        <v/>
      </c>
      <c r="C112" s="288" t="str">
        <f t="shared" si="39"/>
        <v/>
      </c>
      <c r="D112" s="691"/>
      <c r="E112" s="692"/>
      <c r="F112" s="693"/>
      <c r="G112" s="694"/>
      <c r="H112" s="695"/>
      <c r="I112" s="289">
        <f>I111-SUM($D112:F112)</f>
        <v>0</v>
      </c>
      <c r="J112" s="1235" t="str">
        <f>$J$7</f>
        <v>% Mort/Sel Sem Tab :</v>
      </c>
      <c r="K112" s="1236">
        <f>K115-K108</f>
        <v>0</v>
      </c>
      <c r="L112" s="1246"/>
      <c r="M112" s="291">
        <f t="shared" si="64"/>
        <v>0</v>
      </c>
      <c r="N112" s="304" t="str">
        <f>$N$7</f>
        <v xml:space="preserve">Peso Huevo (Gr) : </v>
      </c>
      <c r="O112" s="305">
        <f>LOOKUP($A110,'Pr-Sem'!$A$6:$A$108,'Pr-Sem'!$Z$6:$Z$108)</f>
        <v>0</v>
      </c>
      <c r="P112" s="305">
        <f>IFERROR(LOOKUP($A110,TP!$A$6:$A$108,GSh!$AZ$6:$AZ$108),0)</f>
        <v>0</v>
      </c>
      <c r="Q112" s="306">
        <f>IF(AND(P112&gt;0,O112&gt;0),O112-P112,0)</f>
        <v>0</v>
      </c>
      <c r="R112" s="699"/>
      <c r="S112" s="762"/>
      <c r="T112" s="765">
        <f t="shared" si="50"/>
        <v>0</v>
      </c>
      <c r="U112" s="700"/>
      <c r="V112" s="701"/>
      <c r="W112" s="701"/>
      <c r="X112" s="295">
        <f t="shared" si="45"/>
        <v>0</v>
      </c>
      <c r="Y112" s="296">
        <f>IF(AA112&gt;0,V112,AE110/IF(Iniciar!$C$25="B X 40 K",40,IF(Iniciar!$C$25="B X 50 K",50,1))*I112/1000)</f>
        <v>0</v>
      </c>
      <c r="Z112" s="296">
        <f t="shared" si="46"/>
        <v>0</v>
      </c>
      <c r="AA112" s="297">
        <f t="shared" si="65"/>
        <v>0</v>
      </c>
      <c r="AB112" s="297">
        <f t="shared" si="40"/>
        <v>0</v>
      </c>
      <c r="AC112" s="1268" t="str">
        <f>$AC$7</f>
        <v>Kg Ave Acu :</v>
      </c>
      <c r="AD112" s="308">
        <f>IF(OR(SUM(L110:L116)&gt;0,SUM(V110:V116)&gt;0),AD111/1000+AD105,0)</f>
        <v>0</v>
      </c>
      <c r="AE112" s="309">
        <f>AE111/1000+AE105</f>
        <v>0</v>
      </c>
      <c r="AF112" s="310">
        <f>IF(AND(AE112&gt;0,AD112&gt;0),(AD112/AE112-1)*100,0)</f>
        <v>0</v>
      </c>
      <c r="AG112" s="311" t="str">
        <f>PROD!$AG$7</f>
        <v xml:space="preserve">Masa Sem H (Gr) : </v>
      </c>
      <c r="AH112" s="312">
        <f>PROD!O110/100*7*PROD!O112</f>
        <v>0</v>
      </c>
      <c r="AI112" s="312">
        <f>PROD!P110/100*7*PROD!P112</f>
        <v>0</v>
      </c>
      <c r="AJ112" s="313">
        <f t="shared" si="63"/>
        <v>0</v>
      </c>
      <c r="AK112" s="2027"/>
      <c r="AL112" s="1284">
        <f t="shared" si="41"/>
        <v>0</v>
      </c>
      <c r="AM112" s="1285"/>
      <c r="AN112" s="1285"/>
      <c r="AO112" s="1285"/>
      <c r="AP112" s="1285"/>
      <c r="AQ112" s="1285"/>
      <c r="AR112" s="1285"/>
      <c r="AS112" s="1286"/>
      <c r="AT112" s="1287"/>
      <c r="AU112" s="1288"/>
      <c r="AV112" s="1289"/>
      <c r="AW112" s="1290"/>
      <c r="AX112" s="1291"/>
      <c r="AY112" s="1291"/>
      <c r="AZ112" s="1292"/>
      <c r="BA112" s="1293"/>
      <c r="BB112" s="1294"/>
      <c r="BC112" s="1295"/>
      <c r="BD112" s="1296">
        <f>BD111+PROD!L112-BA112</f>
        <v>0</v>
      </c>
      <c r="BE112" s="2133"/>
      <c r="BF112" s="507" t="e">
        <f t="shared" si="42"/>
        <v>#VALUE!</v>
      </c>
      <c r="BG112" s="329"/>
      <c r="BH112" s="1018">
        <f t="shared" si="43"/>
        <v>0</v>
      </c>
    </row>
    <row r="113" spans="1:60" ht="15" customHeight="1" x14ac:dyDescent="0.3">
      <c r="A113" s="2033"/>
      <c r="B113" s="287" t="str">
        <f t="shared" si="44"/>
        <v/>
      </c>
      <c r="C113" s="288" t="str">
        <f t="shared" si="39"/>
        <v/>
      </c>
      <c r="D113" s="691"/>
      <c r="E113" s="692"/>
      <c r="F113" s="693"/>
      <c r="G113" s="694"/>
      <c r="H113" s="695"/>
      <c r="I113" s="289">
        <f>I112-SUM($D113:F113)</f>
        <v>0</v>
      </c>
      <c r="J113" s="1234" t="str">
        <f>$J$8</f>
        <v>% Mort Acm :</v>
      </c>
      <c r="K113" s="1231">
        <f>IF(PROD!$K$2&gt;0,SUM(D$5:D116)/PROD!$K$2,0)</f>
        <v>0</v>
      </c>
      <c r="L113" s="1246"/>
      <c r="M113" s="291">
        <f t="shared" si="64"/>
        <v>0</v>
      </c>
      <c r="N113" s="314" t="str">
        <f>N$8</f>
        <v xml:space="preserve">Peso Ave (Gr) : </v>
      </c>
      <c r="O113" s="315">
        <f>LOOKUP($A110,GSh!$BV$6:$BV$108,GSh!$BJ$6:$BJ$108)</f>
        <v>0</v>
      </c>
      <c r="P113" s="315">
        <f>IFERROR(LOOKUP($A110,TP!$A$6:$A$108,GSh!$BK$6:$BK$108),0)</f>
        <v>0</v>
      </c>
      <c r="Q113" s="316">
        <f>IF(AND(P113&gt;0,O113&gt;0),(O113/P113-1)*100,0)</f>
        <v>0</v>
      </c>
      <c r="R113" s="699"/>
      <c r="S113" s="762"/>
      <c r="T113" s="765">
        <f t="shared" si="50"/>
        <v>0</v>
      </c>
      <c r="U113" s="700"/>
      <c r="V113" s="701"/>
      <c r="W113" s="701"/>
      <c r="X113" s="295">
        <f t="shared" si="45"/>
        <v>0</v>
      </c>
      <c r="Y113" s="296">
        <f>IF(AA113&gt;0,V113,AE110/IF(Iniciar!$C$25="B X 40 K",40,IF(Iniciar!$C$25="B X 50 K",50,1))*I113/1000)</f>
        <v>0</v>
      </c>
      <c r="Z113" s="296">
        <f t="shared" si="46"/>
        <v>0</v>
      </c>
      <c r="AA113" s="297">
        <f t="shared" si="65"/>
        <v>0</v>
      </c>
      <c r="AB113" s="297">
        <f t="shared" si="40"/>
        <v>0</v>
      </c>
      <c r="AC113" s="541" t="str">
        <f>$AC$8</f>
        <v xml:space="preserve">Ton. Lote Acu : </v>
      </c>
      <c r="AD113" s="544">
        <f>SUM($V$5:$V116)*$A$1/1000000</f>
        <v>0</v>
      </c>
      <c r="AE113" s="543">
        <f>AE106+(AE110/1000000*7*(I110+I116)/2)</f>
        <v>0</v>
      </c>
      <c r="AF113" s="542">
        <f>IF(AND(AE113&gt;0,AD113&gt;0),(AD113/AE113-1)*100,0)</f>
        <v>0</v>
      </c>
      <c r="AG113" s="317" t="str">
        <f>PROD!$AG$8</f>
        <v xml:space="preserve">Masa Ac A. A (Kg) : </v>
      </c>
      <c r="AH113" s="318">
        <f>IF(PROD!$K$2&gt;0,SUM(PROD!L$5:L116)*LOOKUP(PROD!$A110,TP!$A$6:$A$108,GSh!$BB$6:$BB$108)/1000/PROD!$K$2,0)</f>
        <v>0</v>
      </c>
      <c r="AI113" s="318">
        <f>IFERROR(PROD!P111*LOOKUP(PROD!$A110,TP!$A$6:$A$108,GSh!$BC$6:$BC$108)/1000,0)</f>
        <v>0</v>
      </c>
      <c r="AJ113" s="330">
        <f t="shared" si="63"/>
        <v>0</v>
      </c>
      <c r="AK113" s="2027"/>
      <c r="AL113" s="1284">
        <f t="shared" si="41"/>
        <v>0</v>
      </c>
      <c r="AM113" s="1285"/>
      <c r="AN113" s="1285"/>
      <c r="AO113" s="1285"/>
      <c r="AP113" s="1285"/>
      <c r="AQ113" s="1285"/>
      <c r="AR113" s="1285"/>
      <c r="AS113" s="1286"/>
      <c r="AT113" s="1287"/>
      <c r="AU113" s="1288"/>
      <c r="AV113" s="1289"/>
      <c r="AW113" s="1290"/>
      <c r="AX113" s="1291"/>
      <c r="AY113" s="1291"/>
      <c r="AZ113" s="1292"/>
      <c r="BA113" s="1293"/>
      <c r="BB113" s="1294"/>
      <c r="BC113" s="1295"/>
      <c r="BD113" s="1296">
        <f>BD112+PROD!L113-BA113</f>
        <v>0</v>
      </c>
      <c r="BE113" s="2133"/>
      <c r="BF113" s="507" t="e">
        <f t="shared" si="42"/>
        <v>#VALUE!</v>
      </c>
      <c r="BG113" s="329"/>
      <c r="BH113" s="1018">
        <f t="shared" si="43"/>
        <v>0</v>
      </c>
    </row>
    <row r="114" spans="1:60" ht="15" customHeight="1" x14ac:dyDescent="0.3">
      <c r="A114" s="2033"/>
      <c r="B114" s="287" t="str">
        <f t="shared" si="44"/>
        <v/>
      </c>
      <c r="C114" s="288" t="str">
        <f t="shared" si="39"/>
        <v/>
      </c>
      <c r="D114" s="691"/>
      <c r="E114" s="692"/>
      <c r="F114" s="693"/>
      <c r="G114" s="694"/>
      <c r="H114" s="695"/>
      <c r="I114" s="289">
        <f>I113-SUM($D114:F114)</f>
        <v>0</v>
      </c>
      <c r="J114" s="1234" t="str">
        <f>$J$9</f>
        <v>% Sel Acm :</v>
      </c>
      <c r="K114" s="1231">
        <f>IF(PROD!$K$2&gt;0,SUM(E$5:E116)/PROD!$K$2,0)</f>
        <v>0</v>
      </c>
      <c r="L114" s="1246"/>
      <c r="M114" s="291">
        <f t="shared" si="64"/>
        <v>0</v>
      </c>
      <c r="N114" s="292" t="str">
        <f>$N$9</f>
        <v xml:space="preserve">Uniformidad (10% -) : </v>
      </c>
      <c r="O114" s="320">
        <f>LOOKUP($A110,'Pr-Sem'!$A$6:$A$108,'Pr-Sem'!$AH$6:$AH$108)</f>
        <v>0</v>
      </c>
      <c r="P114" s="320">
        <v>5</v>
      </c>
      <c r="Q114" s="321">
        <f>IF(AND(P114&gt;0,O114&gt;0),(1-O114/P114)*100,0)</f>
        <v>0</v>
      </c>
      <c r="R114" s="699"/>
      <c r="S114" s="762"/>
      <c r="T114" s="765">
        <f t="shared" si="50"/>
        <v>0</v>
      </c>
      <c r="U114" s="700"/>
      <c r="V114" s="701"/>
      <c r="W114" s="701"/>
      <c r="X114" s="295">
        <f t="shared" si="45"/>
        <v>0</v>
      </c>
      <c r="Y114" s="296">
        <f>IF(AA114&gt;0,V114,AE110/IF(Iniciar!$C$25="B X 40 K",40,IF(Iniciar!$C$25="B X 50 K",50,1))*I114/1000)</f>
        <v>0</v>
      </c>
      <c r="Z114" s="296">
        <f t="shared" si="46"/>
        <v>0</v>
      </c>
      <c r="AA114" s="297">
        <f t="shared" si="65"/>
        <v>0</v>
      </c>
      <c r="AB114" s="297">
        <f t="shared" si="40"/>
        <v>0</v>
      </c>
      <c r="AC114" s="2035" t="str">
        <f>$AC$9</f>
        <v xml:space="preserve">Total Litros Sem: </v>
      </c>
      <c r="AD114" s="2036"/>
      <c r="AE114" s="2050">
        <f>SUM(R110:R116)</f>
        <v>0</v>
      </c>
      <c r="AF114" s="2051"/>
      <c r="AG114" s="554" t="str">
        <f>$AG$9</f>
        <v xml:space="preserve">Indicador Eficiencia : </v>
      </c>
      <c r="AH114" s="555">
        <f>IF(AND(AE114&gt;0,O111&gt;0,O112&gt;0,SUM(L110:L116)&gt;0),(PROD!AH113/O111)*K116*100/(AE114/(SUM(L110:L116)*O112/1000)),0)</f>
        <v>0</v>
      </c>
      <c r="AI114" s="555">
        <f>IF(AND(P111&gt;0,PROD!AI112&gt;0),(PROD!AI113/P111)*(1-K115)*100/(AE111/PROD!AI112),0)</f>
        <v>0</v>
      </c>
      <c r="AJ114" s="331">
        <f t="shared" si="63"/>
        <v>0</v>
      </c>
      <c r="AK114" s="2027"/>
      <c r="AL114" s="1284">
        <f t="shared" si="41"/>
        <v>0</v>
      </c>
      <c r="AM114" s="1285"/>
      <c r="AN114" s="1285"/>
      <c r="AO114" s="1285"/>
      <c r="AP114" s="1285"/>
      <c r="AQ114" s="1285"/>
      <c r="AR114" s="1285"/>
      <c r="AS114" s="1286"/>
      <c r="AT114" s="1287"/>
      <c r="AU114" s="1288"/>
      <c r="AV114" s="1289"/>
      <c r="AW114" s="1290"/>
      <c r="AX114" s="1291"/>
      <c r="AY114" s="1291"/>
      <c r="AZ114" s="1292"/>
      <c r="BA114" s="1293"/>
      <c r="BB114" s="1294"/>
      <c r="BC114" s="1295"/>
      <c r="BD114" s="1296">
        <f>BD113+PROD!L114-BA114</f>
        <v>0</v>
      </c>
      <c r="BE114" s="2133"/>
      <c r="BF114" s="507" t="e">
        <f t="shared" si="42"/>
        <v>#VALUE!</v>
      </c>
      <c r="BG114" s="329"/>
      <c r="BH114" s="1018">
        <f t="shared" si="43"/>
        <v>0</v>
      </c>
    </row>
    <row r="115" spans="1:60" ht="15" customHeight="1" x14ac:dyDescent="0.3">
      <c r="A115" s="2033"/>
      <c r="B115" s="287" t="str">
        <f t="shared" si="44"/>
        <v/>
      </c>
      <c r="C115" s="288" t="str">
        <f t="shared" si="39"/>
        <v/>
      </c>
      <c r="D115" s="691"/>
      <c r="E115" s="692"/>
      <c r="F115" s="693"/>
      <c r="G115" s="694"/>
      <c r="H115" s="695"/>
      <c r="I115" s="289">
        <f>I114-SUM($D115:F115)</f>
        <v>0</v>
      </c>
      <c r="J115" s="1237" t="str">
        <f>$J$10</f>
        <v>% Mort/Sel Acm Tab :</v>
      </c>
      <c r="K115" s="1238">
        <f>IFERROR(LOOKUP($A110,TP!$A$6:$A$108,GSh!$AR$6:$AR$108)/100,0)</f>
        <v>0</v>
      </c>
      <c r="L115" s="1246"/>
      <c r="M115" s="291">
        <f t="shared" si="64"/>
        <v>0</v>
      </c>
      <c r="N115" s="292" t="str">
        <f>$N$10</f>
        <v xml:space="preserve">Uniformidad (C. Lote) : </v>
      </c>
      <c r="O115" s="320">
        <f>LOOKUP($A110,'Pr-Sem'!$A$6:$A$108,'Pr-Sem'!$AG$6:$AG$108)</f>
        <v>0</v>
      </c>
      <c r="P115" s="320">
        <v>90</v>
      </c>
      <c r="Q115" s="321">
        <f>IF(AND(P115&gt;0,O115&gt;0),(O115/P115-1)*100,0)</f>
        <v>0</v>
      </c>
      <c r="R115" s="699"/>
      <c r="S115" s="762"/>
      <c r="T115" s="765">
        <f t="shared" si="50"/>
        <v>0</v>
      </c>
      <c r="U115" s="700"/>
      <c r="V115" s="701"/>
      <c r="W115" s="701"/>
      <c r="X115" s="295">
        <f t="shared" si="45"/>
        <v>0</v>
      </c>
      <c r="Y115" s="296">
        <f>IF(AA115&gt;0,V115,AE110/IF(Iniciar!$C$25="B X 40 K",40,IF(Iniciar!$C$25="B X 50 K",50,1))*I115/1000)</f>
        <v>0</v>
      </c>
      <c r="Z115" s="296">
        <f t="shared" si="46"/>
        <v>0</v>
      </c>
      <c r="AA115" s="297">
        <f t="shared" si="65"/>
        <v>0</v>
      </c>
      <c r="AB115" s="297">
        <f t="shared" si="40"/>
        <v>0</v>
      </c>
      <c r="AC115" s="2037" t="str">
        <f>$AC$10</f>
        <v xml:space="preserve">Cons ml /ave día: </v>
      </c>
      <c r="AD115" s="2038"/>
      <c r="AE115" s="2056">
        <f>IFERROR(SUMPRODUCT(AB110:AB116,I110:I116)/SUM(I110:I116),0)</f>
        <v>0</v>
      </c>
      <c r="AF115" s="2057"/>
      <c r="AG115" s="311" t="str">
        <f>CONCATENATE("Costo ",Iniciar!$C$25," : ")</f>
        <v xml:space="preserve">Costo Kilos : </v>
      </c>
      <c r="AH115" s="2043">
        <f>IFERROR(SUMPRODUCT(T110:T116,V110:V116)/SUMIF(T110:T116,"&gt;0",V110:V116),0)</f>
        <v>0</v>
      </c>
      <c r="AI115" s="2043"/>
      <c r="AJ115" s="313"/>
      <c r="AK115" s="2027"/>
      <c r="AL115" s="1284">
        <f t="shared" si="41"/>
        <v>0</v>
      </c>
      <c r="AM115" s="1285"/>
      <c r="AN115" s="1285"/>
      <c r="AO115" s="1285"/>
      <c r="AP115" s="1285"/>
      <c r="AQ115" s="1285"/>
      <c r="AR115" s="1285"/>
      <c r="AS115" s="1286"/>
      <c r="AT115" s="1287"/>
      <c r="AU115" s="1288"/>
      <c r="AV115" s="1289"/>
      <c r="AW115" s="1290"/>
      <c r="AX115" s="1291"/>
      <c r="AY115" s="1291"/>
      <c r="AZ115" s="1292"/>
      <c r="BA115" s="1293"/>
      <c r="BB115" s="1294"/>
      <c r="BC115" s="1295"/>
      <c r="BD115" s="1296">
        <f>BD114+PROD!L115-BA115</f>
        <v>0</v>
      </c>
      <c r="BE115" s="2133"/>
      <c r="BF115" s="507" t="e">
        <f t="shared" si="42"/>
        <v>#VALUE!</v>
      </c>
      <c r="BG115" s="329"/>
      <c r="BH115" s="1018">
        <f t="shared" si="43"/>
        <v>0</v>
      </c>
    </row>
    <row r="116" spans="1:60" ht="15" customHeight="1" x14ac:dyDescent="0.3">
      <c r="A116" s="2034"/>
      <c r="B116" s="287" t="str">
        <f t="shared" si="44"/>
        <v/>
      </c>
      <c r="C116" s="288" t="str">
        <f t="shared" si="39"/>
        <v/>
      </c>
      <c r="D116" s="691"/>
      <c r="E116" s="692"/>
      <c r="F116" s="693"/>
      <c r="G116" s="694"/>
      <c r="H116" s="695"/>
      <c r="I116" s="289">
        <f>I115-SUM($D116:F116)</f>
        <v>0</v>
      </c>
      <c r="J116" s="1239" t="str">
        <f>$J$11</f>
        <v>% Viabilidad :</v>
      </c>
      <c r="K116" s="1240">
        <f>IF(OR(SUM(L110:L116)&gt;0,SUM(V110:V116)&gt;0),1-(K113+K114),0)</f>
        <v>0</v>
      </c>
      <c r="L116" s="1247"/>
      <c r="M116" s="1248">
        <f>IF(I116&gt;0,(L116/IF(SUM(L110:L115)&gt;0,1,7))/I116,0)</f>
        <v>0</v>
      </c>
      <c r="N116" s="1249" t="str">
        <f>$N$11</f>
        <v xml:space="preserve">Uniformidad (10% +) : </v>
      </c>
      <c r="O116" s="1250">
        <f>IF(O114&gt;0,IF(O115&gt;0,100-SUM(O114:O115),0),0)</f>
        <v>0</v>
      </c>
      <c r="P116" s="1251">
        <f>100-SUM(P114:P115)</f>
        <v>5</v>
      </c>
      <c r="Q116" s="1252">
        <f>IF(AND(P116&gt;0,O116&gt;0),(O116/P116-1)*100,0)</f>
        <v>0</v>
      </c>
      <c r="R116" s="699"/>
      <c r="S116" s="762"/>
      <c r="T116" s="765">
        <f t="shared" si="50"/>
        <v>0</v>
      </c>
      <c r="U116" s="700"/>
      <c r="V116" s="701"/>
      <c r="W116" s="701"/>
      <c r="X116" s="295">
        <f t="shared" si="45"/>
        <v>0</v>
      </c>
      <c r="Y116" s="296">
        <f>IF(AA116&gt;0,V116,AE110/IF(Iniciar!$C$25="B X 40 K",40,IF(Iniciar!$C$25="B X 50 K",50,1))*I116/1000)</f>
        <v>0</v>
      </c>
      <c r="Z116" s="296">
        <f t="shared" si="46"/>
        <v>0</v>
      </c>
      <c r="AA116" s="297">
        <f>IF(I116&gt;0,(V116/IF(SUM(V110:V115)&gt;0,1,7))*$A$1/I116,0)</f>
        <v>0</v>
      </c>
      <c r="AB116" s="297">
        <f t="shared" si="40"/>
        <v>0</v>
      </c>
      <c r="AC116" s="2039" t="str">
        <f>$AC$11</f>
        <v xml:space="preserve">Relación Agua /Alimto: </v>
      </c>
      <c r="AD116" s="2040"/>
      <c r="AE116" s="2058">
        <f>IFERROR(AE115/AD110,0)</f>
        <v>0</v>
      </c>
      <c r="AF116" s="2059"/>
      <c r="AG116" s="1269" t="s">
        <v>237</v>
      </c>
      <c r="AH116" s="1270">
        <f>IF(SUM(L110:L116)&gt;0,AH115*SUM(V110:V116)/SUM(L110:L116),0)</f>
        <v>0</v>
      </c>
      <c r="AI116" s="1270">
        <f>IF(AND($A$1&gt;0,P110&gt;0),AH115/$A$1*(AE110/P110)*100,0)</f>
        <v>0</v>
      </c>
      <c r="AJ116" s="1271">
        <f t="shared" ref="AJ116:AJ121" si="66">IF(AND(AI116&gt;0,AH116&gt;0),(AH116/AI116-1)*100,0)</f>
        <v>0</v>
      </c>
      <c r="AK116" s="2028"/>
      <c r="AL116" s="1284">
        <f t="shared" si="41"/>
        <v>0</v>
      </c>
      <c r="AM116" s="1285"/>
      <c r="AN116" s="1285"/>
      <c r="AO116" s="1285"/>
      <c r="AP116" s="1285"/>
      <c r="AQ116" s="1285"/>
      <c r="AR116" s="1285"/>
      <c r="AS116" s="1286"/>
      <c r="AT116" s="1287"/>
      <c r="AU116" s="1288"/>
      <c r="AV116" s="1289"/>
      <c r="AW116" s="1290"/>
      <c r="AX116" s="1291"/>
      <c r="AY116" s="1291"/>
      <c r="AZ116" s="1292"/>
      <c r="BA116" s="1293"/>
      <c r="BB116" s="1294"/>
      <c r="BC116" s="1295"/>
      <c r="BD116" s="1296">
        <f>BD115+PROD!L116-BA116</f>
        <v>0</v>
      </c>
      <c r="BE116" s="2134"/>
      <c r="BF116" s="507" t="e">
        <f t="shared" si="42"/>
        <v>#VALUE!</v>
      </c>
      <c r="BG116" s="329"/>
      <c r="BH116" s="1018">
        <f t="shared" si="43"/>
        <v>0</v>
      </c>
    </row>
    <row r="117" spans="1:60" ht="15" customHeight="1" x14ac:dyDescent="0.3">
      <c r="A117" s="2032">
        <f>A110+1</f>
        <v>34</v>
      </c>
      <c r="B117" s="287" t="str">
        <f t="shared" si="44"/>
        <v/>
      </c>
      <c r="C117" s="288" t="str">
        <f t="shared" si="39"/>
        <v/>
      </c>
      <c r="D117" s="691"/>
      <c r="E117" s="692"/>
      <c r="F117" s="693"/>
      <c r="G117" s="694"/>
      <c r="H117" s="695"/>
      <c r="I117" s="289">
        <f>I116-SUM($D117:F117)</f>
        <v>0</v>
      </c>
      <c r="J117" s="1232" t="str">
        <f>$J$5</f>
        <v>% Mort Sem :</v>
      </c>
      <c r="K117" s="1233">
        <f>IF(PROD!$K$2&gt;0,SUM(D117:D123)/PROD!$K$2,0)</f>
        <v>0</v>
      </c>
      <c r="L117" s="1241"/>
      <c r="M117" s="1242">
        <f t="shared" ref="M117:M122" si="67">IF(I117&gt;0,L117/I117,0)</f>
        <v>0</v>
      </c>
      <c r="N117" s="1243" t="str">
        <f>$N$5</f>
        <v xml:space="preserve">% Pdn prom semana : </v>
      </c>
      <c r="O117" s="1244">
        <f>IF(SUM(L117:L122)&gt;0,100*SUMPRODUCT(M117:M123,I117:I123)/SUMIF(L117:L123,"&gt;0",I117:I123),IF(L123&gt;0,100*L123/7/I123,0))</f>
        <v>0</v>
      </c>
      <c r="P117" s="1244">
        <f>IFERROR(LOOKUP($A117,TP!$A$6:$A$108,GSh!$AE$6:$AE$108),0)</f>
        <v>0</v>
      </c>
      <c r="Q117" s="1245">
        <f>IF(AND(P117&gt;0,O117&gt;0),O117-P117,0)</f>
        <v>0</v>
      </c>
      <c r="R117" s="699"/>
      <c r="S117" s="762"/>
      <c r="T117" s="765">
        <f t="shared" si="50"/>
        <v>0</v>
      </c>
      <c r="U117" s="700"/>
      <c r="V117" s="701"/>
      <c r="W117" s="701"/>
      <c r="X117" s="295">
        <f t="shared" si="45"/>
        <v>0</v>
      </c>
      <c r="Y117" s="296">
        <f>IF(AA117&gt;0,V117,AE117/IF(Iniciar!$C$25="B X 40 K",40,IF(Iniciar!$C$25="B X 50 K",50,1))*I117/1000)</f>
        <v>0</v>
      </c>
      <c r="Z117" s="296">
        <f t="shared" si="46"/>
        <v>0</v>
      </c>
      <c r="AA117" s="297">
        <f t="shared" ref="AA117:AA122" si="68">IF(I117&gt;0,V117*$A$1/I117,0)</f>
        <v>0</v>
      </c>
      <c r="AB117" s="297">
        <f t="shared" si="40"/>
        <v>0</v>
      </c>
      <c r="AC117" s="1261" t="str">
        <f>$AC$5</f>
        <v>Gr. Ave Dia :</v>
      </c>
      <c r="AD117" s="1262">
        <f>IF(SUMIF(V117:V123,"&gt;0")&gt;0,SUMPRODUCT(AA117:AA123,I117:I123)/SUMIF(AA117:AA123,"&gt;0",I117:I123),0)</f>
        <v>0</v>
      </c>
      <c r="AE117" s="1262">
        <f>IFERROR(LOOKUP($A117,TP!$A$6:$A$108,GSh!$AU$6:$AU$108),0)</f>
        <v>0</v>
      </c>
      <c r="AF117" s="1263">
        <f>IF(AND(AE117&gt;0,AD117&gt;0),(AD117/AE117-1)*100,0)</f>
        <v>0</v>
      </c>
      <c r="AG117" s="1264" t="str">
        <f>PROD!$AG$5</f>
        <v>Gr X H</v>
      </c>
      <c r="AH117" s="1265">
        <f>IF(PROD!O117&gt;0,IF($AG117="Gr X H",PROD!AD117/PROD!O117*100,IF($AG117="Conv Kg/Doc",PROD!AD117/PROD!O117*1.2,IF(PROD!$O119&gt;0,PROD!AD117/(PROD!O117*PROD!$O119)*100,0))),0)</f>
        <v>0</v>
      </c>
      <c r="AI117" s="1265">
        <f>IF(PROD!P117&gt;0,IF($AG117="Gr X H",PROD!AE117/PROD!P117*100,IF($AG117="Conv Kg/Doc",PROD!AE117/PROD!P117*1.2,IF(PROD!$P119&gt;0,PROD!AE117/(PROD!P117*PROD!$P119)*100,0))),0)</f>
        <v>0</v>
      </c>
      <c r="AJ117" s="1266">
        <f t="shared" si="66"/>
        <v>0</v>
      </c>
      <c r="AK117" s="2026"/>
      <c r="AL117" s="1284">
        <f t="shared" si="41"/>
        <v>0</v>
      </c>
      <c r="AM117" s="1285"/>
      <c r="AN117" s="1285"/>
      <c r="AO117" s="1285"/>
      <c r="AP117" s="1285"/>
      <c r="AQ117" s="1285"/>
      <c r="AR117" s="1285"/>
      <c r="AS117" s="1286"/>
      <c r="AT117" s="1287"/>
      <c r="AU117" s="1288"/>
      <c r="AV117" s="1289"/>
      <c r="AW117" s="1290"/>
      <c r="AX117" s="1291"/>
      <c r="AY117" s="1291"/>
      <c r="AZ117" s="1292"/>
      <c r="BA117" s="1293"/>
      <c r="BB117" s="1294"/>
      <c r="BC117" s="1295"/>
      <c r="BD117" s="1296">
        <f>BD116+PROD!L117-BA117</f>
        <v>0</v>
      </c>
      <c r="BE117" s="2132">
        <f>IF(SUM(AM117:AZ123)&gt;0,(SUM(AM117:AM123)*$AM$2+SUM(AN117:AN123)*$AN$2+SUM(AO117:AO123)*$AO$2+SUM(AP117:AP123)*$AP$2+SUM(AQ117:AQ123)*$AQ$2+SUM(AR117:AR123)*$AR$2+SUM(AS117:AS123)*$AS$2+SUM(AW117:AW123)*$AW$2+SUM(AX117:AX123)*$AX$2+SUM(AY117:AY123)*$AY$2+SUM(AZ117:AZ123)*$AZ$2+SUM(AT117:AT123)*$AT$2+SUM(AU117:AU123)*$AU$2+SUM(AV117:AV123)*$AV$2)/SUM(AM117:AZ123),0)</f>
        <v>0</v>
      </c>
      <c r="BF117" s="507" t="e">
        <f t="shared" si="42"/>
        <v>#VALUE!</v>
      </c>
      <c r="BG117" s="277">
        <f>IF(SUM(L117:L123)&gt;0,A117,IF(SUM(V117:V123)&gt;0,A117,BG110))</f>
        <v>0</v>
      </c>
      <c r="BH117" s="1018">
        <f t="shared" si="43"/>
        <v>0</v>
      </c>
    </row>
    <row r="118" spans="1:60" ht="15" customHeight="1" x14ac:dyDescent="0.3">
      <c r="A118" s="2033"/>
      <c r="B118" s="287" t="str">
        <f t="shared" si="44"/>
        <v/>
      </c>
      <c r="C118" s="288" t="str">
        <f t="shared" si="39"/>
        <v/>
      </c>
      <c r="D118" s="691"/>
      <c r="E118" s="692"/>
      <c r="F118" s="693"/>
      <c r="G118" s="694"/>
      <c r="H118" s="695"/>
      <c r="I118" s="289">
        <f>I117-SUM($D118:F118)</f>
        <v>0</v>
      </c>
      <c r="J118" s="1234" t="str">
        <f>$J$6</f>
        <v>% Sel Sem :</v>
      </c>
      <c r="K118" s="1231">
        <f>IF(PROD!$K$2&gt;0,SUM(E117:E123)/PROD!$K$2,0)</f>
        <v>0</v>
      </c>
      <c r="L118" s="1246"/>
      <c r="M118" s="291">
        <f t="shared" si="67"/>
        <v>0</v>
      </c>
      <c r="N118" s="292" t="str">
        <f>$N$6</f>
        <v xml:space="preserve">H. Ave Alojada : </v>
      </c>
      <c r="O118" s="293">
        <f>IF(AND(PROD!$K$2&gt;0,O117&gt;0),SUM(L$5:L123)/PROD!$K$2,0)</f>
        <v>0</v>
      </c>
      <c r="P118" s="293">
        <f>IFERROR(LOOKUP($A117,TP!$A$6:$A$108,GSh!$AJ$6:$AJ$108),0)</f>
        <v>0</v>
      </c>
      <c r="Q118" s="294">
        <f>IF(AND(P118&gt;0,O118&gt;0),O118-P118,0)</f>
        <v>0</v>
      </c>
      <c r="R118" s="699"/>
      <c r="S118" s="762"/>
      <c r="T118" s="765">
        <f t="shared" si="50"/>
        <v>0</v>
      </c>
      <c r="U118" s="700"/>
      <c r="V118" s="701"/>
      <c r="W118" s="701"/>
      <c r="X118" s="295">
        <f t="shared" si="45"/>
        <v>0</v>
      </c>
      <c r="Y118" s="296">
        <f>IF(AA118&gt;0,V118,AE117/IF(Iniciar!$C$25="B X 40 K",40,IF(Iniciar!$C$25="B X 50 K",50,1))*I118/1000)</f>
        <v>0</v>
      </c>
      <c r="Z118" s="296">
        <f t="shared" si="46"/>
        <v>0</v>
      </c>
      <c r="AA118" s="297">
        <f t="shared" si="68"/>
        <v>0</v>
      </c>
      <c r="AB118" s="297">
        <f t="shared" si="40"/>
        <v>0</v>
      </c>
      <c r="AC118" s="1267" t="str">
        <f>$AC$6</f>
        <v>Gr. Ave Sem :</v>
      </c>
      <c r="AD118" s="284">
        <f>AD117*7</f>
        <v>0</v>
      </c>
      <c r="AE118" s="284">
        <f>AE117*7</f>
        <v>0</v>
      </c>
      <c r="AF118" s="285">
        <f>IF(AND(AE118&gt;0,AD118&gt;0),(AD118/AE118-1)*100,0)</f>
        <v>0</v>
      </c>
      <c r="AG118" s="1199" t="str">
        <f>PROD!$AG$6</f>
        <v>Gr X H Acm</v>
      </c>
      <c r="AH118" s="298">
        <f>IF(SUM(PROD!L117:L123)&gt;0,IF(PROD!$AG$5="Gr X H",SUM(PROD!V$5:V123)*PROD!$A$1/SUM(PROD!L$5:L123),IF($AG117="Conv Kg/Doc",(SUM(PROD!V$5:V123)*PROD!$A$1/1000)/(SUM(PROD!L$5:L123)/12),IF(PROD!$O119&gt;0,SUM(PROD!V$5:V123)*PROD!$A$1/(SUM(PROD!L$5:L123)*LOOKUP(PROD!A117,TP!$A$6:$A$108,GSh!$BB$6:$BB$108)),0))),0)</f>
        <v>0</v>
      </c>
      <c r="AI118" s="298">
        <f>IF(PROD!P117&gt;0,IF($AG117="Gr X H",PROD!AE117/PROD!P117*100,IF($AG117="Conv Kg/Doc",PROD!AE117/PROD!P117*1.2,IF(PROD!$P118&gt;0,PROD!AE119/(PROD!P118*LOOKUP(PROD!$A117,TP!$A$6:$A$108,GSh!$BC$6:$BC$108)/1000),0))),0)</f>
        <v>0</v>
      </c>
      <c r="AJ118" s="328">
        <f t="shared" si="66"/>
        <v>0</v>
      </c>
      <c r="AK118" s="2027"/>
      <c r="AL118" s="1284">
        <f t="shared" si="41"/>
        <v>0</v>
      </c>
      <c r="AM118" s="1285"/>
      <c r="AN118" s="1285"/>
      <c r="AO118" s="1285"/>
      <c r="AP118" s="1285"/>
      <c r="AQ118" s="1285"/>
      <c r="AR118" s="1285"/>
      <c r="AS118" s="1286"/>
      <c r="AT118" s="1287"/>
      <c r="AU118" s="1288"/>
      <c r="AV118" s="1289"/>
      <c r="AW118" s="1290"/>
      <c r="AX118" s="1291"/>
      <c r="AY118" s="1291"/>
      <c r="AZ118" s="1292"/>
      <c r="BA118" s="1293"/>
      <c r="BB118" s="1294"/>
      <c r="BC118" s="1295"/>
      <c r="BD118" s="1296">
        <f>BD117+PROD!L118-BA118</f>
        <v>0</v>
      </c>
      <c r="BE118" s="2133"/>
      <c r="BF118" s="507" t="e">
        <f t="shared" si="42"/>
        <v>#VALUE!</v>
      </c>
      <c r="BG118" s="329"/>
      <c r="BH118" s="1018">
        <f t="shared" si="43"/>
        <v>0</v>
      </c>
    </row>
    <row r="119" spans="1:60" ht="15" customHeight="1" x14ac:dyDescent="0.3">
      <c r="A119" s="2033"/>
      <c r="B119" s="287" t="str">
        <f t="shared" si="44"/>
        <v/>
      </c>
      <c r="C119" s="288" t="str">
        <f t="shared" si="39"/>
        <v/>
      </c>
      <c r="D119" s="691"/>
      <c r="E119" s="692"/>
      <c r="F119" s="693"/>
      <c r="G119" s="694"/>
      <c r="H119" s="695"/>
      <c r="I119" s="289">
        <f>I118-SUM($D119:F119)</f>
        <v>0</v>
      </c>
      <c r="J119" s="1235" t="str">
        <f>$J$7</f>
        <v>% Mort/Sel Sem Tab :</v>
      </c>
      <c r="K119" s="1236">
        <f>K122-K115</f>
        <v>0</v>
      </c>
      <c r="L119" s="1246"/>
      <c r="M119" s="291">
        <f t="shared" si="67"/>
        <v>0</v>
      </c>
      <c r="N119" s="304" t="str">
        <f>$N$7</f>
        <v xml:space="preserve">Peso Huevo (Gr) : </v>
      </c>
      <c r="O119" s="305">
        <f>LOOKUP($A117,'Pr-Sem'!$A$6:$A$108,'Pr-Sem'!$Z$6:$Z$108)</f>
        <v>0</v>
      </c>
      <c r="P119" s="305">
        <f>IFERROR(LOOKUP($A117,TP!$A$6:$A$108,GSh!$AZ$6:$AZ$108),0)</f>
        <v>0</v>
      </c>
      <c r="Q119" s="306">
        <f>IF(AND(P119&gt;0,O119&gt;0),O119-P119,0)</f>
        <v>0</v>
      </c>
      <c r="R119" s="699"/>
      <c r="S119" s="762"/>
      <c r="T119" s="765">
        <f t="shared" si="50"/>
        <v>0</v>
      </c>
      <c r="U119" s="700"/>
      <c r="V119" s="701"/>
      <c r="W119" s="701"/>
      <c r="X119" s="295">
        <f t="shared" si="45"/>
        <v>0</v>
      </c>
      <c r="Y119" s="296">
        <f>IF(AA119&gt;0,V119,AE117/IF(Iniciar!$C$25="B X 40 K",40,IF(Iniciar!$C$25="B X 50 K",50,1))*I119/1000)</f>
        <v>0</v>
      </c>
      <c r="Z119" s="296">
        <f t="shared" si="46"/>
        <v>0</v>
      </c>
      <c r="AA119" s="297">
        <f t="shared" si="68"/>
        <v>0</v>
      </c>
      <c r="AB119" s="297">
        <f t="shared" si="40"/>
        <v>0</v>
      </c>
      <c r="AC119" s="1268" t="str">
        <f>$AC$7</f>
        <v>Kg Ave Acu :</v>
      </c>
      <c r="AD119" s="308">
        <f>IF(OR(SUM(L117:L123)&gt;0,SUM(V117:V123)&gt;0),AD118/1000+AD112,0)</f>
        <v>0</v>
      </c>
      <c r="AE119" s="309">
        <f>AE118/1000+AE112</f>
        <v>0</v>
      </c>
      <c r="AF119" s="310">
        <f>IF(AND(AE119&gt;0,AD119&gt;0),(AD119/AE119-1)*100,0)</f>
        <v>0</v>
      </c>
      <c r="AG119" s="311" t="str">
        <f>PROD!$AG$7</f>
        <v xml:space="preserve">Masa Sem H (Gr) : </v>
      </c>
      <c r="AH119" s="312">
        <f>PROD!O117/100*7*PROD!O119</f>
        <v>0</v>
      </c>
      <c r="AI119" s="312">
        <f>PROD!P117/100*7*PROD!P119</f>
        <v>0</v>
      </c>
      <c r="AJ119" s="313">
        <f t="shared" si="66"/>
        <v>0</v>
      </c>
      <c r="AK119" s="2027"/>
      <c r="AL119" s="1284">
        <f t="shared" si="41"/>
        <v>0</v>
      </c>
      <c r="AM119" s="1285"/>
      <c r="AN119" s="1285"/>
      <c r="AO119" s="1285"/>
      <c r="AP119" s="1285"/>
      <c r="AQ119" s="1285"/>
      <c r="AR119" s="1285"/>
      <c r="AS119" s="1286"/>
      <c r="AT119" s="1287"/>
      <c r="AU119" s="1288"/>
      <c r="AV119" s="1289"/>
      <c r="AW119" s="1290"/>
      <c r="AX119" s="1291"/>
      <c r="AY119" s="1291"/>
      <c r="AZ119" s="1292"/>
      <c r="BA119" s="1293"/>
      <c r="BB119" s="1294"/>
      <c r="BC119" s="1295"/>
      <c r="BD119" s="1296">
        <f>BD118+PROD!L119-BA119</f>
        <v>0</v>
      </c>
      <c r="BE119" s="2133"/>
      <c r="BF119" s="507" t="e">
        <f t="shared" si="42"/>
        <v>#VALUE!</v>
      </c>
      <c r="BG119" s="329"/>
      <c r="BH119" s="1018">
        <f t="shared" si="43"/>
        <v>0</v>
      </c>
    </row>
    <row r="120" spans="1:60" ht="15" customHeight="1" x14ac:dyDescent="0.3">
      <c r="A120" s="2033"/>
      <c r="B120" s="287" t="str">
        <f t="shared" si="44"/>
        <v/>
      </c>
      <c r="C120" s="288" t="str">
        <f t="shared" si="39"/>
        <v/>
      </c>
      <c r="D120" s="691"/>
      <c r="E120" s="692"/>
      <c r="F120" s="693"/>
      <c r="G120" s="694"/>
      <c r="H120" s="695"/>
      <c r="I120" s="289">
        <f>I119-SUM($D120:F120)</f>
        <v>0</v>
      </c>
      <c r="J120" s="1234" t="str">
        <f>$J$8</f>
        <v>% Mort Acm :</v>
      </c>
      <c r="K120" s="1231">
        <f>IF(PROD!$K$2&gt;0,SUM(D$5:D123)/PROD!$K$2,0)</f>
        <v>0</v>
      </c>
      <c r="L120" s="1246"/>
      <c r="M120" s="291">
        <f t="shared" si="67"/>
        <v>0</v>
      </c>
      <c r="N120" s="314" t="str">
        <f>N$8</f>
        <v xml:space="preserve">Peso Ave (Gr) : </v>
      </c>
      <c r="O120" s="315">
        <f>LOOKUP($A117,GSh!$BV$6:$BV$108,GSh!$BJ$6:$BJ$108)</f>
        <v>0</v>
      </c>
      <c r="P120" s="315">
        <f>IFERROR(LOOKUP($A117,TP!$A$6:$A$108,GSh!$BK$6:$BK$108),0)</f>
        <v>0</v>
      </c>
      <c r="Q120" s="316">
        <f>IF(AND(P120&gt;0,O120&gt;0),(O120/P120-1)*100,0)</f>
        <v>0</v>
      </c>
      <c r="R120" s="699"/>
      <c r="S120" s="762"/>
      <c r="T120" s="765">
        <f t="shared" si="50"/>
        <v>0</v>
      </c>
      <c r="U120" s="700"/>
      <c r="V120" s="701"/>
      <c r="W120" s="701"/>
      <c r="X120" s="295">
        <f t="shared" si="45"/>
        <v>0</v>
      </c>
      <c r="Y120" s="296">
        <f>IF(AA120&gt;0,V120,AE117/IF(Iniciar!$C$25="B X 40 K",40,IF(Iniciar!$C$25="B X 50 K",50,1))*I120/1000)</f>
        <v>0</v>
      </c>
      <c r="Z120" s="296">
        <f t="shared" si="46"/>
        <v>0</v>
      </c>
      <c r="AA120" s="297">
        <f t="shared" si="68"/>
        <v>0</v>
      </c>
      <c r="AB120" s="297">
        <f t="shared" si="40"/>
        <v>0</v>
      </c>
      <c r="AC120" s="541" t="str">
        <f>$AC$8</f>
        <v xml:space="preserve">Ton. Lote Acu : </v>
      </c>
      <c r="AD120" s="544">
        <f>SUM($V$5:$V123)*$A$1/1000000</f>
        <v>0</v>
      </c>
      <c r="AE120" s="543">
        <f>AE113+(AE117/1000000*7*(I117+I123)/2)</f>
        <v>0</v>
      </c>
      <c r="AF120" s="542">
        <f>IF(AND(AE120&gt;0,AD120&gt;0),(AD120/AE120-1)*100,0)</f>
        <v>0</v>
      </c>
      <c r="AG120" s="317" t="str">
        <f>PROD!$AG$8</f>
        <v xml:space="preserve">Masa Ac A. A (Kg) : </v>
      </c>
      <c r="AH120" s="318">
        <f>IF(PROD!$K$2&gt;0,SUM(PROD!L$5:L123)*LOOKUP(PROD!$A117,TP!$A$6:$A$108,GSh!$BB$6:$BB$108)/1000/PROD!$K$2,0)</f>
        <v>0</v>
      </c>
      <c r="AI120" s="318">
        <f>IFERROR(PROD!P118*LOOKUP(PROD!$A117,TP!$A$6:$A$108,GSh!$BC$6:$BC$108)/1000,0)</f>
        <v>0</v>
      </c>
      <c r="AJ120" s="330">
        <f t="shared" si="66"/>
        <v>0</v>
      </c>
      <c r="AK120" s="2027"/>
      <c r="AL120" s="1284">
        <f t="shared" si="41"/>
        <v>0</v>
      </c>
      <c r="AM120" s="1285"/>
      <c r="AN120" s="1285"/>
      <c r="AO120" s="1285"/>
      <c r="AP120" s="1285"/>
      <c r="AQ120" s="1285"/>
      <c r="AR120" s="1285"/>
      <c r="AS120" s="1286"/>
      <c r="AT120" s="1287"/>
      <c r="AU120" s="1288"/>
      <c r="AV120" s="1289"/>
      <c r="AW120" s="1290"/>
      <c r="AX120" s="1291"/>
      <c r="AY120" s="1291"/>
      <c r="AZ120" s="1292"/>
      <c r="BA120" s="1293"/>
      <c r="BB120" s="1294"/>
      <c r="BC120" s="1295"/>
      <c r="BD120" s="1296">
        <f>BD119+PROD!L120-BA120</f>
        <v>0</v>
      </c>
      <c r="BE120" s="2133"/>
      <c r="BF120" s="507" t="e">
        <f t="shared" si="42"/>
        <v>#VALUE!</v>
      </c>
      <c r="BG120" s="329"/>
      <c r="BH120" s="1018">
        <f t="shared" si="43"/>
        <v>0</v>
      </c>
    </row>
    <row r="121" spans="1:60" ht="15" customHeight="1" x14ac:dyDescent="0.3">
      <c r="A121" s="2033"/>
      <c r="B121" s="287" t="str">
        <f t="shared" si="44"/>
        <v/>
      </c>
      <c r="C121" s="288" t="str">
        <f t="shared" si="39"/>
        <v/>
      </c>
      <c r="D121" s="691"/>
      <c r="E121" s="692"/>
      <c r="F121" s="693"/>
      <c r="G121" s="694"/>
      <c r="H121" s="695"/>
      <c r="I121" s="289">
        <f>I120-SUM($D121:F121)</f>
        <v>0</v>
      </c>
      <c r="J121" s="1234" t="str">
        <f>$J$9</f>
        <v>% Sel Acm :</v>
      </c>
      <c r="K121" s="1231">
        <f>IF(PROD!$K$2&gt;0,SUM(E$5:E123)/PROD!$K$2,0)</f>
        <v>0</v>
      </c>
      <c r="L121" s="1246"/>
      <c r="M121" s="291">
        <f t="shared" si="67"/>
        <v>0</v>
      </c>
      <c r="N121" s="292" t="str">
        <f>$N$9</f>
        <v xml:space="preserve">Uniformidad (10% -) : </v>
      </c>
      <c r="O121" s="320">
        <f>LOOKUP($A117,'Pr-Sem'!$A$6:$A$108,'Pr-Sem'!$AH$6:$AH$108)</f>
        <v>0</v>
      </c>
      <c r="P121" s="320">
        <v>5</v>
      </c>
      <c r="Q121" s="321">
        <f>IF(AND(P121&gt;0,O121&gt;0),(1-O121/P121)*100,0)</f>
        <v>0</v>
      </c>
      <c r="R121" s="699"/>
      <c r="S121" s="762"/>
      <c r="T121" s="765">
        <f t="shared" si="50"/>
        <v>0</v>
      </c>
      <c r="U121" s="700"/>
      <c r="V121" s="701"/>
      <c r="W121" s="701"/>
      <c r="X121" s="295">
        <f t="shared" si="45"/>
        <v>0</v>
      </c>
      <c r="Y121" s="296">
        <f>IF(AA121&gt;0,V121,AE117/IF(Iniciar!$C$25="B X 40 K",40,IF(Iniciar!$C$25="B X 50 K",50,1))*I121/1000)</f>
        <v>0</v>
      </c>
      <c r="Z121" s="296">
        <f t="shared" si="46"/>
        <v>0</v>
      </c>
      <c r="AA121" s="297">
        <f t="shared" si="68"/>
        <v>0</v>
      </c>
      <c r="AB121" s="297">
        <f t="shared" si="40"/>
        <v>0</v>
      </c>
      <c r="AC121" s="2035" t="str">
        <f>$AC$9</f>
        <v xml:space="preserve">Total Litros Sem: </v>
      </c>
      <c r="AD121" s="2036"/>
      <c r="AE121" s="2050">
        <f>SUM(R117:R123)</f>
        <v>0</v>
      </c>
      <c r="AF121" s="2051"/>
      <c r="AG121" s="554" t="str">
        <f>$AG$9</f>
        <v xml:space="preserve">Indicador Eficiencia : </v>
      </c>
      <c r="AH121" s="555">
        <f>IF(AND(AE121&gt;0,O118&gt;0,O119&gt;0,SUM(L117:L123)&gt;0),(PROD!AH120/O118)*K123*100/(AE121/(SUM(L117:L123)*O119/1000)),0)</f>
        <v>0</v>
      </c>
      <c r="AI121" s="555">
        <f>IF(AND(P118&gt;0,PROD!AI119&gt;0),(PROD!AI120/P118)*(1-K122)*100/(AE118/PROD!AI119),0)</f>
        <v>0</v>
      </c>
      <c r="AJ121" s="331">
        <f t="shared" si="66"/>
        <v>0</v>
      </c>
      <c r="AK121" s="2027"/>
      <c r="AL121" s="1284">
        <f t="shared" si="41"/>
        <v>0</v>
      </c>
      <c r="AM121" s="1285"/>
      <c r="AN121" s="1285"/>
      <c r="AO121" s="1285"/>
      <c r="AP121" s="1285"/>
      <c r="AQ121" s="1285"/>
      <c r="AR121" s="1285"/>
      <c r="AS121" s="1286"/>
      <c r="AT121" s="1287"/>
      <c r="AU121" s="1288"/>
      <c r="AV121" s="1289"/>
      <c r="AW121" s="1290"/>
      <c r="AX121" s="1291"/>
      <c r="AY121" s="1291"/>
      <c r="AZ121" s="1292"/>
      <c r="BA121" s="1293"/>
      <c r="BB121" s="1294"/>
      <c r="BC121" s="1295"/>
      <c r="BD121" s="1296">
        <f>BD120+PROD!L121-BA121</f>
        <v>0</v>
      </c>
      <c r="BE121" s="2133"/>
      <c r="BF121" s="507" t="e">
        <f t="shared" si="42"/>
        <v>#VALUE!</v>
      </c>
      <c r="BG121" s="329"/>
      <c r="BH121" s="1018">
        <f t="shared" si="43"/>
        <v>0</v>
      </c>
    </row>
    <row r="122" spans="1:60" ht="15" customHeight="1" x14ac:dyDescent="0.3">
      <c r="A122" s="2033"/>
      <c r="B122" s="287" t="str">
        <f t="shared" si="44"/>
        <v/>
      </c>
      <c r="C122" s="288" t="str">
        <f t="shared" si="39"/>
        <v/>
      </c>
      <c r="D122" s="691"/>
      <c r="E122" s="692"/>
      <c r="F122" s="693"/>
      <c r="G122" s="694"/>
      <c r="H122" s="695"/>
      <c r="I122" s="289">
        <f>I121-SUM($D122:F122)</f>
        <v>0</v>
      </c>
      <c r="J122" s="1237" t="str">
        <f>$J$10</f>
        <v>% Mort/Sel Acm Tab :</v>
      </c>
      <c r="K122" s="1238">
        <f>IFERROR(LOOKUP($A117,TP!$A$6:$A$108,GSh!$AR$6:$AR$108)/100,0)</f>
        <v>0</v>
      </c>
      <c r="L122" s="1246"/>
      <c r="M122" s="291">
        <f t="shared" si="67"/>
        <v>0</v>
      </c>
      <c r="N122" s="292" t="str">
        <f>$N$10</f>
        <v xml:space="preserve">Uniformidad (C. Lote) : </v>
      </c>
      <c r="O122" s="320">
        <f>LOOKUP($A117,'Pr-Sem'!$A$6:$A$108,'Pr-Sem'!$AG$6:$AG$108)</f>
        <v>0</v>
      </c>
      <c r="P122" s="320">
        <v>90</v>
      </c>
      <c r="Q122" s="321">
        <f>IF(AND(P122&gt;0,O122&gt;0),(O122/P122-1)*100,0)</f>
        <v>0</v>
      </c>
      <c r="R122" s="699"/>
      <c r="S122" s="762"/>
      <c r="T122" s="765">
        <f t="shared" si="50"/>
        <v>0</v>
      </c>
      <c r="U122" s="700"/>
      <c r="V122" s="701"/>
      <c r="W122" s="701"/>
      <c r="X122" s="295">
        <f t="shared" si="45"/>
        <v>0</v>
      </c>
      <c r="Y122" s="296">
        <f>IF(AA122&gt;0,V122,AE117/IF(Iniciar!$C$25="B X 40 K",40,IF(Iniciar!$C$25="B X 50 K",50,1))*I122/1000)</f>
        <v>0</v>
      </c>
      <c r="Z122" s="296">
        <f t="shared" si="46"/>
        <v>0</v>
      </c>
      <c r="AA122" s="297">
        <f t="shared" si="68"/>
        <v>0</v>
      </c>
      <c r="AB122" s="297">
        <f t="shared" si="40"/>
        <v>0</v>
      </c>
      <c r="AC122" s="2037" t="str">
        <f>$AC$10</f>
        <v xml:space="preserve">Cons ml /ave día: </v>
      </c>
      <c r="AD122" s="2038"/>
      <c r="AE122" s="2056">
        <f>IFERROR(SUMPRODUCT(AB117:AB123,I117:I123)/SUM(I117:I123),0)</f>
        <v>0</v>
      </c>
      <c r="AF122" s="2057"/>
      <c r="AG122" s="311" t="str">
        <f>CONCATENATE("Costo ",Iniciar!$C$25," : ")</f>
        <v xml:space="preserve">Costo Kilos : </v>
      </c>
      <c r="AH122" s="2043">
        <f>IFERROR(SUMPRODUCT(T117:T123,V117:V123)/SUMIF(T117:T123,"&gt;0",V117:V123),0)</f>
        <v>0</v>
      </c>
      <c r="AI122" s="2043"/>
      <c r="AJ122" s="313"/>
      <c r="AK122" s="2027"/>
      <c r="AL122" s="1284">
        <f t="shared" si="41"/>
        <v>0</v>
      </c>
      <c r="AM122" s="1285"/>
      <c r="AN122" s="1285"/>
      <c r="AO122" s="1285"/>
      <c r="AP122" s="1285"/>
      <c r="AQ122" s="1285"/>
      <c r="AR122" s="1285"/>
      <c r="AS122" s="1286"/>
      <c r="AT122" s="1287"/>
      <c r="AU122" s="1288"/>
      <c r="AV122" s="1289"/>
      <c r="AW122" s="1290"/>
      <c r="AX122" s="1291"/>
      <c r="AY122" s="1291"/>
      <c r="AZ122" s="1292"/>
      <c r="BA122" s="1293"/>
      <c r="BB122" s="1294"/>
      <c r="BC122" s="1295"/>
      <c r="BD122" s="1296">
        <f>BD121+PROD!L122-BA122</f>
        <v>0</v>
      </c>
      <c r="BE122" s="2133"/>
      <c r="BF122" s="507" t="e">
        <f t="shared" si="42"/>
        <v>#VALUE!</v>
      </c>
      <c r="BG122" s="329"/>
      <c r="BH122" s="1018">
        <f t="shared" si="43"/>
        <v>0</v>
      </c>
    </row>
    <row r="123" spans="1:60" ht="15" customHeight="1" x14ac:dyDescent="0.3">
      <c r="A123" s="2034"/>
      <c r="B123" s="287" t="str">
        <f t="shared" si="44"/>
        <v/>
      </c>
      <c r="C123" s="288" t="str">
        <f t="shared" si="39"/>
        <v/>
      </c>
      <c r="D123" s="691"/>
      <c r="E123" s="692"/>
      <c r="F123" s="693"/>
      <c r="G123" s="694"/>
      <c r="H123" s="695"/>
      <c r="I123" s="289">
        <f>I122-SUM($D123:F123)</f>
        <v>0</v>
      </c>
      <c r="J123" s="1239" t="str">
        <f>$J$11</f>
        <v>% Viabilidad :</v>
      </c>
      <c r="K123" s="1240">
        <f>IF(OR(SUM(L117:L123)&gt;0,SUM(V117:V123)&gt;0),1-(K120+K121),0)</f>
        <v>0</v>
      </c>
      <c r="L123" s="1247"/>
      <c r="M123" s="1248">
        <f>IF(I123&gt;0,(L123/IF(SUM(L117:L122)&gt;0,1,7))/I123,0)</f>
        <v>0</v>
      </c>
      <c r="N123" s="1249" t="str">
        <f>$N$11</f>
        <v xml:space="preserve">Uniformidad (10% +) : </v>
      </c>
      <c r="O123" s="1250">
        <f>IF(O121&gt;0,IF(O122&gt;0,100-SUM(O121:O122),0),0)</f>
        <v>0</v>
      </c>
      <c r="P123" s="1251">
        <f>100-SUM(P121:P122)</f>
        <v>5</v>
      </c>
      <c r="Q123" s="1252">
        <f>IF(AND(P123&gt;0,O123&gt;0),(O123/P123-1)*100,0)</f>
        <v>0</v>
      </c>
      <c r="R123" s="699"/>
      <c r="S123" s="762"/>
      <c r="T123" s="765">
        <f t="shared" si="50"/>
        <v>0</v>
      </c>
      <c r="U123" s="700"/>
      <c r="V123" s="701"/>
      <c r="W123" s="701"/>
      <c r="X123" s="295">
        <f t="shared" si="45"/>
        <v>0</v>
      </c>
      <c r="Y123" s="296">
        <f>IF(AA123&gt;0,V123,AE117/IF(Iniciar!$C$25="B X 40 K",40,IF(Iniciar!$C$25="B X 50 K",50,1))*I123/1000)</f>
        <v>0</v>
      </c>
      <c r="Z123" s="296">
        <f t="shared" si="46"/>
        <v>0</v>
      </c>
      <c r="AA123" s="297">
        <f>IF(I123&gt;0,(V123/IF(SUM(V117:V122)&gt;0,1,7))*$A$1/I123,0)</f>
        <v>0</v>
      </c>
      <c r="AB123" s="297">
        <f t="shared" si="40"/>
        <v>0</v>
      </c>
      <c r="AC123" s="2039" t="str">
        <f>$AC$11</f>
        <v xml:space="preserve">Relación Agua /Alimto: </v>
      </c>
      <c r="AD123" s="2040"/>
      <c r="AE123" s="2058">
        <f>IFERROR(AE122/AD117,0)</f>
        <v>0</v>
      </c>
      <c r="AF123" s="2059"/>
      <c r="AG123" s="1269" t="s">
        <v>237</v>
      </c>
      <c r="AH123" s="1270">
        <f>IF(SUM(L117:L123)&gt;0,AH122*SUM(V117:V123)/SUM(L117:L123),0)</f>
        <v>0</v>
      </c>
      <c r="AI123" s="1270">
        <f>IF(AND($A$1&gt;0,P117&gt;0),AH122/$A$1*(AE117/P117)*100,0)</f>
        <v>0</v>
      </c>
      <c r="AJ123" s="1271">
        <f t="shared" ref="AJ123:AJ128" si="69">IF(AND(AI123&gt;0,AH123&gt;0),(AH123/AI123-1)*100,0)</f>
        <v>0</v>
      </c>
      <c r="AK123" s="2028"/>
      <c r="AL123" s="1284">
        <f t="shared" si="41"/>
        <v>0</v>
      </c>
      <c r="AM123" s="1285"/>
      <c r="AN123" s="1285"/>
      <c r="AO123" s="1285"/>
      <c r="AP123" s="1285"/>
      <c r="AQ123" s="1285"/>
      <c r="AR123" s="1285"/>
      <c r="AS123" s="1286"/>
      <c r="AT123" s="1287"/>
      <c r="AU123" s="1288"/>
      <c r="AV123" s="1289"/>
      <c r="AW123" s="1290"/>
      <c r="AX123" s="1291"/>
      <c r="AY123" s="1291"/>
      <c r="AZ123" s="1292"/>
      <c r="BA123" s="1293"/>
      <c r="BB123" s="1294"/>
      <c r="BC123" s="1295"/>
      <c r="BD123" s="1296">
        <f>BD122+PROD!L123-BA123</f>
        <v>0</v>
      </c>
      <c r="BE123" s="2134"/>
      <c r="BF123" s="507" t="e">
        <f t="shared" si="42"/>
        <v>#VALUE!</v>
      </c>
      <c r="BG123" s="329"/>
      <c r="BH123" s="1018">
        <f t="shared" si="43"/>
        <v>0</v>
      </c>
    </row>
    <row r="124" spans="1:60" ht="15" customHeight="1" x14ac:dyDescent="0.3">
      <c r="A124" s="2032">
        <f>A117+1</f>
        <v>35</v>
      </c>
      <c r="B124" s="287" t="str">
        <f t="shared" si="44"/>
        <v/>
      </c>
      <c r="C124" s="288" t="str">
        <f t="shared" si="39"/>
        <v/>
      </c>
      <c r="D124" s="691"/>
      <c r="E124" s="692"/>
      <c r="F124" s="693"/>
      <c r="G124" s="694"/>
      <c r="H124" s="695"/>
      <c r="I124" s="289">
        <f>I123-SUM($D124:F124)</f>
        <v>0</v>
      </c>
      <c r="J124" s="1232" t="str">
        <f>$J$5</f>
        <v>% Mort Sem :</v>
      </c>
      <c r="K124" s="1233">
        <f>IF(PROD!$K$2&gt;0,SUM(D124:D130)/PROD!$K$2,0)</f>
        <v>0</v>
      </c>
      <c r="L124" s="1241"/>
      <c r="M124" s="1242">
        <f t="shared" ref="M124:M129" si="70">IF(I124&gt;0,L124/I124,0)</f>
        <v>0</v>
      </c>
      <c r="N124" s="1243" t="str">
        <f>$N$5</f>
        <v xml:space="preserve">% Pdn prom semana : </v>
      </c>
      <c r="O124" s="1244">
        <f>IF(SUM(L124:L129)&gt;0,100*SUMPRODUCT(M124:M130,I124:I130)/SUMIF(L124:L130,"&gt;0",I124:I130),IF(L130&gt;0,100*L130/7/I130,0))</f>
        <v>0</v>
      </c>
      <c r="P124" s="1244">
        <f>IFERROR(LOOKUP($A124,TP!$A$6:$A$108,GSh!$AE$6:$AE$108),0)</f>
        <v>0</v>
      </c>
      <c r="Q124" s="1245">
        <f>IF(AND(P124&gt;0,O124&gt;0),O124-P124,0)</f>
        <v>0</v>
      </c>
      <c r="R124" s="699"/>
      <c r="S124" s="762"/>
      <c r="T124" s="765">
        <f t="shared" si="50"/>
        <v>0</v>
      </c>
      <c r="U124" s="700"/>
      <c r="V124" s="701"/>
      <c r="W124" s="701"/>
      <c r="X124" s="295">
        <f t="shared" si="45"/>
        <v>0</v>
      </c>
      <c r="Y124" s="296">
        <f>IF(AA124&gt;0,V124,AE124/IF(Iniciar!$C$25="B X 40 K",40,IF(Iniciar!$C$25="B X 50 K",50,1))*I124/1000)</f>
        <v>0</v>
      </c>
      <c r="Z124" s="296">
        <f t="shared" si="46"/>
        <v>0</v>
      </c>
      <c r="AA124" s="297">
        <f t="shared" ref="AA124:AA129" si="71">IF(I124&gt;0,V124*$A$1/I124,0)</f>
        <v>0</v>
      </c>
      <c r="AB124" s="297">
        <f t="shared" si="40"/>
        <v>0</v>
      </c>
      <c r="AC124" s="1261" t="str">
        <f>$AC$5</f>
        <v>Gr. Ave Dia :</v>
      </c>
      <c r="AD124" s="1262">
        <f>IF(SUMIF(V124:V130,"&gt;0")&gt;0,SUMPRODUCT(AA124:AA130,I124:I130)/SUMIF(AA124:AA130,"&gt;0",I124:I130),0)</f>
        <v>0</v>
      </c>
      <c r="AE124" s="1262">
        <f>IFERROR(LOOKUP($A124,TP!$A$6:$A$108,GSh!$AU$6:$AU$108),0)</f>
        <v>0</v>
      </c>
      <c r="AF124" s="1263">
        <f>IF(AND(AE124&gt;0,AD124&gt;0),(AD124/AE124-1)*100,0)</f>
        <v>0</v>
      </c>
      <c r="AG124" s="1264" t="str">
        <f>PROD!$AG$5</f>
        <v>Gr X H</v>
      </c>
      <c r="AH124" s="1265">
        <f>IF(PROD!O124&gt;0,IF($AG124="Gr X H",PROD!AD124/PROD!O124*100,IF($AG124="Conv Kg/Doc",PROD!AD124/PROD!O124*1.2,IF(PROD!$O126&gt;0,PROD!AD124/(PROD!O124*PROD!$O126)*100,0))),0)</f>
        <v>0</v>
      </c>
      <c r="AI124" s="1265">
        <f>IF(PROD!P124&gt;0,IF($AG124="Gr X H",PROD!AE124/PROD!P124*100,IF($AG124="Conv Kg/Doc",PROD!AE124/PROD!P124*1.2,IF(PROD!$P126&gt;0,PROD!AE124/(PROD!P124*PROD!$P126)*100,0))),0)</f>
        <v>0</v>
      </c>
      <c r="AJ124" s="1266">
        <f t="shared" si="69"/>
        <v>0</v>
      </c>
      <c r="AK124" s="2026"/>
      <c r="AL124" s="1284">
        <f t="shared" si="41"/>
        <v>0</v>
      </c>
      <c r="AM124" s="1285"/>
      <c r="AN124" s="1285"/>
      <c r="AO124" s="1285"/>
      <c r="AP124" s="1285"/>
      <c r="AQ124" s="1285"/>
      <c r="AR124" s="1285"/>
      <c r="AS124" s="1286"/>
      <c r="AT124" s="1287"/>
      <c r="AU124" s="1288"/>
      <c r="AV124" s="1289"/>
      <c r="AW124" s="1290"/>
      <c r="AX124" s="1291"/>
      <c r="AY124" s="1291"/>
      <c r="AZ124" s="1292"/>
      <c r="BA124" s="1293"/>
      <c r="BB124" s="1294"/>
      <c r="BC124" s="1295"/>
      <c r="BD124" s="1296">
        <f>BD123+PROD!L124-BA124</f>
        <v>0</v>
      </c>
      <c r="BE124" s="2132">
        <f>IF(SUM(AM124:AZ130)&gt;0,(SUM(AM124:AM130)*$AM$2+SUM(AN124:AN130)*$AN$2+SUM(AO124:AO130)*$AO$2+SUM(AP124:AP130)*$AP$2+SUM(AQ124:AQ130)*$AQ$2+SUM(AR124:AR130)*$AR$2+SUM(AS124:AS130)*$AS$2+SUM(AW124:AW130)*$AW$2+SUM(AX124:AX130)*$AX$2+SUM(AY124:AY130)*$AY$2+SUM(AZ124:AZ130)*$AZ$2+SUM(AT124:AT130)*$AT$2+SUM(AU124:AU130)*$AU$2+SUM(AV124:AV130)*$AV$2)/SUM(AM124:AZ130),0)</f>
        <v>0</v>
      </c>
      <c r="BF124" s="507" t="e">
        <f t="shared" si="42"/>
        <v>#VALUE!</v>
      </c>
      <c r="BG124" s="277">
        <f>IF(SUM(L124:L130)&gt;0,A124,IF(SUM(V124:V130)&gt;0,A124,BG117))</f>
        <v>0</v>
      </c>
      <c r="BH124" s="1018">
        <f t="shared" si="43"/>
        <v>0</v>
      </c>
    </row>
    <row r="125" spans="1:60" ht="15" customHeight="1" x14ac:dyDescent="0.3">
      <c r="A125" s="2033"/>
      <c r="B125" s="287" t="str">
        <f t="shared" si="44"/>
        <v/>
      </c>
      <c r="C125" s="288" t="str">
        <f t="shared" si="39"/>
        <v/>
      </c>
      <c r="D125" s="691"/>
      <c r="E125" s="692"/>
      <c r="F125" s="693"/>
      <c r="G125" s="694"/>
      <c r="H125" s="695"/>
      <c r="I125" s="289">
        <f>I124-SUM($D125:F125)</f>
        <v>0</v>
      </c>
      <c r="J125" s="1234" t="str">
        <f>$J$6</f>
        <v>% Sel Sem :</v>
      </c>
      <c r="K125" s="1231">
        <f>IF(PROD!$K$2&gt;0,SUM(E124:E130)/PROD!$K$2,0)</f>
        <v>0</v>
      </c>
      <c r="L125" s="1246"/>
      <c r="M125" s="291">
        <f t="shared" si="70"/>
        <v>0</v>
      </c>
      <c r="N125" s="292" t="str">
        <f>$N$6</f>
        <v xml:space="preserve">H. Ave Alojada : </v>
      </c>
      <c r="O125" s="293">
        <f>IF(AND(PROD!$K$2&gt;0,O124&gt;0),SUM(L$5:L130)/PROD!$K$2,0)</f>
        <v>0</v>
      </c>
      <c r="P125" s="293">
        <f>IFERROR(LOOKUP($A124,TP!$A$6:$A$108,GSh!$AJ$6:$AJ$108),0)</f>
        <v>0</v>
      </c>
      <c r="Q125" s="294">
        <f>IF(AND(P125&gt;0,O125&gt;0),O125-P125,0)</f>
        <v>0</v>
      </c>
      <c r="R125" s="699"/>
      <c r="S125" s="762"/>
      <c r="T125" s="765">
        <f t="shared" si="50"/>
        <v>0</v>
      </c>
      <c r="U125" s="700"/>
      <c r="V125" s="701"/>
      <c r="W125" s="701"/>
      <c r="X125" s="295">
        <f t="shared" si="45"/>
        <v>0</v>
      </c>
      <c r="Y125" s="296">
        <f>IF(AA125&gt;0,V125,AE124/IF(Iniciar!$C$25="B X 40 K",40,IF(Iniciar!$C$25="B X 50 K",50,1))*I125/1000)</f>
        <v>0</v>
      </c>
      <c r="Z125" s="296">
        <f t="shared" si="46"/>
        <v>0</v>
      </c>
      <c r="AA125" s="297">
        <f t="shared" si="71"/>
        <v>0</v>
      </c>
      <c r="AB125" s="297">
        <f t="shared" si="40"/>
        <v>0</v>
      </c>
      <c r="AC125" s="1267" t="str">
        <f>$AC$6</f>
        <v>Gr. Ave Sem :</v>
      </c>
      <c r="AD125" s="284">
        <f>AD124*7</f>
        <v>0</v>
      </c>
      <c r="AE125" s="284">
        <f>AE124*7</f>
        <v>0</v>
      </c>
      <c r="AF125" s="285">
        <f>IF(AND(AE125&gt;0,AD125&gt;0),(AD125/AE125-1)*100,0)</f>
        <v>0</v>
      </c>
      <c r="AG125" s="1199" t="str">
        <f>PROD!$AG$6</f>
        <v>Gr X H Acm</v>
      </c>
      <c r="AH125" s="298">
        <f>IF(SUM(PROD!L124:L130)&gt;0,IF(PROD!$AG$5="Gr X H",SUM(PROD!V$5:V130)*PROD!$A$1/SUM(PROD!L$5:L130),IF($AG124="Conv Kg/Doc",(SUM(PROD!V$5:V130)*PROD!$A$1/1000)/(SUM(PROD!L$5:L130)/12),IF(PROD!$O126&gt;0,SUM(PROD!V$5:V130)*PROD!$A$1/(SUM(PROD!L$5:L130)*LOOKUP(PROD!A124,TP!$A$6:$A$108,GSh!$BB$6:$BB$108)),0))),0)</f>
        <v>0</v>
      </c>
      <c r="AI125" s="298">
        <f>IF(PROD!P124&gt;0,IF($AG124="Gr X H",PROD!AE124/PROD!P124*100,IF($AG124="Conv Kg/Doc",PROD!AE124/PROD!P124*1.2,IF(PROD!$P125&gt;0,PROD!AE126/(PROD!P125*LOOKUP(PROD!$A124,TP!$A$6:$A$108,GSh!$BC$6:$BC$108)/1000),0))),0)</f>
        <v>0</v>
      </c>
      <c r="AJ125" s="328">
        <f t="shared" si="69"/>
        <v>0</v>
      </c>
      <c r="AK125" s="2027"/>
      <c r="AL125" s="1284">
        <f t="shared" si="41"/>
        <v>0</v>
      </c>
      <c r="AM125" s="1285"/>
      <c r="AN125" s="1285"/>
      <c r="AO125" s="1285"/>
      <c r="AP125" s="1285"/>
      <c r="AQ125" s="1285"/>
      <c r="AR125" s="1285"/>
      <c r="AS125" s="1286"/>
      <c r="AT125" s="1287"/>
      <c r="AU125" s="1288"/>
      <c r="AV125" s="1289"/>
      <c r="AW125" s="1290"/>
      <c r="AX125" s="1291"/>
      <c r="AY125" s="1291"/>
      <c r="AZ125" s="1292"/>
      <c r="BA125" s="1293"/>
      <c r="BB125" s="1294"/>
      <c r="BC125" s="1295"/>
      <c r="BD125" s="1296">
        <f>BD124+PROD!L125-BA125</f>
        <v>0</v>
      </c>
      <c r="BE125" s="2133"/>
      <c r="BF125" s="507" t="e">
        <f t="shared" si="42"/>
        <v>#VALUE!</v>
      </c>
      <c r="BG125" s="329"/>
      <c r="BH125" s="1018">
        <f t="shared" si="43"/>
        <v>0</v>
      </c>
    </row>
    <row r="126" spans="1:60" ht="15" customHeight="1" x14ac:dyDescent="0.3">
      <c r="A126" s="2033"/>
      <c r="B126" s="287" t="str">
        <f t="shared" si="44"/>
        <v/>
      </c>
      <c r="C126" s="288" t="str">
        <f t="shared" si="39"/>
        <v/>
      </c>
      <c r="D126" s="691"/>
      <c r="E126" s="692"/>
      <c r="F126" s="693"/>
      <c r="G126" s="694"/>
      <c r="H126" s="695"/>
      <c r="I126" s="289">
        <f>I125-SUM($D126:F126)</f>
        <v>0</v>
      </c>
      <c r="J126" s="1235" t="str">
        <f>$J$7</f>
        <v>% Mort/Sel Sem Tab :</v>
      </c>
      <c r="K126" s="1236">
        <f>K129-K122</f>
        <v>0</v>
      </c>
      <c r="L126" s="1246"/>
      <c r="M126" s="291">
        <f t="shared" si="70"/>
        <v>0</v>
      </c>
      <c r="N126" s="304" t="str">
        <f>$N$7</f>
        <v xml:space="preserve">Peso Huevo (Gr) : </v>
      </c>
      <c r="O126" s="305">
        <f>LOOKUP($A124,'Pr-Sem'!$A$6:$A$108,'Pr-Sem'!$Z$6:$Z$108)</f>
        <v>0</v>
      </c>
      <c r="P126" s="305">
        <f>IFERROR(LOOKUP($A124,TP!$A$6:$A$108,GSh!$AZ$6:$AZ$108),0)</f>
        <v>0</v>
      </c>
      <c r="Q126" s="306">
        <f>IF(AND(P126&gt;0,O126&gt;0),O126-P126,0)</f>
        <v>0</v>
      </c>
      <c r="R126" s="699"/>
      <c r="S126" s="762"/>
      <c r="T126" s="765">
        <f t="shared" si="50"/>
        <v>0</v>
      </c>
      <c r="U126" s="700"/>
      <c r="V126" s="701"/>
      <c r="W126" s="701"/>
      <c r="X126" s="295">
        <f t="shared" si="45"/>
        <v>0</v>
      </c>
      <c r="Y126" s="296">
        <f>IF(AA126&gt;0,V126,AE124/IF(Iniciar!$C$25="B X 40 K",40,IF(Iniciar!$C$25="B X 50 K",50,1))*I126/1000)</f>
        <v>0</v>
      </c>
      <c r="Z126" s="296">
        <f t="shared" si="46"/>
        <v>0</v>
      </c>
      <c r="AA126" s="297">
        <f t="shared" si="71"/>
        <v>0</v>
      </c>
      <c r="AB126" s="297">
        <f t="shared" si="40"/>
        <v>0</v>
      </c>
      <c r="AC126" s="1268" t="str">
        <f>$AC$7</f>
        <v>Kg Ave Acu :</v>
      </c>
      <c r="AD126" s="308">
        <f>IF(OR(SUM(L124:L130)&gt;0,SUM(V124:V130)&gt;0),AD125/1000+AD119,0)</f>
        <v>0</v>
      </c>
      <c r="AE126" s="309">
        <f>AE125/1000+AE119</f>
        <v>0</v>
      </c>
      <c r="AF126" s="310">
        <f>IF(AND(AE126&gt;0,AD126&gt;0),(AD126/AE126-1)*100,0)</f>
        <v>0</v>
      </c>
      <c r="AG126" s="311" t="str">
        <f>PROD!$AG$7</f>
        <v xml:space="preserve">Masa Sem H (Gr) : </v>
      </c>
      <c r="AH126" s="312">
        <f>PROD!O124/100*7*PROD!O126</f>
        <v>0</v>
      </c>
      <c r="AI126" s="312">
        <f>PROD!P124/100*7*PROD!P126</f>
        <v>0</v>
      </c>
      <c r="AJ126" s="313">
        <f t="shared" si="69"/>
        <v>0</v>
      </c>
      <c r="AK126" s="2027"/>
      <c r="AL126" s="1284">
        <f t="shared" si="41"/>
        <v>0</v>
      </c>
      <c r="AM126" s="1285"/>
      <c r="AN126" s="1285"/>
      <c r="AO126" s="1285"/>
      <c r="AP126" s="1285"/>
      <c r="AQ126" s="1285"/>
      <c r="AR126" s="1285"/>
      <c r="AS126" s="1286"/>
      <c r="AT126" s="1287"/>
      <c r="AU126" s="1288"/>
      <c r="AV126" s="1289"/>
      <c r="AW126" s="1290"/>
      <c r="AX126" s="1291"/>
      <c r="AY126" s="1291"/>
      <c r="AZ126" s="1292"/>
      <c r="BA126" s="1293"/>
      <c r="BB126" s="1294"/>
      <c r="BC126" s="1295"/>
      <c r="BD126" s="1296">
        <f>BD125+PROD!L126-BA126</f>
        <v>0</v>
      </c>
      <c r="BE126" s="2133"/>
      <c r="BF126" s="507" t="e">
        <f t="shared" si="42"/>
        <v>#VALUE!</v>
      </c>
      <c r="BG126" s="329"/>
      <c r="BH126" s="1018">
        <f t="shared" si="43"/>
        <v>0</v>
      </c>
    </row>
    <row r="127" spans="1:60" ht="15" customHeight="1" x14ac:dyDescent="0.3">
      <c r="A127" s="2033"/>
      <c r="B127" s="287" t="str">
        <f t="shared" si="44"/>
        <v/>
      </c>
      <c r="C127" s="288" t="str">
        <f t="shared" si="39"/>
        <v/>
      </c>
      <c r="D127" s="691"/>
      <c r="E127" s="692"/>
      <c r="F127" s="693"/>
      <c r="G127" s="694"/>
      <c r="H127" s="695"/>
      <c r="I127" s="289">
        <f>I126-SUM($D127:F127)</f>
        <v>0</v>
      </c>
      <c r="J127" s="1234" t="str">
        <f>$J$8</f>
        <v>% Mort Acm :</v>
      </c>
      <c r="K127" s="1231">
        <f>IF(PROD!$K$2&gt;0,SUM(D$5:D130)/PROD!$K$2,0)</f>
        <v>0</v>
      </c>
      <c r="L127" s="1246"/>
      <c r="M127" s="291">
        <f t="shared" si="70"/>
        <v>0</v>
      </c>
      <c r="N127" s="314" t="str">
        <f>N$8</f>
        <v xml:space="preserve">Peso Ave (Gr) : </v>
      </c>
      <c r="O127" s="315">
        <f>LOOKUP($A124,GSh!$BV$6:$BV$108,GSh!$BJ$6:$BJ$108)</f>
        <v>0</v>
      </c>
      <c r="P127" s="315">
        <f>IFERROR(LOOKUP($A124,TP!$A$6:$A$108,GSh!$BK$6:$BK$108),0)</f>
        <v>0</v>
      </c>
      <c r="Q127" s="316">
        <f>IF(AND(P127&gt;0,O127&gt;0),(O127/P127-1)*100,0)</f>
        <v>0</v>
      </c>
      <c r="R127" s="699"/>
      <c r="S127" s="762"/>
      <c r="T127" s="765">
        <f t="shared" si="50"/>
        <v>0</v>
      </c>
      <c r="U127" s="700"/>
      <c r="V127" s="701"/>
      <c r="W127" s="701"/>
      <c r="X127" s="295">
        <f t="shared" si="45"/>
        <v>0</v>
      </c>
      <c r="Y127" s="296">
        <f>IF(AA127&gt;0,V127,AE124/IF(Iniciar!$C$25="B X 40 K",40,IF(Iniciar!$C$25="B X 50 K",50,1))*I127/1000)</f>
        <v>0</v>
      </c>
      <c r="Z127" s="296">
        <f t="shared" si="46"/>
        <v>0</v>
      </c>
      <c r="AA127" s="297">
        <f t="shared" si="71"/>
        <v>0</v>
      </c>
      <c r="AB127" s="297">
        <f t="shared" si="40"/>
        <v>0</v>
      </c>
      <c r="AC127" s="541" t="str">
        <f>$AC$8</f>
        <v xml:space="preserve">Ton. Lote Acu : </v>
      </c>
      <c r="AD127" s="544">
        <f>SUM($V$5:$V130)*$A$1/1000000</f>
        <v>0</v>
      </c>
      <c r="AE127" s="543">
        <f>AE120+(AE124/1000000*7*(I124+I130)/2)</f>
        <v>0</v>
      </c>
      <c r="AF127" s="542">
        <f>IF(AND(AE127&gt;0,AD127&gt;0),(AD127/AE127-1)*100,0)</f>
        <v>0</v>
      </c>
      <c r="AG127" s="317" t="str">
        <f>PROD!$AG$8</f>
        <v xml:space="preserve">Masa Ac A. A (Kg) : </v>
      </c>
      <c r="AH127" s="318">
        <f>IF(PROD!$K$2&gt;0,SUM(PROD!L$5:L130)*LOOKUP(PROD!$A124,TP!$A$6:$A$108,GSh!$BB$6:$BB$108)/1000/PROD!$K$2,0)</f>
        <v>0</v>
      </c>
      <c r="AI127" s="318">
        <f>IFERROR(PROD!P125*LOOKUP(PROD!$A124,TP!$A$6:$A$108,GSh!$BC$6:$BC$108)/1000,0)</f>
        <v>0</v>
      </c>
      <c r="AJ127" s="330">
        <f t="shared" si="69"/>
        <v>0</v>
      </c>
      <c r="AK127" s="2027"/>
      <c r="AL127" s="1284">
        <f t="shared" si="41"/>
        <v>0</v>
      </c>
      <c r="AM127" s="1285"/>
      <c r="AN127" s="1285"/>
      <c r="AO127" s="1285"/>
      <c r="AP127" s="1285"/>
      <c r="AQ127" s="1285"/>
      <c r="AR127" s="1285"/>
      <c r="AS127" s="1286"/>
      <c r="AT127" s="1287"/>
      <c r="AU127" s="1288"/>
      <c r="AV127" s="1289"/>
      <c r="AW127" s="1290"/>
      <c r="AX127" s="1291"/>
      <c r="AY127" s="1291"/>
      <c r="AZ127" s="1292"/>
      <c r="BA127" s="1293"/>
      <c r="BB127" s="1294"/>
      <c r="BC127" s="1295"/>
      <c r="BD127" s="1296">
        <f>BD126+PROD!L127-BA127</f>
        <v>0</v>
      </c>
      <c r="BE127" s="2133"/>
      <c r="BF127" s="507" t="e">
        <f t="shared" si="42"/>
        <v>#VALUE!</v>
      </c>
      <c r="BG127" s="329"/>
      <c r="BH127" s="1018">
        <f t="shared" si="43"/>
        <v>0</v>
      </c>
    </row>
    <row r="128" spans="1:60" ht="15" customHeight="1" x14ac:dyDescent="0.3">
      <c r="A128" s="2033"/>
      <c r="B128" s="287" t="str">
        <f t="shared" si="44"/>
        <v/>
      </c>
      <c r="C128" s="288" t="str">
        <f t="shared" si="39"/>
        <v/>
      </c>
      <c r="D128" s="691"/>
      <c r="E128" s="692"/>
      <c r="F128" s="693"/>
      <c r="G128" s="694"/>
      <c r="H128" s="695"/>
      <c r="I128" s="289">
        <f>I127-SUM($D128:F128)</f>
        <v>0</v>
      </c>
      <c r="J128" s="1234" t="str">
        <f>$J$9</f>
        <v>% Sel Acm :</v>
      </c>
      <c r="K128" s="1231">
        <f>IF(PROD!$K$2&gt;0,SUM(E$5:E130)/PROD!$K$2,0)</f>
        <v>0</v>
      </c>
      <c r="L128" s="1246"/>
      <c r="M128" s="291">
        <f t="shared" si="70"/>
        <v>0</v>
      </c>
      <c r="N128" s="292" t="str">
        <f>$N$9</f>
        <v xml:space="preserve">Uniformidad (10% -) : </v>
      </c>
      <c r="O128" s="320">
        <f>LOOKUP($A124,'Pr-Sem'!$A$6:$A$108,'Pr-Sem'!$AH$6:$AH$108)</f>
        <v>0</v>
      </c>
      <c r="P128" s="320">
        <v>5</v>
      </c>
      <c r="Q128" s="321">
        <f>IF(AND(P128&gt;0,O128&gt;0),(1-O128/P128)*100,0)</f>
        <v>0</v>
      </c>
      <c r="R128" s="699"/>
      <c r="S128" s="762"/>
      <c r="T128" s="765">
        <f t="shared" si="50"/>
        <v>0</v>
      </c>
      <c r="U128" s="700"/>
      <c r="V128" s="701"/>
      <c r="W128" s="701"/>
      <c r="X128" s="295">
        <f t="shared" si="45"/>
        <v>0</v>
      </c>
      <c r="Y128" s="296">
        <f>IF(AA128&gt;0,V128,AE124/IF(Iniciar!$C$25="B X 40 K",40,IF(Iniciar!$C$25="B X 50 K",50,1))*I128/1000)</f>
        <v>0</v>
      </c>
      <c r="Z128" s="296">
        <f t="shared" si="46"/>
        <v>0</v>
      </c>
      <c r="AA128" s="297">
        <f t="shared" si="71"/>
        <v>0</v>
      </c>
      <c r="AB128" s="297">
        <f t="shared" si="40"/>
        <v>0</v>
      </c>
      <c r="AC128" s="2035" t="str">
        <f>$AC$9</f>
        <v xml:space="preserve">Total Litros Sem: </v>
      </c>
      <c r="AD128" s="2036"/>
      <c r="AE128" s="2050">
        <f>SUM(R124:R130)</f>
        <v>0</v>
      </c>
      <c r="AF128" s="2051"/>
      <c r="AG128" s="554" t="str">
        <f>$AG$9</f>
        <v xml:space="preserve">Indicador Eficiencia : </v>
      </c>
      <c r="AH128" s="555">
        <f>IF(AND(AE128&gt;0,O125&gt;0,O126&gt;0,SUM(L124:L130)&gt;0),(PROD!AH127/O125)*K130*100/(AE128/(SUM(L124:L130)*O126/1000)),0)</f>
        <v>0</v>
      </c>
      <c r="AI128" s="555">
        <f>IF(AND(P125&gt;0,PROD!AI126&gt;0),(PROD!AI127/P125)*(1-K129)*100/(AE125/PROD!AI126),0)</f>
        <v>0</v>
      </c>
      <c r="AJ128" s="331">
        <f t="shared" si="69"/>
        <v>0</v>
      </c>
      <c r="AK128" s="2027"/>
      <c r="AL128" s="1284">
        <f t="shared" si="41"/>
        <v>0</v>
      </c>
      <c r="AM128" s="1285"/>
      <c r="AN128" s="1285"/>
      <c r="AO128" s="1285"/>
      <c r="AP128" s="1285"/>
      <c r="AQ128" s="1285"/>
      <c r="AR128" s="1285"/>
      <c r="AS128" s="1286"/>
      <c r="AT128" s="1287"/>
      <c r="AU128" s="1288"/>
      <c r="AV128" s="1289"/>
      <c r="AW128" s="1290"/>
      <c r="AX128" s="1291"/>
      <c r="AY128" s="1291"/>
      <c r="AZ128" s="1292"/>
      <c r="BA128" s="1293"/>
      <c r="BB128" s="1294"/>
      <c r="BC128" s="1295"/>
      <c r="BD128" s="1296">
        <f>BD127+PROD!L128-BA128</f>
        <v>0</v>
      </c>
      <c r="BE128" s="2133"/>
      <c r="BF128" s="507" t="e">
        <f t="shared" si="42"/>
        <v>#VALUE!</v>
      </c>
      <c r="BG128" s="329"/>
      <c r="BH128" s="1018">
        <f t="shared" si="43"/>
        <v>0</v>
      </c>
    </row>
    <row r="129" spans="1:60" ht="15" customHeight="1" x14ac:dyDescent="0.3">
      <c r="A129" s="2033"/>
      <c r="B129" s="287" t="str">
        <f t="shared" si="44"/>
        <v/>
      </c>
      <c r="C129" s="288" t="str">
        <f t="shared" si="39"/>
        <v/>
      </c>
      <c r="D129" s="691"/>
      <c r="E129" s="692"/>
      <c r="F129" s="693"/>
      <c r="G129" s="694"/>
      <c r="H129" s="695"/>
      <c r="I129" s="289">
        <f>I128-SUM($D129:F129)</f>
        <v>0</v>
      </c>
      <c r="J129" s="1237" t="str">
        <f>$J$10</f>
        <v>% Mort/Sel Acm Tab :</v>
      </c>
      <c r="K129" s="1238">
        <f>IFERROR(LOOKUP($A124,TP!$A$6:$A$108,GSh!$AR$6:$AR$108)/100,0)</f>
        <v>0</v>
      </c>
      <c r="L129" s="1246"/>
      <c r="M129" s="291">
        <f t="shared" si="70"/>
        <v>0</v>
      </c>
      <c r="N129" s="292" t="str">
        <f>$N$10</f>
        <v xml:space="preserve">Uniformidad (C. Lote) : </v>
      </c>
      <c r="O129" s="320">
        <f>LOOKUP($A124,'Pr-Sem'!$A$6:$A$108,'Pr-Sem'!$AG$6:$AG$108)</f>
        <v>0</v>
      </c>
      <c r="P129" s="320">
        <v>90</v>
      </c>
      <c r="Q129" s="321">
        <f>IF(AND(P129&gt;0,O129&gt;0),(O129/P129-1)*100,0)</f>
        <v>0</v>
      </c>
      <c r="R129" s="699"/>
      <c r="S129" s="762"/>
      <c r="T129" s="765">
        <f t="shared" si="50"/>
        <v>0</v>
      </c>
      <c r="U129" s="700"/>
      <c r="V129" s="701"/>
      <c r="W129" s="701"/>
      <c r="X129" s="295">
        <f t="shared" si="45"/>
        <v>0</v>
      </c>
      <c r="Y129" s="296">
        <f>IF(AA129&gt;0,V129,AE124/IF(Iniciar!$C$25="B X 40 K",40,IF(Iniciar!$C$25="B X 50 K",50,1))*I129/1000)</f>
        <v>0</v>
      </c>
      <c r="Z129" s="296">
        <f t="shared" si="46"/>
        <v>0</v>
      </c>
      <c r="AA129" s="297">
        <f t="shared" si="71"/>
        <v>0</v>
      </c>
      <c r="AB129" s="297">
        <f t="shared" si="40"/>
        <v>0</v>
      </c>
      <c r="AC129" s="2037" t="str">
        <f>$AC$10</f>
        <v xml:space="preserve">Cons ml /ave día: </v>
      </c>
      <c r="AD129" s="2038"/>
      <c r="AE129" s="2056">
        <f>IFERROR(SUMPRODUCT(AB124:AB130,I124:I130)/SUM(I124:I130),0)</f>
        <v>0</v>
      </c>
      <c r="AF129" s="2057"/>
      <c r="AG129" s="311" t="str">
        <f>CONCATENATE("Costo ",Iniciar!$C$25," : ")</f>
        <v xml:space="preserve">Costo Kilos : </v>
      </c>
      <c r="AH129" s="2043">
        <f>IFERROR(SUMPRODUCT(T124:T130,V124:V130)/SUMIF(T124:T130,"&gt;0",V124:V130),0)</f>
        <v>0</v>
      </c>
      <c r="AI129" s="2043"/>
      <c r="AJ129" s="313"/>
      <c r="AK129" s="2027"/>
      <c r="AL129" s="1284">
        <f t="shared" si="41"/>
        <v>0</v>
      </c>
      <c r="AM129" s="1285"/>
      <c r="AN129" s="1285"/>
      <c r="AO129" s="1285"/>
      <c r="AP129" s="1285"/>
      <c r="AQ129" s="1285"/>
      <c r="AR129" s="1285"/>
      <c r="AS129" s="1286"/>
      <c r="AT129" s="1287"/>
      <c r="AU129" s="1288"/>
      <c r="AV129" s="1289"/>
      <c r="AW129" s="1290"/>
      <c r="AX129" s="1291"/>
      <c r="AY129" s="1291"/>
      <c r="AZ129" s="1292"/>
      <c r="BA129" s="1293"/>
      <c r="BB129" s="1294"/>
      <c r="BC129" s="1295"/>
      <c r="BD129" s="1296">
        <f>BD128+PROD!L129-BA129</f>
        <v>0</v>
      </c>
      <c r="BE129" s="2133"/>
      <c r="BF129" s="507" t="e">
        <f t="shared" si="42"/>
        <v>#VALUE!</v>
      </c>
      <c r="BG129" s="329"/>
      <c r="BH129" s="1018">
        <f t="shared" si="43"/>
        <v>0</v>
      </c>
    </row>
    <row r="130" spans="1:60" ht="15" customHeight="1" x14ac:dyDescent="0.3">
      <c r="A130" s="2034"/>
      <c r="B130" s="287" t="str">
        <f t="shared" si="44"/>
        <v/>
      </c>
      <c r="C130" s="288" t="str">
        <f t="shared" si="39"/>
        <v/>
      </c>
      <c r="D130" s="691"/>
      <c r="E130" s="692"/>
      <c r="F130" s="693"/>
      <c r="G130" s="694"/>
      <c r="H130" s="695"/>
      <c r="I130" s="289">
        <f>I129-SUM($D130:F130)</f>
        <v>0</v>
      </c>
      <c r="J130" s="1239" t="str">
        <f>$J$11</f>
        <v>% Viabilidad :</v>
      </c>
      <c r="K130" s="1240">
        <f>IF(OR(SUM(L124:L130)&gt;0,SUM(V124:V130)&gt;0),1-(K127+K128),0)</f>
        <v>0</v>
      </c>
      <c r="L130" s="1247"/>
      <c r="M130" s="1248">
        <f>IF(I130&gt;0,(L130/IF(SUM(L124:L129)&gt;0,1,7))/I130,0)</f>
        <v>0</v>
      </c>
      <c r="N130" s="1249" t="str">
        <f>$N$11</f>
        <v xml:space="preserve">Uniformidad (10% +) : </v>
      </c>
      <c r="O130" s="1250">
        <f>IF(O128&gt;0,IF(O129&gt;0,100-SUM(O128:O129),0),0)</f>
        <v>0</v>
      </c>
      <c r="P130" s="1251">
        <f>100-SUM(P128:P129)</f>
        <v>5</v>
      </c>
      <c r="Q130" s="1252">
        <f>IF(AND(P130&gt;0,O130&gt;0),(O130/P130-1)*100,0)</f>
        <v>0</v>
      </c>
      <c r="R130" s="699"/>
      <c r="S130" s="762"/>
      <c r="T130" s="765">
        <f t="shared" si="50"/>
        <v>0</v>
      </c>
      <c r="U130" s="700"/>
      <c r="V130" s="701"/>
      <c r="W130" s="701"/>
      <c r="X130" s="295">
        <f t="shared" si="45"/>
        <v>0</v>
      </c>
      <c r="Y130" s="296">
        <f>IF(AA130&gt;0,V130,AE124/IF(Iniciar!$C$25="B X 40 K",40,IF(Iniciar!$C$25="B X 50 K",50,1))*I130/1000)</f>
        <v>0</v>
      </c>
      <c r="Z130" s="296">
        <f t="shared" si="46"/>
        <v>0</v>
      </c>
      <c r="AA130" s="297">
        <f>IF(I130&gt;0,(V130/IF(SUM(V124:V129)&gt;0,1,7))*$A$1/I130,0)</f>
        <v>0</v>
      </c>
      <c r="AB130" s="297">
        <f t="shared" si="40"/>
        <v>0</v>
      </c>
      <c r="AC130" s="2039" t="str">
        <f>$AC$11</f>
        <v xml:space="preserve">Relación Agua /Alimto: </v>
      </c>
      <c r="AD130" s="2040"/>
      <c r="AE130" s="2058">
        <f>IFERROR(AE129/AD124,0)</f>
        <v>0</v>
      </c>
      <c r="AF130" s="2059"/>
      <c r="AG130" s="1269" t="s">
        <v>237</v>
      </c>
      <c r="AH130" s="1270">
        <f>IF(SUM(L124:L130)&gt;0,AH129*SUM(V124:V130)/SUM(L124:L130),0)</f>
        <v>0</v>
      </c>
      <c r="AI130" s="1270">
        <f>IF(AND($A$1&gt;0,P124&gt;0),AH129/$A$1*(AE124/P124)*100,0)</f>
        <v>0</v>
      </c>
      <c r="AJ130" s="1271">
        <f t="shared" ref="AJ130:AJ135" si="72">IF(AND(AI130&gt;0,AH130&gt;0),(AH130/AI130-1)*100,0)</f>
        <v>0</v>
      </c>
      <c r="AK130" s="2028"/>
      <c r="AL130" s="1284">
        <f t="shared" si="41"/>
        <v>0</v>
      </c>
      <c r="AM130" s="1285"/>
      <c r="AN130" s="1285"/>
      <c r="AO130" s="1285"/>
      <c r="AP130" s="1285"/>
      <c r="AQ130" s="1285"/>
      <c r="AR130" s="1285"/>
      <c r="AS130" s="1286"/>
      <c r="AT130" s="1287"/>
      <c r="AU130" s="1288"/>
      <c r="AV130" s="1289"/>
      <c r="AW130" s="1290"/>
      <c r="AX130" s="1291"/>
      <c r="AY130" s="1291"/>
      <c r="AZ130" s="1292"/>
      <c r="BA130" s="1293"/>
      <c r="BB130" s="1294"/>
      <c r="BC130" s="1295"/>
      <c r="BD130" s="1296">
        <f>BD129+PROD!L130-BA130</f>
        <v>0</v>
      </c>
      <c r="BE130" s="2134"/>
      <c r="BF130" s="507" t="e">
        <f t="shared" si="42"/>
        <v>#VALUE!</v>
      </c>
      <c r="BG130" s="329"/>
      <c r="BH130" s="1018">
        <f t="shared" si="43"/>
        <v>0</v>
      </c>
    </row>
    <row r="131" spans="1:60" ht="15" customHeight="1" x14ac:dyDescent="0.3">
      <c r="A131" s="2032">
        <f>A124+1</f>
        <v>36</v>
      </c>
      <c r="B131" s="287" t="str">
        <f t="shared" si="44"/>
        <v/>
      </c>
      <c r="C131" s="288" t="str">
        <f t="shared" si="39"/>
        <v/>
      </c>
      <c r="D131" s="691"/>
      <c r="E131" s="692"/>
      <c r="F131" s="693"/>
      <c r="G131" s="694"/>
      <c r="H131" s="695"/>
      <c r="I131" s="289">
        <f>I130-SUM($D131:F131)</f>
        <v>0</v>
      </c>
      <c r="J131" s="1232" t="str">
        <f>$J$5</f>
        <v>% Mort Sem :</v>
      </c>
      <c r="K131" s="1233">
        <f>IF(PROD!$K$2&gt;0,SUM(D131:D137)/PROD!$K$2,0)</f>
        <v>0</v>
      </c>
      <c r="L131" s="1241"/>
      <c r="M131" s="1242">
        <f t="shared" ref="M131:M136" si="73">IF(I131&gt;0,L131/I131,0)</f>
        <v>0</v>
      </c>
      <c r="N131" s="1243" t="str">
        <f>$N$5</f>
        <v xml:space="preserve">% Pdn prom semana : </v>
      </c>
      <c r="O131" s="1244">
        <f>IF(SUM(L131:L136)&gt;0,100*SUMPRODUCT(M131:M137,I131:I137)/SUMIF(L131:L137,"&gt;0",I131:I137),IF(L137&gt;0,100*L137/7/I137,0))</f>
        <v>0</v>
      </c>
      <c r="P131" s="1244">
        <f>IFERROR(LOOKUP($A131,TP!$A$6:$A$108,GSh!$AE$6:$AE$108),0)</f>
        <v>0</v>
      </c>
      <c r="Q131" s="1245">
        <f>IF(AND(P131&gt;0,O131&gt;0),O131-P131,0)</f>
        <v>0</v>
      </c>
      <c r="R131" s="699"/>
      <c r="S131" s="762"/>
      <c r="T131" s="765">
        <f t="shared" si="50"/>
        <v>0</v>
      </c>
      <c r="U131" s="700"/>
      <c r="V131" s="701"/>
      <c r="W131" s="701"/>
      <c r="X131" s="295">
        <f t="shared" si="45"/>
        <v>0</v>
      </c>
      <c r="Y131" s="296">
        <f>IF(AA131&gt;0,V131,AE131/IF(Iniciar!$C$25="B X 40 K",40,IF(Iniciar!$C$25="B X 50 K",50,1))*I131/1000)</f>
        <v>0</v>
      </c>
      <c r="Z131" s="296">
        <f t="shared" si="46"/>
        <v>0</v>
      </c>
      <c r="AA131" s="297">
        <f t="shared" ref="AA131:AA136" si="74">IF(I131&gt;0,V131*$A$1/I131,0)</f>
        <v>0</v>
      </c>
      <c r="AB131" s="297">
        <f t="shared" si="40"/>
        <v>0</v>
      </c>
      <c r="AC131" s="1261" t="str">
        <f>$AC$5</f>
        <v>Gr. Ave Dia :</v>
      </c>
      <c r="AD131" s="1262">
        <f>IF(SUMIF(V131:V137,"&gt;0")&gt;0,SUMPRODUCT(AA131:AA137,I131:I137)/SUMIF(AA131:AA137,"&gt;0",I131:I137),0)</f>
        <v>0</v>
      </c>
      <c r="AE131" s="1262">
        <f>IFERROR(LOOKUP($A131,TP!$A$6:$A$108,GSh!$AU$6:$AU$108),0)</f>
        <v>0</v>
      </c>
      <c r="AF131" s="1263">
        <f>IF(AND(AE131&gt;0,AD131&gt;0),(AD131/AE131-1)*100,0)</f>
        <v>0</v>
      </c>
      <c r="AG131" s="1264" t="str">
        <f>PROD!$AG$5</f>
        <v>Gr X H</v>
      </c>
      <c r="AH131" s="1265">
        <f>IF(PROD!O131&gt;0,IF($AG131="Gr X H",PROD!AD131/PROD!O131*100,IF($AG131="Conv Kg/Doc",PROD!AD131/PROD!O131*1.2,IF(PROD!$O133&gt;0,PROD!AD131/(PROD!O131*PROD!$O133)*100,0))),0)</f>
        <v>0</v>
      </c>
      <c r="AI131" s="1265">
        <f>IF(PROD!P131&gt;0,IF($AG131="Gr X H",PROD!AE131/PROD!P131*100,IF($AG131="Conv Kg/Doc",PROD!AE131/PROD!P131*1.2,IF(PROD!$P133&gt;0,PROD!AE131/(PROD!P131*PROD!$P133)*100,0))),0)</f>
        <v>0</v>
      </c>
      <c r="AJ131" s="1266">
        <f t="shared" si="72"/>
        <v>0</v>
      </c>
      <c r="AK131" s="2026"/>
      <c r="AL131" s="1284">
        <f t="shared" si="41"/>
        <v>0</v>
      </c>
      <c r="AM131" s="1285"/>
      <c r="AN131" s="1285"/>
      <c r="AO131" s="1285"/>
      <c r="AP131" s="1285"/>
      <c r="AQ131" s="1285"/>
      <c r="AR131" s="1285"/>
      <c r="AS131" s="1286"/>
      <c r="AT131" s="1287"/>
      <c r="AU131" s="1288"/>
      <c r="AV131" s="1289"/>
      <c r="AW131" s="1290"/>
      <c r="AX131" s="1291"/>
      <c r="AY131" s="1291"/>
      <c r="AZ131" s="1292"/>
      <c r="BA131" s="1293"/>
      <c r="BB131" s="1294"/>
      <c r="BC131" s="1295"/>
      <c r="BD131" s="1296">
        <f>BD130+PROD!L131-BA131</f>
        <v>0</v>
      </c>
      <c r="BE131" s="2132">
        <f>IF(SUM(AM131:AZ137)&gt;0,(SUM(AM131:AM137)*$AM$2+SUM(AN131:AN137)*$AN$2+SUM(AO131:AO137)*$AO$2+SUM(AP131:AP137)*$AP$2+SUM(AQ131:AQ137)*$AQ$2+SUM(AR131:AR137)*$AR$2+SUM(AS131:AS137)*$AS$2+SUM(AW131:AW137)*$AW$2+SUM(AX131:AX137)*$AX$2+SUM(AY131:AY137)*$AY$2+SUM(AZ131:AZ137)*$AZ$2+SUM(AT131:AT137)*$AT$2+SUM(AU131:AU137)*$AU$2+SUM(AV131:AV137)*$AV$2)/SUM(AM131:AZ137),0)</f>
        <v>0</v>
      </c>
      <c r="BF131" s="507" t="e">
        <f t="shared" si="42"/>
        <v>#VALUE!</v>
      </c>
      <c r="BG131" s="277">
        <f>IF(SUM(L131:L137)&gt;0,A131,IF(SUM(V131:V137)&gt;0,A131,BG124))</f>
        <v>0</v>
      </c>
      <c r="BH131" s="1018">
        <f t="shared" si="43"/>
        <v>0</v>
      </c>
    </row>
    <row r="132" spans="1:60" ht="15" customHeight="1" x14ac:dyDescent="0.3">
      <c r="A132" s="2033"/>
      <c r="B132" s="287" t="str">
        <f t="shared" si="44"/>
        <v/>
      </c>
      <c r="C132" s="288" t="str">
        <f t="shared" si="39"/>
        <v/>
      </c>
      <c r="D132" s="691"/>
      <c r="E132" s="692"/>
      <c r="F132" s="693"/>
      <c r="G132" s="694"/>
      <c r="H132" s="695"/>
      <c r="I132" s="289">
        <f>I131-SUM($D132:F132)</f>
        <v>0</v>
      </c>
      <c r="J132" s="1234" t="str">
        <f>$J$6</f>
        <v>% Sel Sem :</v>
      </c>
      <c r="K132" s="1231">
        <f>IF(PROD!$K$2&gt;0,SUM(E131:E137)/PROD!$K$2,0)</f>
        <v>0</v>
      </c>
      <c r="L132" s="1246"/>
      <c r="M132" s="291">
        <f t="shared" si="73"/>
        <v>0</v>
      </c>
      <c r="N132" s="292" t="str">
        <f>$N$6</f>
        <v xml:space="preserve">H. Ave Alojada : </v>
      </c>
      <c r="O132" s="293">
        <f>IF(AND(PROD!$K$2&gt;0,O131&gt;0),SUM(L$5:L137)/PROD!$K$2,0)</f>
        <v>0</v>
      </c>
      <c r="P132" s="293">
        <f>IFERROR(LOOKUP($A131,TP!$A$6:$A$108,GSh!$AJ$6:$AJ$108),0)</f>
        <v>0</v>
      </c>
      <c r="Q132" s="294">
        <f>IF(AND(P132&gt;0,O132&gt;0),O132-P132,0)</f>
        <v>0</v>
      </c>
      <c r="R132" s="699"/>
      <c r="S132" s="762"/>
      <c r="T132" s="765">
        <f t="shared" si="50"/>
        <v>0</v>
      </c>
      <c r="U132" s="700"/>
      <c r="V132" s="701"/>
      <c r="W132" s="701"/>
      <c r="X132" s="295">
        <f t="shared" si="45"/>
        <v>0</v>
      </c>
      <c r="Y132" s="296">
        <f>IF(AA132&gt;0,V132,AE131/IF(Iniciar!$C$25="B X 40 K",40,IF(Iniciar!$C$25="B X 50 K",50,1))*I132/1000)</f>
        <v>0</v>
      </c>
      <c r="Z132" s="296">
        <f t="shared" si="46"/>
        <v>0</v>
      </c>
      <c r="AA132" s="297">
        <f t="shared" si="74"/>
        <v>0</v>
      </c>
      <c r="AB132" s="297">
        <f t="shared" si="40"/>
        <v>0</v>
      </c>
      <c r="AC132" s="1267" t="str">
        <f>$AC$6</f>
        <v>Gr. Ave Sem :</v>
      </c>
      <c r="AD132" s="284">
        <f>AD131*7</f>
        <v>0</v>
      </c>
      <c r="AE132" s="284">
        <f>AE131*7</f>
        <v>0</v>
      </c>
      <c r="AF132" s="285">
        <f>IF(AND(AE132&gt;0,AD132&gt;0),(AD132/AE132-1)*100,0)</f>
        <v>0</v>
      </c>
      <c r="AG132" s="1199" t="str">
        <f>PROD!$AG$6</f>
        <v>Gr X H Acm</v>
      </c>
      <c r="AH132" s="298">
        <f>IF(SUM(PROD!L131:L137)&gt;0,IF(PROD!$AG$5="Gr X H",SUM(PROD!V$5:V137)*PROD!$A$1/SUM(PROD!L$5:L137),IF($AG131="Conv Kg/Doc",(SUM(PROD!V$5:V137)*PROD!$A$1/1000)/(SUM(PROD!L$5:L137)/12),IF(PROD!$O133&gt;0,SUM(PROD!V$5:V137)*PROD!$A$1/(SUM(PROD!L$5:L137)*LOOKUP(PROD!A131,TP!$A$6:$A$108,GSh!$BB$6:$BB$108)),0))),0)</f>
        <v>0</v>
      </c>
      <c r="AI132" s="298">
        <f>IF(PROD!P131&gt;0,IF($AG131="Gr X H",PROD!AE131/PROD!P131*100,IF($AG131="Conv Kg/Doc",PROD!AE131/PROD!P131*1.2,IF(PROD!$P132&gt;0,PROD!AE133/(PROD!P132*LOOKUP(PROD!$A131,TP!$A$6:$A$108,GSh!$BC$6:$BC$108)/1000),0))),0)</f>
        <v>0</v>
      </c>
      <c r="AJ132" s="328">
        <f t="shared" si="72"/>
        <v>0</v>
      </c>
      <c r="AK132" s="2027"/>
      <c r="AL132" s="1284">
        <f t="shared" si="41"/>
        <v>0</v>
      </c>
      <c r="AM132" s="1285"/>
      <c r="AN132" s="1285"/>
      <c r="AO132" s="1285"/>
      <c r="AP132" s="1285"/>
      <c r="AQ132" s="1285"/>
      <c r="AR132" s="1285"/>
      <c r="AS132" s="1286"/>
      <c r="AT132" s="1287"/>
      <c r="AU132" s="1288"/>
      <c r="AV132" s="1289"/>
      <c r="AW132" s="1290"/>
      <c r="AX132" s="1291"/>
      <c r="AY132" s="1291"/>
      <c r="AZ132" s="1292"/>
      <c r="BA132" s="1293"/>
      <c r="BB132" s="1294"/>
      <c r="BC132" s="1295"/>
      <c r="BD132" s="1296">
        <f>BD131+PROD!L132-BA132</f>
        <v>0</v>
      </c>
      <c r="BE132" s="2133"/>
      <c r="BF132" s="507" t="e">
        <f t="shared" si="42"/>
        <v>#VALUE!</v>
      </c>
      <c r="BG132" s="329"/>
      <c r="BH132" s="1018">
        <f t="shared" si="43"/>
        <v>0</v>
      </c>
    </row>
    <row r="133" spans="1:60" ht="15" customHeight="1" x14ac:dyDescent="0.3">
      <c r="A133" s="2033"/>
      <c r="B133" s="287" t="str">
        <f t="shared" si="44"/>
        <v/>
      </c>
      <c r="C133" s="288" t="str">
        <f t="shared" ref="C133:C196" si="75">IF(B133="","",(B133-Fnac+1)/7)</f>
        <v/>
      </c>
      <c r="D133" s="691"/>
      <c r="E133" s="692"/>
      <c r="F133" s="693"/>
      <c r="G133" s="694"/>
      <c r="H133" s="695"/>
      <c r="I133" s="289">
        <f>I132-SUM($D133:F133)</f>
        <v>0</v>
      </c>
      <c r="J133" s="1235" t="str">
        <f>$J$7</f>
        <v>% Mort/Sel Sem Tab :</v>
      </c>
      <c r="K133" s="1236">
        <f>K136-K129</f>
        <v>0</v>
      </c>
      <c r="L133" s="1246"/>
      <c r="M133" s="291">
        <f t="shared" si="73"/>
        <v>0</v>
      </c>
      <c r="N133" s="304" t="str">
        <f>$N$7</f>
        <v xml:space="preserve">Peso Huevo (Gr) : </v>
      </c>
      <c r="O133" s="305">
        <f>LOOKUP($A131,'Pr-Sem'!$A$6:$A$108,'Pr-Sem'!$Z$6:$Z$108)</f>
        <v>0</v>
      </c>
      <c r="P133" s="305">
        <f>IFERROR(LOOKUP($A131,TP!$A$6:$A$108,GSh!$AZ$6:$AZ$108),0)</f>
        <v>0</v>
      </c>
      <c r="Q133" s="306">
        <f>IF(AND(P133&gt;0,O133&gt;0),O133-P133,0)</f>
        <v>0</v>
      </c>
      <c r="R133" s="699"/>
      <c r="S133" s="762"/>
      <c r="T133" s="765">
        <f t="shared" si="50"/>
        <v>0</v>
      </c>
      <c r="U133" s="700"/>
      <c r="V133" s="701"/>
      <c r="W133" s="701"/>
      <c r="X133" s="295">
        <f t="shared" si="45"/>
        <v>0</v>
      </c>
      <c r="Y133" s="296">
        <f>IF(AA133&gt;0,V133,AE131/IF(Iniciar!$C$25="B X 40 K",40,IF(Iniciar!$C$25="B X 50 K",50,1))*I133/1000)</f>
        <v>0</v>
      </c>
      <c r="Z133" s="296">
        <f t="shared" si="46"/>
        <v>0</v>
      </c>
      <c r="AA133" s="297">
        <f t="shared" si="74"/>
        <v>0</v>
      </c>
      <c r="AB133" s="297">
        <f t="shared" ref="AB133:AB196" si="76">IFERROR(R133*1000/I133,0)</f>
        <v>0</v>
      </c>
      <c r="AC133" s="1268" t="str">
        <f>$AC$7</f>
        <v>Kg Ave Acu :</v>
      </c>
      <c r="AD133" s="308">
        <f>IF(OR(SUM(L131:L137)&gt;0,SUM(V131:V137)&gt;0),AD132/1000+AD126,0)</f>
        <v>0</v>
      </c>
      <c r="AE133" s="309">
        <f>AE132/1000+AE126</f>
        <v>0</v>
      </c>
      <c r="AF133" s="310">
        <f>IF(AND(AE133&gt;0,AD133&gt;0),(AD133/AE133-1)*100,0)</f>
        <v>0</v>
      </c>
      <c r="AG133" s="311" t="str">
        <f>PROD!$AG$7</f>
        <v xml:space="preserve">Masa Sem H (Gr) : </v>
      </c>
      <c r="AH133" s="312">
        <f>PROD!O131/100*7*PROD!O133</f>
        <v>0</v>
      </c>
      <c r="AI133" s="312">
        <f>PROD!P131/100*7*PROD!P133</f>
        <v>0</v>
      </c>
      <c r="AJ133" s="313">
        <f t="shared" si="72"/>
        <v>0</v>
      </c>
      <c r="AK133" s="2027"/>
      <c r="AL133" s="1284">
        <f t="shared" ref="AL133:AL196" si="77">L133-SUM(AM133:AS133)-SUM(AW133:AZ133)-SUM(AT133:AV133)</f>
        <v>0</v>
      </c>
      <c r="AM133" s="1285"/>
      <c r="AN133" s="1285"/>
      <c r="AO133" s="1285"/>
      <c r="AP133" s="1285"/>
      <c r="AQ133" s="1285"/>
      <c r="AR133" s="1285"/>
      <c r="AS133" s="1286"/>
      <c r="AT133" s="1287"/>
      <c r="AU133" s="1288"/>
      <c r="AV133" s="1289"/>
      <c r="AW133" s="1290"/>
      <c r="AX133" s="1291"/>
      <c r="AY133" s="1291"/>
      <c r="AZ133" s="1292"/>
      <c r="BA133" s="1293"/>
      <c r="BB133" s="1294"/>
      <c r="BC133" s="1295"/>
      <c r="BD133" s="1296">
        <f>BD132+PROD!L133-BA133</f>
        <v>0</v>
      </c>
      <c r="BE133" s="2133"/>
      <c r="BF133" s="507" t="e">
        <f t="shared" ref="BF133:BF196" si="78">INT((B133-Fnac)/7)+1</f>
        <v>#VALUE!</v>
      </c>
      <c r="BG133" s="329"/>
      <c r="BH133" s="1018">
        <f t="shared" ref="BH133:BH196" si="79">T133*V133</f>
        <v>0</v>
      </c>
    </row>
    <row r="134" spans="1:60" ht="15" customHeight="1" x14ac:dyDescent="0.3">
      <c r="A134" s="2033"/>
      <c r="B134" s="287" t="str">
        <f t="shared" ref="B134:B197" si="80">IF(B133="","",B133+1)</f>
        <v/>
      </c>
      <c r="C134" s="288" t="str">
        <f t="shared" si="75"/>
        <v/>
      </c>
      <c r="D134" s="691"/>
      <c r="E134" s="692"/>
      <c r="F134" s="693"/>
      <c r="G134" s="694"/>
      <c r="H134" s="695"/>
      <c r="I134" s="289">
        <f>I133-SUM($D134:F134)</f>
        <v>0</v>
      </c>
      <c r="J134" s="1234" t="str">
        <f>$J$8</f>
        <v>% Mort Acm :</v>
      </c>
      <c r="K134" s="1231">
        <f>IF(PROD!$K$2&gt;0,SUM(D$5:D137)/PROD!$K$2,0)</f>
        <v>0</v>
      </c>
      <c r="L134" s="1246"/>
      <c r="M134" s="291">
        <f t="shared" si="73"/>
        <v>0</v>
      </c>
      <c r="N134" s="314" t="str">
        <f>N$8</f>
        <v xml:space="preserve">Peso Ave (Gr) : </v>
      </c>
      <c r="O134" s="315">
        <f>LOOKUP($A131,GSh!$BV$6:$BV$108,GSh!$BJ$6:$BJ$108)</f>
        <v>0</v>
      </c>
      <c r="P134" s="315">
        <f>IFERROR(LOOKUP($A131,TP!$A$6:$A$108,GSh!$BK$6:$BK$108),0)</f>
        <v>0</v>
      </c>
      <c r="Q134" s="316">
        <f>IF(AND(P134&gt;0,O134&gt;0),(O134/P134-1)*100,0)</f>
        <v>0</v>
      </c>
      <c r="R134" s="699"/>
      <c r="S134" s="762"/>
      <c r="T134" s="765">
        <f t="shared" si="50"/>
        <v>0</v>
      </c>
      <c r="U134" s="700"/>
      <c r="V134" s="701"/>
      <c r="W134" s="701"/>
      <c r="X134" s="295">
        <f t="shared" ref="X134:X197" si="81">X133+U134-V134-W134</f>
        <v>0</v>
      </c>
      <c r="Y134" s="296">
        <f>IF(AA134&gt;0,V134,AE131/IF(Iniciar!$C$25="B X 40 K",40,IF(Iniciar!$C$25="B X 50 K",50,1))*I134/1000)</f>
        <v>0</v>
      </c>
      <c r="Z134" s="296">
        <f t="shared" ref="Z134:Z197" si="82">Z133+U134-Y134-W134</f>
        <v>0</v>
      </c>
      <c r="AA134" s="297">
        <f t="shared" si="74"/>
        <v>0</v>
      </c>
      <c r="AB134" s="297">
        <f t="shared" si="76"/>
        <v>0</v>
      </c>
      <c r="AC134" s="541" t="str">
        <f>$AC$8</f>
        <v xml:space="preserve">Ton. Lote Acu : </v>
      </c>
      <c r="AD134" s="544">
        <f>SUM($V$5:$V137)*$A$1/1000000</f>
        <v>0</v>
      </c>
      <c r="AE134" s="543">
        <f>AE127+(AE131/1000000*7*(I131+I137)/2)</f>
        <v>0</v>
      </c>
      <c r="AF134" s="542">
        <f>IF(AND(AE134&gt;0,AD134&gt;0),(AD134/AE134-1)*100,0)</f>
        <v>0</v>
      </c>
      <c r="AG134" s="317" t="str">
        <f>PROD!$AG$8</f>
        <v xml:space="preserve">Masa Ac A. A (Kg) : </v>
      </c>
      <c r="AH134" s="318">
        <f>IF(PROD!$K$2&gt;0,SUM(PROD!L$5:L137)*LOOKUP(PROD!$A131,TP!$A$6:$A$108,GSh!$BB$6:$BB$108)/1000/PROD!$K$2,0)</f>
        <v>0</v>
      </c>
      <c r="AI134" s="318">
        <f>IFERROR(PROD!P132*LOOKUP(PROD!$A131,TP!$A$6:$A$108,GSh!$BC$6:$BC$108)/1000,0)</f>
        <v>0</v>
      </c>
      <c r="AJ134" s="330">
        <f t="shared" si="72"/>
        <v>0</v>
      </c>
      <c r="AK134" s="2027"/>
      <c r="AL134" s="1284">
        <f t="shared" si="77"/>
        <v>0</v>
      </c>
      <c r="AM134" s="1285"/>
      <c r="AN134" s="1285"/>
      <c r="AO134" s="1285"/>
      <c r="AP134" s="1285"/>
      <c r="AQ134" s="1285"/>
      <c r="AR134" s="1285"/>
      <c r="AS134" s="1286"/>
      <c r="AT134" s="1287"/>
      <c r="AU134" s="1288"/>
      <c r="AV134" s="1289"/>
      <c r="AW134" s="1290"/>
      <c r="AX134" s="1291"/>
      <c r="AY134" s="1291"/>
      <c r="AZ134" s="1292"/>
      <c r="BA134" s="1293"/>
      <c r="BB134" s="1294"/>
      <c r="BC134" s="1295"/>
      <c r="BD134" s="1296">
        <f>BD133+PROD!L134-BA134</f>
        <v>0</v>
      </c>
      <c r="BE134" s="2133"/>
      <c r="BF134" s="507" t="e">
        <f t="shared" si="78"/>
        <v>#VALUE!</v>
      </c>
      <c r="BG134" s="329"/>
      <c r="BH134" s="1018">
        <f t="shared" si="79"/>
        <v>0</v>
      </c>
    </row>
    <row r="135" spans="1:60" ht="15" customHeight="1" x14ac:dyDescent="0.3">
      <c r="A135" s="2033"/>
      <c r="B135" s="287" t="str">
        <f t="shared" si="80"/>
        <v/>
      </c>
      <c r="C135" s="288" t="str">
        <f t="shared" si="75"/>
        <v/>
      </c>
      <c r="D135" s="691"/>
      <c r="E135" s="692"/>
      <c r="F135" s="693"/>
      <c r="G135" s="694"/>
      <c r="H135" s="695"/>
      <c r="I135" s="289">
        <f>I134-SUM($D135:F135)</f>
        <v>0</v>
      </c>
      <c r="J135" s="1234" t="str">
        <f>$J$9</f>
        <v>% Sel Acm :</v>
      </c>
      <c r="K135" s="1231">
        <f>IF(PROD!$K$2&gt;0,SUM(E$5:E137)/PROD!$K$2,0)</f>
        <v>0</v>
      </c>
      <c r="L135" s="1246"/>
      <c r="M135" s="291">
        <f t="shared" si="73"/>
        <v>0</v>
      </c>
      <c r="N135" s="292" t="str">
        <f>$N$9</f>
        <v xml:space="preserve">Uniformidad (10% -) : </v>
      </c>
      <c r="O135" s="320">
        <f>LOOKUP($A131,'Pr-Sem'!$A$6:$A$108,'Pr-Sem'!$AH$6:$AH$108)</f>
        <v>0</v>
      </c>
      <c r="P135" s="320">
        <v>5</v>
      </c>
      <c r="Q135" s="321">
        <f>IF(AND(P135&gt;0,O135&gt;0),(1-O135/P135)*100,0)</f>
        <v>0</v>
      </c>
      <c r="R135" s="699"/>
      <c r="S135" s="762"/>
      <c r="T135" s="765">
        <f t="shared" si="50"/>
        <v>0</v>
      </c>
      <c r="U135" s="700"/>
      <c r="V135" s="701"/>
      <c r="W135" s="701"/>
      <c r="X135" s="295">
        <f t="shared" si="81"/>
        <v>0</v>
      </c>
      <c r="Y135" s="296">
        <f>IF(AA135&gt;0,V135,AE131/IF(Iniciar!$C$25="B X 40 K",40,IF(Iniciar!$C$25="B X 50 K",50,1))*I135/1000)</f>
        <v>0</v>
      </c>
      <c r="Z135" s="296">
        <f t="shared" si="82"/>
        <v>0</v>
      </c>
      <c r="AA135" s="297">
        <f t="shared" si="74"/>
        <v>0</v>
      </c>
      <c r="AB135" s="297">
        <f t="shared" si="76"/>
        <v>0</v>
      </c>
      <c r="AC135" s="2035" t="str">
        <f>$AC$9</f>
        <v xml:space="preserve">Total Litros Sem: </v>
      </c>
      <c r="AD135" s="2036"/>
      <c r="AE135" s="2050">
        <f>SUM(R131:R137)</f>
        <v>0</v>
      </c>
      <c r="AF135" s="2051"/>
      <c r="AG135" s="554" t="str">
        <f>$AG$9</f>
        <v xml:space="preserve">Indicador Eficiencia : </v>
      </c>
      <c r="AH135" s="555">
        <f>IF(AND(AE135&gt;0,O132&gt;0,O133&gt;0,SUM(L131:L137)&gt;0),(PROD!AH134/O132)*K137*100/(AE135/(SUM(L131:L137)*O133/1000)),0)</f>
        <v>0</v>
      </c>
      <c r="AI135" s="555">
        <f>IF(AND(P132&gt;0,PROD!AI133&gt;0),(PROD!AI134/P132)*(1-K136)*100/(AE132/PROD!AI133),0)</f>
        <v>0</v>
      </c>
      <c r="AJ135" s="331">
        <f t="shared" si="72"/>
        <v>0</v>
      </c>
      <c r="AK135" s="2027"/>
      <c r="AL135" s="1284">
        <f t="shared" si="77"/>
        <v>0</v>
      </c>
      <c r="AM135" s="1285"/>
      <c r="AN135" s="1285"/>
      <c r="AO135" s="1285"/>
      <c r="AP135" s="1285"/>
      <c r="AQ135" s="1285"/>
      <c r="AR135" s="1285"/>
      <c r="AS135" s="1286"/>
      <c r="AT135" s="1287"/>
      <c r="AU135" s="1288"/>
      <c r="AV135" s="1289"/>
      <c r="AW135" s="1290"/>
      <c r="AX135" s="1291"/>
      <c r="AY135" s="1291"/>
      <c r="AZ135" s="1292"/>
      <c r="BA135" s="1293"/>
      <c r="BB135" s="1294"/>
      <c r="BC135" s="1295"/>
      <c r="BD135" s="1296">
        <f>BD134+PROD!L135-BA135</f>
        <v>0</v>
      </c>
      <c r="BE135" s="2133"/>
      <c r="BF135" s="507" t="e">
        <f t="shared" si="78"/>
        <v>#VALUE!</v>
      </c>
      <c r="BG135" s="329"/>
      <c r="BH135" s="1018">
        <f t="shared" si="79"/>
        <v>0</v>
      </c>
    </row>
    <row r="136" spans="1:60" ht="15" customHeight="1" x14ac:dyDescent="0.3">
      <c r="A136" s="2033"/>
      <c r="B136" s="287" t="str">
        <f t="shared" si="80"/>
        <v/>
      </c>
      <c r="C136" s="288" t="str">
        <f t="shared" si="75"/>
        <v/>
      </c>
      <c r="D136" s="691"/>
      <c r="E136" s="692"/>
      <c r="F136" s="693"/>
      <c r="G136" s="694"/>
      <c r="H136" s="695"/>
      <c r="I136" s="289">
        <f>I135-SUM($D136:F136)</f>
        <v>0</v>
      </c>
      <c r="J136" s="1237" t="str">
        <f>$J$10</f>
        <v>% Mort/Sel Acm Tab :</v>
      </c>
      <c r="K136" s="1238">
        <f>IFERROR(LOOKUP($A131,TP!$A$6:$A$108,GSh!$AR$6:$AR$108)/100,0)</f>
        <v>0</v>
      </c>
      <c r="L136" s="1246"/>
      <c r="M136" s="291">
        <f t="shared" si="73"/>
        <v>0</v>
      </c>
      <c r="N136" s="292" t="str">
        <f>$N$10</f>
        <v xml:space="preserve">Uniformidad (C. Lote) : </v>
      </c>
      <c r="O136" s="320">
        <f>LOOKUP($A131,'Pr-Sem'!$A$6:$A$108,'Pr-Sem'!$AG$6:$AG$108)</f>
        <v>0</v>
      </c>
      <c r="P136" s="320">
        <v>90</v>
      </c>
      <c r="Q136" s="321">
        <f>IF(AND(P136&gt;0,O136&gt;0),(O136/P136-1)*100,0)</f>
        <v>0</v>
      </c>
      <c r="R136" s="699"/>
      <c r="S136" s="762"/>
      <c r="T136" s="765">
        <f t="shared" si="50"/>
        <v>0</v>
      </c>
      <c r="U136" s="700"/>
      <c r="V136" s="701"/>
      <c r="W136" s="701"/>
      <c r="X136" s="295">
        <f t="shared" si="81"/>
        <v>0</v>
      </c>
      <c r="Y136" s="296">
        <f>IF(AA136&gt;0,V136,AE131/IF(Iniciar!$C$25="B X 40 K",40,IF(Iniciar!$C$25="B X 50 K",50,1))*I136/1000)</f>
        <v>0</v>
      </c>
      <c r="Z136" s="296">
        <f t="shared" si="82"/>
        <v>0</v>
      </c>
      <c r="AA136" s="297">
        <f t="shared" si="74"/>
        <v>0</v>
      </c>
      <c r="AB136" s="297">
        <f t="shared" si="76"/>
        <v>0</v>
      </c>
      <c r="AC136" s="2037" t="str">
        <f>$AC$10</f>
        <v xml:space="preserve">Cons ml /ave día: </v>
      </c>
      <c r="AD136" s="2038"/>
      <c r="AE136" s="2056">
        <f>IFERROR(SUMPRODUCT(AB131:AB137,I131:I137)/SUM(I131:I137),0)</f>
        <v>0</v>
      </c>
      <c r="AF136" s="2057"/>
      <c r="AG136" s="311" t="str">
        <f>CONCATENATE("Costo ",Iniciar!$C$25," : ")</f>
        <v xml:space="preserve">Costo Kilos : </v>
      </c>
      <c r="AH136" s="2043">
        <f>IFERROR(SUMPRODUCT(T131:T137,V131:V137)/SUMIF(T131:T137,"&gt;0",V131:V137),0)</f>
        <v>0</v>
      </c>
      <c r="AI136" s="2043"/>
      <c r="AJ136" s="313"/>
      <c r="AK136" s="2027"/>
      <c r="AL136" s="1284">
        <f t="shared" si="77"/>
        <v>0</v>
      </c>
      <c r="AM136" s="1285"/>
      <c r="AN136" s="1285"/>
      <c r="AO136" s="1285"/>
      <c r="AP136" s="1285"/>
      <c r="AQ136" s="1285"/>
      <c r="AR136" s="1285"/>
      <c r="AS136" s="1286"/>
      <c r="AT136" s="1287"/>
      <c r="AU136" s="1288"/>
      <c r="AV136" s="1289"/>
      <c r="AW136" s="1290"/>
      <c r="AX136" s="1291"/>
      <c r="AY136" s="1291"/>
      <c r="AZ136" s="1292"/>
      <c r="BA136" s="1293"/>
      <c r="BB136" s="1294"/>
      <c r="BC136" s="1295"/>
      <c r="BD136" s="1296">
        <f>BD135+PROD!L136-BA136</f>
        <v>0</v>
      </c>
      <c r="BE136" s="2133"/>
      <c r="BF136" s="507" t="e">
        <f t="shared" si="78"/>
        <v>#VALUE!</v>
      </c>
      <c r="BG136" s="329"/>
      <c r="BH136" s="1018">
        <f t="shared" si="79"/>
        <v>0</v>
      </c>
    </row>
    <row r="137" spans="1:60" ht="15" customHeight="1" x14ac:dyDescent="0.3">
      <c r="A137" s="2034"/>
      <c r="B137" s="287" t="str">
        <f t="shared" si="80"/>
        <v/>
      </c>
      <c r="C137" s="288" t="str">
        <f t="shared" si="75"/>
        <v/>
      </c>
      <c r="D137" s="691"/>
      <c r="E137" s="692"/>
      <c r="F137" s="693"/>
      <c r="G137" s="694"/>
      <c r="H137" s="695"/>
      <c r="I137" s="289">
        <f>I136-SUM($D137:F137)</f>
        <v>0</v>
      </c>
      <c r="J137" s="1239" t="str">
        <f>$J$11</f>
        <v>% Viabilidad :</v>
      </c>
      <c r="K137" s="1240">
        <f>IF(OR(SUM(L131:L137)&gt;0,SUM(V131:V137)&gt;0),1-(K134+K135),0)</f>
        <v>0</v>
      </c>
      <c r="L137" s="1247"/>
      <c r="M137" s="1248">
        <f>IF(I137&gt;0,(L137/IF(SUM(L131:L136)&gt;0,1,7))/I137,0)</f>
        <v>0</v>
      </c>
      <c r="N137" s="1249" t="str">
        <f>$N$11</f>
        <v xml:space="preserve">Uniformidad (10% +) : </v>
      </c>
      <c r="O137" s="1250">
        <f>IF(O135&gt;0,IF(O136&gt;0,100-SUM(O135:O136),0),0)</f>
        <v>0</v>
      </c>
      <c r="P137" s="1251">
        <f>100-SUM(P135:P136)</f>
        <v>5</v>
      </c>
      <c r="Q137" s="1252">
        <f>IF(AND(P137&gt;0,O137&gt;0),(O137/P137-1)*100,0)</f>
        <v>0</v>
      </c>
      <c r="R137" s="699"/>
      <c r="S137" s="762"/>
      <c r="T137" s="765">
        <f t="shared" si="50"/>
        <v>0</v>
      </c>
      <c r="U137" s="700"/>
      <c r="V137" s="701"/>
      <c r="W137" s="701"/>
      <c r="X137" s="295">
        <f t="shared" si="81"/>
        <v>0</v>
      </c>
      <c r="Y137" s="296">
        <f>IF(AA137&gt;0,V137,AE131/IF(Iniciar!$C$25="B X 40 K",40,IF(Iniciar!$C$25="B X 50 K",50,1))*I137/1000)</f>
        <v>0</v>
      </c>
      <c r="Z137" s="296">
        <f t="shared" si="82"/>
        <v>0</v>
      </c>
      <c r="AA137" s="297">
        <f>IF(I137&gt;0,(V137/IF(SUM(V131:V136)&gt;0,1,7))*$A$1/I137,0)</f>
        <v>0</v>
      </c>
      <c r="AB137" s="297">
        <f t="shared" si="76"/>
        <v>0</v>
      </c>
      <c r="AC137" s="2039" t="str">
        <f>$AC$11</f>
        <v xml:space="preserve">Relación Agua /Alimto: </v>
      </c>
      <c r="AD137" s="2040"/>
      <c r="AE137" s="2058">
        <f>IFERROR(AE136/AD131,0)</f>
        <v>0</v>
      </c>
      <c r="AF137" s="2059"/>
      <c r="AG137" s="1269" t="s">
        <v>237</v>
      </c>
      <c r="AH137" s="1270">
        <f>IF(SUM(L131:L137)&gt;0,AH136*SUM(V131:V137)/SUM(L131:L137),0)</f>
        <v>0</v>
      </c>
      <c r="AI137" s="1270">
        <f>IF(AND($A$1&gt;0,P131&gt;0),AH136/$A$1*(AE131/P131)*100,0)</f>
        <v>0</v>
      </c>
      <c r="AJ137" s="1271">
        <f t="shared" ref="AJ137:AJ142" si="83">IF(AND(AI137&gt;0,AH137&gt;0),(AH137/AI137-1)*100,0)</f>
        <v>0</v>
      </c>
      <c r="AK137" s="2028"/>
      <c r="AL137" s="1284">
        <f t="shared" si="77"/>
        <v>0</v>
      </c>
      <c r="AM137" s="1285"/>
      <c r="AN137" s="1285"/>
      <c r="AO137" s="1285"/>
      <c r="AP137" s="1285"/>
      <c r="AQ137" s="1285"/>
      <c r="AR137" s="1285"/>
      <c r="AS137" s="1286"/>
      <c r="AT137" s="1287"/>
      <c r="AU137" s="1288"/>
      <c r="AV137" s="1289"/>
      <c r="AW137" s="1290"/>
      <c r="AX137" s="1291"/>
      <c r="AY137" s="1291"/>
      <c r="AZ137" s="1292"/>
      <c r="BA137" s="1293"/>
      <c r="BB137" s="1294"/>
      <c r="BC137" s="1295"/>
      <c r="BD137" s="1296">
        <f>BD136+PROD!L137-BA137</f>
        <v>0</v>
      </c>
      <c r="BE137" s="2134"/>
      <c r="BF137" s="507" t="e">
        <f t="shared" si="78"/>
        <v>#VALUE!</v>
      </c>
      <c r="BG137" s="329"/>
      <c r="BH137" s="1018">
        <f t="shared" si="79"/>
        <v>0</v>
      </c>
    </row>
    <row r="138" spans="1:60" ht="15" customHeight="1" x14ac:dyDescent="0.3">
      <c r="A138" s="2032">
        <f>A131+1</f>
        <v>37</v>
      </c>
      <c r="B138" s="287" t="str">
        <f t="shared" si="80"/>
        <v/>
      </c>
      <c r="C138" s="288" t="str">
        <f t="shared" si="75"/>
        <v/>
      </c>
      <c r="D138" s="691"/>
      <c r="E138" s="692"/>
      <c r="F138" s="693"/>
      <c r="G138" s="694"/>
      <c r="H138" s="695"/>
      <c r="I138" s="289">
        <f>I137-SUM($D138:F138)</f>
        <v>0</v>
      </c>
      <c r="J138" s="1232" t="str">
        <f>$J$5</f>
        <v>% Mort Sem :</v>
      </c>
      <c r="K138" s="1233">
        <f>IF(PROD!$K$2&gt;0,SUM(D138:D144)/PROD!$K$2,0)</f>
        <v>0</v>
      </c>
      <c r="L138" s="1241"/>
      <c r="M138" s="1242">
        <f t="shared" ref="M138:M143" si="84">IF(I138&gt;0,L138/I138,0)</f>
        <v>0</v>
      </c>
      <c r="N138" s="1243" t="str">
        <f>$N$5</f>
        <v xml:space="preserve">% Pdn prom semana : </v>
      </c>
      <c r="O138" s="1244">
        <f>IF(SUM(L138:L143)&gt;0,100*SUMPRODUCT(M138:M144,I138:I144)/SUMIF(L138:L144,"&gt;0",I138:I144),IF(L144&gt;0,100*L144/7/I144,0))</f>
        <v>0</v>
      </c>
      <c r="P138" s="1244">
        <f>IFERROR(LOOKUP($A138,TP!$A$6:$A$108,GSh!$AE$6:$AE$108),0)</f>
        <v>0</v>
      </c>
      <c r="Q138" s="1245">
        <f>IF(AND(P138&gt;0,O138&gt;0),O138-P138,0)</f>
        <v>0</v>
      </c>
      <c r="R138" s="699"/>
      <c r="S138" s="762"/>
      <c r="T138" s="765">
        <f t="shared" si="50"/>
        <v>0</v>
      </c>
      <c r="U138" s="700"/>
      <c r="V138" s="701"/>
      <c r="W138" s="701"/>
      <c r="X138" s="295">
        <f t="shared" si="81"/>
        <v>0</v>
      </c>
      <c r="Y138" s="296">
        <f>IF(AA138&gt;0,V138,AE138/IF(Iniciar!$C$25="B X 40 K",40,IF(Iniciar!$C$25="B X 50 K",50,1))*I138/1000)</f>
        <v>0</v>
      </c>
      <c r="Z138" s="296">
        <f t="shared" si="82"/>
        <v>0</v>
      </c>
      <c r="AA138" s="297">
        <f t="shared" ref="AA138:AA143" si="85">IF(I138&gt;0,V138*$A$1/I138,0)</f>
        <v>0</v>
      </c>
      <c r="AB138" s="297">
        <f t="shared" si="76"/>
        <v>0</v>
      </c>
      <c r="AC138" s="1261" t="str">
        <f>$AC$5</f>
        <v>Gr. Ave Dia :</v>
      </c>
      <c r="AD138" s="1262">
        <f>IF(SUMIF(V138:V144,"&gt;0")&gt;0,SUMPRODUCT(AA138:AA144,I138:I144)/SUMIF(AA138:AA144,"&gt;0",I138:I144),0)</f>
        <v>0</v>
      </c>
      <c r="AE138" s="1262">
        <f>IFERROR(LOOKUP($A138,TP!$A$6:$A$108,GSh!$AU$6:$AU$108),0)</f>
        <v>0</v>
      </c>
      <c r="AF138" s="1263">
        <f>IF(AND(AE138&gt;0,AD138&gt;0),(AD138/AE138-1)*100,0)</f>
        <v>0</v>
      </c>
      <c r="AG138" s="1264" t="str">
        <f>PROD!$AG$5</f>
        <v>Gr X H</v>
      </c>
      <c r="AH138" s="1265">
        <f>IF(PROD!O138&gt;0,IF($AG138="Gr X H",PROD!AD138/PROD!O138*100,IF($AG138="Conv Kg/Doc",PROD!AD138/PROD!O138*1.2,IF(PROD!$O140&gt;0,PROD!AD138/(PROD!O138*PROD!$O140)*100,0))),0)</f>
        <v>0</v>
      </c>
      <c r="AI138" s="1265">
        <f>IF(PROD!P138&gt;0,IF($AG138="Gr X H",PROD!AE138/PROD!P138*100,IF($AG138="Conv Kg/Doc",PROD!AE138/PROD!P138*1.2,IF(PROD!$P140&gt;0,PROD!AE138/(PROD!P138*PROD!$P140)*100,0))),0)</f>
        <v>0</v>
      </c>
      <c r="AJ138" s="1266">
        <f t="shared" si="83"/>
        <v>0</v>
      </c>
      <c r="AK138" s="2026"/>
      <c r="AL138" s="1284">
        <f t="shared" si="77"/>
        <v>0</v>
      </c>
      <c r="AM138" s="1285"/>
      <c r="AN138" s="1285"/>
      <c r="AO138" s="1285"/>
      <c r="AP138" s="1285"/>
      <c r="AQ138" s="1285"/>
      <c r="AR138" s="1285"/>
      <c r="AS138" s="1286"/>
      <c r="AT138" s="1287"/>
      <c r="AU138" s="1288"/>
      <c r="AV138" s="1289"/>
      <c r="AW138" s="1290"/>
      <c r="AX138" s="1291"/>
      <c r="AY138" s="1291"/>
      <c r="AZ138" s="1292"/>
      <c r="BA138" s="1293"/>
      <c r="BB138" s="1294"/>
      <c r="BC138" s="1295"/>
      <c r="BD138" s="1296">
        <f>BD137+PROD!L138-BA138</f>
        <v>0</v>
      </c>
      <c r="BE138" s="2132">
        <f>IF(SUM(AM138:AZ144)&gt;0,(SUM(AM138:AM144)*$AM$2+SUM(AN138:AN144)*$AN$2+SUM(AO138:AO144)*$AO$2+SUM(AP138:AP144)*$AP$2+SUM(AQ138:AQ144)*$AQ$2+SUM(AR138:AR144)*$AR$2+SUM(AS138:AS144)*$AS$2+SUM(AW138:AW144)*$AW$2+SUM(AX138:AX144)*$AX$2+SUM(AY138:AY144)*$AY$2+SUM(AZ138:AZ144)*$AZ$2+SUM(AT138:AT144)*$AT$2+SUM(AU138:AU144)*$AU$2+SUM(AV138:AV144)*$AV$2)/SUM(AM138:AZ144),0)</f>
        <v>0</v>
      </c>
      <c r="BF138" s="507" t="e">
        <f t="shared" si="78"/>
        <v>#VALUE!</v>
      </c>
      <c r="BG138" s="277">
        <f>IF(SUM(L138:L144)&gt;0,A138,IF(SUM(V138:V144)&gt;0,A138,BG131))</f>
        <v>0</v>
      </c>
      <c r="BH138" s="1018">
        <f t="shared" si="79"/>
        <v>0</v>
      </c>
    </row>
    <row r="139" spans="1:60" ht="15" customHeight="1" x14ac:dyDescent="0.3">
      <c r="A139" s="2033"/>
      <c r="B139" s="287" t="str">
        <f t="shared" si="80"/>
        <v/>
      </c>
      <c r="C139" s="288" t="str">
        <f t="shared" si="75"/>
        <v/>
      </c>
      <c r="D139" s="691"/>
      <c r="E139" s="692"/>
      <c r="F139" s="693"/>
      <c r="G139" s="694"/>
      <c r="H139" s="695"/>
      <c r="I139" s="289">
        <f>I138-SUM($D139:F139)</f>
        <v>0</v>
      </c>
      <c r="J139" s="1234" t="str">
        <f>$J$6</f>
        <v>% Sel Sem :</v>
      </c>
      <c r="K139" s="1231">
        <f>IF(PROD!$K$2&gt;0,SUM(E138:E144)/PROD!$K$2,0)</f>
        <v>0</v>
      </c>
      <c r="L139" s="1246"/>
      <c r="M139" s="291">
        <f t="shared" si="84"/>
        <v>0</v>
      </c>
      <c r="N139" s="292" t="str">
        <f>$N$6</f>
        <v xml:space="preserve">H. Ave Alojada : </v>
      </c>
      <c r="O139" s="293">
        <f>IF(AND(PROD!$K$2&gt;0,O138&gt;0),SUM(L$5:L144)/PROD!$K$2,0)</f>
        <v>0</v>
      </c>
      <c r="P139" s="293">
        <f>IFERROR(LOOKUP($A138,TP!$A$6:$A$108,GSh!$AJ$6:$AJ$108),0)</f>
        <v>0</v>
      </c>
      <c r="Q139" s="294">
        <f>IF(AND(P139&gt;0,O139&gt;0),O139-P139,0)</f>
        <v>0</v>
      </c>
      <c r="R139" s="699"/>
      <c r="S139" s="762"/>
      <c r="T139" s="765">
        <f t="shared" si="50"/>
        <v>0</v>
      </c>
      <c r="U139" s="700"/>
      <c r="V139" s="701"/>
      <c r="W139" s="701"/>
      <c r="X139" s="295">
        <f t="shared" si="81"/>
        <v>0</v>
      </c>
      <c r="Y139" s="296">
        <f>IF(AA139&gt;0,V139,AE138/IF(Iniciar!$C$25="B X 40 K",40,IF(Iniciar!$C$25="B X 50 K",50,1))*I139/1000)</f>
        <v>0</v>
      </c>
      <c r="Z139" s="296">
        <f t="shared" si="82"/>
        <v>0</v>
      </c>
      <c r="AA139" s="297">
        <f t="shared" si="85"/>
        <v>0</v>
      </c>
      <c r="AB139" s="297">
        <f t="shared" si="76"/>
        <v>0</v>
      </c>
      <c r="AC139" s="1267" t="str">
        <f>$AC$6</f>
        <v>Gr. Ave Sem :</v>
      </c>
      <c r="AD139" s="284">
        <f>AD138*7</f>
        <v>0</v>
      </c>
      <c r="AE139" s="284">
        <f>AE138*7</f>
        <v>0</v>
      </c>
      <c r="AF139" s="285">
        <f>IF(AND(AE139&gt;0,AD139&gt;0),(AD139/AE139-1)*100,0)</f>
        <v>0</v>
      </c>
      <c r="AG139" s="1199" t="str">
        <f>PROD!$AG$6</f>
        <v>Gr X H Acm</v>
      </c>
      <c r="AH139" s="298">
        <f>IF(SUM(PROD!L138:L144)&gt;0,IF(PROD!$AG$5="Gr X H",SUM(PROD!V$5:V144)*PROD!$A$1/SUM(PROD!L$5:L144),IF($AG138="Conv Kg/Doc",(SUM(PROD!V$5:V144)*PROD!$A$1/1000)/(SUM(PROD!L$5:L144)/12),IF(PROD!$O140&gt;0,SUM(PROD!V$5:V144)*PROD!$A$1/(SUM(PROD!L$5:L144)*LOOKUP(PROD!A138,TP!$A$6:$A$108,GSh!$BB$6:$BB$108)),0))),0)</f>
        <v>0</v>
      </c>
      <c r="AI139" s="298">
        <f>IF(PROD!P138&gt;0,IF($AG138="Gr X H",PROD!AE138/PROD!P138*100,IF($AG138="Conv Kg/Doc",PROD!AE138/PROD!P138*1.2,IF(PROD!$P139&gt;0,PROD!AE140/(PROD!P139*LOOKUP(PROD!$A138,TP!$A$6:$A$108,GSh!$BC$6:$BC$108)/1000),0))),0)</f>
        <v>0</v>
      </c>
      <c r="AJ139" s="328">
        <f t="shared" si="83"/>
        <v>0</v>
      </c>
      <c r="AK139" s="2027"/>
      <c r="AL139" s="1284">
        <f t="shared" si="77"/>
        <v>0</v>
      </c>
      <c r="AM139" s="1285"/>
      <c r="AN139" s="1285"/>
      <c r="AO139" s="1285"/>
      <c r="AP139" s="1285"/>
      <c r="AQ139" s="1285"/>
      <c r="AR139" s="1285"/>
      <c r="AS139" s="1286"/>
      <c r="AT139" s="1287"/>
      <c r="AU139" s="1288"/>
      <c r="AV139" s="1289"/>
      <c r="AW139" s="1290"/>
      <c r="AX139" s="1291"/>
      <c r="AY139" s="1291"/>
      <c r="AZ139" s="1292"/>
      <c r="BA139" s="1293"/>
      <c r="BB139" s="1294"/>
      <c r="BC139" s="1295"/>
      <c r="BD139" s="1296">
        <f>BD138+PROD!L139-BA139</f>
        <v>0</v>
      </c>
      <c r="BE139" s="2133"/>
      <c r="BF139" s="507" t="e">
        <f t="shared" si="78"/>
        <v>#VALUE!</v>
      </c>
      <c r="BG139" s="329"/>
      <c r="BH139" s="1018">
        <f t="shared" si="79"/>
        <v>0</v>
      </c>
    </row>
    <row r="140" spans="1:60" ht="15" customHeight="1" x14ac:dyDescent="0.3">
      <c r="A140" s="2033"/>
      <c r="B140" s="287" t="str">
        <f t="shared" si="80"/>
        <v/>
      </c>
      <c r="C140" s="288" t="str">
        <f t="shared" si="75"/>
        <v/>
      </c>
      <c r="D140" s="691"/>
      <c r="E140" s="692"/>
      <c r="F140" s="693"/>
      <c r="G140" s="694"/>
      <c r="H140" s="695"/>
      <c r="I140" s="289">
        <f>I139-SUM($D140:F140)</f>
        <v>0</v>
      </c>
      <c r="J140" s="1235" t="str">
        <f>$J$7</f>
        <v>% Mort/Sel Sem Tab :</v>
      </c>
      <c r="K140" s="1236">
        <f>K143-K136</f>
        <v>0</v>
      </c>
      <c r="L140" s="1246"/>
      <c r="M140" s="291">
        <f t="shared" si="84"/>
        <v>0</v>
      </c>
      <c r="N140" s="304" t="str">
        <f>$N$7</f>
        <v xml:space="preserve">Peso Huevo (Gr) : </v>
      </c>
      <c r="O140" s="305">
        <f>LOOKUP($A138,'Pr-Sem'!$A$6:$A$108,'Pr-Sem'!$Z$6:$Z$108)</f>
        <v>0</v>
      </c>
      <c r="P140" s="305">
        <f>IFERROR(LOOKUP($A138,TP!$A$6:$A$108,GSh!$AZ$6:$AZ$108),0)</f>
        <v>0</v>
      </c>
      <c r="Q140" s="306">
        <f>IF(AND(P140&gt;0,O140&gt;0),O140-P140,0)</f>
        <v>0</v>
      </c>
      <c r="R140" s="699"/>
      <c r="S140" s="762"/>
      <c r="T140" s="765">
        <f t="shared" ref="T140:T203" si="86">T139</f>
        <v>0</v>
      </c>
      <c r="U140" s="700"/>
      <c r="V140" s="701"/>
      <c r="W140" s="701"/>
      <c r="X140" s="295">
        <f t="shared" si="81"/>
        <v>0</v>
      </c>
      <c r="Y140" s="296">
        <f>IF(AA140&gt;0,V140,AE138/IF(Iniciar!$C$25="B X 40 K",40,IF(Iniciar!$C$25="B X 50 K",50,1))*I140/1000)</f>
        <v>0</v>
      </c>
      <c r="Z140" s="296">
        <f t="shared" si="82"/>
        <v>0</v>
      </c>
      <c r="AA140" s="297">
        <f t="shared" si="85"/>
        <v>0</v>
      </c>
      <c r="AB140" s="297">
        <f t="shared" si="76"/>
        <v>0</v>
      </c>
      <c r="AC140" s="1268" t="str">
        <f>$AC$7</f>
        <v>Kg Ave Acu :</v>
      </c>
      <c r="AD140" s="308">
        <f>IF(OR(SUM(L138:L144)&gt;0,SUM(V138:V144)&gt;0),AD139/1000+AD133,0)</f>
        <v>0</v>
      </c>
      <c r="AE140" s="309">
        <f>AE139/1000+AE133</f>
        <v>0</v>
      </c>
      <c r="AF140" s="310">
        <f>IF(AND(AE140&gt;0,AD140&gt;0),(AD140/AE140-1)*100,0)</f>
        <v>0</v>
      </c>
      <c r="AG140" s="311" t="str">
        <f>PROD!$AG$7</f>
        <v xml:space="preserve">Masa Sem H (Gr) : </v>
      </c>
      <c r="AH140" s="312">
        <f>PROD!O138/100*7*PROD!O140</f>
        <v>0</v>
      </c>
      <c r="AI140" s="312">
        <f>PROD!P138/100*7*PROD!P140</f>
        <v>0</v>
      </c>
      <c r="AJ140" s="313">
        <f t="shared" si="83"/>
        <v>0</v>
      </c>
      <c r="AK140" s="2027"/>
      <c r="AL140" s="1284">
        <f t="shared" si="77"/>
        <v>0</v>
      </c>
      <c r="AM140" s="1285"/>
      <c r="AN140" s="1285"/>
      <c r="AO140" s="1285"/>
      <c r="AP140" s="1285"/>
      <c r="AQ140" s="1285"/>
      <c r="AR140" s="1285"/>
      <c r="AS140" s="1286"/>
      <c r="AT140" s="1287"/>
      <c r="AU140" s="1288"/>
      <c r="AV140" s="1289"/>
      <c r="AW140" s="1290"/>
      <c r="AX140" s="1291"/>
      <c r="AY140" s="1291"/>
      <c r="AZ140" s="1292"/>
      <c r="BA140" s="1293"/>
      <c r="BB140" s="1294"/>
      <c r="BC140" s="1295"/>
      <c r="BD140" s="1296">
        <f>BD139+PROD!L140-BA140</f>
        <v>0</v>
      </c>
      <c r="BE140" s="2133"/>
      <c r="BF140" s="507" t="e">
        <f t="shared" si="78"/>
        <v>#VALUE!</v>
      </c>
      <c r="BG140" s="329"/>
      <c r="BH140" s="1018">
        <f t="shared" si="79"/>
        <v>0</v>
      </c>
    </row>
    <row r="141" spans="1:60" ht="15" customHeight="1" x14ac:dyDescent="0.3">
      <c r="A141" s="2033"/>
      <c r="B141" s="287" t="str">
        <f t="shared" si="80"/>
        <v/>
      </c>
      <c r="C141" s="288" t="str">
        <f t="shared" si="75"/>
        <v/>
      </c>
      <c r="D141" s="691"/>
      <c r="E141" s="692"/>
      <c r="F141" s="693"/>
      <c r="G141" s="694"/>
      <c r="H141" s="695"/>
      <c r="I141" s="289">
        <f>I140-SUM($D141:F141)</f>
        <v>0</v>
      </c>
      <c r="J141" s="1234" t="str">
        <f>$J$8</f>
        <v>% Mort Acm :</v>
      </c>
      <c r="K141" s="1231">
        <f>IF(PROD!$K$2&gt;0,SUM(D$5:D144)/PROD!$K$2,0)</f>
        <v>0</v>
      </c>
      <c r="L141" s="1246"/>
      <c r="M141" s="291">
        <f t="shared" si="84"/>
        <v>0</v>
      </c>
      <c r="N141" s="314" t="str">
        <f>N$8</f>
        <v xml:space="preserve">Peso Ave (Gr) : </v>
      </c>
      <c r="O141" s="315">
        <f>LOOKUP($A138,GSh!$BV$6:$BV$108,GSh!$BJ$6:$BJ$108)</f>
        <v>0</v>
      </c>
      <c r="P141" s="315">
        <f>IFERROR(LOOKUP($A138,TP!$A$6:$A$108,GSh!$BK$6:$BK$108),0)</f>
        <v>0</v>
      </c>
      <c r="Q141" s="316">
        <f>IF(AND(P141&gt;0,O141&gt;0),(O141/P141-1)*100,0)</f>
        <v>0</v>
      </c>
      <c r="R141" s="699"/>
      <c r="S141" s="762"/>
      <c r="T141" s="765">
        <f t="shared" si="86"/>
        <v>0</v>
      </c>
      <c r="U141" s="700"/>
      <c r="V141" s="701"/>
      <c r="W141" s="701"/>
      <c r="X141" s="295">
        <f t="shared" si="81"/>
        <v>0</v>
      </c>
      <c r="Y141" s="296">
        <f>IF(AA141&gt;0,V141,AE138/IF(Iniciar!$C$25="B X 40 K",40,IF(Iniciar!$C$25="B X 50 K",50,1))*I141/1000)</f>
        <v>0</v>
      </c>
      <c r="Z141" s="296">
        <f t="shared" si="82"/>
        <v>0</v>
      </c>
      <c r="AA141" s="297">
        <f t="shared" si="85"/>
        <v>0</v>
      </c>
      <c r="AB141" s="297">
        <f t="shared" si="76"/>
        <v>0</v>
      </c>
      <c r="AC141" s="541" t="str">
        <f>$AC$8</f>
        <v xml:space="preserve">Ton. Lote Acu : </v>
      </c>
      <c r="AD141" s="544">
        <f>SUM($V$5:$V144)*$A$1/1000000</f>
        <v>0</v>
      </c>
      <c r="AE141" s="543">
        <f>AE134+(AE138/1000000*7*(I138+I144)/2)</f>
        <v>0</v>
      </c>
      <c r="AF141" s="542">
        <f>IF(AND(AE141&gt;0,AD141&gt;0),(AD141/AE141-1)*100,0)</f>
        <v>0</v>
      </c>
      <c r="AG141" s="317" t="str">
        <f>PROD!$AG$8</f>
        <v xml:space="preserve">Masa Ac A. A (Kg) : </v>
      </c>
      <c r="AH141" s="318">
        <f>IF(PROD!$K$2&gt;0,SUM(PROD!L$5:L144)*LOOKUP(PROD!$A138,TP!$A$6:$A$108,GSh!$BB$6:$BB$108)/1000/PROD!$K$2,0)</f>
        <v>0</v>
      </c>
      <c r="AI141" s="318">
        <f>IFERROR(PROD!P139*LOOKUP(PROD!$A138,TP!$A$6:$A$108,GSh!$BC$6:$BC$108)/1000,0)</f>
        <v>0</v>
      </c>
      <c r="AJ141" s="330">
        <f t="shared" si="83"/>
        <v>0</v>
      </c>
      <c r="AK141" s="2027"/>
      <c r="AL141" s="1284">
        <f t="shared" si="77"/>
        <v>0</v>
      </c>
      <c r="AM141" s="1285"/>
      <c r="AN141" s="1285"/>
      <c r="AO141" s="1285"/>
      <c r="AP141" s="1285"/>
      <c r="AQ141" s="1285"/>
      <c r="AR141" s="1285"/>
      <c r="AS141" s="1286"/>
      <c r="AT141" s="1287"/>
      <c r="AU141" s="1288"/>
      <c r="AV141" s="1289"/>
      <c r="AW141" s="1290"/>
      <c r="AX141" s="1291"/>
      <c r="AY141" s="1291"/>
      <c r="AZ141" s="1292"/>
      <c r="BA141" s="1293"/>
      <c r="BB141" s="1294"/>
      <c r="BC141" s="1295"/>
      <c r="BD141" s="1296">
        <f>BD140+PROD!L141-BA141</f>
        <v>0</v>
      </c>
      <c r="BE141" s="2133"/>
      <c r="BF141" s="507" t="e">
        <f t="shared" si="78"/>
        <v>#VALUE!</v>
      </c>
      <c r="BG141" s="329"/>
      <c r="BH141" s="1018">
        <f t="shared" si="79"/>
        <v>0</v>
      </c>
    </row>
    <row r="142" spans="1:60" ht="15" customHeight="1" x14ac:dyDescent="0.3">
      <c r="A142" s="2033"/>
      <c r="B142" s="287" t="str">
        <f t="shared" si="80"/>
        <v/>
      </c>
      <c r="C142" s="288" t="str">
        <f t="shared" si="75"/>
        <v/>
      </c>
      <c r="D142" s="691"/>
      <c r="E142" s="692"/>
      <c r="F142" s="693"/>
      <c r="G142" s="694"/>
      <c r="H142" s="695"/>
      <c r="I142" s="289">
        <f>I141-SUM($D142:F142)</f>
        <v>0</v>
      </c>
      <c r="J142" s="1234" t="str">
        <f>$J$9</f>
        <v>% Sel Acm :</v>
      </c>
      <c r="K142" s="1231">
        <f>IF(PROD!$K$2&gt;0,SUM(E$5:E144)/PROD!$K$2,0)</f>
        <v>0</v>
      </c>
      <c r="L142" s="1246"/>
      <c r="M142" s="291">
        <f t="shared" si="84"/>
        <v>0</v>
      </c>
      <c r="N142" s="292" t="str">
        <f>$N$9</f>
        <v xml:space="preserve">Uniformidad (10% -) : </v>
      </c>
      <c r="O142" s="320">
        <f>LOOKUP($A138,'Pr-Sem'!$A$6:$A$108,'Pr-Sem'!$AH$6:$AH$108)</f>
        <v>0</v>
      </c>
      <c r="P142" s="320">
        <v>5</v>
      </c>
      <c r="Q142" s="321">
        <f>IF(AND(P142&gt;0,O142&gt;0),(1-O142/P142)*100,0)</f>
        <v>0</v>
      </c>
      <c r="R142" s="699"/>
      <c r="S142" s="762"/>
      <c r="T142" s="765">
        <f t="shared" si="86"/>
        <v>0</v>
      </c>
      <c r="U142" s="700"/>
      <c r="V142" s="701"/>
      <c r="W142" s="701"/>
      <c r="X142" s="295">
        <f t="shared" si="81"/>
        <v>0</v>
      </c>
      <c r="Y142" s="296">
        <f>IF(AA142&gt;0,V142,AE138/IF(Iniciar!$C$25="B X 40 K",40,IF(Iniciar!$C$25="B X 50 K",50,1))*I142/1000)</f>
        <v>0</v>
      </c>
      <c r="Z142" s="296">
        <f t="shared" si="82"/>
        <v>0</v>
      </c>
      <c r="AA142" s="297">
        <f t="shared" si="85"/>
        <v>0</v>
      </c>
      <c r="AB142" s="297">
        <f t="shared" si="76"/>
        <v>0</v>
      </c>
      <c r="AC142" s="2035" t="str">
        <f>$AC$9</f>
        <v xml:space="preserve">Total Litros Sem: </v>
      </c>
      <c r="AD142" s="2036"/>
      <c r="AE142" s="2050">
        <f>SUM(R138:R144)</f>
        <v>0</v>
      </c>
      <c r="AF142" s="2051"/>
      <c r="AG142" s="554" t="str">
        <f>$AG$9</f>
        <v xml:space="preserve">Indicador Eficiencia : </v>
      </c>
      <c r="AH142" s="555">
        <f>IF(AND(AE142&gt;0,O139&gt;0,O140&gt;0,SUM(L138:L144)&gt;0),(PROD!AH141/O139)*K144*100/(AE142/(SUM(L138:L144)*O140/1000)),0)</f>
        <v>0</v>
      </c>
      <c r="AI142" s="555">
        <f>IF(AND(P139&gt;0,PROD!AI140&gt;0),(PROD!AI141/P139)*(1-K143)*100/(AE139/PROD!AI140),0)</f>
        <v>0</v>
      </c>
      <c r="AJ142" s="331">
        <f t="shared" si="83"/>
        <v>0</v>
      </c>
      <c r="AK142" s="2027"/>
      <c r="AL142" s="1284">
        <f t="shared" si="77"/>
        <v>0</v>
      </c>
      <c r="AM142" s="1285"/>
      <c r="AN142" s="1285"/>
      <c r="AO142" s="1285"/>
      <c r="AP142" s="1285"/>
      <c r="AQ142" s="1285"/>
      <c r="AR142" s="1285"/>
      <c r="AS142" s="1286"/>
      <c r="AT142" s="1287"/>
      <c r="AU142" s="1288"/>
      <c r="AV142" s="1289"/>
      <c r="AW142" s="1290"/>
      <c r="AX142" s="1291"/>
      <c r="AY142" s="1291"/>
      <c r="AZ142" s="1292"/>
      <c r="BA142" s="1293"/>
      <c r="BB142" s="1294"/>
      <c r="BC142" s="1295"/>
      <c r="BD142" s="1296">
        <f>BD141+PROD!L142-BA142</f>
        <v>0</v>
      </c>
      <c r="BE142" s="2133"/>
      <c r="BF142" s="507" t="e">
        <f t="shared" si="78"/>
        <v>#VALUE!</v>
      </c>
      <c r="BG142" s="329"/>
      <c r="BH142" s="1018">
        <f t="shared" si="79"/>
        <v>0</v>
      </c>
    </row>
    <row r="143" spans="1:60" ht="15" customHeight="1" x14ac:dyDescent="0.3">
      <c r="A143" s="2033"/>
      <c r="B143" s="287" t="str">
        <f t="shared" si="80"/>
        <v/>
      </c>
      <c r="C143" s="288" t="str">
        <f t="shared" si="75"/>
        <v/>
      </c>
      <c r="D143" s="691"/>
      <c r="E143" s="692"/>
      <c r="F143" s="693"/>
      <c r="G143" s="694"/>
      <c r="H143" s="695"/>
      <c r="I143" s="289">
        <f>I142-SUM($D143:F143)</f>
        <v>0</v>
      </c>
      <c r="J143" s="1237" t="str">
        <f>$J$10</f>
        <v>% Mort/Sel Acm Tab :</v>
      </c>
      <c r="K143" s="1238">
        <f>IFERROR(LOOKUP($A138,TP!$A$6:$A$108,GSh!$AR$6:$AR$108)/100,0)</f>
        <v>0</v>
      </c>
      <c r="L143" s="1246"/>
      <c r="M143" s="291">
        <f t="shared" si="84"/>
        <v>0</v>
      </c>
      <c r="N143" s="292" t="str">
        <f>$N$10</f>
        <v xml:space="preserve">Uniformidad (C. Lote) : </v>
      </c>
      <c r="O143" s="320">
        <f>LOOKUP($A138,'Pr-Sem'!$A$6:$A$108,'Pr-Sem'!$AG$6:$AG$108)</f>
        <v>0</v>
      </c>
      <c r="P143" s="320">
        <v>90</v>
      </c>
      <c r="Q143" s="321">
        <f>IF(AND(P143&gt;0,O143&gt;0),(O143/P143-1)*100,0)</f>
        <v>0</v>
      </c>
      <c r="R143" s="699"/>
      <c r="S143" s="762"/>
      <c r="T143" s="765">
        <f t="shared" si="86"/>
        <v>0</v>
      </c>
      <c r="U143" s="700"/>
      <c r="V143" s="701"/>
      <c r="W143" s="701"/>
      <c r="X143" s="295">
        <f t="shared" si="81"/>
        <v>0</v>
      </c>
      <c r="Y143" s="296">
        <f>IF(AA143&gt;0,V143,AE138/IF(Iniciar!$C$25="B X 40 K",40,IF(Iniciar!$C$25="B X 50 K",50,1))*I143/1000)</f>
        <v>0</v>
      </c>
      <c r="Z143" s="296">
        <f t="shared" si="82"/>
        <v>0</v>
      </c>
      <c r="AA143" s="297">
        <f t="shared" si="85"/>
        <v>0</v>
      </c>
      <c r="AB143" s="297">
        <f t="shared" si="76"/>
        <v>0</v>
      </c>
      <c r="AC143" s="2037" t="str">
        <f>$AC$10</f>
        <v xml:space="preserve">Cons ml /ave día: </v>
      </c>
      <c r="AD143" s="2038"/>
      <c r="AE143" s="2056">
        <f>IFERROR(SUMPRODUCT(AB138:AB144,I138:I144)/SUM(I138:I144),0)</f>
        <v>0</v>
      </c>
      <c r="AF143" s="2057"/>
      <c r="AG143" s="311" t="str">
        <f>CONCATENATE("Costo ",Iniciar!$C$25," : ")</f>
        <v xml:space="preserve">Costo Kilos : </v>
      </c>
      <c r="AH143" s="2043">
        <f>IFERROR(SUMPRODUCT(T138:T144,V138:V144)/SUMIF(T138:T144,"&gt;0",V138:V144),0)</f>
        <v>0</v>
      </c>
      <c r="AI143" s="2043"/>
      <c r="AJ143" s="313"/>
      <c r="AK143" s="2027"/>
      <c r="AL143" s="1284">
        <f t="shared" si="77"/>
        <v>0</v>
      </c>
      <c r="AM143" s="1285"/>
      <c r="AN143" s="1285"/>
      <c r="AO143" s="1285"/>
      <c r="AP143" s="1285"/>
      <c r="AQ143" s="1285"/>
      <c r="AR143" s="1285"/>
      <c r="AS143" s="1286"/>
      <c r="AT143" s="1287"/>
      <c r="AU143" s="1288"/>
      <c r="AV143" s="1289"/>
      <c r="AW143" s="1290"/>
      <c r="AX143" s="1291"/>
      <c r="AY143" s="1291"/>
      <c r="AZ143" s="1292"/>
      <c r="BA143" s="1293"/>
      <c r="BB143" s="1294"/>
      <c r="BC143" s="1295"/>
      <c r="BD143" s="1296">
        <f>BD142+PROD!L143-BA143</f>
        <v>0</v>
      </c>
      <c r="BE143" s="2133"/>
      <c r="BF143" s="507" t="e">
        <f t="shared" si="78"/>
        <v>#VALUE!</v>
      </c>
      <c r="BG143" s="329"/>
      <c r="BH143" s="1018">
        <f t="shared" si="79"/>
        <v>0</v>
      </c>
    </row>
    <row r="144" spans="1:60" ht="15" customHeight="1" x14ac:dyDescent="0.3">
      <c r="A144" s="2034"/>
      <c r="B144" s="287" t="str">
        <f t="shared" si="80"/>
        <v/>
      </c>
      <c r="C144" s="288" t="str">
        <f t="shared" si="75"/>
        <v/>
      </c>
      <c r="D144" s="691"/>
      <c r="E144" s="692"/>
      <c r="F144" s="693"/>
      <c r="G144" s="694"/>
      <c r="H144" s="695"/>
      <c r="I144" s="289">
        <f>I143-SUM($D144:F144)</f>
        <v>0</v>
      </c>
      <c r="J144" s="1239" t="str">
        <f>$J$11</f>
        <v>% Viabilidad :</v>
      </c>
      <c r="K144" s="1240">
        <f>IF(OR(SUM(L138:L144)&gt;0,SUM(V138:V144)&gt;0),1-(K141+K142),0)</f>
        <v>0</v>
      </c>
      <c r="L144" s="1247"/>
      <c r="M144" s="1248">
        <f>IF(I144&gt;0,(L144/IF(SUM(L138:L143)&gt;0,1,7))/I144,0)</f>
        <v>0</v>
      </c>
      <c r="N144" s="1249" t="str">
        <f>$N$11</f>
        <v xml:space="preserve">Uniformidad (10% +) : </v>
      </c>
      <c r="O144" s="1250">
        <f>IF(O142&gt;0,IF(O143&gt;0,100-SUM(O142:O143),0),0)</f>
        <v>0</v>
      </c>
      <c r="P144" s="1251">
        <f>100-SUM(P142:P143)</f>
        <v>5</v>
      </c>
      <c r="Q144" s="1252">
        <f>IF(AND(P144&gt;0,O144&gt;0),(O144/P144-1)*100,0)</f>
        <v>0</v>
      </c>
      <c r="R144" s="699"/>
      <c r="S144" s="762"/>
      <c r="T144" s="765">
        <f t="shared" si="86"/>
        <v>0</v>
      </c>
      <c r="U144" s="700"/>
      <c r="V144" s="701"/>
      <c r="W144" s="701"/>
      <c r="X144" s="295">
        <f t="shared" si="81"/>
        <v>0</v>
      </c>
      <c r="Y144" s="296">
        <f>IF(AA144&gt;0,V144,AE138/IF(Iniciar!$C$25="B X 40 K",40,IF(Iniciar!$C$25="B X 50 K",50,1))*I144/1000)</f>
        <v>0</v>
      </c>
      <c r="Z144" s="296">
        <f t="shared" si="82"/>
        <v>0</v>
      </c>
      <c r="AA144" s="297">
        <f>IF(I144&gt;0,(V144/IF(SUM(V138:V143)&gt;0,1,7))*$A$1/I144,0)</f>
        <v>0</v>
      </c>
      <c r="AB144" s="297">
        <f t="shared" si="76"/>
        <v>0</v>
      </c>
      <c r="AC144" s="2039" t="str">
        <f>$AC$11</f>
        <v xml:space="preserve">Relación Agua /Alimto: </v>
      </c>
      <c r="AD144" s="2040"/>
      <c r="AE144" s="2058">
        <f>IFERROR(AE143/AD138,0)</f>
        <v>0</v>
      </c>
      <c r="AF144" s="2059"/>
      <c r="AG144" s="1269" t="s">
        <v>237</v>
      </c>
      <c r="AH144" s="1270">
        <f>IF(SUM(L138:L144)&gt;0,AH143*SUM(V138:V144)/SUM(L138:L144),0)</f>
        <v>0</v>
      </c>
      <c r="AI144" s="1270">
        <f>IF(AND($A$1&gt;0,P138&gt;0),AH143/$A$1*(AE138/P138)*100,0)</f>
        <v>0</v>
      </c>
      <c r="AJ144" s="1271">
        <f t="shared" ref="AJ144:AJ149" si="87">IF(AND(AI144&gt;0,AH144&gt;0),(AH144/AI144-1)*100,0)</f>
        <v>0</v>
      </c>
      <c r="AK144" s="2028"/>
      <c r="AL144" s="1284">
        <f t="shared" si="77"/>
        <v>0</v>
      </c>
      <c r="AM144" s="1285"/>
      <c r="AN144" s="1285"/>
      <c r="AO144" s="1285"/>
      <c r="AP144" s="1285"/>
      <c r="AQ144" s="1285"/>
      <c r="AR144" s="1285"/>
      <c r="AS144" s="1286"/>
      <c r="AT144" s="1287"/>
      <c r="AU144" s="1288"/>
      <c r="AV144" s="1289"/>
      <c r="AW144" s="1290"/>
      <c r="AX144" s="1291"/>
      <c r="AY144" s="1291"/>
      <c r="AZ144" s="1292"/>
      <c r="BA144" s="1293"/>
      <c r="BB144" s="1294"/>
      <c r="BC144" s="1295"/>
      <c r="BD144" s="1296">
        <f>BD143+PROD!L144-BA144</f>
        <v>0</v>
      </c>
      <c r="BE144" s="2134"/>
      <c r="BF144" s="507" t="e">
        <f t="shared" si="78"/>
        <v>#VALUE!</v>
      </c>
      <c r="BG144" s="329"/>
      <c r="BH144" s="1018">
        <f t="shared" si="79"/>
        <v>0</v>
      </c>
    </row>
    <row r="145" spans="1:60" ht="15" customHeight="1" x14ac:dyDescent="0.3">
      <c r="A145" s="2032">
        <f>A138+1</f>
        <v>38</v>
      </c>
      <c r="B145" s="287" t="str">
        <f t="shared" si="80"/>
        <v/>
      </c>
      <c r="C145" s="288" t="str">
        <f t="shared" si="75"/>
        <v/>
      </c>
      <c r="D145" s="691"/>
      <c r="E145" s="692"/>
      <c r="F145" s="693"/>
      <c r="G145" s="694"/>
      <c r="H145" s="695"/>
      <c r="I145" s="289">
        <f>I144-SUM($D145:F145)</f>
        <v>0</v>
      </c>
      <c r="J145" s="1232" t="str">
        <f>$J$5</f>
        <v>% Mort Sem :</v>
      </c>
      <c r="K145" s="1233">
        <f>IF(PROD!$K$2&gt;0,SUM(D145:D151)/PROD!$K$2,0)</f>
        <v>0</v>
      </c>
      <c r="L145" s="1241"/>
      <c r="M145" s="1242">
        <f t="shared" ref="M145:M150" si="88">IF(I145&gt;0,L145/I145,0)</f>
        <v>0</v>
      </c>
      <c r="N145" s="1243" t="str">
        <f>$N$5</f>
        <v xml:space="preserve">% Pdn prom semana : </v>
      </c>
      <c r="O145" s="1244">
        <f>IF(SUM(L145:L150)&gt;0,100*SUMPRODUCT(M145:M151,I145:I151)/SUMIF(L145:L151,"&gt;0",I145:I151),IF(L151&gt;0,100*L151/7/I151,0))</f>
        <v>0</v>
      </c>
      <c r="P145" s="1244">
        <f>IFERROR(LOOKUP($A145,TP!$A$6:$A$108,GSh!$AE$6:$AE$108),0)</f>
        <v>0</v>
      </c>
      <c r="Q145" s="1245">
        <f>IF(AND(P145&gt;0,O145&gt;0),O145-P145,0)</f>
        <v>0</v>
      </c>
      <c r="R145" s="699"/>
      <c r="S145" s="762"/>
      <c r="T145" s="765">
        <f t="shared" si="86"/>
        <v>0</v>
      </c>
      <c r="U145" s="700"/>
      <c r="V145" s="701"/>
      <c r="W145" s="701"/>
      <c r="X145" s="295">
        <f t="shared" si="81"/>
        <v>0</v>
      </c>
      <c r="Y145" s="296">
        <f>IF(AA145&gt;0,V145,AE145/IF(Iniciar!$C$25="B X 40 K",40,IF(Iniciar!$C$25="B X 50 K",50,1))*I145/1000)</f>
        <v>0</v>
      </c>
      <c r="Z145" s="296">
        <f t="shared" si="82"/>
        <v>0</v>
      </c>
      <c r="AA145" s="297">
        <f t="shared" ref="AA145:AA150" si="89">IF(I145&gt;0,V145*$A$1/I145,0)</f>
        <v>0</v>
      </c>
      <c r="AB145" s="297">
        <f t="shared" si="76"/>
        <v>0</v>
      </c>
      <c r="AC145" s="1261" t="str">
        <f>$AC$5</f>
        <v>Gr. Ave Dia :</v>
      </c>
      <c r="AD145" s="1262">
        <f>IF(SUMIF(V145:V151,"&gt;0")&gt;0,SUMPRODUCT(AA145:AA151,I145:I151)/SUMIF(AA145:AA151,"&gt;0",I145:I151),0)</f>
        <v>0</v>
      </c>
      <c r="AE145" s="1262">
        <f>IFERROR(LOOKUP($A145,TP!$A$6:$A$108,GSh!$AU$6:$AU$108),0)</f>
        <v>0</v>
      </c>
      <c r="AF145" s="1263">
        <f>IF(AND(AE145&gt;0,AD145&gt;0),(AD145/AE145-1)*100,0)</f>
        <v>0</v>
      </c>
      <c r="AG145" s="1264" t="str">
        <f>PROD!$AG$5</f>
        <v>Gr X H</v>
      </c>
      <c r="AH145" s="1265">
        <f>IF(PROD!O145&gt;0,IF($AG145="Gr X H",PROD!AD145/PROD!O145*100,IF($AG145="Conv Kg/Doc",PROD!AD145/PROD!O145*1.2,IF(PROD!$O147&gt;0,PROD!AD145/(PROD!O145*PROD!$O147)*100,0))),0)</f>
        <v>0</v>
      </c>
      <c r="AI145" s="1265">
        <f>IF(PROD!P145&gt;0,IF($AG145="Gr X H",PROD!AE145/PROD!P145*100,IF($AG145="Conv Kg/Doc",PROD!AE145/PROD!P145*1.2,IF(PROD!$P147&gt;0,PROD!AE145/(PROD!P145*PROD!$P147)*100,0))),0)</f>
        <v>0</v>
      </c>
      <c r="AJ145" s="1266">
        <f t="shared" si="87"/>
        <v>0</v>
      </c>
      <c r="AK145" s="2026"/>
      <c r="AL145" s="1284">
        <f t="shared" si="77"/>
        <v>0</v>
      </c>
      <c r="AM145" s="1285"/>
      <c r="AN145" s="1285"/>
      <c r="AO145" s="1285"/>
      <c r="AP145" s="1285"/>
      <c r="AQ145" s="1285"/>
      <c r="AR145" s="1285"/>
      <c r="AS145" s="1286"/>
      <c r="AT145" s="1287"/>
      <c r="AU145" s="1288"/>
      <c r="AV145" s="1289"/>
      <c r="AW145" s="1290"/>
      <c r="AX145" s="1291"/>
      <c r="AY145" s="1291"/>
      <c r="AZ145" s="1292"/>
      <c r="BA145" s="1293"/>
      <c r="BB145" s="1294"/>
      <c r="BC145" s="1295"/>
      <c r="BD145" s="1296">
        <f>BD144+PROD!L145-BA145</f>
        <v>0</v>
      </c>
      <c r="BE145" s="2132">
        <f>IF(SUM(AM145:AZ151)&gt;0,(SUM(AM145:AM151)*$AM$2+SUM(AN145:AN151)*$AN$2+SUM(AO145:AO151)*$AO$2+SUM(AP145:AP151)*$AP$2+SUM(AQ145:AQ151)*$AQ$2+SUM(AR145:AR151)*$AR$2+SUM(AS145:AS151)*$AS$2+SUM(AW145:AW151)*$AW$2+SUM(AX145:AX151)*$AX$2+SUM(AY145:AY151)*$AY$2+SUM(AZ145:AZ151)*$AZ$2+SUM(AT145:AT151)*$AT$2+SUM(AU145:AU151)*$AU$2+SUM(AV145:AV151)*$AV$2)/SUM(AM145:AZ151),0)</f>
        <v>0</v>
      </c>
      <c r="BF145" s="507" t="e">
        <f t="shared" si="78"/>
        <v>#VALUE!</v>
      </c>
      <c r="BG145" s="277">
        <f>IF(SUM(L145:L151)&gt;0,A145,IF(SUM(V145:V151)&gt;0,A145,BG138))</f>
        <v>0</v>
      </c>
      <c r="BH145" s="1018">
        <f t="shared" si="79"/>
        <v>0</v>
      </c>
    </row>
    <row r="146" spans="1:60" ht="15" customHeight="1" x14ac:dyDescent="0.3">
      <c r="A146" s="2033"/>
      <c r="B146" s="287" t="str">
        <f t="shared" si="80"/>
        <v/>
      </c>
      <c r="C146" s="288" t="str">
        <f t="shared" si="75"/>
        <v/>
      </c>
      <c r="D146" s="691"/>
      <c r="E146" s="692"/>
      <c r="F146" s="693"/>
      <c r="G146" s="694"/>
      <c r="H146" s="695"/>
      <c r="I146" s="289">
        <f>I145-SUM($D146:F146)</f>
        <v>0</v>
      </c>
      <c r="J146" s="1234" t="str">
        <f>$J$6</f>
        <v>% Sel Sem :</v>
      </c>
      <c r="K146" s="1231">
        <f>IF(PROD!$K$2&gt;0,SUM(E145:E151)/PROD!$K$2,0)</f>
        <v>0</v>
      </c>
      <c r="L146" s="1246"/>
      <c r="M146" s="291">
        <f t="shared" si="88"/>
        <v>0</v>
      </c>
      <c r="N146" s="292" t="str">
        <f>$N$6</f>
        <v xml:space="preserve">H. Ave Alojada : </v>
      </c>
      <c r="O146" s="293">
        <f>IF(AND(PROD!$K$2&gt;0,O145&gt;0),SUM(L$5:L151)/PROD!$K$2,0)</f>
        <v>0</v>
      </c>
      <c r="P146" s="293">
        <f>IFERROR(LOOKUP($A145,TP!$A$6:$A$108,GSh!$AJ$6:$AJ$108),0)</f>
        <v>0</v>
      </c>
      <c r="Q146" s="294">
        <f>IF(AND(P146&gt;0,O146&gt;0),O146-P146,0)</f>
        <v>0</v>
      </c>
      <c r="R146" s="699"/>
      <c r="S146" s="762"/>
      <c r="T146" s="765">
        <f t="shared" si="86"/>
        <v>0</v>
      </c>
      <c r="U146" s="700"/>
      <c r="V146" s="701"/>
      <c r="W146" s="701"/>
      <c r="X146" s="295">
        <f t="shared" si="81"/>
        <v>0</v>
      </c>
      <c r="Y146" s="296">
        <f>IF(AA146&gt;0,V146,AE145/IF(Iniciar!$C$25="B X 40 K",40,IF(Iniciar!$C$25="B X 50 K",50,1))*I146/1000)</f>
        <v>0</v>
      </c>
      <c r="Z146" s="296">
        <f t="shared" si="82"/>
        <v>0</v>
      </c>
      <c r="AA146" s="297">
        <f t="shared" si="89"/>
        <v>0</v>
      </c>
      <c r="AB146" s="297">
        <f t="shared" si="76"/>
        <v>0</v>
      </c>
      <c r="AC146" s="1267" t="str">
        <f>$AC$6</f>
        <v>Gr. Ave Sem :</v>
      </c>
      <c r="AD146" s="284">
        <f>AD145*7</f>
        <v>0</v>
      </c>
      <c r="AE146" s="284">
        <f>AE145*7</f>
        <v>0</v>
      </c>
      <c r="AF146" s="285">
        <f>IF(AND(AE146&gt;0,AD146&gt;0),(AD146/AE146-1)*100,0)</f>
        <v>0</v>
      </c>
      <c r="AG146" s="1199" t="str">
        <f>PROD!$AG$6</f>
        <v>Gr X H Acm</v>
      </c>
      <c r="AH146" s="298">
        <f>IF(SUM(PROD!L145:L151)&gt;0,IF(PROD!$AG$5="Gr X H",SUM(PROD!V$5:V151)*PROD!$A$1/SUM(PROD!L$5:L151),IF($AG145="Conv Kg/Doc",(SUM(PROD!V$5:V151)*PROD!$A$1/1000)/(SUM(PROD!L$5:L151)/12),IF(PROD!$O147&gt;0,SUM(PROD!V$5:V151)*PROD!$A$1/(SUM(PROD!L$5:L151)*LOOKUP(PROD!A145,TP!$A$6:$A$108,GSh!$BB$6:$BB$108)),0))),0)</f>
        <v>0</v>
      </c>
      <c r="AI146" s="298">
        <f>IF(PROD!P145&gt;0,IF($AG145="Gr X H",PROD!AE145/PROD!P145*100,IF($AG145="Conv Kg/Doc",PROD!AE145/PROD!P145*1.2,IF(PROD!$P146&gt;0,PROD!AE147/(PROD!P146*LOOKUP(PROD!$A145,TP!$A$6:$A$108,GSh!$BC$6:$BC$108)/1000),0))),0)</f>
        <v>0</v>
      </c>
      <c r="AJ146" s="328">
        <f t="shared" si="87"/>
        <v>0</v>
      </c>
      <c r="AK146" s="2027"/>
      <c r="AL146" s="1284">
        <f t="shared" si="77"/>
        <v>0</v>
      </c>
      <c r="AM146" s="1285"/>
      <c r="AN146" s="1285"/>
      <c r="AO146" s="1285"/>
      <c r="AP146" s="1285"/>
      <c r="AQ146" s="1285"/>
      <c r="AR146" s="1285"/>
      <c r="AS146" s="1286"/>
      <c r="AT146" s="1287"/>
      <c r="AU146" s="1288"/>
      <c r="AV146" s="1289"/>
      <c r="AW146" s="1290"/>
      <c r="AX146" s="1291"/>
      <c r="AY146" s="1291"/>
      <c r="AZ146" s="1292"/>
      <c r="BA146" s="1293"/>
      <c r="BB146" s="1294"/>
      <c r="BC146" s="1295"/>
      <c r="BD146" s="1296">
        <f>BD145+PROD!L146-BA146</f>
        <v>0</v>
      </c>
      <c r="BE146" s="2133"/>
      <c r="BF146" s="507" t="e">
        <f t="shared" si="78"/>
        <v>#VALUE!</v>
      </c>
      <c r="BG146" s="329"/>
      <c r="BH146" s="1018">
        <f t="shared" si="79"/>
        <v>0</v>
      </c>
    </row>
    <row r="147" spans="1:60" ht="15" customHeight="1" x14ac:dyDescent="0.3">
      <c r="A147" s="2033"/>
      <c r="B147" s="287" t="str">
        <f t="shared" si="80"/>
        <v/>
      </c>
      <c r="C147" s="288" t="str">
        <f t="shared" si="75"/>
        <v/>
      </c>
      <c r="D147" s="691"/>
      <c r="E147" s="692"/>
      <c r="F147" s="693"/>
      <c r="G147" s="694"/>
      <c r="H147" s="695"/>
      <c r="I147" s="289">
        <f>I146-SUM($D147:F147)</f>
        <v>0</v>
      </c>
      <c r="J147" s="1235" t="str">
        <f>$J$7</f>
        <v>% Mort/Sel Sem Tab :</v>
      </c>
      <c r="K147" s="1236">
        <f>K150-K143</f>
        <v>0</v>
      </c>
      <c r="L147" s="1246"/>
      <c r="M147" s="291">
        <f t="shared" si="88"/>
        <v>0</v>
      </c>
      <c r="N147" s="304" t="str">
        <f>$N$7</f>
        <v xml:space="preserve">Peso Huevo (Gr) : </v>
      </c>
      <c r="O147" s="305">
        <f>LOOKUP($A145,'Pr-Sem'!$A$6:$A$108,'Pr-Sem'!$Z$6:$Z$108)</f>
        <v>0</v>
      </c>
      <c r="P147" s="305">
        <f>IFERROR(LOOKUP($A145,TP!$A$6:$A$108,GSh!$AZ$6:$AZ$108),0)</f>
        <v>0</v>
      </c>
      <c r="Q147" s="306">
        <f>IF(AND(P147&gt;0,O147&gt;0),O147-P147,0)</f>
        <v>0</v>
      </c>
      <c r="R147" s="699"/>
      <c r="S147" s="762"/>
      <c r="T147" s="765">
        <f t="shared" si="86"/>
        <v>0</v>
      </c>
      <c r="U147" s="700"/>
      <c r="V147" s="701"/>
      <c r="W147" s="701"/>
      <c r="X147" s="295">
        <f t="shared" si="81"/>
        <v>0</v>
      </c>
      <c r="Y147" s="296">
        <f>IF(AA147&gt;0,V147,AE145/IF(Iniciar!$C$25="B X 40 K",40,IF(Iniciar!$C$25="B X 50 K",50,1))*I147/1000)</f>
        <v>0</v>
      </c>
      <c r="Z147" s="296">
        <f t="shared" si="82"/>
        <v>0</v>
      </c>
      <c r="AA147" s="297">
        <f t="shared" si="89"/>
        <v>0</v>
      </c>
      <c r="AB147" s="297">
        <f t="shared" si="76"/>
        <v>0</v>
      </c>
      <c r="AC147" s="1268" t="str">
        <f>$AC$7</f>
        <v>Kg Ave Acu :</v>
      </c>
      <c r="AD147" s="308">
        <f>IF(OR(SUM(L145:L151)&gt;0,SUM(V145:V151)&gt;0),AD146/1000+AD140,0)</f>
        <v>0</v>
      </c>
      <c r="AE147" s="309">
        <f>AE146/1000+AE140</f>
        <v>0</v>
      </c>
      <c r="AF147" s="310">
        <f>IF(AND(AE147&gt;0,AD147&gt;0),(AD147/AE147-1)*100,0)</f>
        <v>0</v>
      </c>
      <c r="AG147" s="311" t="str">
        <f>PROD!$AG$7</f>
        <v xml:space="preserve">Masa Sem H (Gr) : </v>
      </c>
      <c r="AH147" s="312">
        <f>PROD!O145/100*7*PROD!O147</f>
        <v>0</v>
      </c>
      <c r="AI147" s="312">
        <f>PROD!P145/100*7*PROD!P147</f>
        <v>0</v>
      </c>
      <c r="AJ147" s="313">
        <f t="shared" si="87"/>
        <v>0</v>
      </c>
      <c r="AK147" s="2027"/>
      <c r="AL147" s="1284">
        <f t="shared" si="77"/>
        <v>0</v>
      </c>
      <c r="AM147" s="1285"/>
      <c r="AN147" s="1285"/>
      <c r="AO147" s="1285"/>
      <c r="AP147" s="1285"/>
      <c r="AQ147" s="1285"/>
      <c r="AR147" s="1285"/>
      <c r="AS147" s="1286"/>
      <c r="AT147" s="1287"/>
      <c r="AU147" s="1288"/>
      <c r="AV147" s="1289"/>
      <c r="AW147" s="1290"/>
      <c r="AX147" s="1291"/>
      <c r="AY147" s="1291"/>
      <c r="AZ147" s="1292"/>
      <c r="BA147" s="1293"/>
      <c r="BB147" s="1294"/>
      <c r="BC147" s="1295"/>
      <c r="BD147" s="1296">
        <f>BD146+PROD!L147-BA147</f>
        <v>0</v>
      </c>
      <c r="BE147" s="2133"/>
      <c r="BF147" s="507" t="e">
        <f t="shared" si="78"/>
        <v>#VALUE!</v>
      </c>
      <c r="BG147" s="329"/>
      <c r="BH147" s="1018">
        <f t="shared" si="79"/>
        <v>0</v>
      </c>
    </row>
    <row r="148" spans="1:60" ht="15" customHeight="1" x14ac:dyDescent="0.3">
      <c r="A148" s="2033"/>
      <c r="B148" s="287" t="str">
        <f t="shared" si="80"/>
        <v/>
      </c>
      <c r="C148" s="288" t="str">
        <f t="shared" si="75"/>
        <v/>
      </c>
      <c r="D148" s="691"/>
      <c r="E148" s="692"/>
      <c r="F148" s="693"/>
      <c r="G148" s="694"/>
      <c r="H148" s="695"/>
      <c r="I148" s="289">
        <f>I147-SUM($D148:F148)</f>
        <v>0</v>
      </c>
      <c r="J148" s="1234" t="str">
        <f>$J$8</f>
        <v>% Mort Acm :</v>
      </c>
      <c r="K148" s="1231">
        <f>IF(PROD!$K$2&gt;0,SUM(D$5:D151)/PROD!$K$2,0)</f>
        <v>0</v>
      </c>
      <c r="L148" s="1246"/>
      <c r="M148" s="291">
        <f t="shared" si="88"/>
        <v>0</v>
      </c>
      <c r="N148" s="314" t="str">
        <f>N$8</f>
        <v xml:space="preserve">Peso Ave (Gr) : </v>
      </c>
      <c r="O148" s="315">
        <f>LOOKUP($A145,GSh!$BV$6:$BV$108,GSh!$BJ$6:$BJ$108)</f>
        <v>0</v>
      </c>
      <c r="P148" s="315">
        <f>IFERROR(LOOKUP($A145,TP!$A$6:$A$108,GSh!$BK$6:$BK$108),0)</f>
        <v>0</v>
      </c>
      <c r="Q148" s="316">
        <f>IF(AND(P148&gt;0,O148&gt;0),(O148/P148-1)*100,0)</f>
        <v>0</v>
      </c>
      <c r="R148" s="699"/>
      <c r="S148" s="762"/>
      <c r="T148" s="765">
        <f t="shared" si="86"/>
        <v>0</v>
      </c>
      <c r="U148" s="700"/>
      <c r="V148" s="701"/>
      <c r="W148" s="701"/>
      <c r="X148" s="295">
        <f t="shared" si="81"/>
        <v>0</v>
      </c>
      <c r="Y148" s="296">
        <f>IF(AA148&gt;0,V148,AE145/IF(Iniciar!$C$25="B X 40 K",40,IF(Iniciar!$C$25="B X 50 K",50,1))*I148/1000)</f>
        <v>0</v>
      </c>
      <c r="Z148" s="296">
        <f t="shared" si="82"/>
        <v>0</v>
      </c>
      <c r="AA148" s="297">
        <f t="shared" si="89"/>
        <v>0</v>
      </c>
      <c r="AB148" s="297">
        <f t="shared" si="76"/>
        <v>0</v>
      </c>
      <c r="AC148" s="541" t="str">
        <f>$AC$8</f>
        <v xml:space="preserve">Ton. Lote Acu : </v>
      </c>
      <c r="AD148" s="544">
        <f>SUM($V$5:$V151)*$A$1/1000000</f>
        <v>0</v>
      </c>
      <c r="AE148" s="543">
        <f>AE141+(AE145/1000000*7*(I145+I151)/2)</f>
        <v>0</v>
      </c>
      <c r="AF148" s="542">
        <f>IF(AND(AE148&gt;0,AD148&gt;0),(AD148/AE148-1)*100,0)</f>
        <v>0</v>
      </c>
      <c r="AG148" s="317" t="str">
        <f>PROD!$AG$8</f>
        <v xml:space="preserve">Masa Ac A. A (Kg) : </v>
      </c>
      <c r="AH148" s="318">
        <f>IF(PROD!$K$2&gt;0,SUM(PROD!L$5:L151)*LOOKUP(PROD!$A145,TP!$A$6:$A$108,GSh!$BB$6:$BB$108)/1000/PROD!$K$2,0)</f>
        <v>0</v>
      </c>
      <c r="AI148" s="318">
        <f>IFERROR(PROD!P146*LOOKUP(PROD!$A145,TP!$A$6:$A$108,GSh!$BC$6:$BC$108)/1000,0)</f>
        <v>0</v>
      </c>
      <c r="AJ148" s="330">
        <f t="shared" si="87"/>
        <v>0</v>
      </c>
      <c r="AK148" s="2027"/>
      <c r="AL148" s="1284">
        <f t="shared" si="77"/>
        <v>0</v>
      </c>
      <c r="AM148" s="1285"/>
      <c r="AN148" s="1285"/>
      <c r="AO148" s="1285"/>
      <c r="AP148" s="1285"/>
      <c r="AQ148" s="1285"/>
      <c r="AR148" s="1285"/>
      <c r="AS148" s="1286"/>
      <c r="AT148" s="1287"/>
      <c r="AU148" s="1288"/>
      <c r="AV148" s="1289"/>
      <c r="AW148" s="1290"/>
      <c r="AX148" s="1291"/>
      <c r="AY148" s="1291"/>
      <c r="AZ148" s="1292"/>
      <c r="BA148" s="1293"/>
      <c r="BB148" s="1294"/>
      <c r="BC148" s="1295"/>
      <c r="BD148" s="1296">
        <f>BD147+PROD!L148-BA148</f>
        <v>0</v>
      </c>
      <c r="BE148" s="2133"/>
      <c r="BF148" s="507" t="e">
        <f t="shared" si="78"/>
        <v>#VALUE!</v>
      </c>
      <c r="BG148" s="329"/>
      <c r="BH148" s="1018">
        <f t="shared" si="79"/>
        <v>0</v>
      </c>
    </row>
    <row r="149" spans="1:60" ht="15" customHeight="1" x14ac:dyDescent="0.3">
      <c r="A149" s="2033"/>
      <c r="B149" s="287" t="str">
        <f t="shared" si="80"/>
        <v/>
      </c>
      <c r="C149" s="288" t="str">
        <f t="shared" si="75"/>
        <v/>
      </c>
      <c r="D149" s="691"/>
      <c r="E149" s="692"/>
      <c r="F149" s="693"/>
      <c r="G149" s="694"/>
      <c r="H149" s="695"/>
      <c r="I149" s="289">
        <f>I148-SUM($D149:F149)</f>
        <v>0</v>
      </c>
      <c r="J149" s="1234" t="str">
        <f>$J$9</f>
        <v>% Sel Acm :</v>
      </c>
      <c r="K149" s="1231">
        <f>IF(PROD!$K$2&gt;0,SUM(E$5:E151)/PROD!$K$2,0)</f>
        <v>0</v>
      </c>
      <c r="L149" s="1246"/>
      <c r="M149" s="291">
        <f t="shared" si="88"/>
        <v>0</v>
      </c>
      <c r="N149" s="292" t="str">
        <f>$N$9</f>
        <v xml:space="preserve">Uniformidad (10% -) : </v>
      </c>
      <c r="O149" s="320">
        <f>LOOKUP($A145,'Pr-Sem'!$A$6:$A$108,'Pr-Sem'!$AH$6:$AH$108)</f>
        <v>0</v>
      </c>
      <c r="P149" s="320">
        <v>5</v>
      </c>
      <c r="Q149" s="321">
        <f>IF(AND(P149&gt;0,O149&gt;0),(1-O149/P149)*100,0)</f>
        <v>0</v>
      </c>
      <c r="R149" s="699"/>
      <c r="S149" s="762"/>
      <c r="T149" s="765">
        <f t="shared" si="86"/>
        <v>0</v>
      </c>
      <c r="U149" s="700"/>
      <c r="V149" s="701"/>
      <c r="W149" s="701"/>
      <c r="X149" s="295">
        <f t="shared" si="81"/>
        <v>0</v>
      </c>
      <c r="Y149" s="296">
        <f>IF(AA149&gt;0,V149,AE145/IF(Iniciar!$C$25="B X 40 K",40,IF(Iniciar!$C$25="B X 50 K",50,1))*I149/1000)</f>
        <v>0</v>
      </c>
      <c r="Z149" s="296">
        <f t="shared" si="82"/>
        <v>0</v>
      </c>
      <c r="AA149" s="297">
        <f t="shared" si="89"/>
        <v>0</v>
      </c>
      <c r="AB149" s="297">
        <f t="shared" si="76"/>
        <v>0</v>
      </c>
      <c r="AC149" s="2035" t="str">
        <f>$AC$9</f>
        <v xml:space="preserve">Total Litros Sem: </v>
      </c>
      <c r="AD149" s="2036"/>
      <c r="AE149" s="2050">
        <f>SUM(R145:R151)</f>
        <v>0</v>
      </c>
      <c r="AF149" s="2051"/>
      <c r="AG149" s="554" t="str">
        <f>$AG$9</f>
        <v xml:space="preserve">Indicador Eficiencia : </v>
      </c>
      <c r="AH149" s="555">
        <f>IF(AND(AE149&gt;0,O146&gt;0,O147&gt;0,SUM(L145:L151)&gt;0),(PROD!AH148/O146)*K151*100/(AE149/(SUM(L145:L151)*O147/1000)),0)</f>
        <v>0</v>
      </c>
      <c r="AI149" s="555">
        <f>IF(AND(P146&gt;0,PROD!AI147&gt;0),(PROD!AI148/P146)*(1-K150)*100/(AE146/PROD!AI147),0)</f>
        <v>0</v>
      </c>
      <c r="AJ149" s="331">
        <f t="shared" si="87"/>
        <v>0</v>
      </c>
      <c r="AK149" s="2027"/>
      <c r="AL149" s="1284">
        <f t="shared" si="77"/>
        <v>0</v>
      </c>
      <c r="AM149" s="1285"/>
      <c r="AN149" s="1285"/>
      <c r="AO149" s="1285"/>
      <c r="AP149" s="1285"/>
      <c r="AQ149" s="1285"/>
      <c r="AR149" s="1285"/>
      <c r="AS149" s="1286"/>
      <c r="AT149" s="1287"/>
      <c r="AU149" s="1288"/>
      <c r="AV149" s="1289"/>
      <c r="AW149" s="1290"/>
      <c r="AX149" s="1291"/>
      <c r="AY149" s="1291"/>
      <c r="AZ149" s="1292"/>
      <c r="BA149" s="1293"/>
      <c r="BB149" s="1294"/>
      <c r="BC149" s="1295"/>
      <c r="BD149" s="1296">
        <f>BD148+PROD!L149-BA149</f>
        <v>0</v>
      </c>
      <c r="BE149" s="2133"/>
      <c r="BF149" s="507" t="e">
        <f t="shared" si="78"/>
        <v>#VALUE!</v>
      </c>
      <c r="BG149" s="329"/>
      <c r="BH149" s="1018">
        <f t="shared" si="79"/>
        <v>0</v>
      </c>
    </row>
    <row r="150" spans="1:60" ht="15" customHeight="1" x14ac:dyDescent="0.3">
      <c r="A150" s="2033"/>
      <c r="B150" s="287" t="str">
        <f t="shared" si="80"/>
        <v/>
      </c>
      <c r="C150" s="288" t="str">
        <f t="shared" si="75"/>
        <v/>
      </c>
      <c r="D150" s="691"/>
      <c r="E150" s="692"/>
      <c r="F150" s="693"/>
      <c r="G150" s="694"/>
      <c r="H150" s="695"/>
      <c r="I150" s="289">
        <f>I149-SUM($D150:F150)</f>
        <v>0</v>
      </c>
      <c r="J150" s="1237" t="str">
        <f>$J$10</f>
        <v>% Mort/Sel Acm Tab :</v>
      </c>
      <c r="K150" s="1238">
        <f>IFERROR(LOOKUP($A145,TP!$A$6:$A$108,GSh!$AR$6:$AR$108)/100,0)</f>
        <v>0</v>
      </c>
      <c r="L150" s="1246"/>
      <c r="M150" s="291">
        <f t="shared" si="88"/>
        <v>0</v>
      </c>
      <c r="N150" s="292" t="str">
        <f>$N$10</f>
        <v xml:space="preserve">Uniformidad (C. Lote) : </v>
      </c>
      <c r="O150" s="320">
        <f>LOOKUP($A145,'Pr-Sem'!$A$6:$A$108,'Pr-Sem'!$AG$6:$AG$108)</f>
        <v>0</v>
      </c>
      <c r="P150" s="320">
        <v>90</v>
      </c>
      <c r="Q150" s="321">
        <f>IF(AND(P150&gt;0,O150&gt;0),(O150/P150-1)*100,0)</f>
        <v>0</v>
      </c>
      <c r="R150" s="699"/>
      <c r="S150" s="762"/>
      <c r="T150" s="765">
        <f t="shared" si="86"/>
        <v>0</v>
      </c>
      <c r="U150" s="700"/>
      <c r="V150" s="701"/>
      <c r="W150" s="701"/>
      <c r="X150" s="295">
        <f t="shared" si="81"/>
        <v>0</v>
      </c>
      <c r="Y150" s="296">
        <f>IF(AA150&gt;0,V150,AE145/IF(Iniciar!$C$25="B X 40 K",40,IF(Iniciar!$C$25="B X 50 K",50,1))*I150/1000)</f>
        <v>0</v>
      </c>
      <c r="Z150" s="296">
        <f t="shared" si="82"/>
        <v>0</v>
      </c>
      <c r="AA150" s="297">
        <f t="shared" si="89"/>
        <v>0</v>
      </c>
      <c r="AB150" s="297">
        <f t="shared" si="76"/>
        <v>0</v>
      </c>
      <c r="AC150" s="2037" t="str">
        <f>$AC$10</f>
        <v xml:space="preserve">Cons ml /ave día: </v>
      </c>
      <c r="AD150" s="2038"/>
      <c r="AE150" s="2056">
        <f>IFERROR(SUMPRODUCT(AB145:AB151,I145:I151)/SUM(I145:I151),0)</f>
        <v>0</v>
      </c>
      <c r="AF150" s="2057"/>
      <c r="AG150" s="311" t="str">
        <f>CONCATENATE("Costo ",Iniciar!$C$25," : ")</f>
        <v xml:space="preserve">Costo Kilos : </v>
      </c>
      <c r="AH150" s="2043">
        <f>IFERROR(SUMPRODUCT(T145:T151,V145:V151)/SUMIF(T145:T151,"&gt;0",V145:V151),0)</f>
        <v>0</v>
      </c>
      <c r="AI150" s="2043"/>
      <c r="AJ150" s="313"/>
      <c r="AK150" s="2027"/>
      <c r="AL150" s="1284">
        <f t="shared" si="77"/>
        <v>0</v>
      </c>
      <c r="AM150" s="1285"/>
      <c r="AN150" s="1285"/>
      <c r="AO150" s="1285"/>
      <c r="AP150" s="1285"/>
      <c r="AQ150" s="1285"/>
      <c r="AR150" s="1285"/>
      <c r="AS150" s="1286"/>
      <c r="AT150" s="1287"/>
      <c r="AU150" s="1288"/>
      <c r="AV150" s="1289"/>
      <c r="AW150" s="1290"/>
      <c r="AX150" s="1291"/>
      <c r="AY150" s="1291"/>
      <c r="AZ150" s="1292"/>
      <c r="BA150" s="1293"/>
      <c r="BB150" s="1294"/>
      <c r="BC150" s="1295"/>
      <c r="BD150" s="1296">
        <f>BD149+PROD!L150-BA150</f>
        <v>0</v>
      </c>
      <c r="BE150" s="2133"/>
      <c r="BF150" s="507" t="e">
        <f t="shared" si="78"/>
        <v>#VALUE!</v>
      </c>
      <c r="BG150" s="329"/>
      <c r="BH150" s="1018">
        <f t="shared" si="79"/>
        <v>0</v>
      </c>
    </row>
    <row r="151" spans="1:60" ht="15" customHeight="1" x14ac:dyDescent="0.3">
      <c r="A151" s="2034"/>
      <c r="B151" s="287" t="str">
        <f t="shared" si="80"/>
        <v/>
      </c>
      <c r="C151" s="288" t="str">
        <f t="shared" si="75"/>
        <v/>
      </c>
      <c r="D151" s="691"/>
      <c r="E151" s="692"/>
      <c r="F151" s="693"/>
      <c r="G151" s="694"/>
      <c r="H151" s="695"/>
      <c r="I151" s="289">
        <f>I150-SUM($D151:F151)</f>
        <v>0</v>
      </c>
      <c r="J151" s="1239" t="str">
        <f>$J$11</f>
        <v>% Viabilidad :</v>
      </c>
      <c r="K151" s="1240">
        <f>IF(OR(SUM(L145:L151)&gt;0,SUM(V145:V151)&gt;0),1-(K148+K149),0)</f>
        <v>0</v>
      </c>
      <c r="L151" s="1247"/>
      <c r="M151" s="1248">
        <f>IF(I151&gt;0,(L151/IF(SUM(L145:L150)&gt;0,1,7))/I151,0)</f>
        <v>0</v>
      </c>
      <c r="N151" s="1249" t="str">
        <f>$N$11</f>
        <v xml:space="preserve">Uniformidad (10% +) : </v>
      </c>
      <c r="O151" s="1250">
        <f>IF(O149&gt;0,IF(O150&gt;0,100-SUM(O149:O150),0),0)</f>
        <v>0</v>
      </c>
      <c r="P151" s="1251">
        <f>100-SUM(P149:P150)</f>
        <v>5</v>
      </c>
      <c r="Q151" s="1252">
        <f>IF(AND(P151&gt;0,O151&gt;0),(O151/P151-1)*100,0)</f>
        <v>0</v>
      </c>
      <c r="R151" s="699"/>
      <c r="S151" s="762"/>
      <c r="T151" s="765">
        <f t="shared" si="86"/>
        <v>0</v>
      </c>
      <c r="U151" s="700"/>
      <c r="V151" s="701"/>
      <c r="W151" s="701"/>
      <c r="X151" s="295">
        <f t="shared" si="81"/>
        <v>0</v>
      </c>
      <c r="Y151" s="296">
        <f>IF(AA151&gt;0,V151,AE145/IF(Iniciar!$C$25="B X 40 K",40,IF(Iniciar!$C$25="B X 50 K",50,1))*I151/1000)</f>
        <v>0</v>
      </c>
      <c r="Z151" s="296">
        <f t="shared" si="82"/>
        <v>0</v>
      </c>
      <c r="AA151" s="297">
        <f>IF(I151&gt;0,(V151/IF(SUM(V145:V150)&gt;0,1,7))*$A$1/I151,0)</f>
        <v>0</v>
      </c>
      <c r="AB151" s="297">
        <f t="shared" si="76"/>
        <v>0</v>
      </c>
      <c r="AC151" s="2039" t="str">
        <f>$AC$11</f>
        <v xml:space="preserve">Relación Agua /Alimto: </v>
      </c>
      <c r="AD151" s="2040"/>
      <c r="AE151" s="2058">
        <f>IFERROR(AE150/AD145,0)</f>
        <v>0</v>
      </c>
      <c r="AF151" s="2059"/>
      <c r="AG151" s="1269" t="s">
        <v>237</v>
      </c>
      <c r="AH151" s="1270">
        <f>IF(SUM(L145:L151)&gt;0,AH150*SUM(V145:V151)/SUM(L145:L151),0)</f>
        <v>0</v>
      </c>
      <c r="AI151" s="1270">
        <f>IF(AND($A$1&gt;0,P145&gt;0),AH150/$A$1*(AE145/P145)*100,0)</f>
        <v>0</v>
      </c>
      <c r="AJ151" s="1271">
        <f t="shared" ref="AJ151:AJ156" si="90">IF(AND(AI151&gt;0,AH151&gt;0),(AH151/AI151-1)*100,0)</f>
        <v>0</v>
      </c>
      <c r="AK151" s="2028"/>
      <c r="AL151" s="1284">
        <f t="shared" si="77"/>
        <v>0</v>
      </c>
      <c r="AM151" s="1285"/>
      <c r="AN151" s="1285"/>
      <c r="AO151" s="1285"/>
      <c r="AP151" s="1285"/>
      <c r="AQ151" s="1285"/>
      <c r="AR151" s="1285"/>
      <c r="AS151" s="1286"/>
      <c r="AT151" s="1287"/>
      <c r="AU151" s="1288"/>
      <c r="AV151" s="1289"/>
      <c r="AW151" s="1290"/>
      <c r="AX151" s="1291"/>
      <c r="AY151" s="1291"/>
      <c r="AZ151" s="1292"/>
      <c r="BA151" s="1293"/>
      <c r="BB151" s="1294"/>
      <c r="BC151" s="1295"/>
      <c r="BD151" s="1296">
        <f>BD150+PROD!L151-BA151</f>
        <v>0</v>
      </c>
      <c r="BE151" s="2134"/>
      <c r="BF151" s="507" t="e">
        <f t="shared" si="78"/>
        <v>#VALUE!</v>
      </c>
      <c r="BG151" s="329"/>
      <c r="BH151" s="1018">
        <f t="shared" si="79"/>
        <v>0</v>
      </c>
    </row>
    <row r="152" spans="1:60" ht="15" customHeight="1" x14ac:dyDescent="0.3">
      <c r="A152" s="2032">
        <f>A145+1</f>
        <v>39</v>
      </c>
      <c r="B152" s="287" t="str">
        <f t="shared" si="80"/>
        <v/>
      </c>
      <c r="C152" s="288" t="str">
        <f t="shared" si="75"/>
        <v/>
      </c>
      <c r="D152" s="691"/>
      <c r="E152" s="692"/>
      <c r="F152" s="693"/>
      <c r="G152" s="694"/>
      <c r="H152" s="695"/>
      <c r="I152" s="289">
        <f>I151-SUM($D152:F152)</f>
        <v>0</v>
      </c>
      <c r="J152" s="1232" t="str">
        <f>$J$5</f>
        <v>% Mort Sem :</v>
      </c>
      <c r="K152" s="1233">
        <f>IF(PROD!$K$2&gt;0,SUM(D152:D158)/PROD!$K$2,0)</f>
        <v>0</v>
      </c>
      <c r="L152" s="1241"/>
      <c r="M152" s="1242">
        <f t="shared" ref="M152:M157" si="91">IF(I152&gt;0,L152/I152,0)</f>
        <v>0</v>
      </c>
      <c r="N152" s="1243" t="str">
        <f>$N$5</f>
        <v xml:space="preserve">% Pdn prom semana : </v>
      </c>
      <c r="O152" s="1244">
        <f>IF(SUM(L152:L157)&gt;0,100*SUMPRODUCT(M152:M158,I152:I158)/SUMIF(L152:L158,"&gt;0",I152:I158),IF(L158&gt;0,100*L158/7/I158,0))</f>
        <v>0</v>
      </c>
      <c r="P152" s="1244">
        <f>IFERROR(LOOKUP($A152,TP!$A$6:$A$108,GSh!$AE$6:$AE$108),0)</f>
        <v>0</v>
      </c>
      <c r="Q152" s="1245">
        <f>IF(AND(P152&gt;0,O152&gt;0),O152-P152,0)</f>
        <v>0</v>
      </c>
      <c r="R152" s="699"/>
      <c r="S152" s="762"/>
      <c r="T152" s="765">
        <f t="shared" si="86"/>
        <v>0</v>
      </c>
      <c r="U152" s="700"/>
      <c r="V152" s="701"/>
      <c r="W152" s="701"/>
      <c r="X152" s="295">
        <f t="shared" si="81"/>
        <v>0</v>
      </c>
      <c r="Y152" s="296">
        <f>IF(AA152&gt;0,V152,AE152/IF(Iniciar!$C$25="B X 40 K",40,IF(Iniciar!$C$25="B X 50 K",50,1))*I152/1000)</f>
        <v>0</v>
      </c>
      <c r="Z152" s="296">
        <f t="shared" si="82"/>
        <v>0</v>
      </c>
      <c r="AA152" s="297">
        <f t="shared" ref="AA152:AA157" si="92">IF(I152&gt;0,V152*$A$1/I152,0)</f>
        <v>0</v>
      </c>
      <c r="AB152" s="297">
        <f t="shared" si="76"/>
        <v>0</v>
      </c>
      <c r="AC152" s="1261" t="str">
        <f>$AC$5</f>
        <v>Gr. Ave Dia :</v>
      </c>
      <c r="AD152" s="1262">
        <f>IF(SUMIF(V152:V158,"&gt;0")&gt;0,SUMPRODUCT(AA152:AA158,I152:I158)/SUMIF(AA152:AA158,"&gt;0",I152:I158),0)</f>
        <v>0</v>
      </c>
      <c r="AE152" s="1262">
        <f>IFERROR(LOOKUP($A152,TP!$A$6:$A$108,GSh!$AU$6:$AU$108),0)</f>
        <v>0</v>
      </c>
      <c r="AF152" s="1263">
        <f>IF(AND(AE152&gt;0,AD152&gt;0),(AD152/AE152-1)*100,0)</f>
        <v>0</v>
      </c>
      <c r="AG152" s="1264" t="str">
        <f>PROD!$AG$5</f>
        <v>Gr X H</v>
      </c>
      <c r="AH152" s="1265">
        <f>IF(PROD!O152&gt;0,IF($AG152="Gr X H",PROD!AD152/PROD!O152*100,IF($AG152="Conv Kg/Doc",PROD!AD152/PROD!O152*1.2,IF(PROD!$O154&gt;0,PROD!AD152/(PROD!O152*PROD!$O154)*100,0))),0)</f>
        <v>0</v>
      </c>
      <c r="AI152" s="1265">
        <f>IF(PROD!P152&gt;0,IF($AG152="Gr X H",PROD!AE152/PROD!P152*100,IF($AG152="Conv Kg/Doc",PROD!AE152/PROD!P152*1.2,IF(PROD!$P154&gt;0,PROD!AE152/(PROD!P152*PROD!$P154)*100,0))),0)</f>
        <v>0</v>
      </c>
      <c r="AJ152" s="1266">
        <f t="shared" si="90"/>
        <v>0</v>
      </c>
      <c r="AK152" s="2026"/>
      <c r="AL152" s="1284">
        <f t="shared" si="77"/>
        <v>0</v>
      </c>
      <c r="AM152" s="1285"/>
      <c r="AN152" s="1285"/>
      <c r="AO152" s="1285"/>
      <c r="AP152" s="1285"/>
      <c r="AQ152" s="1285"/>
      <c r="AR152" s="1285"/>
      <c r="AS152" s="1286"/>
      <c r="AT152" s="1287"/>
      <c r="AU152" s="1288"/>
      <c r="AV152" s="1289"/>
      <c r="AW152" s="1290"/>
      <c r="AX152" s="1291"/>
      <c r="AY152" s="1291"/>
      <c r="AZ152" s="1292"/>
      <c r="BA152" s="1293"/>
      <c r="BB152" s="1294"/>
      <c r="BC152" s="1295"/>
      <c r="BD152" s="1296">
        <f>BD151+PROD!L152-BA152</f>
        <v>0</v>
      </c>
      <c r="BE152" s="2132">
        <f>IF(SUM(AM152:AZ158)&gt;0,(SUM(AM152:AM158)*$AM$2+SUM(AN152:AN158)*$AN$2+SUM(AO152:AO158)*$AO$2+SUM(AP152:AP158)*$AP$2+SUM(AQ152:AQ158)*$AQ$2+SUM(AR152:AR158)*$AR$2+SUM(AS152:AS158)*$AS$2+SUM(AW152:AW158)*$AW$2+SUM(AX152:AX158)*$AX$2+SUM(AY152:AY158)*$AY$2+SUM(AZ152:AZ158)*$AZ$2+SUM(AT152:AT158)*$AT$2+SUM(AU152:AU158)*$AU$2+SUM(AV152:AV158)*$AV$2)/SUM(AM152:AZ158),0)</f>
        <v>0</v>
      </c>
      <c r="BF152" s="507" t="e">
        <f t="shared" si="78"/>
        <v>#VALUE!</v>
      </c>
      <c r="BG152" s="277">
        <f>IF(SUM(L152:L158)&gt;0,A152,IF(SUM(V152:V158)&gt;0,A152,BG145))</f>
        <v>0</v>
      </c>
      <c r="BH152" s="1018">
        <f t="shared" si="79"/>
        <v>0</v>
      </c>
    </row>
    <row r="153" spans="1:60" ht="15" customHeight="1" x14ac:dyDescent="0.3">
      <c r="A153" s="2033"/>
      <c r="B153" s="287" t="str">
        <f t="shared" si="80"/>
        <v/>
      </c>
      <c r="C153" s="288" t="str">
        <f t="shared" si="75"/>
        <v/>
      </c>
      <c r="D153" s="691"/>
      <c r="E153" s="692"/>
      <c r="F153" s="693"/>
      <c r="G153" s="694"/>
      <c r="H153" s="695"/>
      <c r="I153" s="289">
        <f>I152-SUM($D153:F153)</f>
        <v>0</v>
      </c>
      <c r="J153" s="1234" t="str">
        <f>$J$6</f>
        <v>% Sel Sem :</v>
      </c>
      <c r="K153" s="1231">
        <f>IF(PROD!$K$2&gt;0,SUM(E152:E158)/PROD!$K$2,0)</f>
        <v>0</v>
      </c>
      <c r="L153" s="1246"/>
      <c r="M153" s="291">
        <f t="shared" si="91"/>
        <v>0</v>
      </c>
      <c r="N153" s="292" t="str">
        <f>$N$6</f>
        <v xml:space="preserve">H. Ave Alojada : </v>
      </c>
      <c r="O153" s="293">
        <f>IF(AND(PROD!$K$2&gt;0,O152&gt;0),SUM(L$5:L158)/PROD!$K$2,0)</f>
        <v>0</v>
      </c>
      <c r="P153" s="293">
        <f>IFERROR(LOOKUP($A152,TP!$A$6:$A$108,GSh!$AJ$6:$AJ$108),0)</f>
        <v>0</v>
      </c>
      <c r="Q153" s="294">
        <f>IF(AND(P153&gt;0,O153&gt;0),O153-P153,0)</f>
        <v>0</v>
      </c>
      <c r="R153" s="699"/>
      <c r="S153" s="762"/>
      <c r="T153" s="765">
        <f t="shared" si="86"/>
        <v>0</v>
      </c>
      <c r="U153" s="700"/>
      <c r="V153" s="701"/>
      <c r="W153" s="701"/>
      <c r="X153" s="295">
        <f t="shared" si="81"/>
        <v>0</v>
      </c>
      <c r="Y153" s="296">
        <f>IF(AA153&gt;0,V153,AE152/IF(Iniciar!$C$25="B X 40 K",40,IF(Iniciar!$C$25="B X 50 K",50,1))*I153/1000)</f>
        <v>0</v>
      </c>
      <c r="Z153" s="296">
        <f t="shared" si="82"/>
        <v>0</v>
      </c>
      <c r="AA153" s="297">
        <f t="shared" si="92"/>
        <v>0</v>
      </c>
      <c r="AB153" s="297">
        <f t="shared" si="76"/>
        <v>0</v>
      </c>
      <c r="AC153" s="1267" t="str">
        <f>$AC$6</f>
        <v>Gr. Ave Sem :</v>
      </c>
      <c r="AD153" s="284">
        <f>AD152*7</f>
        <v>0</v>
      </c>
      <c r="AE153" s="284">
        <f>AE152*7</f>
        <v>0</v>
      </c>
      <c r="AF153" s="285">
        <f>IF(AND(AE153&gt;0,AD153&gt;0),(AD153/AE153-1)*100,0)</f>
        <v>0</v>
      </c>
      <c r="AG153" s="1199" t="str">
        <f>PROD!$AG$6</f>
        <v>Gr X H Acm</v>
      </c>
      <c r="AH153" s="298">
        <f>IF(SUM(PROD!L152:L158)&gt;0,IF(PROD!$AG$5="Gr X H",SUM(PROD!V$5:V158)*PROD!$A$1/SUM(PROD!L$5:L158),IF($AG152="Conv Kg/Doc",(SUM(PROD!V$5:V158)*PROD!$A$1/1000)/(SUM(PROD!L$5:L158)/12),IF(PROD!$O154&gt;0,SUM(PROD!V$5:V158)*PROD!$A$1/(SUM(PROD!L$5:L158)*LOOKUP(PROD!A152,TP!$A$6:$A$108,GSh!$BB$6:$BB$108)),0))),0)</f>
        <v>0</v>
      </c>
      <c r="AI153" s="298">
        <f>IF(PROD!P152&gt;0,IF($AG152="Gr X H",PROD!AE152/PROD!P152*100,IF($AG152="Conv Kg/Doc",PROD!AE152/PROD!P152*1.2,IF(PROD!$P153&gt;0,PROD!AE154/(PROD!P153*LOOKUP(PROD!$A152,TP!$A$6:$A$108,GSh!$BC$6:$BC$108)/1000),0))),0)</f>
        <v>0</v>
      </c>
      <c r="AJ153" s="328">
        <f t="shared" si="90"/>
        <v>0</v>
      </c>
      <c r="AK153" s="2027"/>
      <c r="AL153" s="1284">
        <f t="shared" si="77"/>
        <v>0</v>
      </c>
      <c r="AM153" s="1285"/>
      <c r="AN153" s="1285"/>
      <c r="AO153" s="1285"/>
      <c r="AP153" s="1285"/>
      <c r="AQ153" s="1285"/>
      <c r="AR153" s="1285"/>
      <c r="AS153" s="1286"/>
      <c r="AT153" s="1287"/>
      <c r="AU153" s="1288"/>
      <c r="AV153" s="1289"/>
      <c r="AW153" s="1290"/>
      <c r="AX153" s="1291"/>
      <c r="AY153" s="1291"/>
      <c r="AZ153" s="1292"/>
      <c r="BA153" s="1293"/>
      <c r="BB153" s="1294"/>
      <c r="BC153" s="1295"/>
      <c r="BD153" s="1296">
        <f>BD152+PROD!L153-BA153</f>
        <v>0</v>
      </c>
      <c r="BE153" s="2133"/>
      <c r="BF153" s="507" t="e">
        <f t="shared" si="78"/>
        <v>#VALUE!</v>
      </c>
      <c r="BG153" s="329"/>
      <c r="BH153" s="1018">
        <f t="shared" si="79"/>
        <v>0</v>
      </c>
    </row>
    <row r="154" spans="1:60" ht="15" customHeight="1" x14ac:dyDescent="0.3">
      <c r="A154" s="2033"/>
      <c r="B154" s="287" t="str">
        <f t="shared" si="80"/>
        <v/>
      </c>
      <c r="C154" s="288" t="str">
        <f t="shared" si="75"/>
        <v/>
      </c>
      <c r="D154" s="691"/>
      <c r="E154" s="692"/>
      <c r="F154" s="693"/>
      <c r="G154" s="694"/>
      <c r="H154" s="695"/>
      <c r="I154" s="289">
        <f>I153-SUM($D154:F154)</f>
        <v>0</v>
      </c>
      <c r="J154" s="1235" t="str">
        <f>$J$7</f>
        <v>% Mort/Sel Sem Tab :</v>
      </c>
      <c r="K154" s="1236">
        <f>K157-K150</f>
        <v>0</v>
      </c>
      <c r="L154" s="1246"/>
      <c r="M154" s="291">
        <f t="shared" si="91"/>
        <v>0</v>
      </c>
      <c r="N154" s="304" t="str">
        <f>$N$7</f>
        <v xml:space="preserve">Peso Huevo (Gr) : </v>
      </c>
      <c r="O154" s="305">
        <f>LOOKUP($A152,'Pr-Sem'!$A$6:$A$108,'Pr-Sem'!$Z$6:$Z$108)</f>
        <v>0</v>
      </c>
      <c r="P154" s="305">
        <f>IFERROR(LOOKUP($A152,TP!$A$6:$A$108,GSh!$AZ$6:$AZ$108),0)</f>
        <v>0</v>
      </c>
      <c r="Q154" s="306">
        <f>IF(AND(P154&gt;0,O154&gt;0),O154-P154,0)</f>
        <v>0</v>
      </c>
      <c r="R154" s="699"/>
      <c r="S154" s="762"/>
      <c r="T154" s="765">
        <f t="shared" si="86"/>
        <v>0</v>
      </c>
      <c r="U154" s="700"/>
      <c r="V154" s="701"/>
      <c r="W154" s="701"/>
      <c r="X154" s="295">
        <f t="shared" si="81"/>
        <v>0</v>
      </c>
      <c r="Y154" s="296">
        <f>IF(AA154&gt;0,V154,AE152/IF(Iniciar!$C$25="B X 40 K",40,IF(Iniciar!$C$25="B X 50 K",50,1))*I154/1000)</f>
        <v>0</v>
      </c>
      <c r="Z154" s="296">
        <f t="shared" si="82"/>
        <v>0</v>
      </c>
      <c r="AA154" s="297">
        <f t="shared" si="92"/>
        <v>0</v>
      </c>
      <c r="AB154" s="297">
        <f t="shared" si="76"/>
        <v>0</v>
      </c>
      <c r="AC154" s="1268" t="str">
        <f>$AC$7</f>
        <v>Kg Ave Acu :</v>
      </c>
      <c r="AD154" s="308">
        <f>IF(OR(SUM(L152:L158)&gt;0,SUM(V152:V158)&gt;0),AD153/1000+AD147,0)</f>
        <v>0</v>
      </c>
      <c r="AE154" s="309">
        <f>AE153/1000+AE147</f>
        <v>0</v>
      </c>
      <c r="AF154" s="310">
        <f>IF(AND(AE154&gt;0,AD154&gt;0),(AD154/AE154-1)*100,0)</f>
        <v>0</v>
      </c>
      <c r="AG154" s="311" t="str">
        <f>PROD!$AG$7</f>
        <v xml:space="preserve">Masa Sem H (Gr) : </v>
      </c>
      <c r="AH154" s="312">
        <f>PROD!O152/100*7*PROD!O154</f>
        <v>0</v>
      </c>
      <c r="AI154" s="312">
        <f>PROD!P152/100*7*PROD!P154</f>
        <v>0</v>
      </c>
      <c r="AJ154" s="313">
        <f t="shared" si="90"/>
        <v>0</v>
      </c>
      <c r="AK154" s="2027"/>
      <c r="AL154" s="1284">
        <f t="shared" si="77"/>
        <v>0</v>
      </c>
      <c r="AM154" s="1285"/>
      <c r="AN154" s="1285"/>
      <c r="AO154" s="1285"/>
      <c r="AP154" s="1285"/>
      <c r="AQ154" s="1285"/>
      <c r="AR154" s="1285"/>
      <c r="AS154" s="1286"/>
      <c r="AT154" s="1287"/>
      <c r="AU154" s="1288"/>
      <c r="AV154" s="1289"/>
      <c r="AW154" s="1290"/>
      <c r="AX154" s="1291"/>
      <c r="AY154" s="1291"/>
      <c r="AZ154" s="1292"/>
      <c r="BA154" s="1293"/>
      <c r="BB154" s="1294"/>
      <c r="BC154" s="1295"/>
      <c r="BD154" s="1296">
        <f>BD153+PROD!L154-BA154</f>
        <v>0</v>
      </c>
      <c r="BE154" s="2133"/>
      <c r="BF154" s="507" t="e">
        <f t="shared" si="78"/>
        <v>#VALUE!</v>
      </c>
      <c r="BG154" s="329"/>
      <c r="BH154" s="1018">
        <f t="shared" si="79"/>
        <v>0</v>
      </c>
    </row>
    <row r="155" spans="1:60" ht="15" customHeight="1" x14ac:dyDescent="0.3">
      <c r="A155" s="2033"/>
      <c r="B155" s="287" t="str">
        <f t="shared" si="80"/>
        <v/>
      </c>
      <c r="C155" s="288" t="str">
        <f t="shared" si="75"/>
        <v/>
      </c>
      <c r="D155" s="691"/>
      <c r="E155" s="692"/>
      <c r="F155" s="693"/>
      <c r="G155" s="694"/>
      <c r="H155" s="695"/>
      <c r="I155" s="289">
        <f>I154-SUM($D155:F155)</f>
        <v>0</v>
      </c>
      <c r="J155" s="1234" t="str">
        <f>$J$8</f>
        <v>% Mort Acm :</v>
      </c>
      <c r="K155" s="1231">
        <f>IF(PROD!$K$2&gt;0,SUM(D$5:D158)/PROD!$K$2,0)</f>
        <v>0</v>
      </c>
      <c r="L155" s="1246"/>
      <c r="M155" s="291">
        <f t="shared" si="91"/>
        <v>0</v>
      </c>
      <c r="N155" s="314" t="str">
        <f>N$8</f>
        <v xml:space="preserve">Peso Ave (Gr) : </v>
      </c>
      <c r="O155" s="315">
        <f>LOOKUP($A152,GSh!$BV$6:$BV$108,GSh!$BJ$6:$BJ$108)</f>
        <v>0</v>
      </c>
      <c r="P155" s="315">
        <f>IFERROR(LOOKUP($A152,TP!$A$6:$A$108,GSh!$BK$6:$BK$108),0)</f>
        <v>0</v>
      </c>
      <c r="Q155" s="316">
        <f>IF(AND(P155&gt;0,O155&gt;0),(O155/P155-1)*100,0)</f>
        <v>0</v>
      </c>
      <c r="R155" s="699"/>
      <c r="S155" s="762"/>
      <c r="T155" s="765">
        <f t="shared" si="86"/>
        <v>0</v>
      </c>
      <c r="U155" s="700"/>
      <c r="V155" s="701"/>
      <c r="W155" s="701"/>
      <c r="X155" s="295">
        <f t="shared" si="81"/>
        <v>0</v>
      </c>
      <c r="Y155" s="296">
        <f>IF(AA155&gt;0,V155,AE152/IF(Iniciar!$C$25="B X 40 K",40,IF(Iniciar!$C$25="B X 50 K",50,1))*I155/1000)</f>
        <v>0</v>
      </c>
      <c r="Z155" s="296">
        <f t="shared" si="82"/>
        <v>0</v>
      </c>
      <c r="AA155" s="297">
        <f t="shared" si="92"/>
        <v>0</v>
      </c>
      <c r="AB155" s="297">
        <f t="shared" si="76"/>
        <v>0</v>
      </c>
      <c r="AC155" s="541" t="str">
        <f>$AC$8</f>
        <v xml:space="preserve">Ton. Lote Acu : </v>
      </c>
      <c r="AD155" s="544">
        <f>SUM($V$5:$V158)*$A$1/1000000</f>
        <v>0</v>
      </c>
      <c r="AE155" s="543">
        <f>AE148+(AE152/1000000*7*(I152+I158)/2)</f>
        <v>0</v>
      </c>
      <c r="AF155" s="542">
        <f>IF(AND(AE155&gt;0,AD155&gt;0),(AD155/AE155-1)*100,0)</f>
        <v>0</v>
      </c>
      <c r="AG155" s="317" t="str">
        <f>PROD!$AG$8</f>
        <v xml:space="preserve">Masa Ac A. A (Kg) : </v>
      </c>
      <c r="AH155" s="318">
        <f>IF(PROD!$K$2&gt;0,SUM(PROD!L$5:L158)*LOOKUP(PROD!$A152,TP!$A$6:$A$108,GSh!$BB$6:$BB$108)/1000/PROD!$K$2,0)</f>
        <v>0</v>
      </c>
      <c r="AI155" s="318">
        <f>IFERROR(PROD!P153*LOOKUP(PROD!$A152,TP!$A$6:$A$108,GSh!$BC$6:$BC$108)/1000,0)</f>
        <v>0</v>
      </c>
      <c r="AJ155" s="330">
        <f t="shared" si="90"/>
        <v>0</v>
      </c>
      <c r="AK155" s="2027"/>
      <c r="AL155" s="1284">
        <f t="shared" si="77"/>
        <v>0</v>
      </c>
      <c r="AM155" s="1285"/>
      <c r="AN155" s="1285"/>
      <c r="AO155" s="1285"/>
      <c r="AP155" s="1285"/>
      <c r="AQ155" s="1285"/>
      <c r="AR155" s="1285"/>
      <c r="AS155" s="1286"/>
      <c r="AT155" s="1287"/>
      <c r="AU155" s="1288"/>
      <c r="AV155" s="1289"/>
      <c r="AW155" s="1290"/>
      <c r="AX155" s="1291"/>
      <c r="AY155" s="1291"/>
      <c r="AZ155" s="1292"/>
      <c r="BA155" s="1293"/>
      <c r="BB155" s="1294"/>
      <c r="BC155" s="1295"/>
      <c r="BD155" s="1296">
        <f>BD154+PROD!L155-BA155</f>
        <v>0</v>
      </c>
      <c r="BE155" s="2133"/>
      <c r="BF155" s="507" t="e">
        <f t="shared" si="78"/>
        <v>#VALUE!</v>
      </c>
      <c r="BG155" s="329"/>
      <c r="BH155" s="1018">
        <f t="shared" si="79"/>
        <v>0</v>
      </c>
    </row>
    <row r="156" spans="1:60" ht="15" customHeight="1" x14ac:dyDescent="0.3">
      <c r="A156" s="2033"/>
      <c r="B156" s="287" t="str">
        <f t="shared" si="80"/>
        <v/>
      </c>
      <c r="C156" s="288" t="str">
        <f t="shared" si="75"/>
        <v/>
      </c>
      <c r="D156" s="691"/>
      <c r="E156" s="692"/>
      <c r="F156" s="693"/>
      <c r="G156" s="694"/>
      <c r="H156" s="695"/>
      <c r="I156" s="289">
        <f>I155-SUM($D156:F156)</f>
        <v>0</v>
      </c>
      <c r="J156" s="1234" t="str">
        <f>$J$9</f>
        <v>% Sel Acm :</v>
      </c>
      <c r="K156" s="1231">
        <f>IF(PROD!$K$2&gt;0,SUM(E$5:E158)/PROD!$K$2,0)</f>
        <v>0</v>
      </c>
      <c r="L156" s="1246"/>
      <c r="M156" s="291">
        <f t="shared" si="91"/>
        <v>0</v>
      </c>
      <c r="N156" s="292" t="str">
        <f>$N$9</f>
        <v xml:space="preserve">Uniformidad (10% -) : </v>
      </c>
      <c r="O156" s="320">
        <f>LOOKUP($A152,'Pr-Sem'!$A$6:$A$108,'Pr-Sem'!$AH$6:$AH$108)</f>
        <v>0</v>
      </c>
      <c r="P156" s="320">
        <v>5</v>
      </c>
      <c r="Q156" s="321">
        <f>IF(AND(P156&gt;0,O156&gt;0),(1-O156/P156)*100,0)</f>
        <v>0</v>
      </c>
      <c r="R156" s="699"/>
      <c r="S156" s="762"/>
      <c r="T156" s="765">
        <f t="shared" si="86"/>
        <v>0</v>
      </c>
      <c r="U156" s="700"/>
      <c r="V156" s="701"/>
      <c r="W156" s="701"/>
      <c r="X156" s="295">
        <f t="shared" si="81"/>
        <v>0</v>
      </c>
      <c r="Y156" s="296">
        <f>IF(AA156&gt;0,V156,AE152/IF(Iniciar!$C$25="B X 40 K",40,IF(Iniciar!$C$25="B X 50 K",50,1))*I156/1000)</f>
        <v>0</v>
      </c>
      <c r="Z156" s="296">
        <f t="shared" si="82"/>
        <v>0</v>
      </c>
      <c r="AA156" s="297">
        <f t="shared" si="92"/>
        <v>0</v>
      </c>
      <c r="AB156" s="297">
        <f t="shared" si="76"/>
        <v>0</v>
      </c>
      <c r="AC156" s="2035" t="str">
        <f>$AC$9</f>
        <v xml:space="preserve">Total Litros Sem: </v>
      </c>
      <c r="AD156" s="2036"/>
      <c r="AE156" s="2050">
        <f>SUM(R152:R158)</f>
        <v>0</v>
      </c>
      <c r="AF156" s="2051"/>
      <c r="AG156" s="554" t="str">
        <f>$AG$9</f>
        <v xml:space="preserve">Indicador Eficiencia : </v>
      </c>
      <c r="AH156" s="555">
        <f>IF(AND(AE156&gt;0,O153&gt;0,O154&gt;0,SUM(L152:L158)&gt;0),(PROD!AH155/O153)*K158*100/(AE156/(SUM(L152:L158)*O154/1000)),0)</f>
        <v>0</v>
      </c>
      <c r="AI156" s="555">
        <f>IF(AND(P153&gt;0,PROD!AI154&gt;0),(PROD!AI155/P153)*(1-K157)*100/(AE153/PROD!AI154),0)</f>
        <v>0</v>
      </c>
      <c r="AJ156" s="331">
        <f t="shared" si="90"/>
        <v>0</v>
      </c>
      <c r="AK156" s="2027"/>
      <c r="AL156" s="1284">
        <f t="shared" si="77"/>
        <v>0</v>
      </c>
      <c r="AM156" s="1285"/>
      <c r="AN156" s="1285"/>
      <c r="AO156" s="1285"/>
      <c r="AP156" s="1285"/>
      <c r="AQ156" s="1285"/>
      <c r="AR156" s="1285"/>
      <c r="AS156" s="1286"/>
      <c r="AT156" s="1287"/>
      <c r="AU156" s="1288"/>
      <c r="AV156" s="1289"/>
      <c r="AW156" s="1290"/>
      <c r="AX156" s="1291"/>
      <c r="AY156" s="1291"/>
      <c r="AZ156" s="1292"/>
      <c r="BA156" s="1293"/>
      <c r="BB156" s="1294"/>
      <c r="BC156" s="1295"/>
      <c r="BD156" s="1296">
        <f>BD155+PROD!L156-BA156</f>
        <v>0</v>
      </c>
      <c r="BE156" s="2133"/>
      <c r="BF156" s="507" t="e">
        <f t="shared" si="78"/>
        <v>#VALUE!</v>
      </c>
      <c r="BG156" s="329"/>
      <c r="BH156" s="1018">
        <f t="shared" si="79"/>
        <v>0</v>
      </c>
    </row>
    <row r="157" spans="1:60" ht="15" customHeight="1" x14ac:dyDescent="0.3">
      <c r="A157" s="2033"/>
      <c r="B157" s="287" t="str">
        <f t="shared" si="80"/>
        <v/>
      </c>
      <c r="C157" s="288" t="str">
        <f t="shared" si="75"/>
        <v/>
      </c>
      <c r="D157" s="691"/>
      <c r="E157" s="692"/>
      <c r="F157" s="693"/>
      <c r="G157" s="694"/>
      <c r="H157" s="695"/>
      <c r="I157" s="289">
        <f>I156-SUM($D157:F157)</f>
        <v>0</v>
      </c>
      <c r="J157" s="1237" t="str">
        <f>$J$10</f>
        <v>% Mort/Sel Acm Tab :</v>
      </c>
      <c r="K157" s="1238">
        <f>IFERROR(LOOKUP($A152,TP!$A$6:$A$108,GSh!$AR$6:$AR$108)/100,0)</f>
        <v>0</v>
      </c>
      <c r="L157" s="1246"/>
      <c r="M157" s="291">
        <f t="shared" si="91"/>
        <v>0</v>
      </c>
      <c r="N157" s="292" t="str">
        <f>$N$10</f>
        <v xml:space="preserve">Uniformidad (C. Lote) : </v>
      </c>
      <c r="O157" s="320">
        <f>LOOKUP($A152,'Pr-Sem'!$A$6:$A$108,'Pr-Sem'!$AG$6:$AG$108)</f>
        <v>0</v>
      </c>
      <c r="P157" s="320">
        <v>90</v>
      </c>
      <c r="Q157" s="321">
        <f>IF(AND(P157&gt;0,O157&gt;0),(O157/P157-1)*100,0)</f>
        <v>0</v>
      </c>
      <c r="R157" s="699"/>
      <c r="S157" s="762"/>
      <c r="T157" s="765">
        <f t="shared" si="86"/>
        <v>0</v>
      </c>
      <c r="U157" s="700"/>
      <c r="V157" s="701"/>
      <c r="W157" s="701"/>
      <c r="X157" s="295">
        <f t="shared" si="81"/>
        <v>0</v>
      </c>
      <c r="Y157" s="296">
        <f>IF(AA157&gt;0,V157,AE152/IF(Iniciar!$C$25="B X 40 K",40,IF(Iniciar!$C$25="B X 50 K",50,1))*I157/1000)</f>
        <v>0</v>
      </c>
      <c r="Z157" s="296">
        <f t="shared" si="82"/>
        <v>0</v>
      </c>
      <c r="AA157" s="297">
        <f t="shared" si="92"/>
        <v>0</v>
      </c>
      <c r="AB157" s="297">
        <f t="shared" si="76"/>
        <v>0</v>
      </c>
      <c r="AC157" s="2037" t="str">
        <f>$AC$10</f>
        <v xml:space="preserve">Cons ml /ave día: </v>
      </c>
      <c r="AD157" s="2038"/>
      <c r="AE157" s="2056">
        <f>IFERROR(SUMPRODUCT(AB152:AB158,I152:I158)/SUM(I152:I158),0)</f>
        <v>0</v>
      </c>
      <c r="AF157" s="2057"/>
      <c r="AG157" s="311" t="str">
        <f>CONCATENATE("Costo ",Iniciar!$C$25," : ")</f>
        <v xml:space="preserve">Costo Kilos : </v>
      </c>
      <c r="AH157" s="2043">
        <f>IFERROR(SUMPRODUCT(T152:T158,V152:V158)/SUMIF(T152:T158,"&gt;0",V152:V158),0)</f>
        <v>0</v>
      </c>
      <c r="AI157" s="2043"/>
      <c r="AJ157" s="313"/>
      <c r="AK157" s="2027"/>
      <c r="AL157" s="1284">
        <f t="shared" si="77"/>
        <v>0</v>
      </c>
      <c r="AM157" s="1285"/>
      <c r="AN157" s="1285"/>
      <c r="AO157" s="1285"/>
      <c r="AP157" s="1285"/>
      <c r="AQ157" s="1285"/>
      <c r="AR157" s="1285"/>
      <c r="AS157" s="1286"/>
      <c r="AT157" s="1287"/>
      <c r="AU157" s="1288"/>
      <c r="AV157" s="1289"/>
      <c r="AW157" s="1290"/>
      <c r="AX157" s="1291"/>
      <c r="AY157" s="1291"/>
      <c r="AZ157" s="1292"/>
      <c r="BA157" s="1293"/>
      <c r="BB157" s="1294"/>
      <c r="BC157" s="1295"/>
      <c r="BD157" s="1296">
        <f>BD156+PROD!L157-BA157</f>
        <v>0</v>
      </c>
      <c r="BE157" s="2133"/>
      <c r="BF157" s="507" t="e">
        <f t="shared" si="78"/>
        <v>#VALUE!</v>
      </c>
      <c r="BG157" s="329"/>
      <c r="BH157" s="1018">
        <f t="shared" si="79"/>
        <v>0</v>
      </c>
    </row>
    <row r="158" spans="1:60" ht="15" customHeight="1" x14ac:dyDescent="0.3">
      <c r="A158" s="2034"/>
      <c r="B158" s="287" t="str">
        <f t="shared" si="80"/>
        <v/>
      </c>
      <c r="C158" s="288" t="str">
        <f t="shared" si="75"/>
        <v/>
      </c>
      <c r="D158" s="691"/>
      <c r="E158" s="692"/>
      <c r="F158" s="693"/>
      <c r="G158" s="694"/>
      <c r="H158" s="695"/>
      <c r="I158" s="289">
        <f>I157-SUM($D158:F158)</f>
        <v>0</v>
      </c>
      <c r="J158" s="1239" t="str">
        <f>$J$11</f>
        <v>% Viabilidad :</v>
      </c>
      <c r="K158" s="1240">
        <f>IF(OR(SUM(L152:L158)&gt;0,SUM(V152:V158)&gt;0),1-(K155+K156),0)</f>
        <v>0</v>
      </c>
      <c r="L158" s="1247"/>
      <c r="M158" s="1248">
        <f>IF(I158&gt;0,(L158/IF(SUM(L152:L157)&gt;0,1,7))/I158,0)</f>
        <v>0</v>
      </c>
      <c r="N158" s="1249" t="str">
        <f>$N$11</f>
        <v xml:space="preserve">Uniformidad (10% +) : </v>
      </c>
      <c r="O158" s="1250">
        <f>IF(O156&gt;0,IF(O157&gt;0,100-SUM(O156:O157),0),0)</f>
        <v>0</v>
      </c>
      <c r="P158" s="1251">
        <f>100-SUM(P156:P157)</f>
        <v>5</v>
      </c>
      <c r="Q158" s="1252">
        <f>IF(AND(P158&gt;0,O158&gt;0),(O158/P158-1)*100,0)</f>
        <v>0</v>
      </c>
      <c r="R158" s="699"/>
      <c r="S158" s="762"/>
      <c r="T158" s="765">
        <f t="shared" si="86"/>
        <v>0</v>
      </c>
      <c r="U158" s="700"/>
      <c r="V158" s="701"/>
      <c r="W158" s="701"/>
      <c r="X158" s="295">
        <f t="shared" si="81"/>
        <v>0</v>
      </c>
      <c r="Y158" s="296">
        <f>IF(AA158&gt;0,V158,AE152/IF(Iniciar!$C$25="B X 40 K",40,IF(Iniciar!$C$25="B X 50 K",50,1))*I158/1000)</f>
        <v>0</v>
      </c>
      <c r="Z158" s="296">
        <f t="shared" si="82"/>
        <v>0</v>
      </c>
      <c r="AA158" s="297">
        <f>IF(I158&gt;0,(V158/IF(SUM(V152:V157)&gt;0,1,7))*$A$1/I158,0)</f>
        <v>0</v>
      </c>
      <c r="AB158" s="297">
        <f t="shared" si="76"/>
        <v>0</v>
      </c>
      <c r="AC158" s="2039" t="str">
        <f>$AC$11</f>
        <v xml:space="preserve">Relación Agua /Alimto: </v>
      </c>
      <c r="AD158" s="2040"/>
      <c r="AE158" s="2058">
        <f>IFERROR(AE157/AD152,0)</f>
        <v>0</v>
      </c>
      <c r="AF158" s="2059"/>
      <c r="AG158" s="1269" t="s">
        <v>237</v>
      </c>
      <c r="AH158" s="1270">
        <f>IF(SUM(L152:L158)&gt;0,AH157*SUM(V152:V158)/SUM(L152:L158),0)</f>
        <v>0</v>
      </c>
      <c r="AI158" s="1270">
        <f>IF(AND($A$1&gt;0,P152&gt;0),AH157/$A$1*(AE152/P152)*100,0)</f>
        <v>0</v>
      </c>
      <c r="AJ158" s="1271">
        <f t="shared" ref="AJ158:AJ163" si="93">IF(AND(AI158&gt;0,AH158&gt;0),(AH158/AI158-1)*100,0)</f>
        <v>0</v>
      </c>
      <c r="AK158" s="2028"/>
      <c r="AL158" s="1284">
        <f t="shared" si="77"/>
        <v>0</v>
      </c>
      <c r="AM158" s="1285"/>
      <c r="AN158" s="1285"/>
      <c r="AO158" s="1285"/>
      <c r="AP158" s="1285"/>
      <c r="AQ158" s="1285"/>
      <c r="AR158" s="1285"/>
      <c r="AS158" s="1286"/>
      <c r="AT158" s="1287"/>
      <c r="AU158" s="1288"/>
      <c r="AV158" s="1289"/>
      <c r="AW158" s="1290"/>
      <c r="AX158" s="1291"/>
      <c r="AY158" s="1291"/>
      <c r="AZ158" s="1292"/>
      <c r="BA158" s="1293"/>
      <c r="BB158" s="1294"/>
      <c r="BC158" s="1295"/>
      <c r="BD158" s="1296">
        <f>BD157+PROD!L158-BA158</f>
        <v>0</v>
      </c>
      <c r="BE158" s="2134"/>
      <c r="BF158" s="507" t="e">
        <f t="shared" si="78"/>
        <v>#VALUE!</v>
      </c>
      <c r="BG158" s="329"/>
      <c r="BH158" s="1018">
        <f t="shared" si="79"/>
        <v>0</v>
      </c>
    </row>
    <row r="159" spans="1:60" ht="15" customHeight="1" x14ac:dyDescent="0.3">
      <c r="A159" s="2032">
        <f>A152+1</f>
        <v>40</v>
      </c>
      <c r="B159" s="287" t="str">
        <f t="shared" si="80"/>
        <v/>
      </c>
      <c r="C159" s="288" t="str">
        <f t="shared" si="75"/>
        <v/>
      </c>
      <c r="D159" s="691"/>
      <c r="E159" s="692"/>
      <c r="F159" s="693"/>
      <c r="G159" s="694"/>
      <c r="H159" s="695"/>
      <c r="I159" s="289">
        <f>I158-SUM($D159:F159)</f>
        <v>0</v>
      </c>
      <c r="J159" s="1232" t="str">
        <f>$J$5</f>
        <v>% Mort Sem :</v>
      </c>
      <c r="K159" s="1233">
        <f>IF(PROD!$K$2&gt;0,SUM(D159:D165)/PROD!$K$2,0)</f>
        <v>0</v>
      </c>
      <c r="L159" s="1241"/>
      <c r="M159" s="1242">
        <f t="shared" ref="M159:M164" si="94">IF(I159&gt;0,L159/I159,0)</f>
        <v>0</v>
      </c>
      <c r="N159" s="1243" t="str">
        <f>$N$5</f>
        <v xml:space="preserve">% Pdn prom semana : </v>
      </c>
      <c r="O159" s="1244">
        <f>IF(SUM(L159:L164)&gt;0,100*SUMPRODUCT(M159:M165,I159:I165)/SUMIF(L159:L165,"&gt;0",I159:I165),IF(L165&gt;0,100*L165/7/I165,0))</f>
        <v>0</v>
      </c>
      <c r="P159" s="1244">
        <f>IFERROR(LOOKUP($A159,TP!$A$6:$A$108,GSh!$AE$6:$AE$108),0)</f>
        <v>0</v>
      </c>
      <c r="Q159" s="1245">
        <f>IF(AND(P159&gt;0,O159&gt;0),O159-P159,0)</f>
        <v>0</v>
      </c>
      <c r="R159" s="699"/>
      <c r="S159" s="762"/>
      <c r="T159" s="765">
        <f t="shared" si="86"/>
        <v>0</v>
      </c>
      <c r="U159" s="700"/>
      <c r="V159" s="701"/>
      <c r="W159" s="701"/>
      <c r="X159" s="295">
        <f t="shared" si="81"/>
        <v>0</v>
      </c>
      <c r="Y159" s="296">
        <f>IF(AA159&gt;0,V159,AE159/IF(Iniciar!$C$25="B X 40 K",40,IF(Iniciar!$C$25="B X 50 K",50,1))*I159/1000)</f>
        <v>0</v>
      </c>
      <c r="Z159" s="296">
        <f t="shared" si="82"/>
        <v>0</v>
      </c>
      <c r="AA159" s="297">
        <f t="shared" ref="AA159:AA164" si="95">IF(I159&gt;0,V159*$A$1/I159,0)</f>
        <v>0</v>
      </c>
      <c r="AB159" s="297">
        <f t="shared" si="76"/>
        <v>0</v>
      </c>
      <c r="AC159" s="1261" t="str">
        <f>$AC$5</f>
        <v>Gr. Ave Dia :</v>
      </c>
      <c r="AD159" s="1262">
        <f>IF(SUMIF(V159:V165,"&gt;0")&gt;0,SUMPRODUCT(AA159:AA165,I159:I165)/SUMIF(AA159:AA165,"&gt;0",I159:I165),0)</f>
        <v>0</v>
      </c>
      <c r="AE159" s="1262">
        <f>IFERROR(LOOKUP($A159,TP!$A$6:$A$108,GSh!$AU$6:$AU$108),0)</f>
        <v>0</v>
      </c>
      <c r="AF159" s="1263">
        <f>IF(AND(AE159&gt;0,AD159&gt;0),(AD159/AE159-1)*100,0)</f>
        <v>0</v>
      </c>
      <c r="AG159" s="1264" t="str">
        <f>PROD!$AG$5</f>
        <v>Gr X H</v>
      </c>
      <c r="AH159" s="1265">
        <f>IF(PROD!O159&gt;0,IF($AG159="Gr X H",PROD!AD159/PROD!O159*100,IF($AG159="Conv Kg/Doc",PROD!AD159/PROD!O159*1.2,IF(PROD!$O161&gt;0,PROD!AD159/(PROD!O159*PROD!$O161)*100,0))),0)</f>
        <v>0</v>
      </c>
      <c r="AI159" s="1265">
        <f>IF(PROD!P159&gt;0,IF($AG159="Gr X H",PROD!AE159/PROD!P159*100,IF($AG159="Conv Kg/Doc",PROD!AE159/PROD!P159*1.2,IF(PROD!$P161&gt;0,PROD!AE159/(PROD!P159*PROD!$P161)*100,0))),0)</f>
        <v>0</v>
      </c>
      <c r="AJ159" s="1266">
        <f t="shared" si="93"/>
        <v>0</v>
      </c>
      <c r="AK159" s="2026"/>
      <c r="AL159" s="1284">
        <f t="shared" si="77"/>
        <v>0</v>
      </c>
      <c r="AM159" s="1285"/>
      <c r="AN159" s="1285"/>
      <c r="AO159" s="1285"/>
      <c r="AP159" s="1285"/>
      <c r="AQ159" s="1285"/>
      <c r="AR159" s="1285"/>
      <c r="AS159" s="1286"/>
      <c r="AT159" s="1287"/>
      <c r="AU159" s="1288"/>
      <c r="AV159" s="1289"/>
      <c r="AW159" s="1290"/>
      <c r="AX159" s="1291"/>
      <c r="AY159" s="1291"/>
      <c r="AZ159" s="1292"/>
      <c r="BA159" s="1293"/>
      <c r="BB159" s="1294"/>
      <c r="BC159" s="1295"/>
      <c r="BD159" s="1296">
        <f>BD158+PROD!L159-BA159</f>
        <v>0</v>
      </c>
      <c r="BE159" s="2132">
        <f>IF(SUM(AM159:AZ165)&gt;0,(SUM(AM159:AM165)*$AM$2+SUM(AN159:AN165)*$AN$2+SUM(AO159:AO165)*$AO$2+SUM(AP159:AP165)*$AP$2+SUM(AQ159:AQ165)*$AQ$2+SUM(AR159:AR165)*$AR$2+SUM(AS159:AS165)*$AS$2+SUM(AW159:AW165)*$AW$2+SUM(AX159:AX165)*$AX$2+SUM(AY159:AY165)*$AY$2+SUM(AZ159:AZ165)*$AZ$2+SUM(AT159:AT165)*$AT$2+SUM(AU159:AU165)*$AU$2+SUM(AV159:AV165)*$AV$2)/SUM(AM159:AZ165),0)</f>
        <v>0</v>
      </c>
      <c r="BF159" s="507" t="e">
        <f t="shared" si="78"/>
        <v>#VALUE!</v>
      </c>
      <c r="BG159" s="277">
        <f>IF(SUM(L159:L165)&gt;0,A159,IF(SUM(V159:V165)&gt;0,A159,BG152))</f>
        <v>0</v>
      </c>
      <c r="BH159" s="1018">
        <f t="shared" si="79"/>
        <v>0</v>
      </c>
    </row>
    <row r="160" spans="1:60" ht="15" customHeight="1" x14ac:dyDescent="0.3">
      <c r="A160" s="2033"/>
      <c r="B160" s="287" t="str">
        <f t="shared" si="80"/>
        <v/>
      </c>
      <c r="C160" s="288" t="str">
        <f t="shared" si="75"/>
        <v/>
      </c>
      <c r="D160" s="691"/>
      <c r="E160" s="692"/>
      <c r="F160" s="693"/>
      <c r="G160" s="694"/>
      <c r="H160" s="695"/>
      <c r="I160" s="289">
        <f>I159-SUM($D160:F160)</f>
        <v>0</v>
      </c>
      <c r="J160" s="1234" t="str">
        <f>$J$6</f>
        <v>% Sel Sem :</v>
      </c>
      <c r="K160" s="1231">
        <f>IF(PROD!$K$2&gt;0,SUM(E159:E165)/PROD!$K$2,0)</f>
        <v>0</v>
      </c>
      <c r="L160" s="1246"/>
      <c r="M160" s="291">
        <f t="shared" si="94"/>
        <v>0</v>
      </c>
      <c r="N160" s="292" t="str">
        <f>$N$6</f>
        <v xml:space="preserve">H. Ave Alojada : </v>
      </c>
      <c r="O160" s="293">
        <f>IF(AND(PROD!$K$2&gt;0,O159&gt;0),SUM(L$5:L165)/PROD!$K$2,0)</f>
        <v>0</v>
      </c>
      <c r="P160" s="293">
        <f>IFERROR(LOOKUP($A159,TP!$A$6:$A$108,GSh!$AJ$6:$AJ$108),0)</f>
        <v>0</v>
      </c>
      <c r="Q160" s="294">
        <f>IF(AND(P160&gt;0,O160&gt;0),O160-P160,0)</f>
        <v>0</v>
      </c>
      <c r="R160" s="699"/>
      <c r="S160" s="762"/>
      <c r="T160" s="765">
        <f t="shared" si="86"/>
        <v>0</v>
      </c>
      <c r="U160" s="700"/>
      <c r="V160" s="701"/>
      <c r="W160" s="701"/>
      <c r="X160" s="295">
        <f t="shared" si="81"/>
        <v>0</v>
      </c>
      <c r="Y160" s="296">
        <f>IF(AA160&gt;0,V160,AE159/IF(Iniciar!$C$25="B X 40 K",40,IF(Iniciar!$C$25="B X 50 K",50,1))*I160/1000)</f>
        <v>0</v>
      </c>
      <c r="Z160" s="296">
        <f t="shared" si="82"/>
        <v>0</v>
      </c>
      <c r="AA160" s="297">
        <f t="shared" si="95"/>
        <v>0</v>
      </c>
      <c r="AB160" s="297">
        <f t="shared" si="76"/>
        <v>0</v>
      </c>
      <c r="AC160" s="1267" t="str">
        <f>$AC$6</f>
        <v>Gr. Ave Sem :</v>
      </c>
      <c r="AD160" s="284">
        <f>AD159*7</f>
        <v>0</v>
      </c>
      <c r="AE160" s="284">
        <f>AE159*7</f>
        <v>0</v>
      </c>
      <c r="AF160" s="285">
        <f>IF(AND(AE160&gt;0,AD160&gt;0),(AD160/AE160-1)*100,0)</f>
        <v>0</v>
      </c>
      <c r="AG160" s="1199" t="str">
        <f>PROD!$AG$6</f>
        <v>Gr X H Acm</v>
      </c>
      <c r="AH160" s="298">
        <f>IF(SUM(PROD!L159:L165)&gt;0,IF(PROD!$AG$5="Gr X H",SUM(PROD!V$5:V165)*PROD!$A$1/SUM(PROD!L$5:L165),IF($AG159="Conv Kg/Doc",(SUM(PROD!V$5:V165)*PROD!$A$1/1000)/(SUM(PROD!L$5:L165)/12),IF(PROD!$O161&gt;0,SUM(PROD!V$5:V165)*PROD!$A$1/(SUM(PROD!L$5:L165)*LOOKUP(PROD!A159,TP!$A$6:$A$108,GSh!$BB$6:$BB$108)),0))),0)</f>
        <v>0</v>
      </c>
      <c r="AI160" s="298">
        <f>IF(PROD!P159&gt;0,IF($AG159="Gr X H",PROD!AE159/PROD!P159*100,IF($AG159="Conv Kg/Doc",PROD!AE159/PROD!P159*1.2,IF(PROD!$P160&gt;0,PROD!AE161/(PROD!P160*LOOKUP(PROD!$A159,TP!$A$6:$A$108,GSh!$BC$6:$BC$108)/1000),0))),0)</f>
        <v>0</v>
      </c>
      <c r="AJ160" s="328">
        <f t="shared" si="93"/>
        <v>0</v>
      </c>
      <c r="AK160" s="2027"/>
      <c r="AL160" s="1284">
        <f t="shared" si="77"/>
        <v>0</v>
      </c>
      <c r="AM160" s="1285"/>
      <c r="AN160" s="1285"/>
      <c r="AO160" s="1285"/>
      <c r="AP160" s="1285"/>
      <c r="AQ160" s="1285"/>
      <c r="AR160" s="1285"/>
      <c r="AS160" s="1286"/>
      <c r="AT160" s="1287"/>
      <c r="AU160" s="1288"/>
      <c r="AV160" s="1289"/>
      <c r="AW160" s="1290"/>
      <c r="AX160" s="1291"/>
      <c r="AY160" s="1291"/>
      <c r="AZ160" s="1292"/>
      <c r="BA160" s="1293"/>
      <c r="BB160" s="1294"/>
      <c r="BC160" s="1295"/>
      <c r="BD160" s="1296">
        <f>BD159+PROD!L160-BA160</f>
        <v>0</v>
      </c>
      <c r="BE160" s="2133"/>
      <c r="BF160" s="507" t="e">
        <f t="shared" si="78"/>
        <v>#VALUE!</v>
      </c>
      <c r="BG160" s="329"/>
      <c r="BH160" s="1018">
        <f t="shared" si="79"/>
        <v>0</v>
      </c>
    </row>
    <row r="161" spans="1:60" ht="15" customHeight="1" x14ac:dyDescent="0.3">
      <c r="A161" s="2033"/>
      <c r="B161" s="287" t="str">
        <f t="shared" si="80"/>
        <v/>
      </c>
      <c r="C161" s="288" t="str">
        <f t="shared" si="75"/>
        <v/>
      </c>
      <c r="D161" s="691"/>
      <c r="E161" s="692"/>
      <c r="F161" s="693"/>
      <c r="G161" s="694"/>
      <c r="H161" s="695"/>
      <c r="I161" s="289">
        <f>I160-SUM($D161:F161)</f>
        <v>0</v>
      </c>
      <c r="J161" s="1235" t="str">
        <f>$J$7</f>
        <v>% Mort/Sel Sem Tab :</v>
      </c>
      <c r="K161" s="1236">
        <f>K164-K157</f>
        <v>0</v>
      </c>
      <c r="L161" s="1246"/>
      <c r="M161" s="291">
        <f t="shared" si="94"/>
        <v>0</v>
      </c>
      <c r="N161" s="304" t="str">
        <f>$N$7</f>
        <v xml:space="preserve">Peso Huevo (Gr) : </v>
      </c>
      <c r="O161" s="305">
        <f>LOOKUP($A159,'Pr-Sem'!$A$6:$A$108,'Pr-Sem'!$Z$6:$Z$108)</f>
        <v>0</v>
      </c>
      <c r="P161" s="305">
        <f>IFERROR(LOOKUP($A159,TP!$A$6:$A$108,GSh!$AZ$6:$AZ$108),0)</f>
        <v>0</v>
      </c>
      <c r="Q161" s="306">
        <f>IF(AND(P161&gt;0,O161&gt;0),O161-P161,0)</f>
        <v>0</v>
      </c>
      <c r="R161" s="699"/>
      <c r="S161" s="762"/>
      <c r="T161" s="765">
        <f t="shared" si="86"/>
        <v>0</v>
      </c>
      <c r="U161" s="700"/>
      <c r="V161" s="701"/>
      <c r="W161" s="701"/>
      <c r="X161" s="295">
        <f t="shared" si="81"/>
        <v>0</v>
      </c>
      <c r="Y161" s="296">
        <f>IF(AA161&gt;0,V161,AE159/IF(Iniciar!$C$25="B X 40 K",40,IF(Iniciar!$C$25="B X 50 K",50,1))*I161/1000)</f>
        <v>0</v>
      </c>
      <c r="Z161" s="296">
        <f t="shared" si="82"/>
        <v>0</v>
      </c>
      <c r="AA161" s="297">
        <f t="shared" si="95"/>
        <v>0</v>
      </c>
      <c r="AB161" s="297">
        <f t="shared" si="76"/>
        <v>0</v>
      </c>
      <c r="AC161" s="1268" t="str">
        <f>$AC$7</f>
        <v>Kg Ave Acu :</v>
      </c>
      <c r="AD161" s="308">
        <f>IF(OR(SUM(L159:L165)&gt;0,SUM(V159:V165)&gt;0),AD160/1000+AD154,0)</f>
        <v>0</v>
      </c>
      <c r="AE161" s="309">
        <f>AE160/1000+AE154</f>
        <v>0</v>
      </c>
      <c r="AF161" s="310">
        <f>IF(AND(AE161&gt;0,AD161&gt;0),(AD161/AE161-1)*100,0)</f>
        <v>0</v>
      </c>
      <c r="AG161" s="311" t="str">
        <f>PROD!$AG$7</f>
        <v xml:space="preserve">Masa Sem H (Gr) : </v>
      </c>
      <c r="AH161" s="312">
        <f>PROD!O159/100*7*PROD!O161</f>
        <v>0</v>
      </c>
      <c r="AI161" s="312">
        <f>PROD!P159/100*7*PROD!P161</f>
        <v>0</v>
      </c>
      <c r="AJ161" s="313">
        <f t="shared" si="93"/>
        <v>0</v>
      </c>
      <c r="AK161" s="2027"/>
      <c r="AL161" s="1284">
        <f t="shared" si="77"/>
        <v>0</v>
      </c>
      <c r="AM161" s="1285"/>
      <c r="AN161" s="1285"/>
      <c r="AO161" s="1285"/>
      <c r="AP161" s="1285"/>
      <c r="AQ161" s="1285"/>
      <c r="AR161" s="1285"/>
      <c r="AS161" s="1286"/>
      <c r="AT161" s="1287"/>
      <c r="AU161" s="1288"/>
      <c r="AV161" s="1289"/>
      <c r="AW161" s="1290"/>
      <c r="AX161" s="1291"/>
      <c r="AY161" s="1291"/>
      <c r="AZ161" s="1292"/>
      <c r="BA161" s="1293"/>
      <c r="BB161" s="1294"/>
      <c r="BC161" s="1295"/>
      <c r="BD161" s="1296">
        <f>BD160+PROD!L161-BA161</f>
        <v>0</v>
      </c>
      <c r="BE161" s="2133"/>
      <c r="BF161" s="507" t="e">
        <f t="shared" si="78"/>
        <v>#VALUE!</v>
      </c>
      <c r="BG161" s="329"/>
      <c r="BH161" s="1018">
        <f t="shared" si="79"/>
        <v>0</v>
      </c>
    </row>
    <row r="162" spans="1:60" ht="15" customHeight="1" x14ac:dyDescent="0.3">
      <c r="A162" s="2033"/>
      <c r="B162" s="287" t="str">
        <f t="shared" si="80"/>
        <v/>
      </c>
      <c r="C162" s="288" t="str">
        <f t="shared" si="75"/>
        <v/>
      </c>
      <c r="D162" s="691"/>
      <c r="E162" s="692"/>
      <c r="F162" s="693"/>
      <c r="G162" s="694"/>
      <c r="H162" s="695"/>
      <c r="I162" s="289">
        <f>I161-SUM($D162:F162)</f>
        <v>0</v>
      </c>
      <c r="J162" s="1234" t="str">
        <f>$J$8</f>
        <v>% Mort Acm :</v>
      </c>
      <c r="K162" s="1231">
        <f>IF(PROD!$K$2&gt;0,SUM(D$5:D165)/PROD!$K$2,0)</f>
        <v>0</v>
      </c>
      <c r="L162" s="1246"/>
      <c r="M162" s="291">
        <f t="shared" si="94"/>
        <v>0</v>
      </c>
      <c r="N162" s="314" t="str">
        <f>N$8</f>
        <v xml:space="preserve">Peso Ave (Gr) : </v>
      </c>
      <c r="O162" s="315">
        <f>LOOKUP($A159,GSh!$BV$6:$BV$108,GSh!$BJ$6:$BJ$108)</f>
        <v>0</v>
      </c>
      <c r="P162" s="315">
        <f>IFERROR(LOOKUP($A159,TP!$A$6:$A$108,GSh!$BK$6:$BK$108),0)</f>
        <v>0</v>
      </c>
      <c r="Q162" s="316">
        <f>IF(AND(P162&gt;0,O162&gt;0),(O162/P162-1)*100,0)</f>
        <v>0</v>
      </c>
      <c r="R162" s="699"/>
      <c r="S162" s="762"/>
      <c r="T162" s="765">
        <f t="shared" si="86"/>
        <v>0</v>
      </c>
      <c r="U162" s="700"/>
      <c r="V162" s="701"/>
      <c r="W162" s="701"/>
      <c r="X162" s="295">
        <f t="shared" si="81"/>
        <v>0</v>
      </c>
      <c r="Y162" s="296">
        <f>IF(AA162&gt;0,V162,AE159/IF(Iniciar!$C$25="B X 40 K",40,IF(Iniciar!$C$25="B X 50 K",50,1))*I162/1000)</f>
        <v>0</v>
      </c>
      <c r="Z162" s="296">
        <f t="shared" si="82"/>
        <v>0</v>
      </c>
      <c r="AA162" s="297">
        <f t="shared" si="95"/>
        <v>0</v>
      </c>
      <c r="AB162" s="297">
        <f t="shared" si="76"/>
        <v>0</v>
      </c>
      <c r="AC162" s="541" t="str">
        <f>$AC$8</f>
        <v xml:space="preserve">Ton. Lote Acu : </v>
      </c>
      <c r="AD162" s="544">
        <f>SUM($V$5:$V165)*$A$1/1000000</f>
        <v>0</v>
      </c>
      <c r="AE162" s="543">
        <f>AE155+(AE159/1000000*7*(I159+I165)/2)</f>
        <v>0</v>
      </c>
      <c r="AF162" s="542">
        <f>IF(AND(AE162&gt;0,AD162&gt;0),(AD162/AE162-1)*100,0)</f>
        <v>0</v>
      </c>
      <c r="AG162" s="317" t="str">
        <f>PROD!$AG$8</f>
        <v xml:space="preserve">Masa Ac A. A (Kg) : </v>
      </c>
      <c r="AH162" s="318">
        <f>IF(PROD!$K$2&gt;0,SUM(PROD!L$5:L165)*LOOKUP(PROD!$A159,TP!$A$6:$A$108,GSh!$BB$6:$BB$108)/1000/PROD!$K$2,0)</f>
        <v>0</v>
      </c>
      <c r="AI162" s="318">
        <f>IFERROR(PROD!P160*LOOKUP(PROD!$A159,TP!$A$6:$A$108,GSh!$BC$6:$BC$108)/1000,0)</f>
        <v>0</v>
      </c>
      <c r="AJ162" s="330">
        <f t="shared" si="93"/>
        <v>0</v>
      </c>
      <c r="AK162" s="2027"/>
      <c r="AL162" s="1284">
        <f t="shared" si="77"/>
        <v>0</v>
      </c>
      <c r="AM162" s="1285"/>
      <c r="AN162" s="1285"/>
      <c r="AO162" s="1285"/>
      <c r="AP162" s="1285"/>
      <c r="AQ162" s="1285"/>
      <c r="AR162" s="1285"/>
      <c r="AS162" s="1286"/>
      <c r="AT162" s="1287"/>
      <c r="AU162" s="1288"/>
      <c r="AV162" s="1289"/>
      <c r="AW162" s="1290"/>
      <c r="AX162" s="1291"/>
      <c r="AY162" s="1291"/>
      <c r="AZ162" s="1292"/>
      <c r="BA162" s="1293"/>
      <c r="BB162" s="1294"/>
      <c r="BC162" s="1295"/>
      <c r="BD162" s="1296">
        <f>BD161+PROD!L162-BA162</f>
        <v>0</v>
      </c>
      <c r="BE162" s="2133"/>
      <c r="BF162" s="507" t="e">
        <f t="shared" si="78"/>
        <v>#VALUE!</v>
      </c>
      <c r="BG162" s="329"/>
      <c r="BH162" s="1018">
        <f t="shared" si="79"/>
        <v>0</v>
      </c>
    </row>
    <row r="163" spans="1:60" ht="15" customHeight="1" x14ac:dyDescent="0.3">
      <c r="A163" s="2033"/>
      <c r="B163" s="287" t="str">
        <f t="shared" si="80"/>
        <v/>
      </c>
      <c r="C163" s="288" t="str">
        <f t="shared" si="75"/>
        <v/>
      </c>
      <c r="D163" s="691"/>
      <c r="E163" s="692"/>
      <c r="F163" s="693"/>
      <c r="G163" s="694"/>
      <c r="H163" s="695"/>
      <c r="I163" s="289">
        <f>I162-SUM($D163:F163)</f>
        <v>0</v>
      </c>
      <c r="J163" s="1234" t="str">
        <f>$J$9</f>
        <v>% Sel Acm :</v>
      </c>
      <c r="K163" s="1231">
        <f>IF(PROD!$K$2&gt;0,SUM(E$5:E165)/PROD!$K$2,0)</f>
        <v>0</v>
      </c>
      <c r="L163" s="1246"/>
      <c r="M163" s="291">
        <f t="shared" si="94"/>
        <v>0</v>
      </c>
      <c r="N163" s="292" t="str">
        <f>$N$9</f>
        <v xml:space="preserve">Uniformidad (10% -) : </v>
      </c>
      <c r="O163" s="320">
        <f>LOOKUP($A159,'Pr-Sem'!$A$6:$A$108,'Pr-Sem'!$AH$6:$AH$108)</f>
        <v>0</v>
      </c>
      <c r="P163" s="320">
        <v>5</v>
      </c>
      <c r="Q163" s="321">
        <f>IF(AND(P163&gt;0,O163&gt;0),(1-O163/P163)*100,0)</f>
        <v>0</v>
      </c>
      <c r="R163" s="699"/>
      <c r="S163" s="762"/>
      <c r="T163" s="765">
        <f t="shared" si="86"/>
        <v>0</v>
      </c>
      <c r="U163" s="700"/>
      <c r="V163" s="701"/>
      <c r="W163" s="701"/>
      <c r="X163" s="295">
        <f t="shared" si="81"/>
        <v>0</v>
      </c>
      <c r="Y163" s="296">
        <f>IF(AA163&gt;0,V163,AE159/IF(Iniciar!$C$25="B X 40 K",40,IF(Iniciar!$C$25="B X 50 K",50,1))*I163/1000)</f>
        <v>0</v>
      </c>
      <c r="Z163" s="296">
        <f t="shared" si="82"/>
        <v>0</v>
      </c>
      <c r="AA163" s="297">
        <f t="shared" si="95"/>
        <v>0</v>
      </c>
      <c r="AB163" s="297">
        <f t="shared" si="76"/>
        <v>0</v>
      </c>
      <c r="AC163" s="2035" t="str">
        <f>$AC$9</f>
        <v xml:space="preserve">Total Litros Sem: </v>
      </c>
      <c r="AD163" s="2036"/>
      <c r="AE163" s="2050">
        <f>SUM(R159:R165)</f>
        <v>0</v>
      </c>
      <c r="AF163" s="2051"/>
      <c r="AG163" s="554" t="str">
        <f>$AG$9</f>
        <v xml:space="preserve">Indicador Eficiencia : </v>
      </c>
      <c r="AH163" s="555">
        <f>IF(AND(AE163&gt;0,O160&gt;0,O161&gt;0,SUM(L159:L165)&gt;0),(PROD!AH162/O160)*K165*100/(AE163/(SUM(L159:L165)*O161/1000)),0)</f>
        <v>0</v>
      </c>
      <c r="AI163" s="555">
        <f>IF(AND(P160&gt;0,PROD!AI161&gt;0),(PROD!AI162/P160)*(1-K164)*100/(AE160/PROD!AI161),0)</f>
        <v>0</v>
      </c>
      <c r="AJ163" s="331">
        <f t="shared" si="93"/>
        <v>0</v>
      </c>
      <c r="AK163" s="2027"/>
      <c r="AL163" s="1284">
        <f t="shared" si="77"/>
        <v>0</v>
      </c>
      <c r="AM163" s="1285"/>
      <c r="AN163" s="1285"/>
      <c r="AO163" s="1285"/>
      <c r="AP163" s="1285"/>
      <c r="AQ163" s="1285"/>
      <c r="AR163" s="1285"/>
      <c r="AS163" s="1286"/>
      <c r="AT163" s="1287"/>
      <c r="AU163" s="1288"/>
      <c r="AV163" s="1289"/>
      <c r="AW163" s="1290"/>
      <c r="AX163" s="1291"/>
      <c r="AY163" s="1291"/>
      <c r="AZ163" s="1292"/>
      <c r="BA163" s="1293"/>
      <c r="BB163" s="1294"/>
      <c r="BC163" s="1295"/>
      <c r="BD163" s="1296">
        <f>BD162+PROD!L163-BA163</f>
        <v>0</v>
      </c>
      <c r="BE163" s="2133"/>
      <c r="BF163" s="507" t="e">
        <f t="shared" si="78"/>
        <v>#VALUE!</v>
      </c>
      <c r="BG163" s="329"/>
      <c r="BH163" s="1018">
        <f t="shared" si="79"/>
        <v>0</v>
      </c>
    </row>
    <row r="164" spans="1:60" ht="15" customHeight="1" x14ac:dyDescent="0.3">
      <c r="A164" s="2033"/>
      <c r="B164" s="287" t="str">
        <f t="shared" si="80"/>
        <v/>
      </c>
      <c r="C164" s="288" t="str">
        <f t="shared" si="75"/>
        <v/>
      </c>
      <c r="D164" s="691"/>
      <c r="E164" s="692"/>
      <c r="F164" s="693"/>
      <c r="G164" s="694"/>
      <c r="H164" s="695"/>
      <c r="I164" s="289">
        <f>I163-SUM($D164:F164)</f>
        <v>0</v>
      </c>
      <c r="J164" s="1237" t="str">
        <f>$J$10</f>
        <v>% Mort/Sel Acm Tab :</v>
      </c>
      <c r="K164" s="1238">
        <f>IFERROR(LOOKUP($A159,TP!$A$6:$A$108,GSh!$AR$6:$AR$108)/100,0)</f>
        <v>0</v>
      </c>
      <c r="L164" s="1246"/>
      <c r="M164" s="291">
        <f t="shared" si="94"/>
        <v>0</v>
      </c>
      <c r="N164" s="292" t="str">
        <f>$N$10</f>
        <v xml:space="preserve">Uniformidad (C. Lote) : </v>
      </c>
      <c r="O164" s="320">
        <f>LOOKUP($A159,'Pr-Sem'!$A$6:$A$108,'Pr-Sem'!$AG$6:$AG$108)</f>
        <v>0</v>
      </c>
      <c r="P164" s="320">
        <v>90</v>
      </c>
      <c r="Q164" s="321">
        <f>IF(AND(P164&gt;0,O164&gt;0),(O164/P164-1)*100,0)</f>
        <v>0</v>
      </c>
      <c r="R164" s="699"/>
      <c r="S164" s="762"/>
      <c r="T164" s="765">
        <f t="shared" si="86"/>
        <v>0</v>
      </c>
      <c r="U164" s="700"/>
      <c r="V164" s="701"/>
      <c r="W164" s="701"/>
      <c r="X164" s="295">
        <f t="shared" si="81"/>
        <v>0</v>
      </c>
      <c r="Y164" s="296">
        <f>IF(AA164&gt;0,V164,AE159/IF(Iniciar!$C$25="B X 40 K",40,IF(Iniciar!$C$25="B X 50 K",50,1))*I164/1000)</f>
        <v>0</v>
      </c>
      <c r="Z164" s="296">
        <f t="shared" si="82"/>
        <v>0</v>
      </c>
      <c r="AA164" s="297">
        <f t="shared" si="95"/>
        <v>0</v>
      </c>
      <c r="AB164" s="297">
        <f t="shared" si="76"/>
        <v>0</v>
      </c>
      <c r="AC164" s="2037" t="str">
        <f>$AC$10</f>
        <v xml:space="preserve">Cons ml /ave día: </v>
      </c>
      <c r="AD164" s="2038"/>
      <c r="AE164" s="2056">
        <f>IFERROR(SUMPRODUCT(AB159:AB165,I159:I165)/SUM(I159:I165),0)</f>
        <v>0</v>
      </c>
      <c r="AF164" s="2057"/>
      <c r="AG164" s="311" t="str">
        <f>CONCATENATE("Costo ",Iniciar!$C$25," : ")</f>
        <v xml:space="preserve">Costo Kilos : </v>
      </c>
      <c r="AH164" s="2043">
        <f>IFERROR(SUMPRODUCT(T159:T165,V159:V165)/SUMIF(T159:T165,"&gt;0",V159:V165),0)</f>
        <v>0</v>
      </c>
      <c r="AI164" s="2043"/>
      <c r="AJ164" s="313"/>
      <c r="AK164" s="2027"/>
      <c r="AL164" s="1284">
        <f t="shared" si="77"/>
        <v>0</v>
      </c>
      <c r="AM164" s="1285"/>
      <c r="AN164" s="1285"/>
      <c r="AO164" s="1285"/>
      <c r="AP164" s="1285"/>
      <c r="AQ164" s="1285"/>
      <c r="AR164" s="1285"/>
      <c r="AS164" s="1286"/>
      <c r="AT164" s="1287"/>
      <c r="AU164" s="1288"/>
      <c r="AV164" s="1289"/>
      <c r="AW164" s="1290"/>
      <c r="AX164" s="1291"/>
      <c r="AY164" s="1291"/>
      <c r="AZ164" s="1292"/>
      <c r="BA164" s="1293"/>
      <c r="BB164" s="1294"/>
      <c r="BC164" s="1295"/>
      <c r="BD164" s="1296">
        <f>BD163+PROD!L164-BA164</f>
        <v>0</v>
      </c>
      <c r="BE164" s="2133"/>
      <c r="BF164" s="507" t="e">
        <f t="shared" si="78"/>
        <v>#VALUE!</v>
      </c>
      <c r="BG164" s="329"/>
      <c r="BH164" s="1018">
        <f t="shared" si="79"/>
        <v>0</v>
      </c>
    </row>
    <row r="165" spans="1:60" ht="15" customHeight="1" x14ac:dyDescent="0.3">
      <c r="A165" s="2034"/>
      <c r="B165" s="287" t="str">
        <f t="shared" si="80"/>
        <v/>
      </c>
      <c r="C165" s="288" t="str">
        <f t="shared" si="75"/>
        <v/>
      </c>
      <c r="D165" s="691"/>
      <c r="E165" s="692"/>
      <c r="F165" s="693"/>
      <c r="G165" s="694"/>
      <c r="H165" s="695"/>
      <c r="I165" s="289">
        <f>I164-SUM($D165:F165)</f>
        <v>0</v>
      </c>
      <c r="J165" s="1239" t="str">
        <f>$J$11</f>
        <v>% Viabilidad :</v>
      </c>
      <c r="K165" s="1240">
        <f>IF(OR(SUM(L159:L165)&gt;0,SUM(V159:V165)&gt;0),1-(K162+K163),0)</f>
        <v>0</v>
      </c>
      <c r="L165" s="1247"/>
      <c r="M165" s="1248">
        <f>IF(I165&gt;0,(L165/IF(SUM(L159:L164)&gt;0,1,7))/I165,0)</f>
        <v>0</v>
      </c>
      <c r="N165" s="1249" t="str">
        <f>$N$11</f>
        <v xml:space="preserve">Uniformidad (10% +) : </v>
      </c>
      <c r="O165" s="1250">
        <f>IF(O163&gt;0,IF(O164&gt;0,100-SUM(O163:O164),0),0)</f>
        <v>0</v>
      </c>
      <c r="P165" s="1251">
        <f>100-SUM(P163:P164)</f>
        <v>5</v>
      </c>
      <c r="Q165" s="1252">
        <f>IF(AND(P165&gt;0,O165&gt;0),(O165/P165-1)*100,0)</f>
        <v>0</v>
      </c>
      <c r="R165" s="699"/>
      <c r="S165" s="762"/>
      <c r="T165" s="765">
        <f t="shared" si="86"/>
        <v>0</v>
      </c>
      <c r="U165" s="700"/>
      <c r="V165" s="701"/>
      <c r="W165" s="701"/>
      <c r="X165" s="295">
        <f t="shared" si="81"/>
        <v>0</v>
      </c>
      <c r="Y165" s="296">
        <f>IF(AA165&gt;0,V165,AE159/IF(Iniciar!$C$25="B X 40 K",40,IF(Iniciar!$C$25="B X 50 K",50,1))*I165/1000)</f>
        <v>0</v>
      </c>
      <c r="Z165" s="296">
        <f t="shared" si="82"/>
        <v>0</v>
      </c>
      <c r="AA165" s="297">
        <f>IF(I165&gt;0,(V165/IF(SUM(V159:V164)&gt;0,1,7))*$A$1/I165,0)</f>
        <v>0</v>
      </c>
      <c r="AB165" s="297">
        <f t="shared" si="76"/>
        <v>0</v>
      </c>
      <c r="AC165" s="2039" t="str">
        <f>$AC$11</f>
        <v xml:space="preserve">Relación Agua /Alimto: </v>
      </c>
      <c r="AD165" s="2040"/>
      <c r="AE165" s="2058">
        <f>IFERROR(AE164/AD159,0)</f>
        <v>0</v>
      </c>
      <c r="AF165" s="2059"/>
      <c r="AG165" s="1269" t="s">
        <v>237</v>
      </c>
      <c r="AH165" s="1270">
        <f>IF(SUM(L159:L165)&gt;0,AH164*SUM(V159:V165)/SUM(L159:L165),0)</f>
        <v>0</v>
      </c>
      <c r="AI165" s="1270">
        <f>IF(AND($A$1&gt;0,P159&gt;0),AH164/$A$1*(AE159/P159)*100,0)</f>
        <v>0</v>
      </c>
      <c r="AJ165" s="1271">
        <f t="shared" ref="AJ165:AJ170" si="96">IF(AND(AI165&gt;0,AH165&gt;0),(AH165/AI165-1)*100,0)</f>
        <v>0</v>
      </c>
      <c r="AK165" s="2028"/>
      <c r="AL165" s="1284">
        <f t="shared" si="77"/>
        <v>0</v>
      </c>
      <c r="AM165" s="1285"/>
      <c r="AN165" s="1285"/>
      <c r="AO165" s="1285"/>
      <c r="AP165" s="1285"/>
      <c r="AQ165" s="1285"/>
      <c r="AR165" s="1285"/>
      <c r="AS165" s="1286"/>
      <c r="AT165" s="1287"/>
      <c r="AU165" s="1288"/>
      <c r="AV165" s="1289"/>
      <c r="AW165" s="1290"/>
      <c r="AX165" s="1291"/>
      <c r="AY165" s="1291"/>
      <c r="AZ165" s="1292"/>
      <c r="BA165" s="1293"/>
      <c r="BB165" s="1294"/>
      <c r="BC165" s="1295"/>
      <c r="BD165" s="1296">
        <f>BD164+PROD!L165-BA165</f>
        <v>0</v>
      </c>
      <c r="BE165" s="2134"/>
      <c r="BF165" s="507" t="e">
        <f t="shared" si="78"/>
        <v>#VALUE!</v>
      </c>
      <c r="BG165" s="329"/>
      <c r="BH165" s="1018">
        <f t="shared" si="79"/>
        <v>0</v>
      </c>
    </row>
    <row r="166" spans="1:60" ht="15" customHeight="1" x14ac:dyDescent="0.3">
      <c r="A166" s="2032">
        <f>A159+1</f>
        <v>41</v>
      </c>
      <c r="B166" s="287" t="str">
        <f t="shared" si="80"/>
        <v/>
      </c>
      <c r="C166" s="288" t="str">
        <f t="shared" si="75"/>
        <v/>
      </c>
      <c r="D166" s="691"/>
      <c r="E166" s="692"/>
      <c r="F166" s="693"/>
      <c r="G166" s="694"/>
      <c r="H166" s="695"/>
      <c r="I166" s="289">
        <f>I165-SUM($D166:F166)</f>
        <v>0</v>
      </c>
      <c r="J166" s="1232" t="str">
        <f>$J$5</f>
        <v>% Mort Sem :</v>
      </c>
      <c r="K166" s="1233">
        <f>IF(PROD!$K$2&gt;0,SUM(D166:D172)/PROD!$K$2,0)</f>
        <v>0</v>
      </c>
      <c r="L166" s="1241"/>
      <c r="M166" s="1242">
        <f t="shared" ref="M166:M171" si="97">IF(I166&gt;0,L166/I166,0)</f>
        <v>0</v>
      </c>
      <c r="N166" s="1243" t="str">
        <f>$N$5</f>
        <v xml:space="preserve">% Pdn prom semana : </v>
      </c>
      <c r="O166" s="1244">
        <f>IF(SUM(L166:L171)&gt;0,100*SUMPRODUCT(M166:M172,I166:I172)/SUMIF(L166:L172,"&gt;0",I166:I172),IF(L172&gt;0,100*L172/7/I172,0))</f>
        <v>0</v>
      </c>
      <c r="P166" s="1244">
        <f>IFERROR(LOOKUP($A166,TP!$A$6:$A$108,GSh!$AE$6:$AE$108),0)</f>
        <v>0</v>
      </c>
      <c r="Q166" s="1245">
        <f>IF(AND(P166&gt;0,O166&gt;0),O166-P166,0)</f>
        <v>0</v>
      </c>
      <c r="R166" s="699"/>
      <c r="S166" s="762"/>
      <c r="T166" s="765">
        <f t="shared" si="86"/>
        <v>0</v>
      </c>
      <c r="U166" s="700"/>
      <c r="V166" s="701"/>
      <c r="W166" s="701"/>
      <c r="X166" s="295">
        <f t="shared" si="81"/>
        <v>0</v>
      </c>
      <c r="Y166" s="296">
        <f>IF(AA166&gt;0,V166,AE166/IF(Iniciar!$C$25="B X 40 K",40,IF(Iniciar!$C$25="B X 50 K",50,1))*I166/1000)</f>
        <v>0</v>
      </c>
      <c r="Z166" s="296">
        <f t="shared" si="82"/>
        <v>0</v>
      </c>
      <c r="AA166" s="297">
        <f t="shared" ref="AA166:AA171" si="98">IF(I166&gt;0,V166*$A$1/I166,0)</f>
        <v>0</v>
      </c>
      <c r="AB166" s="297">
        <f t="shared" si="76"/>
        <v>0</v>
      </c>
      <c r="AC166" s="1261" t="str">
        <f>$AC$5</f>
        <v>Gr. Ave Dia :</v>
      </c>
      <c r="AD166" s="1262">
        <f>IF(SUMIF(V166:V172,"&gt;0")&gt;0,SUMPRODUCT(AA166:AA172,I166:I172)/SUMIF(AA166:AA172,"&gt;0",I166:I172),0)</f>
        <v>0</v>
      </c>
      <c r="AE166" s="1262">
        <f>IFERROR(LOOKUP($A166,TP!$A$6:$A$108,GSh!$AU$6:$AU$108),0)</f>
        <v>0</v>
      </c>
      <c r="AF166" s="1263">
        <f>IF(AND(AE166&gt;0,AD166&gt;0),(AD166/AE166-1)*100,0)</f>
        <v>0</v>
      </c>
      <c r="AG166" s="1264" t="str">
        <f>PROD!$AG$5</f>
        <v>Gr X H</v>
      </c>
      <c r="AH166" s="1265">
        <f>IF(PROD!O166&gt;0,IF($AG166="Gr X H",PROD!AD166/PROD!O166*100,IF($AG166="Conv Kg/Doc",PROD!AD166/PROD!O166*1.2,IF(PROD!$O168&gt;0,PROD!AD166/(PROD!O166*PROD!$O168)*100,0))),0)</f>
        <v>0</v>
      </c>
      <c r="AI166" s="1265">
        <f>IF(PROD!P166&gt;0,IF($AG166="Gr X H",PROD!AE166/PROD!P166*100,IF($AG166="Conv Kg/Doc",PROD!AE166/PROD!P166*1.2,IF(PROD!$P168&gt;0,PROD!AE166/(PROD!P166*PROD!$P168)*100,0))),0)</f>
        <v>0</v>
      </c>
      <c r="AJ166" s="1266">
        <f t="shared" si="96"/>
        <v>0</v>
      </c>
      <c r="AK166" s="2026"/>
      <c r="AL166" s="1284">
        <f t="shared" si="77"/>
        <v>0</v>
      </c>
      <c r="AM166" s="1285"/>
      <c r="AN166" s="1285"/>
      <c r="AO166" s="1285"/>
      <c r="AP166" s="1285"/>
      <c r="AQ166" s="1285"/>
      <c r="AR166" s="1285"/>
      <c r="AS166" s="1286"/>
      <c r="AT166" s="1287"/>
      <c r="AU166" s="1288"/>
      <c r="AV166" s="1289"/>
      <c r="AW166" s="1290"/>
      <c r="AX166" s="1291"/>
      <c r="AY166" s="1291"/>
      <c r="AZ166" s="1292"/>
      <c r="BA166" s="1293"/>
      <c r="BB166" s="1294"/>
      <c r="BC166" s="1295"/>
      <c r="BD166" s="1296">
        <f>BD165+PROD!L166-BA166</f>
        <v>0</v>
      </c>
      <c r="BE166" s="2132">
        <f>IF(SUM(AM166:AZ172)&gt;0,(SUM(AM166:AM172)*$AM$2+SUM(AN166:AN172)*$AN$2+SUM(AO166:AO172)*$AO$2+SUM(AP166:AP172)*$AP$2+SUM(AQ166:AQ172)*$AQ$2+SUM(AR166:AR172)*$AR$2+SUM(AS166:AS172)*$AS$2+SUM(AW166:AW172)*$AW$2+SUM(AX166:AX172)*$AX$2+SUM(AY166:AY172)*$AY$2+SUM(AZ166:AZ172)*$AZ$2+SUM(AT166:AT172)*$AT$2+SUM(AU166:AU172)*$AU$2+SUM(AV166:AV172)*$AV$2)/SUM(AM166:AZ172),0)</f>
        <v>0</v>
      </c>
      <c r="BF166" s="507" t="e">
        <f t="shared" si="78"/>
        <v>#VALUE!</v>
      </c>
      <c r="BG166" s="277">
        <f>IF(SUM(L166:L172)&gt;0,A166,IF(SUM(V166:V172)&gt;0,A166,BG159))</f>
        <v>0</v>
      </c>
      <c r="BH166" s="1018">
        <f t="shared" si="79"/>
        <v>0</v>
      </c>
    </row>
    <row r="167" spans="1:60" ht="15" customHeight="1" x14ac:dyDescent="0.3">
      <c r="A167" s="2033"/>
      <c r="B167" s="287" t="str">
        <f t="shared" si="80"/>
        <v/>
      </c>
      <c r="C167" s="288" t="str">
        <f t="shared" si="75"/>
        <v/>
      </c>
      <c r="D167" s="691"/>
      <c r="E167" s="692"/>
      <c r="F167" s="693"/>
      <c r="G167" s="694"/>
      <c r="H167" s="695"/>
      <c r="I167" s="289">
        <f>I166-SUM($D167:F167)</f>
        <v>0</v>
      </c>
      <c r="J167" s="1234" t="str">
        <f>$J$6</f>
        <v>% Sel Sem :</v>
      </c>
      <c r="K167" s="1231">
        <f>IF(PROD!$K$2&gt;0,SUM(E166:E172)/PROD!$K$2,0)</f>
        <v>0</v>
      </c>
      <c r="L167" s="1246"/>
      <c r="M167" s="291">
        <f t="shared" si="97"/>
        <v>0</v>
      </c>
      <c r="N167" s="292" t="str">
        <f>$N$6</f>
        <v xml:space="preserve">H. Ave Alojada : </v>
      </c>
      <c r="O167" s="293">
        <f>IF(AND(PROD!$K$2&gt;0,O166&gt;0),SUM(L$5:L172)/PROD!$K$2,0)</f>
        <v>0</v>
      </c>
      <c r="P167" s="293">
        <f>IFERROR(LOOKUP($A166,TP!$A$6:$A$108,GSh!$AJ$6:$AJ$108),0)</f>
        <v>0</v>
      </c>
      <c r="Q167" s="294">
        <f>IF(AND(P167&gt;0,O167&gt;0),O167-P167,0)</f>
        <v>0</v>
      </c>
      <c r="R167" s="699"/>
      <c r="S167" s="762"/>
      <c r="T167" s="765">
        <f t="shared" si="86"/>
        <v>0</v>
      </c>
      <c r="U167" s="700"/>
      <c r="V167" s="701"/>
      <c r="W167" s="701"/>
      <c r="X167" s="295">
        <f t="shared" si="81"/>
        <v>0</v>
      </c>
      <c r="Y167" s="296">
        <f>IF(AA167&gt;0,V167,AE166/IF(Iniciar!$C$25="B X 40 K",40,IF(Iniciar!$C$25="B X 50 K",50,1))*I167/1000)</f>
        <v>0</v>
      </c>
      <c r="Z167" s="296">
        <f t="shared" si="82"/>
        <v>0</v>
      </c>
      <c r="AA167" s="297">
        <f t="shared" si="98"/>
        <v>0</v>
      </c>
      <c r="AB167" s="297">
        <f t="shared" si="76"/>
        <v>0</v>
      </c>
      <c r="AC167" s="1267" t="str">
        <f>$AC$6</f>
        <v>Gr. Ave Sem :</v>
      </c>
      <c r="AD167" s="284">
        <f>AD166*7</f>
        <v>0</v>
      </c>
      <c r="AE167" s="284">
        <f>AE166*7</f>
        <v>0</v>
      </c>
      <c r="AF167" s="285">
        <f>IF(AND(AE167&gt;0,AD167&gt;0),(AD167/AE167-1)*100,0)</f>
        <v>0</v>
      </c>
      <c r="AG167" s="1199" t="str">
        <f>PROD!$AG$6</f>
        <v>Gr X H Acm</v>
      </c>
      <c r="AH167" s="298">
        <f>IF(SUM(PROD!L166:L172)&gt;0,IF(PROD!$AG$5="Gr X H",SUM(PROD!V$5:V172)*PROD!$A$1/SUM(PROD!L$5:L172),IF($AG166="Conv Kg/Doc",(SUM(PROD!V$5:V172)*PROD!$A$1/1000)/(SUM(PROD!L$5:L172)/12),IF(PROD!$O168&gt;0,SUM(PROD!V$5:V172)*PROD!$A$1/(SUM(PROD!L$5:L172)*LOOKUP(PROD!A166,TP!$A$6:$A$108,GSh!$BB$6:$BB$108)),0))),0)</f>
        <v>0</v>
      </c>
      <c r="AI167" s="298">
        <f>IF(PROD!P166&gt;0,IF($AG166="Gr X H",PROD!AE166/PROD!P166*100,IF($AG166="Conv Kg/Doc",PROD!AE166/PROD!P166*1.2,IF(PROD!$P167&gt;0,PROD!AE168/(PROD!P167*LOOKUP(PROD!$A166,TP!$A$6:$A$108,GSh!$BC$6:$BC$108)/1000),0))),0)</f>
        <v>0</v>
      </c>
      <c r="AJ167" s="328">
        <f t="shared" si="96"/>
        <v>0</v>
      </c>
      <c r="AK167" s="2027"/>
      <c r="AL167" s="1284">
        <f t="shared" si="77"/>
        <v>0</v>
      </c>
      <c r="AM167" s="1285"/>
      <c r="AN167" s="1285"/>
      <c r="AO167" s="1285"/>
      <c r="AP167" s="1285"/>
      <c r="AQ167" s="1285"/>
      <c r="AR167" s="1285"/>
      <c r="AS167" s="1286"/>
      <c r="AT167" s="1287"/>
      <c r="AU167" s="1288"/>
      <c r="AV167" s="1289"/>
      <c r="AW167" s="1290"/>
      <c r="AX167" s="1291"/>
      <c r="AY167" s="1291"/>
      <c r="AZ167" s="1292"/>
      <c r="BA167" s="1293"/>
      <c r="BB167" s="1294"/>
      <c r="BC167" s="1295"/>
      <c r="BD167" s="1296">
        <f>BD166+PROD!L167-BA167</f>
        <v>0</v>
      </c>
      <c r="BE167" s="2133"/>
      <c r="BF167" s="507" t="e">
        <f t="shared" si="78"/>
        <v>#VALUE!</v>
      </c>
      <c r="BG167" s="329"/>
      <c r="BH167" s="1018">
        <f t="shared" si="79"/>
        <v>0</v>
      </c>
    </row>
    <row r="168" spans="1:60" ht="15" customHeight="1" x14ac:dyDescent="0.3">
      <c r="A168" s="2033"/>
      <c r="B168" s="287" t="str">
        <f t="shared" si="80"/>
        <v/>
      </c>
      <c r="C168" s="288" t="str">
        <f t="shared" si="75"/>
        <v/>
      </c>
      <c r="D168" s="691"/>
      <c r="E168" s="692"/>
      <c r="F168" s="693"/>
      <c r="G168" s="694"/>
      <c r="H168" s="695"/>
      <c r="I168" s="289">
        <f>I167-SUM($D168:F168)</f>
        <v>0</v>
      </c>
      <c r="J168" s="1235" t="str">
        <f>$J$7</f>
        <v>% Mort/Sel Sem Tab :</v>
      </c>
      <c r="K168" s="1236">
        <f>K171-K164</f>
        <v>0</v>
      </c>
      <c r="L168" s="1246"/>
      <c r="M168" s="291">
        <f t="shared" si="97"/>
        <v>0</v>
      </c>
      <c r="N168" s="304" t="str">
        <f>$N$7</f>
        <v xml:space="preserve">Peso Huevo (Gr) : </v>
      </c>
      <c r="O168" s="305">
        <f>LOOKUP($A166,'Pr-Sem'!$A$6:$A$108,'Pr-Sem'!$Z$6:$Z$108)</f>
        <v>0</v>
      </c>
      <c r="P168" s="305">
        <f>IFERROR(LOOKUP($A166,TP!$A$6:$A$108,GSh!$AZ$6:$AZ$108),0)</f>
        <v>0</v>
      </c>
      <c r="Q168" s="306">
        <f>IF(AND(P168&gt;0,O168&gt;0),O168-P168,0)</f>
        <v>0</v>
      </c>
      <c r="R168" s="699"/>
      <c r="S168" s="762"/>
      <c r="T168" s="765">
        <f t="shared" si="86"/>
        <v>0</v>
      </c>
      <c r="U168" s="700"/>
      <c r="V168" s="701"/>
      <c r="W168" s="701"/>
      <c r="X168" s="295">
        <f t="shared" si="81"/>
        <v>0</v>
      </c>
      <c r="Y168" s="296">
        <f>IF(AA168&gt;0,V168,AE166/IF(Iniciar!$C$25="B X 40 K",40,IF(Iniciar!$C$25="B X 50 K",50,1))*I168/1000)</f>
        <v>0</v>
      </c>
      <c r="Z168" s="296">
        <f t="shared" si="82"/>
        <v>0</v>
      </c>
      <c r="AA168" s="297">
        <f t="shared" si="98"/>
        <v>0</v>
      </c>
      <c r="AB168" s="297">
        <f t="shared" si="76"/>
        <v>0</v>
      </c>
      <c r="AC168" s="1268" t="str">
        <f>$AC$7</f>
        <v>Kg Ave Acu :</v>
      </c>
      <c r="AD168" s="308">
        <f>IF(OR(SUM(L166:L172)&gt;0,SUM(V166:V172)&gt;0),AD167/1000+AD161,0)</f>
        <v>0</v>
      </c>
      <c r="AE168" s="309">
        <f>AE167/1000+AE161</f>
        <v>0</v>
      </c>
      <c r="AF168" s="310">
        <f>IF(AND(AE168&gt;0,AD168&gt;0),(AD168/AE168-1)*100,0)</f>
        <v>0</v>
      </c>
      <c r="AG168" s="311" t="str">
        <f>PROD!$AG$7</f>
        <v xml:space="preserve">Masa Sem H (Gr) : </v>
      </c>
      <c r="AH168" s="312">
        <f>PROD!O166/100*7*PROD!O168</f>
        <v>0</v>
      </c>
      <c r="AI168" s="312">
        <f>PROD!P166/100*7*PROD!P168</f>
        <v>0</v>
      </c>
      <c r="AJ168" s="313">
        <f t="shared" si="96"/>
        <v>0</v>
      </c>
      <c r="AK168" s="2027"/>
      <c r="AL168" s="1284">
        <f t="shared" si="77"/>
        <v>0</v>
      </c>
      <c r="AM168" s="1285"/>
      <c r="AN168" s="1285"/>
      <c r="AO168" s="1285"/>
      <c r="AP168" s="1285"/>
      <c r="AQ168" s="1285"/>
      <c r="AR168" s="1285"/>
      <c r="AS168" s="1286"/>
      <c r="AT168" s="1287"/>
      <c r="AU168" s="1288"/>
      <c r="AV168" s="1289"/>
      <c r="AW168" s="1290"/>
      <c r="AX168" s="1291"/>
      <c r="AY168" s="1291"/>
      <c r="AZ168" s="1292"/>
      <c r="BA168" s="1293"/>
      <c r="BB168" s="1294"/>
      <c r="BC168" s="1295"/>
      <c r="BD168" s="1296">
        <f>BD167+PROD!L168-BA168</f>
        <v>0</v>
      </c>
      <c r="BE168" s="2133"/>
      <c r="BF168" s="507" t="e">
        <f t="shared" si="78"/>
        <v>#VALUE!</v>
      </c>
      <c r="BG168" s="329"/>
      <c r="BH168" s="1018">
        <f t="shared" si="79"/>
        <v>0</v>
      </c>
    </row>
    <row r="169" spans="1:60" ht="15" customHeight="1" x14ac:dyDescent="0.3">
      <c r="A169" s="2033"/>
      <c r="B169" s="287" t="str">
        <f t="shared" si="80"/>
        <v/>
      </c>
      <c r="C169" s="288" t="str">
        <f t="shared" si="75"/>
        <v/>
      </c>
      <c r="D169" s="691"/>
      <c r="E169" s="692"/>
      <c r="F169" s="693"/>
      <c r="G169" s="694"/>
      <c r="H169" s="695"/>
      <c r="I169" s="289">
        <f>I168-SUM($D169:F169)</f>
        <v>0</v>
      </c>
      <c r="J169" s="1234" t="str">
        <f>$J$8</f>
        <v>% Mort Acm :</v>
      </c>
      <c r="K169" s="1231">
        <f>IF(PROD!$K$2&gt;0,SUM(D$5:D172)/PROD!$K$2,0)</f>
        <v>0</v>
      </c>
      <c r="L169" s="1246"/>
      <c r="M169" s="291">
        <f t="shared" si="97"/>
        <v>0</v>
      </c>
      <c r="N169" s="314" t="str">
        <f>N$8</f>
        <v xml:space="preserve">Peso Ave (Gr) : </v>
      </c>
      <c r="O169" s="315">
        <f>LOOKUP($A166,GSh!$BV$6:$BV$108,GSh!$BJ$6:$BJ$108)</f>
        <v>0</v>
      </c>
      <c r="P169" s="315">
        <f>IFERROR(LOOKUP($A166,TP!$A$6:$A$108,GSh!$BK$6:$BK$108),0)</f>
        <v>0</v>
      </c>
      <c r="Q169" s="316">
        <f>IF(AND(P169&gt;0,O169&gt;0),(O169/P169-1)*100,0)</f>
        <v>0</v>
      </c>
      <c r="R169" s="699"/>
      <c r="S169" s="762"/>
      <c r="T169" s="765">
        <f t="shared" si="86"/>
        <v>0</v>
      </c>
      <c r="U169" s="700"/>
      <c r="V169" s="701"/>
      <c r="W169" s="701"/>
      <c r="X169" s="295">
        <f t="shared" si="81"/>
        <v>0</v>
      </c>
      <c r="Y169" s="296">
        <f>IF(AA169&gt;0,V169,AE166/IF(Iniciar!$C$25="B X 40 K",40,IF(Iniciar!$C$25="B X 50 K",50,1))*I169/1000)</f>
        <v>0</v>
      </c>
      <c r="Z169" s="296">
        <f t="shared" si="82"/>
        <v>0</v>
      </c>
      <c r="AA169" s="297">
        <f t="shared" si="98"/>
        <v>0</v>
      </c>
      <c r="AB169" s="297">
        <f t="shared" si="76"/>
        <v>0</v>
      </c>
      <c r="AC169" s="541" t="str">
        <f>$AC$8</f>
        <v xml:space="preserve">Ton. Lote Acu : </v>
      </c>
      <c r="AD169" s="544">
        <f>SUM($V$5:$V172)*$A$1/1000000</f>
        <v>0</v>
      </c>
      <c r="AE169" s="543">
        <f>AE162+(AE166/1000000*7*(I166+I172)/2)</f>
        <v>0</v>
      </c>
      <c r="AF169" s="542">
        <f>IF(AND(AE169&gt;0,AD169&gt;0),(AD169/AE169-1)*100,0)</f>
        <v>0</v>
      </c>
      <c r="AG169" s="317" t="str">
        <f>PROD!$AG$8</f>
        <v xml:space="preserve">Masa Ac A. A (Kg) : </v>
      </c>
      <c r="AH169" s="318">
        <f>IF(PROD!$K$2&gt;0,SUM(PROD!L$5:L172)*LOOKUP(PROD!$A166,TP!$A$6:$A$108,GSh!$BB$6:$BB$108)/1000/PROD!$K$2,0)</f>
        <v>0</v>
      </c>
      <c r="AI169" s="318">
        <f>IFERROR(PROD!P167*LOOKUP(PROD!$A166,TP!$A$6:$A$108,GSh!$BC$6:$BC$108)/1000,0)</f>
        <v>0</v>
      </c>
      <c r="AJ169" s="330">
        <f t="shared" si="96"/>
        <v>0</v>
      </c>
      <c r="AK169" s="2027"/>
      <c r="AL169" s="1284">
        <f t="shared" si="77"/>
        <v>0</v>
      </c>
      <c r="AM169" s="1285"/>
      <c r="AN169" s="1285"/>
      <c r="AO169" s="1285"/>
      <c r="AP169" s="1285"/>
      <c r="AQ169" s="1285"/>
      <c r="AR169" s="1285"/>
      <c r="AS169" s="1286"/>
      <c r="AT169" s="1287"/>
      <c r="AU169" s="1288"/>
      <c r="AV169" s="1289"/>
      <c r="AW169" s="1290"/>
      <c r="AX169" s="1291"/>
      <c r="AY169" s="1291"/>
      <c r="AZ169" s="1292"/>
      <c r="BA169" s="1293"/>
      <c r="BB169" s="1294"/>
      <c r="BC169" s="1295"/>
      <c r="BD169" s="1296">
        <f>BD168+PROD!L169-BA169</f>
        <v>0</v>
      </c>
      <c r="BE169" s="2133"/>
      <c r="BF169" s="507" t="e">
        <f t="shared" si="78"/>
        <v>#VALUE!</v>
      </c>
      <c r="BG169" s="329"/>
      <c r="BH169" s="1018">
        <f t="shared" si="79"/>
        <v>0</v>
      </c>
    </row>
    <row r="170" spans="1:60" ht="15" customHeight="1" x14ac:dyDescent="0.3">
      <c r="A170" s="2033"/>
      <c r="B170" s="287" t="str">
        <f t="shared" si="80"/>
        <v/>
      </c>
      <c r="C170" s="288" t="str">
        <f t="shared" si="75"/>
        <v/>
      </c>
      <c r="D170" s="691"/>
      <c r="E170" s="692"/>
      <c r="F170" s="693"/>
      <c r="G170" s="694"/>
      <c r="H170" s="695"/>
      <c r="I170" s="289">
        <f>I169-SUM($D170:F170)</f>
        <v>0</v>
      </c>
      <c r="J170" s="1234" t="str">
        <f>$J$9</f>
        <v>% Sel Acm :</v>
      </c>
      <c r="K170" s="1231">
        <f>IF(PROD!$K$2&gt;0,SUM(E$5:E172)/PROD!$K$2,0)</f>
        <v>0</v>
      </c>
      <c r="L170" s="1246"/>
      <c r="M170" s="291">
        <f t="shared" si="97"/>
        <v>0</v>
      </c>
      <c r="N170" s="292" t="str">
        <f>$N$9</f>
        <v xml:space="preserve">Uniformidad (10% -) : </v>
      </c>
      <c r="O170" s="320">
        <f>LOOKUP($A166,'Pr-Sem'!$A$6:$A$108,'Pr-Sem'!$AH$6:$AH$108)</f>
        <v>0</v>
      </c>
      <c r="P170" s="320">
        <v>5</v>
      </c>
      <c r="Q170" s="321">
        <f>IF(AND(P170&gt;0,O170&gt;0),(1-O170/P170)*100,0)</f>
        <v>0</v>
      </c>
      <c r="R170" s="699"/>
      <c r="S170" s="762"/>
      <c r="T170" s="765">
        <f t="shared" si="86"/>
        <v>0</v>
      </c>
      <c r="U170" s="700"/>
      <c r="V170" s="701"/>
      <c r="W170" s="701"/>
      <c r="X170" s="295">
        <f t="shared" si="81"/>
        <v>0</v>
      </c>
      <c r="Y170" s="296">
        <f>IF(AA170&gt;0,V170,AE166/IF(Iniciar!$C$25="B X 40 K",40,IF(Iniciar!$C$25="B X 50 K",50,1))*I170/1000)</f>
        <v>0</v>
      </c>
      <c r="Z170" s="296">
        <f t="shared" si="82"/>
        <v>0</v>
      </c>
      <c r="AA170" s="297">
        <f t="shared" si="98"/>
        <v>0</v>
      </c>
      <c r="AB170" s="297">
        <f t="shared" si="76"/>
        <v>0</v>
      </c>
      <c r="AC170" s="2035" t="str">
        <f>$AC$9</f>
        <v xml:space="preserve">Total Litros Sem: </v>
      </c>
      <c r="AD170" s="2036"/>
      <c r="AE170" s="2050">
        <f>SUM(R166:R172)</f>
        <v>0</v>
      </c>
      <c r="AF170" s="2051"/>
      <c r="AG170" s="554" t="str">
        <f>$AG$9</f>
        <v xml:space="preserve">Indicador Eficiencia : </v>
      </c>
      <c r="AH170" s="555">
        <f>IF(AND(AE170&gt;0,O167&gt;0,O168&gt;0,SUM(L166:L172)&gt;0),(PROD!AH169/O167)*K172*100/(AE170/(SUM(L166:L172)*O168/1000)),0)</f>
        <v>0</v>
      </c>
      <c r="AI170" s="555">
        <f>IF(AND(P167&gt;0,PROD!AI168&gt;0),(PROD!AI169/P167)*(1-K171)*100/(AE167/PROD!AI168),0)</f>
        <v>0</v>
      </c>
      <c r="AJ170" s="331">
        <f t="shared" si="96"/>
        <v>0</v>
      </c>
      <c r="AK170" s="2027"/>
      <c r="AL170" s="1284">
        <f t="shared" si="77"/>
        <v>0</v>
      </c>
      <c r="AM170" s="1285"/>
      <c r="AN170" s="1285"/>
      <c r="AO170" s="1285"/>
      <c r="AP170" s="1285"/>
      <c r="AQ170" s="1285"/>
      <c r="AR170" s="1285"/>
      <c r="AS170" s="1286"/>
      <c r="AT170" s="1287"/>
      <c r="AU170" s="1288"/>
      <c r="AV170" s="1289"/>
      <c r="AW170" s="1290"/>
      <c r="AX170" s="1291"/>
      <c r="AY170" s="1291"/>
      <c r="AZ170" s="1292"/>
      <c r="BA170" s="1293"/>
      <c r="BB170" s="1294"/>
      <c r="BC170" s="1295"/>
      <c r="BD170" s="1296">
        <f>BD169+PROD!L170-BA170</f>
        <v>0</v>
      </c>
      <c r="BE170" s="2133"/>
      <c r="BF170" s="507" t="e">
        <f t="shared" si="78"/>
        <v>#VALUE!</v>
      </c>
      <c r="BG170" s="329"/>
      <c r="BH170" s="1018">
        <f t="shared" si="79"/>
        <v>0</v>
      </c>
    </row>
    <row r="171" spans="1:60" ht="15" customHeight="1" x14ac:dyDescent="0.3">
      <c r="A171" s="2033"/>
      <c r="B171" s="287" t="str">
        <f t="shared" si="80"/>
        <v/>
      </c>
      <c r="C171" s="288" t="str">
        <f t="shared" si="75"/>
        <v/>
      </c>
      <c r="D171" s="691"/>
      <c r="E171" s="692"/>
      <c r="F171" s="693"/>
      <c r="G171" s="694"/>
      <c r="H171" s="695"/>
      <c r="I171" s="289">
        <f>I170-SUM($D171:F171)</f>
        <v>0</v>
      </c>
      <c r="J171" s="1237" t="str">
        <f>$J$10</f>
        <v>% Mort/Sel Acm Tab :</v>
      </c>
      <c r="K171" s="1238">
        <f>IFERROR(LOOKUP($A166,TP!$A$6:$A$108,GSh!$AR$6:$AR$108)/100,0)</f>
        <v>0</v>
      </c>
      <c r="L171" s="1246"/>
      <c r="M171" s="291">
        <f t="shared" si="97"/>
        <v>0</v>
      </c>
      <c r="N171" s="292" t="str">
        <f>$N$10</f>
        <v xml:space="preserve">Uniformidad (C. Lote) : </v>
      </c>
      <c r="O171" s="320">
        <f>LOOKUP($A166,'Pr-Sem'!$A$6:$A$108,'Pr-Sem'!$AG$6:$AG$108)</f>
        <v>0</v>
      </c>
      <c r="P171" s="320">
        <v>90</v>
      </c>
      <c r="Q171" s="321">
        <f>IF(AND(P171&gt;0,O171&gt;0),(O171/P171-1)*100,0)</f>
        <v>0</v>
      </c>
      <c r="R171" s="699"/>
      <c r="S171" s="762"/>
      <c r="T171" s="765">
        <f t="shared" si="86"/>
        <v>0</v>
      </c>
      <c r="U171" s="700"/>
      <c r="V171" s="701"/>
      <c r="W171" s="701"/>
      <c r="X171" s="295">
        <f t="shared" si="81"/>
        <v>0</v>
      </c>
      <c r="Y171" s="296">
        <f>IF(AA171&gt;0,V171,AE166/IF(Iniciar!$C$25="B X 40 K",40,IF(Iniciar!$C$25="B X 50 K",50,1))*I171/1000)</f>
        <v>0</v>
      </c>
      <c r="Z171" s="296">
        <f t="shared" si="82"/>
        <v>0</v>
      </c>
      <c r="AA171" s="297">
        <f t="shared" si="98"/>
        <v>0</v>
      </c>
      <c r="AB171" s="297">
        <f t="shared" si="76"/>
        <v>0</v>
      </c>
      <c r="AC171" s="2037" t="str">
        <f>$AC$10</f>
        <v xml:space="preserve">Cons ml /ave día: </v>
      </c>
      <c r="AD171" s="2038"/>
      <c r="AE171" s="2056">
        <f>IFERROR(SUMPRODUCT(AB166:AB172,I166:I172)/SUM(I166:I172),0)</f>
        <v>0</v>
      </c>
      <c r="AF171" s="2057"/>
      <c r="AG171" s="311" t="str">
        <f>CONCATENATE("Costo ",Iniciar!$C$25," : ")</f>
        <v xml:space="preserve">Costo Kilos : </v>
      </c>
      <c r="AH171" s="2043">
        <f>IFERROR(SUMPRODUCT(T166:T172,V166:V172)/SUMIF(T166:T172,"&gt;0",V166:V172),0)</f>
        <v>0</v>
      </c>
      <c r="AI171" s="2043"/>
      <c r="AJ171" s="313"/>
      <c r="AK171" s="2027"/>
      <c r="AL171" s="1284">
        <f t="shared" si="77"/>
        <v>0</v>
      </c>
      <c r="AM171" s="1285"/>
      <c r="AN171" s="1285"/>
      <c r="AO171" s="1285"/>
      <c r="AP171" s="1285"/>
      <c r="AQ171" s="1285"/>
      <c r="AR171" s="1285"/>
      <c r="AS171" s="1286"/>
      <c r="AT171" s="1287"/>
      <c r="AU171" s="1288"/>
      <c r="AV171" s="1289"/>
      <c r="AW171" s="1290"/>
      <c r="AX171" s="1291"/>
      <c r="AY171" s="1291"/>
      <c r="AZ171" s="1292"/>
      <c r="BA171" s="1293"/>
      <c r="BB171" s="1294"/>
      <c r="BC171" s="1295"/>
      <c r="BD171" s="1296">
        <f>BD170+PROD!L171-BA171</f>
        <v>0</v>
      </c>
      <c r="BE171" s="2133"/>
      <c r="BF171" s="507" t="e">
        <f t="shared" si="78"/>
        <v>#VALUE!</v>
      </c>
      <c r="BG171" s="329"/>
      <c r="BH171" s="1018">
        <f t="shared" si="79"/>
        <v>0</v>
      </c>
    </row>
    <row r="172" spans="1:60" ht="15" customHeight="1" x14ac:dyDescent="0.3">
      <c r="A172" s="2034"/>
      <c r="B172" s="287" t="str">
        <f t="shared" si="80"/>
        <v/>
      </c>
      <c r="C172" s="288" t="str">
        <f t="shared" si="75"/>
        <v/>
      </c>
      <c r="D172" s="691"/>
      <c r="E172" s="692"/>
      <c r="F172" s="693"/>
      <c r="G172" s="694"/>
      <c r="H172" s="695"/>
      <c r="I172" s="289">
        <f>I171-SUM($D172:F172)</f>
        <v>0</v>
      </c>
      <c r="J172" s="1239" t="str">
        <f>$J$11</f>
        <v>% Viabilidad :</v>
      </c>
      <c r="K172" s="1240">
        <f>IF(OR(SUM(L166:L172)&gt;0,SUM(V166:V172)&gt;0),1-(K169+K170),0)</f>
        <v>0</v>
      </c>
      <c r="L172" s="1247"/>
      <c r="M172" s="1248">
        <f>IF(I172&gt;0,(L172/IF(SUM(L166:L171)&gt;0,1,7))/I172,0)</f>
        <v>0</v>
      </c>
      <c r="N172" s="1249" t="str">
        <f>$N$11</f>
        <v xml:space="preserve">Uniformidad (10% +) : </v>
      </c>
      <c r="O172" s="1250">
        <f>IF(O170&gt;0,IF(O171&gt;0,100-SUM(O170:O171),0),0)</f>
        <v>0</v>
      </c>
      <c r="P172" s="1251">
        <f>100-SUM(P170:P171)</f>
        <v>5</v>
      </c>
      <c r="Q172" s="1252">
        <f>IF(AND(P172&gt;0,O172&gt;0),(O172/P172-1)*100,0)</f>
        <v>0</v>
      </c>
      <c r="R172" s="699"/>
      <c r="S172" s="762"/>
      <c r="T172" s="765">
        <f t="shared" si="86"/>
        <v>0</v>
      </c>
      <c r="U172" s="700"/>
      <c r="V172" s="701"/>
      <c r="W172" s="701"/>
      <c r="X172" s="295">
        <f t="shared" si="81"/>
        <v>0</v>
      </c>
      <c r="Y172" s="296">
        <f>IF(AA172&gt;0,V172,AE166/IF(Iniciar!$C$25="B X 40 K",40,IF(Iniciar!$C$25="B X 50 K",50,1))*I172/1000)</f>
        <v>0</v>
      </c>
      <c r="Z172" s="296">
        <f t="shared" si="82"/>
        <v>0</v>
      </c>
      <c r="AA172" s="297">
        <f>IF(I172&gt;0,(V172/IF(SUM(V166:V171)&gt;0,1,7))*$A$1/I172,0)</f>
        <v>0</v>
      </c>
      <c r="AB172" s="297">
        <f t="shared" si="76"/>
        <v>0</v>
      </c>
      <c r="AC172" s="2039" t="str">
        <f>$AC$11</f>
        <v xml:space="preserve">Relación Agua /Alimto: </v>
      </c>
      <c r="AD172" s="2040"/>
      <c r="AE172" s="2058">
        <f>IFERROR(AE171/AD166,0)</f>
        <v>0</v>
      </c>
      <c r="AF172" s="2059"/>
      <c r="AG172" s="1269" t="s">
        <v>237</v>
      </c>
      <c r="AH172" s="1270">
        <f>IF(SUM(L166:L172)&gt;0,AH171*SUM(V166:V172)/SUM(L166:L172),0)</f>
        <v>0</v>
      </c>
      <c r="AI172" s="1270">
        <f>IF(AND($A$1&gt;0,P166&gt;0),AH171/$A$1*(AE166/P166)*100,0)</f>
        <v>0</v>
      </c>
      <c r="AJ172" s="1271">
        <f t="shared" ref="AJ172:AJ177" si="99">IF(AND(AI172&gt;0,AH172&gt;0),(AH172/AI172-1)*100,0)</f>
        <v>0</v>
      </c>
      <c r="AK172" s="2028"/>
      <c r="AL172" s="1284">
        <f t="shared" si="77"/>
        <v>0</v>
      </c>
      <c r="AM172" s="1285"/>
      <c r="AN172" s="1285"/>
      <c r="AO172" s="1285"/>
      <c r="AP172" s="1285"/>
      <c r="AQ172" s="1285"/>
      <c r="AR172" s="1285"/>
      <c r="AS172" s="1286"/>
      <c r="AT172" s="1287"/>
      <c r="AU172" s="1288"/>
      <c r="AV172" s="1289"/>
      <c r="AW172" s="1290"/>
      <c r="AX172" s="1291"/>
      <c r="AY172" s="1291"/>
      <c r="AZ172" s="1292"/>
      <c r="BA172" s="1293"/>
      <c r="BB172" s="1294"/>
      <c r="BC172" s="1295"/>
      <c r="BD172" s="1296">
        <f>BD171+PROD!L172-BA172</f>
        <v>0</v>
      </c>
      <c r="BE172" s="2134"/>
      <c r="BF172" s="507" t="e">
        <f t="shared" si="78"/>
        <v>#VALUE!</v>
      </c>
      <c r="BG172" s="329"/>
      <c r="BH172" s="1018">
        <f t="shared" si="79"/>
        <v>0</v>
      </c>
    </row>
    <row r="173" spans="1:60" ht="15" customHeight="1" x14ac:dyDescent="0.3">
      <c r="A173" s="2032">
        <f>A166+1</f>
        <v>42</v>
      </c>
      <c r="B173" s="287" t="str">
        <f t="shared" si="80"/>
        <v/>
      </c>
      <c r="C173" s="288" t="str">
        <f t="shared" si="75"/>
        <v/>
      </c>
      <c r="D173" s="691"/>
      <c r="E173" s="692"/>
      <c r="F173" s="693"/>
      <c r="G173" s="694"/>
      <c r="H173" s="695"/>
      <c r="I173" s="289">
        <f>I172-SUM($D173:F173)</f>
        <v>0</v>
      </c>
      <c r="J173" s="1232" t="str">
        <f>$J$5</f>
        <v>% Mort Sem :</v>
      </c>
      <c r="K173" s="1233">
        <f>IF(PROD!$K$2&gt;0,SUM(D173:D179)/PROD!$K$2,0)</f>
        <v>0</v>
      </c>
      <c r="L173" s="1241"/>
      <c r="M173" s="1242">
        <f t="shared" ref="M173:M178" si="100">IF(I173&gt;0,L173/I173,0)</f>
        <v>0</v>
      </c>
      <c r="N173" s="1243" t="str">
        <f>$N$5</f>
        <v xml:space="preserve">% Pdn prom semana : </v>
      </c>
      <c r="O173" s="1244">
        <f>IF(SUM(L173:L178)&gt;0,100*SUMPRODUCT(M173:M179,I173:I179)/SUMIF(L173:L179,"&gt;0",I173:I179),IF(L179&gt;0,100*L179/7/I179,0))</f>
        <v>0</v>
      </c>
      <c r="P173" s="1244">
        <f>IFERROR(LOOKUP($A173,TP!$A$6:$A$108,GSh!$AE$6:$AE$108),0)</f>
        <v>0</v>
      </c>
      <c r="Q173" s="1245">
        <f>IF(AND(P173&gt;0,O173&gt;0),O173-P173,0)</f>
        <v>0</v>
      </c>
      <c r="R173" s="699"/>
      <c r="S173" s="762"/>
      <c r="T173" s="765">
        <f t="shared" si="86"/>
        <v>0</v>
      </c>
      <c r="U173" s="700"/>
      <c r="V173" s="701"/>
      <c r="W173" s="701"/>
      <c r="X173" s="295">
        <f t="shared" si="81"/>
        <v>0</v>
      </c>
      <c r="Y173" s="296">
        <f>IF(AA173&gt;0,V173,AE173/IF(Iniciar!$C$25="B X 40 K",40,IF(Iniciar!$C$25="B X 50 K",50,1))*I173/1000)</f>
        <v>0</v>
      </c>
      <c r="Z173" s="296">
        <f t="shared" si="82"/>
        <v>0</v>
      </c>
      <c r="AA173" s="297">
        <f t="shared" ref="AA173:AA178" si="101">IF(I173&gt;0,V173*$A$1/I173,0)</f>
        <v>0</v>
      </c>
      <c r="AB173" s="297">
        <f t="shared" si="76"/>
        <v>0</v>
      </c>
      <c r="AC173" s="1261" t="str">
        <f>$AC$5</f>
        <v>Gr. Ave Dia :</v>
      </c>
      <c r="AD173" s="1262">
        <f>IF(SUMIF(V173:V179,"&gt;0")&gt;0,SUMPRODUCT(AA173:AA179,I173:I179)/SUMIF(AA173:AA179,"&gt;0",I173:I179),0)</f>
        <v>0</v>
      </c>
      <c r="AE173" s="1262">
        <f>IFERROR(LOOKUP($A173,TP!$A$6:$A$108,GSh!$AU$6:$AU$108),0)</f>
        <v>0</v>
      </c>
      <c r="AF173" s="1263">
        <f>IF(AND(AE173&gt;0,AD173&gt;0),(AD173/AE173-1)*100,0)</f>
        <v>0</v>
      </c>
      <c r="AG173" s="1264" t="str">
        <f>PROD!$AG$5</f>
        <v>Gr X H</v>
      </c>
      <c r="AH173" s="1265">
        <f>IF(PROD!O173&gt;0,IF($AG173="Gr X H",PROD!AD173/PROD!O173*100,IF($AG173="Conv Kg/Doc",PROD!AD173/PROD!O173*1.2,IF(PROD!$O175&gt;0,PROD!AD173/(PROD!O173*PROD!$O175)*100,0))),0)</f>
        <v>0</v>
      </c>
      <c r="AI173" s="1265">
        <f>IF(PROD!P173&gt;0,IF($AG173="Gr X H",PROD!AE173/PROD!P173*100,IF($AG173="Conv Kg/Doc",PROD!AE173/PROD!P173*1.2,IF(PROD!$P175&gt;0,PROD!AE173/(PROD!P173*PROD!$P175)*100,0))),0)</f>
        <v>0</v>
      </c>
      <c r="AJ173" s="1266">
        <f t="shared" si="99"/>
        <v>0</v>
      </c>
      <c r="AK173" s="2026"/>
      <c r="AL173" s="1284">
        <f t="shared" si="77"/>
        <v>0</v>
      </c>
      <c r="AM173" s="1285"/>
      <c r="AN173" s="1285"/>
      <c r="AO173" s="1285"/>
      <c r="AP173" s="1285"/>
      <c r="AQ173" s="1285"/>
      <c r="AR173" s="1285"/>
      <c r="AS173" s="1286"/>
      <c r="AT173" s="1287"/>
      <c r="AU173" s="1288"/>
      <c r="AV173" s="1289"/>
      <c r="AW173" s="1290"/>
      <c r="AX173" s="1291"/>
      <c r="AY173" s="1291"/>
      <c r="AZ173" s="1292"/>
      <c r="BA173" s="1293"/>
      <c r="BB173" s="1294"/>
      <c r="BC173" s="1295"/>
      <c r="BD173" s="1296">
        <f>BD172+PROD!L173-BA173</f>
        <v>0</v>
      </c>
      <c r="BE173" s="2132">
        <f>IF(SUM(AM173:AZ179)&gt;0,(SUM(AM173:AM179)*$AM$2+SUM(AN173:AN179)*$AN$2+SUM(AO173:AO179)*$AO$2+SUM(AP173:AP179)*$AP$2+SUM(AQ173:AQ179)*$AQ$2+SUM(AR173:AR179)*$AR$2+SUM(AS173:AS179)*$AS$2+SUM(AW173:AW179)*$AW$2+SUM(AX173:AX179)*$AX$2+SUM(AY173:AY179)*$AY$2+SUM(AZ173:AZ179)*$AZ$2+SUM(AT173:AT179)*$AT$2+SUM(AU173:AU179)*$AU$2+SUM(AV173:AV179)*$AV$2)/SUM(AM173:AZ179),0)</f>
        <v>0</v>
      </c>
      <c r="BF173" s="507" t="e">
        <f t="shared" si="78"/>
        <v>#VALUE!</v>
      </c>
      <c r="BG173" s="277">
        <f>IF(SUM(L173:L179)&gt;0,A173,IF(SUM(V173:V179)&gt;0,A173,BG166))</f>
        <v>0</v>
      </c>
      <c r="BH173" s="1018">
        <f t="shared" si="79"/>
        <v>0</v>
      </c>
    </row>
    <row r="174" spans="1:60" ht="15" customHeight="1" x14ac:dyDescent="0.3">
      <c r="A174" s="2033"/>
      <c r="B174" s="287" t="str">
        <f t="shared" si="80"/>
        <v/>
      </c>
      <c r="C174" s="288" t="str">
        <f t="shared" si="75"/>
        <v/>
      </c>
      <c r="D174" s="691"/>
      <c r="E174" s="692"/>
      <c r="F174" s="693"/>
      <c r="G174" s="694"/>
      <c r="H174" s="695"/>
      <c r="I174" s="289">
        <f>I173-SUM($D174:F174)</f>
        <v>0</v>
      </c>
      <c r="J174" s="1234" t="str">
        <f>$J$6</f>
        <v>% Sel Sem :</v>
      </c>
      <c r="K174" s="1231">
        <f>IF(PROD!$K$2&gt;0,SUM(E173:E179)/PROD!$K$2,0)</f>
        <v>0</v>
      </c>
      <c r="L174" s="1246"/>
      <c r="M174" s="291">
        <f t="shared" si="100"/>
        <v>0</v>
      </c>
      <c r="N174" s="292" t="str">
        <f>$N$6</f>
        <v xml:space="preserve">H. Ave Alojada : </v>
      </c>
      <c r="O174" s="293">
        <f>IF(AND(PROD!$K$2&gt;0,O173&gt;0),SUM(L$5:L179)/PROD!$K$2,0)</f>
        <v>0</v>
      </c>
      <c r="P174" s="293">
        <f>IFERROR(LOOKUP($A173,TP!$A$6:$A$108,GSh!$AJ$6:$AJ$108),0)</f>
        <v>0</v>
      </c>
      <c r="Q174" s="294">
        <f>IF(AND(P174&gt;0,O174&gt;0),O174-P174,0)</f>
        <v>0</v>
      </c>
      <c r="R174" s="699"/>
      <c r="S174" s="762"/>
      <c r="T174" s="765">
        <f t="shared" si="86"/>
        <v>0</v>
      </c>
      <c r="U174" s="700"/>
      <c r="V174" s="701"/>
      <c r="W174" s="701"/>
      <c r="X174" s="295">
        <f t="shared" si="81"/>
        <v>0</v>
      </c>
      <c r="Y174" s="296">
        <f>IF(AA174&gt;0,V174,AE173/IF(Iniciar!$C$25="B X 40 K",40,IF(Iniciar!$C$25="B X 50 K",50,1))*I174/1000)</f>
        <v>0</v>
      </c>
      <c r="Z174" s="296">
        <f t="shared" si="82"/>
        <v>0</v>
      </c>
      <c r="AA174" s="297">
        <f t="shared" si="101"/>
        <v>0</v>
      </c>
      <c r="AB174" s="297">
        <f t="shared" si="76"/>
        <v>0</v>
      </c>
      <c r="AC174" s="1267" t="str">
        <f>$AC$6</f>
        <v>Gr. Ave Sem :</v>
      </c>
      <c r="AD174" s="284">
        <f>AD173*7</f>
        <v>0</v>
      </c>
      <c r="AE174" s="284">
        <f>AE173*7</f>
        <v>0</v>
      </c>
      <c r="AF174" s="285">
        <f>IF(AND(AE174&gt;0,AD174&gt;0),(AD174/AE174-1)*100,0)</f>
        <v>0</v>
      </c>
      <c r="AG174" s="1199" t="str">
        <f>PROD!$AG$6</f>
        <v>Gr X H Acm</v>
      </c>
      <c r="AH174" s="298">
        <f>IF(SUM(PROD!L173:L179)&gt;0,IF(PROD!$AG$5="Gr X H",SUM(PROD!V$5:V179)*PROD!$A$1/SUM(PROD!L$5:L179),IF($AG173="Conv Kg/Doc",(SUM(PROD!V$5:V179)*PROD!$A$1/1000)/(SUM(PROD!L$5:L179)/12),IF(PROD!$O175&gt;0,SUM(PROD!V$5:V179)*PROD!$A$1/(SUM(PROD!L$5:L179)*LOOKUP(PROD!A173,TP!$A$6:$A$108,GSh!$BB$6:$BB$108)),0))),0)</f>
        <v>0</v>
      </c>
      <c r="AI174" s="298">
        <f>IF(PROD!P173&gt;0,IF($AG173="Gr X H",PROD!AE173/PROD!P173*100,IF($AG173="Conv Kg/Doc",PROD!AE173/PROD!P173*1.2,IF(PROD!$P174&gt;0,PROD!AE175/(PROD!P174*LOOKUP(PROD!$A173,TP!$A$6:$A$108,GSh!$BC$6:$BC$108)/1000),0))),0)</f>
        <v>0</v>
      </c>
      <c r="AJ174" s="328">
        <f t="shared" si="99"/>
        <v>0</v>
      </c>
      <c r="AK174" s="2027"/>
      <c r="AL174" s="1284">
        <f t="shared" si="77"/>
        <v>0</v>
      </c>
      <c r="AM174" s="1285"/>
      <c r="AN174" s="1285"/>
      <c r="AO174" s="1285"/>
      <c r="AP174" s="1285"/>
      <c r="AQ174" s="1285"/>
      <c r="AR174" s="1285"/>
      <c r="AS174" s="1286"/>
      <c r="AT174" s="1287"/>
      <c r="AU174" s="1288"/>
      <c r="AV174" s="1289"/>
      <c r="AW174" s="1290"/>
      <c r="AX174" s="1291"/>
      <c r="AY174" s="1291"/>
      <c r="AZ174" s="1292"/>
      <c r="BA174" s="1293"/>
      <c r="BB174" s="1294"/>
      <c r="BC174" s="1295"/>
      <c r="BD174" s="1296">
        <f>BD173+PROD!L174-BA174</f>
        <v>0</v>
      </c>
      <c r="BE174" s="2133"/>
      <c r="BF174" s="507" t="e">
        <f t="shared" si="78"/>
        <v>#VALUE!</v>
      </c>
      <c r="BG174" s="329"/>
      <c r="BH174" s="1018">
        <f t="shared" si="79"/>
        <v>0</v>
      </c>
    </row>
    <row r="175" spans="1:60" ht="15" customHeight="1" x14ac:dyDescent="0.3">
      <c r="A175" s="2033"/>
      <c r="B175" s="287" t="str">
        <f t="shared" si="80"/>
        <v/>
      </c>
      <c r="C175" s="288" t="str">
        <f t="shared" si="75"/>
        <v/>
      </c>
      <c r="D175" s="691"/>
      <c r="E175" s="692"/>
      <c r="F175" s="693"/>
      <c r="G175" s="694"/>
      <c r="H175" s="695"/>
      <c r="I175" s="289">
        <f>I174-SUM($D175:F175)</f>
        <v>0</v>
      </c>
      <c r="J175" s="1235" t="str">
        <f>$J$7</f>
        <v>% Mort/Sel Sem Tab :</v>
      </c>
      <c r="K175" s="1236">
        <f>K178-K171</f>
        <v>0</v>
      </c>
      <c r="L175" s="1246"/>
      <c r="M175" s="291">
        <f t="shared" si="100"/>
        <v>0</v>
      </c>
      <c r="N175" s="304" t="str">
        <f>$N$7</f>
        <v xml:space="preserve">Peso Huevo (Gr) : </v>
      </c>
      <c r="O175" s="305">
        <f>LOOKUP($A173,'Pr-Sem'!$A$6:$A$108,'Pr-Sem'!$Z$6:$Z$108)</f>
        <v>0</v>
      </c>
      <c r="P175" s="305">
        <f>IFERROR(LOOKUP($A173,TP!$A$6:$A$108,GSh!$AZ$6:$AZ$108),0)</f>
        <v>0</v>
      </c>
      <c r="Q175" s="306">
        <f>IF(AND(P175&gt;0,O175&gt;0),O175-P175,0)</f>
        <v>0</v>
      </c>
      <c r="R175" s="699"/>
      <c r="S175" s="762"/>
      <c r="T175" s="765">
        <f t="shared" si="86"/>
        <v>0</v>
      </c>
      <c r="U175" s="700"/>
      <c r="V175" s="701"/>
      <c r="W175" s="701"/>
      <c r="X175" s="295">
        <f t="shared" si="81"/>
        <v>0</v>
      </c>
      <c r="Y175" s="296">
        <f>IF(AA175&gt;0,V175,AE173/IF(Iniciar!$C$25="B X 40 K",40,IF(Iniciar!$C$25="B X 50 K",50,1))*I175/1000)</f>
        <v>0</v>
      </c>
      <c r="Z175" s="296">
        <f t="shared" si="82"/>
        <v>0</v>
      </c>
      <c r="AA175" s="297">
        <f t="shared" si="101"/>
        <v>0</v>
      </c>
      <c r="AB175" s="297">
        <f t="shared" si="76"/>
        <v>0</v>
      </c>
      <c r="AC175" s="1268" t="str">
        <f>$AC$7</f>
        <v>Kg Ave Acu :</v>
      </c>
      <c r="AD175" s="308">
        <f>IF(OR(SUM(L173:L179)&gt;0,SUM(V173:V179)&gt;0),AD174/1000+AD168,0)</f>
        <v>0</v>
      </c>
      <c r="AE175" s="309">
        <f>AE174/1000+AE168</f>
        <v>0</v>
      </c>
      <c r="AF175" s="310">
        <f>IF(AND(AE175&gt;0,AD175&gt;0),(AD175/AE175-1)*100,0)</f>
        <v>0</v>
      </c>
      <c r="AG175" s="311" t="str">
        <f>PROD!$AG$7</f>
        <v xml:space="preserve">Masa Sem H (Gr) : </v>
      </c>
      <c r="AH175" s="312">
        <f>PROD!O173/100*7*PROD!O175</f>
        <v>0</v>
      </c>
      <c r="AI175" s="312">
        <f>PROD!P173/100*7*PROD!P175</f>
        <v>0</v>
      </c>
      <c r="AJ175" s="313">
        <f t="shared" si="99"/>
        <v>0</v>
      </c>
      <c r="AK175" s="2027"/>
      <c r="AL175" s="1284">
        <f t="shared" si="77"/>
        <v>0</v>
      </c>
      <c r="AM175" s="1285"/>
      <c r="AN175" s="1285"/>
      <c r="AO175" s="1285"/>
      <c r="AP175" s="1285"/>
      <c r="AQ175" s="1285"/>
      <c r="AR175" s="1285"/>
      <c r="AS175" s="1286"/>
      <c r="AT175" s="1287"/>
      <c r="AU175" s="1288"/>
      <c r="AV175" s="1289"/>
      <c r="AW175" s="1290"/>
      <c r="AX175" s="1291"/>
      <c r="AY175" s="1291"/>
      <c r="AZ175" s="1292"/>
      <c r="BA175" s="1293"/>
      <c r="BB175" s="1294"/>
      <c r="BC175" s="1295"/>
      <c r="BD175" s="1296">
        <f>BD174+PROD!L175-BA175</f>
        <v>0</v>
      </c>
      <c r="BE175" s="2133"/>
      <c r="BF175" s="507" t="e">
        <f t="shared" si="78"/>
        <v>#VALUE!</v>
      </c>
      <c r="BG175" s="329"/>
      <c r="BH175" s="1018">
        <f t="shared" si="79"/>
        <v>0</v>
      </c>
    </row>
    <row r="176" spans="1:60" ht="15" customHeight="1" x14ac:dyDescent="0.3">
      <c r="A176" s="2033"/>
      <c r="B176" s="287" t="str">
        <f t="shared" si="80"/>
        <v/>
      </c>
      <c r="C176" s="288" t="str">
        <f t="shared" si="75"/>
        <v/>
      </c>
      <c r="D176" s="691"/>
      <c r="E176" s="692"/>
      <c r="F176" s="693"/>
      <c r="G176" s="694"/>
      <c r="H176" s="695"/>
      <c r="I176" s="289">
        <f>I175-SUM($D176:F176)</f>
        <v>0</v>
      </c>
      <c r="J176" s="1234" t="str">
        <f>$J$8</f>
        <v>% Mort Acm :</v>
      </c>
      <c r="K176" s="1231">
        <f>IF(PROD!$K$2&gt;0,SUM(D$5:D179)/PROD!$K$2,0)</f>
        <v>0</v>
      </c>
      <c r="L176" s="1246"/>
      <c r="M176" s="291">
        <f t="shared" si="100"/>
        <v>0</v>
      </c>
      <c r="N176" s="314" t="str">
        <f>N$8</f>
        <v xml:space="preserve">Peso Ave (Gr) : </v>
      </c>
      <c r="O176" s="315">
        <f>LOOKUP($A173,GSh!$BV$6:$BV$108,GSh!$BJ$6:$BJ$108)</f>
        <v>0</v>
      </c>
      <c r="P176" s="315">
        <f>IFERROR(LOOKUP($A173,TP!$A$6:$A$108,GSh!$BK$6:$BK$108),0)</f>
        <v>0</v>
      </c>
      <c r="Q176" s="316">
        <f>IF(AND(P176&gt;0,O176&gt;0),(O176/P176-1)*100,0)</f>
        <v>0</v>
      </c>
      <c r="R176" s="699"/>
      <c r="S176" s="762"/>
      <c r="T176" s="765">
        <f t="shared" si="86"/>
        <v>0</v>
      </c>
      <c r="U176" s="700"/>
      <c r="V176" s="701"/>
      <c r="W176" s="701"/>
      <c r="X176" s="295">
        <f t="shared" si="81"/>
        <v>0</v>
      </c>
      <c r="Y176" s="296">
        <f>IF(AA176&gt;0,V176,AE173/IF(Iniciar!$C$25="B X 40 K",40,IF(Iniciar!$C$25="B X 50 K",50,1))*I176/1000)</f>
        <v>0</v>
      </c>
      <c r="Z176" s="296">
        <f t="shared" si="82"/>
        <v>0</v>
      </c>
      <c r="AA176" s="297">
        <f t="shared" si="101"/>
        <v>0</v>
      </c>
      <c r="AB176" s="297">
        <f t="shared" si="76"/>
        <v>0</v>
      </c>
      <c r="AC176" s="541" t="str">
        <f>$AC$8</f>
        <v xml:space="preserve">Ton. Lote Acu : </v>
      </c>
      <c r="AD176" s="544">
        <f>SUM($V$5:$V179)*$A$1/1000000</f>
        <v>0</v>
      </c>
      <c r="AE176" s="543">
        <f>AE169+(AE173/1000000*7*(I173+I179)/2)</f>
        <v>0</v>
      </c>
      <c r="AF176" s="542">
        <f>IF(AND(AE176&gt;0,AD176&gt;0),(AD176/AE176-1)*100,0)</f>
        <v>0</v>
      </c>
      <c r="AG176" s="317" t="str">
        <f>PROD!$AG$8</f>
        <v xml:space="preserve">Masa Ac A. A (Kg) : </v>
      </c>
      <c r="AH176" s="318">
        <f>IF(PROD!$K$2&gt;0,SUM(PROD!L$5:L179)*LOOKUP(PROD!$A173,TP!$A$6:$A$108,GSh!$BB$6:$BB$108)/1000/PROD!$K$2,0)</f>
        <v>0</v>
      </c>
      <c r="AI176" s="318">
        <f>IFERROR(PROD!P174*LOOKUP(PROD!$A173,TP!$A$6:$A$108,GSh!$BC$6:$BC$108)/1000,0)</f>
        <v>0</v>
      </c>
      <c r="AJ176" s="330">
        <f t="shared" si="99"/>
        <v>0</v>
      </c>
      <c r="AK176" s="2027"/>
      <c r="AL176" s="1284">
        <f t="shared" si="77"/>
        <v>0</v>
      </c>
      <c r="AM176" s="1285"/>
      <c r="AN176" s="1285"/>
      <c r="AO176" s="1285"/>
      <c r="AP176" s="1285"/>
      <c r="AQ176" s="1285"/>
      <c r="AR176" s="1285"/>
      <c r="AS176" s="1286"/>
      <c r="AT176" s="1287"/>
      <c r="AU176" s="1288"/>
      <c r="AV176" s="1289"/>
      <c r="AW176" s="1290"/>
      <c r="AX176" s="1291"/>
      <c r="AY176" s="1291"/>
      <c r="AZ176" s="1292"/>
      <c r="BA176" s="1293"/>
      <c r="BB176" s="1294"/>
      <c r="BC176" s="1295"/>
      <c r="BD176" s="1296">
        <f>BD175+PROD!L176-BA176</f>
        <v>0</v>
      </c>
      <c r="BE176" s="2133"/>
      <c r="BF176" s="507" t="e">
        <f t="shared" si="78"/>
        <v>#VALUE!</v>
      </c>
      <c r="BG176" s="329"/>
      <c r="BH176" s="1018">
        <f t="shared" si="79"/>
        <v>0</v>
      </c>
    </row>
    <row r="177" spans="1:60" ht="15" customHeight="1" x14ac:dyDescent="0.3">
      <c r="A177" s="2033"/>
      <c r="B177" s="287" t="str">
        <f t="shared" si="80"/>
        <v/>
      </c>
      <c r="C177" s="288" t="str">
        <f t="shared" si="75"/>
        <v/>
      </c>
      <c r="D177" s="691"/>
      <c r="E177" s="692"/>
      <c r="F177" s="693"/>
      <c r="G177" s="694"/>
      <c r="H177" s="695"/>
      <c r="I177" s="289">
        <f>I176-SUM($D177:F177)</f>
        <v>0</v>
      </c>
      <c r="J177" s="1234" t="str">
        <f>$J$9</f>
        <v>% Sel Acm :</v>
      </c>
      <c r="K177" s="1231">
        <f>IF(PROD!$K$2&gt;0,SUM(E$5:E179)/PROD!$K$2,0)</f>
        <v>0</v>
      </c>
      <c r="L177" s="1246"/>
      <c r="M177" s="291">
        <f t="shared" si="100"/>
        <v>0</v>
      </c>
      <c r="N177" s="292" t="str">
        <f>$N$9</f>
        <v xml:space="preserve">Uniformidad (10% -) : </v>
      </c>
      <c r="O177" s="320">
        <f>LOOKUP($A173,'Pr-Sem'!$A$6:$A$108,'Pr-Sem'!$AH$6:$AH$108)</f>
        <v>0</v>
      </c>
      <c r="P177" s="320">
        <v>5</v>
      </c>
      <c r="Q177" s="321">
        <f>IF(AND(P177&gt;0,O177&gt;0),(1-O177/P177)*100,0)</f>
        <v>0</v>
      </c>
      <c r="R177" s="699"/>
      <c r="S177" s="762"/>
      <c r="T177" s="765">
        <f t="shared" si="86"/>
        <v>0</v>
      </c>
      <c r="U177" s="700"/>
      <c r="V177" s="701"/>
      <c r="W177" s="701"/>
      <c r="X177" s="295">
        <f t="shared" si="81"/>
        <v>0</v>
      </c>
      <c r="Y177" s="296">
        <f>IF(AA177&gt;0,V177,AE173/IF(Iniciar!$C$25="B X 40 K",40,IF(Iniciar!$C$25="B X 50 K",50,1))*I177/1000)</f>
        <v>0</v>
      </c>
      <c r="Z177" s="296">
        <f t="shared" si="82"/>
        <v>0</v>
      </c>
      <c r="AA177" s="297">
        <f t="shared" si="101"/>
        <v>0</v>
      </c>
      <c r="AB177" s="297">
        <f t="shared" si="76"/>
        <v>0</v>
      </c>
      <c r="AC177" s="2035" t="str">
        <f>$AC$9</f>
        <v xml:space="preserve">Total Litros Sem: </v>
      </c>
      <c r="AD177" s="2036"/>
      <c r="AE177" s="2050">
        <f>SUM(R173:R179)</f>
        <v>0</v>
      </c>
      <c r="AF177" s="2051"/>
      <c r="AG177" s="554" t="str">
        <f>$AG$9</f>
        <v xml:space="preserve">Indicador Eficiencia : </v>
      </c>
      <c r="AH177" s="555">
        <f>IF(AND(AE177&gt;0,O174&gt;0,O175&gt;0,SUM(L173:L179)&gt;0),(PROD!AH176/O174)*K179*100/(AE177/(SUM(L173:L179)*O175/1000)),0)</f>
        <v>0</v>
      </c>
      <c r="AI177" s="555">
        <f>IF(AND(P174&gt;0,PROD!AI175&gt;0),(PROD!AI176/P174)*(1-K178)*100/(AE174/PROD!AI175),0)</f>
        <v>0</v>
      </c>
      <c r="AJ177" s="331">
        <f t="shared" si="99"/>
        <v>0</v>
      </c>
      <c r="AK177" s="2027"/>
      <c r="AL177" s="1284">
        <f t="shared" si="77"/>
        <v>0</v>
      </c>
      <c r="AM177" s="1285"/>
      <c r="AN177" s="1285"/>
      <c r="AO177" s="1285"/>
      <c r="AP177" s="1285"/>
      <c r="AQ177" s="1285"/>
      <c r="AR177" s="1285"/>
      <c r="AS177" s="1286"/>
      <c r="AT177" s="1287"/>
      <c r="AU177" s="1288"/>
      <c r="AV177" s="1289"/>
      <c r="AW177" s="1290"/>
      <c r="AX177" s="1291"/>
      <c r="AY177" s="1291"/>
      <c r="AZ177" s="1292"/>
      <c r="BA177" s="1293"/>
      <c r="BB177" s="1294"/>
      <c r="BC177" s="1295"/>
      <c r="BD177" s="1296">
        <f>BD176+PROD!L177-BA177</f>
        <v>0</v>
      </c>
      <c r="BE177" s="2133"/>
      <c r="BF177" s="507" t="e">
        <f t="shared" si="78"/>
        <v>#VALUE!</v>
      </c>
      <c r="BG177" s="329"/>
      <c r="BH177" s="1018">
        <f t="shared" si="79"/>
        <v>0</v>
      </c>
    </row>
    <row r="178" spans="1:60" ht="15" customHeight="1" x14ac:dyDescent="0.3">
      <c r="A178" s="2033"/>
      <c r="B178" s="287" t="str">
        <f t="shared" si="80"/>
        <v/>
      </c>
      <c r="C178" s="288" t="str">
        <f t="shared" si="75"/>
        <v/>
      </c>
      <c r="D178" s="691"/>
      <c r="E178" s="692"/>
      <c r="F178" s="693"/>
      <c r="G178" s="694"/>
      <c r="H178" s="695"/>
      <c r="I178" s="289">
        <f>I177-SUM($D178:F178)</f>
        <v>0</v>
      </c>
      <c r="J178" s="1237" t="str">
        <f>$J$10</f>
        <v>% Mort/Sel Acm Tab :</v>
      </c>
      <c r="K178" s="1238">
        <f>IFERROR(LOOKUP($A173,TP!$A$6:$A$108,GSh!$AR$6:$AR$108)/100,0)</f>
        <v>0</v>
      </c>
      <c r="L178" s="1246"/>
      <c r="M178" s="291">
        <f t="shared" si="100"/>
        <v>0</v>
      </c>
      <c r="N178" s="292" t="str">
        <f>$N$10</f>
        <v xml:space="preserve">Uniformidad (C. Lote) : </v>
      </c>
      <c r="O178" s="320">
        <f>LOOKUP($A173,'Pr-Sem'!$A$6:$A$108,'Pr-Sem'!$AG$6:$AG$108)</f>
        <v>0</v>
      </c>
      <c r="P178" s="320">
        <v>90</v>
      </c>
      <c r="Q178" s="321">
        <f>IF(AND(P178&gt;0,O178&gt;0),(O178/P178-1)*100,0)</f>
        <v>0</v>
      </c>
      <c r="R178" s="699"/>
      <c r="S178" s="762"/>
      <c r="T178" s="765">
        <f t="shared" si="86"/>
        <v>0</v>
      </c>
      <c r="U178" s="700"/>
      <c r="V178" s="701"/>
      <c r="W178" s="701"/>
      <c r="X178" s="295">
        <f t="shared" si="81"/>
        <v>0</v>
      </c>
      <c r="Y178" s="296">
        <f>IF(AA178&gt;0,V178,AE173/IF(Iniciar!$C$25="B X 40 K",40,IF(Iniciar!$C$25="B X 50 K",50,1))*I178/1000)</f>
        <v>0</v>
      </c>
      <c r="Z178" s="296">
        <f t="shared" si="82"/>
        <v>0</v>
      </c>
      <c r="AA178" s="297">
        <f t="shared" si="101"/>
        <v>0</v>
      </c>
      <c r="AB178" s="297">
        <f t="shared" si="76"/>
        <v>0</v>
      </c>
      <c r="AC178" s="2037" t="str">
        <f>$AC$10</f>
        <v xml:space="preserve">Cons ml /ave día: </v>
      </c>
      <c r="AD178" s="2038"/>
      <c r="AE178" s="2056">
        <f>IFERROR(SUMPRODUCT(AB173:AB179,I173:I179)/SUM(I173:I179),0)</f>
        <v>0</v>
      </c>
      <c r="AF178" s="2057"/>
      <c r="AG178" s="311" t="str">
        <f>CONCATENATE("Costo ",Iniciar!$C$25," : ")</f>
        <v xml:space="preserve">Costo Kilos : </v>
      </c>
      <c r="AH178" s="2043">
        <f>IFERROR(SUMPRODUCT(T173:T179,V173:V179)/SUMIF(T173:T179,"&gt;0",V173:V179),0)</f>
        <v>0</v>
      </c>
      <c r="AI178" s="2043"/>
      <c r="AJ178" s="313"/>
      <c r="AK178" s="2027"/>
      <c r="AL178" s="1284">
        <f t="shared" si="77"/>
        <v>0</v>
      </c>
      <c r="AM178" s="1285"/>
      <c r="AN178" s="1285"/>
      <c r="AO178" s="1285"/>
      <c r="AP178" s="1285"/>
      <c r="AQ178" s="1285"/>
      <c r="AR178" s="1285"/>
      <c r="AS178" s="1286"/>
      <c r="AT178" s="1287"/>
      <c r="AU178" s="1288"/>
      <c r="AV178" s="1289"/>
      <c r="AW178" s="1290"/>
      <c r="AX178" s="1291"/>
      <c r="AY178" s="1291"/>
      <c r="AZ178" s="1292"/>
      <c r="BA178" s="1293"/>
      <c r="BB178" s="1294"/>
      <c r="BC178" s="1295"/>
      <c r="BD178" s="1296">
        <f>BD177+PROD!L178-BA178</f>
        <v>0</v>
      </c>
      <c r="BE178" s="2133"/>
      <c r="BF178" s="507" t="e">
        <f t="shared" si="78"/>
        <v>#VALUE!</v>
      </c>
      <c r="BG178" s="329"/>
      <c r="BH178" s="1018">
        <f t="shared" si="79"/>
        <v>0</v>
      </c>
    </row>
    <row r="179" spans="1:60" ht="15" customHeight="1" x14ac:dyDescent="0.3">
      <c r="A179" s="2034"/>
      <c r="B179" s="287" t="str">
        <f t="shared" si="80"/>
        <v/>
      </c>
      <c r="C179" s="288" t="str">
        <f t="shared" si="75"/>
        <v/>
      </c>
      <c r="D179" s="691"/>
      <c r="E179" s="692"/>
      <c r="F179" s="693"/>
      <c r="G179" s="694"/>
      <c r="H179" s="695"/>
      <c r="I179" s="289">
        <f>I178-SUM($D179:F179)</f>
        <v>0</v>
      </c>
      <c r="J179" s="1239" t="str">
        <f>$J$11</f>
        <v>% Viabilidad :</v>
      </c>
      <c r="K179" s="1240">
        <f>IF(OR(SUM(L173:L179)&gt;0,SUM(V173:V179)&gt;0),1-(K176+K177),0)</f>
        <v>0</v>
      </c>
      <c r="L179" s="1247"/>
      <c r="M179" s="1248">
        <f>IF(I179&gt;0,(L179/IF(SUM(L173:L178)&gt;0,1,7))/I179,0)</f>
        <v>0</v>
      </c>
      <c r="N179" s="1249" t="str">
        <f>$N$11</f>
        <v xml:space="preserve">Uniformidad (10% +) : </v>
      </c>
      <c r="O179" s="1250">
        <f>IF(O177&gt;0,IF(O178&gt;0,100-SUM(O177:O178),0),0)</f>
        <v>0</v>
      </c>
      <c r="P179" s="1251">
        <f>100-SUM(P177:P178)</f>
        <v>5</v>
      </c>
      <c r="Q179" s="1252">
        <f>IF(AND(P179&gt;0,O179&gt;0),(O179/P179-1)*100,0)</f>
        <v>0</v>
      </c>
      <c r="R179" s="699"/>
      <c r="S179" s="762"/>
      <c r="T179" s="765">
        <f t="shared" si="86"/>
        <v>0</v>
      </c>
      <c r="U179" s="700"/>
      <c r="V179" s="701"/>
      <c r="W179" s="701"/>
      <c r="X179" s="295">
        <f t="shared" si="81"/>
        <v>0</v>
      </c>
      <c r="Y179" s="296">
        <f>IF(AA179&gt;0,V179,AE173/IF(Iniciar!$C$25="B X 40 K",40,IF(Iniciar!$C$25="B X 50 K",50,1))*I179/1000)</f>
        <v>0</v>
      </c>
      <c r="Z179" s="296">
        <f t="shared" si="82"/>
        <v>0</v>
      </c>
      <c r="AA179" s="297">
        <f>IF(I179&gt;0,(V179/IF(SUM(V173:V178)&gt;0,1,7))*$A$1/I179,0)</f>
        <v>0</v>
      </c>
      <c r="AB179" s="297">
        <f t="shared" si="76"/>
        <v>0</v>
      </c>
      <c r="AC179" s="2039" t="str">
        <f>$AC$11</f>
        <v xml:space="preserve">Relación Agua /Alimto: </v>
      </c>
      <c r="AD179" s="2040"/>
      <c r="AE179" s="2058">
        <f>IFERROR(AE178/AD173,0)</f>
        <v>0</v>
      </c>
      <c r="AF179" s="2059"/>
      <c r="AG179" s="1269" t="s">
        <v>237</v>
      </c>
      <c r="AH179" s="1270">
        <f>IF(SUM(L173:L179)&gt;0,AH178*SUM(V173:V179)/SUM(L173:L179),0)</f>
        <v>0</v>
      </c>
      <c r="AI179" s="1270">
        <f>IF(AND($A$1&gt;0,P173&gt;0),AH178/$A$1*(AE173/P173)*100,0)</f>
        <v>0</v>
      </c>
      <c r="AJ179" s="1271">
        <f t="shared" ref="AJ179:AJ184" si="102">IF(AND(AI179&gt;0,AH179&gt;0),(AH179/AI179-1)*100,0)</f>
        <v>0</v>
      </c>
      <c r="AK179" s="2028"/>
      <c r="AL179" s="1284">
        <f t="shared" si="77"/>
        <v>0</v>
      </c>
      <c r="AM179" s="1285"/>
      <c r="AN179" s="1285"/>
      <c r="AO179" s="1285"/>
      <c r="AP179" s="1285"/>
      <c r="AQ179" s="1285"/>
      <c r="AR179" s="1285"/>
      <c r="AS179" s="1286"/>
      <c r="AT179" s="1287"/>
      <c r="AU179" s="1288"/>
      <c r="AV179" s="1289"/>
      <c r="AW179" s="1290"/>
      <c r="AX179" s="1291"/>
      <c r="AY179" s="1291"/>
      <c r="AZ179" s="1292"/>
      <c r="BA179" s="1293"/>
      <c r="BB179" s="1294"/>
      <c r="BC179" s="1295"/>
      <c r="BD179" s="1296">
        <f>BD178+PROD!L179-BA179</f>
        <v>0</v>
      </c>
      <c r="BE179" s="2134"/>
      <c r="BF179" s="507" t="e">
        <f t="shared" si="78"/>
        <v>#VALUE!</v>
      </c>
      <c r="BG179" s="329"/>
      <c r="BH179" s="1018">
        <f t="shared" si="79"/>
        <v>0</v>
      </c>
    </row>
    <row r="180" spans="1:60" ht="15" customHeight="1" x14ac:dyDescent="0.3">
      <c r="A180" s="2032">
        <f>A173+1</f>
        <v>43</v>
      </c>
      <c r="B180" s="287" t="str">
        <f t="shared" si="80"/>
        <v/>
      </c>
      <c r="C180" s="288" t="str">
        <f t="shared" si="75"/>
        <v/>
      </c>
      <c r="D180" s="691"/>
      <c r="E180" s="692"/>
      <c r="F180" s="693"/>
      <c r="G180" s="694"/>
      <c r="H180" s="695"/>
      <c r="I180" s="289">
        <f>I179-SUM($D180:F180)</f>
        <v>0</v>
      </c>
      <c r="J180" s="1232" t="str">
        <f>$J$5</f>
        <v>% Mort Sem :</v>
      </c>
      <c r="K180" s="1233">
        <f>IF(PROD!$K$2&gt;0,SUM(D180:D186)/PROD!$K$2,0)</f>
        <v>0</v>
      </c>
      <c r="L180" s="1241"/>
      <c r="M180" s="1242">
        <f t="shared" ref="M180:M185" si="103">IF(I180&gt;0,L180/I180,0)</f>
        <v>0</v>
      </c>
      <c r="N180" s="1243" t="str">
        <f>$N$5</f>
        <v xml:space="preserve">% Pdn prom semana : </v>
      </c>
      <c r="O180" s="1244">
        <f>IF(SUM(L180:L185)&gt;0,100*SUMPRODUCT(M180:M186,I180:I186)/SUMIF(L180:L186,"&gt;0",I180:I186),IF(L186&gt;0,100*L186/7/I186,0))</f>
        <v>0</v>
      </c>
      <c r="P180" s="1244">
        <f>IFERROR(LOOKUP($A180,TP!$A$6:$A$108,GSh!$AE$6:$AE$108),0)</f>
        <v>0</v>
      </c>
      <c r="Q180" s="1245">
        <f>IF(AND(P180&gt;0,O180&gt;0),O180-P180,0)</f>
        <v>0</v>
      </c>
      <c r="R180" s="699"/>
      <c r="S180" s="762"/>
      <c r="T180" s="765">
        <f t="shared" si="86"/>
        <v>0</v>
      </c>
      <c r="U180" s="700"/>
      <c r="V180" s="701"/>
      <c r="W180" s="701"/>
      <c r="X180" s="295">
        <f t="shared" si="81"/>
        <v>0</v>
      </c>
      <c r="Y180" s="296">
        <f>IF(AA180&gt;0,V180,AE180/IF(Iniciar!$C$25="B X 40 K",40,IF(Iniciar!$C$25="B X 50 K",50,1))*I180/1000)</f>
        <v>0</v>
      </c>
      <c r="Z180" s="296">
        <f t="shared" si="82"/>
        <v>0</v>
      </c>
      <c r="AA180" s="297">
        <f t="shared" ref="AA180:AA185" si="104">IF(I180&gt;0,V180*$A$1/I180,0)</f>
        <v>0</v>
      </c>
      <c r="AB180" s="297">
        <f t="shared" si="76"/>
        <v>0</v>
      </c>
      <c r="AC180" s="1261" t="str">
        <f>$AC$5</f>
        <v>Gr. Ave Dia :</v>
      </c>
      <c r="AD180" s="1262">
        <f>IF(SUMIF(V180:V186,"&gt;0")&gt;0,SUMPRODUCT(AA180:AA186,I180:I186)/SUMIF(AA180:AA186,"&gt;0",I180:I186),0)</f>
        <v>0</v>
      </c>
      <c r="AE180" s="1262">
        <f>IFERROR(LOOKUP($A180,TP!$A$6:$A$108,GSh!$AU$6:$AU$108),0)</f>
        <v>0</v>
      </c>
      <c r="AF180" s="1263">
        <f>IF(AND(AE180&gt;0,AD180&gt;0),(AD180/AE180-1)*100,0)</f>
        <v>0</v>
      </c>
      <c r="AG180" s="1264" t="str">
        <f>PROD!$AG$5</f>
        <v>Gr X H</v>
      </c>
      <c r="AH180" s="1265">
        <f>IF(PROD!O180&gt;0,IF($AG180="Gr X H",PROD!AD180/PROD!O180*100,IF($AG180="Conv Kg/Doc",PROD!AD180/PROD!O180*1.2,IF(PROD!$O182&gt;0,PROD!AD180/(PROD!O180*PROD!$O182)*100,0))),0)</f>
        <v>0</v>
      </c>
      <c r="AI180" s="1265">
        <f>IF(PROD!P180&gt;0,IF($AG180="Gr X H",PROD!AE180/PROD!P180*100,IF($AG180="Conv Kg/Doc",PROD!AE180/PROD!P180*1.2,IF(PROD!$P182&gt;0,PROD!AE180/(PROD!P180*PROD!$P182)*100,0))),0)</f>
        <v>0</v>
      </c>
      <c r="AJ180" s="1266">
        <f t="shared" si="102"/>
        <v>0</v>
      </c>
      <c r="AK180" s="2026"/>
      <c r="AL180" s="1284">
        <f t="shared" si="77"/>
        <v>0</v>
      </c>
      <c r="AM180" s="1285"/>
      <c r="AN180" s="1285"/>
      <c r="AO180" s="1285"/>
      <c r="AP180" s="1285"/>
      <c r="AQ180" s="1285"/>
      <c r="AR180" s="1285"/>
      <c r="AS180" s="1286"/>
      <c r="AT180" s="1287"/>
      <c r="AU180" s="1288"/>
      <c r="AV180" s="1289"/>
      <c r="AW180" s="1290"/>
      <c r="AX180" s="1291"/>
      <c r="AY180" s="1291"/>
      <c r="AZ180" s="1292"/>
      <c r="BA180" s="1293"/>
      <c r="BB180" s="1294"/>
      <c r="BC180" s="1295"/>
      <c r="BD180" s="1296">
        <f>BD179+PROD!L180-BA180</f>
        <v>0</v>
      </c>
      <c r="BE180" s="2132">
        <f>IF(SUM(AM180:AZ186)&gt;0,(SUM(AM180:AM186)*$AM$2+SUM(AN180:AN186)*$AN$2+SUM(AO180:AO186)*$AO$2+SUM(AP180:AP186)*$AP$2+SUM(AQ180:AQ186)*$AQ$2+SUM(AR180:AR186)*$AR$2+SUM(AS180:AS186)*$AS$2+SUM(AW180:AW186)*$AW$2+SUM(AX180:AX186)*$AX$2+SUM(AY180:AY186)*$AY$2+SUM(AZ180:AZ186)*$AZ$2+SUM(AT180:AT186)*$AT$2+SUM(AU180:AU186)*$AU$2+SUM(AV180:AV186)*$AV$2)/SUM(AM180:AZ186),0)</f>
        <v>0</v>
      </c>
      <c r="BF180" s="507" t="e">
        <f t="shared" si="78"/>
        <v>#VALUE!</v>
      </c>
      <c r="BG180" s="277">
        <f>IF(SUM(L180:L186)&gt;0,A180,IF(SUM(V180:V186)&gt;0,A180,BG173))</f>
        <v>0</v>
      </c>
      <c r="BH180" s="1018">
        <f t="shared" si="79"/>
        <v>0</v>
      </c>
    </row>
    <row r="181" spans="1:60" ht="15" customHeight="1" x14ac:dyDescent="0.3">
      <c r="A181" s="2033"/>
      <c r="B181" s="287" t="str">
        <f t="shared" si="80"/>
        <v/>
      </c>
      <c r="C181" s="288" t="str">
        <f t="shared" si="75"/>
        <v/>
      </c>
      <c r="D181" s="691"/>
      <c r="E181" s="692"/>
      <c r="F181" s="693"/>
      <c r="G181" s="694"/>
      <c r="H181" s="695"/>
      <c r="I181" s="289">
        <f>I180-SUM($D181:F181)</f>
        <v>0</v>
      </c>
      <c r="J181" s="1234" t="str">
        <f>$J$6</f>
        <v>% Sel Sem :</v>
      </c>
      <c r="K181" s="1231">
        <f>IF(PROD!$K$2&gt;0,SUM(E180:E186)/PROD!$K$2,0)</f>
        <v>0</v>
      </c>
      <c r="L181" s="1246"/>
      <c r="M181" s="291">
        <f t="shared" si="103"/>
        <v>0</v>
      </c>
      <c r="N181" s="292" t="str">
        <f>$N$6</f>
        <v xml:space="preserve">H. Ave Alojada : </v>
      </c>
      <c r="O181" s="293">
        <f>IF(AND(PROD!$K$2&gt;0,O180&gt;0),SUM(L$5:L186)/PROD!$K$2,0)</f>
        <v>0</v>
      </c>
      <c r="P181" s="293">
        <f>IFERROR(LOOKUP($A180,TP!$A$6:$A$108,GSh!$AJ$6:$AJ$108),0)</f>
        <v>0</v>
      </c>
      <c r="Q181" s="294">
        <f>IF(AND(P181&gt;0,O181&gt;0),O181-P181,0)</f>
        <v>0</v>
      </c>
      <c r="R181" s="699"/>
      <c r="S181" s="762"/>
      <c r="T181" s="765">
        <f t="shared" si="86"/>
        <v>0</v>
      </c>
      <c r="U181" s="700"/>
      <c r="V181" s="701"/>
      <c r="W181" s="701"/>
      <c r="X181" s="295">
        <f t="shared" si="81"/>
        <v>0</v>
      </c>
      <c r="Y181" s="296">
        <f>IF(AA181&gt;0,V181,AE180/IF(Iniciar!$C$25="B X 40 K",40,IF(Iniciar!$C$25="B X 50 K",50,1))*I181/1000)</f>
        <v>0</v>
      </c>
      <c r="Z181" s="296">
        <f t="shared" si="82"/>
        <v>0</v>
      </c>
      <c r="AA181" s="297">
        <f t="shared" si="104"/>
        <v>0</v>
      </c>
      <c r="AB181" s="297">
        <f t="shared" si="76"/>
        <v>0</v>
      </c>
      <c r="AC181" s="1267" t="str">
        <f>$AC$6</f>
        <v>Gr. Ave Sem :</v>
      </c>
      <c r="AD181" s="284">
        <f>AD180*7</f>
        <v>0</v>
      </c>
      <c r="AE181" s="284">
        <f>AE180*7</f>
        <v>0</v>
      </c>
      <c r="AF181" s="285">
        <f>IF(AND(AE181&gt;0,AD181&gt;0),(AD181/AE181-1)*100,0)</f>
        <v>0</v>
      </c>
      <c r="AG181" s="1199" t="str">
        <f>PROD!$AG$6</f>
        <v>Gr X H Acm</v>
      </c>
      <c r="AH181" s="298">
        <f>IF(SUM(PROD!L180:L186)&gt;0,IF(PROD!$AG$5="Gr X H",SUM(PROD!V$5:V186)*PROD!$A$1/SUM(PROD!L$5:L186),IF($AG180="Conv Kg/Doc",(SUM(PROD!V$5:V186)*PROD!$A$1/1000)/(SUM(PROD!L$5:L186)/12),IF(PROD!$O182&gt;0,SUM(PROD!V$5:V186)*PROD!$A$1/(SUM(PROD!L$5:L186)*LOOKUP(PROD!A180,TP!$A$6:$A$108,GSh!$BB$6:$BB$108)),0))),0)</f>
        <v>0</v>
      </c>
      <c r="AI181" s="298">
        <f>IF(PROD!P180&gt;0,IF($AG180="Gr X H",PROD!AE180/PROD!P180*100,IF($AG180="Conv Kg/Doc",PROD!AE180/PROD!P180*1.2,IF(PROD!$P181&gt;0,PROD!AE182/(PROD!P181*LOOKUP(PROD!$A180,TP!$A$6:$A$108,GSh!$BC$6:$BC$108)/1000),0))),0)</f>
        <v>0</v>
      </c>
      <c r="AJ181" s="328">
        <f t="shared" si="102"/>
        <v>0</v>
      </c>
      <c r="AK181" s="2027"/>
      <c r="AL181" s="1284">
        <f t="shared" si="77"/>
        <v>0</v>
      </c>
      <c r="AM181" s="1285"/>
      <c r="AN181" s="1285"/>
      <c r="AO181" s="1285"/>
      <c r="AP181" s="1285"/>
      <c r="AQ181" s="1285"/>
      <c r="AR181" s="1285"/>
      <c r="AS181" s="1286"/>
      <c r="AT181" s="1287"/>
      <c r="AU181" s="1288"/>
      <c r="AV181" s="1289"/>
      <c r="AW181" s="1290"/>
      <c r="AX181" s="1291"/>
      <c r="AY181" s="1291"/>
      <c r="AZ181" s="1292"/>
      <c r="BA181" s="1293"/>
      <c r="BB181" s="1294"/>
      <c r="BC181" s="1295"/>
      <c r="BD181" s="1296">
        <f>BD180+PROD!L181-BA181</f>
        <v>0</v>
      </c>
      <c r="BE181" s="2133"/>
      <c r="BF181" s="507" t="e">
        <f t="shared" si="78"/>
        <v>#VALUE!</v>
      </c>
      <c r="BG181" s="329"/>
      <c r="BH181" s="1018">
        <f t="shared" si="79"/>
        <v>0</v>
      </c>
    </row>
    <row r="182" spans="1:60" ht="15" customHeight="1" x14ac:dyDescent="0.3">
      <c r="A182" s="2033"/>
      <c r="B182" s="287" t="str">
        <f t="shared" si="80"/>
        <v/>
      </c>
      <c r="C182" s="288" t="str">
        <f t="shared" si="75"/>
        <v/>
      </c>
      <c r="D182" s="691"/>
      <c r="E182" s="692"/>
      <c r="F182" s="693"/>
      <c r="G182" s="694"/>
      <c r="H182" s="695"/>
      <c r="I182" s="289">
        <f>I181-SUM($D182:F182)</f>
        <v>0</v>
      </c>
      <c r="J182" s="1235" t="str">
        <f>$J$7</f>
        <v>% Mort/Sel Sem Tab :</v>
      </c>
      <c r="K182" s="1236">
        <f>K185-K178</f>
        <v>0</v>
      </c>
      <c r="L182" s="1246"/>
      <c r="M182" s="291">
        <f t="shared" si="103"/>
        <v>0</v>
      </c>
      <c r="N182" s="304" t="str">
        <f>$N$7</f>
        <v xml:space="preserve">Peso Huevo (Gr) : </v>
      </c>
      <c r="O182" s="305">
        <f>LOOKUP($A180,'Pr-Sem'!$A$6:$A$108,'Pr-Sem'!$Z$6:$Z$108)</f>
        <v>0</v>
      </c>
      <c r="P182" s="305">
        <f>IFERROR(LOOKUP($A180,TP!$A$6:$A$108,GSh!$AZ$6:$AZ$108),0)</f>
        <v>0</v>
      </c>
      <c r="Q182" s="306">
        <f>IF(AND(P182&gt;0,O182&gt;0),O182-P182,0)</f>
        <v>0</v>
      </c>
      <c r="R182" s="699"/>
      <c r="S182" s="762"/>
      <c r="T182" s="765">
        <f t="shared" si="86"/>
        <v>0</v>
      </c>
      <c r="U182" s="700"/>
      <c r="V182" s="701"/>
      <c r="W182" s="701"/>
      <c r="X182" s="295">
        <f t="shared" si="81"/>
        <v>0</v>
      </c>
      <c r="Y182" s="296">
        <f>IF(AA182&gt;0,V182,AE180/IF(Iniciar!$C$25="B X 40 K",40,IF(Iniciar!$C$25="B X 50 K",50,1))*I182/1000)</f>
        <v>0</v>
      </c>
      <c r="Z182" s="296">
        <f t="shared" si="82"/>
        <v>0</v>
      </c>
      <c r="AA182" s="297">
        <f t="shared" si="104"/>
        <v>0</v>
      </c>
      <c r="AB182" s="297">
        <f t="shared" si="76"/>
        <v>0</v>
      </c>
      <c r="AC182" s="1268" t="str">
        <f>$AC$7</f>
        <v>Kg Ave Acu :</v>
      </c>
      <c r="AD182" s="308">
        <f>IF(OR(SUM(L180:L186)&gt;0,SUM(V180:V186)&gt;0),AD181/1000+AD175,0)</f>
        <v>0</v>
      </c>
      <c r="AE182" s="309">
        <f>AE181/1000+AE175</f>
        <v>0</v>
      </c>
      <c r="AF182" s="310">
        <f>IF(AND(AE182&gt;0,AD182&gt;0),(AD182/AE182-1)*100,0)</f>
        <v>0</v>
      </c>
      <c r="AG182" s="311" t="str">
        <f>PROD!$AG$7</f>
        <v xml:space="preserve">Masa Sem H (Gr) : </v>
      </c>
      <c r="AH182" s="312">
        <f>PROD!O180/100*7*PROD!O182</f>
        <v>0</v>
      </c>
      <c r="AI182" s="312">
        <f>PROD!P180/100*7*PROD!P182</f>
        <v>0</v>
      </c>
      <c r="AJ182" s="313">
        <f t="shared" si="102"/>
        <v>0</v>
      </c>
      <c r="AK182" s="2027"/>
      <c r="AL182" s="1284">
        <f t="shared" si="77"/>
        <v>0</v>
      </c>
      <c r="AM182" s="1285"/>
      <c r="AN182" s="1285"/>
      <c r="AO182" s="1285"/>
      <c r="AP182" s="1285"/>
      <c r="AQ182" s="1285"/>
      <c r="AR182" s="1285"/>
      <c r="AS182" s="1286"/>
      <c r="AT182" s="1287"/>
      <c r="AU182" s="1288"/>
      <c r="AV182" s="1289"/>
      <c r="AW182" s="1290"/>
      <c r="AX182" s="1291"/>
      <c r="AY182" s="1291"/>
      <c r="AZ182" s="1292"/>
      <c r="BA182" s="1293"/>
      <c r="BB182" s="1294"/>
      <c r="BC182" s="1295"/>
      <c r="BD182" s="1296">
        <f>BD181+PROD!L182-BA182</f>
        <v>0</v>
      </c>
      <c r="BE182" s="2133"/>
      <c r="BF182" s="507" t="e">
        <f t="shared" si="78"/>
        <v>#VALUE!</v>
      </c>
      <c r="BG182" s="329"/>
      <c r="BH182" s="1018">
        <f t="shared" si="79"/>
        <v>0</v>
      </c>
    </row>
    <row r="183" spans="1:60" ht="15" customHeight="1" x14ac:dyDescent="0.3">
      <c r="A183" s="2033"/>
      <c r="B183" s="287" t="str">
        <f t="shared" si="80"/>
        <v/>
      </c>
      <c r="C183" s="288" t="str">
        <f t="shared" si="75"/>
        <v/>
      </c>
      <c r="D183" s="691"/>
      <c r="E183" s="692"/>
      <c r="F183" s="693"/>
      <c r="G183" s="694"/>
      <c r="H183" s="695"/>
      <c r="I183" s="289">
        <f>I182-SUM($D183:F183)</f>
        <v>0</v>
      </c>
      <c r="J183" s="1234" t="str">
        <f>$J$8</f>
        <v>% Mort Acm :</v>
      </c>
      <c r="K183" s="1231">
        <f>IF(PROD!$K$2&gt;0,SUM(D$5:D186)/PROD!$K$2,0)</f>
        <v>0</v>
      </c>
      <c r="L183" s="1246"/>
      <c r="M183" s="291">
        <f t="shared" si="103"/>
        <v>0</v>
      </c>
      <c r="N183" s="314" t="str">
        <f>N$8</f>
        <v xml:space="preserve">Peso Ave (Gr) : </v>
      </c>
      <c r="O183" s="315">
        <f>LOOKUP($A180,GSh!$BV$6:$BV$108,GSh!$BJ$6:$BJ$108)</f>
        <v>0</v>
      </c>
      <c r="P183" s="315">
        <f>IFERROR(LOOKUP($A180,TP!$A$6:$A$108,GSh!$BK$6:$BK$108),0)</f>
        <v>0</v>
      </c>
      <c r="Q183" s="316">
        <f>IF(AND(P183&gt;0,O183&gt;0),(O183/P183-1)*100,0)</f>
        <v>0</v>
      </c>
      <c r="R183" s="699"/>
      <c r="S183" s="762"/>
      <c r="T183" s="765">
        <f t="shared" si="86"/>
        <v>0</v>
      </c>
      <c r="U183" s="700"/>
      <c r="V183" s="701"/>
      <c r="W183" s="701"/>
      <c r="X183" s="295">
        <f t="shared" si="81"/>
        <v>0</v>
      </c>
      <c r="Y183" s="296">
        <f>IF(AA183&gt;0,V183,AE180/IF(Iniciar!$C$25="B X 40 K",40,IF(Iniciar!$C$25="B X 50 K",50,1))*I183/1000)</f>
        <v>0</v>
      </c>
      <c r="Z183" s="296">
        <f t="shared" si="82"/>
        <v>0</v>
      </c>
      <c r="AA183" s="297">
        <f t="shared" si="104"/>
        <v>0</v>
      </c>
      <c r="AB183" s="297">
        <f t="shared" si="76"/>
        <v>0</v>
      </c>
      <c r="AC183" s="541" t="str">
        <f>$AC$8</f>
        <v xml:space="preserve">Ton. Lote Acu : </v>
      </c>
      <c r="AD183" s="544">
        <f>SUM($V$5:$V186)*$A$1/1000000</f>
        <v>0</v>
      </c>
      <c r="AE183" s="543">
        <f>AE176+(AE180/1000000*7*(I180+I186)/2)</f>
        <v>0</v>
      </c>
      <c r="AF183" s="542">
        <f>IF(AND(AE183&gt;0,AD183&gt;0),(AD183/AE183-1)*100,0)</f>
        <v>0</v>
      </c>
      <c r="AG183" s="317" t="str">
        <f>PROD!$AG$8</f>
        <v xml:space="preserve">Masa Ac A. A (Kg) : </v>
      </c>
      <c r="AH183" s="318">
        <f>IF(PROD!$K$2&gt;0,SUM(PROD!L$5:L186)*LOOKUP(PROD!$A180,TP!$A$6:$A$108,GSh!$BB$6:$BB$108)/1000/PROD!$K$2,0)</f>
        <v>0</v>
      </c>
      <c r="AI183" s="318">
        <f>IFERROR(PROD!P181*LOOKUP(PROD!$A180,TP!$A$6:$A$108,GSh!$BC$6:$BC$108)/1000,0)</f>
        <v>0</v>
      </c>
      <c r="AJ183" s="330">
        <f t="shared" si="102"/>
        <v>0</v>
      </c>
      <c r="AK183" s="2027"/>
      <c r="AL183" s="1284">
        <f t="shared" si="77"/>
        <v>0</v>
      </c>
      <c r="AM183" s="1285"/>
      <c r="AN183" s="1285"/>
      <c r="AO183" s="1285"/>
      <c r="AP183" s="1285"/>
      <c r="AQ183" s="1285"/>
      <c r="AR183" s="1285"/>
      <c r="AS183" s="1286"/>
      <c r="AT183" s="1287"/>
      <c r="AU183" s="1288"/>
      <c r="AV183" s="1289"/>
      <c r="AW183" s="1290"/>
      <c r="AX183" s="1291"/>
      <c r="AY183" s="1291"/>
      <c r="AZ183" s="1292"/>
      <c r="BA183" s="1293"/>
      <c r="BB183" s="1294"/>
      <c r="BC183" s="1295"/>
      <c r="BD183" s="1296">
        <f>BD182+PROD!L183-BA183</f>
        <v>0</v>
      </c>
      <c r="BE183" s="2133"/>
      <c r="BF183" s="507" t="e">
        <f t="shared" si="78"/>
        <v>#VALUE!</v>
      </c>
      <c r="BG183" s="329"/>
      <c r="BH183" s="1018">
        <f t="shared" si="79"/>
        <v>0</v>
      </c>
    </row>
    <row r="184" spans="1:60" ht="15" customHeight="1" x14ac:dyDescent="0.3">
      <c r="A184" s="2033"/>
      <c r="B184" s="287" t="str">
        <f t="shared" si="80"/>
        <v/>
      </c>
      <c r="C184" s="288" t="str">
        <f t="shared" si="75"/>
        <v/>
      </c>
      <c r="D184" s="691"/>
      <c r="E184" s="692"/>
      <c r="F184" s="693"/>
      <c r="G184" s="694"/>
      <c r="H184" s="695"/>
      <c r="I184" s="289">
        <f>I183-SUM($D184:F184)</f>
        <v>0</v>
      </c>
      <c r="J184" s="1234" t="str">
        <f>$J$9</f>
        <v>% Sel Acm :</v>
      </c>
      <c r="K184" s="1231">
        <f>IF(PROD!$K$2&gt;0,SUM(E$5:E186)/PROD!$K$2,0)</f>
        <v>0</v>
      </c>
      <c r="L184" s="1246"/>
      <c r="M184" s="291">
        <f t="shared" si="103"/>
        <v>0</v>
      </c>
      <c r="N184" s="292" t="str">
        <f>$N$9</f>
        <v xml:space="preserve">Uniformidad (10% -) : </v>
      </c>
      <c r="O184" s="320">
        <f>LOOKUP($A180,'Pr-Sem'!$A$6:$A$108,'Pr-Sem'!$AH$6:$AH$108)</f>
        <v>0</v>
      </c>
      <c r="P184" s="320">
        <v>5</v>
      </c>
      <c r="Q184" s="321">
        <f>IF(AND(P184&gt;0,O184&gt;0),(1-O184/P184)*100,0)</f>
        <v>0</v>
      </c>
      <c r="R184" s="699"/>
      <c r="S184" s="762"/>
      <c r="T184" s="765">
        <f t="shared" si="86"/>
        <v>0</v>
      </c>
      <c r="U184" s="700"/>
      <c r="V184" s="701"/>
      <c r="W184" s="701"/>
      <c r="X184" s="295">
        <f t="shared" si="81"/>
        <v>0</v>
      </c>
      <c r="Y184" s="296">
        <f>IF(AA184&gt;0,V184,AE180/IF(Iniciar!$C$25="B X 40 K",40,IF(Iniciar!$C$25="B X 50 K",50,1))*I184/1000)</f>
        <v>0</v>
      </c>
      <c r="Z184" s="296">
        <f t="shared" si="82"/>
        <v>0</v>
      </c>
      <c r="AA184" s="297">
        <f t="shared" si="104"/>
        <v>0</v>
      </c>
      <c r="AB184" s="297">
        <f t="shared" si="76"/>
        <v>0</v>
      </c>
      <c r="AC184" s="2035" t="str">
        <f>$AC$9</f>
        <v xml:space="preserve">Total Litros Sem: </v>
      </c>
      <c r="AD184" s="2036"/>
      <c r="AE184" s="2050">
        <f>SUM(R180:R186)</f>
        <v>0</v>
      </c>
      <c r="AF184" s="2051"/>
      <c r="AG184" s="554" t="str">
        <f>$AG$9</f>
        <v xml:space="preserve">Indicador Eficiencia : </v>
      </c>
      <c r="AH184" s="555">
        <f>IF(AND(AE184&gt;0,O181&gt;0,O182&gt;0,SUM(L180:L186)&gt;0),(PROD!AH183/O181)*K186*100/(AE184/(SUM(L180:L186)*O182/1000)),0)</f>
        <v>0</v>
      </c>
      <c r="AI184" s="555">
        <f>IF(AND(P181&gt;0,PROD!AI182&gt;0),(PROD!AI183/P181)*(1-K185)*100/(AE181/PROD!AI182),0)</f>
        <v>0</v>
      </c>
      <c r="AJ184" s="331">
        <f t="shared" si="102"/>
        <v>0</v>
      </c>
      <c r="AK184" s="2027"/>
      <c r="AL184" s="1284">
        <f t="shared" si="77"/>
        <v>0</v>
      </c>
      <c r="AM184" s="1285"/>
      <c r="AN184" s="1285"/>
      <c r="AO184" s="1285"/>
      <c r="AP184" s="1285"/>
      <c r="AQ184" s="1285"/>
      <c r="AR184" s="1285"/>
      <c r="AS184" s="1286"/>
      <c r="AT184" s="1287"/>
      <c r="AU184" s="1288"/>
      <c r="AV184" s="1289"/>
      <c r="AW184" s="1290"/>
      <c r="AX184" s="1291"/>
      <c r="AY184" s="1291"/>
      <c r="AZ184" s="1292"/>
      <c r="BA184" s="1293"/>
      <c r="BB184" s="1294"/>
      <c r="BC184" s="1295"/>
      <c r="BD184" s="1296">
        <f>BD183+PROD!L184-BA184</f>
        <v>0</v>
      </c>
      <c r="BE184" s="2133"/>
      <c r="BF184" s="507" t="e">
        <f t="shared" si="78"/>
        <v>#VALUE!</v>
      </c>
      <c r="BG184" s="329"/>
      <c r="BH184" s="1018">
        <f t="shared" si="79"/>
        <v>0</v>
      </c>
    </row>
    <row r="185" spans="1:60" ht="15" customHeight="1" x14ac:dyDescent="0.3">
      <c r="A185" s="2033"/>
      <c r="B185" s="287" t="str">
        <f t="shared" si="80"/>
        <v/>
      </c>
      <c r="C185" s="288" t="str">
        <f t="shared" si="75"/>
        <v/>
      </c>
      <c r="D185" s="691"/>
      <c r="E185" s="692"/>
      <c r="F185" s="693"/>
      <c r="G185" s="694"/>
      <c r="H185" s="695"/>
      <c r="I185" s="289">
        <f>I184-SUM($D185:F185)</f>
        <v>0</v>
      </c>
      <c r="J185" s="1237" t="str">
        <f>$J$10</f>
        <v>% Mort/Sel Acm Tab :</v>
      </c>
      <c r="K185" s="1238">
        <f>IFERROR(LOOKUP($A180,TP!$A$6:$A$108,GSh!$AR$6:$AR$108)/100,0)</f>
        <v>0</v>
      </c>
      <c r="L185" s="1246"/>
      <c r="M185" s="291">
        <f t="shared" si="103"/>
        <v>0</v>
      </c>
      <c r="N185" s="292" t="str">
        <f>$N$10</f>
        <v xml:space="preserve">Uniformidad (C. Lote) : </v>
      </c>
      <c r="O185" s="320">
        <f>LOOKUP($A180,'Pr-Sem'!$A$6:$A$108,'Pr-Sem'!$AG$6:$AG$108)</f>
        <v>0</v>
      </c>
      <c r="P185" s="320">
        <v>90</v>
      </c>
      <c r="Q185" s="321">
        <f>IF(AND(P185&gt;0,O185&gt;0),(O185/P185-1)*100,0)</f>
        <v>0</v>
      </c>
      <c r="R185" s="699"/>
      <c r="S185" s="762"/>
      <c r="T185" s="765">
        <f t="shared" si="86"/>
        <v>0</v>
      </c>
      <c r="U185" s="700"/>
      <c r="V185" s="701"/>
      <c r="W185" s="701"/>
      <c r="X185" s="295">
        <f t="shared" si="81"/>
        <v>0</v>
      </c>
      <c r="Y185" s="296">
        <f>IF(AA185&gt;0,V185,AE180/IF(Iniciar!$C$25="B X 40 K",40,IF(Iniciar!$C$25="B X 50 K",50,1))*I185/1000)</f>
        <v>0</v>
      </c>
      <c r="Z185" s="296">
        <f t="shared" si="82"/>
        <v>0</v>
      </c>
      <c r="AA185" s="297">
        <f t="shared" si="104"/>
        <v>0</v>
      </c>
      <c r="AB185" s="297">
        <f t="shared" si="76"/>
        <v>0</v>
      </c>
      <c r="AC185" s="2037" t="str">
        <f>$AC$10</f>
        <v xml:space="preserve">Cons ml /ave día: </v>
      </c>
      <c r="AD185" s="2038"/>
      <c r="AE185" s="2056">
        <f>IFERROR(SUMPRODUCT(AB180:AB186,I180:I186)/SUM(I180:I186),0)</f>
        <v>0</v>
      </c>
      <c r="AF185" s="2057"/>
      <c r="AG185" s="311" t="str">
        <f>CONCATENATE("Costo ",Iniciar!$C$25," : ")</f>
        <v xml:space="preserve">Costo Kilos : </v>
      </c>
      <c r="AH185" s="2043">
        <f>IFERROR(SUMPRODUCT(T180:T186,V180:V186)/SUMIF(T180:T186,"&gt;0",V180:V186),0)</f>
        <v>0</v>
      </c>
      <c r="AI185" s="2043"/>
      <c r="AJ185" s="313"/>
      <c r="AK185" s="2027"/>
      <c r="AL185" s="1284">
        <f t="shared" si="77"/>
        <v>0</v>
      </c>
      <c r="AM185" s="1285"/>
      <c r="AN185" s="1285"/>
      <c r="AO185" s="1285"/>
      <c r="AP185" s="1285"/>
      <c r="AQ185" s="1285"/>
      <c r="AR185" s="1285"/>
      <c r="AS185" s="1286"/>
      <c r="AT185" s="1287"/>
      <c r="AU185" s="1288"/>
      <c r="AV185" s="1289"/>
      <c r="AW185" s="1290"/>
      <c r="AX185" s="1291"/>
      <c r="AY185" s="1291"/>
      <c r="AZ185" s="1292"/>
      <c r="BA185" s="1293"/>
      <c r="BB185" s="1294"/>
      <c r="BC185" s="1295"/>
      <c r="BD185" s="1296">
        <f>BD184+PROD!L185-BA185</f>
        <v>0</v>
      </c>
      <c r="BE185" s="2133"/>
      <c r="BF185" s="507" t="e">
        <f t="shared" si="78"/>
        <v>#VALUE!</v>
      </c>
      <c r="BG185" s="329"/>
      <c r="BH185" s="1018">
        <f t="shared" si="79"/>
        <v>0</v>
      </c>
    </row>
    <row r="186" spans="1:60" ht="15" customHeight="1" x14ac:dyDescent="0.3">
      <c r="A186" s="2034"/>
      <c r="B186" s="287" t="str">
        <f t="shared" si="80"/>
        <v/>
      </c>
      <c r="C186" s="288" t="str">
        <f t="shared" si="75"/>
        <v/>
      </c>
      <c r="D186" s="691"/>
      <c r="E186" s="692"/>
      <c r="F186" s="693"/>
      <c r="G186" s="694"/>
      <c r="H186" s="695"/>
      <c r="I186" s="289">
        <f>I185-SUM($D186:F186)</f>
        <v>0</v>
      </c>
      <c r="J186" s="1239" t="str">
        <f>$J$11</f>
        <v>% Viabilidad :</v>
      </c>
      <c r="K186" s="1240">
        <f>IF(OR(SUM(L180:L186)&gt;0,SUM(V180:V186)&gt;0),1-(K183+K184),0)</f>
        <v>0</v>
      </c>
      <c r="L186" s="1247"/>
      <c r="M186" s="1248">
        <f>IF(I186&gt;0,(L186/IF(SUM(L180:L185)&gt;0,1,7))/I186,0)</f>
        <v>0</v>
      </c>
      <c r="N186" s="1249" t="str">
        <f>$N$11</f>
        <v xml:space="preserve">Uniformidad (10% +) : </v>
      </c>
      <c r="O186" s="1250">
        <f>IF(O184&gt;0,IF(O185&gt;0,100-SUM(O184:O185),0),0)</f>
        <v>0</v>
      </c>
      <c r="P186" s="1251">
        <f>100-SUM(P184:P185)</f>
        <v>5</v>
      </c>
      <c r="Q186" s="1252">
        <f>IF(AND(P186&gt;0,O186&gt;0),(O186/P186-1)*100,0)</f>
        <v>0</v>
      </c>
      <c r="R186" s="699"/>
      <c r="S186" s="762"/>
      <c r="T186" s="765">
        <f t="shared" si="86"/>
        <v>0</v>
      </c>
      <c r="U186" s="700"/>
      <c r="V186" s="701"/>
      <c r="W186" s="701"/>
      <c r="X186" s="295">
        <f t="shared" si="81"/>
        <v>0</v>
      </c>
      <c r="Y186" s="296">
        <f>IF(AA186&gt;0,V186,AE180/IF(Iniciar!$C$25="B X 40 K",40,IF(Iniciar!$C$25="B X 50 K",50,1))*I186/1000)</f>
        <v>0</v>
      </c>
      <c r="Z186" s="296">
        <f t="shared" si="82"/>
        <v>0</v>
      </c>
      <c r="AA186" s="297">
        <f>IF(I186&gt;0,(V186/IF(SUM(V180:V185)&gt;0,1,7))*$A$1/I186,0)</f>
        <v>0</v>
      </c>
      <c r="AB186" s="297">
        <f t="shared" si="76"/>
        <v>0</v>
      </c>
      <c r="AC186" s="2039" t="str">
        <f>$AC$11</f>
        <v xml:space="preserve">Relación Agua /Alimto: </v>
      </c>
      <c r="AD186" s="2040"/>
      <c r="AE186" s="2058">
        <f>IFERROR(AE185/AD180,0)</f>
        <v>0</v>
      </c>
      <c r="AF186" s="2059"/>
      <c r="AG186" s="1269" t="s">
        <v>237</v>
      </c>
      <c r="AH186" s="1270">
        <f>IF(SUM(L180:L186)&gt;0,AH185*SUM(V180:V186)/SUM(L180:L186),0)</f>
        <v>0</v>
      </c>
      <c r="AI186" s="1270">
        <f>IF(AND($A$1&gt;0,P180&gt;0),AH185/$A$1*(AE180/P180)*100,0)</f>
        <v>0</v>
      </c>
      <c r="AJ186" s="1271">
        <f t="shared" ref="AJ186:AJ191" si="105">IF(AND(AI186&gt;0,AH186&gt;0),(AH186/AI186-1)*100,0)</f>
        <v>0</v>
      </c>
      <c r="AK186" s="2028"/>
      <c r="AL186" s="1284">
        <f t="shared" si="77"/>
        <v>0</v>
      </c>
      <c r="AM186" s="1285"/>
      <c r="AN186" s="1285"/>
      <c r="AO186" s="1285"/>
      <c r="AP186" s="1285"/>
      <c r="AQ186" s="1285"/>
      <c r="AR186" s="1285"/>
      <c r="AS186" s="1286"/>
      <c r="AT186" s="1287"/>
      <c r="AU186" s="1288"/>
      <c r="AV186" s="1289"/>
      <c r="AW186" s="1290"/>
      <c r="AX186" s="1291"/>
      <c r="AY186" s="1291"/>
      <c r="AZ186" s="1292"/>
      <c r="BA186" s="1293"/>
      <c r="BB186" s="1294"/>
      <c r="BC186" s="1295"/>
      <c r="BD186" s="1296">
        <f>BD185+PROD!L186-BA186</f>
        <v>0</v>
      </c>
      <c r="BE186" s="2134"/>
      <c r="BF186" s="507" t="e">
        <f t="shared" si="78"/>
        <v>#VALUE!</v>
      </c>
      <c r="BG186" s="329"/>
      <c r="BH186" s="1018">
        <f t="shared" si="79"/>
        <v>0</v>
      </c>
    </row>
    <row r="187" spans="1:60" ht="15" customHeight="1" x14ac:dyDescent="0.3">
      <c r="A187" s="2032">
        <f>A180+1</f>
        <v>44</v>
      </c>
      <c r="B187" s="287" t="str">
        <f t="shared" si="80"/>
        <v/>
      </c>
      <c r="C187" s="288" t="str">
        <f t="shared" si="75"/>
        <v/>
      </c>
      <c r="D187" s="691"/>
      <c r="E187" s="692"/>
      <c r="F187" s="693"/>
      <c r="G187" s="694"/>
      <c r="H187" s="695"/>
      <c r="I187" s="289">
        <f>I186-SUM($D187:F187)</f>
        <v>0</v>
      </c>
      <c r="J187" s="1232" t="str">
        <f>$J$5</f>
        <v>% Mort Sem :</v>
      </c>
      <c r="K187" s="1233">
        <f>IF(PROD!$K$2&gt;0,SUM(D187:D193)/PROD!$K$2,0)</f>
        <v>0</v>
      </c>
      <c r="L187" s="1241"/>
      <c r="M187" s="1242">
        <f t="shared" ref="M187:M192" si="106">IF(I187&gt;0,L187/I187,0)</f>
        <v>0</v>
      </c>
      <c r="N187" s="1243" t="str">
        <f>$N$5</f>
        <v xml:space="preserve">% Pdn prom semana : </v>
      </c>
      <c r="O187" s="1244">
        <f>IF(SUM(L187:L192)&gt;0,100*SUMPRODUCT(M187:M193,I187:I193)/SUMIF(L187:L193,"&gt;0",I187:I193),IF(L193&gt;0,100*L193/7/I193,0))</f>
        <v>0</v>
      </c>
      <c r="P187" s="1244">
        <f>IFERROR(LOOKUP($A187,TP!$A$6:$A$108,GSh!$AE$6:$AE$108),0)</f>
        <v>0</v>
      </c>
      <c r="Q187" s="1245">
        <f>IF(AND(P187&gt;0,O187&gt;0),O187-P187,0)</f>
        <v>0</v>
      </c>
      <c r="R187" s="699"/>
      <c r="S187" s="762"/>
      <c r="T187" s="765">
        <f t="shared" si="86"/>
        <v>0</v>
      </c>
      <c r="U187" s="700"/>
      <c r="V187" s="701"/>
      <c r="W187" s="701"/>
      <c r="X187" s="295">
        <f t="shared" si="81"/>
        <v>0</v>
      </c>
      <c r="Y187" s="296">
        <f>IF(AA187&gt;0,V187,AE187/IF(Iniciar!$C$25="B X 40 K",40,IF(Iniciar!$C$25="B X 50 K",50,1))*I187/1000)</f>
        <v>0</v>
      </c>
      <c r="Z187" s="296">
        <f t="shared" si="82"/>
        <v>0</v>
      </c>
      <c r="AA187" s="297">
        <f t="shared" ref="AA187:AA192" si="107">IF(I187&gt;0,V187*$A$1/I187,0)</f>
        <v>0</v>
      </c>
      <c r="AB187" s="297">
        <f t="shared" si="76"/>
        <v>0</v>
      </c>
      <c r="AC187" s="1261" t="str">
        <f>$AC$5</f>
        <v>Gr. Ave Dia :</v>
      </c>
      <c r="AD187" s="1262">
        <f>IF(SUMIF(V187:V193,"&gt;0")&gt;0,SUMPRODUCT(AA187:AA193,I187:I193)/SUMIF(AA187:AA193,"&gt;0",I187:I193),0)</f>
        <v>0</v>
      </c>
      <c r="AE187" s="1262">
        <f>IFERROR(LOOKUP($A187,TP!$A$6:$A$108,GSh!$AU$6:$AU$108),0)</f>
        <v>0</v>
      </c>
      <c r="AF187" s="1263">
        <f>IF(AND(AE187&gt;0,AD187&gt;0),(AD187/AE187-1)*100,0)</f>
        <v>0</v>
      </c>
      <c r="AG187" s="1264" t="str">
        <f>PROD!$AG$5</f>
        <v>Gr X H</v>
      </c>
      <c r="AH187" s="1265">
        <f>IF(PROD!O187&gt;0,IF($AG187="Gr X H",PROD!AD187/PROD!O187*100,IF($AG187="Conv Kg/Doc",PROD!AD187/PROD!O187*1.2,IF(PROD!$O189&gt;0,PROD!AD187/(PROD!O187*PROD!$O189)*100,0))),0)</f>
        <v>0</v>
      </c>
      <c r="AI187" s="1265">
        <f>IF(PROD!P187&gt;0,IF($AG187="Gr X H",PROD!AE187/PROD!P187*100,IF($AG187="Conv Kg/Doc",PROD!AE187/PROD!P187*1.2,IF(PROD!$P189&gt;0,PROD!AE187/(PROD!P187*PROD!$P189)*100,0))),0)</f>
        <v>0</v>
      </c>
      <c r="AJ187" s="1266">
        <f t="shared" si="105"/>
        <v>0</v>
      </c>
      <c r="AK187" s="2026"/>
      <c r="AL187" s="1284">
        <f t="shared" si="77"/>
        <v>0</v>
      </c>
      <c r="AM187" s="1285"/>
      <c r="AN187" s="1285"/>
      <c r="AO187" s="1285"/>
      <c r="AP187" s="1285"/>
      <c r="AQ187" s="1285"/>
      <c r="AR187" s="1285"/>
      <c r="AS187" s="1286"/>
      <c r="AT187" s="1287"/>
      <c r="AU187" s="1288"/>
      <c r="AV187" s="1289"/>
      <c r="AW187" s="1290"/>
      <c r="AX187" s="1291"/>
      <c r="AY187" s="1291"/>
      <c r="AZ187" s="1292"/>
      <c r="BA187" s="1293"/>
      <c r="BB187" s="1294"/>
      <c r="BC187" s="1295"/>
      <c r="BD187" s="1296">
        <f>BD186+PROD!L187-BA187</f>
        <v>0</v>
      </c>
      <c r="BE187" s="2132">
        <f>IF(SUM(AM187:AZ193)&gt;0,(SUM(AM187:AM193)*$AM$2+SUM(AN187:AN193)*$AN$2+SUM(AO187:AO193)*$AO$2+SUM(AP187:AP193)*$AP$2+SUM(AQ187:AQ193)*$AQ$2+SUM(AR187:AR193)*$AR$2+SUM(AS187:AS193)*$AS$2+SUM(AW187:AW193)*$AW$2+SUM(AX187:AX193)*$AX$2+SUM(AY187:AY193)*$AY$2+SUM(AZ187:AZ193)*$AZ$2+SUM(AT187:AT193)*$AT$2+SUM(AU187:AU193)*$AU$2+SUM(AV187:AV193)*$AV$2)/SUM(AM187:AZ193),0)</f>
        <v>0</v>
      </c>
      <c r="BF187" s="507" t="e">
        <f t="shared" si="78"/>
        <v>#VALUE!</v>
      </c>
      <c r="BG187" s="277">
        <f>IF(SUM(L187:L193)&gt;0,A187,IF(SUM(V187:V193)&gt;0,A187,BG180))</f>
        <v>0</v>
      </c>
      <c r="BH187" s="1018">
        <f t="shared" si="79"/>
        <v>0</v>
      </c>
    </row>
    <row r="188" spans="1:60" ht="15" customHeight="1" x14ac:dyDescent="0.3">
      <c r="A188" s="2033"/>
      <c r="B188" s="287" t="str">
        <f t="shared" si="80"/>
        <v/>
      </c>
      <c r="C188" s="288" t="str">
        <f t="shared" si="75"/>
        <v/>
      </c>
      <c r="D188" s="691"/>
      <c r="E188" s="692"/>
      <c r="F188" s="693"/>
      <c r="G188" s="694"/>
      <c r="H188" s="695"/>
      <c r="I188" s="289">
        <f>I187-SUM($D188:F188)</f>
        <v>0</v>
      </c>
      <c r="J188" s="1234" t="str">
        <f>$J$6</f>
        <v>% Sel Sem :</v>
      </c>
      <c r="K188" s="1231">
        <f>IF(PROD!$K$2&gt;0,SUM(E187:E193)/PROD!$K$2,0)</f>
        <v>0</v>
      </c>
      <c r="L188" s="1246"/>
      <c r="M188" s="291">
        <f t="shared" si="106"/>
        <v>0</v>
      </c>
      <c r="N188" s="292" t="str">
        <f>$N$6</f>
        <v xml:space="preserve">H. Ave Alojada : </v>
      </c>
      <c r="O188" s="293">
        <f>IF(AND(PROD!$K$2&gt;0,O187&gt;0),SUM(L$5:L193)/PROD!$K$2,0)</f>
        <v>0</v>
      </c>
      <c r="P188" s="293">
        <f>IFERROR(LOOKUP($A187,TP!$A$6:$A$108,GSh!$AJ$6:$AJ$108),0)</f>
        <v>0</v>
      </c>
      <c r="Q188" s="294">
        <f>IF(AND(P188&gt;0,O188&gt;0),O188-P188,0)</f>
        <v>0</v>
      </c>
      <c r="R188" s="699"/>
      <c r="S188" s="762"/>
      <c r="T188" s="765">
        <f t="shared" si="86"/>
        <v>0</v>
      </c>
      <c r="U188" s="700"/>
      <c r="V188" s="701"/>
      <c r="W188" s="701"/>
      <c r="X188" s="295">
        <f t="shared" si="81"/>
        <v>0</v>
      </c>
      <c r="Y188" s="296">
        <f>IF(AA188&gt;0,V188,AE187/IF(Iniciar!$C$25="B X 40 K",40,IF(Iniciar!$C$25="B X 50 K",50,1))*I188/1000)</f>
        <v>0</v>
      </c>
      <c r="Z188" s="296">
        <f t="shared" si="82"/>
        <v>0</v>
      </c>
      <c r="AA188" s="297">
        <f t="shared" si="107"/>
        <v>0</v>
      </c>
      <c r="AB188" s="297">
        <f t="shared" si="76"/>
        <v>0</v>
      </c>
      <c r="AC188" s="1267" t="str">
        <f>$AC$6</f>
        <v>Gr. Ave Sem :</v>
      </c>
      <c r="AD188" s="284">
        <f>AD187*7</f>
        <v>0</v>
      </c>
      <c r="AE188" s="284">
        <f>AE187*7</f>
        <v>0</v>
      </c>
      <c r="AF188" s="285">
        <f>IF(AND(AE188&gt;0,AD188&gt;0),(AD188/AE188-1)*100,0)</f>
        <v>0</v>
      </c>
      <c r="AG188" s="1199" t="str">
        <f>PROD!$AG$6</f>
        <v>Gr X H Acm</v>
      </c>
      <c r="AH188" s="298">
        <f>IF(SUM(PROD!L187:L193)&gt;0,IF(PROD!$AG$5="Gr X H",SUM(PROD!V$5:V193)*PROD!$A$1/SUM(PROD!L$5:L193),IF($AG187="Conv Kg/Doc",(SUM(PROD!V$5:V193)*PROD!$A$1/1000)/(SUM(PROD!L$5:L193)/12),IF(PROD!$O189&gt;0,SUM(PROD!V$5:V193)*PROD!$A$1/(SUM(PROD!L$5:L193)*LOOKUP(PROD!A187,TP!$A$6:$A$108,GSh!$BB$6:$BB$108)),0))),0)</f>
        <v>0</v>
      </c>
      <c r="AI188" s="298">
        <f>IF(PROD!P187&gt;0,IF($AG187="Gr X H",PROD!AE187/PROD!P187*100,IF($AG187="Conv Kg/Doc",PROD!AE187/PROD!P187*1.2,IF(PROD!$P188&gt;0,PROD!AE189/(PROD!P188*LOOKUP(PROD!$A187,TP!$A$6:$A$108,GSh!$BC$6:$BC$108)/1000),0))),0)</f>
        <v>0</v>
      </c>
      <c r="AJ188" s="328">
        <f t="shared" si="105"/>
        <v>0</v>
      </c>
      <c r="AK188" s="2027"/>
      <c r="AL188" s="1284">
        <f t="shared" si="77"/>
        <v>0</v>
      </c>
      <c r="AM188" s="1285"/>
      <c r="AN188" s="1285"/>
      <c r="AO188" s="1285"/>
      <c r="AP188" s="1285"/>
      <c r="AQ188" s="1285"/>
      <c r="AR188" s="1285"/>
      <c r="AS188" s="1286"/>
      <c r="AT188" s="1287"/>
      <c r="AU188" s="1288"/>
      <c r="AV188" s="1289"/>
      <c r="AW188" s="1290"/>
      <c r="AX188" s="1291"/>
      <c r="AY188" s="1291"/>
      <c r="AZ188" s="1292"/>
      <c r="BA188" s="1293"/>
      <c r="BB188" s="1294"/>
      <c r="BC188" s="1295"/>
      <c r="BD188" s="1296">
        <f>BD187+PROD!L188-BA188</f>
        <v>0</v>
      </c>
      <c r="BE188" s="2133"/>
      <c r="BF188" s="507" t="e">
        <f t="shared" si="78"/>
        <v>#VALUE!</v>
      </c>
      <c r="BG188" s="329"/>
      <c r="BH188" s="1018">
        <f t="shared" si="79"/>
        <v>0</v>
      </c>
    </row>
    <row r="189" spans="1:60" ht="15" customHeight="1" x14ac:dyDescent="0.3">
      <c r="A189" s="2033"/>
      <c r="B189" s="287" t="str">
        <f t="shared" si="80"/>
        <v/>
      </c>
      <c r="C189" s="288" t="str">
        <f t="shared" si="75"/>
        <v/>
      </c>
      <c r="D189" s="691"/>
      <c r="E189" s="692"/>
      <c r="F189" s="693"/>
      <c r="G189" s="694"/>
      <c r="H189" s="695"/>
      <c r="I189" s="289">
        <f>I188-SUM($D189:F189)</f>
        <v>0</v>
      </c>
      <c r="J189" s="1235" t="str">
        <f>$J$7</f>
        <v>% Mort/Sel Sem Tab :</v>
      </c>
      <c r="K189" s="1236">
        <f>K192-K185</f>
        <v>0</v>
      </c>
      <c r="L189" s="1246"/>
      <c r="M189" s="291">
        <f t="shared" si="106"/>
        <v>0</v>
      </c>
      <c r="N189" s="304" t="str">
        <f>$N$7</f>
        <v xml:space="preserve">Peso Huevo (Gr) : </v>
      </c>
      <c r="O189" s="305">
        <f>LOOKUP($A187,'Pr-Sem'!$A$6:$A$108,'Pr-Sem'!$Z$6:$Z$108)</f>
        <v>0</v>
      </c>
      <c r="P189" s="305">
        <f>IFERROR(LOOKUP($A187,TP!$A$6:$A$108,GSh!$AZ$6:$AZ$108),0)</f>
        <v>0</v>
      </c>
      <c r="Q189" s="306">
        <f>IF(AND(P189&gt;0,O189&gt;0),O189-P189,0)</f>
        <v>0</v>
      </c>
      <c r="R189" s="699"/>
      <c r="S189" s="762"/>
      <c r="T189" s="765">
        <f t="shared" si="86"/>
        <v>0</v>
      </c>
      <c r="U189" s="700"/>
      <c r="V189" s="701"/>
      <c r="W189" s="701"/>
      <c r="X189" s="295">
        <f t="shared" si="81"/>
        <v>0</v>
      </c>
      <c r="Y189" s="296">
        <f>IF(AA189&gt;0,V189,AE187/IF(Iniciar!$C$25="B X 40 K",40,IF(Iniciar!$C$25="B X 50 K",50,1))*I189/1000)</f>
        <v>0</v>
      </c>
      <c r="Z189" s="296">
        <f t="shared" si="82"/>
        <v>0</v>
      </c>
      <c r="AA189" s="297">
        <f t="shared" si="107"/>
        <v>0</v>
      </c>
      <c r="AB189" s="297">
        <f t="shared" si="76"/>
        <v>0</v>
      </c>
      <c r="AC189" s="1268" t="str">
        <f>$AC$7</f>
        <v>Kg Ave Acu :</v>
      </c>
      <c r="AD189" s="308">
        <f>IF(OR(SUM(L187:L193)&gt;0,SUM(V187:V193)&gt;0),AD188/1000+AD182,0)</f>
        <v>0</v>
      </c>
      <c r="AE189" s="309">
        <f>AE188/1000+AE182</f>
        <v>0</v>
      </c>
      <c r="AF189" s="310">
        <f>IF(AND(AE189&gt;0,AD189&gt;0),(AD189/AE189-1)*100,0)</f>
        <v>0</v>
      </c>
      <c r="AG189" s="311" t="str">
        <f>PROD!$AG$7</f>
        <v xml:space="preserve">Masa Sem H (Gr) : </v>
      </c>
      <c r="AH189" s="312">
        <f>PROD!O187/100*7*PROD!O189</f>
        <v>0</v>
      </c>
      <c r="AI189" s="312">
        <f>PROD!P187/100*7*PROD!P189</f>
        <v>0</v>
      </c>
      <c r="AJ189" s="313">
        <f t="shared" si="105"/>
        <v>0</v>
      </c>
      <c r="AK189" s="2027"/>
      <c r="AL189" s="1284">
        <f t="shared" si="77"/>
        <v>0</v>
      </c>
      <c r="AM189" s="1285"/>
      <c r="AN189" s="1285"/>
      <c r="AO189" s="1285"/>
      <c r="AP189" s="1285"/>
      <c r="AQ189" s="1285"/>
      <c r="AR189" s="1285"/>
      <c r="AS189" s="1286"/>
      <c r="AT189" s="1287"/>
      <c r="AU189" s="1288"/>
      <c r="AV189" s="1289"/>
      <c r="AW189" s="1290"/>
      <c r="AX189" s="1291"/>
      <c r="AY189" s="1291"/>
      <c r="AZ189" s="1292"/>
      <c r="BA189" s="1293"/>
      <c r="BB189" s="1294"/>
      <c r="BC189" s="1295"/>
      <c r="BD189" s="1296">
        <f>BD188+PROD!L189-BA189</f>
        <v>0</v>
      </c>
      <c r="BE189" s="2133"/>
      <c r="BF189" s="507" t="e">
        <f t="shared" si="78"/>
        <v>#VALUE!</v>
      </c>
      <c r="BG189" s="329"/>
      <c r="BH189" s="1018">
        <f t="shared" si="79"/>
        <v>0</v>
      </c>
    </row>
    <row r="190" spans="1:60" ht="15" customHeight="1" x14ac:dyDescent="0.3">
      <c r="A190" s="2033"/>
      <c r="B190" s="287" t="str">
        <f t="shared" si="80"/>
        <v/>
      </c>
      <c r="C190" s="288" t="str">
        <f t="shared" si="75"/>
        <v/>
      </c>
      <c r="D190" s="691"/>
      <c r="E190" s="692"/>
      <c r="F190" s="693"/>
      <c r="G190" s="694"/>
      <c r="H190" s="695"/>
      <c r="I190" s="289">
        <f>I189-SUM($D190:F190)</f>
        <v>0</v>
      </c>
      <c r="J190" s="1234" t="str">
        <f>$J$8</f>
        <v>% Mort Acm :</v>
      </c>
      <c r="K190" s="1231">
        <f>IF(PROD!$K$2&gt;0,SUM(D$5:D193)/PROD!$K$2,0)</f>
        <v>0</v>
      </c>
      <c r="L190" s="1246"/>
      <c r="M190" s="291">
        <f t="shared" si="106"/>
        <v>0</v>
      </c>
      <c r="N190" s="314" t="str">
        <f>N$8</f>
        <v xml:space="preserve">Peso Ave (Gr) : </v>
      </c>
      <c r="O190" s="315">
        <f>LOOKUP($A187,GSh!$BV$6:$BV$108,GSh!$BJ$6:$BJ$108)</f>
        <v>0</v>
      </c>
      <c r="P190" s="315">
        <f>IFERROR(LOOKUP($A187,TP!$A$6:$A$108,GSh!$BK$6:$BK$108),0)</f>
        <v>0</v>
      </c>
      <c r="Q190" s="316">
        <f>IF(AND(P190&gt;0,O190&gt;0),(O190/P190-1)*100,0)</f>
        <v>0</v>
      </c>
      <c r="R190" s="699"/>
      <c r="S190" s="762"/>
      <c r="T190" s="765">
        <f t="shared" si="86"/>
        <v>0</v>
      </c>
      <c r="U190" s="700"/>
      <c r="V190" s="701"/>
      <c r="W190" s="701"/>
      <c r="X190" s="295">
        <f t="shared" si="81"/>
        <v>0</v>
      </c>
      <c r="Y190" s="296">
        <f>IF(AA190&gt;0,V190,AE187/IF(Iniciar!$C$25="B X 40 K",40,IF(Iniciar!$C$25="B X 50 K",50,1))*I190/1000)</f>
        <v>0</v>
      </c>
      <c r="Z190" s="296">
        <f t="shared" si="82"/>
        <v>0</v>
      </c>
      <c r="AA190" s="297">
        <f t="shared" si="107"/>
        <v>0</v>
      </c>
      <c r="AB190" s="297">
        <f t="shared" si="76"/>
        <v>0</v>
      </c>
      <c r="AC190" s="541" t="str">
        <f>$AC$8</f>
        <v xml:space="preserve">Ton. Lote Acu : </v>
      </c>
      <c r="AD190" s="544">
        <f>SUM($V$5:$V193)*$A$1/1000000</f>
        <v>0</v>
      </c>
      <c r="AE190" s="543">
        <f>AE183+(AE187/1000000*7*(I187+I193)/2)</f>
        <v>0</v>
      </c>
      <c r="AF190" s="542">
        <f>IF(AND(AE190&gt;0,AD190&gt;0),(AD190/AE190-1)*100,0)</f>
        <v>0</v>
      </c>
      <c r="AG190" s="317" t="str">
        <f>PROD!$AG$8</f>
        <v xml:space="preserve">Masa Ac A. A (Kg) : </v>
      </c>
      <c r="AH190" s="318">
        <f>IF(PROD!$K$2&gt;0,SUM(PROD!L$5:L193)*LOOKUP(PROD!$A187,TP!$A$6:$A$108,GSh!$BB$6:$BB$108)/1000/PROD!$K$2,0)</f>
        <v>0</v>
      </c>
      <c r="AI190" s="318">
        <f>IFERROR(PROD!P188*LOOKUP(PROD!$A187,TP!$A$6:$A$108,GSh!$BC$6:$BC$108)/1000,0)</f>
        <v>0</v>
      </c>
      <c r="AJ190" s="330">
        <f t="shared" si="105"/>
        <v>0</v>
      </c>
      <c r="AK190" s="2027"/>
      <c r="AL190" s="1284">
        <f t="shared" si="77"/>
        <v>0</v>
      </c>
      <c r="AM190" s="1285"/>
      <c r="AN190" s="1285"/>
      <c r="AO190" s="1285"/>
      <c r="AP190" s="1285"/>
      <c r="AQ190" s="1285"/>
      <c r="AR190" s="1285"/>
      <c r="AS190" s="1286"/>
      <c r="AT190" s="1287"/>
      <c r="AU190" s="1288"/>
      <c r="AV190" s="1289"/>
      <c r="AW190" s="1290"/>
      <c r="AX190" s="1291"/>
      <c r="AY190" s="1291"/>
      <c r="AZ190" s="1292"/>
      <c r="BA190" s="1293"/>
      <c r="BB190" s="1294"/>
      <c r="BC190" s="1295"/>
      <c r="BD190" s="1296">
        <f>BD189+PROD!L190-BA190</f>
        <v>0</v>
      </c>
      <c r="BE190" s="2133"/>
      <c r="BF190" s="507" t="e">
        <f t="shared" si="78"/>
        <v>#VALUE!</v>
      </c>
      <c r="BG190" s="329"/>
      <c r="BH190" s="1018">
        <f t="shared" si="79"/>
        <v>0</v>
      </c>
    </row>
    <row r="191" spans="1:60" ht="15" customHeight="1" x14ac:dyDescent="0.3">
      <c r="A191" s="2033"/>
      <c r="B191" s="287" t="str">
        <f t="shared" si="80"/>
        <v/>
      </c>
      <c r="C191" s="288" t="str">
        <f t="shared" si="75"/>
        <v/>
      </c>
      <c r="D191" s="691"/>
      <c r="E191" s="692"/>
      <c r="F191" s="693"/>
      <c r="G191" s="694"/>
      <c r="H191" s="695"/>
      <c r="I191" s="289">
        <f>I190-SUM($D191:F191)</f>
        <v>0</v>
      </c>
      <c r="J191" s="1234" t="str">
        <f>$J$9</f>
        <v>% Sel Acm :</v>
      </c>
      <c r="K191" s="1231">
        <f>IF(PROD!$K$2&gt;0,SUM(E$5:E193)/PROD!$K$2,0)</f>
        <v>0</v>
      </c>
      <c r="L191" s="1246"/>
      <c r="M191" s="291">
        <f t="shared" si="106"/>
        <v>0</v>
      </c>
      <c r="N191" s="292" t="str">
        <f>$N$9</f>
        <v xml:space="preserve">Uniformidad (10% -) : </v>
      </c>
      <c r="O191" s="320">
        <f>LOOKUP($A187,'Pr-Sem'!$A$6:$A$108,'Pr-Sem'!$AH$6:$AH$108)</f>
        <v>0</v>
      </c>
      <c r="P191" s="320">
        <v>5</v>
      </c>
      <c r="Q191" s="321">
        <f>IF(AND(P191&gt;0,O191&gt;0),(1-O191/P191)*100,0)</f>
        <v>0</v>
      </c>
      <c r="R191" s="699"/>
      <c r="S191" s="762"/>
      <c r="T191" s="765">
        <f t="shared" si="86"/>
        <v>0</v>
      </c>
      <c r="U191" s="700"/>
      <c r="V191" s="701"/>
      <c r="W191" s="701"/>
      <c r="X191" s="295">
        <f t="shared" si="81"/>
        <v>0</v>
      </c>
      <c r="Y191" s="296">
        <f>IF(AA191&gt;0,V191,AE187/IF(Iniciar!$C$25="B X 40 K",40,IF(Iniciar!$C$25="B X 50 K",50,1))*I191/1000)</f>
        <v>0</v>
      </c>
      <c r="Z191" s="296">
        <f t="shared" si="82"/>
        <v>0</v>
      </c>
      <c r="AA191" s="297">
        <f t="shared" si="107"/>
        <v>0</v>
      </c>
      <c r="AB191" s="297">
        <f t="shared" si="76"/>
        <v>0</v>
      </c>
      <c r="AC191" s="2035" t="str">
        <f>$AC$9</f>
        <v xml:space="preserve">Total Litros Sem: </v>
      </c>
      <c r="AD191" s="2036"/>
      <c r="AE191" s="2050">
        <f>SUM(R187:R193)</f>
        <v>0</v>
      </c>
      <c r="AF191" s="2051"/>
      <c r="AG191" s="554" t="str">
        <f>$AG$9</f>
        <v xml:space="preserve">Indicador Eficiencia : </v>
      </c>
      <c r="AH191" s="555">
        <f>IF(AND(AE191&gt;0,O188&gt;0,O189&gt;0,SUM(L187:L193)&gt;0),(PROD!AH190/O188)*K193*100/(AE191/(SUM(L187:L193)*O189/1000)),0)</f>
        <v>0</v>
      </c>
      <c r="AI191" s="555">
        <f>IF(AND(P188&gt;0,PROD!AI189&gt;0),(PROD!AI190/P188)*(1-K192)*100/(AE188/PROD!AI189),0)</f>
        <v>0</v>
      </c>
      <c r="AJ191" s="331">
        <f t="shared" si="105"/>
        <v>0</v>
      </c>
      <c r="AK191" s="2027"/>
      <c r="AL191" s="1284">
        <f t="shared" si="77"/>
        <v>0</v>
      </c>
      <c r="AM191" s="1285"/>
      <c r="AN191" s="1285"/>
      <c r="AO191" s="1285"/>
      <c r="AP191" s="1285"/>
      <c r="AQ191" s="1285"/>
      <c r="AR191" s="1285"/>
      <c r="AS191" s="1286"/>
      <c r="AT191" s="1287"/>
      <c r="AU191" s="1288"/>
      <c r="AV191" s="1289"/>
      <c r="AW191" s="1290"/>
      <c r="AX191" s="1291"/>
      <c r="AY191" s="1291"/>
      <c r="AZ191" s="1292"/>
      <c r="BA191" s="1293"/>
      <c r="BB191" s="1294"/>
      <c r="BC191" s="1295"/>
      <c r="BD191" s="1296">
        <f>BD190+PROD!L191-BA191</f>
        <v>0</v>
      </c>
      <c r="BE191" s="2133"/>
      <c r="BF191" s="507" t="e">
        <f t="shared" si="78"/>
        <v>#VALUE!</v>
      </c>
      <c r="BG191" s="329"/>
      <c r="BH191" s="1018">
        <f t="shared" si="79"/>
        <v>0</v>
      </c>
    </row>
    <row r="192" spans="1:60" ht="15" customHeight="1" x14ac:dyDescent="0.3">
      <c r="A192" s="2033"/>
      <c r="B192" s="287" t="str">
        <f t="shared" si="80"/>
        <v/>
      </c>
      <c r="C192" s="288" t="str">
        <f t="shared" si="75"/>
        <v/>
      </c>
      <c r="D192" s="691"/>
      <c r="E192" s="692"/>
      <c r="F192" s="693"/>
      <c r="G192" s="694"/>
      <c r="H192" s="695"/>
      <c r="I192" s="289">
        <f>I191-SUM($D192:F192)</f>
        <v>0</v>
      </c>
      <c r="J192" s="1237" t="str">
        <f>$J$10</f>
        <v>% Mort/Sel Acm Tab :</v>
      </c>
      <c r="K192" s="1238">
        <f>IFERROR(LOOKUP($A187,TP!$A$6:$A$108,GSh!$AR$6:$AR$108)/100,0)</f>
        <v>0</v>
      </c>
      <c r="L192" s="1246"/>
      <c r="M192" s="291">
        <f t="shared" si="106"/>
        <v>0</v>
      </c>
      <c r="N192" s="292" t="str">
        <f>$N$10</f>
        <v xml:space="preserve">Uniformidad (C. Lote) : </v>
      </c>
      <c r="O192" s="320">
        <f>LOOKUP($A187,'Pr-Sem'!$A$6:$A$108,'Pr-Sem'!$AG$6:$AG$108)</f>
        <v>0</v>
      </c>
      <c r="P192" s="320">
        <v>90</v>
      </c>
      <c r="Q192" s="321">
        <f>IF(AND(P192&gt;0,O192&gt;0),(O192/P192-1)*100,0)</f>
        <v>0</v>
      </c>
      <c r="R192" s="699"/>
      <c r="S192" s="762"/>
      <c r="T192" s="765">
        <f t="shared" si="86"/>
        <v>0</v>
      </c>
      <c r="U192" s="700"/>
      <c r="V192" s="701"/>
      <c r="W192" s="701"/>
      <c r="X192" s="295">
        <f t="shared" si="81"/>
        <v>0</v>
      </c>
      <c r="Y192" s="296">
        <f>IF(AA192&gt;0,V192,AE187/IF(Iniciar!$C$25="B X 40 K",40,IF(Iniciar!$C$25="B X 50 K",50,1))*I192/1000)</f>
        <v>0</v>
      </c>
      <c r="Z192" s="296">
        <f t="shared" si="82"/>
        <v>0</v>
      </c>
      <c r="AA192" s="297">
        <f t="shared" si="107"/>
        <v>0</v>
      </c>
      <c r="AB192" s="297">
        <f t="shared" si="76"/>
        <v>0</v>
      </c>
      <c r="AC192" s="2037" t="str">
        <f>$AC$10</f>
        <v xml:space="preserve">Cons ml /ave día: </v>
      </c>
      <c r="AD192" s="2038"/>
      <c r="AE192" s="2056">
        <f>IFERROR(SUMPRODUCT(AB187:AB193,I187:I193)/SUM(I187:I193),0)</f>
        <v>0</v>
      </c>
      <c r="AF192" s="2057"/>
      <c r="AG192" s="311" t="str">
        <f>CONCATENATE("Costo ",Iniciar!$C$25," : ")</f>
        <v xml:space="preserve">Costo Kilos : </v>
      </c>
      <c r="AH192" s="2043">
        <f>IFERROR(SUMPRODUCT(T187:T193,V187:V193)/SUMIF(T187:T193,"&gt;0",V187:V193),0)</f>
        <v>0</v>
      </c>
      <c r="AI192" s="2043"/>
      <c r="AJ192" s="313"/>
      <c r="AK192" s="2027"/>
      <c r="AL192" s="1284">
        <f t="shared" si="77"/>
        <v>0</v>
      </c>
      <c r="AM192" s="1285"/>
      <c r="AN192" s="1285"/>
      <c r="AO192" s="1285"/>
      <c r="AP192" s="1285"/>
      <c r="AQ192" s="1285"/>
      <c r="AR192" s="1285"/>
      <c r="AS192" s="1286"/>
      <c r="AT192" s="1287"/>
      <c r="AU192" s="1288"/>
      <c r="AV192" s="1289"/>
      <c r="AW192" s="1290"/>
      <c r="AX192" s="1291"/>
      <c r="AY192" s="1291"/>
      <c r="AZ192" s="1292"/>
      <c r="BA192" s="1293"/>
      <c r="BB192" s="1294"/>
      <c r="BC192" s="1295"/>
      <c r="BD192" s="1296">
        <f>BD191+PROD!L192-BA192</f>
        <v>0</v>
      </c>
      <c r="BE192" s="2133"/>
      <c r="BF192" s="507" t="e">
        <f t="shared" si="78"/>
        <v>#VALUE!</v>
      </c>
      <c r="BG192" s="329"/>
      <c r="BH192" s="1018">
        <f t="shared" si="79"/>
        <v>0</v>
      </c>
    </row>
    <row r="193" spans="1:60" ht="15" customHeight="1" x14ac:dyDescent="0.3">
      <c r="A193" s="2034"/>
      <c r="B193" s="287" t="str">
        <f t="shared" si="80"/>
        <v/>
      </c>
      <c r="C193" s="288" t="str">
        <f t="shared" si="75"/>
        <v/>
      </c>
      <c r="D193" s="691"/>
      <c r="E193" s="692"/>
      <c r="F193" s="693"/>
      <c r="G193" s="694"/>
      <c r="H193" s="695"/>
      <c r="I193" s="289">
        <f>I192-SUM($D193:F193)</f>
        <v>0</v>
      </c>
      <c r="J193" s="1239" t="str">
        <f>$J$11</f>
        <v>% Viabilidad :</v>
      </c>
      <c r="K193" s="1240">
        <f>IF(OR(SUM(L187:L193)&gt;0,SUM(V187:V193)&gt;0),1-(K190+K191),0)</f>
        <v>0</v>
      </c>
      <c r="L193" s="1247"/>
      <c r="M193" s="1248">
        <f>IF(I193&gt;0,(L193/IF(SUM(L187:L192)&gt;0,1,7))/I193,0)</f>
        <v>0</v>
      </c>
      <c r="N193" s="1249" t="str">
        <f>$N$11</f>
        <v xml:space="preserve">Uniformidad (10% +) : </v>
      </c>
      <c r="O193" s="1250">
        <f>IF(O191&gt;0,IF(O192&gt;0,100-SUM(O191:O192),0),0)</f>
        <v>0</v>
      </c>
      <c r="P193" s="1251">
        <f>100-SUM(P191:P192)</f>
        <v>5</v>
      </c>
      <c r="Q193" s="1252">
        <f>IF(AND(P193&gt;0,O193&gt;0),(O193/P193-1)*100,0)</f>
        <v>0</v>
      </c>
      <c r="R193" s="699"/>
      <c r="S193" s="762"/>
      <c r="T193" s="765">
        <f t="shared" si="86"/>
        <v>0</v>
      </c>
      <c r="U193" s="700"/>
      <c r="V193" s="701"/>
      <c r="W193" s="701"/>
      <c r="X193" s="295">
        <f t="shared" si="81"/>
        <v>0</v>
      </c>
      <c r="Y193" s="296">
        <f>IF(AA193&gt;0,V193,AE187/IF(Iniciar!$C$25="B X 40 K",40,IF(Iniciar!$C$25="B X 50 K",50,1))*I193/1000)</f>
        <v>0</v>
      </c>
      <c r="Z193" s="296">
        <f t="shared" si="82"/>
        <v>0</v>
      </c>
      <c r="AA193" s="297">
        <f>IF(I193&gt;0,(V193/IF(SUM(V187:V192)&gt;0,1,7))*$A$1/I193,0)</f>
        <v>0</v>
      </c>
      <c r="AB193" s="297">
        <f t="shared" si="76"/>
        <v>0</v>
      </c>
      <c r="AC193" s="2039" t="str">
        <f>$AC$11</f>
        <v xml:space="preserve">Relación Agua /Alimto: </v>
      </c>
      <c r="AD193" s="2040"/>
      <c r="AE193" s="2058">
        <f>IFERROR(AE192/AD187,0)</f>
        <v>0</v>
      </c>
      <c r="AF193" s="2059"/>
      <c r="AG193" s="1269" t="s">
        <v>237</v>
      </c>
      <c r="AH193" s="1270">
        <f>IF(SUM(L187:L193)&gt;0,AH192*SUM(V187:V193)/SUM(L187:L193),0)</f>
        <v>0</v>
      </c>
      <c r="AI193" s="1270">
        <f>IF(AND($A$1&gt;0,P187&gt;0),AH192/$A$1*(AE187/P187)*100,0)</f>
        <v>0</v>
      </c>
      <c r="AJ193" s="1271">
        <f t="shared" ref="AJ193:AJ198" si="108">IF(AND(AI193&gt;0,AH193&gt;0),(AH193/AI193-1)*100,0)</f>
        <v>0</v>
      </c>
      <c r="AK193" s="2028"/>
      <c r="AL193" s="1284">
        <f t="shared" si="77"/>
        <v>0</v>
      </c>
      <c r="AM193" s="1285"/>
      <c r="AN193" s="1285"/>
      <c r="AO193" s="1285"/>
      <c r="AP193" s="1285"/>
      <c r="AQ193" s="1285"/>
      <c r="AR193" s="1285"/>
      <c r="AS193" s="1286"/>
      <c r="AT193" s="1287"/>
      <c r="AU193" s="1288"/>
      <c r="AV193" s="1289"/>
      <c r="AW193" s="1290"/>
      <c r="AX193" s="1291"/>
      <c r="AY193" s="1291"/>
      <c r="AZ193" s="1292"/>
      <c r="BA193" s="1293"/>
      <c r="BB193" s="1294"/>
      <c r="BC193" s="1295"/>
      <c r="BD193" s="1296">
        <f>BD192+PROD!L193-BA193</f>
        <v>0</v>
      </c>
      <c r="BE193" s="2134"/>
      <c r="BF193" s="507" t="e">
        <f t="shared" si="78"/>
        <v>#VALUE!</v>
      </c>
      <c r="BG193" s="329"/>
      <c r="BH193" s="1018">
        <f t="shared" si="79"/>
        <v>0</v>
      </c>
    </row>
    <row r="194" spans="1:60" ht="15" customHeight="1" x14ac:dyDescent="0.3">
      <c r="A194" s="2032">
        <f>A187+1</f>
        <v>45</v>
      </c>
      <c r="B194" s="287" t="str">
        <f t="shared" si="80"/>
        <v/>
      </c>
      <c r="C194" s="288" t="str">
        <f t="shared" si="75"/>
        <v/>
      </c>
      <c r="D194" s="691"/>
      <c r="E194" s="692"/>
      <c r="F194" s="693"/>
      <c r="G194" s="694"/>
      <c r="H194" s="695"/>
      <c r="I194" s="289">
        <f>I193-SUM($D194:F194)</f>
        <v>0</v>
      </c>
      <c r="J194" s="1232" t="str">
        <f>$J$5</f>
        <v>% Mort Sem :</v>
      </c>
      <c r="K194" s="1233">
        <f>IF(PROD!$K$2&gt;0,SUM(D194:D200)/PROD!$K$2,0)</f>
        <v>0</v>
      </c>
      <c r="L194" s="1241"/>
      <c r="M194" s="1242">
        <f t="shared" ref="M194:M199" si="109">IF(I194&gt;0,L194/I194,0)</f>
        <v>0</v>
      </c>
      <c r="N194" s="1243" t="str">
        <f>$N$5</f>
        <v xml:space="preserve">% Pdn prom semana : </v>
      </c>
      <c r="O194" s="1244">
        <f>IF(SUM(L194:L199)&gt;0,100*SUMPRODUCT(M194:M200,I194:I200)/SUMIF(L194:L200,"&gt;0",I194:I200),IF(L200&gt;0,100*L200/7/I200,0))</f>
        <v>0</v>
      </c>
      <c r="P194" s="1244">
        <f>IFERROR(LOOKUP($A194,TP!$A$6:$A$108,GSh!$AE$6:$AE$108),0)</f>
        <v>0</v>
      </c>
      <c r="Q194" s="1245">
        <f>IF(AND(P194&gt;0,O194&gt;0),O194-P194,0)</f>
        <v>0</v>
      </c>
      <c r="R194" s="699"/>
      <c r="S194" s="762"/>
      <c r="T194" s="765">
        <f t="shared" si="86"/>
        <v>0</v>
      </c>
      <c r="U194" s="700"/>
      <c r="V194" s="701"/>
      <c r="W194" s="701"/>
      <c r="X194" s="295">
        <f t="shared" si="81"/>
        <v>0</v>
      </c>
      <c r="Y194" s="296">
        <f>IF(AA194&gt;0,V194,AE194/IF(Iniciar!$C$25="B X 40 K",40,IF(Iniciar!$C$25="B X 50 K",50,1))*I194/1000)</f>
        <v>0</v>
      </c>
      <c r="Z194" s="296">
        <f t="shared" si="82"/>
        <v>0</v>
      </c>
      <c r="AA194" s="297">
        <f t="shared" ref="AA194:AA199" si="110">IF(I194&gt;0,V194*$A$1/I194,0)</f>
        <v>0</v>
      </c>
      <c r="AB194" s="297">
        <f t="shared" si="76"/>
        <v>0</v>
      </c>
      <c r="AC194" s="1261" t="str">
        <f>$AC$5</f>
        <v>Gr. Ave Dia :</v>
      </c>
      <c r="AD194" s="1262">
        <f>IF(SUMIF(V194:V200,"&gt;0")&gt;0,SUMPRODUCT(AA194:AA200,I194:I200)/SUMIF(AA194:AA200,"&gt;0",I194:I200),0)</f>
        <v>0</v>
      </c>
      <c r="AE194" s="1262">
        <f>IFERROR(LOOKUP($A194,TP!$A$6:$A$108,GSh!$AU$6:$AU$108),0)</f>
        <v>0</v>
      </c>
      <c r="AF194" s="1263">
        <f>IF(AND(AE194&gt;0,AD194&gt;0),(AD194/AE194-1)*100,0)</f>
        <v>0</v>
      </c>
      <c r="AG194" s="1264" t="str">
        <f>PROD!$AG$5</f>
        <v>Gr X H</v>
      </c>
      <c r="AH194" s="1265">
        <f>IF(PROD!O194&gt;0,IF($AG194="Gr X H",PROD!AD194/PROD!O194*100,IF($AG194="Conv Kg/Doc",PROD!AD194/PROD!O194*1.2,IF(PROD!$O196&gt;0,PROD!AD194/(PROD!O194*PROD!$O196)*100,0))),0)</f>
        <v>0</v>
      </c>
      <c r="AI194" s="1265">
        <f>IF(PROD!P194&gt;0,IF($AG194="Gr X H",PROD!AE194/PROD!P194*100,IF($AG194="Conv Kg/Doc",PROD!AE194/PROD!P194*1.2,IF(PROD!$P196&gt;0,PROD!AE194/(PROD!P194*PROD!$P196)*100,0))),0)</f>
        <v>0</v>
      </c>
      <c r="AJ194" s="1266">
        <f t="shared" si="108"/>
        <v>0</v>
      </c>
      <c r="AK194" s="2026"/>
      <c r="AL194" s="1284">
        <f t="shared" si="77"/>
        <v>0</v>
      </c>
      <c r="AM194" s="1285"/>
      <c r="AN194" s="1285"/>
      <c r="AO194" s="1285"/>
      <c r="AP194" s="1285"/>
      <c r="AQ194" s="1285"/>
      <c r="AR194" s="1285"/>
      <c r="AS194" s="1286"/>
      <c r="AT194" s="1287"/>
      <c r="AU194" s="1288"/>
      <c r="AV194" s="1289"/>
      <c r="AW194" s="1290"/>
      <c r="AX194" s="1291"/>
      <c r="AY194" s="1291"/>
      <c r="AZ194" s="1292"/>
      <c r="BA194" s="1293"/>
      <c r="BB194" s="1294"/>
      <c r="BC194" s="1295"/>
      <c r="BD194" s="1296">
        <f>BD193+PROD!L194-BA194</f>
        <v>0</v>
      </c>
      <c r="BE194" s="2132">
        <f>IF(SUM(AM194:AZ200)&gt;0,(SUM(AM194:AM200)*$AM$2+SUM(AN194:AN200)*$AN$2+SUM(AO194:AO200)*$AO$2+SUM(AP194:AP200)*$AP$2+SUM(AQ194:AQ200)*$AQ$2+SUM(AR194:AR200)*$AR$2+SUM(AS194:AS200)*$AS$2+SUM(AW194:AW200)*$AW$2+SUM(AX194:AX200)*$AX$2+SUM(AY194:AY200)*$AY$2+SUM(AZ194:AZ200)*$AZ$2+SUM(AT194:AT200)*$AT$2+SUM(AU194:AU200)*$AU$2+SUM(AV194:AV200)*$AV$2)/SUM(AM194:AZ200),0)</f>
        <v>0</v>
      </c>
      <c r="BF194" s="507" t="e">
        <f t="shared" si="78"/>
        <v>#VALUE!</v>
      </c>
      <c r="BG194" s="277">
        <f>IF(SUM(L194:L200)&gt;0,A194,IF(SUM(V194:V200)&gt;0,A194,BG187))</f>
        <v>0</v>
      </c>
      <c r="BH194" s="1018">
        <f t="shared" si="79"/>
        <v>0</v>
      </c>
    </row>
    <row r="195" spans="1:60" ht="15" customHeight="1" x14ac:dyDescent="0.3">
      <c r="A195" s="2033"/>
      <c r="B195" s="287" t="str">
        <f t="shared" si="80"/>
        <v/>
      </c>
      <c r="C195" s="288" t="str">
        <f t="shared" si="75"/>
        <v/>
      </c>
      <c r="D195" s="691"/>
      <c r="E195" s="692"/>
      <c r="F195" s="693"/>
      <c r="G195" s="694"/>
      <c r="H195" s="695"/>
      <c r="I195" s="289">
        <f>I194-SUM($D195:F195)</f>
        <v>0</v>
      </c>
      <c r="J195" s="1234" t="str">
        <f>$J$6</f>
        <v>% Sel Sem :</v>
      </c>
      <c r="K195" s="1231">
        <f>IF(PROD!$K$2&gt;0,SUM(E194:E200)/PROD!$K$2,0)</f>
        <v>0</v>
      </c>
      <c r="L195" s="1246"/>
      <c r="M195" s="291">
        <f t="shared" si="109"/>
        <v>0</v>
      </c>
      <c r="N195" s="292" t="str">
        <f>$N$6</f>
        <v xml:space="preserve">H. Ave Alojada : </v>
      </c>
      <c r="O195" s="293">
        <f>IF(AND(PROD!$K$2&gt;0,O194&gt;0),SUM(L$5:L200)/PROD!$K$2,0)</f>
        <v>0</v>
      </c>
      <c r="P195" s="293">
        <f>IFERROR(LOOKUP($A194,TP!$A$6:$A$108,GSh!$AJ$6:$AJ$108),0)</f>
        <v>0</v>
      </c>
      <c r="Q195" s="294">
        <f>IF(AND(P195&gt;0,O195&gt;0),O195-P195,0)</f>
        <v>0</v>
      </c>
      <c r="R195" s="699"/>
      <c r="S195" s="762"/>
      <c r="T195" s="765">
        <f t="shared" si="86"/>
        <v>0</v>
      </c>
      <c r="U195" s="700"/>
      <c r="V195" s="701"/>
      <c r="W195" s="701"/>
      <c r="X195" s="295">
        <f t="shared" si="81"/>
        <v>0</v>
      </c>
      <c r="Y195" s="296">
        <f>IF(AA195&gt;0,V195,AE194/IF(Iniciar!$C$25="B X 40 K",40,IF(Iniciar!$C$25="B X 50 K",50,1))*I195/1000)</f>
        <v>0</v>
      </c>
      <c r="Z195" s="296">
        <f t="shared" si="82"/>
        <v>0</v>
      </c>
      <c r="AA195" s="297">
        <f t="shared" si="110"/>
        <v>0</v>
      </c>
      <c r="AB195" s="297">
        <f t="shared" si="76"/>
        <v>0</v>
      </c>
      <c r="AC195" s="1267" t="str">
        <f>$AC$6</f>
        <v>Gr. Ave Sem :</v>
      </c>
      <c r="AD195" s="284">
        <f>AD194*7</f>
        <v>0</v>
      </c>
      <c r="AE195" s="284">
        <f>AE194*7</f>
        <v>0</v>
      </c>
      <c r="AF195" s="285">
        <f>IF(AND(AE195&gt;0,AD195&gt;0),(AD195/AE195-1)*100,0)</f>
        <v>0</v>
      </c>
      <c r="AG195" s="1199" t="str">
        <f>PROD!$AG$6</f>
        <v>Gr X H Acm</v>
      </c>
      <c r="AH195" s="298">
        <f>IF(SUM(PROD!L194:L200)&gt;0,IF(PROD!$AG$5="Gr X H",SUM(PROD!V$5:V200)*PROD!$A$1/SUM(PROD!L$5:L200),IF($AG194="Conv Kg/Doc",(SUM(PROD!V$5:V200)*PROD!$A$1/1000)/(SUM(PROD!L$5:L200)/12),IF(PROD!$O196&gt;0,SUM(PROD!V$5:V200)*PROD!$A$1/(SUM(PROD!L$5:L200)*LOOKUP(PROD!A194,TP!$A$6:$A$108,GSh!$BB$6:$BB$108)),0))),0)</f>
        <v>0</v>
      </c>
      <c r="AI195" s="298">
        <f>IF(PROD!P194&gt;0,IF($AG194="Gr X H",PROD!AE194/PROD!P194*100,IF($AG194="Conv Kg/Doc",PROD!AE194/PROD!P194*1.2,IF(PROD!$P195&gt;0,PROD!AE196/(PROD!P195*LOOKUP(PROD!$A194,TP!$A$6:$A$108,GSh!$BC$6:$BC$108)/1000),0))),0)</f>
        <v>0</v>
      </c>
      <c r="AJ195" s="328">
        <f t="shared" si="108"/>
        <v>0</v>
      </c>
      <c r="AK195" s="2027"/>
      <c r="AL195" s="1284">
        <f t="shared" si="77"/>
        <v>0</v>
      </c>
      <c r="AM195" s="1285"/>
      <c r="AN195" s="1285"/>
      <c r="AO195" s="1285"/>
      <c r="AP195" s="1285"/>
      <c r="AQ195" s="1285"/>
      <c r="AR195" s="1285"/>
      <c r="AS195" s="1286"/>
      <c r="AT195" s="1287"/>
      <c r="AU195" s="1288"/>
      <c r="AV195" s="1289"/>
      <c r="AW195" s="1290"/>
      <c r="AX195" s="1291"/>
      <c r="AY195" s="1291"/>
      <c r="AZ195" s="1292"/>
      <c r="BA195" s="1293"/>
      <c r="BB195" s="1294"/>
      <c r="BC195" s="1295"/>
      <c r="BD195" s="1296">
        <f>BD194+PROD!L195-BA195</f>
        <v>0</v>
      </c>
      <c r="BE195" s="2133"/>
      <c r="BF195" s="507" t="e">
        <f t="shared" si="78"/>
        <v>#VALUE!</v>
      </c>
      <c r="BG195" s="329"/>
      <c r="BH195" s="1018">
        <f t="shared" si="79"/>
        <v>0</v>
      </c>
    </row>
    <row r="196" spans="1:60" ht="15" customHeight="1" x14ac:dyDescent="0.3">
      <c r="A196" s="2033"/>
      <c r="B196" s="287" t="str">
        <f t="shared" si="80"/>
        <v/>
      </c>
      <c r="C196" s="288" t="str">
        <f t="shared" si="75"/>
        <v/>
      </c>
      <c r="D196" s="691"/>
      <c r="E196" s="692"/>
      <c r="F196" s="693"/>
      <c r="G196" s="694"/>
      <c r="H196" s="695"/>
      <c r="I196" s="289">
        <f>I195-SUM($D196:F196)</f>
        <v>0</v>
      </c>
      <c r="J196" s="1235" t="str">
        <f>$J$7</f>
        <v>% Mort/Sel Sem Tab :</v>
      </c>
      <c r="K196" s="1236">
        <f>K199-K192</f>
        <v>0</v>
      </c>
      <c r="L196" s="1246"/>
      <c r="M196" s="291">
        <f t="shared" si="109"/>
        <v>0</v>
      </c>
      <c r="N196" s="304" t="str">
        <f>$N$7</f>
        <v xml:space="preserve">Peso Huevo (Gr) : </v>
      </c>
      <c r="O196" s="305">
        <f>LOOKUP($A194,'Pr-Sem'!$A$6:$A$108,'Pr-Sem'!$Z$6:$Z$108)</f>
        <v>0</v>
      </c>
      <c r="P196" s="305">
        <f>IFERROR(LOOKUP($A194,TP!$A$6:$A$108,GSh!$AZ$6:$AZ$108),0)</f>
        <v>0</v>
      </c>
      <c r="Q196" s="306">
        <f>IF(AND(P196&gt;0,O196&gt;0),O196-P196,0)</f>
        <v>0</v>
      </c>
      <c r="R196" s="699"/>
      <c r="S196" s="762"/>
      <c r="T196" s="765">
        <f t="shared" si="86"/>
        <v>0</v>
      </c>
      <c r="U196" s="700"/>
      <c r="V196" s="701"/>
      <c r="W196" s="701"/>
      <c r="X196" s="295">
        <f t="shared" si="81"/>
        <v>0</v>
      </c>
      <c r="Y196" s="296">
        <f>IF(AA196&gt;0,V196,AE194/IF(Iniciar!$C$25="B X 40 K",40,IF(Iniciar!$C$25="B X 50 K",50,1))*I196/1000)</f>
        <v>0</v>
      </c>
      <c r="Z196" s="296">
        <f t="shared" si="82"/>
        <v>0</v>
      </c>
      <c r="AA196" s="297">
        <f t="shared" si="110"/>
        <v>0</v>
      </c>
      <c r="AB196" s="297">
        <f t="shared" si="76"/>
        <v>0</v>
      </c>
      <c r="AC196" s="1268" t="str">
        <f>$AC$7</f>
        <v>Kg Ave Acu :</v>
      </c>
      <c r="AD196" s="308">
        <f>IF(OR(SUM(L194:L200)&gt;0,SUM(V194:V200)&gt;0),AD195/1000+AD189,0)</f>
        <v>0</v>
      </c>
      <c r="AE196" s="309">
        <f>AE195/1000+AE189</f>
        <v>0</v>
      </c>
      <c r="AF196" s="310">
        <f>IF(AND(AE196&gt;0,AD196&gt;0),(AD196/AE196-1)*100,0)</f>
        <v>0</v>
      </c>
      <c r="AG196" s="311" t="str">
        <f>PROD!$AG$7</f>
        <v xml:space="preserve">Masa Sem H (Gr) : </v>
      </c>
      <c r="AH196" s="312">
        <f>PROD!O194/100*7*PROD!O196</f>
        <v>0</v>
      </c>
      <c r="AI196" s="312">
        <f>PROD!P194/100*7*PROD!P196</f>
        <v>0</v>
      </c>
      <c r="AJ196" s="313">
        <f t="shared" si="108"/>
        <v>0</v>
      </c>
      <c r="AK196" s="2027"/>
      <c r="AL196" s="1284">
        <f t="shared" si="77"/>
        <v>0</v>
      </c>
      <c r="AM196" s="1285"/>
      <c r="AN196" s="1285"/>
      <c r="AO196" s="1285"/>
      <c r="AP196" s="1285"/>
      <c r="AQ196" s="1285"/>
      <c r="AR196" s="1285"/>
      <c r="AS196" s="1286"/>
      <c r="AT196" s="1287"/>
      <c r="AU196" s="1288"/>
      <c r="AV196" s="1289"/>
      <c r="AW196" s="1290"/>
      <c r="AX196" s="1291"/>
      <c r="AY196" s="1291"/>
      <c r="AZ196" s="1292"/>
      <c r="BA196" s="1293"/>
      <c r="BB196" s="1294"/>
      <c r="BC196" s="1295"/>
      <c r="BD196" s="1296">
        <f>BD195+PROD!L196-BA196</f>
        <v>0</v>
      </c>
      <c r="BE196" s="2133"/>
      <c r="BF196" s="507" t="e">
        <f t="shared" si="78"/>
        <v>#VALUE!</v>
      </c>
      <c r="BG196" s="329"/>
      <c r="BH196" s="1018">
        <f t="shared" si="79"/>
        <v>0</v>
      </c>
    </row>
    <row r="197" spans="1:60" ht="15" customHeight="1" x14ac:dyDescent="0.3">
      <c r="A197" s="2033"/>
      <c r="B197" s="287" t="str">
        <f t="shared" si="80"/>
        <v/>
      </c>
      <c r="C197" s="288" t="str">
        <f t="shared" ref="C197:C260" si="111">IF(B197="","",(B197-Fnac+1)/7)</f>
        <v/>
      </c>
      <c r="D197" s="691"/>
      <c r="E197" s="692"/>
      <c r="F197" s="693"/>
      <c r="G197" s="694"/>
      <c r="H197" s="695"/>
      <c r="I197" s="289">
        <f>I196-SUM($D197:F197)</f>
        <v>0</v>
      </c>
      <c r="J197" s="1234" t="str">
        <f>$J$8</f>
        <v>% Mort Acm :</v>
      </c>
      <c r="K197" s="1231">
        <f>IF(PROD!$K$2&gt;0,SUM(D$5:D200)/PROD!$K$2,0)</f>
        <v>0</v>
      </c>
      <c r="L197" s="1246"/>
      <c r="M197" s="291">
        <f t="shared" si="109"/>
        <v>0</v>
      </c>
      <c r="N197" s="314" t="str">
        <f>N$8</f>
        <v xml:space="preserve">Peso Ave (Gr) : </v>
      </c>
      <c r="O197" s="315">
        <f>LOOKUP($A194,GSh!$BV$6:$BV$108,GSh!$BJ$6:$BJ$108)</f>
        <v>0</v>
      </c>
      <c r="P197" s="315">
        <f>IFERROR(LOOKUP($A194,TP!$A$6:$A$108,GSh!$BK$6:$BK$108),0)</f>
        <v>0</v>
      </c>
      <c r="Q197" s="316">
        <f>IF(AND(P197&gt;0,O197&gt;0),(O197/P197-1)*100,0)</f>
        <v>0</v>
      </c>
      <c r="R197" s="699"/>
      <c r="S197" s="762"/>
      <c r="T197" s="765">
        <f t="shared" si="86"/>
        <v>0</v>
      </c>
      <c r="U197" s="700"/>
      <c r="V197" s="701"/>
      <c r="W197" s="701"/>
      <c r="X197" s="295">
        <f t="shared" si="81"/>
        <v>0</v>
      </c>
      <c r="Y197" s="296">
        <f>IF(AA197&gt;0,V197,AE194/IF(Iniciar!$C$25="B X 40 K",40,IF(Iniciar!$C$25="B X 50 K",50,1))*I197/1000)</f>
        <v>0</v>
      </c>
      <c r="Z197" s="296">
        <f t="shared" si="82"/>
        <v>0</v>
      </c>
      <c r="AA197" s="297">
        <f t="shared" si="110"/>
        <v>0</v>
      </c>
      <c r="AB197" s="297">
        <f t="shared" ref="AB197:AB260" si="112">IFERROR(R197*1000/I197,0)</f>
        <v>0</v>
      </c>
      <c r="AC197" s="541" t="str">
        <f>$AC$8</f>
        <v xml:space="preserve">Ton. Lote Acu : </v>
      </c>
      <c r="AD197" s="544">
        <f>SUM($V$5:$V200)*$A$1/1000000</f>
        <v>0</v>
      </c>
      <c r="AE197" s="543">
        <f>AE190+(AE194/1000000*7*(I194+I200)/2)</f>
        <v>0</v>
      </c>
      <c r="AF197" s="542">
        <f>IF(AND(AE197&gt;0,AD197&gt;0),(AD197/AE197-1)*100,0)</f>
        <v>0</v>
      </c>
      <c r="AG197" s="317" t="str">
        <f>PROD!$AG$8</f>
        <v xml:space="preserve">Masa Ac A. A (Kg) : </v>
      </c>
      <c r="AH197" s="318">
        <f>IF(PROD!$K$2&gt;0,SUM(PROD!L$5:L200)*LOOKUP(PROD!$A194,TP!$A$6:$A$108,GSh!$BB$6:$BB$108)/1000/PROD!$K$2,0)</f>
        <v>0</v>
      </c>
      <c r="AI197" s="318">
        <f>IFERROR(PROD!P195*LOOKUP(PROD!$A194,TP!$A$6:$A$108,GSh!$BC$6:$BC$108)/1000,0)</f>
        <v>0</v>
      </c>
      <c r="AJ197" s="330">
        <f t="shared" si="108"/>
        <v>0</v>
      </c>
      <c r="AK197" s="2027"/>
      <c r="AL197" s="1284">
        <f t="shared" ref="AL197:AL260" si="113">L197-SUM(AM197:AS197)-SUM(AW197:AZ197)-SUM(AT197:AV197)</f>
        <v>0</v>
      </c>
      <c r="AM197" s="1285"/>
      <c r="AN197" s="1285"/>
      <c r="AO197" s="1285"/>
      <c r="AP197" s="1285"/>
      <c r="AQ197" s="1285"/>
      <c r="AR197" s="1285"/>
      <c r="AS197" s="1286"/>
      <c r="AT197" s="1287"/>
      <c r="AU197" s="1288"/>
      <c r="AV197" s="1289"/>
      <c r="AW197" s="1290"/>
      <c r="AX197" s="1291"/>
      <c r="AY197" s="1291"/>
      <c r="AZ197" s="1292"/>
      <c r="BA197" s="1293"/>
      <c r="BB197" s="1294"/>
      <c r="BC197" s="1295"/>
      <c r="BD197" s="1296">
        <f>BD196+PROD!L197-BA197</f>
        <v>0</v>
      </c>
      <c r="BE197" s="2133"/>
      <c r="BF197" s="507" t="e">
        <f t="shared" ref="BF197:BF260" si="114">INT((B197-Fnac)/7)+1</f>
        <v>#VALUE!</v>
      </c>
      <c r="BG197" s="329"/>
      <c r="BH197" s="1018">
        <f t="shared" ref="BH197:BH260" si="115">T197*V197</f>
        <v>0</v>
      </c>
    </row>
    <row r="198" spans="1:60" ht="15" customHeight="1" x14ac:dyDescent="0.3">
      <c r="A198" s="2033"/>
      <c r="B198" s="287" t="str">
        <f t="shared" ref="B198:B261" si="116">IF(B197="","",B197+1)</f>
        <v/>
      </c>
      <c r="C198" s="288" t="str">
        <f t="shared" si="111"/>
        <v/>
      </c>
      <c r="D198" s="691"/>
      <c r="E198" s="692"/>
      <c r="F198" s="693"/>
      <c r="G198" s="694"/>
      <c r="H198" s="695"/>
      <c r="I198" s="289">
        <f>I197-SUM($D198:F198)</f>
        <v>0</v>
      </c>
      <c r="J198" s="1234" t="str">
        <f>$J$9</f>
        <v>% Sel Acm :</v>
      </c>
      <c r="K198" s="1231">
        <f>IF(PROD!$K$2&gt;0,SUM(E$5:E200)/PROD!$K$2,0)</f>
        <v>0</v>
      </c>
      <c r="L198" s="1246"/>
      <c r="M198" s="291">
        <f t="shared" si="109"/>
        <v>0</v>
      </c>
      <c r="N198" s="292" t="str">
        <f>$N$9</f>
        <v xml:space="preserve">Uniformidad (10% -) : </v>
      </c>
      <c r="O198" s="320">
        <f>LOOKUP($A194,'Pr-Sem'!$A$6:$A$108,'Pr-Sem'!$AH$6:$AH$108)</f>
        <v>0</v>
      </c>
      <c r="P198" s="320">
        <v>5</v>
      </c>
      <c r="Q198" s="321">
        <f>IF(AND(P198&gt;0,O198&gt;0),(1-O198/P198)*100,0)</f>
        <v>0</v>
      </c>
      <c r="R198" s="699"/>
      <c r="S198" s="762"/>
      <c r="T198" s="765">
        <f t="shared" si="86"/>
        <v>0</v>
      </c>
      <c r="U198" s="700"/>
      <c r="V198" s="701"/>
      <c r="W198" s="701"/>
      <c r="X198" s="295">
        <f t="shared" ref="X198:X261" si="117">X197+U198-V198-W198</f>
        <v>0</v>
      </c>
      <c r="Y198" s="296">
        <f>IF(AA198&gt;0,V198,AE194/IF(Iniciar!$C$25="B X 40 K",40,IF(Iniciar!$C$25="B X 50 K",50,1))*I198/1000)</f>
        <v>0</v>
      </c>
      <c r="Z198" s="296">
        <f t="shared" ref="Z198:Z261" si="118">Z197+U198-Y198-W198</f>
        <v>0</v>
      </c>
      <c r="AA198" s="297">
        <f t="shared" si="110"/>
        <v>0</v>
      </c>
      <c r="AB198" s="297">
        <f t="shared" si="112"/>
        <v>0</v>
      </c>
      <c r="AC198" s="2035" t="str">
        <f>$AC$9</f>
        <v xml:space="preserve">Total Litros Sem: </v>
      </c>
      <c r="AD198" s="2036"/>
      <c r="AE198" s="2050">
        <f>SUM(R194:R200)</f>
        <v>0</v>
      </c>
      <c r="AF198" s="2051"/>
      <c r="AG198" s="554" t="str">
        <f>$AG$9</f>
        <v xml:space="preserve">Indicador Eficiencia : </v>
      </c>
      <c r="AH198" s="555">
        <f>IF(AND(AE198&gt;0,O195&gt;0,O196&gt;0,SUM(L194:L200)&gt;0),(PROD!AH197/O195)*K200*100/(AE198/(SUM(L194:L200)*O196/1000)),0)</f>
        <v>0</v>
      </c>
      <c r="AI198" s="555">
        <f>IF(AND(P195&gt;0,PROD!AI196&gt;0),(PROD!AI197/P195)*(1-K199)*100/(AE195/PROD!AI196),0)</f>
        <v>0</v>
      </c>
      <c r="AJ198" s="331">
        <f t="shared" si="108"/>
        <v>0</v>
      </c>
      <c r="AK198" s="2027"/>
      <c r="AL198" s="1284">
        <f t="shared" si="113"/>
        <v>0</v>
      </c>
      <c r="AM198" s="1285"/>
      <c r="AN198" s="1285"/>
      <c r="AO198" s="1285"/>
      <c r="AP198" s="1285"/>
      <c r="AQ198" s="1285"/>
      <c r="AR198" s="1285"/>
      <c r="AS198" s="1286"/>
      <c r="AT198" s="1287"/>
      <c r="AU198" s="1288"/>
      <c r="AV198" s="1289"/>
      <c r="AW198" s="1290"/>
      <c r="AX198" s="1291"/>
      <c r="AY198" s="1291"/>
      <c r="AZ198" s="1292"/>
      <c r="BA198" s="1293"/>
      <c r="BB198" s="1294"/>
      <c r="BC198" s="1295"/>
      <c r="BD198" s="1296">
        <f>BD197+PROD!L198-BA198</f>
        <v>0</v>
      </c>
      <c r="BE198" s="2133"/>
      <c r="BF198" s="507" t="e">
        <f t="shared" si="114"/>
        <v>#VALUE!</v>
      </c>
      <c r="BG198" s="329"/>
      <c r="BH198" s="1018">
        <f t="shared" si="115"/>
        <v>0</v>
      </c>
    </row>
    <row r="199" spans="1:60" ht="15" customHeight="1" x14ac:dyDescent="0.3">
      <c r="A199" s="2033"/>
      <c r="B199" s="287" t="str">
        <f t="shared" si="116"/>
        <v/>
      </c>
      <c r="C199" s="288" t="str">
        <f t="shared" si="111"/>
        <v/>
      </c>
      <c r="D199" s="691"/>
      <c r="E199" s="692"/>
      <c r="F199" s="693"/>
      <c r="G199" s="694"/>
      <c r="H199" s="695"/>
      <c r="I199" s="289">
        <f>I198-SUM($D199:F199)</f>
        <v>0</v>
      </c>
      <c r="J199" s="1237" t="str">
        <f>$J$10</f>
        <v>% Mort/Sel Acm Tab :</v>
      </c>
      <c r="K199" s="1238">
        <f>IFERROR(LOOKUP($A194,TP!$A$6:$A$108,GSh!$AR$6:$AR$108)/100,0)</f>
        <v>0</v>
      </c>
      <c r="L199" s="1246"/>
      <c r="M199" s="291">
        <f t="shared" si="109"/>
        <v>0</v>
      </c>
      <c r="N199" s="292" t="str">
        <f>$N$10</f>
        <v xml:space="preserve">Uniformidad (C. Lote) : </v>
      </c>
      <c r="O199" s="320">
        <f>LOOKUP($A194,'Pr-Sem'!$A$6:$A$108,'Pr-Sem'!$AG$6:$AG$108)</f>
        <v>0</v>
      </c>
      <c r="P199" s="320">
        <v>90</v>
      </c>
      <c r="Q199" s="321">
        <f>IF(AND(P199&gt;0,O199&gt;0),(O199/P199-1)*100,0)</f>
        <v>0</v>
      </c>
      <c r="R199" s="699"/>
      <c r="S199" s="762"/>
      <c r="T199" s="765">
        <f t="shared" si="86"/>
        <v>0</v>
      </c>
      <c r="U199" s="700"/>
      <c r="V199" s="701"/>
      <c r="W199" s="701"/>
      <c r="X199" s="295">
        <f t="shared" si="117"/>
        <v>0</v>
      </c>
      <c r="Y199" s="296">
        <f>IF(AA199&gt;0,V199,AE194/IF(Iniciar!$C$25="B X 40 K",40,IF(Iniciar!$C$25="B X 50 K",50,1))*I199/1000)</f>
        <v>0</v>
      </c>
      <c r="Z199" s="296">
        <f t="shared" si="118"/>
        <v>0</v>
      </c>
      <c r="AA199" s="297">
        <f t="shared" si="110"/>
        <v>0</v>
      </c>
      <c r="AB199" s="297">
        <f t="shared" si="112"/>
        <v>0</v>
      </c>
      <c r="AC199" s="2037" t="str">
        <f>$AC$10</f>
        <v xml:space="preserve">Cons ml /ave día: </v>
      </c>
      <c r="AD199" s="2038"/>
      <c r="AE199" s="2056">
        <f>IFERROR(SUMPRODUCT(AB194:AB200,I194:I200)/SUM(I194:I200),0)</f>
        <v>0</v>
      </c>
      <c r="AF199" s="2057"/>
      <c r="AG199" s="311" t="str">
        <f>CONCATENATE("Costo ",Iniciar!$C$25," : ")</f>
        <v xml:space="preserve">Costo Kilos : </v>
      </c>
      <c r="AH199" s="2043">
        <f>IFERROR(SUMPRODUCT(T194:T200,V194:V200)/SUMIF(T194:T200,"&gt;0",V194:V200),0)</f>
        <v>0</v>
      </c>
      <c r="AI199" s="2043"/>
      <c r="AJ199" s="313"/>
      <c r="AK199" s="2027"/>
      <c r="AL199" s="1284">
        <f t="shared" si="113"/>
        <v>0</v>
      </c>
      <c r="AM199" s="1285"/>
      <c r="AN199" s="1285"/>
      <c r="AO199" s="1285"/>
      <c r="AP199" s="1285"/>
      <c r="AQ199" s="1285"/>
      <c r="AR199" s="1285"/>
      <c r="AS199" s="1286"/>
      <c r="AT199" s="1287"/>
      <c r="AU199" s="1288"/>
      <c r="AV199" s="1289"/>
      <c r="AW199" s="1290"/>
      <c r="AX199" s="1291"/>
      <c r="AY199" s="1291"/>
      <c r="AZ199" s="1292"/>
      <c r="BA199" s="1293"/>
      <c r="BB199" s="1294"/>
      <c r="BC199" s="1295"/>
      <c r="BD199" s="1296">
        <f>BD198+PROD!L199-BA199</f>
        <v>0</v>
      </c>
      <c r="BE199" s="2133"/>
      <c r="BF199" s="507" t="e">
        <f t="shared" si="114"/>
        <v>#VALUE!</v>
      </c>
      <c r="BG199" s="329"/>
      <c r="BH199" s="1018">
        <f t="shared" si="115"/>
        <v>0</v>
      </c>
    </row>
    <row r="200" spans="1:60" ht="15" customHeight="1" x14ac:dyDescent="0.3">
      <c r="A200" s="2034"/>
      <c r="B200" s="287" t="str">
        <f t="shared" si="116"/>
        <v/>
      </c>
      <c r="C200" s="288" t="str">
        <f t="shared" si="111"/>
        <v/>
      </c>
      <c r="D200" s="691"/>
      <c r="E200" s="692"/>
      <c r="F200" s="693"/>
      <c r="G200" s="694"/>
      <c r="H200" s="695"/>
      <c r="I200" s="289">
        <f>I199-SUM($D200:F200)</f>
        <v>0</v>
      </c>
      <c r="J200" s="1239" t="str">
        <f>$J$11</f>
        <v>% Viabilidad :</v>
      </c>
      <c r="K200" s="1240">
        <f>IF(OR(SUM(L194:L200)&gt;0,SUM(V194:V200)&gt;0),1-(K197+K198),0)</f>
        <v>0</v>
      </c>
      <c r="L200" s="1247"/>
      <c r="M200" s="1248">
        <f>IF(I200&gt;0,(L200/IF(SUM(L194:L199)&gt;0,1,7))/I200,0)</f>
        <v>0</v>
      </c>
      <c r="N200" s="1249" t="str">
        <f>$N$11</f>
        <v xml:space="preserve">Uniformidad (10% +) : </v>
      </c>
      <c r="O200" s="1250">
        <f>IF(O198&gt;0,IF(O199&gt;0,100-SUM(O198:O199),0),0)</f>
        <v>0</v>
      </c>
      <c r="P200" s="1251">
        <f>100-SUM(P198:P199)</f>
        <v>5</v>
      </c>
      <c r="Q200" s="1252">
        <f>IF(AND(P200&gt;0,O200&gt;0),(O200/P200-1)*100,0)</f>
        <v>0</v>
      </c>
      <c r="R200" s="699"/>
      <c r="S200" s="762"/>
      <c r="T200" s="765">
        <f t="shared" si="86"/>
        <v>0</v>
      </c>
      <c r="U200" s="700"/>
      <c r="V200" s="701"/>
      <c r="W200" s="701"/>
      <c r="X200" s="295">
        <f t="shared" si="117"/>
        <v>0</v>
      </c>
      <c r="Y200" s="296">
        <f>IF(AA200&gt;0,V200,AE194/IF(Iniciar!$C$25="B X 40 K",40,IF(Iniciar!$C$25="B X 50 K",50,1))*I200/1000)</f>
        <v>0</v>
      </c>
      <c r="Z200" s="296">
        <f t="shared" si="118"/>
        <v>0</v>
      </c>
      <c r="AA200" s="297">
        <f>IF(I200&gt;0,(V200/IF(SUM(V194:V199)&gt;0,1,7))*$A$1/I200,0)</f>
        <v>0</v>
      </c>
      <c r="AB200" s="297">
        <f t="shared" si="112"/>
        <v>0</v>
      </c>
      <c r="AC200" s="2039" t="str">
        <f>$AC$11</f>
        <v xml:space="preserve">Relación Agua /Alimto: </v>
      </c>
      <c r="AD200" s="2040"/>
      <c r="AE200" s="2058">
        <f>IFERROR(AE199/AD194,0)</f>
        <v>0</v>
      </c>
      <c r="AF200" s="2059"/>
      <c r="AG200" s="1269" t="s">
        <v>237</v>
      </c>
      <c r="AH200" s="1270">
        <f>IF(SUM(L194:L200)&gt;0,AH199*SUM(V194:V200)/SUM(L194:L200),0)</f>
        <v>0</v>
      </c>
      <c r="AI200" s="1270">
        <f>IF(AND($A$1&gt;0,P194&gt;0),AH199/$A$1*(AE194/P194)*100,0)</f>
        <v>0</v>
      </c>
      <c r="AJ200" s="1271">
        <f t="shared" ref="AJ200:AJ205" si="119">IF(AND(AI200&gt;0,AH200&gt;0),(AH200/AI200-1)*100,0)</f>
        <v>0</v>
      </c>
      <c r="AK200" s="2028"/>
      <c r="AL200" s="1284">
        <f t="shared" si="113"/>
        <v>0</v>
      </c>
      <c r="AM200" s="1285"/>
      <c r="AN200" s="1285"/>
      <c r="AO200" s="1285"/>
      <c r="AP200" s="1285"/>
      <c r="AQ200" s="1285"/>
      <c r="AR200" s="1285"/>
      <c r="AS200" s="1286"/>
      <c r="AT200" s="1287"/>
      <c r="AU200" s="1288"/>
      <c r="AV200" s="1289"/>
      <c r="AW200" s="1290"/>
      <c r="AX200" s="1291"/>
      <c r="AY200" s="1291"/>
      <c r="AZ200" s="1292"/>
      <c r="BA200" s="1293"/>
      <c r="BB200" s="1294"/>
      <c r="BC200" s="1295"/>
      <c r="BD200" s="1296">
        <f>BD199+PROD!L200-BA200</f>
        <v>0</v>
      </c>
      <c r="BE200" s="2134"/>
      <c r="BF200" s="507" t="e">
        <f t="shared" si="114"/>
        <v>#VALUE!</v>
      </c>
      <c r="BG200" s="329"/>
      <c r="BH200" s="1018">
        <f t="shared" si="115"/>
        <v>0</v>
      </c>
    </row>
    <row r="201" spans="1:60" ht="15" customHeight="1" x14ac:dyDescent="0.3">
      <c r="A201" s="2032">
        <f>A194+1</f>
        <v>46</v>
      </c>
      <c r="B201" s="287" t="str">
        <f t="shared" si="116"/>
        <v/>
      </c>
      <c r="C201" s="288" t="str">
        <f t="shared" si="111"/>
        <v/>
      </c>
      <c r="D201" s="691"/>
      <c r="E201" s="692"/>
      <c r="F201" s="693"/>
      <c r="G201" s="694"/>
      <c r="H201" s="695"/>
      <c r="I201" s="289">
        <f>I200-SUM($D201:F201)</f>
        <v>0</v>
      </c>
      <c r="J201" s="1232" t="str">
        <f>$J$5</f>
        <v>% Mort Sem :</v>
      </c>
      <c r="K201" s="1233">
        <f>IF(PROD!$K$2&gt;0,SUM(D201:D207)/PROD!$K$2,0)</f>
        <v>0</v>
      </c>
      <c r="L201" s="1241"/>
      <c r="M201" s="1242">
        <f t="shared" ref="M201:M206" si="120">IF(I201&gt;0,L201/I201,0)</f>
        <v>0</v>
      </c>
      <c r="N201" s="1243" t="str">
        <f>$N$5</f>
        <v xml:space="preserve">% Pdn prom semana : </v>
      </c>
      <c r="O201" s="1244">
        <f>IF(SUM(L201:L206)&gt;0,100*SUMPRODUCT(M201:M207,I201:I207)/SUMIF(L201:L207,"&gt;0",I201:I207),IF(L207&gt;0,100*L207/7/I207,0))</f>
        <v>0</v>
      </c>
      <c r="P201" s="1244">
        <f>IFERROR(LOOKUP($A201,TP!$A$6:$A$108,GSh!$AE$6:$AE$108),0)</f>
        <v>0</v>
      </c>
      <c r="Q201" s="1245">
        <f>IF(AND(P201&gt;0,O201&gt;0),O201-P201,0)</f>
        <v>0</v>
      </c>
      <c r="R201" s="699"/>
      <c r="S201" s="762"/>
      <c r="T201" s="765">
        <f t="shared" si="86"/>
        <v>0</v>
      </c>
      <c r="U201" s="700"/>
      <c r="V201" s="701"/>
      <c r="W201" s="701"/>
      <c r="X201" s="295">
        <f t="shared" si="117"/>
        <v>0</v>
      </c>
      <c r="Y201" s="296">
        <f>IF(AA201&gt;0,V201,AE201/IF(Iniciar!$C$25="B X 40 K",40,IF(Iniciar!$C$25="B X 50 K",50,1))*I201/1000)</f>
        <v>0</v>
      </c>
      <c r="Z201" s="296">
        <f t="shared" si="118"/>
        <v>0</v>
      </c>
      <c r="AA201" s="297">
        <f t="shared" ref="AA201:AA206" si="121">IF(I201&gt;0,V201*$A$1/I201,0)</f>
        <v>0</v>
      </c>
      <c r="AB201" s="297">
        <f t="shared" si="112"/>
        <v>0</v>
      </c>
      <c r="AC201" s="1261" t="str">
        <f>$AC$5</f>
        <v>Gr. Ave Dia :</v>
      </c>
      <c r="AD201" s="1262">
        <f>IF(SUMIF(V201:V207,"&gt;0")&gt;0,SUMPRODUCT(AA201:AA207,I201:I207)/SUMIF(AA201:AA207,"&gt;0",I201:I207),0)</f>
        <v>0</v>
      </c>
      <c r="AE201" s="1262">
        <f>IFERROR(LOOKUP($A201,TP!$A$6:$A$108,GSh!$AU$6:$AU$108),0)</f>
        <v>0</v>
      </c>
      <c r="AF201" s="1263">
        <f>IF(AND(AE201&gt;0,AD201&gt;0),(AD201/AE201-1)*100,0)</f>
        <v>0</v>
      </c>
      <c r="AG201" s="1264" t="str">
        <f>PROD!$AG$5</f>
        <v>Gr X H</v>
      </c>
      <c r="AH201" s="1265">
        <f>IF(PROD!O201&gt;0,IF($AG201="Gr X H",PROD!AD201/PROD!O201*100,IF($AG201="Conv Kg/Doc",PROD!AD201/PROD!O201*1.2,IF(PROD!$O203&gt;0,PROD!AD201/(PROD!O201*PROD!$O203)*100,0))),0)</f>
        <v>0</v>
      </c>
      <c r="AI201" s="1265">
        <f>IF(PROD!P201&gt;0,IF($AG201="Gr X H",PROD!AE201/PROD!P201*100,IF($AG201="Conv Kg/Doc",PROD!AE201/PROD!P201*1.2,IF(PROD!$P203&gt;0,PROD!AE201/(PROD!P201*PROD!$P203)*100,0))),0)</f>
        <v>0</v>
      </c>
      <c r="AJ201" s="1266">
        <f t="shared" si="119"/>
        <v>0</v>
      </c>
      <c r="AK201" s="2026"/>
      <c r="AL201" s="1284">
        <f t="shared" si="113"/>
        <v>0</v>
      </c>
      <c r="AM201" s="1285"/>
      <c r="AN201" s="1285"/>
      <c r="AO201" s="1285"/>
      <c r="AP201" s="1285"/>
      <c r="AQ201" s="1285"/>
      <c r="AR201" s="1285"/>
      <c r="AS201" s="1286"/>
      <c r="AT201" s="1287"/>
      <c r="AU201" s="1288"/>
      <c r="AV201" s="1289"/>
      <c r="AW201" s="1290"/>
      <c r="AX201" s="1291"/>
      <c r="AY201" s="1291"/>
      <c r="AZ201" s="1292"/>
      <c r="BA201" s="1293"/>
      <c r="BB201" s="1294"/>
      <c r="BC201" s="1295"/>
      <c r="BD201" s="1296">
        <f>BD200+PROD!L201-BA201</f>
        <v>0</v>
      </c>
      <c r="BE201" s="2132">
        <f>IF(SUM(AM201:AZ207)&gt;0,(SUM(AM201:AM207)*$AM$2+SUM(AN201:AN207)*$AN$2+SUM(AO201:AO207)*$AO$2+SUM(AP201:AP207)*$AP$2+SUM(AQ201:AQ207)*$AQ$2+SUM(AR201:AR207)*$AR$2+SUM(AS201:AS207)*$AS$2+SUM(AW201:AW207)*$AW$2+SUM(AX201:AX207)*$AX$2+SUM(AY201:AY207)*$AY$2+SUM(AZ201:AZ207)*$AZ$2+SUM(AT201:AT207)*$AT$2+SUM(AU201:AU207)*$AU$2+SUM(AV201:AV207)*$AV$2)/SUM(AM201:AZ207),0)</f>
        <v>0</v>
      </c>
      <c r="BF201" s="507" t="e">
        <f t="shared" si="114"/>
        <v>#VALUE!</v>
      </c>
      <c r="BG201" s="277">
        <f>IF(SUM(L201:L207)&gt;0,A201,IF(SUM(V201:V207)&gt;0,A201,BG194))</f>
        <v>0</v>
      </c>
      <c r="BH201" s="1018">
        <f t="shared" si="115"/>
        <v>0</v>
      </c>
    </row>
    <row r="202" spans="1:60" ht="15" customHeight="1" x14ac:dyDescent="0.3">
      <c r="A202" s="2033"/>
      <c r="B202" s="287" t="str">
        <f t="shared" si="116"/>
        <v/>
      </c>
      <c r="C202" s="288" t="str">
        <f t="shared" si="111"/>
        <v/>
      </c>
      <c r="D202" s="691"/>
      <c r="E202" s="692"/>
      <c r="F202" s="693"/>
      <c r="G202" s="694"/>
      <c r="H202" s="695"/>
      <c r="I202" s="289">
        <f>I201-SUM($D202:F202)</f>
        <v>0</v>
      </c>
      <c r="J202" s="1234" t="str">
        <f>$J$6</f>
        <v>% Sel Sem :</v>
      </c>
      <c r="K202" s="1231">
        <f>IF(PROD!$K$2&gt;0,SUM(E201:E207)/PROD!$K$2,0)</f>
        <v>0</v>
      </c>
      <c r="L202" s="1246"/>
      <c r="M202" s="291">
        <f t="shared" si="120"/>
        <v>0</v>
      </c>
      <c r="N202" s="292" t="str">
        <f>$N$6</f>
        <v xml:space="preserve">H. Ave Alojada : </v>
      </c>
      <c r="O202" s="293">
        <f>IF(AND(PROD!$K$2&gt;0,O201&gt;0),SUM(L$5:L207)/PROD!$K$2,0)</f>
        <v>0</v>
      </c>
      <c r="P202" s="293">
        <f>IFERROR(LOOKUP($A201,TP!$A$6:$A$108,GSh!$AJ$6:$AJ$108),0)</f>
        <v>0</v>
      </c>
      <c r="Q202" s="294">
        <f>IF(AND(P202&gt;0,O202&gt;0),O202-P202,0)</f>
        <v>0</v>
      </c>
      <c r="R202" s="699"/>
      <c r="S202" s="762"/>
      <c r="T202" s="765">
        <f t="shared" si="86"/>
        <v>0</v>
      </c>
      <c r="U202" s="700"/>
      <c r="V202" s="701"/>
      <c r="W202" s="701"/>
      <c r="X202" s="295">
        <f t="shared" si="117"/>
        <v>0</v>
      </c>
      <c r="Y202" s="296">
        <f>IF(AA202&gt;0,V202,AE201/IF(Iniciar!$C$25="B X 40 K",40,IF(Iniciar!$C$25="B X 50 K",50,1))*I202/1000)</f>
        <v>0</v>
      </c>
      <c r="Z202" s="296">
        <f t="shared" si="118"/>
        <v>0</v>
      </c>
      <c r="AA202" s="297">
        <f t="shared" si="121"/>
        <v>0</v>
      </c>
      <c r="AB202" s="297">
        <f t="shared" si="112"/>
        <v>0</v>
      </c>
      <c r="AC202" s="1267" t="str">
        <f>$AC$6</f>
        <v>Gr. Ave Sem :</v>
      </c>
      <c r="AD202" s="284">
        <f>AD201*7</f>
        <v>0</v>
      </c>
      <c r="AE202" s="284">
        <f>AE201*7</f>
        <v>0</v>
      </c>
      <c r="AF202" s="285">
        <f>IF(AND(AE202&gt;0,AD202&gt;0),(AD202/AE202-1)*100,0)</f>
        <v>0</v>
      </c>
      <c r="AG202" s="1199" t="str">
        <f>PROD!$AG$6</f>
        <v>Gr X H Acm</v>
      </c>
      <c r="AH202" s="298">
        <f>IF(SUM(PROD!L201:L207)&gt;0,IF(PROD!$AG$5="Gr X H",SUM(PROD!V$5:V207)*PROD!$A$1/SUM(PROD!L$5:L207),IF($AG201="Conv Kg/Doc",(SUM(PROD!V$5:V207)*PROD!$A$1/1000)/(SUM(PROD!L$5:L207)/12),IF(PROD!$O203&gt;0,SUM(PROD!V$5:V207)*PROD!$A$1/(SUM(PROD!L$5:L207)*LOOKUP(PROD!A201,TP!$A$6:$A$108,GSh!$BB$6:$BB$108)),0))),0)</f>
        <v>0</v>
      </c>
      <c r="AI202" s="298">
        <f>IF(PROD!P201&gt;0,IF($AG201="Gr X H",PROD!AE201/PROD!P201*100,IF($AG201="Conv Kg/Doc",PROD!AE201/PROD!P201*1.2,IF(PROD!$P202&gt;0,PROD!AE203/(PROD!P202*LOOKUP(PROD!$A201,TP!$A$6:$A$108,GSh!$BC$6:$BC$108)/1000),0))),0)</f>
        <v>0</v>
      </c>
      <c r="AJ202" s="328">
        <f t="shared" si="119"/>
        <v>0</v>
      </c>
      <c r="AK202" s="2027"/>
      <c r="AL202" s="1284">
        <f t="shared" si="113"/>
        <v>0</v>
      </c>
      <c r="AM202" s="1285"/>
      <c r="AN202" s="1285"/>
      <c r="AO202" s="1285"/>
      <c r="AP202" s="1285"/>
      <c r="AQ202" s="1285"/>
      <c r="AR202" s="1285"/>
      <c r="AS202" s="1286"/>
      <c r="AT202" s="1287"/>
      <c r="AU202" s="1288"/>
      <c r="AV202" s="1289"/>
      <c r="AW202" s="1290"/>
      <c r="AX202" s="1291"/>
      <c r="AY202" s="1291"/>
      <c r="AZ202" s="1292"/>
      <c r="BA202" s="1293"/>
      <c r="BB202" s="1294"/>
      <c r="BC202" s="1295"/>
      <c r="BD202" s="1296">
        <f>BD201+PROD!L202-BA202</f>
        <v>0</v>
      </c>
      <c r="BE202" s="2133"/>
      <c r="BF202" s="507" t="e">
        <f t="shared" si="114"/>
        <v>#VALUE!</v>
      </c>
      <c r="BG202" s="329"/>
      <c r="BH202" s="1018">
        <f t="shared" si="115"/>
        <v>0</v>
      </c>
    </row>
    <row r="203" spans="1:60" ht="15" customHeight="1" x14ac:dyDescent="0.3">
      <c r="A203" s="2033"/>
      <c r="B203" s="287" t="str">
        <f t="shared" si="116"/>
        <v/>
      </c>
      <c r="C203" s="288" t="str">
        <f t="shared" si="111"/>
        <v/>
      </c>
      <c r="D203" s="691"/>
      <c r="E203" s="692"/>
      <c r="F203" s="693"/>
      <c r="G203" s="694"/>
      <c r="H203" s="695"/>
      <c r="I203" s="289">
        <f>I202-SUM($D203:F203)</f>
        <v>0</v>
      </c>
      <c r="J203" s="1235" t="str">
        <f>$J$7</f>
        <v>% Mort/Sel Sem Tab :</v>
      </c>
      <c r="K203" s="1236">
        <f>K206-K199</f>
        <v>0</v>
      </c>
      <c r="L203" s="1246"/>
      <c r="M203" s="291">
        <f t="shared" si="120"/>
        <v>0</v>
      </c>
      <c r="N203" s="304" t="str">
        <f>$N$7</f>
        <v xml:space="preserve">Peso Huevo (Gr) : </v>
      </c>
      <c r="O203" s="305">
        <f>LOOKUP($A201,'Pr-Sem'!$A$6:$A$108,'Pr-Sem'!$Z$6:$Z$108)</f>
        <v>0</v>
      </c>
      <c r="P203" s="305">
        <f>IFERROR(LOOKUP($A201,TP!$A$6:$A$108,GSh!$AZ$6:$AZ$108),0)</f>
        <v>0</v>
      </c>
      <c r="Q203" s="306">
        <f>IF(AND(P203&gt;0,O203&gt;0),O203-P203,0)</f>
        <v>0</v>
      </c>
      <c r="R203" s="699"/>
      <c r="S203" s="762"/>
      <c r="T203" s="765">
        <f t="shared" si="86"/>
        <v>0</v>
      </c>
      <c r="U203" s="700"/>
      <c r="V203" s="701"/>
      <c r="W203" s="701"/>
      <c r="X203" s="295">
        <f t="shared" si="117"/>
        <v>0</v>
      </c>
      <c r="Y203" s="296">
        <f>IF(AA203&gt;0,V203,AE201/IF(Iniciar!$C$25="B X 40 K",40,IF(Iniciar!$C$25="B X 50 K",50,1))*I203/1000)</f>
        <v>0</v>
      </c>
      <c r="Z203" s="296">
        <f t="shared" si="118"/>
        <v>0</v>
      </c>
      <c r="AA203" s="297">
        <f t="shared" si="121"/>
        <v>0</v>
      </c>
      <c r="AB203" s="297">
        <f t="shared" si="112"/>
        <v>0</v>
      </c>
      <c r="AC203" s="1268" t="str">
        <f>$AC$7</f>
        <v>Kg Ave Acu :</v>
      </c>
      <c r="AD203" s="308">
        <f>IF(OR(SUM(L201:L207)&gt;0,SUM(V201:V207)&gt;0),AD202/1000+AD196,0)</f>
        <v>0</v>
      </c>
      <c r="AE203" s="309">
        <f>AE202/1000+AE196</f>
        <v>0</v>
      </c>
      <c r="AF203" s="310">
        <f>IF(AND(AE203&gt;0,AD203&gt;0),(AD203/AE203-1)*100,0)</f>
        <v>0</v>
      </c>
      <c r="AG203" s="311" t="str">
        <f>PROD!$AG$7</f>
        <v xml:space="preserve">Masa Sem H (Gr) : </v>
      </c>
      <c r="AH203" s="312">
        <f>PROD!O201/100*7*PROD!O203</f>
        <v>0</v>
      </c>
      <c r="AI203" s="312">
        <f>PROD!P201/100*7*PROD!P203</f>
        <v>0</v>
      </c>
      <c r="AJ203" s="313">
        <f t="shared" si="119"/>
        <v>0</v>
      </c>
      <c r="AK203" s="2027"/>
      <c r="AL203" s="1284">
        <f t="shared" si="113"/>
        <v>0</v>
      </c>
      <c r="AM203" s="1285"/>
      <c r="AN203" s="1285"/>
      <c r="AO203" s="1285"/>
      <c r="AP203" s="1285"/>
      <c r="AQ203" s="1285"/>
      <c r="AR203" s="1285"/>
      <c r="AS203" s="1286"/>
      <c r="AT203" s="1287"/>
      <c r="AU203" s="1288"/>
      <c r="AV203" s="1289"/>
      <c r="AW203" s="1290"/>
      <c r="AX203" s="1291"/>
      <c r="AY203" s="1291"/>
      <c r="AZ203" s="1292"/>
      <c r="BA203" s="1293"/>
      <c r="BB203" s="1294"/>
      <c r="BC203" s="1295"/>
      <c r="BD203" s="1296">
        <f>BD202+PROD!L203-BA203</f>
        <v>0</v>
      </c>
      <c r="BE203" s="2133"/>
      <c r="BF203" s="507" t="e">
        <f t="shared" si="114"/>
        <v>#VALUE!</v>
      </c>
      <c r="BG203" s="329"/>
      <c r="BH203" s="1018">
        <f t="shared" si="115"/>
        <v>0</v>
      </c>
    </row>
    <row r="204" spans="1:60" ht="15" customHeight="1" x14ac:dyDescent="0.3">
      <c r="A204" s="2033"/>
      <c r="B204" s="287" t="str">
        <f t="shared" si="116"/>
        <v/>
      </c>
      <c r="C204" s="288" t="str">
        <f t="shared" si="111"/>
        <v/>
      </c>
      <c r="D204" s="691"/>
      <c r="E204" s="692"/>
      <c r="F204" s="693"/>
      <c r="G204" s="694"/>
      <c r="H204" s="695"/>
      <c r="I204" s="289">
        <f>I203-SUM($D204:F204)</f>
        <v>0</v>
      </c>
      <c r="J204" s="1234" t="str">
        <f>$J$8</f>
        <v>% Mort Acm :</v>
      </c>
      <c r="K204" s="1231">
        <f>IF(PROD!$K$2&gt;0,SUM(D$5:D207)/PROD!$K$2,0)</f>
        <v>0</v>
      </c>
      <c r="L204" s="1246"/>
      <c r="M204" s="291">
        <f t="shared" si="120"/>
        <v>0</v>
      </c>
      <c r="N204" s="314" t="str">
        <f>N$8</f>
        <v xml:space="preserve">Peso Ave (Gr) : </v>
      </c>
      <c r="O204" s="315">
        <f>LOOKUP($A201,GSh!$BV$6:$BV$108,GSh!$BJ$6:$BJ$108)</f>
        <v>0</v>
      </c>
      <c r="P204" s="315">
        <f>IFERROR(LOOKUP($A201,TP!$A$6:$A$108,GSh!$BK$6:$BK$108),0)</f>
        <v>0</v>
      </c>
      <c r="Q204" s="316">
        <f>IF(AND(P204&gt;0,O204&gt;0),(O204/P204-1)*100,0)</f>
        <v>0</v>
      </c>
      <c r="R204" s="699"/>
      <c r="S204" s="762"/>
      <c r="T204" s="765">
        <f t="shared" ref="T204:T267" si="122">T203</f>
        <v>0</v>
      </c>
      <c r="U204" s="700"/>
      <c r="V204" s="701"/>
      <c r="W204" s="701"/>
      <c r="X204" s="295">
        <f t="shared" si="117"/>
        <v>0</v>
      </c>
      <c r="Y204" s="296">
        <f>IF(AA204&gt;0,V204,AE201/IF(Iniciar!$C$25="B X 40 K",40,IF(Iniciar!$C$25="B X 50 K",50,1))*I204/1000)</f>
        <v>0</v>
      </c>
      <c r="Z204" s="296">
        <f t="shared" si="118"/>
        <v>0</v>
      </c>
      <c r="AA204" s="297">
        <f t="shared" si="121"/>
        <v>0</v>
      </c>
      <c r="AB204" s="297">
        <f t="shared" si="112"/>
        <v>0</v>
      </c>
      <c r="AC204" s="541" t="str">
        <f>$AC$8</f>
        <v xml:space="preserve">Ton. Lote Acu : </v>
      </c>
      <c r="AD204" s="544">
        <f>SUM($V$5:$V207)*$A$1/1000000</f>
        <v>0</v>
      </c>
      <c r="AE204" s="543">
        <f>AE197+(AE201/1000000*7*(I201+I207)/2)</f>
        <v>0</v>
      </c>
      <c r="AF204" s="542">
        <f>IF(AND(AE204&gt;0,AD204&gt;0),(AD204/AE204-1)*100,0)</f>
        <v>0</v>
      </c>
      <c r="AG204" s="317" t="str">
        <f>PROD!$AG$8</f>
        <v xml:space="preserve">Masa Ac A. A (Kg) : </v>
      </c>
      <c r="AH204" s="318">
        <f>IF(PROD!$K$2&gt;0,SUM(PROD!L$5:L207)*LOOKUP(PROD!$A201,TP!$A$6:$A$108,GSh!$BB$6:$BB$108)/1000/PROD!$K$2,0)</f>
        <v>0</v>
      </c>
      <c r="AI204" s="318">
        <f>IFERROR(PROD!P202*LOOKUP(PROD!$A201,TP!$A$6:$A$108,GSh!$BC$6:$BC$108)/1000,0)</f>
        <v>0</v>
      </c>
      <c r="AJ204" s="330">
        <f t="shared" si="119"/>
        <v>0</v>
      </c>
      <c r="AK204" s="2027"/>
      <c r="AL204" s="1284">
        <f t="shared" si="113"/>
        <v>0</v>
      </c>
      <c r="AM204" s="1285"/>
      <c r="AN204" s="1285"/>
      <c r="AO204" s="1285"/>
      <c r="AP204" s="1285"/>
      <c r="AQ204" s="1285"/>
      <c r="AR204" s="1285"/>
      <c r="AS204" s="1286"/>
      <c r="AT204" s="1287"/>
      <c r="AU204" s="1288"/>
      <c r="AV204" s="1289"/>
      <c r="AW204" s="1290"/>
      <c r="AX204" s="1291"/>
      <c r="AY204" s="1291"/>
      <c r="AZ204" s="1292"/>
      <c r="BA204" s="1293"/>
      <c r="BB204" s="1294"/>
      <c r="BC204" s="1295"/>
      <c r="BD204" s="1296">
        <f>BD203+PROD!L204-BA204</f>
        <v>0</v>
      </c>
      <c r="BE204" s="2133"/>
      <c r="BF204" s="507" t="e">
        <f t="shared" si="114"/>
        <v>#VALUE!</v>
      </c>
      <c r="BG204" s="329"/>
      <c r="BH204" s="1018">
        <f t="shared" si="115"/>
        <v>0</v>
      </c>
    </row>
    <row r="205" spans="1:60" ht="15" customHeight="1" x14ac:dyDescent="0.3">
      <c r="A205" s="2033"/>
      <c r="B205" s="287" t="str">
        <f t="shared" si="116"/>
        <v/>
      </c>
      <c r="C205" s="288" t="str">
        <f t="shared" si="111"/>
        <v/>
      </c>
      <c r="D205" s="691"/>
      <c r="E205" s="692"/>
      <c r="F205" s="693"/>
      <c r="G205" s="694"/>
      <c r="H205" s="695"/>
      <c r="I205" s="289">
        <f>I204-SUM($D205:F205)</f>
        <v>0</v>
      </c>
      <c r="J205" s="1234" t="str">
        <f>$J$9</f>
        <v>% Sel Acm :</v>
      </c>
      <c r="K205" s="1231">
        <f>IF(PROD!$K$2&gt;0,SUM(E$5:E207)/PROD!$K$2,0)</f>
        <v>0</v>
      </c>
      <c r="L205" s="1246"/>
      <c r="M205" s="291">
        <f t="shared" si="120"/>
        <v>0</v>
      </c>
      <c r="N205" s="292" t="str">
        <f>$N$9</f>
        <v xml:space="preserve">Uniformidad (10% -) : </v>
      </c>
      <c r="O205" s="320">
        <f>LOOKUP($A201,'Pr-Sem'!$A$6:$A$108,'Pr-Sem'!$AH$6:$AH$108)</f>
        <v>0</v>
      </c>
      <c r="P205" s="320">
        <v>5</v>
      </c>
      <c r="Q205" s="321">
        <f>IF(AND(P205&gt;0,O205&gt;0),(1-O205/P205)*100,0)</f>
        <v>0</v>
      </c>
      <c r="R205" s="699"/>
      <c r="S205" s="762"/>
      <c r="T205" s="765">
        <f t="shared" si="122"/>
        <v>0</v>
      </c>
      <c r="U205" s="700"/>
      <c r="V205" s="701"/>
      <c r="W205" s="701"/>
      <c r="X205" s="295">
        <f t="shared" si="117"/>
        <v>0</v>
      </c>
      <c r="Y205" s="296">
        <f>IF(AA205&gt;0,V205,AE201/IF(Iniciar!$C$25="B X 40 K",40,IF(Iniciar!$C$25="B X 50 K",50,1))*I205/1000)</f>
        <v>0</v>
      </c>
      <c r="Z205" s="296">
        <f t="shared" si="118"/>
        <v>0</v>
      </c>
      <c r="AA205" s="297">
        <f t="shared" si="121"/>
        <v>0</v>
      </c>
      <c r="AB205" s="297">
        <f t="shared" si="112"/>
        <v>0</v>
      </c>
      <c r="AC205" s="2035" t="str">
        <f>$AC$9</f>
        <v xml:space="preserve">Total Litros Sem: </v>
      </c>
      <c r="AD205" s="2036"/>
      <c r="AE205" s="2050">
        <f>SUM(R201:R207)</f>
        <v>0</v>
      </c>
      <c r="AF205" s="2051"/>
      <c r="AG205" s="554" t="str">
        <f>$AG$9</f>
        <v xml:space="preserve">Indicador Eficiencia : </v>
      </c>
      <c r="AH205" s="555">
        <f>IF(AND(AE205&gt;0,O202&gt;0,O203&gt;0,SUM(L201:L207)&gt;0),(PROD!AH204/O202)*K207*100/(AE205/(SUM(L201:L207)*O203/1000)),0)</f>
        <v>0</v>
      </c>
      <c r="AI205" s="555">
        <f>IF(AND(P202&gt;0,PROD!AI203&gt;0),(PROD!AI204/P202)*(1-K206)*100/(AE202/PROD!AI203),0)</f>
        <v>0</v>
      </c>
      <c r="AJ205" s="331">
        <f t="shared" si="119"/>
        <v>0</v>
      </c>
      <c r="AK205" s="2027"/>
      <c r="AL205" s="1284">
        <f t="shared" si="113"/>
        <v>0</v>
      </c>
      <c r="AM205" s="1285"/>
      <c r="AN205" s="1285"/>
      <c r="AO205" s="1285"/>
      <c r="AP205" s="1285"/>
      <c r="AQ205" s="1285"/>
      <c r="AR205" s="1285"/>
      <c r="AS205" s="1286"/>
      <c r="AT205" s="1287"/>
      <c r="AU205" s="1288"/>
      <c r="AV205" s="1289"/>
      <c r="AW205" s="1290"/>
      <c r="AX205" s="1291"/>
      <c r="AY205" s="1291"/>
      <c r="AZ205" s="1292"/>
      <c r="BA205" s="1293"/>
      <c r="BB205" s="1294"/>
      <c r="BC205" s="1295"/>
      <c r="BD205" s="1296">
        <f>BD204+PROD!L205-BA205</f>
        <v>0</v>
      </c>
      <c r="BE205" s="2133"/>
      <c r="BF205" s="507" t="e">
        <f t="shared" si="114"/>
        <v>#VALUE!</v>
      </c>
      <c r="BG205" s="329"/>
      <c r="BH205" s="1018">
        <f t="shared" si="115"/>
        <v>0</v>
      </c>
    </row>
    <row r="206" spans="1:60" ht="15" customHeight="1" x14ac:dyDescent="0.3">
      <c r="A206" s="2033"/>
      <c r="B206" s="287" t="str">
        <f t="shared" si="116"/>
        <v/>
      </c>
      <c r="C206" s="288" t="str">
        <f t="shared" si="111"/>
        <v/>
      </c>
      <c r="D206" s="691"/>
      <c r="E206" s="692"/>
      <c r="F206" s="693"/>
      <c r="G206" s="694"/>
      <c r="H206" s="695"/>
      <c r="I206" s="289">
        <f>I205-SUM($D206:F206)</f>
        <v>0</v>
      </c>
      <c r="J206" s="1237" t="str">
        <f>$J$10</f>
        <v>% Mort/Sel Acm Tab :</v>
      </c>
      <c r="K206" s="1238">
        <f>IFERROR(LOOKUP($A201,TP!$A$6:$A$108,GSh!$AR$6:$AR$108)/100,0)</f>
        <v>0</v>
      </c>
      <c r="L206" s="1246"/>
      <c r="M206" s="291">
        <f t="shared" si="120"/>
        <v>0</v>
      </c>
      <c r="N206" s="292" t="str">
        <f>$N$10</f>
        <v xml:space="preserve">Uniformidad (C. Lote) : </v>
      </c>
      <c r="O206" s="320">
        <f>LOOKUP($A201,'Pr-Sem'!$A$6:$A$108,'Pr-Sem'!$AG$6:$AG$108)</f>
        <v>0</v>
      </c>
      <c r="P206" s="320">
        <v>90</v>
      </c>
      <c r="Q206" s="321">
        <f>IF(AND(P206&gt;0,O206&gt;0),(O206/P206-1)*100,0)</f>
        <v>0</v>
      </c>
      <c r="R206" s="699"/>
      <c r="S206" s="762"/>
      <c r="T206" s="765">
        <f t="shared" si="122"/>
        <v>0</v>
      </c>
      <c r="U206" s="700"/>
      <c r="V206" s="701"/>
      <c r="W206" s="701"/>
      <c r="X206" s="295">
        <f t="shared" si="117"/>
        <v>0</v>
      </c>
      <c r="Y206" s="296">
        <f>IF(AA206&gt;0,V206,AE201/IF(Iniciar!$C$25="B X 40 K",40,IF(Iniciar!$C$25="B X 50 K",50,1))*I206/1000)</f>
        <v>0</v>
      </c>
      <c r="Z206" s="296">
        <f t="shared" si="118"/>
        <v>0</v>
      </c>
      <c r="AA206" s="297">
        <f t="shared" si="121"/>
        <v>0</v>
      </c>
      <c r="AB206" s="297">
        <f t="shared" si="112"/>
        <v>0</v>
      </c>
      <c r="AC206" s="2037" t="str">
        <f>$AC$10</f>
        <v xml:space="preserve">Cons ml /ave día: </v>
      </c>
      <c r="AD206" s="2038"/>
      <c r="AE206" s="2056">
        <f>IFERROR(SUMPRODUCT(AB201:AB207,I201:I207)/SUM(I201:I207),0)</f>
        <v>0</v>
      </c>
      <c r="AF206" s="2057"/>
      <c r="AG206" s="311" t="str">
        <f>CONCATENATE("Costo ",Iniciar!$C$25," : ")</f>
        <v xml:space="preserve">Costo Kilos : </v>
      </c>
      <c r="AH206" s="2043">
        <f>IFERROR(SUMPRODUCT(T201:T207,V201:V207)/SUMIF(T201:T207,"&gt;0",V201:V207),0)</f>
        <v>0</v>
      </c>
      <c r="AI206" s="2043"/>
      <c r="AJ206" s="313"/>
      <c r="AK206" s="2027"/>
      <c r="AL206" s="1284">
        <f t="shared" si="113"/>
        <v>0</v>
      </c>
      <c r="AM206" s="1285"/>
      <c r="AN206" s="1285"/>
      <c r="AO206" s="1285"/>
      <c r="AP206" s="1285"/>
      <c r="AQ206" s="1285"/>
      <c r="AR206" s="1285"/>
      <c r="AS206" s="1286"/>
      <c r="AT206" s="1287"/>
      <c r="AU206" s="1288"/>
      <c r="AV206" s="1289"/>
      <c r="AW206" s="1290"/>
      <c r="AX206" s="1291"/>
      <c r="AY206" s="1291"/>
      <c r="AZ206" s="1292"/>
      <c r="BA206" s="1293"/>
      <c r="BB206" s="1294"/>
      <c r="BC206" s="1295"/>
      <c r="BD206" s="1296">
        <f>BD205+PROD!L206-BA206</f>
        <v>0</v>
      </c>
      <c r="BE206" s="2133"/>
      <c r="BF206" s="507" t="e">
        <f t="shared" si="114"/>
        <v>#VALUE!</v>
      </c>
      <c r="BG206" s="329"/>
      <c r="BH206" s="1018">
        <f t="shared" si="115"/>
        <v>0</v>
      </c>
    </row>
    <row r="207" spans="1:60" ht="15" customHeight="1" x14ac:dyDescent="0.3">
      <c r="A207" s="2034"/>
      <c r="B207" s="287" t="str">
        <f t="shared" si="116"/>
        <v/>
      </c>
      <c r="C207" s="288" t="str">
        <f t="shared" si="111"/>
        <v/>
      </c>
      <c r="D207" s="691"/>
      <c r="E207" s="692"/>
      <c r="F207" s="693"/>
      <c r="G207" s="694"/>
      <c r="H207" s="695"/>
      <c r="I207" s="289">
        <f>I206-SUM($D207:F207)</f>
        <v>0</v>
      </c>
      <c r="J207" s="1239" t="str">
        <f>$J$11</f>
        <v>% Viabilidad :</v>
      </c>
      <c r="K207" s="1240">
        <f>IF(OR(SUM(L201:L207)&gt;0,SUM(V201:V207)&gt;0),1-(K204+K205),0)</f>
        <v>0</v>
      </c>
      <c r="L207" s="1247"/>
      <c r="M207" s="1248">
        <f>IF(I207&gt;0,(L207/IF(SUM(L201:L206)&gt;0,1,7))/I207,0)</f>
        <v>0</v>
      </c>
      <c r="N207" s="1249" t="str">
        <f>$N$11</f>
        <v xml:space="preserve">Uniformidad (10% +) : </v>
      </c>
      <c r="O207" s="1250">
        <f>IF(O205&gt;0,IF(O206&gt;0,100-SUM(O205:O206),0),0)</f>
        <v>0</v>
      </c>
      <c r="P207" s="1251">
        <f>100-SUM(P205:P206)</f>
        <v>5</v>
      </c>
      <c r="Q207" s="1252">
        <f>IF(AND(P207&gt;0,O207&gt;0),(O207/P207-1)*100,0)</f>
        <v>0</v>
      </c>
      <c r="R207" s="699"/>
      <c r="S207" s="762"/>
      <c r="T207" s="765">
        <f t="shared" si="122"/>
        <v>0</v>
      </c>
      <c r="U207" s="700"/>
      <c r="V207" s="701"/>
      <c r="W207" s="701"/>
      <c r="X207" s="295">
        <f t="shared" si="117"/>
        <v>0</v>
      </c>
      <c r="Y207" s="296">
        <f>IF(AA207&gt;0,V207,AE201/IF(Iniciar!$C$25="B X 40 K",40,IF(Iniciar!$C$25="B X 50 K",50,1))*I207/1000)</f>
        <v>0</v>
      </c>
      <c r="Z207" s="296">
        <f t="shared" si="118"/>
        <v>0</v>
      </c>
      <c r="AA207" s="297">
        <f>IF(I207&gt;0,(V207/IF(SUM(V201:V206)&gt;0,1,7))*$A$1/I207,0)</f>
        <v>0</v>
      </c>
      <c r="AB207" s="297">
        <f t="shared" si="112"/>
        <v>0</v>
      </c>
      <c r="AC207" s="2039" t="str">
        <f>$AC$11</f>
        <v xml:space="preserve">Relación Agua /Alimto: </v>
      </c>
      <c r="AD207" s="2040"/>
      <c r="AE207" s="2058">
        <f>IFERROR(AE206/AD201,0)</f>
        <v>0</v>
      </c>
      <c r="AF207" s="2059"/>
      <c r="AG207" s="1269" t="s">
        <v>237</v>
      </c>
      <c r="AH207" s="1270">
        <f>IF(SUM(L201:L207)&gt;0,AH206*SUM(V201:V207)/SUM(L201:L207),0)</f>
        <v>0</v>
      </c>
      <c r="AI207" s="1270">
        <f>IF(AND($A$1&gt;0,P201&gt;0),AH206/$A$1*(AE201/P201)*100,0)</f>
        <v>0</v>
      </c>
      <c r="AJ207" s="1271">
        <f t="shared" ref="AJ207:AJ212" si="123">IF(AND(AI207&gt;0,AH207&gt;0),(AH207/AI207-1)*100,0)</f>
        <v>0</v>
      </c>
      <c r="AK207" s="2028"/>
      <c r="AL207" s="1284">
        <f t="shared" si="113"/>
        <v>0</v>
      </c>
      <c r="AM207" s="1285"/>
      <c r="AN207" s="1285"/>
      <c r="AO207" s="1285"/>
      <c r="AP207" s="1285"/>
      <c r="AQ207" s="1285"/>
      <c r="AR207" s="1285"/>
      <c r="AS207" s="1286"/>
      <c r="AT207" s="1287"/>
      <c r="AU207" s="1288"/>
      <c r="AV207" s="1289"/>
      <c r="AW207" s="1290"/>
      <c r="AX207" s="1291"/>
      <c r="AY207" s="1291"/>
      <c r="AZ207" s="1292"/>
      <c r="BA207" s="1293"/>
      <c r="BB207" s="1294"/>
      <c r="BC207" s="1295"/>
      <c r="BD207" s="1296">
        <f>BD206+PROD!L207-BA207</f>
        <v>0</v>
      </c>
      <c r="BE207" s="2134"/>
      <c r="BF207" s="507" t="e">
        <f t="shared" si="114"/>
        <v>#VALUE!</v>
      </c>
      <c r="BG207" s="329"/>
      <c r="BH207" s="1018">
        <f t="shared" si="115"/>
        <v>0</v>
      </c>
    </row>
    <row r="208" spans="1:60" ht="15" customHeight="1" x14ac:dyDescent="0.3">
      <c r="A208" s="2032">
        <f>A201+1</f>
        <v>47</v>
      </c>
      <c r="B208" s="287" t="str">
        <f t="shared" si="116"/>
        <v/>
      </c>
      <c r="C208" s="288" t="str">
        <f t="shared" si="111"/>
        <v/>
      </c>
      <c r="D208" s="691"/>
      <c r="E208" s="692"/>
      <c r="F208" s="693"/>
      <c r="G208" s="694"/>
      <c r="H208" s="695"/>
      <c r="I208" s="289">
        <f>I207-SUM($D208:F208)</f>
        <v>0</v>
      </c>
      <c r="J208" s="1232" t="str">
        <f>$J$5</f>
        <v>% Mort Sem :</v>
      </c>
      <c r="K208" s="1233">
        <f>IF(PROD!$K$2&gt;0,SUM(D208:D214)/PROD!$K$2,0)</f>
        <v>0</v>
      </c>
      <c r="L208" s="1241"/>
      <c r="M208" s="1242">
        <f t="shared" ref="M208:M213" si="124">IF(I208&gt;0,L208/I208,0)</f>
        <v>0</v>
      </c>
      <c r="N208" s="1243" t="str">
        <f>$N$5</f>
        <v xml:space="preserve">% Pdn prom semana : </v>
      </c>
      <c r="O208" s="1244">
        <f>IF(SUM(L208:L213)&gt;0,100*SUMPRODUCT(M208:M214,I208:I214)/SUMIF(L208:L214,"&gt;0",I208:I214),IF(L214&gt;0,100*L214/7/I214,0))</f>
        <v>0</v>
      </c>
      <c r="P208" s="1244">
        <f>IFERROR(LOOKUP($A208,TP!$A$6:$A$108,GSh!$AE$6:$AE$108),0)</f>
        <v>0</v>
      </c>
      <c r="Q208" s="1245">
        <f>IF(AND(P208&gt;0,O208&gt;0),O208-P208,0)</f>
        <v>0</v>
      </c>
      <c r="R208" s="699"/>
      <c r="S208" s="762"/>
      <c r="T208" s="765">
        <f t="shared" si="122"/>
        <v>0</v>
      </c>
      <c r="U208" s="700"/>
      <c r="V208" s="701"/>
      <c r="W208" s="701"/>
      <c r="X208" s="295">
        <f t="shared" si="117"/>
        <v>0</v>
      </c>
      <c r="Y208" s="296">
        <f>IF(AA208&gt;0,V208,AE208/IF(Iniciar!$C$25="B X 40 K",40,IF(Iniciar!$C$25="B X 50 K",50,1))*I208/1000)</f>
        <v>0</v>
      </c>
      <c r="Z208" s="296">
        <f t="shared" si="118"/>
        <v>0</v>
      </c>
      <c r="AA208" s="297">
        <f t="shared" ref="AA208:AA213" si="125">IF(I208&gt;0,V208*$A$1/I208,0)</f>
        <v>0</v>
      </c>
      <c r="AB208" s="297">
        <f t="shared" si="112"/>
        <v>0</v>
      </c>
      <c r="AC208" s="1261" t="str">
        <f>$AC$5</f>
        <v>Gr. Ave Dia :</v>
      </c>
      <c r="AD208" s="1262">
        <f>IF(SUMIF(V208:V214,"&gt;0")&gt;0,SUMPRODUCT(AA208:AA214,I208:I214)/SUMIF(AA208:AA214,"&gt;0",I208:I214),0)</f>
        <v>0</v>
      </c>
      <c r="AE208" s="1262">
        <f>IFERROR(LOOKUP($A208,TP!$A$6:$A$108,GSh!$AU$6:$AU$108),0)</f>
        <v>0</v>
      </c>
      <c r="AF208" s="1263">
        <f>IF(AND(AE208&gt;0,AD208&gt;0),(AD208/AE208-1)*100,0)</f>
        <v>0</v>
      </c>
      <c r="AG208" s="1264" t="str">
        <f>PROD!$AG$5</f>
        <v>Gr X H</v>
      </c>
      <c r="AH208" s="1265">
        <f>IF(PROD!O208&gt;0,IF($AG208="Gr X H",PROD!AD208/PROD!O208*100,IF($AG208="Conv Kg/Doc",PROD!AD208/PROD!O208*1.2,IF(PROD!$O210&gt;0,PROD!AD208/(PROD!O208*PROD!$O210)*100,0))),0)</f>
        <v>0</v>
      </c>
      <c r="AI208" s="1265">
        <f>IF(PROD!P208&gt;0,IF($AG208="Gr X H",PROD!AE208/PROD!P208*100,IF($AG208="Conv Kg/Doc",PROD!AE208/PROD!P208*1.2,IF(PROD!$P210&gt;0,PROD!AE208/(PROD!P208*PROD!$P210)*100,0))),0)</f>
        <v>0</v>
      </c>
      <c r="AJ208" s="1266">
        <f t="shared" si="123"/>
        <v>0</v>
      </c>
      <c r="AK208" s="2026"/>
      <c r="AL208" s="1284">
        <f t="shared" si="113"/>
        <v>0</v>
      </c>
      <c r="AM208" s="1285"/>
      <c r="AN208" s="1285"/>
      <c r="AO208" s="1285"/>
      <c r="AP208" s="1285"/>
      <c r="AQ208" s="1285"/>
      <c r="AR208" s="1285"/>
      <c r="AS208" s="1286"/>
      <c r="AT208" s="1287"/>
      <c r="AU208" s="1288"/>
      <c r="AV208" s="1289"/>
      <c r="AW208" s="1290"/>
      <c r="AX208" s="1291"/>
      <c r="AY208" s="1291"/>
      <c r="AZ208" s="1292"/>
      <c r="BA208" s="1293"/>
      <c r="BB208" s="1294"/>
      <c r="BC208" s="1295"/>
      <c r="BD208" s="1296">
        <f>BD207+PROD!L208-BA208</f>
        <v>0</v>
      </c>
      <c r="BE208" s="2132">
        <f>IF(SUM(AM208:AZ214)&gt;0,(SUM(AM208:AM214)*$AM$2+SUM(AN208:AN214)*$AN$2+SUM(AO208:AO214)*$AO$2+SUM(AP208:AP214)*$AP$2+SUM(AQ208:AQ214)*$AQ$2+SUM(AR208:AR214)*$AR$2+SUM(AS208:AS214)*$AS$2+SUM(AW208:AW214)*$AW$2+SUM(AX208:AX214)*$AX$2+SUM(AY208:AY214)*$AY$2+SUM(AZ208:AZ214)*$AZ$2+SUM(AT208:AT214)*$AT$2+SUM(AU208:AU214)*$AU$2+SUM(AV208:AV214)*$AV$2)/SUM(AM208:AZ214),0)</f>
        <v>0</v>
      </c>
      <c r="BF208" s="507" t="e">
        <f t="shared" si="114"/>
        <v>#VALUE!</v>
      </c>
      <c r="BG208" s="277">
        <f>IF(SUM(L208:L214)&gt;0,A208,IF(SUM(V208:V214)&gt;0,A208,BG201))</f>
        <v>0</v>
      </c>
      <c r="BH208" s="1018">
        <f t="shared" si="115"/>
        <v>0</v>
      </c>
    </row>
    <row r="209" spans="1:60" ht="15" customHeight="1" x14ac:dyDescent="0.3">
      <c r="A209" s="2033"/>
      <c r="B209" s="287" t="str">
        <f t="shared" si="116"/>
        <v/>
      </c>
      <c r="C209" s="288" t="str">
        <f t="shared" si="111"/>
        <v/>
      </c>
      <c r="D209" s="691"/>
      <c r="E209" s="692"/>
      <c r="F209" s="693"/>
      <c r="G209" s="694"/>
      <c r="H209" s="695"/>
      <c r="I209" s="289">
        <f>I208-SUM($D209:F209)</f>
        <v>0</v>
      </c>
      <c r="J209" s="1234" t="str">
        <f>$J$6</f>
        <v>% Sel Sem :</v>
      </c>
      <c r="K209" s="1231">
        <f>IF(PROD!$K$2&gt;0,SUM(E208:E214)/PROD!$K$2,0)</f>
        <v>0</v>
      </c>
      <c r="L209" s="1246"/>
      <c r="M209" s="291">
        <f t="shared" si="124"/>
        <v>0</v>
      </c>
      <c r="N209" s="292" t="str">
        <f>$N$6</f>
        <v xml:space="preserve">H. Ave Alojada : </v>
      </c>
      <c r="O209" s="293">
        <f>IF(AND(PROD!$K$2&gt;0,O208&gt;0),SUM(L$5:L214)/PROD!$K$2,0)</f>
        <v>0</v>
      </c>
      <c r="P209" s="293">
        <f>IFERROR(LOOKUP($A208,TP!$A$6:$A$108,GSh!$AJ$6:$AJ$108),0)</f>
        <v>0</v>
      </c>
      <c r="Q209" s="294">
        <f>IF(AND(P209&gt;0,O209&gt;0),O209-P209,0)</f>
        <v>0</v>
      </c>
      <c r="R209" s="699"/>
      <c r="S209" s="762"/>
      <c r="T209" s="765">
        <f t="shared" si="122"/>
        <v>0</v>
      </c>
      <c r="U209" s="700"/>
      <c r="V209" s="701"/>
      <c r="W209" s="701"/>
      <c r="X209" s="295">
        <f t="shared" si="117"/>
        <v>0</v>
      </c>
      <c r="Y209" s="296">
        <f>IF(AA209&gt;0,V209,AE208/IF(Iniciar!$C$25="B X 40 K",40,IF(Iniciar!$C$25="B X 50 K",50,1))*I209/1000)</f>
        <v>0</v>
      </c>
      <c r="Z209" s="296">
        <f t="shared" si="118"/>
        <v>0</v>
      </c>
      <c r="AA209" s="297">
        <f t="shared" si="125"/>
        <v>0</v>
      </c>
      <c r="AB209" s="297">
        <f t="shared" si="112"/>
        <v>0</v>
      </c>
      <c r="AC209" s="1267" t="str">
        <f>$AC$6</f>
        <v>Gr. Ave Sem :</v>
      </c>
      <c r="AD209" s="284">
        <f>AD208*7</f>
        <v>0</v>
      </c>
      <c r="AE209" s="284">
        <f>AE208*7</f>
        <v>0</v>
      </c>
      <c r="AF209" s="285">
        <f>IF(AND(AE209&gt;0,AD209&gt;0),(AD209/AE209-1)*100,0)</f>
        <v>0</v>
      </c>
      <c r="AG209" s="1199" t="str">
        <f>PROD!$AG$6</f>
        <v>Gr X H Acm</v>
      </c>
      <c r="AH209" s="298">
        <f>IF(SUM(PROD!L208:L214)&gt;0,IF(PROD!$AG$5="Gr X H",SUM(PROD!V$5:V214)*PROD!$A$1/SUM(PROD!L$5:L214),IF($AG208="Conv Kg/Doc",(SUM(PROD!V$5:V214)*PROD!$A$1/1000)/(SUM(PROD!L$5:L214)/12),IF(PROD!$O210&gt;0,SUM(PROD!V$5:V214)*PROD!$A$1/(SUM(PROD!L$5:L214)*LOOKUP(PROD!A208,TP!$A$6:$A$108,GSh!$BB$6:$BB$108)),0))),0)</f>
        <v>0</v>
      </c>
      <c r="AI209" s="298">
        <f>IF(PROD!P208&gt;0,IF($AG208="Gr X H",PROD!AE208/PROD!P208*100,IF($AG208="Conv Kg/Doc",PROD!AE208/PROD!P208*1.2,IF(PROD!$P209&gt;0,PROD!AE210/(PROD!P209*LOOKUP(PROD!$A208,TP!$A$6:$A$108,GSh!$BC$6:$BC$108)/1000),0))),0)</f>
        <v>0</v>
      </c>
      <c r="AJ209" s="328">
        <f t="shared" si="123"/>
        <v>0</v>
      </c>
      <c r="AK209" s="2027"/>
      <c r="AL209" s="1284">
        <f t="shared" si="113"/>
        <v>0</v>
      </c>
      <c r="AM209" s="1285"/>
      <c r="AN209" s="1285"/>
      <c r="AO209" s="1285"/>
      <c r="AP209" s="1285"/>
      <c r="AQ209" s="1285"/>
      <c r="AR209" s="1285"/>
      <c r="AS209" s="1286"/>
      <c r="AT209" s="1287"/>
      <c r="AU209" s="1288"/>
      <c r="AV209" s="1289"/>
      <c r="AW209" s="1290"/>
      <c r="AX209" s="1291"/>
      <c r="AY209" s="1291"/>
      <c r="AZ209" s="1292"/>
      <c r="BA209" s="1293"/>
      <c r="BB209" s="1294"/>
      <c r="BC209" s="1295"/>
      <c r="BD209" s="1296">
        <f>BD208+PROD!L209-BA209</f>
        <v>0</v>
      </c>
      <c r="BE209" s="2133"/>
      <c r="BF209" s="507" t="e">
        <f t="shared" si="114"/>
        <v>#VALUE!</v>
      </c>
      <c r="BG209" s="329"/>
      <c r="BH209" s="1018">
        <f t="shared" si="115"/>
        <v>0</v>
      </c>
    </row>
    <row r="210" spans="1:60" ht="15" customHeight="1" x14ac:dyDescent="0.3">
      <c r="A210" s="2033"/>
      <c r="B210" s="287" t="str">
        <f t="shared" si="116"/>
        <v/>
      </c>
      <c r="C210" s="288" t="str">
        <f t="shared" si="111"/>
        <v/>
      </c>
      <c r="D210" s="691"/>
      <c r="E210" s="692"/>
      <c r="F210" s="693"/>
      <c r="G210" s="694"/>
      <c r="H210" s="695"/>
      <c r="I210" s="289">
        <f>I209-SUM($D210:F210)</f>
        <v>0</v>
      </c>
      <c r="J210" s="1235" t="str">
        <f>$J$7</f>
        <v>% Mort/Sel Sem Tab :</v>
      </c>
      <c r="K210" s="1236">
        <f>K213-K206</f>
        <v>0</v>
      </c>
      <c r="L210" s="1246"/>
      <c r="M210" s="291">
        <f t="shared" si="124"/>
        <v>0</v>
      </c>
      <c r="N210" s="304" t="str">
        <f>$N$7</f>
        <v xml:space="preserve">Peso Huevo (Gr) : </v>
      </c>
      <c r="O210" s="305">
        <f>LOOKUP($A208,'Pr-Sem'!$A$6:$A$108,'Pr-Sem'!$Z$6:$Z$108)</f>
        <v>0</v>
      </c>
      <c r="P210" s="305">
        <f>IFERROR(LOOKUP($A208,TP!$A$6:$A$108,GSh!$AZ$6:$AZ$108),0)</f>
        <v>0</v>
      </c>
      <c r="Q210" s="306">
        <f>IF(AND(P210&gt;0,O210&gt;0),O210-P210,0)</f>
        <v>0</v>
      </c>
      <c r="R210" s="699"/>
      <c r="S210" s="762"/>
      <c r="T210" s="765">
        <f t="shared" si="122"/>
        <v>0</v>
      </c>
      <c r="U210" s="700"/>
      <c r="V210" s="701"/>
      <c r="W210" s="701"/>
      <c r="X210" s="295">
        <f t="shared" si="117"/>
        <v>0</v>
      </c>
      <c r="Y210" s="296">
        <f>IF(AA210&gt;0,V210,AE208/IF(Iniciar!$C$25="B X 40 K",40,IF(Iniciar!$C$25="B X 50 K",50,1))*I210/1000)</f>
        <v>0</v>
      </c>
      <c r="Z210" s="296">
        <f t="shared" si="118"/>
        <v>0</v>
      </c>
      <c r="AA210" s="297">
        <f t="shared" si="125"/>
        <v>0</v>
      </c>
      <c r="AB210" s="297">
        <f t="shared" si="112"/>
        <v>0</v>
      </c>
      <c r="AC210" s="1268" t="str">
        <f>$AC$7</f>
        <v>Kg Ave Acu :</v>
      </c>
      <c r="AD210" s="308">
        <f>IF(OR(SUM(L208:L214)&gt;0,SUM(V208:V214)&gt;0),AD209/1000+AD203,0)</f>
        <v>0</v>
      </c>
      <c r="AE210" s="309">
        <f>AE209/1000+AE203</f>
        <v>0</v>
      </c>
      <c r="AF210" s="310">
        <f>IF(AND(AE210&gt;0,AD210&gt;0),(AD210/AE210-1)*100,0)</f>
        <v>0</v>
      </c>
      <c r="AG210" s="311" t="str">
        <f>PROD!$AG$7</f>
        <v xml:space="preserve">Masa Sem H (Gr) : </v>
      </c>
      <c r="AH210" s="312">
        <f>PROD!O208/100*7*PROD!O210</f>
        <v>0</v>
      </c>
      <c r="AI210" s="312">
        <f>PROD!P208/100*7*PROD!P210</f>
        <v>0</v>
      </c>
      <c r="AJ210" s="313">
        <f t="shared" si="123"/>
        <v>0</v>
      </c>
      <c r="AK210" s="2027"/>
      <c r="AL210" s="1284">
        <f t="shared" si="113"/>
        <v>0</v>
      </c>
      <c r="AM210" s="1285"/>
      <c r="AN210" s="1285"/>
      <c r="AO210" s="1285"/>
      <c r="AP210" s="1285"/>
      <c r="AQ210" s="1285"/>
      <c r="AR210" s="1285"/>
      <c r="AS210" s="1286"/>
      <c r="AT210" s="1287"/>
      <c r="AU210" s="1288"/>
      <c r="AV210" s="1289"/>
      <c r="AW210" s="1290"/>
      <c r="AX210" s="1291"/>
      <c r="AY210" s="1291"/>
      <c r="AZ210" s="1292"/>
      <c r="BA210" s="1293"/>
      <c r="BB210" s="1294"/>
      <c r="BC210" s="1295"/>
      <c r="BD210" s="1296">
        <f>BD209+PROD!L210-BA210</f>
        <v>0</v>
      </c>
      <c r="BE210" s="2133"/>
      <c r="BF210" s="507" t="e">
        <f t="shared" si="114"/>
        <v>#VALUE!</v>
      </c>
      <c r="BG210" s="329"/>
      <c r="BH210" s="1018">
        <f t="shared" si="115"/>
        <v>0</v>
      </c>
    </row>
    <row r="211" spans="1:60" ht="15" customHeight="1" x14ac:dyDescent="0.3">
      <c r="A211" s="2033"/>
      <c r="B211" s="287" t="str">
        <f t="shared" si="116"/>
        <v/>
      </c>
      <c r="C211" s="288" t="str">
        <f t="shared" si="111"/>
        <v/>
      </c>
      <c r="D211" s="691"/>
      <c r="E211" s="692"/>
      <c r="F211" s="693"/>
      <c r="G211" s="694"/>
      <c r="H211" s="695"/>
      <c r="I211" s="289">
        <f>I210-SUM($D211:F211)</f>
        <v>0</v>
      </c>
      <c r="J211" s="1234" t="str">
        <f>$J$8</f>
        <v>% Mort Acm :</v>
      </c>
      <c r="K211" s="1231">
        <f>IF(PROD!$K$2&gt;0,SUM(D$5:D214)/PROD!$K$2,0)</f>
        <v>0</v>
      </c>
      <c r="L211" s="1246"/>
      <c r="M211" s="291">
        <f t="shared" si="124"/>
        <v>0</v>
      </c>
      <c r="N211" s="314" t="str">
        <f>N$8</f>
        <v xml:space="preserve">Peso Ave (Gr) : </v>
      </c>
      <c r="O211" s="315">
        <f>LOOKUP($A208,GSh!$BV$6:$BV$108,GSh!$BJ$6:$BJ$108)</f>
        <v>0</v>
      </c>
      <c r="P211" s="315">
        <f>IFERROR(LOOKUP($A208,TP!$A$6:$A$108,GSh!$BK$6:$BK$108),0)</f>
        <v>0</v>
      </c>
      <c r="Q211" s="316">
        <f>IF(AND(P211&gt;0,O211&gt;0),(O211/P211-1)*100,0)</f>
        <v>0</v>
      </c>
      <c r="R211" s="699"/>
      <c r="S211" s="762"/>
      <c r="T211" s="765">
        <f t="shared" si="122"/>
        <v>0</v>
      </c>
      <c r="U211" s="700"/>
      <c r="V211" s="701"/>
      <c r="W211" s="701"/>
      <c r="X211" s="295">
        <f t="shared" si="117"/>
        <v>0</v>
      </c>
      <c r="Y211" s="296">
        <f>IF(AA211&gt;0,V211,AE208/IF(Iniciar!$C$25="B X 40 K",40,IF(Iniciar!$C$25="B X 50 K",50,1))*I211/1000)</f>
        <v>0</v>
      </c>
      <c r="Z211" s="296">
        <f t="shared" si="118"/>
        <v>0</v>
      </c>
      <c r="AA211" s="297">
        <f t="shared" si="125"/>
        <v>0</v>
      </c>
      <c r="AB211" s="297">
        <f t="shared" si="112"/>
        <v>0</v>
      </c>
      <c r="AC211" s="541" t="str">
        <f>$AC$8</f>
        <v xml:space="preserve">Ton. Lote Acu : </v>
      </c>
      <c r="AD211" s="544">
        <f>SUM($V$5:$V214)*$A$1/1000000</f>
        <v>0</v>
      </c>
      <c r="AE211" s="543">
        <f>AE204+(AE208/1000000*7*(I208+I214)/2)</f>
        <v>0</v>
      </c>
      <c r="AF211" s="542">
        <f>IF(AND(AE211&gt;0,AD211&gt;0),(AD211/AE211-1)*100,0)</f>
        <v>0</v>
      </c>
      <c r="AG211" s="317" t="str">
        <f>PROD!$AG$8</f>
        <v xml:space="preserve">Masa Ac A. A (Kg) : </v>
      </c>
      <c r="AH211" s="318">
        <f>IF(PROD!$K$2&gt;0,SUM(PROD!L$5:L214)*LOOKUP(PROD!$A208,TP!$A$6:$A$108,GSh!$BB$6:$BB$108)/1000/PROD!$K$2,0)</f>
        <v>0</v>
      </c>
      <c r="AI211" s="318">
        <f>IFERROR(PROD!P209*LOOKUP(PROD!$A208,TP!$A$6:$A$108,GSh!$BC$6:$BC$108)/1000,0)</f>
        <v>0</v>
      </c>
      <c r="AJ211" s="330">
        <f t="shared" si="123"/>
        <v>0</v>
      </c>
      <c r="AK211" s="2027"/>
      <c r="AL211" s="1284">
        <f t="shared" si="113"/>
        <v>0</v>
      </c>
      <c r="AM211" s="1285"/>
      <c r="AN211" s="1285"/>
      <c r="AO211" s="1285"/>
      <c r="AP211" s="1285"/>
      <c r="AQ211" s="1285"/>
      <c r="AR211" s="1285"/>
      <c r="AS211" s="1286"/>
      <c r="AT211" s="1287"/>
      <c r="AU211" s="1288"/>
      <c r="AV211" s="1289"/>
      <c r="AW211" s="1290"/>
      <c r="AX211" s="1291"/>
      <c r="AY211" s="1291"/>
      <c r="AZ211" s="1292"/>
      <c r="BA211" s="1293"/>
      <c r="BB211" s="1294"/>
      <c r="BC211" s="1295"/>
      <c r="BD211" s="1296">
        <f>BD210+PROD!L211-BA211</f>
        <v>0</v>
      </c>
      <c r="BE211" s="2133"/>
      <c r="BF211" s="507" t="e">
        <f t="shared" si="114"/>
        <v>#VALUE!</v>
      </c>
      <c r="BG211" s="329"/>
      <c r="BH211" s="1018">
        <f t="shared" si="115"/>
        <v>0</v>
      </c>
    </row>
    <row r="212" spans="1:60" ht="15" customHeight="1" x14ac:dyDescent="0.3">
      <c r="A212" s="2033"/>
      <c r="B212" s="287" t="str">
        <f t="shared" si="116"/>
        <v/>
      </c>
      <c r="C212" s="288" t="str">
        <f t="shared" si="111"/>
        <v/>
      </c>
      <c r="D212" s="691"/>
      <c r="E212" s="692"/>
      <c r="F212" s="693"/>
      <c r="G212" s="694"/>
      <c r="H212" s="695"/>
      <c r="I212" s="289">
        <f>I211-SUM($D212:F212)</f>
        <v>0</v>
      </c>
      <c r="J212" s="1234" t="str">
        <f>$J$9</f>
        <v>% Sel Acm :</v>
      </c>
      <c r="K212" s="1231">
        <f>IF(PROD!$K$2&gt;0,SUM(E$5:E214)/PROD!$K$2,0)</f>
        <v>0</v>
      </c>
      <c r="L212" s="1246"/>
      <c r="M212" s="291">
        <f t="shared" si="124"/>
        <v>0</v>
      </c>
      <c r="N212" s="292" t="str">
        <f>$N$9</f>
        <v xml:space="preserve">Uniformidad (10% -) : </v>
      </c>
      <c r="O212" s="320">
        <f>LOOKUP($A208,'Pr-Sem'!$A$6:$A$108,'Pr-Sem'!$AH$6:$AH$108)</f>
        <v>0</v>
      </c>
      <c r="P212" s="320">
        <v>5</v>
      </c>
      <c r="Q212" s="321">
        <f>IF(AND(P212&gt;0,O212&gt;0),(1-O212/P212)*100,0)</f>
        <v>0</v>
      </c>
      <c r="R212" s="699"/>
      <c r="S212" s="762"/>
      <c r="T212" s="765">
        <f t="shared" si="122"/>
        <v>0</v>
      </c>
      <c r="U212" s="700"/>
      <c r="V212" s="701"/>
      <c r="W212" s="701"/>
      <c r="X212" s="295">
        <f t="shared" si="117"/>
        <v>0</v>
      </c>
      <c r="Y212" s="296">
        <f>IF(AA212&gt;0,V212,AE208/IF(Iniciar!$C$25="B X 40 K",40,IF(Iniciar!$C$25="B X 50 K",50,1))*I212/1000)</f>
        <v>0</v>
      </c>
      <c r="Z212" s="296">
        <f t="shared" si="118"/>
        <v>0</v>
      </c>
      <c r="AA212" s="297">
        <f t="shared" si="125"/>
        <v>0</v>
      </c>
      <c r="AB212" s="297">
        <f t="shared" si="112"/>
        <v>0</v>
      </c>
      <c r="AC212" s="2035" t="str">
        <f>$AC$9</f>
        <v xml:space="preserve">Total Litros Sem: </v>
      </c>
      <c r="AD212" s="2036"/>
      <c r="AE212" s="2050">
        <f>SUM(R208:R214)</f>
        <v>0</v>
      </c>
      <c r="AF212" s="2051"/>
      <c r="AG212" s="554" t="str">
        <f>$AG$9</f>
        <v xml:space="preserve">Indicador Eficiencia : </v>
      </c>
      <c r="AH212" s="555">
        <f>IF(AND(AE212&gt;0,O209&gt;0,O210&gt;0,SUM(L208:L214)&gt;0),(PROD!AH211/O209)*K214*100/(AE212/(SUM(L208:L214)*O210/1000)),0)</f>
        <v>0</v>
      </c>
      <c r="AI212" s="555">
        <f>IF(AND(P209&gt;0,PROD!AI210&gt;0),(PROD!AI211/P209)*(1-K213)*100/(AE209/PROD!AI210),0)</f>
        <v>0</v>
      </c>
      <c r="AJ212" s="331">
        <f t="shared" si="123"/>
        <v>0</v>
      </c>
      <c r="AK212" s="2027"/>
      <c r="AL212" s="1284">
        <f t="shared" si="113"/>
        <v>0</v>
      </c>
      <c r="AM212" s="1285"/>
      <c r="AN212" s="1285"/>
      <c r="AO212" s="1285"/>
      <c r="AP212" s="1285"/>
      <c r="AQ212" s="1285"/>
      <c r="AR212" s="1285"/>
      <c r="AS212" s="1286"/>
      <c r="AT212" s="1287"/>
      <c r="AU212" s="1288"/>
      <c r="AV212" s="1289"/>
      <c r="AW212" s="1290"/>
      <c r="AX212" s="1291"/>
      <c r="AY212" s="1291"/>
      <c r="AZ212" s="1292"/>
      <c r="BA212" s="1293"/>
      <c r="BB212" s="1294"/>
      <c r="BC212" s="1295"/>
      <c r="BD212" s="1296">
        <f>BD211+PROD!L212-BA212</f>
        <v>0</v>
      </c>
      <c r="BE212" s="2133"/>
      <c r="BF212" s="507" t="e">
        <f t="shared" si="114"/>
        <v>#VALUE!</v>
      </c>
      <c r="BG212" s="329"/>
      <c r="BH212" s="1018">
        <f t="shared" si="115"/>
        <v>0</v>
      </c>
    </row>
    <row r="213" spans="1:60" ht="15" customHeight="1" x14ac:dyDescent="0.3">
      <c r="A213" s="2033"/>
      <c r="B213" s="287" t="str">
        <f t="shared" si="116"/>
        <v/>
      </c>
      <c r="C213" s="288" t="str">
        <f t="shared" si="111"/>
        <v/>
      </c>
      <c r="D213" s="691"/>
      <c r="E213" s="692"/>
      <c r="F213" s="693"/>
      <c r="G213" s="694"/>
      <c r="H213" s="695"/>
      <c r="I213" s="289">
        <f>I212-SUM($D213:F213)</f>
        <v>0</v>
      </c>
      <c r="J213" s="1237" t="str">
        <f>$J$10</f>
        <v>% Mort/Sel Acm Tab :</v>
      </c>
      <c r="K213" s="1238">
        <f>IFERROR(LOOKUP($A208,TP!$A$6:$A$108,GSh!$AR$6:$AR$108)/100,0)</f>
        <v>0</v>
      </c>
      <c r="L213" s="1246"/>
      <c r="M213" s="291">
        <f t="shared" si="124"/>
        <v>0</v>
      </c>
      <c r="N213" s="292" t="str">
        <f>$N$10</f>
        <v xml:space="preserve">Uniformidad (C. Lote) : </v>
      </c>
      <c r="O213" s="320">
        <f>LOOKUP($A208,'Pr-Sem'!$A$6:$A$108,'Pr-Sem'!$AG$6:$AG$108)</f>
        <v>0</v>
      </c>
      <c r="P213" s="320">
        <v>90</v>
      </c>
      <c r="Q213" s="321">
        <f>IF(AND(P213&gt;0,O213&gt;0),(O213/P213-1)*100,0)</f>
        <v>0</v>
      </c>
      <c r="R213" s="699"/>
      <c r="S213" s="762"/>
      <c r="T213" s="765">
        <f t="shared" si="122"/>
        <v>0</v>
      </c>
      <c r="U213" s="700"/>
      <c r="V213" s="701"/>
      <c r="W213" s="701"/>
      <c r="X213" s="295">
        <f t="shared" si="117"/>
        <v>0</v>
      </c>
      <c r="Y213" s="296">
        <f>IF(AA213&gt;0,V213,AE208/IF(Iniciar!$C$25="B X 40 K",40,IF(Iniciar!$C$25="B X 50 K",50,1))*I213/1000)</f>
        <v>0</v>
      </c>
      <c r="Z213" s="296">
        <f t="shared" si="118"/>
        <v>0</v>
      </c>
      <c r="AA213" s="297">
        <f t="shared" si="125"/>
        <v>0</v>
      </c>
      <c r="AB213" s="297">
        <f t="shared" si="112"/>
        <v>0</v>
      </c>
      <c r="AC213" s="2037" t="str">
        <f>$AC$10</f>
        <v xml:space="preserve">Cons ml /ave día: </v>
      </c>
      <c r="AD213" s="2038"/>
      <c r="AE213" s="2056">
        <f>IFERROR(SUMPRODUCT(AB208:AB214,I208:I214)/SUM(I208:I214),0)</f>
        <v>0</v>
      </c>
      <c r="AF213" s="2057"/>
      <c r="AG213" s="311" t="str">
        <f>CONCATENATE("Costo ",Iniciar!$C$25," : ")</f>
        <v xml:space="preserve">Costo Kilos : </v>
      </c>
      <c r="AH213" s="2043">
        <f>IFERROR(SUMPRODUCT(T208:T214,V208:V214)/SUMIF(T208:T214,"&gt;0",V208:V214),0)</f>
        <v>0</v>
      </c>
      <c r="AI213" s="2043"/>
      <c r="AJ213" s="313"/>
      <c r="AK213" s="2027"/>
      <c r="AL213" s="1284">
        <f t="shared" si="113"/>
        <v>0</v>
      </c>
      <c r="AM213" s="1285"/>
      <c r="AN213" s="1285"/>
      <c r="AO213" s="1285"/>
      <c r="AP213" s="1285"/>
      <c r="AQ213" s="1285"/>
      <c r="AR213" s="1285"/>
      <c r="AS213" s="1286"/>
      <c r="AT213" s="1287"/>
      <c r="AU213" s="1288"/>
      <c r="AV213" s="1289"/>
      <c r="AW213" s="1290"/>
      <c r="AX213" s="1291"/>
      <c r="AY213" s="1291"/>
      <c r="AZ213" s="1292"/>
      <c r="BA213" s="1293"/>
      <c r="BB213" s="1294"/>
      <c r="BC213" s="1295"/>
      <c r="BD213" s="1296">
        <f>BD212+PROD!L213-BA213</f>
        <v>0</v>
      </c>
      <c r="BE213" s="2133"/>
      <c r="BF213" s="507" t="e">
        <f t="shared" si="114"/>
        <v>#VALUE!</v>
      </c>
      <c r="BG213" s="329"/>
      <c r="BH213" s="1018">
        <f t="shared" si="115"/>
        <v>0</v>
      </c>
    </row>
    <row r="214" spans="1:60" ht="15" customHeight="1" x14ac:dyDescent="0.3">
      <c r="A214" s="2034"/>
      <c r="B214" s="287" t="str">
        <f t="shared" si="116"/>
        <v/>
      </c>
      <c r="C214" s="288" t="str">
        <f t="shared" si="111"/>
        <v/>
      </c>
      <c r="D214" s="691"/>
      <c r="E214" s="692"/>
      <c r="F214" s="693"/>
      <c r="G214" s="694"/>
      <c r="H214" s="695"/>
      <c r="I214" s="289">
        <f>I213-SUM($D214:F214)</f>
        <v>0</v>
      </c>
      <c r="J214" s="1239" t="str">
        <f>$J$11</f>
        <v>% Viabilidad :</v>
      </c>
      <c r="K214" s="1240">
        <f>IF(OR(SUM(L208:L214)&gt;0,SUM(V208:V214)&gt;0),1-(K211+K212),0)</f>
        <v>0</v>
      </c>
      <c r="L214" s="1247"/>
      <c r="M214" s="1248">
        <f>IF(I214&gt;0,(L214/IF(SUM(L208:L213)&gt;0,1,7))/I214,0)</f>
        <v>0</v>
      </c>
      <c r="N214" s="1249" t="str">
        <f>$N$11</f>
        <v xml:space="preserve">Uniformidad (10% +) : </v>
      </c>
      <c r="O214" s="1250">
        <f>IF(O212&gt;0,IF(O213&gt;0,100-SUM(O212:O213),0),0)</f>
        <v>0</v>
      </c>
      <c r="P214" s="1251">
        <f>100-SUM(P212:P213)</f>
        <v>5</v>
      </c>
      <c r="Q214" s="1252">
        <f>IF(AND(P214&gt;0,O214&gt;0),(O214/P214-1)*100,0)</f>
        <v>0</v>
      </c>
      <c r="R214" s="699"/>
      <c r="S214" s="762"/>
      <c r="T214" s="765">
        <f t="shared" si="122"/>
        <v>0</v>
      </c>
      <c r="U214" s="700"/>
      <c r="V214" s="701"/>
      <c r="W214" s="701"/>
      <c r="X214" s="295">
        <f t="shared" si="117"/>
        <v>0</v>
      </c>
      <c r="Y214" s="296">
        <f>IF(AA214&gt;0,V214,AE208/IF(Iniciar!$C$25="B X 40 K",40,IF(Iniciar!$C$25="B X 50 K",50,1))*I214/1000)</f>
        <v>0</v>
      </c>
      <c r="Z214" s="296">
        <f t="shared" si="118"/>
        <v>0</v>
      </c>
      <c r="AA214" s="297">
        <f>IF(I214&gt;0,(V214/IF(SUM(V208:V213)&gt;0,1,7))*$A$1/I214,0)</f>
        <v>0</v>
      </c>
      <c r="AB214" s="297">
        <f t="shared" si="112"/>
        <v>0</v>
      </c>
      <c r="AC214" s="2039" t="str">
        <f>$AC$11</f>
        <v xml:space="preserve">Relación Agua /Alimto: </v>
      </c>
      <c r="AD214" s="2040"/>
      <c r="AE214" s="2058">
        <f>IFERROR(AE213/AD208,0)</f>
        <v>0</v>
      </c>
      <c r="AF214" s="2059"/>
      <c r="AG214" s="1269" t="s">
        <v>237</v>
      </c>
      <c r="AH214" s="1270">
        <f>IF(SUM(L208:L214)&gt;0,AH213*SUM(V208:V214)/SUM(L208:L214),0)</f>
        <v>0</v>
      </c>
      <c r="AI214" s="1270">
        <f>IF(AND($A$1&gt;0,P208&gt;0),AH213/$A$1*(AE208/P208)*100,0)</f>
        <v>0</v>
      </c>
      <c r="AJ214" s="1271">
        <f t="shared" ref="AJ214:AJ219" si="126">IF(AND(AI214&gt;0,AH214&gt;0),(AH214/AI214-1)*100,0)</f>
        <v>0</v>
      </c>
      <c r="AK214" s="2028"/>
      <c r="AL214" s="1284">
        <f t="shared" si="113"/>
        <v>0</v>
      </c>
      <c r="AM214" s="1285"/>
      <c r="AN214" s="1285"/>
      <c r="AO214" s="1285"/>
      <c r="AP214" s="1285"/>
      <c r="AQ214" s="1285"/>
      <c r="AR214" s="1285"/>
      <c r="AS214" s="1286"/>
      <c r="AT214" s="1287"/>
      <c r="AU214" s="1288"/>
      <c r="AV214" s="1289"/>
      <c r="AW214" s="1290"/>
      <c r="AX214" s="1291"/>
      <c r="AY214" s="1291"/>
      <c r="AZ214" s="1292"/>
      <c r="BA214" s="1293"/>
      <c r="BB214" s="1294"/>
      <c r="BC214" s="1295"/>
      <c r="BD214" s="1296">
        <f>BD213+PROD!L214-BA214</f>
        <v>0</v>
      </c>
      <c r="BE214" s="2134"/>
      <c r="BF214" s="507" t="e">
        <f t="shared" si="114"/>
        <v>#VALUE!</v>
      </c>
      <c r="BG214" s="329"/>
      <c r="BH214" s="1018">
        <f t="shared" si="115"/>
        <v>0</v>
      </c>
    </row>
    <row r="215" spans="1:60" ht="15" customHeight="1" x14ac:dyDescent="0.3">
      <c r="A215" s="2032">
        <f>A208+1</f>
        <v>48</v>
      </c>
      <c r="B215" s="287" t="str">
        <f t="shared" si="116"/>
        <v/>
      </c>
      <c r="C215" s="288" t="str">
        <f t="shared" si="111"/>
        <v/>
      </c>
      <c r="D215" s="691"/>
      <c r="E215" s="692"/>
      <c r="F215" s="693"/>
      <c r="G215" s="694"/>
      <c r="H215" s="695"/>
      <c r="I215" s="289">
        <f>I214-SUM($D215:F215)</f>
        <v>0</v>
      </c>
      <c r="J215" s="1232" t="str">
        <f>$J$5</f>
        <v>% Mort Sem :</v>
      </c>
      <c r="K215" s="1233">
        <f>IF(PROD!$K$2&gt;0,SUM(D215:D221)/PROD!$K$2,0)</f>
        <v>0</v>
      </c>
      <c r="L215" s="1241"/>
      <c r="M215" s="1242">
        <f t="shared" ref="M215:M220" si="127">IF(I215&gt;0,L215/I215,0)</f>
        <v>0</v>
      </c>
      <c r="N215" s="1243" t="str">
        <f>$N$5</f>
        <v xml:space="preserve">% Pdn prom semana : </v>
      </c>
      <c r="O215" s="1244">
        <f>IF(SUM(L215:L220)&gt;0,100*SUMPRODUCT(M215:M221,I215:I221)/SUMIF(L215:L221,"&gt;0",I215:I221),IF(L221&gt;0,100*L221/7/I221,0))</f>
        <v>0</v>
      </c>
      <c r="P215" s="1244">
        <f>IFERROR(LOOKUP($A215,TP!$A$6:$A$108,GSh!$AE$6:$AE$108),0)</f>
        <v>0</v>
      </c>
      <c r="Q215" s="1245">
        <f>IF(AND(P215&gt;0,O215&gt;0),O215-P215,0)</f>
        <v>0</v>
      </c>
      <c r="R215" s="699"/>
      <c r="S215" s="762"/>
      <c r="T215" s="765">
        <f t="shared" si="122"/>
        <v>0</v>
      </c>
      <c r="U215" s="700"/>
      <c r="V215" s="701"/>
      <c r="W215" s="701"/>
      <c r="X215" s="295">
        <f t="shared" si="117"/>
        <v>0</v>
      </c>
      <c r="Y215" s="296">
        <f>IF(AA215&gt;0,V215,AE215/IF(Iniciar!$C$25="B X 40 K",40,IF(Iniciar!$C$25="B X 50 K",50,1))*I215/1000)</f>
        <v>0</v>
      </c>
      <c r="Z215" s="296">
        <f t="shared" si="118"/>
        <v>0</v>
      </c>
      <c r="AA215" s="297">
        <f t="shared" ref="AA215:AA220" si="128">IF(I215&gt;0,V215*$A$1/I215,0)</f>
        <v>0</v>
      </c>
      <c r="AB215" s="297">
        <f t="shared" si="112"/>
        <v>0</v>
      </c>
      <c r="AC215" s="1261" t="str">
        <f>$AC$5</f>
        <v>Gr. Ave Dia :</v>
      </c>
      <c r="AD215" s="1262">
        <f>IF(SUMIF(V215:V221,"&gt;0")&gt;0,SUMPRODUCT(AA215:AA221,I215:I221)/SUMIF(AA215:AA221,"&gt;0",I215:I221),0)</f>
        <v>0</v>
      </c>
      <c r="AE215" s="1262">
        <f>IFERROR(LOOKUP($A215,TP!$A$6:$A$108,GSh!$AU$6:$AU$108),0)</f>
        <v>0</v>
      </c>
      <c r="AF215" s="1263">
        <f>IF(AND(AE215&gt;0,AD215&gt;0),(AD215/AE215-1)*100,0)</f>
        <v>0</v>
      </c>
      <c r="AG215" s="1264" t="str">
        <f>PROD!$AG$5</f>
        <v>Gr X H</v>
      </c>
      <c r="AH215" s="1265">
        <f>IF(PROD!O215&gt;0,IF($AG215="Gr X H",PROD!AD215/PROD!O215*100,IF($AG215="Conv Kg/Doc",PROD!AD215/PROD!O215*1.2,IF(PROD!$O217&gt;0,PROD!AD215/(PROD!O215*PROD!$O217)*100,0))),0)</f>
        <v>0</v>
      </c>
      <c r="AI215" s="1265">
        <f>IF(PROD!P215&gt;0,IF($AG215="Gr X H",PROD!AE215/PROD!P215*100,IF($AG215="Conv Kg/Doc",PROD!AE215/PROD!P215*1.2,IF(PROD!$P217&gt;0,PROD!AE215/(PROD!P215*PROD!$P217)*100,0))),0)</f>
        <v>0</v>
      </c>
      <c r="AJ215" s="1266">
        <f t="shared" si="126"/>
        <v>0</v>
      </c>
      <c r="AK215" s="2026"/>
      <c r="AL215" s="1284">
        <f t="shared" si="113"/>
        <v>0</v>
      </c>
      <c r="AM215" s="1285"/>
      <c r="AN215" s="1285"/>
      <c r="AO215" s="1285"/>
      <c r="AP215" s="1285"/>
      <c r="AQ215" s="1285"/>
      <c r="AR215" s="1285"/>
      <c r="AS215" s="1286"/>
      <c r="AT215" s="1287"/>
      <c r="AU215" s="1288"/>
      <c r="AV215" s="1289"/>
      <c r="AW215" s="1290"/>
      <c r="AX215" s="1291"/>
      <c r="AY215" s="1291"/>
      <c r="AZ215" s="1292"/>
      <c r="BA215" s="1293"/>
      <c r="BB215" s="1294"/>
      <c r="BC215" s="1295"/>
      <c r="BD215" s="1296">
        <f>BD214+PROD!L215-BA215</f>
        <v>0</v>
      </c>
      <c r="BE215" s="2132">
        <f>IF(SUM(AM215:AZ221)&gt;0,(SUM(AM215:AM221)*$AM$2+SUM(AN215:AN221)*$AN$2+SUM(AO215:AO221)*$AO$2+SUM(AP215:AP221)*$AP$2+SUM(AQ215:AQ221)*$AQ$2+SUM(AR215:AR221)*$AR$2+SUM(AS215:AS221)*$AS$2+SUM(AW215:AW221)*$AW$2+SUM(AX215:AX221)*$AX$2+SUM(AY215:AY221)*$AY$2+SUM(AZ215:AZ221)*$AZ$2+SUM(AT215:AT221)*$AT$2+SUM(AU215:AU221)*$AU$2+SUM(AV215:AV221)*$AV$2)/SUM(AM215:AZ221),0)</f>
        <v>0</v>
      </c>
      <c r="BF215" s="507" t="e">
        <f t="shared" si="114"/>
        <v>#VALUE!</v>
      </c>
      <c r="BG215" s="277">
        <f>IF(SUM(L215:L221)&gt;0,A215,IF(SUM(V215:V221)&gt;0,A215,BG208))</f>
        <v>0</v>
      </c>
      <c r="BH215" s="1018">
        <f t="shared" si="115"/>
        <v>0</v>
      </c>
    </row>
    <row r="216" spans="1:60" ht="15" customHeight="1" x14ac:dyDescent="0.3">
      <c r="A216" s="2033"/>
      <c r="B216" s="287" t="str">
        <f t="shared" si="116"/>
        <v/>
      </c>
      <c r="C216" s="288" t="str">
        <f t="shared" si="111"/>
        <v/>
      </c>
      <c r="D216" s="691"/>
      <c r="E216" s="692"/>
      <c r="F216" s="693"/>
      <c r="G216" s="694"/>
      <c r="H216" s="695"/>
      <c r="I216" s="289">
        <f>I215-SUM($D216:F216)</f>
        <v>0</v>
      </c>
      <c r="J216" s="1234" t="str">
        <f>$J$6</f>
        <v>% Sel Sem :</v>
      </c>
      <c r="K216" s="1231">
        <f>IF(PROD!$K$2&gt;0,SUM(E215:E221)/PROD!$K$2,0)</f>
        <v>0</v>
      </c>
      <c r="L216" s="1246"/>
      <c r="M216" s="291">
        <f t="shared" si="127"/>
        <v>0</v>
      </c>
      <c r="N216" s="292" t="str">
        <f>$N$6</f>
        <v xml:space="preserve">H. Ave Alojada : </v>
      </c>
      <c r="O216" s="293">
        <f>IF(AND(PROD!$K$2&gt;0,O215&gt;0),SUM(L$5:L221)/PROD!$K$2,0)</f>
        <v>0</v>
      </c>
      <c r="P216" s="293">
        <f>IFERROR(LOOKUP($A215,TP!$A$6:$A$108,GSh!$AJ$6:$AJ$108),0)</f>
        <v>0</v>
      </c>
      <c r="Q216" s="294">
        <f>IF(AND(P216&gt;0,O216&gt;0),O216-P216,0)</f>
        <v>0</v>
      </c>
      <c r="R216" s="699"/>
      <c r="S216" s="762"/>
      <c r="T216" s="765">
        <f t="shared" si="122"/>
        <v>0</v>
      </c>
      <c r="U216" s="700"/>
      <c r="V216" s="701"/>
      <c r="W216" s="701"/>
      <c r="X216" s="295">
        <f t="shared" si="117"/>
        <v>0</v>
      </c>
      <c r="Y216" s="296">
        <f>IF(AA216&gt;0,V216,AE215/IF(Iniciar!$C$25="B X 40 K",40,IF(Iniciar!$C$25="B X 50 K",50,1))*I216/1000)</f>
        <v>0</v>
      </c>
      <c r="Z216" s="296">
        <f t="shared" si="118"/>
        <v>0</v>
      </c>
      <c r="AA216" s="297">
        <f t="shared" si="128"/>
        <v>0</v>
      </c>
      <c r="AB216" s="297">
        <f t="shared" si="112"/>
        <v>0</v>
      </c>
      <c r="AC216" s="1267" t="str">
        <f>$AC$6</f>
        <v>Gr. Ave Sem :</v>
      </c>
      <c r="AD216" s="284">
        <f>AD215*7</f>
        <v>0</v>
      </c>
      <c r="AE216" s="284">
        <f>AE215*7</f>
        <v>0</v>
      </c>
      <c r="AF216" s="285">
        <f>IF(AND(AE216&gt;0,AD216&gt;0),(AD216/AE216-1)*100,0)</f>
        <v>0</v>
      </c>
      <c r="AG216" s="1199" t="str">
        <f>PROD!$AG$6</f>
        <v>Gr X H Acm</v>
      </c>
      <c r="AH216" s="298">
        <f>IF(SUM(PROD!L215:L221)&gt;0,IF(PROD!$AG$5="Gr X H",SUM(PROD!V$5:V221)*PROD!$A$1/SUM(PROD!L$5:L221),IF($AG215="Conv Kg/Doc",(SUM(PROD!V$5:V221)*PROD!$A$1/1000)/(SUM(PROD!L$5:L221)/12),IF(PROD!$O217&gt;0,SUM(PROD!V$5:V221)*PROD!$A$1/(SUM(PROD!L$5:L221)*LOOKUP(PROD!A215,TP!$A$6:$A$108,GSh!$BB$6:$BB$108)),0))),0)</f>
        <v>0</v>
      </c>
      <c r="AI216" s="298">
        <f>IF(PROD!P215&gt;0,IF($AG215="Gr X H",PROD!AE215/PROD!P215*100,IF($AG215="Conv Kg/Doc",PROD!AE215/PROD!P215*1.2,IF(PROD!$P216&gt;0,PROD!AE217/(PROD!P216*LOOKUP(PROD!$A215,TP!$A$6:$A$108,GSh!$BC$6:$BC$108)/1000),0))),0)</f>
        <v>0</v>
      </c>
      <c r="AJ216" s="328">
        <f t="shared" si="126"/>
        <v>0</v>
      </c>
      <c r="AK216" s="2027"/>
      <c r="AL216" s="1284">
        <f t="shared" si="113"/>
        <v>0</v>
      </c>
      <c r="AM216" s="1285"/>
      <c r="AN216" s="1285"/>
      <c r="AO216" s="1285"/>
      <c r="AP216" s="1285"/>
      <c r="AQ216" s="1285"/>
      <c r="AR216" s="1285"/>
      <c r="AS216" s="1286"/>
      <c r="AT216" s="1287"/>
      <c r="AU216" s="1288"/>
      <c r="AV216" s="1289"/>
      <c r="AW216" s="1290"/>
      <c r="AX216" s="1291"/>
      <c r="AY216" s="1291"/>
      <c r="AZ216" s="1292"/>
      <c r="BA216" s="1293"/>
      <c r="BB216" s="1294"/>
      <c r="BC216" s="1295"/>
      <c r="BD216" s="1296">
        <f>BD215+PROD!L216-BA216</f>
        <v>0</v>
      </c>
      <c r="BE216" s="2133"/>
      <c r="BF216" s="507" t="e">
        <f t="shared" si="114"/>
        <v>#VALUE!</v>
      </c>
      <c r="BG216" s="329"/>
      <c r="BH216" s="1018">
        <f t="shared" si="115"/>
        <v>0</v>
      </c>
    </row>
    <row r="217" spans="1:60" ht="15" customHeight="1" x14ac:dyDescent="0.3">
      <c r="A217" s="2033"/>
      <c r="B217" s="287" t="str">
        <f t="shared" si="116"/>
        <v/>
      </c>
      <c r="C217" s="288" t="str">
        <f t="shared" si="111"/>
        <v/>
      </c>
      <c r="D217" s="691"/>
      <c r="E217" s="692"/>
      <c r="F217" s="693"/>
      <c r="G217" s="694"/>
      <c r="H217" s="695"/>
      <c r="I217" s="289">
        <f>I216-SUM($D217:F217)</f>
        <v>0</v>
      </c>
      <c r="J217" s="1235" t="str">
        <f>$J$7</f>
        <v>% Mort/Sel Sem Tab :</v>
      </c>
      <c r="K217" s="1236">
        <f>K220-K213</f>
        <v>0</v>
      </c>
      <c r="L217" s="1246"/>
      <c r="M217" s="291">
        <f t="shared" si="127"/>
        <v>0</v>
      </c>
      <c r="N217" s="304" t="str">
        <f>$N$7</f>
        <v xml:space="preserve">Peso Huevo (Gr) : </v>
      </c>
      <c r="O217" s="305">
        <f>LOOKUP($A215,'Pr-Sem'!$A$6:$A$108,'Pr-Sem'!$Z$6:$Z$108)</f>
        <v>0</v>
      </c>
      <c r="P217" s="305">
        <f>IFERROR(LOOKUP($A215,TP!$A$6:$A$108,GSh!$AZ$6:$AZ$108),0)</f>
        <v>0</v>
      </c>
      <c r="Q217" s="306">
        <f>IF(AND(P217&gt;0,O217&gt;0),O217-P217,0)</f>
        <v>0</v>
      </c>
      <c r="R217" s="699"/>
      <c r="S217" s="762"/>
      <c r="T217" s="765">
        <f t="shared" si="122"/>
        <v>0</v>
      </c>
      <c r="U217" s="700"/>
      <c r="V217" s="701"/>
      <c r="W217" s="701"/>
      <c r="X217" s="295">
        <f t="shared" si="117"/>
        <v>0</v>
      </c>
      <c r="Y217" s="296">
        <f>IF(AA217&gt;0,V217,AE215/IF(Iniciar!$C$25="B X 40 K",40,IF(Iniciar!$C$25="B X 50 K",50,1))*I217/1000)</f>
        <v>0</v>
      </c>
      <c r="Z217" s="296">
        <f t="shared" si="118"/>
        <v>0</v>
      </c>
      <c r="AA217" s="297">
        <f t="shared" si="128"/>
        <v>0</v>
      </c>
      <c r="AB217" s="297">
        <f t="shared" si="112"/>
        <v>0</v>
      </c>
      <c r="AC217" s="1268" t="str">
        <f>$AC$7</f>
        <v>Kg Ave Acu :</v>
      </c>
      <c r="AD217" s="308">
        <f>IF(OR(SUM(L215:L221)&gt;0,SUM(V215:V221)&gt;0),AD216/1000+AD210,0)</f>
        <v>0</v>
      </c>
      <c r="AE217" s="309">
        <f>AE216/1000+AE210</f>
        <v>0</v>
      </c>
      <c r="AF217" s="310">
        <f>IF(AND(AE217&gt;0,AD217&gt;0),(AD217/AE217-1)*100,0)</f>
        <v>0</v>
      </c>
      <c r="AG217" s="311" t="str">
        <f>PROD!$AG$7</f>
        <v xml:space="preserve">Masa Sem H (Gr) : </v>
      </c>
      <c r="AH217" s="312">
        <f>PROD!O215/100*7*PROD!O217</f>
        <v>0</v>
      </c>
      <c r="AI217" s="312">
        <f>PROD!P215/100*7*PROD!P217</f>
        <v>0</v>
      </c>
      <c r="AJ217" s="313">
        <f t="shared" si="126"/>
        <v>0</v>
      </c>
      <c r="AK217" s="2027"/>
      <c r="AL217" s="1284">
        <f t="shared" si="113"/>
        <v>0</v>
      </c>
      <c r="AM217" s="1285"/>
      <c r="AN217" s="1285"/>
      <c r="AO217" s="1285"/>
      <c r="AP217" s="1285"/>
      <c r="AQ217" s="1285"/>
      <c r="AR217" s="1285"/>
      <c r="AS217" s="1286"/>
      <c r="AT217" s="1287"/>
      <c r="AU217" s="1288"/>
      <c r="AV217" s="1289"/>
      <c r="AW217" s="1290"/>
      <c r="AX217" s="1291"/>
      <c r="AY217" s="1291"/>
      <c r="AZ217" s="1292"/>
      <c r="BA217" s="1293"/>
      <c r="BB217" s="1294"/>
      <c r="BC217" s="1295"/>
      <c r="BD217" s="1296">
        <f>BD216+PROD!L217-BA217</f>
        <v>0</v>
      </c>
      <c r="BE217" s="2133"/>
      <c r="BF217" s="507" t="e">
        <f t="shared" si="114"/>
        <v>#VALUE!</v>
      </c>
      <c r="BG217" s="329"/>
      <c r="BH217" s="1018">
        <f t="shared" si="115"/>
        <v>0</v>
      </c>
    </row>
    <row r="218" spans="1:60" ht="15" customHeight="1" x14ac:dyDescent="0.3">
      <c r="A218" s="2033"/>
      <c r="B218" s="287" t="str">
        <f t="shared" si="116"/>
        <v/>
      </c>
      <c r="C218" s="288" t="str">
        <f t="shared" si="111"/>
        <v/>
      </c>
      <c r="D218" s="691"/>
      <c r="E218" s="692"/>
      <c r="F218" s="693"/>
      <c r="G218" s="694"/>
      <c r="H218" s="695"/>
      <c r="I218" s="289">
        <f>I217-SUM($D218:F218)</f>
        <v>0</v>
      </c>
      <c r="J218" s="1234" t="str">
        <f>$J$8</f>
        <v>% Mort Acm :</v>
      </c>
      <c r="K218" s="1231">
        <f>IF(PROD!$K$2&gt;0,SUM(D$5:D221)/PROD!$K$2,0)</f>
        <v>0</v>
      </c>
      <c r="L218" s="1246"/>
      <c r="M218" s="291">
        <f t="shared" si="127"/>
        <v>0</v>
      </c>
      <c r="N218" s="314" t="str">
        <f>N$8</f>
        <v xml:space="preserve">Peso Ave (Gr) : </v>
      </c>
      <c r="O218" s="315">
        <f>LOOKUP($A215,GSh!$BV$6:$BV$108,GSh!$BJ$6:$BJ$108)</f>
        <v>0</v>
      </c>
      <c r="P218" s="315">
        <f>IFERROR(LOOKUP($A215,TP!$A$6:$A$108,GSh!$BK$6:$BK$108),0)</f>
        <v>0</v>
      </c>
      <c r="Q218" s="316">
        <f>IF(AND(P218&gt;0,O218&gt;0),(O218/P218-1)*100,0)</f>
        <v>0</v>
      </c>
      <c r="R218" s="699"/>
      <c r="S218" s="762"/>
      <c r="T218" s="765">
        <f t="shared" si="122"/>
        <v>0</v>
      </c>
      <c r="U218" s="700"/>
      <c r="V218" s="701"/>
      <c r="W218" s="701"/>
      <c r="X218" s="295">
        <f t="shared" si="117"/>
        <v>0</v>
      </c>
      <c r="Y218" s="296">
        <f>IF(AA218&gt;0,V218,AE215/IF(Iniciar!$C$25="B X 40 K",40,IF(Iniciar!$C$25="B X 50 K",50,1))*I218/1000)</f>
        <v>0</v>
      </c>
      <c r="Z218" s="296">
        <f t="shared" si="118"/>
        <v>0</v>
      </c>
      <c r="AA218" s="297">
        <f t="shared" si="128"/>
        <v>0</v>
      </c>
      <c r="AB218" s="297">
        <f t="shared" si="112"/>
        <v>0</v>
      </c>
      <c r="AC218" s="541" t="str">
        <f>$AC$8</f>
        <v xml:space="preserve">Ton. Lote Acu : </v>
      </c>
      <c r="AD218" s="544">
        <f>SUM($V$5:$V221)*$A$1/1000000</f>
        <v>0</v>
      </c>
      <c r="AE218" s="543">
        <f>AE211+(AE215/1000000*7*(I215+I221)/2)</f>
        <v>0</v>
      </c>
      <c r="AF218" s="542">
        <f>IF(AND(AE218&gt;0,AD218&gt;0),(AD218/AE218-1)*100,0)</f>
        <v>0</v>
      </c>
      <c r="AG218" s="317" t="str">
        <f>PROD!$AG$8</f>
        <v xml:space="preserve">Masa Ac A. A (Kg) : </v>
      </c>
      <c r="AH218" s="318">
        <f>IF(PROD!$K$2&gt;0,SUM(PROD!L$5:L221)*LOOKUP(PROD!$A215,TP!$A$6:$A$108,GSh!$BB$6:$BB$108)/1000/PROD!$K$2,0)</f>
        <v>0</v>
      </c>
      <c r="AI218" s="318">
        <f>IFERROR(PROD!P216*LOOKUP(PROD!$A215,TP!$A$6:$A$108,GSh!$BC$6:$BC$108)/1000,0)</f>
        <v>0</v>
      </c>
      <c r="AJ218" s="330">
        <f t="shared" si="126"/>
        <v>0</v>
      </c>
      <c r="AK218" s="2027"/>
      <c r="AL218" s="1284">
        <f t="shared" si="113"/>
        <v>0</v>
      </c>
      <c r="AM218" s="1285"/>
      <c r="AN218" s="1285"/>
      <c r="AO218" s="1285"/>
      <c r="AP218" s="1285"/>
      <c r="AQ218" s="1285"/>
      <c r="AR218" s="1285"/>
      <c r="AS218" s="1286"/>
      <c r="AT218" s="1287"/>
      <c r="AU218" s="1288"/>
      <c r="AV218" s="1289"/>
      <c r="AW218" s="1290"/>
      <c r="AX218" s="1291"/>
      <c r="AY218" s="1291"/>
      <c r="AZ218" s="1292"/>
      <c r="BA218" s="1293"/>
      <c r="BB218" s="1294"/>
      <c r="BC218" s="1295"/>
      <c r="BD218" s="1296">
        <f>BD217+PROD!L218-BA218</f>
        <v>0</v>
      </c>
      <c r="BE218" s="2133"/>
      <c r="BF218" s="507" t="e">
        <f t="shared" si="114"/>
        <v>#VALUE!</v>
      </c>
      <c r="BG218" s="329"/>
      <c r="BH218" s="1018">
        <f t="shared" si="115"/>
        <v>0</v>
      </c>
    </row>
    <row r="219" spans="1:60" ht="15" customHeight="1" x14ac:dyDescent="0.3">
      <c r="A219" s="2033"/>
      <c r="B219" s="287" t="str">
        <f t="shared" si="116"/>
        <v/>
      </c>
      <c r="C219" s="288" t="str">
        <f t="shared" si="111"/>
        <v/>
      </c>
      <c r="D219" s="691"/>
      <c r="E219" s="692"/>
      <c r="F219" s="693"/>
      <c r="G219" s="694"/>
      <c r="H219" s="695"/>
      <c r="I219" s="289">
        <f>I218-SUM($D219:F219)</f>
        <v>0</v>
      </c>
      <c r="J219" s="1234" t="str">
        <f>$J$9</f>
        <v>% Sel Acm :</v>
      </c>
      <c r="K219" s="1231">
        <f>IF(PROD!$K$2&gt;0,SUM(E$5:E221)/PROD!$K$2,0)</f>
        <v>0</v>
      </c>
      <c r="L219" s="1246"/>
      <c r="M219" s="291">
        <f t="shared" si="127"/>
        <v>0</v>
      </c>
      <c r="N219" s="292" t="str">
        <f>$N$9</f>
        <v xml:space="preserve">Uniformidad (10% -) : </v>
      </c>
      <c r="O219" s="320">
        <f>LOOKUP($A215,'Pr-Sem'!$A$6:$A$108,'Pr-Sem'!$AH$6:$AH$108)</f>
        <v>0</v>
      </c>
      <c r="P219" s="320">
        <v>5</v>
      </c>
      <c r="Q219" s="321">
        <f>IF(AND(P219&gt;0,O219&gt;0),(1-O219/P219)*100,0)</f>
        <v>0</v>
      </c>
      <c r="R219" s="699"/>
      <c r="S219" s="762"/>
      <c r="T219" s="765">
        <f t="shared" si="122"/>
        <v>0</v>
      </c>
      <c r="U219" s="700"/>
      <c r="V219" s="701"/>
      <c r="W219" s="701"/>
      <c r="X219" s="295">
        <f t="shared" si="117"/>
        <v>0</v>
      </c>
      <c r="Y219" s="296">
        <f>IF(AA219&gt;0,V219,AE215/IF(Iniciar!$C$25="B X 40 K",40,IF(Iniciar!$C$25="B X 50 K",50,1))*I219/1000)</f>
        <v>0</v>
      </c>
      <c r="Z219" s="296">
        <f t="shared" si="118"/>
        <v>0</v>
      </c>
      <c r="AA219" s="297">
        <f t="shared" si="128"/>
        <v>0</v>
      </c>
      <c r="AB219" s="297">
        <f t="shared" si="112"/>
        <v>0</v>
      </c>
      <c r="AC219" s="2035" t="str">
        <f>$AC$9</f>
        <v xml:space="preserve">Total Litros Sem: </v>
      </c>
      <c r="AD219" s="2036"/>
      <c r="AE219" s="2050">
        <f>SUM(R215:R221)</f>
        <v>0</v>
      </c>
      <c r="AF219" s="2051"/>
      <c r="AG219" s="554" t="str">
        <f>$AG$9</f>
        <v xml:space="preserve">Indicador Eficiencia : </v>
      </c>
      <c r="AH219" s="555">
        <f>IF(AND(AE219&gt;0,O216&gt;0,O217&gt;0,SUM(L215:L221)&gt;0),(PROD!AH218/O216)*K221*100/(AE219/(SUM(L215:L221)*O217/1000)),0)</f>
        <v>0</v>
      </c>
      <c r="AI219" s="555">
        <f>IF(AND(P216&gt;0,PROD!AI217&gt;0),(PROD!AI218/P216)*(1-K220)*100/(AE216/PROD!AI217),0)</f>
        <v>0</v>
      </c>
      <c r="AJ219" s="331">
        <f t="shared" si="126"/>
        <v>0</v>
      </c>
      <c r="AK219" s="2027"/>
      <c r="AL219" s="1284">
        <f t="shared" si="113"/>
        <v>0</v>
      </c>
      <c r="AM219" s="1285"/>
      <c r="AN219" s="1285"/>
      <c r="AO219" s="1285"/>
      <c r="AP219" s="1285"/>
      <c r="AQ219" s="1285"/>
      <c r="AR219" s="1285"/>
      <c r="AS219" s="1286"/>
      <c r="AT219" s="1287"/>
      <c r="AU219" s="1288"/>
      <c r="AV219" s="1289"/>
      <c r="AW219" s="1290"/>
      <c r="AX219" s="1291"/>
      <c r="AY219" s="1291"/>
      <c r="AZ219" s="1292"/>
      <c r="BA219" s="1293"/>
      <c r="BB219" s="1294"/>
      <c r="BC219" s="1295"/>
      <c r="BD219" s="1296">
        <f>BD218+PROD!L219-BA219</f>
        <v>0</v>
      </c>
      <c r="BE219" s="2133"/>
      <c r="BF219" s="507" t="e">
        <f t="shared" si="114"/>
        <v>#VALUE!</v>
      </c>
      <c r="BG219" s="329"/>
      <c r="BH219" s="1018">
        <f t="shared" si="115"/>
        <v>0</v>
      </c>
    </row>
    <row r="220" spans="1:60" ht="15" customHeight="1" x14ac:dyDescent="0.3">
      <c r="A220" s="2033"/>
      <c r="B220" s="287" t="str">
        <f t="shared" si="116"/>
        <v/>
      </c>
      <c r="C220" s="288" t="str">
        <f t="shared" si="111"/>
        <v/>
      </c>
      <c r="D220" s="691"/>
      <c r="E220" s="692"/>
      <c r="F220" s="693"/>
      <c r="G220" s="694"/>
      <c r="H220" s="695"/>
      <c r="I220" s="289">
        <f>I219-SUM($D220:F220)</f>
        <v>0</v>
      </c>
      <c r="J220" s="1237" t="str">
        <f>$J$10</f>
        <v>% Mort/Sel Acm Tab :</v>
      </c>
      <c r="K220" s="1238">
        <f>IFERROR(LOOKUP($A215,TP!$A$6:$A$108,GSh!$AR$6:$AR$108)/100,0)</f>
        <v>0</v>
      </c>
      <c r="L220" s="1246"/>
      <c r="M220" s="291">
        <f t="shared" si="127"/>
        <v>0</v>
      </c>
      <c r="N220" s="292" t="str">
        <f>$N$10</f>
        <v xml:space="preserve">Uniformidad (C. Lote) : </v>
      </c>
      <c r="O220" s="320">
        <f>LOOKUP($A215,'Pr-Sem'!$A$6:$A$108,'Pr-Sem'!$AG$6:$AG$108)</f>
        <v>0</v>
      </c>
      <c r="P220" s="320">
        <v>90</v>
      </c>
      <c r="Q220" s="321">
        <f>IF(AND(P220&gt;0,O220&gt;0),(O220/P220-1)*100,0)</f>
        <v>0</v>
      </c>
      <c r="R220" s="699"/>
      <c r="S220" s="762"/>
      <c r="T220" s="765">
        <f t="shared" si="122"/>
        <v>0</v>
      </c>
      <c r="U220" s="700"/>
      <c r="V220" s="701"/>
      <c r="W220" s="701"/>
      <c r="X220" s="295">
        <f t="shared" si="117"/>
        <v>0</v>
      </c>
      <c r="Y220" s="296">
        <f>IF(AA220&gt;0,V220,AE215/IF(Iniciar!$C$25="B X 40 K",40,IF(Iniciar!$C$25="B X 50 K",50,1))*I220/1000)</f>
        <v>0</v>
      </c>
      <c r="Z220" s="296">
        <f t="shared" si="118"/>
        <v>0</v>
      </c>
      <c r="AA220" s="297">
        <f t="shared" si="128"/>
        <v>0</v>
      </c>
      <c r="AB220" s="297">
        <f t="shared" si="112"/>
        <v>0</v>
      </c>
      <c r="AC220" s="2037" t="str">
        <f>$AC$10</f>
        <v xml:space="preserve">Cons ml /ave día: </v>
      </c>
      <c r="AD220" s="2038"/>
      <c r="AE220" s="2056">
        <f>IFERROR(SUMPRODUCT(AB215:AB221,I215:I221)/SUM(I215:I221),0)</f>
        <v>0</v>
      </c>
      <c r="AF220" s="2057"/>
      <c r="AG220" s="311" t="str">
        <f>CONCATENATE("Costo ",Iniciar!$C$25," : ")</f>
        <v xml:space="preserve">Costo Kilos : </v>
      </c>
      <c r="AH220" s="2043">
        <f>IFERROR(SUMPRODUCT(T215:T221,V215:V221)/SUMIF(T215:T221,"&gt;0",V215:V221),0)</f>
        <v>0</v>
      </c>
      <c r="AI220" s="2043"/>
      <c r="AJ220" s="313"/>
      <c r="AK220" s="2027"/>
      <c r="AL220" s="1284">
        <f t="shared" si="113"/>
        <v>0</v>
      </c>
      <c r="AM220" s="1285"/>
      <c r="AN220" s="1285"/>
      <c r="AO220" s="1285"/>
      <c r="AP220" s="1285"/>
      <c r="AQ220" s="1285"/>
      <c r="AR220" s="1285"/>
      <c r="AS220" s="1286"/>
      <c r="AT220" s="1287"/>
      <c r="AU220" s="1288"/>
      <c r="AV220" s="1289"/>
      <c r="AW220" s="1290"/>
      <c r="AX220" s="1291"/>
      <c r="AY220" s="1291"/>
      <c r="AZ220" s="1292"/>
      <c r="BA220" s="1293"/>
      <c r="BB220" s="1294"/>
      <c r="BC220" s="1295"/>
      <c r="BD220" s="1296">
        <f>BD219+PROD!L220-BA220</f>
        <v>0</v>
      </c>
      <c r="BE220" s="2133"/>
      <c r="BF220" s="507" t="e">
        <f t="shared" si="114"/>
        <v>#VALUE!</v>
      </c>
      <c r="BG220" s="329"/>
      <c r="BH220" s="1018">
        <f t="shared" si="115"/>
        <v>0</v>
      </c>
    </row>
    <row r="221" spans="1:60" ht="15" customHeight="1" x14ac:dyDescent="0.3">
      <c r="A221" s="2034"/>
      <c r="B221" s="287" t="str">
        <f t="shared" si="116"/>
        <v/>
      </c>
      <c r="C221" s="288" t="str">
        <f t="shared" si="111"/>
        <v/>
      </c>
      <c r="D221" s="691"/>
      <c r="E221" s="692"/>
      <c r="F221" s="693"/>
      <c r="G221" s="694"/>
      <c r="H221" s="695"/>
      <c r="I221" s="289">
        <f>I220-SUM($D221:F221)</f>
        <v>0</v>
      </c>
      <c r="J221" s="1239" t="str">
        <f>$J$11</f>
        <v>% Viabilidad :</v>
      </c>
      <c r="K221" s="1240">
        <f>IF(OR(SUM(L215:L221)&gt;0,SUM(V215:V221)&gt;0),1-(K218+K219),0)</f>
        <v>0</v>
      </c>
      <c r="L221" s="1247"/>
      <c r="M221" s="1248">
        <f>IF(I221&gt;0,(L221/IF(SUM(L215:L220)&gt;0,1,7))/I221,0)</f>
        <v>0</v>
      </c>
      <c r="N221" s="1249" t="str">
        <f>$N$11</f>
        <v xml:space="preserve">Uniformidad (10% +) : </v>
      </c>
      <c r="O221" s="1250">
        <f>IF(O219&gt;0,IF(O220&gt;0,100-SUM(O219:O220),0),0)</f>
        <v>0</v>
      </c>
      <c r="P221" s="1251">
        <f>100-SUM(P219:P220)</f>
        <v>5</v>
      </c>
      <c r="Q221" s="1252">
        <f>IF(AND(P221&gt;0,O221&gt;0),(O221/P221-1)*100,0)</f>
        <v>0</v>
      </c>
      <c r="R221" s="699"/>
      <c r="S221" s="762"/>
      <c r="T221" s="765">
        <f t="shared" si="122"/>
        <v>0</v>
      </c>
      <c r="U221" s="700"/>
      <c r="V221" s="701"/>
      <c r="W221" s="701"/>
      <c r="X221" s="295">
        <f t="shared" si="117"/>
        <v>0</v>
      </c>
      <c r="Y221" s="296">
        <f>IF(AA221&gt;0,V221,AE215/IF(Iniciar!$C$25="B X 40 K",40,IF(Iniciar!$C$25="B X 50 K",50,1))*I221/1000)</f>
        <v>0</v>
      </c>
      <c r="Z221" s="296">
        <f t="shared" si="118"/>
        <v>0</v>
      </c>
      <c r="AA221" s="297">
        <f>IF(I221&gt;0,(V221/IF(SUM(V215:V220)&gt;0,1,7))*$A$1/I221,0)</f>
        <v>0</v>
      </c>
      <c r="AB221" s="297">
        <f t="shared" si="112"/>
        <v>0</v>
      </c>
      <c r="AC221" s="2039" t="str">
        <f>$AC$11</f>
        <v xml:space="preserve">Relación Agua /Alimto: </v>
      </c>
      <c r="AD221" s="2040"/>
      <c r="AE221" s="2058">
        <f>IFERROR(AE220/AD215,0)</f>
        <v>0</v>
      </c>
      <c r="AF221" s="2059"/>
      <c r="AG221" s="1269" t="s">
        <v>237</v>
      </c>
      <c r="AH221" s="1270">
        <f>IF(SUM(L215:L221)&gt;0,AH220*SUM(V215:V221)/SUM(L215:L221),0)</f>
        <v>0</v>
      </c>
      <c r="AI221" s="1270">
        <f>IF(AND($A$1&gt;0,P215&gt;0),AH220/$A$1*(AE215/P215)*100,0)</f>
        <v>0</v>
      </c>
      <c r="AJ221" s="1271">
        <f t="shared" ref="AJ221:AJ226" si="129">IF(AND(AI221&gt;0,AH221&gt;0),(AH221/AI221-1)*100,0)</f>
        <v>0</v>
      </c>
      <c r="AK221" s="2028"/>
      <c r="AL221" s="1284">
        <f t="shared" si="113"/>
        <v>0</v>
      </c>
      <c r="AM221" s="1285"/>
      <c r="AN221" s="1285"/>
      <c r="AO221" s="1285"/>
      <c r="AP221" s="1285"/>
      <c r="AQ221" s="1285"/>
      <c r="AR221" s="1285"/>
      <c r="AS221" s="1286"/>
      <c r="AT221" s="1287"/>
      <c r="AU221" s="1288"/>
      <c r="AV221" s="1289"/>
      <c r="AW221" s="1290"/>
      <c r="AX221" s="1291"/>
      <c r="AY221" s="1291"/>
      <c r="AZ221" s="1292"/>
      <c r="BA221" s="1293"/>
      <c r="BB221" s="1294"/>
      <c r="BC221" s="1295"/>
      <c r="BD221" s="1296">
        <f>BD220+PROD!L221-BA221</f>
        <v>0</v>
      </c>
      <c r="BE221" s="2134"/>
      <c r="BF221" s="507" t="e">
        <f t="shared" si="114"/>
        <v>#VALUE!</v>
      </c>
      <c r="BG221" s="329"/>
      <c r="BH221" s="1018">
        <f t="shared" si="115"/>
        <v>0</v>
      </c>
    </row>
    <row r="222" spans="1:60" ht="15" customHeight="1" x14ac:dyDescent="0.3">
      <c r="A222" s="2032">
        <f>A215+1</f>
        <v>49</v>
      </c>
      <c r="B222" s="287" t="str">
        <f t="shared" si="116"/>
        <v/>
      </c>
      <c r="C222" s="288" t="str">
        <f t="shared" si="111"/>
        <v/>
      </c>
      <c r="D222" s="691"/>
      <c r="E222" s="692"/>
      <c r="F222" s="693"/>
      <c r="G222" s="694"/>
      <c r="H222" s="695"/>
      <c r="I222" s="289">
        <f>I221-SUM($D222:F222)</f>
        <v>0</v>
      </c>
      <c r="J222" s="1232" t="str">
        <f>$J$5</f>
        <v>% Mort Sem :</v>
      </c>
      <c r="K222" s="1233">
        <f>IF(PROD!$K$2&gt;0,SUM(D222:D228)/PROD!$K$2,0)</f>
        <v>0</v>
      </c>
      <c r="L222" s="1241"/>
      <c r="M222" s="1242">
        <f t="shared" ref="M222:M227" si="130">IF(I222&gt;0,L222/I222,0)</f>
        <v>0</v>
      </c>
      <c r="N222" s="1243" t="str">
        <f>$N$5</f>
        <v xml:space="preserve">% Pdn prom semana : </v>
      </c>
      <c r="O222" s="1244">
        <f>IF(SUM(L222:L227)&gt;0,100*SUMPRODUCT(M222:M228,I222:I228)/SUMIF(L222:L228,"&gt;0",I222:I228),IF(L228&gt;0,100*L228/7/I228,0))</f>
        <v>0</v>
      </c>
      <c r="P222" s="1244">
        <f>IFERROR(LOOKUP($A222,TP!$A$6:$A$108,GSh!$AE$6:$AE$108),0)</f>
        <v>0</v>
      </c>
      <c r="Q222" s="1245">
        <f>IF(AND(P222&gt;0,O222&gt;0),O222-P222,0)</f>
        <v>0</v>
      </c>
      <c r="R222" s="699"/>
      <c r="S222" s="762"/>
      <c r="T222" s="765">
        <f t="shared" si="122"/>
        <v>0</v>
      </c>
      <c r="U222" s="700"/>
      <c r="V222" s="701"/>
      <c r="W222" s="701"/>
      <c r="X222" s="295">
        <f t="shared" si="117"/>
        <v>0</v>
      </c>
      <c r="Y222" s="296">
        <f>IF(AA222&gt;0,V222,AE222/IF(Iniciar!$C$25="B X 40 K",40,IF(Iniciar!$C$25="B X 50 K",50,1))*I222/1000)</f>
        <v>0</v>
      </c>
      <c r="Z222" s="296">
        <f t="shared" si="118"/>
        <v>0</v>
      </c>
      <c r="AA222" s="297">
        <f t="shared" ref="AA222:AA227" si="131">IF(I222&gt;0,V222*$A$1/I222,0)</f>
        <v>0</v>
      </c>
      <c r="AB222" s="297">
        <f t="shared" si="112"/>
        <v>0</v>
      </c>
      <c r="AC222" s="1261" t="str">
        <f>$AC$5</f>
        <v>Gr. Ave Dia :</v>
      </c>
      <c r="AD222" s="1262">
        <f>IF(SUMIF(V222:V228,"&gt;0")&gt;0,SUMPRODUCT(AA222:AA228,I222:I228)/SUMIF(AA222:AA228,"&gt;0",I222:I228),0)</f>
        <v>0</v>
      </c>
      <c r="AE222" s="1262">
        <f>IFERROR(LOOKUP($A222,TP!$A$6:$A$108,GSh!$AU$6:$AU$108),0)</f>
        <v>0</v>
      </c>
      <c r="AF222" s="1263">
        <f>IF(AND(AE222&gt;0,AD222&gt;0),(AD222/AE222-1)*100,0)</f>
        <v>0</v>
      </c>
      <c r="AG222" s="1264" t="str">
        <f>PROD!$AG$5</f>
        <v>Gr X H</v>
      </c>
      <c r="AH222" s="1265">
        <f>IF(PROD!O222&gt;0,IF($AG222="Gr X H",PROD!AD222/PROD!O222*100,IF($AG222="Conv Kg/Doc",PROD!AD222/PROD!O222*1.2,IF(PROD!$O224&gt;0,PROD!AD222/(PROD!O222*PROD!$O224)*100,0))),0)</f>
        <v>0</v>
      </c>
      <c r="AI222" s="1265">
        <f>IF(PROD!P222&gt;0,IF($AG222="Gr X H",PROD!AE222/PROD!P222*100,IF($AG222="Conv Kg/Doc",PROD!AE222/PROD!P222*1.2,IF(PROD!$P224&gt;0,PROD!AE222/(PROD!P222*PROD!$P224)*100,0))),0)</f>
        <v>0</v>
      </c>
      <c r="AJ222" s="1266">
        <f t="shared" si="129"/>
        <v>0</v>
      </c>
      <c r="AK222" s="2026"/>
      <c r="AL222" s="1284">
        <f t="shared" si="113"/>
        <v>0</v>
      </c>
      <c r="AM222" s="1285"/>
      <c r="AN222" s="1285"/>
      <c r="AO222" s="1285"/>
      <c r="AP222" s="1285"/>
      <c r="AQ222" s="1285"/>
      <c r="AR222" s="1285"/>
      <c r="AS222" s="1286"/>
      <c r="AT222" s="1287"/>
      <c r="AU222" s="1288"/>
      <c r="AV222" s="1289"/>
      <c r="AW222" s="1290"/>
      <c r="AX222" s="1291"/>
      <c r="AY222" s="1291"/>
      <c r="AZ222" s="1292"/>
      <c r="BA222" s="1293"/>
      <c r="BB222" s="1294"/>
      <c r="BC222" s="1295"/>
      <c r="BD222" s="1296">
        <f>BD221+PROD!L222-BA222</f>
        <v>0</v>
      </c>
      <c r="BE222" s="2132">
        <f>IF(SUM(AM222:AZ228)&gt;0,(SUM(AM222:AM228)*$AM$2+SUM(AN222:AN228)*$AN$2+SUM(AO222:AO228)*$AO$2+SUM(AP222:AP228)*$AP$2+SUM(AQ222:AQ228)*$AQ$2+SUM(AR222:AR228)*$AR$2+SUM(AS222:AS228)*$AS$2+SUM(AW222:AW228)*$AW$2+SUM(AX222:AX228)*$AX$2+SUM(AY222:AY228)*$AY$2+SUM(AZ222:AZ228)*$AZ$2+SUM(AT222:AT228)*$AT$2+SUM(AU222:AU228)*$AU$2+SUM(AV222:AV228)*$AV$2)/SUM(AM222:AZ228),0)</f>
        <v>0</v>
      </c>
      <c r="BF222" s="507" t="e">
        <f t="shared" si="114"/>
        <v>#VALUE!</v>
      </c>
      <c r="BG222" s="277">
        <f>IF(SUM(L222:L228)&gt;0,A222,IF(SUM(V222:V228)&gt;0,A222,BG215))</f>
        <v>0</v>
      </c>
      <c r="BH222" s="1018">
        <f t="shared" si="115"/>
        <v>0</v>
      </c>
    </row>
    <row r="223" spans="1:60" ht="15" customHeight="1" x14ac:dyDescent="0.3">
      <c r="A223" s="2033"/>
      <c r="B223" s="287" t="str">
        <f t="shared" si="116"/>
        <v/>
      </c>
      <c r="C223" s="288" t="str">
        <f t="shared" si="111"/>
        <v/>
      </c>
      <c r="D223" s="691"/>
      <c r="E223" s="692"/>
      <c r="F223" s="693"/>
      <c r="G223" s="694"/>
      <c r="H223" s="695"/>
      <c r="I223" s="289">
        <f>I222-SUM($D223:F223)</f>
        <v>0</v>
      </c>
      <c r="J223" s="1234" t="str">
        <f>$J$6</f>
        <v>% Sel Sem :</v>
      </c>
      <c r="K223" s="1231">
        <f>IF(PROD!$K$2&gt;0,SUM(E222:E228)/PROD!$K$2,0)</f>
        <v>0</v>
      </c>
      <c r="L223" s="1246"/>
      <c r="M223" s="291">
        <f t="shared" si="130"/>
        <v>0</v>
      </c>
      <c r="N223" s="292" t="str">
        <f>$N$6</f>
        <v xml:space="preserve">H. Ave Alojada : </v>
      </c>
      <c r="O223" s="293">
        <f>IF(AND(PROD!$K$2&gt;0,O222&gt;0),SUM(L$5:L228)/PROD!$K$2,0)</f>
        <v>0</v>
      </c>
      <c r="P223" s="293">
        <f>IFERROR(LOOKUP($A222,TP!$A$6:$A$108,GSh!$AJ$6:$AJ$108),0)</f>
        <v>0</v>
      </c>
      <c r="Q223" s="294">
        <f>IF(AND(P223&gt;0,O223&gt;0),O223-P223,0)</f>
        <v>0</v>
      </c>
      <c r="R223" s="699"/>
      <c r="S223" s="762"/>
      <c r="T223" s="765">
        <f t="shared" si="122"/>
        <v>0</v>
      </c>
      <c r="U223" s="700"/>
      <c r="V223" s="701"/>
      <c r="W223" s="701"/>
      <c r="X223" s="295">
        <f t="shared" si="117"/>
        <v>0</v>
      </c>
      <c r="Y223" s="296">
        <f>IF(AA223&gt;0,V223,AE222/IF(Iniciar!$C$25="B X 40 K",40,IF(Iniciar!$C$25="B X 50 K",50,1))*I223/1000)</f>
        <v>0</v>
      </c>
      <c r="Z223" s="296">
        <f t="shared" si="118"/>
        <v>0</v>
      </c>
      <c r="AA223" s="297">
        <f t="shared" si="131"/>
        <v>0</v>
      </c>
      <c r="AB223" s="297">
        <f t="shared" si="112"/>
        <v>0</v>
      </c>
      <c r="AC223" s="1267" t="str">
        <f>$AC$6</f>
        <v>Gr. Ave Sem :</v>
      </c>
      <c r="AD223" s="284">
        <f>AD222*7</f>
        <v>0</v>
      </c>
      <c r="AE223" s="284">
        <f>AE222*7</f>
        <v>0</v>
      </c>
      <c r="AF223" s="285">
        <f>IF(AND(AE223&gt;0,AD223&gt;0),(AD223/AE223-1)*100,0)</f>
        <v>0</v>
      </c>
      <c r="AG223" s="1199" t="str">
        <f>PROD!$AG$6</f>
        <v>Gr X H Acm</v>
      </c>
      <c r="AH223" s="298">
        <f>IF(SUM(PROD!L222:L228)&gt;0,IF(PROD!$AG$5="Gr X H",SUM(PROD!V$5:V228)*PROD!$A$1/SUM(PROD!L$5:L228),IF($AG222="Conv Kg/Doc",(SUM(PROD!V$5:V228)*PROD!$A$1/1000)/(SUM(PROD!L$5:L228)/12),IF(PROD!$O224&gt;0,SUM(PROD!V$5:V228)*PROD!$A$1/(SUM(PROD!L$5:L228)*LOOKUP(PROD!A222,TP!$A$6:$A$108,GSh!$BB$6:$BB$108)),0))),0)</f>
        <v>0</v>
      </c>
      <c r="AI223" s="298">
        <f>IF(PROD!P222&gt;0,IF($AG222="Gr X H",PROD!AE222/PROD!P222*100,IF($AG222="Conv Kg/Doc",PROD!AE222/PROD!P222*1.2,IF(PROD!$P223&gt;0,PROD!AE224/(PROD!P223*LOOKUP(PROD!$A222,TP!$A$6:$A$108,GSh!$BC$6:$BC$108)/1000),0))),0)</f>
        <v>0</v>
      </c>
      <c r="AJ223" s="328">
        <f t="shared" si="129"/>
        <v>0</v>
      </c>
      <c r="AK223" s="2027"/>
      <c r="AL223" s="1284">
        <f t="shared" si="113"/>
        <v>0</v>
      </c>
      <c r="AM223" s="1285"/>
      <c r="AN223" s="1285"/>
      <c r="AO223" s="1285"/>
      <c r="AP223" s="1285"/>
      <c r="AQ223" s="1285"/>
      <c r="AR223" s="1285"/>
      <c r="AS223" s="1286"/>
      <c r="AT223" s="1287"/>
      <c r="AU223" s="1288"/>
      <c r="AV223" s="1289"/>
      <c r="AW223" s="1290"/>
      <c r="AX223" s="1291"/>
      <c r="AY223" s="1291"/>
      <c r="AZ223" s="1292"/>
      <c r="BA223" s="1293"/>
      <c r="BB223" s="1294"/>
      <c r="BC223" s="1295"/>
      <c r="BD223" s="1296">
        <f>BD222+PROD!L223-BA223</f>
        <v>0</v>
      </c>
      <c r="BE223" s="2133"/>
      <c r="BF223" s="507" t="e">
        <f t="shared" si="114"/>
        <v>#VALUE!</v>
      </c>
      <c r="BG223" s="329"/>
      <c r="BH223" s="1018">
        <f t="shared" si="115"/>
        <v>0</v>
      </c>
    </row>
    <row r="224" spans="1:60" ht="15" customHeight="1" x14ac:dyDescent="0.3">
      <c r="A224" s="2033"/>
      <c r="B224" s="287" t="str">
        <f t="shared" si="116"/>
        <v/>
      </c>
      <c r="C224" s="288" t="str">
        <f t="shared" si="111"/>
        <v/>
      </c>
      <c r="D224" s="691"/>
      <c r="E224" s="692"/>
      <c r="F224" s="693"/>
      <c r="G224" s="694"/>
      <c r="H224" s="695"/>
      <c r="I224" s="289">
        <f>I223-SUM($D224:F224)</f>
        <v>0</v>
      </c>
      <c r="J224" s="1235" t="str">
        <f>$J$7</f>
        <v>% Mort/Sel Sem Tab :</v>
      </c>
      <c r="K224" s="1236">
        <f>K227-K220</f>
        <v>0</v>
      </c>
      <c r="L224" s="1246"/>
      <c r="M224" s="291">
        <f t="shared" si="130"/>
        <v>0</v>
      </c>
      <c r="N224" s="304" t="str">
        <f>$N$7</f>
        <v xml:space="preserve">Peso Huevo (Gr) : </v>
      </c>
      <c r="O224" s="305">
        <f>LOOKUP($A222,'Pr-Sem'!$A$6:$A$108,'Pr-Sem'!$Z$6:$Z$108)</f>
        <v>0</v>
      </c>
      <c r="P224" s="305">
        <f>IFERROR(LOOKUP($A222,TP!$A$6:$A$108,GSh!$AZ$6:$AZ$108),0)</f>
        <v>0</v>
      </c>
      <c r="Q224" s="306">
        <f>IF(AND(P224&gt;0,O224&gt;0),O224-P224,0)</f>
        <v>0</v>
      </c>
      <c r="R224" s="699"/>
      <c r="S224" s="762"/>
      <c r="T224" s="765">
        <f t="shared" si="122"/>
        <v>0</v>
      </c>
      <c r="U224" s="700"/>
      <c r="V224" s="701"/>
      <c r="W224" s="701"/>
      <c r="X224" s="295">
        <f t="shared" si="117"/>
        <v>0</v>
      </c>
      <c r="Y224" s="296">
        <f>IF(AA224&gt;0,V224,AE222/IF(Iniciar!$C$25="B X 40 K",40,IF(Iniciar!$C$25="B X 50 K",50,1))*I224/1000)</f>
        <v>0</v>
      </c>
      <c r="Z224" s="296">
        <f t="shared" si="118"/>
        <v>0</v>
      </c>
      <c r="AA224" s="297">
        <f t="shared" si="131"/>
        <v>0</v>
      </c>
      <c r="AB224" s="297">
        <f t="shared" si="112"/>
        <v>0</v>
      </c>
      <c r="AC224" s="1268" t="str">
        <f>$AC$7</f>
        <v>Kg Ave Acu :</v>
      </c>
      <c r="AD224" s="308">
        <f>IF(OR(SUM(L222:L228)&gt;0,SUM(V222:V228)&gt;0),AD223/1000+AD217,0)</f>
        <v>0</v>
      </c>
      <c r="AE224" s="309">
        <f>AE223/1000+AE217</f>
        <v>0</v>
      </c>
      <c r="AF224" s="310">
        <f>IF(AND(AE224&gt;0,AD224&gt;0),(AD224/AE224-1)*100,0)</f>
        <v>0</v>
      </c>
      <c r="AG224" s="311" t="str">
        <f>PROD!$AG$7</f>
        <v xml:space="preserve">Masa Sem H (Gr) : </v>
      </c>
      <c r="AH224" s="312">
        <f>PROD!O222/100*7*PROD!O224</f>
        <v>0</v>
      </c>
      <c r="AI224" s="312">
        <f>PROD!P222/100*7*PROD!P224</f>
        <v>0</v>
      </c>
      <c r="AJ224" s="313">
        <f t="shared" si="129"/>
        <v>0</v>
      </c>
      <c r="AK224" s="2027"/>
      <c r="AL224" s="1284">
        <f t="shared" si="113"/>
        <v>0</v>
      </c>
      <c r="AM224" s="1285"/>
      <c r="AN224" s="1285"/>
      <c r="AO224" s="1285"/>
      <c r="AP224" s="1285"/>
      <c r="AQ224" s="1285"/>
      <c r="AR224" s="1285"/>
      <c r="AS224" s="1286"/>
      <c r="AT224" s="1287"/>
      <c r="AU224" s="1288"/>
      <c r="AV224" s="1289"/>
      <c r="AW224" s="1290"/>
      <c r="AX224" s="1291"/>
      <c r="AY224" s="1291"/>
      <c r="AZ224" s="1292"/>
      <c r="BA224" s="1293"/>
      <c r="BB224" s="1294"/>
      <c r="BC224" s="1295"/>
      <c r="BD224" s="1296">
        <f>BD223+PROD!L224-BA224</f>
        <v>0</v>
      </c>
      <c r="BE224" s="2133"/>
      <c r="BF224" s="507" t="e">
        <f t="shared" si="114"/>
        <v>#VALUE!</v>
      </c>
      <c r="BG224" s="329"/>
      <c r="BH224" s="1018">
        <f t="shared" si="115"/>
        <v>0</v>
      </c>
    </row>
    <row r="225" spans="1:60" ht="15" customHeight="1" x14ac:dyDescent="0.3">
      <c r="A225" s="2033"/>
      <c r="B225" s="287" t="str">
        <f t="shared" si="116"/>
        <v/>
      </c>
      <c r="C225" s="288" t="str">
        <f t="shared" si="111"/>
        <v/>
      </c>
      <c r="D225" s="691"/>
      <c r="E225" s="692"/>
      <c r="F225" s="693"/>
      <c r="G225" s="694"/>
      <c r="H225" s="695"/>
      <c r="I225" s="289">
        <f>I224-SUM($D225:F225)</f>
        <v>0</v>
      </c>
      <c r="J225" s="1234" t="str">
        <f>$J$8</f>
        <v>% Mort Acm :</v>
      </c>
      <c r="K225" s="1231">
        <f>IF(PROD!$K$2&gt;0,SUM(D$5:D228)/PROD!$K$2,0)</f>
        <v>0</v>
      </c>
      <c r="L225" s="1246"/>
      <c r="M225" s="291">
        <f t="shared" si="130"/>
        <v>0</v>
      </c>
      <c r="N225" s="314" t="str">
        <f>N$8</f>
        <v xml:space="preserve">Peso Ave (Gr) : </v>
      </c>
      <c r="O225" s="315">
        <f>LOOKUP($A222,GSh!$BV$6:$BV$108,GSh!$BJ$6:$BJ$108)</f>
        <v>0</v>
      </c>
      <c r="P225" s="315">
        <f>IFERROR(LOOKUP($A222,TP!$A$6:$A$108,GSh!$BK$6:$BK$108),0)</f>
        <v>0</v>
      </c>
      <c r="Q225" s="316">
        <f>IF(AND(P225&gt;0,O225&gt;0),(O225/P225-1)*100,0)</f>
        <v>0</v>
      </c>
      <c r="R225" s="699"/>
      <c r="S225" s="762"/>
      <c r="T225" s="765">
        <f t="shared" si="122"/>
        <v>0</v>
      </c>
      <c r="U225" s="700"/>
      <c r="V225" s="701"/>
      <c r="W225" s="701"/>
      <c r="X225" s="295">
        <f t="shared" si="117"/>
        <v>0</v>
      </c>
      <c r="Y225" s="296">
        <f>IF(AA225&gt;0,V225,AE222/IF(Iniciar!$C$25="B X 40 K",40,IF(Iniciar!$C$25="B X 50 K",50,1))*I225/1000)</f>
        <v>0</v>
      </c>
      <c r="Z225" s="296">
        <f t="shared" si="118"/>
        <v>0</v>
      </c>
      <c r="AA225" s="297">
        <f t="shared" si="131"/>
        <v>0</v>
      </c>
      <c r="AB225" s="297">
        <f t="shared" si="112"/>
        <v>0</v>
      </c>
      <c r="AC225" s="541" t="str">
        <f>$AC$8</f>
        <v xml:space="preserve">Ton. Lote Acu : </v>
      </c>
      <c r="AD225" s="544">
        <f>SUM($V$5:$V228)*$A$1/1000000</f>
        <v>0</v>
      </c>
      <c r="AE225" s="543">
        <f>AE218+(AE222/1000000*7*(I222+I228)/2)</f>
        <v>0</v>
      </c>
      <c r="AF225" s="542">
        <f>IF(AND(AE225&gt;0,AD225&gt;0),(AD225/AE225-1)*100,0)</f>
        <v>0</v>
      </c>
      <c r="AG225" s="317" t="str">
        <f>PROD!$AG$8</f>
        <v xml:space="preserve">Masa Ac A. A (Kg) : </v>
      </c>
      <c r="AH225" s="318">
        <f>IF(PROD!$K$2&gt;0,SUM(PROD!L$5:L228)*LOOKUP(PROD!$A222,TP!$A$6:$A$108,GSh!$BB$6:$BB$108)/1000/PROD!$K$2,0)</f>
        <v>0</v>
      </c>
      <c r="AI225" s="318">
        <f>IFERROR(PROD!P223*LOOKUP(PROD!$A222,TP!$A$6:$A$108,GSh!$BC$6:$BC$108)/1000,0)</f>
        <v>0</v>
      </c>
      <c r="AJ225" s="330">
        <f t="shared" si="129"/>
        <v>0</v>
      </c>
      <c r="AK225" s="2027"/>
      <c r="AL225" s="1284">
        <f t="shared" si="113"/>
        <v>0</v>
      </c>
      <c r="AM225" s="1285"/>
      <c r="AN225" s="1285"/>
      <c r="AO225" s="1285"/>
      <c r="AP225" s="1285"/>
      <c r="AQ225" s="1285"/>
      <c r="AR225" s="1285"/>
      <c r="AS225" s="1286"/>
      <c r="AT225" s="1287"/>
      <c r="AU225" s="1288"/>
      <c r="AV225" s="1289"/>
      <c r="AW225" s="1290"/>
      <c r="AX225" s="1291"/>
      <c r="AY225" s="1291"/>
      <c r="AZ225" s="1292"/>
      <c r="BA225" s="1293"/>
      <c r="BB225" s="1294"/>
      <c r="BC225" s="1295"/>
      <c r="BD225" s="1296">
        <f>BD224+PROD!L225-BA225</f>
        <v>0</v>
      </c>
      <c r="BE225" s="2133"/>
      <c r="BF225" s="507" t="e">
        <f t="shared" si="114"/>
        <v>#VALUE!</v>
      </c>
      <c r="BG225" s="329"/>
      <c r="BH225" s="1018">
        <f t="shared" si="115"/>
        <v>0</v>
      </c>
    </row>
    <row r="226" spans="1:60" ht="15" customHeight="1" x14ac:dyDescent="0.3">
      <c r="A226" s="2033"/>
      <c r="B226" s="287" t="str">
        <f t="shared" si="116"/>
        <v/>
      </c>
      <c r="C226" s="288" t="str">
        <f t="shared" si="111"/>
        <v/>
      </c>
      <c r="D226" s="691"/>
      <c r="E226" s="692"/>
      <c r="F226" s="693"/>
      <c r="G226" s="694"/>
      <c r="H226" s="695"/>
      <c r="I226" s="289">
        <f>I225-SUM($D226:F226)</f>
        <v>0</v>
      </c>
      <c r="J226" s="1234" t="str">
        <f>$J$9</f>
        <v>% Sel Acm :</v>
      </c>
      <c r="K226" s="1231">
        <f>IF(PROD!$K$2&gt;0,SUM(E$5:E228)/PROD!$K$2,0)</f>
        <v>0</v>
      </c>
      <c r="L226" s="1246"/>
      <c r="M226" s="291">
        <f t="shared" si="130"/>
        <v>0</v>
      </c>
      <c r="N226" s="292" t="str">
        <f>$N$9</f>
        <v xml:space="preserve">Uniformidad (10% -) : </v>
      </c>
      <c r="O226" s="320">
        <f>LOOKUP($A222,'Pr-Sem'!$A$6:$A$108,'Pr-Sem'!$AH$6:$AH$108)</f>
        <v>0</v>
      </c>
      <c r="P226" s="320">
        <v>5</v>
      </c>
      <c r="Q226" s="321">
        <f>IF(AND(P226&gt;0,O226&gt;0),(1-O226/P226)*100,0)</f>
        <v>0</v>
      </c>
      <c r="R226" s="699"/>
      <c r="S226" s="762"/>
      <c r="T226" s="765">
        <f t="shared" si="122"/>
        <v>0</v>
      </c>
      <c r="U226" s="700"/>
      <c r="V226" s="701"/>
      <c r="W226" s="701"/>
      <c r="X226" s="295">
        <f t="shared" si="117"/>
        <v>0</v>
      </c>
      <c r="Y226" s="296">
        <f>IF(AA226&gt;0,V226,AE222/IF(Iniciar!$C$25="B X 40 K",40,IF(Iniciar!$C$25="B X 50 K",50,1))*I226/1000)</f>
        <v>0</v>
      </c>
      <c r="Z226" s="296">
        <f t="shared" si="118"/>
        <v>0</v>
      </c>
      <c r="AA226" s="297">
        <f t="shared" si="131"/>
        <v>0</v>
      </c>
      <c r="AB226" s="297">
        <f t="shared" si="112"/>
        <v>0</v>
      </c>
      <c r="AC226" s="2035" t="str">
        <f>$AC$9</f>
        <v xml:space="preserve">Total Litros Sem: </v>
      </c>
      <c r="AD226" s="2036"/>
      <c r="AE226" s="2050">
        <f>SUM(R222:R228)</f>
        <v>0</v>
      </c>
      <c r="AF226" s="2051"/>
      <c r="AG226" s="554" t="str">
        <f>$AG$9</f>
        <v xml:space="preserve">Indicador Eficiencia : </v>
      </c>
      <c r="AH226" s="555">
        <f>IF(AND(AE226&gt;0,O223&gt;0,O224&gt;0,SUM(L222:L228)&gt;0),(PROD!AH225/O223)*K228*100/(AE226/(SUM(L222:L228)*O224/1000)),0)</f>
        <v>0</v>
      </c>
      <c r="AI226" s="555">
        <f>IF(AND(P223&gt;0,PROD!AI224&gt;0),(PROD!AI225/P223)*(1-K227)*100/(AE223/PROD!AI224),0)</f>
        <v>0</v>
      </c>
      <c r="AJ226" s="331">
        <f t="shared" si="129"/>
        <v>0</v>
      </c>
      <c r="AK226" s="2027"/>
      <c r="AL226" s="1284">
        <f t="shared" si="113"/>
        <v>0</v>
      </c>
      <c r="AM226" s="1285"/>
      <c r="AN226" s="1285"/>
      <c r="AO226" s="1285"/>
      <c r="AP226" s="1285"/>
      <c r="AQ226" s="1285"/>
      <c r="AR226" s="1285"/>
      <c r="AS226" s="1286"/>
      <c r="AT226" s="1287"/>
      <c r="AU226" s="1288"/>
      <c r="AV226" s="1289"/>
      <c r="AW226" s="1290"/>
      <c r="AX226" s="1291"/>
      <c r="AY226" s="1291"/>
      <c r="AZ226" s="1292"/>
      <c r="BA226" s="1293"/>
      <c r="BB226" s="1294"/>
      <c r="BC226" s="1295"/>
      <c r="BD226" s="1296">
        <f>BD225+PROD!L226-BA226</f>
        <v>0</v>
      </c>
      <c r="BE226" s="2133"/>
      <c r="BF226" s="507" t="e">
        <f t="shared" si="114"/>
        <v>#VALUE!</v>
      </c>
      <c r="BG226" s="329"/>
      <c r="BH226" s="1018">
        <f t="shared" si="115"/>
        <v>0</v>
      </c>
    </row>
    <row r="227" spans="1:60" ht="15" customHeight="1" x14ac:dyDescent="0.3">
      <c r="A227" s="2033"/>
      <c r="B227" s="287" t="str">
        <f t="shared" si="116"/>
        <v/>
      </c>
      <c r="C227" s="288" t="str">
        <f t="shared" si="111"/>
        <v/>
      </c>
      <c r="D227" s="691"/>
      <c r="E227" s="692"/>
      <c r="F227" s="693"/>
      <c r="G227" s="694"/>
      <c r="H227" s="695"/>
      <c r="I227" s="289">
        <f>I226-SUM($D227:F227)</f>
        <v>0</v>
      </c>
      <c r="J227" s="1237" t="str">
        <f>$J$10</f>
        <v>% Mort/Sel Acm Tab :</v>
      </c>
      <c r="K227" s="1238">
        <f>IFERROR(LOOKUP($A222,TP!$A$6:$A$108,GSh!$AR$6:$AR$108)/100,0)</f>
        <v>0</v>
      </c>
      <c r="L227" s="1246"/>
      <c r="M227" s="291">
        <f t="shared" si="130"/>
        <v>0</v>
      </c>
      <c r="N227" s="292" t="str">
        <f>$N$10</f>
        <v xml:space="preserve">Uniformidad (C. Lote) : </v>
      </c>
      <c r="O227" s="320">
        <f>LOOKUP($A222,'Pr-Sem'!$A$6:$A$108,'Pr-Sem'!$AG$6:$AG$108)</f>
        <v>0</v>
      </c>
      <c r="P227" s="320">
        <v>90</v>
      </c>
      <c r="Q227" s="321">
        <f>IF(AND(P227&gt;0,O227&gt;0),(O227/P227-1)*100,0)</f>
        <v>0</v>
      </c>
      <c r="R227" s="699"/>
      <c r="S227" s="762"/>
      <c r="T227" s="765">
        <f t="shared" si="122"/>
        <v>0</v>
      </c>
      <c r="U227" s="700"/>
      <c r="V227" s="701"/>
      <c r="W227" s="701"/>
      <c r="X227" s="295">
        <f t="shared" si="117"/>
        <v>0</v>
      </c>
      <c r="Y227" s="296">
        <f>IF(AA227&gt;0,V227,AE222/IF(Iniciar!$C$25="B X 40 K",40,IF(Iniciar!$C$25="B X 50 K",50,1))*I227/1000)</f>
        <v>0</v>
      </c>
      <c r="Z227" s="296">
        <f t="shared" si="118"/>
        <v>0</v>
      </c>
      <c r="AA227" s="297">
        <f t="shared" si="131"/>
        <v>0</v>
      </c>
      <c r="AB227" s="297">
        <f t="shared" si="112"/>
        <v>0</v>
      </c>
      <c r="AC227" s="2037" t="str">
        <f>$AC$10</f>
        <v xml:space="preserve">Cons ml /ave día: </v>
      </c>
      <c r="AD227" s="2038"/>
      <c r="AE227" s="2056">
        <f>IFERROR(SUMPRODUCT(AB222:AB228,I222:I228)/SUM(I222:I228),0)</f>
        <v>0</v>
      </c>
      <c r="AF227" s="2057"/>
      <c r="AG227" s="311" t="str">
        <f>CONCATENATE("Costo ",Iniciar!$C$25," : ")</f>
        <v xml:space="preserve">Costo Kilos : </v>
      </c>
      <c r="AH227" s="2043">
        <f>IFERROR(SUMPRODUCT(T222:T228,V222:V228)/SUMIF(T222:T228,"&gt;0",V222:V228),0)</f>
        <v>0</v>
      </c>
      <c r="AI227" s="2043"/>
      <c r="AJ227" s="313"/>
      <c r="AK227" s="2027"/>
      <c r="AL227" s="1284">
        <f t="shared" si="113"/>
        <v>0</v>
      </c>
      <c r="AM227" s="1285"/>
      <c r="AN227" s="1285"/>
      <c r="AO227" s="1285"/>
      <c r="AP227" s="1285"/>
      <c r="AQ227" s="1285"/>
      <c r="AR227" s="1285"/>
      <c r="AS227" s="1286"/>
      <c r="AT227" s="1287"/>
      <c r="AU227" s="1288"/>
      <c r="AV227" s="1289"/>
      <c r="AW227" s="1290"/>
      <c r="AX227" s="1291"/>
      <c r="AY227" s="1291"/>
      <c r="AZ227" s="1292"/>
      <c r="BA227" s="1293"/>
      <c r="BB227" s="1294"/>
      <c r="BC227" s="1295"/>
      <c r="BD227" s="1296">
        <f>BD226+PROD!L227-BA227</f>
        <v>0</v>
      </c>
      <c r="BE227" s="2133"/>
      <c r="BF227" s="507" t="e">
        <f t="shared" si="114"/>
        <v>#VALUE!</v>
      </c>
      <c r="BG227" s="329"/>
      <c r="BH227" s="1018">
        <f t="shared" si="115"/>
        <v>0</v>
      </c>
    </row>
    <row r="228" spans="1:60" ht="15" customHeight="1" x14ac:dyDescent="0.3">
      <c r="A228" s="2034"/>
      <c r="B228" s="287" t="str">
        <f t="shared" si="116"/>
        <v/>
      </c>
      <c r="C228" s="288" t="str">
        <f t="shared" si="111"/>
        <v/>
      </c>
      <c r="D228" s="691"/>
      <c r="E228" s="692"/>
      <c r="F228" s="693"/>
      <c r="G228" s="694"/>
      <c r="H228" s="695"/>
      <c r="I228" s="289">
        <f>I227-SUM($D228:F228)</f>
        <v>0</v>
      </c>
      <c r="J228" s="1239" t="str">
        <f>$J$11</f>
        <v>% Viabilidad :</v>
      </c>
      <c r="K228" s="1240">
        <f>IF(OR(SUM(L222:L228)&gt;0,SUM(V222:V228)&gt;0),1-(K225+K226),0)</f>
        <v>0</v>
      </c>
      <c r="L228" s="1247"/>
      <c r="M228" s="1248">
        <f>IF(I228&gt;0,(L228/IF(SUM(L222:L227)&gt;0,1,7))/I228,0)</f>
        <v>0</v>
      </c>
      <c r="N228" s="1249" t="str">
        <f>$N$11</f>
        <v xml:space="preserve">Uniformidad (10% +) : </v>
      </c>
      <c r="O228" s="1250">
        <f>IF(O226&gt;0,IF(O227&gt;0,100-SUM(O226:O227),0),0)</f>
        <v>0</v>
      </c>
      <c r="P228" s="1251">
        <f>100-SUM(P226:P227)</f>
        <v>5</v>
      </c>
      <c r="Q228" s="1252">
        <f>IF(AND(P228&gt;0,O228&gt;0),(O228/P228-1)*100,0)</f>
        <v>0</v>
      </c>
      <c r="R228" s="699"/>
      <c r="S228" s="762"/>
      <c r="T228" s="765">
        <f t="shared" si="122"/>
        <v>0</v>
      </c>
      <c r="U228" s="700"/>
      <c r="V228" s="701"/>
      <c r="W228" s="701"/>
      <c r="X228" s="295">
        <f t="shared" si="117"/>
        <v>0</v>
      </c>
      <c r="Y228" s="296">
        <f>IF(AA228&gt;0,V228,AE222/IF(Iniciar!$C$25="B X 40 K",40,IF(Iniciar!$C$25="B X 50 K",50,1))*I228/1000)</f>
        <v>0</v>
      </c>
      <c r="Z228" s="296">
        <f t="shared" si="118"/>
        <v>0</v>
      </c>
      <c r="AA228" s="297">
        <f>IF(I228&gt;0,(V228/IF(SUM(V222:V227)&gt;0,1,7))*$A$1/I228,0)</f>
        <v>0</v>
      </c>
      <c r="AB228" s="297">
        <f t="shared" si="112"/>
        <v>0</v>
      </c>
      <c r="AC228" s="2039" t="str">
        <f>$AC$11</f>
        <v xml:space="preserve">Relación Agua /Alimto: </v>
      </c>
      <c r="AD228" s="2040"/>
      <c r="AE228" s="2058">
        <f>IFERROR(AE227/AD222,0)</f>
        <v>0</v>
      </c>
      <c r="AF228" s="2059"/>
      <c r="AG228" s="1269" t="s">
        <v>237</v>
      </c>
      <c r="AH228" s="1270">
        <f>IF(SUM(L222:L228)&gt;0,AH227*SUM(V222:V228)/SUM(L222:L228),0)</f>
        <v>0</v>
      </c>
      <c r="AI228" s="1270">
        <f>IF(AND($A$1&gt;0,P222&gt;0),AH227/$A$1*(AE222/P222)*100,0)</f>
        <v>0</v>
      </c>
      <c r="AJ228" s="1271">
        <f t="shared" ref="AJ228:AJ233" si="132">IF(AND(AI228&gt;0,AH228&gt;0),(AH228/AI228-1)*100,0)</f>
        <v>0</v>
      </c>
      <c r="AK228" s="2028"/>
      <c r="AL228" s="1284">
        <f t="shared" si="113"/>
        <v>0</v>
      </c>
      <c r="AM228" s="1285"/>
      <c r="AN228" s="1285"/>
      <c r="AO228" s="1285"/>
      <c r="AP228" s="1285"/>
      <c r="AQ228" s="1285"/>
      <c r="AR228" s="1285"/>
      <c r="AS228" s="1286"/>
      <c r="AT228" s="1287"/>
      <c r="AU228" s="1288"/>
      <c r="AV228" s="1289"/>
      <c r="AW228" s="1290"/>
      <c r="AX228" s="1291"/>
      <c r="AY228" s="1291"/>
      <c r="AZ228" s="1292"/>
      <c r="BA228" s="1293"/>
      <c r="BB228" s="1294"/>
      <c r="BC228" s="1295"/>
      <c r="BD228" s="1296">
        <f>BD227+PROD!L228-BA228</f>
        <v>0</v>
      </c>
      <c r="BE228" s="2134"/>
      <c r="BF228" s="507" t="e">
        <f t="shared" si="114"/>
        <v>#VALUE!</v>
      </c>
      <c r="BG228" s="329"/>
      <c r="BH228" s="1018">
        <f t="shared" si="115"/>
        <v>0</v>
      </c>
    </row>
    <row r="229" spans="1:60" ht="15" customHeight="1" x14ac:dyDescent="0.3">
      <c r="A229" s="2032">
        <f>A222+1</f>
        <v>50</v>
      </c>
      <c r="B229" s="287" t="str">
        <f t="shared" si="116"/>
        <v/>
      </c>
      <c r="C229" s="288" t="str">
        <f t="shared" si="111"/>
        <v/>
      </c>
      <c r="D229" s="691"/>
      <c r="E229" s="692"/>
      <c r="F229" s="693"/>
      <c r="G229" s="694"/>
      <c r="H229" s="695"/>
      <c r="I229" s="289">
        <f>I228-SUM($D229:F229)</f>
        <v>0</v>
      </c>
      <c r="J229" s="1232" t="str">
        <f>$J$5</f>
        <v>% Mort Sem :</v>
      </c>
      <c r="K229" s="1233">
        <f>IF(PROD!$K$2&gt;0,SUM(D229:D235)/PROD!$K$2,0)</f>
        <v>0</v>
      </c>
      <c r="L229" s="1241"/>
      <c r="M229" s="1242">
        <f t="shared" ref="M229:M234" si="133">IF(I229&gt;0,L229/I229,0)</f>
        <v>0</v>
      </c>
      <c r="N229" s="1243" t="str">
        <f>$N$5</f>
        <v xml:space="preserve">% Pdn prom semana : </v>
      </c>
      <c r="O229" s="1244">
        <f>IF(SUM(L229:L234)&gt;0,100*SUMPRODUCT(M229:M235,I229:I235)/SUMIF(L229:L235,"&gt;0",I229:I235),IF(L235&gt;0,100*L235/7/I235,0))</f>
        <v>0</v>
      </c>
      <c r="P229" s="1244">
        <f>IFERROR(LOOKUP($A229,TP!$A$6:$A$108,GSh!$AE$6:$AE$108),0)</f>
        <v>0</v>
      </c>
      <c r="Q229" s="1245">
        <f>IF(AND(P229&gt;0,O229&gt;0),O229-P229,0)</f>
        <v>0</v>
      </c>
      <c r="R229" s="699"/>
      <c r="S229" s="762"/>
      <c r="T229" s="765">
        <f t="shared" si="122"/>
        <v>0</v>
      </c>
      <c r="U229" s="700"/>
      <c r="V229" s="701"/>
      <c r="W229" s="701"/>
      <c r="X229" s="295">
        <f t="shared" si="117"/>
        <v>0</v>
      </c>
      <c r="Y229" s="296">
        <f>IF(AA229&gt;0,V229,AE229/IF(Iniciar!$C$25="B X 40 K",40,IF(Iniciar!$C$25="B X 50 K",50,1))*I229/1000)</f>
        <v>0</v>
      </c>
      <c r="Z229" s="296">
        <f t="shared" si="118"/>
        <v>0</v>
      </c>
      <c r="AA229" s="297">
        <f t="shared" ref="AA229:AA234" si="134">IF(I229&gt;0,V229*$A$1/I229,0)</f>
        <v>0</v>
      </c>
      <c r="AB229" s="297">
        <f t="shared" si="112"/>
        <v>0</v>
      </c>
      <c r="AC229" s="1261" t="str">
        <f>$AC$5</f>
        <v>Gr. Ave Dia :</v>
      </c>
      <c r="AD229" s="1262">
        <f>IF(SUMIF(V229:V235,"&gt;0")&gt;0,SUMPRODUCT(AA229:AA235,I229:I235)/SUMIF(AA229:AA235,"&gt;0",I229:I235),0)</f>
        <v>0</v>
      </c>
      <c r="AE229" s="1262">
        <f>IFERROR(LOOKUP($A229,TP!$A$6:$A$108,GSh!$AU$6:$AU$108),0)</f>
        <v>0</v>
      </c>
      <c r="AF229" s="1263">
        <f>IF(AND(AE229&gt;0,AD229&gt;0),(AD229/AE229-1)*100,0)</f>
        <v>0</v>
      </c>
      <c r="AG229" s="1264" t="str">
        <f>PROD!$AG$5</f>
        <v>Gr X H</v>
      </c>
      <c r="AH229" s="1265">
        <f>IF(PROD!O229&gt;0,IF($AG229="Gr X H",PROD!AD229/PROD!O229*100,IF($AG229="Conv Kg/Doc",PROD!AD229/PROD!O229*1.2,IF(PROD!$O231&gt;0,PROD!AD229/(PROD!O229*PROD!$O231)*100,0))),0)</f>
        <v>0</v>
      </c>
      <c r="AI229" s="1265">
        <f>IF(PROD!P229&gt;0,IF($AG229="Gr X H",PROD!AE229/PROD!P229*100,IF($AG229="Conv Kg/Doc",PROD!AE229/PROD!P229*1.2,IF(PROD!$P231&gt;0,PROD!AE229/(PROD!P229*PROD!$P231)*100,0))),0)</f>
        <v>0</v>
      </c>
      <c r="AJ229" s="1266">
        <f t="shared" si="132"/>
        <v>0</v>
      </c>
      <c r="AK229" s="2026"/>
      <c r="AL229" s="1284">
        <f t="shared" si="113"/>
        <v>0</v>
      </c>
      <c r="AM229" s="1285"/>
      <c r="AN229" s="1285"/>
      <c r="AO229" s="1285"/>
      <c r="AP229" s="1285"/>
      <c r="AQ229" s="1285"/>
      <c r="AR229" s="1285"/>
      <c r="AS229" s="1286"/>
      <c r="AT229" s="1287"/>
      <c r="AU229" s="1288"/>
      <c r="AV229" s="1289"/>
      <c r="AW229" s="1290"/>
      <c r="AX229" s="1291"/>
      <c r="AY229" s="1291"/>
      <c r="AZ229" s="1292"/>
      <c r="BA229" s="1293"/>
      <c r="BB229" s="1294"/>
      <c r="BC229" s="1295"/>
      <c r="BD229" s="1296">
        <f>BD228+PROD!L229-BA229</f>
        <v>0</v>
      </c>
      <c r="BE229" s="2132">
        <f>IF(SUM(AM229:AZ235)&gt;0,(SUM(AM229:AM235)*$AM$2+SUM(AN229:AN235)*$AN$2+SUM(AO229:AO235)*$AO$2+SUM(AP229:AP235)*$AP$2+SUM(AQ229:AQ235)*$AQ$2+SUM(AR229:AR235)*$AR$2+SUM(AS229:AS235)*$AS$2+SUM(AW229:AW235)*$AW$2+SUM(AX229:AX235)*$AX$2+SUM(AY229:AY235)*$AY$2+SUM(AZ229:AZ235)*$AZ$2+SUM(AT229:AT235)*$AT$2+SUM(AU229:AU235)*$AU$2+SUM(AV229:AV235)*$AV$2)/SUM(AM229:AZ235),0)</f>
        <v>0</v>
      </c>
      <c r="BF229" s="507" t="e">
        <f t="shared" si="114"/>
        <v>#VALUE!</v>
      </c>
      <c r="BG229" s="277">
        <f>IF(SUM(L229:L235)&gt;0,A229,IF(SUM(V229:V235)&gt;0,A229,BG222))</f>
        <v>0</v>
      </c>
      <c r="BH229" s="1018">
        <f t="shared" si="115"/>
        <v>0</v>
      </c>
    </row>
    <row r="230" spans="1:60" ht="15" customHeight="1" x14ac:dyDescent="0.3">
      <c r="A230" s="2033"/>
      <c r="B230" s="287" t="str">
        <f t="shared" si="116"/>
        <v/>
      </c>
      <c r="C230" s="288" t="str">
        <f t="shared" si="111"/>
        <v/>
      </c>
      <c r="D230" s="691"/>
      <c r="E230" s="692"/>
      <c r="F230" s="693"/>
      <c r="G230" s="694"/>
      <c r="H230" s="695"/>
      <c r="I230" s="289">
        <f>I229-SUM($D230:F230)</f>
        <v>0</v>
      </c>
      <c r="J230" s="1234" t="str">
        <f>$J$6</f>
        <v>% Sel Sem :</v>
      </c>
      <c r="K230" s="1231">
        <f>IF(PROD!$K$2&gt;0,SUM(E229:E235)/PROD!$K$2,0)</f>
        <v>0</v>
      </c>
      <c r="L230" s="1246"/>
      <c r="M230" s="291">
        <f t="shared" si="133"/>
        <v>0</v>
      </c>
      <c r="N230" s="292" t="str">
        <f>$N$6</f>
        <v xml:space="preserve">H. Ave Alojada : </v>
      </c>
      <c r="O230" s="293">
        <f>IF(AND(PROD!$K$2&gt;0,O229&gt;0),SUM(L$5:L235)/PROD!$K$2,0)</f>
        <v>0</v>
      </c>
      <c r="P230" s="293">
        <f>IFERROR(LOOKUP($A229,TP!$A$6:$A$108,GSh!$AJ$6:$AJ$108),0)</f>
        <v>0</v>
      </c>
      <c r="Q230" s="294">
        <f>IF(AND(P230&gt;0,O230&gt;0),O230-P230,0)</f>
        <v>0</v>
      </c>
      <c r="R230" s="699"/>
      <c r="S230" s="762"/>
      <c r="T230" s="765">
        <f t="shared" si="122"/>
        <v>0</v>
      </c>
      <c r="U230" s="700"/>
      <c r="V230" s="701"/>
      <c r="W230" s="701"/>
      <c r="X230" s="295">
        <f t="shared" si="117"/>
        <v>0</v>
      </c>
      <c r="Y230" s="296">
        <f>IF(AA230&gt;0,V230,AE229/IF(Iniciar!$C$25="B X 40 K",40,IF(Iniciar!$C$25="B X 50 K",50,1))*I230/1000)</f>
        <v>0</v>
      </c>
      <c r="Z230" s="296">
        <f t="shared" si="118"/>
        <v>0</v>
      </c>
      <c r="AA230" s="297">
        <f t="shared" si="134"/>
        <v>0</v>
      </c>
      <c r="AB230" s="297">
        <f t="shared" si="112"/>
        <v>0</v>
      </c>
      <c r="AC230" s="1267" t="str">
        <f>$AC$6</f>
        <v>Gr. Ave Sem :</v>
      </c>
      <c r="AD230" s="284">
        <f>AD229*7</f>
        <v>0</v>
      </c>
      <c r="AE230" s="284">
        <f>AE229*7</f>
        <v>0</v>
      </c>
      <c r="AF230" s="285">
        <f>IF(AND(AE230&gt;0,AD230&gt;0),(AD230/AE230-1)*100,0)</f>
        <v>0</v>
      </c>
      <c r="AG230" s="1199" t="str">
        <f>PROD!$AG$6</f>
        <v>Gr X H Acm</v>
      </c>
      <c r="AH230" s="298">
        <f>IF(SUM(PROD!L229:L235)&gt;0,IF(PROD!$AG$5="Gr X H",SUM(PROD!V$5:V235)*PROD!$A$1/SUM(PROD!L$5:L235),IF($AG229="Conv Kg/Doc",(SUM(PROD!V$5:V235)*PROD!$A$1/1000)/(SUM(PROD!L$5:L235)/12),IF(PROD!$O231&gt;0,SUM(PROD!V$5:V235)*PROD!$A$1/(SUM(PROD!L$5:L235)*LOOKUP(PROD!A229,TP!$A$6:$A$108,GSh!$BB$6:$BB$108)),0))),0)</f>
        <v>0</v>
      </c>
      <c r="AI230" s="298">
        <f>IF(PROD!P229&gt;0,IF($AG229="Gr X H",PROD!AE229/PROD!P229*100,IF($AG229="Conv Kg/Doc",PROD!AE229/PROD!P229*1.2,IF(PROD!$P230&gt;0,PROD!AE231/(PROD!P230*LOOKUP(PROD!$A229,TP!$A$6:$A$108,GSh!$BC$6:$BC$108)/1000),0))),0)</f>
        <v>0</v>
      </c>
      <c r="AJ230" s="328">
        <f t="shared" si="132"/>
        <v>0</v>
      </c>
      <c r="AK230" s="2027"/>
      <c r="AL230" s="1284">
        <f t="shared" si="113"/>
        <v>0</v>
      </c>
      <c r="AM230" s="1285"/>
      <c r="AN230" s="1285"/>
      <c r="AO230" s="1285"/>
      <c r="AP230" s="1285"/>
      <c r="AQ230" s="1285"/>
      <c r="AR230" s="1285"/>
      <c r="AS230" s="1286"/>
      <c r="AT230" s="1287"/>
      <c r="AU230" s="1288"/>
      <c r="AV230" s="1289"/>
      <c r="AW230" s="1290"/>
      <c r="AX230" s="1291"/>
      <c r="AY230" s="1291"/>
      <c r="AZ230" s="1292"/>
      <c r="BA230" s="1293"/>
      <c r="BB230" s="1294"/>
      <c r="BC230" s="1295"/>
      <c r="BD230" s="1296">
        <f>BD229+PROD!L230-BA230</f>
        <v>0</v>
      </c>
      <c r="BE230" s="2133"/>
      <c r="BF230" s="507" t="e">
        <f t="shared" si="114"/>
        <v>#VALUE!</v>
      </c>
      <c r="BG230" s="329"/>
      <c r="BH230" s="1018">
        <f t="shared" si="115"/>
        <v>0</v>
      </c>
    </row>
    <row r="231" spans="1:60" ht="15" customHeight="1" x14ac:dyDescent="0.3">
      <c r="A231" s="2033"/>
      <c r="B231" s="287" t="str">
        <f t="shared" si="116"/>
        <v/>
      </c>
      <c r="C231" s="288" t="str">
        <f t="shared" si="111"/>
        <v/>
      </c>
      <c r="D231" s="691"/>
      <c r="E231" s="692"/>
      <c r="F231" s="693"/>
      <c r="G231" s="694"/>
      <c r="H231" s="695"/>
      <c r="I231" s="289">
        <f>I230-SUM($D231:F231)</f>
        <v>0</v>
      </c>
      <c r="J231" s="1235" t="str">
        <f>$J$7</f>
        <v>% Mort/Sel Sem Tab :</v>
      </c>
      <c r="K231" s="1236">
        <f>K234-K227</f>
        <v>0</v>
      </c>
      <c r="L231" s="1246"/>
      <c r="M231" s="291">
        <f t="shared" si="133"/>
        <v>0</v>
      </c>
      <c r="N231" s="304" t="str">
        <f>$N$7</f>
        <v xml:space="preserve">Peso Huevo (Gr) : </v>
      </c>
      <c r="O231" s="305">
        <f>LOOKUP($A229,'Pr-Sem'!$A$6:$A$108,'Pr-Sem'!$Z$6:$Z$108)</f>
        <v>0</v>
      </c>
      <c r="P231" s="305">
        <f>IFERROR(LOOKUP($A229,TP!$A$6:$A$108,GSh!$AZ$6:$AZ$108),0)</f>
        <v>0</v>
      </c>
      <c r="Q231" s="306">
        <f>IF(AND(P231&gt;0,O231&gt;0),O231-P231,0)</f>
        <v>0</v>
      </c>
      <c r="R231" s="699"/>
      <c r="S231" s="762"/>
      <c r="T231" s="765">
        <f t="shared" si="122"/>
        <v>0</v>
      </c>
      <c r="U231" s="700"/>
      <c r="V231" s="701"/>
      <c r="W231" s="701"/>
      <c r="X231" s="295">
        <f t="shared" si="117"/>
        <v>0</v>
      </c>
      <c r="Y231" s="296">
        <f>IF(AA231&gt;0,V231,AE229/IF(Iniciar!$C$25="B X 40 K",40,IF(Iniciar!$C$25="B X 50 K",50,1))*I231/1000)</f>
        <v>0</v>
      </c>
      <c r="Z231" s="296">
        <f t="shared" si="118"/>
        <v>0</v>
      </c>
      <c r="AA231" s="297">
        <f t="shared" si="134"/>
        <v>0</v>
      </c>
      <c r="AB231" s="297">
        <f t="shared" si="112"/>
        <v>0</v>
      </c>
      <c r="AC231" s="1268" t="str">
        <f>$AC$7</f>
        <v>Kg Ave Acu :</v>
      </c>
      <c r="AD231" s="308">
        <f>IF(OR(SUM(L229:L235)&gt;0,SUM(V229:V235)&gt;0),AD230/1000+AD224,0)</f>
        <v>0</v>
      </c>
      <c r="AE231" s="309">
        <f>AE230/1000+AE224</f>
        <v>0</v>
      </c>
      <c r="AF231" s="310">
        <f>IF(AND(AE231&gt;0,AD231&gt;0),(AD231/AE231-1)*100,0)</f>
        <v>0</v>
      </c>
      <c r="AG231" s="311" t="str">
        <f>PROD!$AG$7</f>
        <v xml:space="preserve">Masa Sem H (Gr) : </v>
      </c>
      <c r="AH231" s="312">
        <f>PROD!O229/100*7*PROD!O231</f>
        <v>0</v>
      </c>
      <c r="AI231" s="312">
        <f>PROD!P229/100*7*PROD!P231</f>
        <v>0</v>
      </c>
      <c r="AJ231" s="313">
        <f t="shared" si="132"/>
        <v>0</v>
      </c>
      <c r="AK231" s="2027"/>
      <c r="AL231" s="1284">
        <f t="shared" si="113"/>
        <v>0</v>
      </c>
      <c r="AM231" s="1285"/>
      <c r="AN231" s="1285"/>
      <c r="AO231" s="1285"/>
      <c r="AP231" s="1285"/>
      <c r="AQ231" s="1285"/>
      <c r="AR231" s="1285"/>
      <c r="AS231" s="1286"/>
      <c r="AT231" s="1287"/>
      <c r="AU231" s="1288"/>
      <c r="AV231" s="1289"/>
      <c r="AW231" s="1290"/>
      <c r="AX231" s="1291"/>
      <c r="AY231" s="1291"/>
      <c r="AZ231" s="1292"/>
      <c r="BA231" s="1293"/>
      <c r="BB231" s="1294"/>
      <c r="BC231" s="1295"/>
      <c r="BD231" s="1296">
        <f>BD230+PROD!L231-BA231</f>
        <v>0</v>
      </c>
      <c r="BE231" s="2133"/>
      <c r="BF231" s="507" t="e">
        <f t="shared" si="114"/>
        <v>#VALUE!</v>
      </c>
      <c r="BG231" s="329"/>
      <c r="BH231" s="1018">
        <f t="shared" si="115"/>
        <v>0</v>
      </c>
    </row>
    <row r="232" spans="1:60" ht="15" customHeight="1" x14ac:dyDescent="0.3">
      <c r="A232" s="2033"/>
      <c r="B232" s="287" t="str">
        <f t="shared" si="116"/>
        <v/>
      </c>
      <c r="C232" s="288" t="str">
        <f t="shared" si="111"/>
        <v/>
      </c>
      <c r="D232" s="691"/>
      <c r="E232" s="692"/>
      <c r="F232" s="693"/>
      <c r="G232" s="694"/>
      <c r="H232" s="695"/>
      <c r="I232" s="289">
        <f>I231-SUM($D232:F232)</f>
        <v>0</v>
      </c>
      <c r="J232" s="1234" t="str">
        <f>$J$8</f>
        <v>% Mort Acm :</v>
      </c>
      <c r="K232" s="1231">
        <f>IF(PROD!$K$2&gt;0,SUM(D$5:D235)/PROD!$K$2,0)</f>
        <v>0</v>
      </c>
      <c r="L232" s="1246"/>
      <c r="M232" s="291">
        <f t="shared" si="133"/>
        <v>0</v>
      </c>
      <c r="N232" s="314" t="str">
        <f>N$8</f>
        <v xml:space="preserve">Peso Ave (Gr) : </v>
      </c>
      <c r="O232" s="315">
        <f>LOOKUP($A229,GSh!$BV$6:$BV$108,GSh!$BJ$6:$BJ$108)</f>
        <v>0</v>
      </c>
      <c r="P232" s="315">
        <f>IFERROR(LOOKUP($A229,TP!$A$6:$A$108,GSh!$BK$6:$BK$108),0)</f>
        <v>0</v>
      </c>
      <c r="Q232" s="316">
        <f>IF(AND(P232&gt;0,O232&gt;0),(O232/P232-1)*100,0)</f>
        <v>0</v>
      </c>
      <c r="R232" s="699"/>
      <c r="S232" s="762"/>
      <c r="T232" s="765">
        <f t="shared" si="122"/>
        <v>0</v>
      </c>
      <c r="U232" s="700"/>
      <c r="V232" s="701"/>
      <c r="W232" s="701"/>
      <c r="X232" s="295">
        <f t="shared" si="117"/>
        <v>0</v>
      </c>
      <c r="Y232" s="296">
        <f>IF(AA232&gt;0,V232,AE229/IF(Iniciar!$C$25="B X 40 K",40,IF(Iniciar!$C$25="B X 50 K",50,1))*I232/1000)</f>
        <v>0</v>
      </c>
      <c r="Z232" s="296">
        <f t="shared" si="118"/>
        <v>0</v>
      </c>
      <c r="AA232" s="297">
        <f t="shared" si="134"/>
        <v>0</v>
      </c>
      <c r="AB232" s="297">
        <f t="shared" si="112"/>
        <v>0</v>
      </c>
      <c r="AC232" s="541" t="str">
        <f>$AC$8</f>
        <v xml:space="preserve">Ton. Lote Acu : </v>
      </c>
      <c r="AD232" s="544">
        <f>SUM($V$5:$V235)*$A$1/1000000</f>
        <v>0</v>
      </c>
      <c r="AE232" s="543">
        <f>AE225+(AE229/1000000*7*(I229+I235)/2)</f>
        <v>0</v>
      </c>
      <c r="AF232" s="542">
        <f>IF(AND(AE232&gt;0,AD232&gt;0),(AD232/AE232-1)*100,0)</f>
        <v>0</v>
      </c>
      <c r="AG232" s="317" t="str">
        <f>PROD!$AG$8</f>
        <v xml:space="preserve">Masa Ac A. A (Kg) : </v>
      </c>
      <c r="AH232" s="318">
        <f>IF(PROD!$K$2&gt;0,SUM(PROD!L$5:L235)*LOOKUP(PROD!$A229,TP!$A$6:$A$108,GSh!$BB$6:$BB$108)/1000/PROD!$K$2,0)</f>
        <v>0</v>
      </c>
      <c r="AI232" s="318">
        <f>IFERROR(PROD!P230*LOOKUP(PROD!$A229,TP!$A$6:$A$108,GSh!$BC$6:$BC$108)/1000,0)</f>
        <v>0</v>
      </c>
      <c r="AJ232" s="330">
        <f t="shared" si="132"/>
        <v>0</v>
      </c>
      <c r="AK232" s="2027"/>
      <c r="AL232" s="1284">
        <f t="shared" si="113"/>
        <v>0</v>
      </c>
      <c r="AM232" s="1285"/>
      <c r="AN232" s="1285"/>
      <c r="AO232" s="1285"/>
      <c r="AP232" s="1285"/>
      <c r="AQ232" s="1285"/>
      <c r="AR232" s="1285"/>
      <c r="AS232" s="1286"/>
      <c r="AT232" s="1287"/>
      <c r="AU232" s="1288"/>
      <c r="AV232" s="1289"/>
      <c r="AW232" s="1290"/>
      <c r="AX232" s="1291"/>
      <c r="AY232" s="1291"/>
      <c r="AZ232" s="1292"/>
      <c r="BA232" s="1293"/>
      <c r="BB232" s="1294"/>
      <c r="BC232" s="1295"/>
      <c r="BD232" s="1296">
        <f>BD231+PROD!L232-BA232</f>
        <v>0</v>
      </c>
      <c r="BE232" s="2133"/>
      <c r="BF232" s="507" t="e">
        <f t="shared" si="114"/>
        <v>#VALUE!</v>
      </c>
      <c r="BG232" s="329"/>
      <c r="BH232" s="1018">
        <f t="shared" si="115"/>
        <v>0</v>
      </c>
    </row>
    <row r="233" spans="1:60" ht="15" customHeight="1" x14ac:dyDescent="0.3">
      <c r="A233" s="2033"/>
      <c r="B233" s="287" t="str">
        <f t="shared" si="116"/>
        <v/>
      </c>
      <c r="C233" s="288" t="str">
        <f t="shared" si="111"/>
        <v/>
      </c>
      <c r="D233" s="691"/>
      <c r="E233" s="692"/>
      <c r="F233" s="693"/>
      <c r="G233" s="694"/>
      <c r="H233" s="695"/>
      <c r="I233" s="289">
        <f>I232-SUM($D233:F233)</f>
        <v>0</v>
      </c>
      <c r="J233" s="1234" t="str">
        <f>$J$9</f>
        <v>% Sel Acm :</v>
      </c>
      <c r="K233" s="1231">
        <f>IF(PROD!$K$2&gt;0,SUM(E$5:E235)/PROD!$K$2,0)</f>
        <v>0</v>
      </c>
      <c r="L233" s="1246"/>
      <c r="M233" s="291">
        <f t="shared" si="133"/>
        <v>0</v>
      </c>
      <c r="N233" s="292" t="str">
        <f>$N$9</f>
        <v xml:space="preserve">Uniformidad (10% -) : </v>
      </c>
      <c r="O233" s="320">
        <f>LOOKUP($A229,'Pr-Sem'!$A$6:$A$108,'Pr-Sem'!$AH$6:$AH$108)</f>
        <v>0</v>
      </c>
      <c r="P233" s="320">
        <v>5</v>
      </c>
      <c r="Q233" s="321">
        <f>IF(AND(P233&gt;0,O233&gt;0),(1-O233/P233)*100,0)</f>
        <v>0</v>
      </c>
      <c r="R233" s="699"/>
      <c r="S233" s="762"/>
      <c r="T233" s="765">
        <f t="shared" si="122"/>
        <v>0</v>
      </c>
      <c r="U233" s="700"/>
      <c r="V233" s="701"/>
      <c r="W233" s="701"/>
      <c r="X233" s="295">
        <f t="shared" si="117"/>
        <v>0</v>
      </c>
      <c r="Y233" s="296">
        <f>IF(AA233&gt;0,V233,AE229/IF(Iniciar!$C$25="B X 40 K",40,IF(Iniciar!$C$25="B X 50 K",50,1))*I233/1000)</f>
        <v>0</v>
      </c>
      <c r="Z233" s="296">
        <f t="shared" si="118"/>
        <v>0</v>
      </c>
      <c r="AA233" s="297">
        <f t="shared" si="134"/>
        <v>0</v>
      </c>
      <c r="AB233" s="297">
        <f t="shared" si="112"/>
        <v>0</v>
      </c>
      <c r="AC233" s="2035" t="str">
        <f>$AC$9</f>
        <v xml:space="preserve">Total Litros Sem: </v>
      </c>
      <c r="AD233" s="2036"/>
      <c r="AE233" s="2050">
        <f>SUM(R229:R235)</f>
        <v>0</v>
      </c>
      <c r="AF233" s="2051"/>
      <c r="AG233" s="554" t="str">
        <f>$AG$9</f>
        <v xml:space="preserve">Indicador Eficiencia : </v>
      </c>
      <c r="AH233" s="555">
        <f>IF(AND(AE233&gt;0,O230&gt;0,O231&gt;0,SUM(L229:L235)&gt;0),(PROD!AH232/O230)*K235*100/(AE233/(SUM(L229:L235)*O231/1000)),0)</f>
        <v>0</v>
      </c>
      <c r="AI233" s="555">
        <f>IF(AND(P230&gt;0,PROD!AI231&gt;0),(PROD!AI232/P230)*(1-K234)*100/(AE230/PROD!AI231),0)</f>
        <v>0</v>
      </c>
      <c r="AJ233" s="331">
        <f t="shared" si="132"/>
        <v>0</v>
      </c>
      <c r="AK233" s="2027"/>
      <c r="AL233" s="1284">
        <f t="shared" si="113"/>
        <v>0</v>
      </c>
      <c r="AM233" s="1285"/>
      <c r="AN233" s="1285"/>
      <c r="AO233" s="1285"/>
      <c r="AP233" s="1285"/>
      <c r="AQ233" s="1285"/>
      <c r="AR233" s="1285"/>
      <c r="AS233" s="1286"/>
      <c r="AT233" s="1287"/>
      <c r="AU233" s="1288"/>
      <c r="AV233" s="1289"/>
      <c r="AW233" s="1290"/>
      <c r="AX233" s="1291"/>
      <c r="AY233" s="1291"/>
      <c r="AZ233" s="1292"/>
      <c r="BA233" s="1293"/>
      <c r="BB233" s="1294"/>
      <c r="BC233" s="1295"/>
      <c r="BD233" s="1296">
        <f>BD232+PROD!L233-BA233</f>
        <v>0</v>
      </c>
      <c r="BE233" s="2133"/>
      <c r="BF233" s="507" t="e">
        <f t="shared" si="114"/>
        <v>#VALUE!</v>
      </c>
      <c r="BG233" s="329"/>
      <c r="BH233" s="1018">
        <f t="shared" si="115"/>
        <v>0</v>
      </c>
    </row>
    <row r="234" spans="1:60" ht="15" customHeight="1" x14ac:dyDescent="0.3">
      <c r="A234" s="2033"/>
      <c r="B234" s="287" t="str">
        <f t="shared" si="116"/>
        <v/>
      </c>
      <c r="C234" s="288" t="str">
        <f t="shared" si="111"/>
        <v/>
      </c>
      <c r="D234" s="691"/>
      <c r="E234" s="692"/>
      <c r="F234" s="693"/>
      <c r="G234" s="694"/>
      <c r="H234" s="695"/>
      <c r="I234" s="289">
        <f>I233-SUM($D234:F234)</f>
        <v>0</v>
      </c>
      <c r="J234" s="1237" t="str">
        <f>$J$10</f>
        <v>% Mort/Sel Acm Tab :</v>
      </c>
      <c r="K234" s="1238">
        <f>IFERROR(LOOKUP($A229,TP!$A$6:$A$108,GSh!$AR$6:$AR$108)/100,0)</f>
        <v>0</v>
      </c>
      <c r="L234" s="1246"/>
      <c r="M234" s="291">
        <f t="shared" si="133"/>
        <v>0</v>
      </c>
      <c r="N234" s="292" t="str">
        <f>$N$10</f>
        <v xml:space="preserve">Uniformidad (C. Lote) : </v>
      </c>
      <c r="O234" s="320">
        <f>LOOKUP($A229,'Pr-Sem'!$A$6:$A$108,'Pr-Sem'!$AG$6:$AG$108)</f>
        <v>0</v>
      </c>
      <c r="P234" s="320">
        <v>90</v>
      </c>
      <c r="Q234" s="321">
        <f>IF(AND(P234&gt;0,O234&gt;0),(O234/P234-1)*100,0)</f>
        <v>0</v>
      </c>
      <c r="R234" s="699"/>
      <c r="S234" s="762"/>
      <c r="T234" s="765">
        <f t="shared" si="122"/>
        <v>0</v>
      </c>
      <c r="U234" s="700"/>
      <c r="V234" s="701"/>
      <c r="W234" s="701"/>
      <c r="X234" s="295">
        <f t="shared" si="117"/>
        <v>0</v>
      </c>
      <c r="Y234" s="296">
        <f>IF(AA234&gt;0,V234,AE229/IF(Iniciar!$C$25="B X 40 K",40,IF(Iniciar!$C$25="B X 50 K",50,1))*I234/1000)</f>
        <v>0</v>
      </c>
      <c r="Z234" s="296">
        <f t="shared" si="118"/>
        <v>0</v>
      </c>
      <c r="AA234" s="297">
        <f t="shared" si="134"/>
        <v>0</v>
      </c>
      <c r="AB234" s="297">
        <f t="shared" si="112"/>
        <v>0</v>
      </c>
      <c r="AC234" s="2037" t="str">
        <f>$AC$10</f>
        <v xml:space="preserve">Cons ml /ave día: </v>
      </c>
      <c r="AD234" s="2038"/>
      <c r="AE234" s="2056">
        <f>IFERROR(SUMPRODUCT(AB229:AB235,I229:I235)/SUM(I229:I235),0)</f>
        <v>0</v>
      </c>
      <c r="AF234" s="2057"/>
      <c r="AG234" s="311" t="str">
        <f>CONCATENATE("Costo ",Iniciar!$C$25," : ")</f>
        <v xml:space="preserve">Costo Kilos : </v>
      </c>
      <c r="AH234" s="2043">
        <f>IFERROR(SUMPRODUCT(T229:T235,V229:V235)/SUMIF(T229:T235,"&gt;0",V229:V235),0)</f>
        <v>0</v>
      </c>
      <c r="AI234" s="2043"/>
      <c r="AJ234" s="313"/>
      <c r="AK234" s="2027"/>
      <c r="AL234" s="1284">
        <f t="shared" si="113"/>
        <v>0</v>
      </c>
      <c r="AM234" s="1285"/>
      <c r="AN234" s="1285"/>
      <c r="AO234" s="1285"/>
      <c r="AP234" s="1285"/>
      <c r="AQ234" s="1285"/>
      <c r="AR234" s="1285"/>
      <c r="AS234" s="1286"/>
      <c r="AT234" s="1287"/>
      <c r="AU234" s="1288"/>
      <c r="AV234" s="1289"/>
      <c r="AW234" s="1290"/>
      <c r="AX234" s="1291"/>
      <c r="AY234" s="1291"/>
      <c r="AZ234" s="1292"/>
      <c r="BA234" s="1293"/>
      <c r="BB234" s="1294"/>
      <c r="BC234" s="1295"/>
      <c r="BD234" s="1296">
        <f>BD233+PROD!L234-BA234</f>
        <v>0</v>
      </c>
      <c r="BE234" s="2133"/>
      <c r="BF234" s="507" t="e">
        <f t="shared" si="114"/>
        <v>#VALUE!</v>
      </c>
      <c r="BG234" s="329"/>
      <c r="BH234" s="1018">
        <f t="shared" si="115"/>
        <v>0</v>
      </c>
    </row>
    <row r="235" spans="1:60" ht="15" customHeight="1" x14ac:dyDescent="0.3">
      <c r="A235" s="2034"/>
      <c r="B235" s="287" t="str">
        <f t="shared" si="116"/>
        <v/>
      </c>
      <c r="C235" s="288" t="str">
        <f t="shared" si="111"/>
        <v/>
      </c>
      <c r="D235" s="691"/>
      <c r="E235" s="692"/>
      <c r="F235" s="693"/>
      <c r="G235" s="694"/>
      <c r="H235" s="695"/>
      <c r="I235" s="289">
        <f>I234-SUM($D235:F235)</f>
        <v>0</v>
      </c>
      <c r="J235" s="1239" t="str">
        <f>$J$11</f>
        <v>% Viabilidad :</v>
      </c>
      <c r="K235" s="1240">
        <f>IF(OR(SUM(L229:L235)&gt;0,SUM(V229:V235)&gt;0),1-(K232+K233),0)</f>
        <v>0</v>
      </c>
      <c r="L235" s="1247"/>
      <c r="M235" s="1248">
        <f>IF(I235&gt;0,(L235/IF(SUM(L229:L234)&gt;0,1,7))/I235,0)</f>
        <v>0</v>
      </c>
      <c r="N235" s="1249" t="str">
        <f>$N$11</f>
        <v xml:space="preserve">Uniformidad (10% +) : </v>
      </c>
      <c r="O235" s="1250">
        <f>IF(O233&gt;0,IF(O234&gt;0,100-SUM(O233:O234),0),0)</f>
        <v>0</v>
      </c>
      <c r="P235" s="1251">
        <f>100-SUM(P233:P234)</f>
        <v>5</v>
      </c>
      <c r="Q235" s="1252">
        <f>IF(AND(P235&gt;0,O235&gt;0),(O235/P235-1)*100,0)</f>
        <v>0</v>
      </c>
      <c r="R235" s="699"/>
      <c r="S235" s="762"/>
      <c r="T235" s="765">
        <f t="shared" si="122"/>
        <v>0</v>
      </c>
      <c r="U235" s="700"/>
      <c r="V235" s="701"/>
      <c r="W235" s="701"/>
      <c r="X235" s="295">
        <f t="shared" si="117"/>
        <v>0</v>
      </c>
      <c r="Y235" s="296">
        <f>IF(AA235&gt;0,V235,AE229/IF(Iniciar!$C$25="B X 40 K",40,IF(Iniciar!$C$25="B X 50 K",50,1))*I235/1000)</f>
        <v>0</v>
      </c>
      <c r="Z235" s="296">
        <f t="shared" si="118"/>
        <v>0</v>
      </c>
      <c r="AA235" s="297">
        <f>IF(I235&gt;0,(V235/IF(SUM(V229:V234)&gt;0,1,7))*$A$1/I235,0)</f>
        <v>0</v>
      </c>
      <c r="AB235" s="297">
        <f t="shared" si="112"/>
        <v>0</v>
      </c>
      <c r="AC235" s="2039" t="str">
        <f>$AC$11</f>
        <v xml:space="preserve">Relación Agua /Alimto: </v>
      </c>
      <c r="AD235" s="2040"/>
      <c r="AE235" s="2058">
        <f>IFERROR(AE234/AD229,0)</f>
        <v>0</v>
      </c>
      <c r="AF235" s="2059"/>
      <c r="AG235" s="1269" t="s">
        <v>237</v>
      </c>
      <c r="AH235" s="1270">
        <f>IF(SUM(L229:L235)&gt;0,AH234*SUM(V229:V235)/SUM(L229:L235),0)</f>
        <v>0</v>
      </c>
      <c r="AI235" s="1270">
        <f>IF(AND($A$1&gt;0,P229&gt;0),AH234/$A$1*(AE229/P229)*100,0)</f>
        <v>0</v>
      </c>
      <c r="AJ235" s="1271">
        <f t="shared" ref="AJ235:AJ240" si="135">IF(AND(AI235&gt;0,AH235&gt;0),(AH235/AI235-1)*100,0)</f>
        <v>0</v>
      </c>
      <c r="AK235" s="2028"/>
      <c r="AL235" s="1284">
        <f t="shared" si="113"/>
        <v>0</v>
      </c>
      <c r="AM235" s="1285"/>
      <c r="AN235" s="1285"/>
      <c r="AO235" s="1285"/>
      <c r="AP235" s="1285"/>
      <c r="AQ235" s="1285"/>
      <c r="AR235" s="1285"/>
      <c r="AS235" s="1286"/>
      <c r="AT235" s="1287"/>
      <c r="AU235" s="1288"/>
      <c r="AV235" s="1289"/>
      <c r="AW235" s="1290"/>
      <c r="AX235" s="1291"/>
      <c r="AY235" s="1291"/>
      <c r="AZ235" s="1292"/>
      <c r="BA235" s="1293"/>
      <c r="BB235" s="1294"/>
      <c r="BC235" s="1295"/>
      <c r="BD235" s="1296">
        <f>BD234+PROD!L235-BA235</f>
        <v>0</v>
      </c>
      <c r="BE235" s="2134"/>
      <c r="BF235" s="507" t="e">
        <f t="shared" si="114"/>
        <v>#VALUE!</v>
      </c>
      <c r="BG235" s="329"/>
      <c r="BH235" s="1018">
        <f t="shared" si="115"/>
        <v>0</v>
      </c>
    </row>
    <row r="236" spans="1:60" ht="15" customHeight="1" x14ac:dyDescent="0.3">
      <c r="A236" s="2032">
        <f>A229+1</f>
        <v>51</v>
      </c>
      <c r="B236" s="287" t="str">
        <f t="shared" si="116"/>
        <v/>
      </c>
      <c r="C236" s="288" t="str">
        <f t="shared" si="111"/>
        <v/>
      </c>
      <c r="D236" s="691"/>
      <c r="E236" s="692"/>
      <c r="F236" s="693"/>
      <c r="G236" s="694"/>
      <c r="H236" s="695"/>
      <c r="I236" s="289">
        <f>I235-SUM($D236:F236)</f>
        <v>0</v>
      </c>
      <c r="J236" s="1232" t="str">
        <f>$J$5</f>
        <v>% Mort Sem :</v>
      </c>
      <c r="K236" s="1233">
        <f>IF(PROD!$K$2&gt;0,SUM(D236:D242)/PROD!$K$2,0)</f>
        <v>0</v>
      </c>
      <c r="L236" s="1241"/>
      <c r="M236" s="1242">
        <f t="shared" ref="M236:M241" si="136">IF(I236&gt;0,L236/I236,0)</f>
        <v>0</v>
      </c>
      <c r="N236" s="1243" t="str">
        <f>$N$5</f>
        <v xml:space="preserve">% Pdn prom semana : </v>
      </c>
      <c r="O236" s="1244">
        <f>IF(SUM(L236:L241)&gt;0,100*SUMPRODUCT(M236:M242,I236:I242)/SUMIF(L236:L242,"&gt;0",I236:I242),IF(L242&gt;0,100*L242/7/I242,0))</f>
        <v>0</v>
      </c>
      <c r="P236" s="1244">
        <f>IFERROR(LOOKUP($A236,TP!$A$6:$A$108,GSh!$AE$6:$AE$108),0)</f>
        <v>0</v>
      </c>
      <c r="Q236" s="1245">
        <f>IF(AND(P236&gt;0,O236&gt;0),O236-P236,0)</f>
        <v>0</v>
      </c>
      <c r="R236" s="699"/>
      <c r="S236" s="762"/>
      <c r="T236" s="765">
        <f t="shared" si="122"/>
        <v>0</v>
      </c>
      <c r="U236" s="700"/>
      <c r="V236" s="701"/>
      <c r="W236" s="701"/>
      <c r="X236" s="295">
        <f t="shared" si="117"/>
        <v>0</v>
      </c>
      <c r="Y236" s="296">
        <f>IF(AA236&gt;0,V236,AE236/IF(Iniciar!$C$25="B X 40 K",40,IF(Iniciar!$C$25="B X 50 K",50,1))*I236/1000)</f>
        <v>0</v>
      </c>
      <c r="Z236" s="296">
        <f t="shared" si="118"/>
        <v>0</v>
      </c>
      <c r="AA236" s="297">
        <f t="shared" ref="AA236:AA241" si="137">IF(I236&gt;0,V236*$A$1/I236,0)</f>
        <v>0</v>
      </c>
      <c r="AB236" s="297">
        <f t="shared" si="112"/>
        <v>0</v>
      </c>
      <c r="AC236" s="1261" t="str">
        <f>$AC$5</f>
        <v>Gr. Ave Dia :</v>
      </c>
      <c r="AD236" s="1262">
        <f>IF(SUMIF(V236:V242,"&gt;0")&gt;0,SUMPRODUCT(AA236:AA242,I236:I242)/SUMIF(AA236:AA242,"&gt;0",I236:I242),0)</f>
        <v>0</v>
      </c>
      <c r="AE236" s="1262">
        <f>IFERROR(LOOKUP($A236,TP!$A$6:$A$108,GSh!$AU$6:$AU$108),0)</f>
        <v>0</v>
      </c>
      <c r="AF236" s="1263">
        <f>IF(AND(AE236&gt;0,AD236&gt;0),(AD236/AE236-1)*100,0)</f>
        <v>0</v>
      </c>
      <c r="AG236" s="1264" t="str">
        <f>PROD!$AG$5</f>
        <v>Gr X H</v>
      </c>
      <c r="AH236" s="1265">
        <f>IF(PROD!O236&gt;0,IF($AG236="Gr X H",PROD!AD236/PROD!O236*100,IF($AG236="Conv Kg/Doc",PROD!AD236/PROD!O236*1.2,IF(PROD!$O238&gt;0,PROD!AD236/(PROD!O236*PROD!$O238)*100,0))),0)</f>
        <v>0</v>
      </c>
      <c r="AI236" s="1265">
        <f>IF(PROD!P236&gt;0,IF($AG236="Gr X H",PROD!AE236/PROD!P236*100,IF($AG236="Conv Kg/Doc",PROD!AE236/PROD!P236*1.2,IF(PROD!$P238&gt;0,PROD!AE236/(PROD!P236*PROD!$P238)*100,0))),0)</f>
        <v>0</v>
      </c>
      <c r="AJ236" s="1266">
        <f t="shared" si="135"/>
        <v>0</v>
      </c>
      <c r="AK236" s="2026"/>
      <c r="AL236" s="1284">
        <f t="shared" si="113"/>
        <v>0</v>
      </c>
      <c r="AM236" s="1285"/>
      <c r="AN236" s="1285"/>
      <c r="AO236" s="1285"/>
      <c r="AP236" s="1285"/>
      <c r="AQ236" s="1285"/>
      <c r="AR236" s="1285"/>
      <c r="AS236" s="1286"/>
      <c r="AT236" s="1287"/>
      <c r="AU236" s="1288"/>
      <c r="AV236" s="1289"/>
      <c r="AW236" s="1290"/>
      <c r="AX236" s="1291"/>
      <c r="AY236" s="1291"/>
      <c r="AZ236" s="1292"/>
      <c r="BA236" s="1293"/>
      <c r="BB236" s="1294"/>
      <c r="BC236" s="1295"/>
      <c r="BD236" s="1296">
        <f>BD235+PROD!L236-BA236</f>
        <v>0</v>
      </c>
      <c r="BE236" s="2132">
        <f>IF(SUM(AM236:AZ242)&gt;0,(SUM(AM236:AM242)*$AM$2+SUM(AN236:AN242)*$AN$2+SUM(AO236:AO242)*$AO$2+SUM(AP236:AP242)*$AP$2+SUM(AQ236:AQ242)*$AQ$2+SUM(AR236:AR242)*$AR$2+SUM(AS236:AS242)*$AS$2+SUM(AW236:AW242)*$AW$2+SUM(AX236:AX242)*$AX$2+SUM(AY236:AY242)*$AY$2+SUM(AZ236:AZ242)*$AZ$2+SUM(AT236:AT242)*$AT$2+SUM(AU236:AU242)*$AU$2+SUM(AV236:AV242)*$AV$2)/SUM(AM236:AZ242),0)</f>
        <v>0</v>
      </c>
      <c r="BF236" s="507" t="e">
        <f t="shared" si="114"/>
        <v>#VALUE!</v>
      </c>
      <c r="BG236" s="277">
        <f>IF(SUM(L236:L242)&gt;0,A236,IF(SUM(V236:V242)&gt;0,A236,BG229))</f>
        <v>0</v>
      </c>
      <c r="BH236" s="1018">
        <f t="shared" si="115"/>
        <v>0</v>
      </c>
    </row>
    <row r="237" spans="1:60" ht="15" customHeight="1" x14ac:dyDescent="0.3">
      <c r="A237" s="2033"/>
      <c r="B237" s="287" t="str">
        <f t="shared" si="116"/>
        <v/>
      </c>
      <c r="C237" s="288" t="str">
        <f t="shared" si="111"/>
        <v/>
      </c>
      <c r="D237" s="691"/>
      <c r="E237" s="692"/>
      <c r="F237" s="693"/>
      <c r="G237" s="694"/>
      <c r="H237" s="695"/>
      <c r="I237" s="289">
        <f>I236-SUM($D237:F237)</f>
        <v>0</v>
      </c>
      <c r="J237" s="1234" t="str">
        <f>$J$6</f>
        <v>% Sel Sem :</v>
      </c>
      <c r="K237" s="1231">
        <f>IF(PROD!$K$2&gt;0,SUM(E236:E242)/PROD!$K$2,0)</f>
        <v>0</v>
      </c>
      <c r="L237" s="1246"/>
      <c r="M237" s="291">
        <f t="shared" si="136"/>
        <v>0</v>
      </c>
      <c r="N237" s="292" t="str">
        <f>$N$6</f>
        <v xml:space="preserve">H. Ave Alojada : </v>
      </c>
      <c r="O237" s="293">
        <f>IF(AND(PROD!$K$2&gt;0,O236&gt;0),SUM(L$5:L242)/PROD!$K$2,0)</f>
        <v>0</v>
      </c>
      <c r="P237" s="293">
        <f>IFERROR(LOOKUP($A236,TP!$A$6:$A$108,GSh!$AJ$6:$AJ$108),0)</f>
        <v>0</v>
      </c>
      <c r="Q237" s="294">
        <f>IF(AND(P237&gt;0,O237&gt;0),O237-P237,0)</f>
        <v>0</v>
      </c>
      <c r="R237" s="699"/>
      <c r="S237" s="762"/>
      <c r="T237" s="765">
        <f t="shared" si="122"/>
        <v>0</v>
      </c>
      <c r="U237" s="700"/>
      <c r="V237" s="701"/>
      <c r="W237" s="701"/>
      <c r="X237" s="295">
        <f t="shared" si="117"/>
        <v>0</v>
      </c>
      <c r="Y237" s="296">
        <f>IF(AA237&gt;0,V237,AE236/IF(Iniciar!$C$25="B X 40 K",40,IF(Iniciar!$C$25="B X 50 K",50,1))*I237/1000)</f>
        <v>0</v>
      </c>
      <c r="Z237" s="296">
        <f t="shared" si="118"/>
        <v>0</v>
      </c>
      <c r="AA237" s="297">
        <f t="shared" si="137"/>
        <v>0</v>
      </c>
      <c r="AB237" s="297">
        <f t="shared" si="112"/>
        <v>0</v>
      </c>
      <c r="AC237" s="1267" t="str">
        <f>$AC$6</f>
        <v>Gr. Ave Sem :</v>
      </c>
      <c r="AD237" s="284">
        <f>AD236*7</f>
        <v>0</v>
      </c>
      <c r="AE237" s="284">
        <f>AE236*7</f>
        <v>0</v>
      </c>
      <c r="AF237" s="285">
        <f>IF(AND(AE237&gt;0,AD237&gt;0),(AD237/AE237-1)*100,0)</f>
        <v>0</v>
      </c>
      <c r="AG237" s="1199" t="str">
        <f>PROD!$AG$6</f>
        <v>Gr X H Acm</v>
      </c>
      <c r="AH237" s="298">
        <f>IF(SUM(PROD!L236:L242)&gt;0,IF(PROD!$AG$5="Gr X H",SUM(PROD!V$5:V242)*PROD!$A$1/SUM(PROD!L$5:L242),IF($AG236="Conv Kg/Doc",(SUM(PROD!V$5:V242)*PROD!$A$1/1000)/(SUM(PROD!L$5:L242)/12),IF(PROD!$O238&gt;0,SUM(PROD!V$5:V242)*PROD!$A$1/(SUM(PROD!L$5:L242)*LOOKUP(PROD!A236,TP!$A$6:$A$108,GSh!$BB$6:$BB$108)),0))),0)</f>
        <v>0</v>
      </c>
      <c r="AI237" s="298">
        <f>IF(PROD!P236&gt;0,IF($AG236="Gr X H",PROD!AE236/PROD!P236*100,IF($AG236="Conv Kg/Doc",PROD!AE236/PROD!P236*1.2,IF(PROD!$P237&gt;0,PROD!AE238/(PROD!P237*LOOKUP(PROD!$A236,TP!$A$6:$A$108,GSh!$BC$6:$BC$108)/1000),0))),0)</f>
        <v>0</v>
      </c>
      <c r="AJ237" s="328">
        <f t="shared" si="135"/>
        <v>0</v>
      </c>
      <c r="AK237" s="2027"/>
      <c r="AL237" s="1284">
        <f t="shared" si="113"/>
        <v>0</v>
      </c>
      <c r="AM237" s="1285"/>
      <c r="AN237" s="1285"/>
      <c r="AO237" s="1285"/>
      <c r="AP237" s="1285"/>
      <c r="AQ237" s="1285"/>
      <c r="AR237" s="1285"/>
      <c r="AS237" s="1286"/>
      <c r="AT237" s="1287"/>
      <c r="AU237" s="1288"/>
      <c r="AV237" s="1289"/>
      <c r="AW237" s="1290"/>
      <c r="AX237" s="1291"/>
      <c r="AY237" s="1291"/>
      <c r="AZ237" s="1292"/>
      <c r="BA237" s="1293"/>
      <c r="BB237" s="1294"/>
      <c r="BC237" s="1295"/>
      <c r="BD237" s="1296">
        <f>BD236+PROD!L237-BA237</f>
        <v>0</v>
      </c>
      <c r="BE237" s="2133"/>
      <c r="BF237" s="507" t="e">
        <f t="shared" si="114"/>
        <v>#VALUE!</v>
      </c>
      <c r="BG237" s="329"/>
      <c r="BH237" s="1018">
        <f t="shared" si="115"/>
        <v>0</v>
      </c>
    </row>
    <row r="238" spans="1:60" ht="15" customHeight="1" x14ac:dyDescent="0.3">
      <c r="A238" s="2033"/>
      <c r="B238" s="287" t="str">
        <f t="shared" si="116"/>
        <v/>
      </c>
      <c r="C238" s="288" t="str">
        <f t="shared" si="111"/>
        <v/>
      </c>
      <c r="D238" s="691"/>
      <c r="E238" s="692"/>
      <c r="F238" s="693"/>
      <c r="G238" s="694"/>
      <c r="H238" s="695"/>
      <c r="I238" s="289">
        <f>I237-SUM($D238:F238)</f>
        <v>0</v>
      </c>
      <c r="J238" s="1235" t="str">
        <f>$J$7</f>
        <v>% Mort/Sel Sem Tab :</v>
      </c>
      <c r="K238" s="1236">
        <f>K241-K234</f>
        <v>0</v>
      </c>
      <c r="L238" s="1246"/>
      <c r="M238" s="291">
        <f t="shared" si="136"/>
        <v>0</v>
      </c>
      <c r="N238" s="304" t="str">
        <f>$N$7</f>
        <v xml:space="preserve">Peso Huevo (Gr) : </v>
      </c>
      <c r="O238" s="305">
        <f>LOOKUP($A236,'Pr-Sem'!$A$6:$A$108,'Pr-Sem'!$Z$6:$Z$108)</f>
        <v>0</v>
      </c>
      <c r="P238" s="305">
        <f>IFERROR(LOOKUP($A236,TP!$A$6:$A$108,GSh!$AZ$6:$AZ$108),0)</f>
        <v>0</v>
      </c>
      <c r="Q238" s="306">
        <f>IF(AND(P238&gt;0,O238&gt;0),O238-P238,0)</f>
        <v>0</v>
      </c>
      <c r="R238" s="699"/>
      <c r="S238" s="762"/>
      <c r="T238" s="765">
        <f t="shared" si="122"/>
        <v>0</v>
      </c>
      <c r="U238" s="700"/>
      <c r="V238" s="701"/>
      <c r="W238" s="701"/>
      <c r="X238" s="295">
        <f t="shared" si="117"/>
        <v>0</v>
      </c>
      <c r="Y238" s="296">
        <f>IF(AA238&gt;0,V238,AE236/IF(Iniciar!$C$25="B X 40 K",40,IF(Iniciar!$C$25="B X 50 K",50,1))*I238/1000)</f>
        <v>0</v>
      </c>
      <c r="Z238" s="296">
        <f t="shared" si="118"/>
        <v>0</v>
      </c>
      <c r="AA238" s="297">
        <f t="shared" si="137"/>
        <v>0</v>
      </c>
      <c r="AB238" s="297">
        <f t="shared" si="112"/>
        <v>0</v>
      </c>
      <c r="AC238" s="1268" t="str">
        <f>$AC$7</f>
        <v>Kg Ave Acu :</v>
      </c>
      <c r="AD238" s="308">
        <f>IF(OR(SUM(L236:L242)&gt;0,SUM(V236:V242)&gt;0),AD237/1000+AD231,0)</f>
        <v>0</v>
      </c>
      <c r="AE238" s="309">
        <f>AE237/1000+AE231</f>
        <v>0</v>
      </c>
      <c r="AF238" s="310">
        <f>IF(AND(AE238&gt;0,AD238&gt;0),(AD238/AE238-1)*100,0)</f>
        <v>0</v>
      </c>
      <c r="AG238" s="311" t="str">
        <f>PROD!$AG$7</f>
        <v xml:space="preserve">Masa Sem H (Gr) : </v>
      </c>
      <c r="AH238" s="312">
        <f>PROD!O236/100*7*PROD!O238</f>
        <v>0</v>
      </c>
      <c r="AI238" s="312">
        <f>PROD!P236/100*7*PROD!P238</f>
        <v>0</v>
      </c>
      <c r="AJ238" s="313">
        <f t="shared" si="135"/>
        <v>0</v>
      </c>
      <c r="AK238" s="2027"/>
      <c r="AL238" s="1284">
        <f t="shared" si="113"/>
        <v>0</v>
      </c>
      <c r="AM238" s="1285"/>
      <c r="AN238" s="1285"/>
      <c r="AO238" s="1285"/>
      <c r="AP238" s="1285"/>
      <c r="AQ238" s="1285"/>
      <c r="AR238" s="1285"/>
      <c r="AS238" s="1286"/>
      <c r="AT238" s="1287"/>
      <c r="AU238" s="1288"/>
      <c r="AV238" s="1289"/>
      <c r="AW238" s="1290"/>
      <c r="AX238" s="1291"/>
      <c r="AY238" s="1291"/>
      <c r="AZ238" s="1292"/>
      <c r="BA238" s="1293"/>
      <c r="BB238" s="1294"/>
      <c r="BC238" s="1295"/>
      <c r="BD238" s="1296">
        <f>BD237+PROD!L238-BA238</f>
        <v>0</v>
      </c>
      <c r="BE238" s="2133"/>
      <c r="BF238" s="507" t="e">
        <f t="shared" si="114"/>
        <v>#VALUE!</v>
      </c>
      <c r="BG238" s="329"/>
      <c r="BH238" s="1018">
        <f t="shared" si="115"/>
        <v>0</v>
      </c>
    </row>
    <row r="239" spans="1:60" ht="15" customHeight="1" x14ac:dyDescent="0.3">
      <c r="A239" s="2033"/>
      <c r="B239" s="287" t="str">
        <f t="shared" si="116"/>
        <v/>
      </c>
      <c r="C239" s="288" t="str">
        <f t="shared" si="111"/>
        <v/>
      </c>
      <c r="D239" s="691"/>
      <c r="E239" s="692"/>
      <c r="F239" s="693"/>
      <c r="G239" s="694"/>
      <c r="H239" s="695"/>
      <c r="I239" s="289">
        <f>I238-SUM($D239:F239)</f>
        <v>0</v>
      </c>
      <c r="J239" s="1234" t="str">
        <f>$J$8</f>
        <v>% Mort Acm :</v>
      </c>
      <c r="K239" s="1231">
        <f>IF(PROD!$K$2&gt;0,SUM(D$5:D242)/PROD!$K$2,0)</f>
        <v>0</v>
      </c>
      <c r="L239" s="1246"/>
      <c r="M239" s="291">
        <f t="shared" si="136"/>
        <v>0</v>
      </c>
      <c r="N239" s="314" t="str">
        <f>N$8</f>
        <v xml:space="preserve">Peso Ave (Gr) : </v>
      </c>
      <c r="O239" s="315">
        <f>LOOKUP($A236,GSh!$BV$6:$BV$108,GSh!$BJ$6:$BJ$108)</f>
        <v>0</v>
      </c>
      <c r="P239" s="315">
        <f>IFERROR(LOOKUP($A236,TP!$A$6:$A$108,GSh!$BK$6:$BK$108),0)</f>
        <v>0</v>
      </c>
      <c r="Q239" s="316">
        <f>IF(AND(P239&gt;0,O239&gt;0),(O239/P239-1)*100,0)</f>
        <v>0</v>
      </c>
      <c r="R239" s="699"/>
      <c r="S239" s="762"/>
      <c r="T239" s="765">
        <f t="shared" si="122"/>
        <v>0</v>
      </c>
      <c r="U239" s="700"/>
      <c r="V239" s="701"/>
      <c r="W239" s="701"/>
      <c r="X239" s="295">
        <f t="shared" si="117"/>
        <v>0</v>
      </c>
      <c r="Y239" s="296">
        <f>IF(AA239&gt;0,V239,AE236/IF(Iniciar!$C$25="B X 40 K",40,IF(Iniciar!$C$25="B X 50 K",50,1))*I239/1000)</f>
        <v>0</v>
      </c>
      <c r="Z239" s="296">
        <f t="shared" si="118"/>
        <v>0</v>
      </c>
      <c r="AA239" s="297">
        <f t="shared" si="137"/>
        <v>0</v>
      </c>
      <c r="AB239" s="297">
        <f t="shared" si="112"/>
        <v>0</v>
      </c>
      <c r="AC239" s="541" t="str">
        <f>$AC$8</f>
        <v xml:space="preserve">Ton. Lote Acu : </v>
      </c>
      <c r="AD239" s="544">
        <f>SUM($V$5:$V242)*$A$1/1000000</f>
        <v>0</v>
      </c>
      <c r="AE239" s="543">
        <f>AE232+(AE236/1000000*7*(I236+I242)/2)</f>
        <v>0</v>
      </c>
      <c r="AF239" s="542">
        <f>IF(AND(AE239&gt;0,AD239&gt;0),(AD239/AE239-1)*100,0)</f>
        <v>0</v>
      </c>
      <c r="AG239" s="317" t="str">
        <f>PROD!$AG$8</f>
        <v xml:space="preserve">Masa Ac A. A (Kg) : </v>
      </c>
      <c r="AH239" s="318">
        <f>IF(PROD!$K$2&gt;0,SUM(PROD!L$5:L242)*LOOKUP(PROD!$A236,TP!$A$6:$A$108,GSh!$BB$6:$BB$108)/1000/PROD!$K$2,0)</f>
        <v>0</v>
      </c>
      <c r="AI239" s="318">
        <f>IFERROR(PROD!P237*LOOKUP(PROD!$A236,TP!$A$6:$A$108,GSh!$BC$6:$BC$108)/1000,0)</f>
        <v>0</v>
      </c>
      <c r="AJ239" s="330">
        <f t="shared" si="135"/>
        <v>0</v>
      </c>
      <c r="AK239" s="2027"/>
      <c r="AL239" s="1284">
        <f t="shared" si="113"/>
        <v>0</v>
      </c>
      <c r="AM239" s="1285"/>
      <c r="AN239" s="1285"/>
      <c r="AO239" s="1285"/>
      <c r="AP239" s="1285"/>
      <c r="AQ239" s="1285"/>
      <c r="AR239" s="1285"/>
      <c r="AS239" s="1286"/>
      <c r="AT239" s="1287"/>
      <c r="AU239" s="1288"/>
      <c r="AV239" s="1289"/>
      <c r="AW239" s="1290"/>
      <c r="AX239" s="1291"/>
      <c r="AY239" s="1291"/>
      <c r="AZ239" s="1292"/>
      <c r="BA239" s="1293"/>
      <c r="BB239" s="1294"/>
      <c r="BC239" s="1295"/>
      <c r="BD239" s="1296">
        <f>BD238+PROD!L239-BA239</f>
        <v>0</v>
      </c>
      <c r="BE239" s="2133"/>
      <c r="BF239" s="507" t="e">
        <f t="shared" si="114"/>
        <v>#VALUE!</v>
      </c>
      <c r="BG239" s="329"/>
      <c r="BH239" s="1018">
        <f t="shared" si="115"/>
        <v>0</v>
      </c>
    </row>
    <row r="240" spans="1:60" ht="15" customHeight="1" x14ac:dyDescent="0.3">
      <c r="A240" s="2033"/>
      <c r="B240" s="287" t="str">
        <f t="shared" si="116"/>
        <v/>
      </c>
      <c r="C240" s="288" t="str">
        <f t="shared" si="111"/>
        <v/>
      </c>
      <c r="D240" s="691"/>
      <c r="E240" s="692"/>
      <c r="F240" s="693"/>
      <c r="G240" s="694"/>
      <c r="H240" s="695"/>
      <c r="I240" s="289">
        <f>I239-SUM($D240:F240)</f>
        <v>0</v>
      </c>
      <c r="J240" s="1234" t="str">
        <f>$J$9</f>
        <v>% Sel Acm :</v>
      </c>
      <c r="K240" s="1231">
        <f>IF(PROD!$K$2&gt;0,SUM(E$5:E242)/PROD!$K$2,0)</f>
        <v>0</v>
      </c>
      <c r="L240" s="1246"/>
      <c r="M240" s="291">
        <f t="shared" si="136"/>
        <v>0</v>
      </c>
      <c r="N240" s="292" t="str">
        <f>$N$9</f>
        <v xml:space="preserve">Uniformidad (10% -) : </v>
      </c>
      <c r="O240" s="320">
        <f>LOOKUP($A236,'Pr-Sem'!$A$6:$A$108,'Pr-Sem'!$AH$6:$AH$108)</f>
        <v>0</v>
      </c>
      <c r="P240" s="320">
        <v>5</v>
      </c>
      <c r="Q240" s="321">
        <f>IF(AND(P240&gt;0,O240&gt;0),(1-O240/P240)*100,0)</f>
        <v>0</v>
      </c>
      <c r="R240" s="699"/>
      <c r="S240" s="762"/>
      <c r="T240" s="765">
        <f t="shared" si="122"/>
        <v>0</v>
      </c>
      <c r="U240" s="700"/>
      <c r="V240" s="701"/>
      <c r="W240" s="701"/>
      <c r="X240" s="295">
        <f t="shared" si="117"/>
        <v>0</v>
      </c>
      <c r="Y240" s="296">
        <f>IF(AA240&gt;0,V240,AE236/IF(Iniciar!$C$25="B X 40 K",40,IF(Iniciar!$C$25="B X 50 K",50,1))*I240/1000)</f>
        <v>0</v>
      </c>
      <c r="Z240" s="296">
        <f t="shared" si="118"/>
        <v>0</v>
      </c>
      <c r="AA240" s="297">
        <f t="shared" si="137"/>
        <v>0</v>
      </c>
      <c r="AB240" s="297">
        <f t="shared" si="112"/>
        <v>0</v>
      </c>
      <c r="AC240" s="2035" t="str">
        <f>$AC$9</f>
        <v xml:space="preserve">Total Litros Sem: </v>
      </c>
      <c r="AD240" s="2036"/>
      <c r="AE240" s="2050">
        <f>SUM(R236:R242)</f>
        <v>0</v>
      </c>
      <c r="AF240" s="2051"/>
      <c r="AG240" s="554" t="str">
        <f>$AG$9</f>
        <v xml:space="preserve">Indicador Eficiencia : </v>
      </c>
      <c r="AH240" s="555">
        <f>IF(AND(AE240&gt;0,O237&gt;0,O238&gt;0,SUM(L236:L242)&gt;0),(PROD!AH239/O237)*K242*100/(AE240/(SUM(L236:L242)*O238/1000)),0)</f>
        <v>0</v>
      </c>
      <c r="AI240" s="555">
        <f>IF(AND(P237&gt;0,PROD!AI238&gt;0),(PROD!AI239/P237)*(1-K241)*100/(AE237/PROD!AI238),0)</f>
        <v>0</v>
      </c>
      <c r="AJ240" s="331">
        <f t="shared" si="135"/>
        <v>0</v>
      </c>
      <c r="AK240" s="2027"/>
      <c r="AL240" s="1284">
        <f t="shared" si="113"/>
        <v>0</v>
      </c>
      <c r="AM240" s="1285"/>
      <c r="AN240" s="1285"/>
      <c r="AO240" s="1285"/>
      <c r="AP240" s="1285"/>
      <c r="AQ240" s="1285"/>
      <c r="AR240" s="1285"/>
      <c r="AS240" s="1286"/>
      <c r="AT240" s="1287"/>
      <c r="AU240" s="1288"/>
      <c r="AV240" s="1289"/>
      <c r="AW240" s="1290"/>
      <c r="AX240" s="1291"/>
      <c r="AY240" s="1291"/>
      <c r="AZ240" s="1292"/>
      <c r="BA240" s="1293"/>
      <c r="BB240" s="1294"/>
      <c r="BC240" s="1295"/>
      <c r="BD240" s="1296">
        <f>BD239+PROD!L240-BA240</f>
        <v>0</v>
      </c>
      <c r="BE240" s="2133"/>
      <c r="BF240" s="507" t="e">
        <f t="shared" si="114"/>
        <v>#VALUE!</v>
      </c>
      <c r="BG240" s="329"/>
      <c r="BH240" s="1018">
        <f t="shared" si="115"/>
        <v>0</v>
      </c>
    </row>
    <row r="241" spans="1:60" ht="15" customHeight="1" x14ac:dyDescent="0.3">
      <c r="A241" s="2033"/>
      <c r="B241" s="287" t="str">
        <f t="shared" si="116"/>
        <v/>
      </c>
      <c r="C241" s="288" t="str">
        <f t="shared" si="111"/>
        <v/>
      </c>
      <c r="D241" s="691"/>
      <c r="E241" s="692"/>
      <c r="F241" s="693"/>
      <c r="G241" s="694"/>
      <c r="H241" s="695"/>
      <c r="I241" s="289">
        <f>I240-SUM($D241:F241)</f>
        <v>0</v>
      </c>
      <c r="J241" s="1237" t="str">
        <f>$J$10</f>
        <v>% Mort/Sel Acm Tab :</v>
      </c>
      <c r="K241" s="1238">
        <f>IFERROR(LOOKUP($A236,TP!$A$6:$A$108,GSh!$AR$6:$AR$108)/100,0)</f>
        <v>0</v>
      </c>
      <c r="L241" s="1246"/>
      <c r="M241" s="291">
        <f t="shared" si="136"/>
        <v>0</v>
      </c>
      <c r="N241" s="292" t="str">
        <f>$N$10</f>
        <v xml:space="preserve">Uniformidad (C. Lote) : </v>
      </c>
      <c r="O241" s="320">
        <f>LOOKUP($A236,'Pr-Sem'!$A$6:$A$108,'Pr-Sem'!$AG$6:$AG$108)</f>
        <v>0</v>
      </c>
      <c r="P241" s="320">
        <v>90</v>
      </c>
      <c r="Q241" s="321">
        <f>IF(AND(P241&gt;0,O241&gt;0),(O241/P241-1)*100,0)</f>
        <v>0</v>
      </c>
      <c r="R241" s="699"/>
      <c r="S241" s="762"/>
      <c r="T241" s="765">
        <f t="shared" si="122"/>
        <v>0</v>
      </c>
      <c r="U241" s="700"/>
      <c r="V241" s="701"/>
      <c r="W241" s="701"/>
      <c r="X241" s="295">
        <f t="shared" si="117"/>
        <v>0</v>
      </c>
      <c r="Y241" s="296">
        <f>IF(AA241&gt;0,V241,AE236/IF(Iniciar!$C$25="B X 40 K",40,IF(Iniciar!$C$25="B X 50 K",50,1))*I241/1000)</f>
        <v>0</v>
      </c>
      <c r="Z241" s="296">
        <f t="shared" si="118"/>
        <v>0</v>
      </c>
      <c r="AA241" s="297">
        <f t="shared" si="137"/>
        <v>0</v>
      </c>
      <c r="AB241" s="297">
        <f t="shared" si="112"/>
        <v>0</v>
      </c>
      <c r="AC241" s="2037" t="str">
        <f>$AC$10</f>
        <v xml:space="preserve">Cons ml /ave día: </v>
      </c>
      <c r="AD241" s="2038"/>
      <c r="AE241" s="2056">
        <f>IFERROR(SUMPRODUCT(AB236:AB242,I236:I242)/SUM(I236:I242),0)</f>
        <v>0</v>
      </c>
      <c r="AF241" s="2057"/>
      <c r="AG241" s="311" t="str">
        <f>CONCATENATE("Costo ",Iniciar!$C$25," : ")</f>
        <v xml:space="preserve">Costo Kilos : </v>
      </c>
      <c r="AH241" s="2043">
        <f>IFERROR(SUMPRODUCT(T236:T242,V236:V242)/SUMIF(T236:T242,"&gt;0",V236:V242),0)</f>
        <v>0</v>
      </c>
      <c r="AI241" s="2043"/>
      <c r="AJ241" s="313"/>
      <c r="AK241" s="2027"/>
      <c r="AL241" s="1284">
        <f t="shared" si="113"/>
        <v>0</v>
      </c>
      <c r="AM241" s="1285"/>
      <c r="AN241" s="1285"/>
      <c r="AO241" s="1285"/>
      <c r="AP241" s="1285"/>
      <c r="AQ241" s="1285"/>
      <c r="AR241" s="1285"/>
      <c r="AS241" s="1286"/>
      <c r="AT241" s="1287"/>
      <c r="AU241" s="1288"/>
      <c r="AV241" s="1289"/>
      <c r="AW241" s="1290"/>
      <c r="AX241" s="1291"/>
      <c r="AY241" s="1291"/>
      <c r="AZ241" s="1292"/>
      <c r="BA241" s="1293"/>
      <c r="BB241" s="1294"/>
      <c r="BC241" s="1295"/>
      <c r="BD241" s="1296">
        <f>BD240+PROD!L241-BA241</f>
        <v>0</v>
      </c>
      <c r="BE241" s="2133"/>
      <c r="BF241" s="507" t="e">
        <f t="shared" si="114"/>
        <v>#VALUE!</v>
      </c>
      <c r="BG241" s="329"/>
      <c r="BH241" s="1018">
        <f t="shared" si="115"/>
        <v>0</v>
      </c>
    </row>
    <row r="242" spans="1:60" ht="15" customHeight="1" x14ac:dyDescent="0.3">
      <c r="A242" s="2034"/>
      <c r="B242" s="287" t="str">
        <f t="shared" si="116"/>
        <v/>
      </c>
      <c r="C242" s="288" t="str">
        <f t="shared" si="111"/>
        <v/>
      </c>
      <c r="D242" s="691"/>
      <c r="E242" s="692"/>
      <c r="F242" s="693"/>
      <c r="G242" s="694"/>
      <c r="H242" s="695"/>
      <c r="I242" s="289">
        <f>I241-SUM($D242:F242)</f>
        <v>0</v>
      </c>
      <c r="J242" s="1239" t="str">
        <f>$J$11</f>
        <v>% Viabilidad :</v>
      </c>
      <c r="K242" s="1240">
        <f>IF(OR(SUM(L236:L242)&gt;0,SUM(V236:V242)&gt;0),1-(K239+K240),0)</f>
        <v>0</v>
      </c>
      <c r="L242" s="1247"/>
      <c r="M242" s="1248">
        <f>IF(I242&gt;0,(L242/IF(SUM(L236:L241)&gt;0,1,7))/I242,0)</f>
        <v>0</v>
      </c>
      <c r="N242" s="1249" t="str">
        <f>$N$11</f>
        <v xml:space="preserve">Uniformidad (10% +) : </v>
      </c>
      <c r="O242" s="1250">
        <f>IF(O240&gt;0,IF(O241&gt;0,100-SUM(O240:O241),0),0)</f>
        <v>0</v>
      </c>
      <c r="P242" s="1251">
        <f>100-SUM(P240:P241)</f>
        <v>5</v>
      </c>
      <c r="Q242" s="1252">
        <f>IF(AND(P242&gt;0,O242&gt;0),(O242/P242-1)*100,0)</f>
        <v>0</v>
      </c>
      <c r="R242" s="699"/>
      <c r="S242" s="762"/>
      <c r="T242" s="765">
        <f t="shared" si="122"/>
        <v>0</v>
      </c>
      <c r="U242" s="700"/>
      <c r="V242" s="701"/>
      <c r="W242" s="701"/>
      <c r="X242" s="295">
        <f t="shared" si="117"/>
        <v>0</v>
      </c>
      <c r="Y242" s="296">
        <f>IF(AA242&gt;0,V242,AE236/IF(Iniciar!$C$25="B X 40 K",40,IF(Iniciar!$C$25="B X 50 K",50,1))*I242/1000)</f>
        <v>0</v>
      </c>
      <c r="Z242" s="296">
        <f t="shared" si="118"/>
        <v>0</v>
      </c>
      <c r="AA242" s="297">
        <f>IF(I242&gt;0,(V242/IF(SUM(V236:V241)&gt;0,1,7))*$A$1/I242,0)</f>
        <v>0</v>
      </c>
      <c r="AB242" s="297">
        <f t="shared" si="112"/>
        <v>0</v>
      </c>
      <c r="AC242" s="2039" t="str">
        <f>$AC$11</f>
        <v xml:space="preserve">Relación Agua /Alimto: </v>
      </c>
      <c r="AD242" s="2040"/>
      <c r="AE242" s="2058">
        <f>IFERROR(AE241/AD236,0)</f>
        <v>0</v>
      </c>
      <c r="AF242" s="2059"/>
      <c r="AG242" s="1269" t="s">
        <v>237</v>
      </c>
      <c r="AH242" s="1270">
        <f>IF(SUM(L236:L242)&gt;0,AH241*SUM(V236:V242)/SUM(L236:L242),0)</f>
        <v>0</v>
      </c>
      <c r="AI242" s="1270">
        <f>IF(AND($A$1&gt;0,P236&gt;0),AH241/$A$1*(AE236/P236)*100,0)</f>
        <v>0</v>
      </c>
      <c r="AJ242" s="1271">
        <f t="shared" ref="AJ242:AJ247" si="138">IF(AND(AI242&gt;0,AH242&gt;0),(AH242/AI242-1)*100,0)</f>
        <v>0</v>
      </c>
      <c r="AK242" s="2028"/>
      <c r="AL242" s="1284">
        <f t="shared" si="113"/>
        <v>0</v>
      </c>
      <c r="AM242" s="1285"/>
      <c r="AN242" s="1285"/>
      <c r="AO242" s="1285"/>
      <c r="AP242" s="1285"/>
      <c r="AQ242" s="1285"/>
      <c r="AR242" s="1285"/>
      <c r="AS242" s="1286"/>
      <c r="AT242" s="1287"/>
      <c r="AU242" s="1288"/>
      <c r="AV242" s="1289"/>
      <c r="AW242" s="1290"/>
      <c r="AX242" s="1291"/>
      <c r="AY242" s="1291"/>
      <c r="AZ242" s="1292"/>
      <c r="BA242" s="1293"/>
      <c r="BB242" s="1294"/>
      <c r="BC242" s="1295"/>
      <c r="BD242" s="1296">
        <f>BD241+PROD!L242-BA242</f>
        <v>0</v>
      </c>
      <c r="BE242" s="2134"/>
      <c r="BF242" s="507" t="e">
        <f t="shared" si="114"/>
        <v>#VALUE!</v>
      </c>
      <c r="BG242" s="329"/>
      <c r="BH242" s="1018">
        <f t="shared" si="115"/>
        <v>0</v>
      </c>
    </row>
    <row r="243" spans="1:60" ht="15" customHeight="1" x14ac:dyDescent="0.3">
      <c r="A243" s="2032">
        <f>A236+1</f>
        <v>52</v>
      </c>
      <c r="B243" s="287" t="str">
        <f t="shared" si="116"/>
        <v/>
      </c>
      <c r="C243" s="288" t="str">
        <f t="shared" si="111"/>
        <v/>
      </c>
      <c r="D243" s="691"/>
      <c r="E243" s="692"/>
      <c r="F243" s="693"/>
      <c r="G243" s="694"/>
      <c r="H243" s="695"/>
      <c r="I243" s="289">
        <f>I242-SUM($D243:F243)</f>
        <v>0</v>
      </c>
      <c r="J243" s="1232" t="str">
        <f>$J$5</f>
        <v>% Mort Sem :</v>
      </c>
      <c r="K243" s="1233">
        <f>IF(PROD!$K$2&gt;0,SUM(D243:D249)/PROD!$K$2,0)</f>
        <v>0</v>
      </c>
      <c r="L243" s="1241"/>
      <c r="M243" s="1242">
        <f t="shared" ref="M243:M248" si="139">IF(I243&gt;0,L243/I243,0)</f>
        <v>0</v>
      </c>
      <c r="N243" s="1243" t="str">
        <f>$N$5</f>
        <v xml:space="preserve">% Pdn prom semana : </v>
      </c>
      <c r="O243" s="1244">
        <f>IF(SUM(L243:L248)&gt;0,100*SUMPRODUCT(M243:M249,I243:I249)/SUMIF(L243:L249,"&gt;0",I243:I249),IF(L249&gt;0,100*L249/7/I249,0))</f>
        <v>0</v>
      </c>
      <c r="P243" s="1244">
        <f>IFERROR(LOOKUP($A243,TP!$A$6:$A$108,GSh!$AE$6:$AE$108),0)</f>
        <v>0</v>
      </c>
      <c r="Q243" s="1245">
        <f>IF(AND(P243&gt;0,O243&gt;0),O243-P243,0)</f>
        <v>0</v>
      </c>
      <c r="R243" s="699"/>
      <c r="S243" s="762"/>
      <c r="T243" s="765">
        <f t="shared" si="122"/>
        <v>0</v>
      </c>
      <c r="U243" s="700"/>
      <c r="V243" s="701"/>
      <c r="W243" s="701"/>
      <c r="X243" s="295">
        <f t="shared" si="117"/>
        <v>0</v>
      </c>
      <c r="Y243" s="296">
        <f>IF(AA243&gt;0,V243,AE243/IF(Iniciar!$C$25="B X 40 K",40,IF(Iniciar!$C$25="B X 50 K",50,1))*I243/1000)</f>
        <v>0</v>
      </c>
      <c r="Z243" s="296">
        <f t="shared" si="118"/>
        <v>0</v>
      </c>
      <c r="AA243" s="297">
        <f t="shared" ref="AA243:AA248" si="140">IF(I243&gt;0,V243*$A$1/I243,0)</f>
        <v>0</v>
      </c>
      <c r="AB243" s="297">
        <f t="shared" si="112"/>
        <v>0</v>
      </c>
      <c r="AC243" s="1261" t="str">
        <f>$AC$5</f>
        <v>Gr. Ave Dia :</v>
      </c>
      <c r="AD243" s="1262">
        <f>IF(SUMIF(V243:V249,"&gt;0")&gt;0,SUMPRODUCT(AA243:AA249,I243:I249)/SUMIF(AA243:AA249,"&gt;0",I243:I249),0)</f>
        <v>0</v>
      </c>
      <c r="AE243" s="1262">
        <f>IFERROR(LOOKUP($A243,TP!$A$6:$A$108,GSh!$AU$6:$AU$108),0)</f>
        <v>0</v>
      </c>
      <c r="AF243" s="1263">
        <f>IF(AND(AE243&gt;0,AD243&gt;0),(AD243/AE243-1)*100,0)</f>
        <v>0</v>
      </c>
      <c r="AG243" s="1264" t="str">
        <f>PROD!$AG$5</f>
        <v>Gr X H</v>
      </c>
      <c r="AH243" s="1265">
        <f>IF(PROD!O243&gt;0,IF($AG243="Gr X H",PROD!AD243/PROD!O243*100,IF($AG243="Conv Kg/Doc",PROD!AD243/PROD!O243*1.2,IF(PROD!$O245&gt;0,PROD!AD243/(PROD!O243*PROD!$O245)*100,0))),0)</f>
        <v>0</v>
      </c>
      <c r="AI243" s="1265">
        <f>IF(PROD!P243&gt;0,IF($AG243="Gr X H",PROD!AE243/PROD!P243*100,IF($AG243="Conv Kg/Doc",PROD!AE243/PROD!P243*1.2,IF(PROD!$P245&gt;0,PROD!AE243/(PROD!P243*PROD!$P245)*100,0))),0)</f>
        <v>0</v>
      </c>
      <c r="AJ243" s="1266">
        <f t="shared" si="138"/>
        <v>0</v>
      </c>
      <c r="AK243" s="2026"/>
      <c r="AL243" s="1284">
        <f t="shared" si="113"/>
        <v>0</v>
      </c>
      <c r="AM243" s="1285"/>
      <c r="AN243" s="1285"/>
      <c r="AO243" s="1285"/>
      <c r="AP243" s="1285"/>
      <c r="AQ243" s="1285"/>
      <c r="AR243" s="1285"/>
      <c r="AS243" s="1286"/>
      <c r="AT243" s="1287"/>
      <c r="AU243" s="1288"/>
      <c r="AV243" s="1289"/>
      <c r="AW243" s="1290"/>
      <c r="AX243" s="1291"/>
      <c r="AY243" s="1291"/>
      <c r="AZ243" s="1292"/>
      <c r="BA243" s="1293"/>
      <c r="BB243" s="1294"/>
      <c r="BC243" s="1295"/>
      <c r="BD243" s="1296">
        <f>BD242+PROD!L243-BA243</f>
        <v>0</v>
      </c>
      <c r="BE243" s="2132">
        <f>IF(SUM(AM243:AZ249)&gt;0,(SUM(AM243:AM249)*$AM$2+SUM(AN243:AN249)*$AN$2+SUM(AO243:AO249)*$AO$2+SUM(AP243:AP249)*$AP$2+SUM(AQ243:AQ249)*$AQ$2+SUM(AR243:AR249)*$AR$2+SUM(AS243:AS249)*$AS$2+SUM(AW243:AW249)*$AW$2+SUM(AX243:AX249)*$AX$2+SUM(AY243:AY249)*$AY$2+SUM(AZ243:AZ249)*$AZ$2+SUM(AT243:AT249)*$AT$2+SUM(AU243:AU249)*$AU$2+SUM(AV243:AV249)*$AV$2)/SUM(AM243:AZ249),0)</f>
        <v>0</v>
      </c>
      <c r="BF243" s="507" t="e">
        <f t="shared" si="114"/>
        <v>#VALUE!</v>
      </c>
      <c r="BG243" s="277">
        <f>IF(SUM(L243:L249)&gt;0,A243,IF(SUM(V243:V249)&gt;0,A243,BG236))</f>
        <v>0</v>
      </c>
      <c r="BH243" s="1018">
        <f t="shared" si="115"/>
        <v>0</v>
      </c>
    </row>
    <row r="244" spans="1:60" ht="15" customHeight="1" x14ac:dyDescent="0.3">
      <c r="A244" s="2033"/>
      <c r="B244" s="287" t="str">
        <f t="shared" si="116"/>
        <v/>
      </c>
      <c r="C244" s="288" t="str">
        <f t="shared" si="111"/>
        <v/>
      </c>
      <c r="D244" s="691"/>
      <c r="E244" s="692"/>
      <c r="F244" s="693"/>
      <c r="G244" s="694"/>
      <c r="H244" s="695"/>
      <c r="I244" s="289">
        <f>I243-SUM($D244:F244)</f>
        <v>0</v>
      </c>
      <c r="J244" s="1234" t="str">
        <f>$J$6</f>
        <v>% Sel Sem :</v>
      </c>
      <c r="K244" s="1231">
        <f>IF(PROD!$K$2&gt;0,SUM(E243:E249)/PROD!$K$2,0)</f>
        <v>0</v>
      </c>
      <c r="L244" s="1246"/>
      <c r="M244" s="291">
        <f t="shared" si="139"/>
        <v>0</v>
      </c>
      <c r="N244" s="292" t="str">
        <f>$N$6</f>
        <v xml:space="preserve">H. Ave Alojada : </v>
      </c>
      <c r="O244" s="293">
        <f>IF(AND(PROD!$K$2&gt;0,O243&gt;0),SUM(L$5:L249)/PROD!$K$2,0)</f>
        <v>0</v>
      </c>
      <c r="P244" s="293">
        <f>IFERROR(LOOKUP($A243,TP!$A$6:$A$108,GSh!$AJ$6:$AJ$108),0)</f>
        <v>0</v>
      </c>
      <c r="Q244" s="294">
        <f>IF(AND(P244&gt;0,O244&gt;0),O244-P244,0)</f>
        <v>0</v>
      </c>
      <c r="R244" s="699"/>
      <c r="S244" s="762"/>
      <c r="T244" s="765">
        <f t="shared" si="122"/>
        <v>0</v>
      </c>
      <c r="U244" s="700"/>
      <c r="V244" s="701"/>
      <c r="W244" s="701"/>
      <c r="X244" s="295">
        <f t="shared" si="117"/>
        <v>0</v>
      </c>
      <c r="Y244" s="296">
        <f>IF(AA244&gt;0,V244,AE243/IF(Iniciar!$C$25="B X 40 K",40,IF(Iniciar!$C$25="B X 50 K",50,1))*I244/1000)</f>
        <v>0</v>
      </c>
      <c r="Z244" s="296">
        <f t="shared" si="118"/>
        <v>0</v>
      </c>
      <c r="AA244" s="297">
        <f t="shared" si="140"/>
        <v>0</v>
      </c>
      <c r="AB244" s="297">
        <f t="shared" si="112"/>
        <v>0</v>
      </c>
      <c r="AC244" s="1267" t="str">
        <f>$AC$6</f>
        <v>Gr. Ave Sem :</v>
      </c>
      <c r="AD244" s="284">
        <f>AD243*7</f>
        <v>0</v>
      </c>
      <c r="AE244" s="284">
        <f>AE243*7</f>
        <v>0</v>
      </c>
      <c r="AF244" s="285">
        <f>IF(AND(AE244&gt;0,AD244&gt;0),(AD244/AE244-1)*100,0)</f>
        <v>0</v>
      </c>
      <c r="AG244" s="1199" t="str">
        <f>PROD!$AG$6</f>
        <v>Gr X H Acm</v>
      </c>
      <c r="AH244" s="298">
        <f>IF(SUM(PROD!L243:L249)&gt;0,IF(PROD!$AG$5="Gr X H",SUM(PROD!V$5:V249)*PROD!$A$1/SUM(PROD!L$5:L249),IF($AG243="Conv Kg/Doc",(SUM(PROD!V$5:V249)*PROD!$A$1/1000)/(SUM(PROD!L$5:L249)/12),IF(PROD!$O245&gt;0,SUM(PROD!V$5:V249)*PROD!$A$1/(SUM(PROD!L$5:L249)*LOOKUP(PROD!A243,TP!$A$6:$A$108,GSh!$BB$6:$BB$108)),0))),0)</f>
        <v>0</v>
      </c>
      <c r="AI244" s="298">
        <f>IF(PROD!P243&gt;0,IF($AG243="Gr X H",PROD!AE243/PROD!P243*100,IF($AG243="Conv Kg/Doc",PROD!AE243/PROD!P243*1.2,IF(PROD!$P244&gt;0,PROD!AE245/(PROD!P244*LOOKUP(PROD!$A243,TP!$A$6:$A$108,GSh!$BC$6:$BC$108)/1000),0))),0)</f>
        <v>0</v>
      </c>
      <c r="AJ244" s="328">
        <f t="shared" si="138"/>
        <v>0</v>
      </c>
      <c r="AK244" s="2027"/>
      <c r="AL244" s="1284">
        <f t="shared" si="113"/>
        <v>0</v>
      </c>
      <c r="AM244" s="1285"/>
      <c r="AN244" s="1285"/>
      <c r="AO244" s="1285"/>
      <c r="AP244" s="1285"/>
      <c r="AQ244" s="1285"/>
      <c r="AR244" s="1285"/>
      <c r="AS244" s="1286"/>
      <c r="AT244" s="1287"/>
      <c r="AU244" s="1288"/>
      <c r="AV244" s="1289"/>
      <c r="AW244" s="1290"/>
      <c r="AX244" s="1291"/>
      <c r="AY244" s="1291"/>
      <c r="AZ244" s="1292"/>
      <c r="BA244" s="1293"/>
      <c r="BB244" s="1294"/>
      <c r="BC244" s="1295"/>
      <c r="BD244" s="1296">
        <f>BD243+PROD!L244-BA244</f>
        <v>0</v>
      </c>
      <c r="BE244" s="2133"/>
      <c r="BF244" s="507" t="e">
        <f t="shared" si="114"/>
        <v>#VALUE!</v>
      </c>
      <c r="BG244" s="329"/>
      <c r="BH244" s="1018">
        <f t="shared" si="115"/>
        <v>0</v>
      </c>
    </row>
    <row r="245" spans="1:60" ht="15" customHeight="1" x14ac:dyDescent="0.3">
      <c r="A245" s="2033"/>
      <c r="B245" s="287" t="str">
        <f t="shared" si="116"/>
        <v/>
      </c>
      <c r="C245" s="288" t="str">
        <f t="shared" si="111"/>
        <v/>
      </c>
      <c r="D245" s="691"/>
      <c r="E245" s="692"/>
      <c r="F245" s="693"/>
      <c r="G245" s="694"/>
      <c r="H245" s="695"/>
      <c r="I245" s="289">
        <f>I244-SUM($D245:F245)</f>
        <v>0</v>
      </c>
      <c r="J245" s="1235" t="str">
        <f>$J$7</f>
        <v>% Mort/Sel Sem Tab :</v>
      </c>
      <c r="K245" s="1236">
        <f>K248-K241</f>
        <v>0</v>
      </c>
      <c r="L245" s="1246"/>
      <c r="M245" s="291">
        <f t="shared" si="139"/>
        <v>0</v>
      </c>
      <c r="N245" s="304" t="str">
        <f>$N$7</f>
        <v xml:space="preserve">Peso Huevo (Gr) : </v>
      </c>
      <c r="O245" s="305">
        <f>LOOKUP($A243,'Pr-Sem'!$A$6:$A$108,'Pr-Sem'!$Z$6:$Z$108)</f>
        <v>0</v>
      </c>
      <c r="P245" s="305">
        <f>IFERROR(LOOKUP($A243,TP!$A$6:$A$108,GSh!$AZ$6:$AZ$108),0)</f>
        <v>0</v>
      </c>
      <c r="Q245" s="306">
        <f>IF(AND(P245&gt;0,O245&gt;0),O245-P245,0)</f>
        <v>0</v>
      </c>
      <c r="R245" s="699"/>
      <c r="S245" s="762"/>
      <c r="T245" s="765">
        <f t="shared" si="122"/>
        <v>0</v>
      </c>
      <c r="U245" s="700"/>
      <c r="V245" s="701"/>
      <c r="W245" s="701"/>
      <c r="X245" s="295">
        <f t="shared" si="117"/>
        <v>0</v>
      </c>
      <c r="Y245" s="296">
        <f>IF(AA245&gt;0,V245,AE243/IF(Iniciar!$C$25="B X 40 K",40,IF(Iniciar!$C$25="B X 50 K",50,1))*I245/1000)</f>
        <v>0</v>
      </c>
      <c r="Z245" s="296">
        <f t="shared" si="118"/>
        <v>0</v>
      </c>
      <c r="AA245" s="297">
        <f t="shared" si="140"/>
        <v>0</v>
      </c>
      <c r="AB245" s="297">
        <f t="shared" si="112"/>
        <v>0</v>
      </c>
      <c r="AC245" s="1268" t="str">
        <f>$AC$7</f>
        <v>Kg Ave Acu :</v>
      </c>
      <c r="AD245" s="308">
        <f>IF(OR(SUM(L243:L249)&gt;0,SUM(V243:V249)&gt;0),AD244/1000+AD238,0)</f>
        <v>0</v>
      </c>
      <c r="AE245" s="309">
        <f>AE244/1000+AE238</f>
        <v>0</v>
      </c>
      <c r="AF245" s="310">
        <f>IF(AND(AE245&gt;0,AD245&gt;0),(AD245/AE245-1)*100,0)</f>
        <v>0</v>
      </c>
      <c r="AG245" s="311" t="str">
        <f>PROD!$AG$7</f>
        <v xml:space="preserve">Masa Sem H (Gr) : </v>
      </c>
      <c r="AH245" s="312">
        <f>PROD!O243/100*7*PROD!O245</f>
        <v>0</v>
      </c>
      <c r="AI245" s="312">
        <f>PROD!P243/100*7*PROD!P245</f>
        <v>0</v>
      </c>
      <c r="AJ245" s="313">
        <f t="shared" si="138"/>
        <v>0</v>
      </c>
      <c r="AK245" s="2027"/>
      <c r="AL245" s="1284">
        <f t="shared" si="113"/>
        <v>0</v>
      </c>
      <c r="AM245" s="1285"/>
      <c r="AN245" s="1285"/>
      <c r="AO245" s="1285"/>
      <c r="AP245" s="1285"/>
      <c r="AQ245" s="1285"/>
      <c r="AR245" s="1285"/>
      <c r="AS245" s="1286"/>
      <c r="AT245" s="1287"/>
      <c r="AU245" s="1288"/>
      <c r="AV245" s="1289"/>
      <c r="AW245" s="1290"/>
      <c r="AX245" s="1291"/>
      <c r="AY245" s="1291"/>
      <c r="AZ245" s="1292"/>
      <c r="BA245" s="1293"/>
      <c r="BB245" s="1294"/>
      <c r="BC245" s="1295"/>
      <c r="BD245" s="1296">
        <f>BD244+PROD!L245-BA245</f>
        <v>0</v>
      </c>
      <c r="BE245" s="2133"/>
      <c r="BF245" s="507" t="e">
        <f t="shared" si="114"/>
        <v>#VALUE!</v>
      </c>
      <c r="BG245" s="329"/>
      <c r="BH245" s="1018">
        <f t="shared" si="115"/>
        <v>0</v>
      </c>
    </row>
    <row r="246" spans="1:60" ht="15" customHeight="1" x14ac:dyDescent="0.3">
      <c r="A246" s="2033"/>
      <c r="B246" s="287" t="str">
        <f t="shared" si="116"/>
        <v/>
      </c>
      <c r="C246" s="288" t="str">
        <f t="shared" si="111"/>
        <v/>
      </c>
      <c r="D246" s="691"/>
      <c r="E246" s="692"/>
      <c r="F246" s="693"/>
      <c r="G246" s="694"/>
      <c r="H246" s="695"/>
      <c r="I246" s="289">
        <f>I245-SUM($D246:F246)</f>
        <v>0</v>
      </c>
      <c r="J246" s="1234" t="str">
        <f>$J$8</f>
        <v>% Mort Acm :</v>
      </c>
      <c r="K246" s="1231">
        <f>IF(PROD!$K$2&gt;0,SUM(D$5:D249)/PROD!$K$2,0)</f>
        <v>0</v>
      </c>
      <c r="L246" s="1246"/>
      <c r="M246" s="291">
        <f t="shared" si="139"/>
        <v>0</v>
      </c>
      <c r="N246" s="314" t="str">
        <f>N$8</f>
        <v xml:space="preserve">Peso Ave (Gr) : </v>
      </c>
      <c r="O246" s="315">
        <f>LOOKUP($A243,GSh!$BV$6:$BV$108,GSh!$BJ$6:$BJ$108)</f>
        <v>0</v>
      </c>
      <c r="P246" s="315">
        <f>IFERROR(LOOKUP($A243,TP!$A$6:$A$108,GSh!$BK$6:$BK$108),0)</f>
        <v>0</v>
      </c>
      <c r="Q246" s="316">
        <f>IF(AND(P246&gt;0,O246&gt;0),(O246/P246-1)*100,0)</f>
        <v>0</v>
      </c>
      <c r="R246" s="699"/>
      <c r="S246" s="762"/>
      <c r="T246" s="765">
        <f t="shared" si="122"/>
        <v>0</v>
      </c>
      <c r="U246" s="700"/>
      <c r="V246" s="701"/>
      <c r="W246" s="701"/>
      <c r="X246" s="295">
        <f t="shared" si="117"/>
        <v>0</v>
      </c>
      <c r="Y246" s="296">
        <f>IF(AA246&gt;0,V246,AE243/IF(Iniciar!$C$25="B X 40 K",40,IF(Iniciar!$C$25="B X 50 K",50,1))*I246/1000)</f>
        <v>0</v>
      </c>
      <c r="Z246" s="296">
        <f t="shared" si="118"/>
        <v>0</v>
      </c>
      <c r="AA246" s="297">
        <f t="shared" si="140"/>
        <v>0</v>
      </c>
      <c r="AB246" s="297">
        <f t="shared" si="112"/>
        <v>0</v>
      </c>
      <c r="AC246" s="541" t="str">
        <f>$AC$8</f>
        <v xml:space="preserve">Ton. Lote Acu : </v>
      </c>
      <c r="AD246" s="544">
        <f>SUM($V$5:$V249)*$A$1/1000000</f>
        <v>0</v>
      </c>
      <c r="AE246" s="543">
        <f>AE239+(AE243/1000000*7*(I243+I249)/2)</f>
        <v>0</v>
      </c>
      <c r="AF246" s="542">
        <f>IF(AND(AE246&gt;0,AD246&gt;0),(AD246/AE246-1)*100,0)</f>
        <v>0</v>
      </c>
      <c r="AG246" s="317" t="str">
        <f>PROD!$AG$8</f>
        <v xml:space="preserve">Masa Ac A. A (Kg) : </v>
      </c>
      <c r="AH246" s="318">
        <f>IF(PROD!$K$2&gt;0,SUM(PROD!L$5:L249)*LOOKUP(PROD!$A243,TP!$A$6:$A$108,GSh!$BB$6:$BB$108)/1000/PROD!$K$2,0)</f>
        <v>0</v>
      </c>
      <c r="AI246" s="318">
        <f>IFERROR(PROD!P244*LOOKUP(PROD!$A243,TP!$A$6:$A$108,GSh!$BC$6:$BC$108)/1000,0)</f>
        <v>0</v>
      </c>
      <c r="AJ246" s="330">
        <f t="shared" si="138"/>
        <v>0</v>
      </c>
      <c r="AK246" s="2027"/>
      <c r="AL246" s="1284">
        <f t="shared" si="113"/>
        <v>0</v>
      </c>
      <c r="AM246" s="1285"/>
      <c r="AN246" s="1285"/>
      <c r="AO246" s="1285"/>
      <c r="AP246" s="1285"/>
      <c r="AQ246" s="1285"/>
      <c r="AR246" s="1285"/>
      <c r="AS246" s="1286"/>
      <c r="AT246" s="1287"/>
      <c r="AU246" s="1288"/>
      <c r="AV246" s="1289"/>
      <c r="AW246" s="1290"/>
      <c r="AX246" s="1291"/>
      <c r="AY246" s="1291"/>
      <c r="AZ246" s="1292"/>
      <c r="BA246" s="1293"/>
      <c r="BB246" s="1294"/>
      <c r="BC246" s="1295"/>
      <c r="BD246" s="1296">
        <f>BD245+PROD!L246-BA246</f>
        <v>0</v>
      </c>
      <c r="BE246" s="2133"/>
      <c r="BF246" s="507" t="e">
        <f t="shared" si="114"/>
        <v>#VALUE!</v>
      </c>
      <c r="BG246" s="329"/>
      <c r="BH246" s="1018">
        <f t="shared" si="115"/>
        <v>0</v>
      </c>
    </row>
    <row r="247" spans="1:60" ht="15" customHeight="1" x14ac:dyDescent="0.3">
      <c r="A247" s="2033"/>
      <c r="B247" s="287" t="str">
        <f t="shared" si="116"/>
        <v/>
      </c>
      <c r="C247" s="288" t="str">
        <f t="shared" si="111"/>
        <v/>
      </c>
      <c r="D247" s="691"/>
      <c r="E247" s="692"/>
      <c r="F247" s="693"/>
      <c r="G247" s="694"/>
      <c r="H247" s="695"/>
      <c r="I247" s="289">
        <f>I246-SUM($D247:F247)</f>
        <v>0</v>
      </c>
      <c r="J247" s="1234" t="str">
        <f>$J$9</f>
        <v>% Sel Acm :</v>
      </c>
      <c r="K247" s="1231">
        <f>IF(PROD!$K$2&gt;0,SUM(E$5:E249)/PROD!$K$2,0)</f>
        <v>0</v>
      </c>
      <c r="L247" s="1246"/>
      <c r="M247" s="291">
        <f t="shared" si="139"/>
        <v>0</v>
      </c>
      <c r="N247" s="292" t="str">
        <f>$N$9</f>
        <v xml:space="preserve">Uniformidad (10% -) : </v>
      </c>
      <c r="O247" s="320">
        <f>LOOKUP($A243,'Pr-Sem'!$A$6:$A$108,'Pr-Sem'!$AH$6:$AH$108)</f>
        <v>0</v>
      </c>
      <c r="P247" s="320">
        <v>5</v>
      </c>
      <c r="Q247" s="321">
        <f>IF(AND(P247&gt;0,O247&gt;0),(1-O247/P247)*100,0)</f>
        <v>0</v>
      </c>
      <c r="R247" s="699"/>
      <c r="S247" s="762"/>
      <c r="T247" s="765">
        <f t="shared" si="122"/>
        <v>0</v>
      </c>
      <c r="U247" s="700"/>
      <c r="V247" s="701"/>
      <c r="W247" s="701"/>
      <c r="X247" s="295">
        <f t="shared" si="117"/>
        <v>0</v>
      </c>
      <c r="Y247" s="296">
        <f>IF(AA247&gt;0,V247,AE243/IF(Iniciar!$C$25="B X 40 K",40,IF(Iniciar!$C$25="B X 50 K",50,1))*I247/1000)</f>
        <v>0</v>
      </c>
      <c r="Z247" s="296">
        <f t="shared" si="118"/>
        <v>0</v>
      </c>
      <c r="AA247" s="297">
        <f t="shared" si="140"/>
        <v>0</v>
      </c>
      <c r="AB247" s="297">
        <f t="shared" si="112"/>
        <v>0</v>
      </c>
      <c r="AC247" s="2035" t="str">
        <f>$AC$9</f>
        <v xml:space="preserve">Total Litros Sem: </v>
      </c>
      <c r="AD247" s="2036"/>
      <c r="AE247" s="2050">
        <f>SUM(R243:R249)</f>
        <v>0</v>
      </c>
      <c r="AF247" s="2051"/>
      <c r="AG247" s="554" t="str">
        <f>$AG$9</f>
        <v xml:space="preserve">Indicador Eficiencia : </v>
      </c>
      <c r="AH247" s="555">
        <f>IF(AND(AE247&gt;0,O244&gt;0,O245&gt;0,SUM(L243:L249)&gt;0),(PROD!AH246/O244)*K249*100/(AE247/(SUM(L243:L249)*O245/1000)),0)</f>
        <v>0</v>
      </c>
      <c r="AI247" s="555">
        <f>IF(AND(P244&gt;0,PROD!AI245&gt;0),(PROD!AI246/P244)*(1-K248)*100/(AE244/PROD!AI245),0)</f>
        <v>0</v>
      </c>
      <c r="AJ247" s="331">
        <f t="shared" si="138"/>
        <v>0</v>
      </c>
      <c r="AK247" s="2027"/>
      <c r="AL247" s="1284">
        <f t="shared" si="113"/>
        <v>0</v>
      </c>
      <c r="AM247" s="1285"/>
      <c r="AN247" s="1285"/>
      <c r="AO247" s="1285"/>
      <c r="AP247" s="1285"/>
      <c r="AQ247" s="1285"/>
      <c r="AR247" s="1285"/>
      <c r="AS247" s="1286"/>
      <c r="AT247" s="1287"/>
      <c r="AU247" s="1288"/>
      <c r="AV247" s="1289"/>
      <c r="AW247" s="1290"/>
      <c r="AX247" s="1291"/>
      <c r="AY247" s="1291"/>
      <c r="AZ247" s="1292"/>
      <c r="BA247" s="1293"/>
      <c r="BB247" s="1294"/>
      <c r="BC247" s="1295"/>
      <c r="BD247" s="1296">
        <f>BD246+PROD!L247-BA247</f>
        <v>0</v>
      </c>
      <c r="BE247" s="2133"/>
      <c r="BF247" s="507" t="e">
        <f t="shared" si="114"/>
        <v>#VALUE!</v>
      </c>
      <c r="BG247" s="329"/>
      <c r="BH247" s="1018">
        <f t="shared" si="115"/>
        <v>0</v>
      </c>
    </row>
    <row r="248" spans="1:60" ht="15" customHeight="1" x14ac:dyDescent="0.3">
      <c r="A248" s="2033"/>
      <c r="B248" s="287" t="str">
        <f t="shared" si="116"/>
        <v/>
      </c>
      <c r="C248" s="288" t="str">
        <f t="shared" si="111"/>
        <v/>
      </c>
      <c r="D248" s="691"/>
      <c r="E248" s="692"/>
      <c r="F248" s="693"/>
      <c r="G248" s="694"/>
      <c r="H248" s="695"/>
      <c r="I248" s="289">
        <f>I247-SUM($D248:F248)</f>
        <v>0</v>
      </c>
      <c r="J248" s="1237" t="str">
        <f>$J$10</f>
        <v>% Mort/Sel Acm Tab :</v>
      </c>
      <c r="K248" s="1238">
        <f>IFERROR(LOOKUP($A243,TP!$A$6:$A$108,GSh!$AR$6:$AR$108)/100,0)</f>
        <v>0</v>
      </c>
      <c r="L248" s="1246"/>
      <c r="M248" s="291">
        <f t="shared" si="139"/>
        <v>0</v>
      </c>
      <c r="N248" s="292" t="str">
        <f>$N$10</f>
        <v xml:space="preserve">Uniformidad (C. Lote) : </v>
      </c>
      <c r="O248" s="320">
        <f>LOOKUP($A243,'Pr-Sem'!$A$6:$A$108,'Pr-Sem'!$AG$6:$AG$108)</f>
        <v>0</v>
      </c>
      <c r="P248" s="320">
        <v>90</v>
      </c>
      <c r="Q248" s="321">
        <f>IF(AND(P248&gt;0,O248&gt;0),(O248/P248-1)*100,0)</f>
        <v>0</v>
      </c>
      <c r="R248" s="699"/>
      <c r="S248" s="762"/>
      <c r="T248" s="765">
        <f t="shared" si="122"/>
        <v>0</v>
      </c>
      <c r="U248" s="700"/>
      <c r="V248" s="701"/>
      <c r="W248" s="701"/>
      <c r="X248" s="295">
        <f t="shared" si="117"/>
        <v>0</v>
      </c>
      <c r="Y248" s="296">
        <f>IF(AA248&gt;0,V248,AE243/IF(Iniciar!$C$25="B X 40 K",40,IF(Iniciar!$C$25="B X 50 K",50,1))*I248/1000)</f>
        <v>0</v>
      </c>
      <c r="Z248" s="296">
        <f t="shared" si="118"/>
        <v>0</v>
      </c>
      <c r="AA248" s="297">
        <f t="shared" si="140"/>
        <v>0</v>
      </c>
      <c r="AB248" s="297">
        <f t="shared" si="112"/>
        <v>0</v>
      </c>
      <c r="AC248" s="2037" t="str">
        <f>$AC$10</f>
        <v xml:space="preserve">Cons ml /ave día: </v>
      </c>
      <c r="AD248" s="2038"/>
      <c r="AE248" s="2056">
        <f>IFERROR(SUMPRODUCT(AB243:AB249,I243:I249)/SUM(I243:I249),0)</f>
        <v>0</v>
      </c>
      <c r="AF248" s="2057"/>
      <c r="AG248" s="311" t="str">
        <f>CONCATENATE("Costo ",Iniciar!$C$25," : ")</f>
        <v xml:space="preserve">Costo Kilos : </v>
      </c>
      <c r="AH248" s="2043">
        <f>IFERROR(SUMPRODUCT(T243:T249,V243:V249)/SUMIF(T243:T249,"&gt;0",V243:V249),0)</f>
        <v>0</v>
      </c>
      <c r="AI248" s="2043"/>
      <c r="AJ248" s="313"/>
      <c r="AK248" s="2027"/>
      <c r="AL248" s="1284">
        <f t="shared" si="113"/>
        <v>0</v>
      </c>
      <c r="AM248" s="1285"/>
      <c r="AN248" s="1285"/>
      <c r="AO248" s="1285"/>
      <c r="AP248" s="1285"/>
      <c r="AQ248" s="1285"/>
      <c r="AR248" s="1285"/>
      <c r="AS248" s="1286"/>
      <c r="AT248" s="1287"/>
      <c r="AU248" s="1288"/>
      <c r="AV248" s="1289"/>
      <c r="AW248" s="1290"/>
      <c r="AX248" s="1291"/>
      <c r="AY248" s="1291"/>
      <c r="AZ248" s="1292"/>
      <c r="BA248" s="1293"/>
      <c r="BB248" s="1294"/>
      <c r="BC248" s="1295"/>
      <c r="BD248" s="1296">
        <f>BD247+PROD!L248-BA248</f>
        <v>0</v>
      </c>
      <c r="BE248" s="2133"/>
      <c r="BF248" s="507" t="e">
        <f t="shared" si="114"/>
        <v>#VALUE!</v>
      </c>
      <c r="BG248" s="329"/>
      <c r="BH248" s="1018">
        <f t="shared" si="115"/>
        <v>0</v>
      </c>
    </row>
    <row r="249" spans="1:60" ht="15" customHeight="1" x14ac:dyDescent="0.3">
      <c r="A249" s="2034"/>
      <c r="B249" s="287" t="str">
        <f t="shared" si="116"/>
        <v/>
      </c>
      <c r="C249" s="288" t="str">
        <f t="shared" si="111"/>
        <v/>
      </c>
      <c r="D249" s="691"/>
      <c r="E249" s="692"/>
      <c r="F249" s="693"/>
      <c r="G249" s="694"/>
      <c r="H249" s="695"/>
      <c r="I249" s="289">
        <f>I248-SUM($D249:F249)</f>
        <v>0</v>
      </c>
      <c r="J249" s="1239" t="str">
        <f>$J$11</f>
        <v>% Viabilidad :</v>
      </c>
      <c r="K249" s="1240">
        <f>IF(OR(SUM(L243:L249)&gt;0,SUM(V243:V249)&gt;0),1-(K246+K247),0)</f>
        <v>0</v>
      </c>
      <c r="L249" s="1247"/>
      <c r="M249" s="1248">
        <f>IF(I249&gt;0,(L249/IF(SUM(L243:L248)&gt;0,1,7))/I249,0)</f>
        <v>0</v>
      </c>
      <c r="N249" s="1249" t="str">
        <f>$N$11</f>
        <v xml:space="preserve">Uniformidad (10% +) : </v>
      </c>
      <c r="O249" s="1250">
        <f>IF(O247&gt;0,IF(O248&gt;0,100-SUM(O247:O248),0),0)</f>
        <v>0</v>
      </c>
      <c r="P249" s="1251">
        <f>100-SUM(P247:P248)</f>
        <v>5</v>
      </c>
      <c r="Q249" s="1252">
        <f>IF(AND(P249&gt;0,O249&gt;0),(O249/P249-1)*100,0)</f>
        <v>0</v>
      </c>
      <c r="R249" s="699"/>
      <c r="S249" s="762"/>
      <c r="T249" s="765">
        <f t="shared" si="122"/>
        <v>0</v>
      </c>
      <c r="U249" s="700"/>
      <c r="V249" s="701"/>
      <c r="W249" s="701"/>
      <c r="X249" s="295">
        <f t="shared" si="117"/>
        <v>0</v>
      </c>
      <c r="Y249" s="296">
        <f>IF(AA249&gt;0,V249,AE243/IF(Iniciar!$C$25="B X 40 K",40,IF(Iniciar!$C$25="B X 50 K",50,1))*I249/1000)</f>
        <v>0</v>
      </c>
      <c r="Z249" s="296">
        <f t="shared" si="118"/>
        <v>0</v>
      </c>
      <c r="AA249" s="297">
        <f>IF(I249&gt;0,(V249/IF(SUM(V243:V248)&gt;0,1,7))*$A$1/I249,0)</f>
        <v>0</v>
      </c>
      <c r="AB249" s="297">
        <f t="shared" si="112"/>
        <v>0</v>
      </c>
      <c r="AC249" s="2039" t="str">
        <f>$AC$11</f>
        <v xml:space="preserve">Relación Agua /Alimto: </v>
      </c>
      <c r="AD249" s="2040"/>
      <c r="AE249" s="2058">
        <f>IFERROR(AE248/AD243,0)</f>
        <v>0</v>
      </c>
      <c r="AF249" s="2059"/>
      <c r="AG249" s="1269" t="s">
        <v>237</v>
      </c>
      <c r="AH249" s="1270">
        <f>IF(SUM(L243:L249)&gt;0,AH248*SUM(V243:V249)/SUM(L243:L249),0)</f>
        <v>0</v>
      </c>
      <c r="AI249" s="1270">
        <f>IF(AND($A$1&gt;0,P243&gt;0),AH248/$A$1*(AE243/P243)*100,0)</f>
        <v>0</v>
      </c>
      <c r="AJ249" s="1271">
        <f t="shared" ref="AJ249:AJ254" si="141">IF(AND(AI249&gt;0,AH249&gt;0),(AH249/AI249-1)*100,0)</f>
        <v>0</v>
      </c>
      <c r="AK249" s="2028"/>
      <c r="AL249" s="1284">
        <f t="shared" si="113"/>
        <v>0</v>
      </c>
      <c r="AM249" s="1285"/>
      <c r="AN249" s="1285"/>
      <c r="AO249" s="1285"/>
      <c r="AP249" s="1285"/>
      <c r="AQ249" s="1285"/>
      <c r="AR249" s="1285"/>
      <c r="AS249" s="1286"/>
      <c r="AT249" s="1287"/>
      <c r="AU249" s="1288"/>
      <c r="AV249" s="1289"/>
      <c r="AW249" s="1290"/>
      <c r="AX249" s="1291"/>
      <c r="AY249" s="1291"/>
      <c r="AZ249" s="1292"/>
      <c r="BA249" s="1293"/>
      <c r="BB249" s="1294"/>
      <c r="BC249" s="1295"/>
      <c r="BD249" s="1296">
        <f>BD248+PROD!L249-BA249</f>
        <v>0</v>
      </c>
      <c r="BE249" s="2134"/>
      <c r="BF249" s="507" t="e">
        <f t="shared" si="114"/>
        <v>#VALUE!</v>
      </c>
      <c r="BG249" s="329"/>
      <c r="BH249" s="1018">
        <f t="shared" si="115"/>
        <v>0</v>
      </c>
    </row>
    <row r="250" spans="1:60" ht="15" customHeight="1" x14ac:dyDescent="0.3">
      <c r="A250" s="2032">
        <f>A243+1</f>
        <v>53</v>
      </c>
      <c r="B250" s="287" t="str">
        <f t="shared" si="116"/>
        <v/>
      </c>
      <c r="C250" s="288" t="str">
        <f t="shared" si="111"/>
        <v/>
      </c>
      <c r="D250" s="691"/>
      <c r="E250" s="692"/>
      <c r="F250" s="693"/>
      <c r="G250" s="694"/>
      <c r="H250" s="695"/>
      <c r="I250" s="289">
        <f>I249-SUM($D250:F250)</f>
        <v>0</v>
      </c>
      <c r="J250" s="1232" t="str">
        <f>$J$5</f>
        <v>% Mort Sem :</v>
      </c>
      <c r="K250" s="1233">
        <f>IF(PROD!$K$2&gt;0,SUM(D250:D256)/PROD!$K$2,0)</f>
        <v>0</v>
      </c>
      <c r="L250" s="1241"/>
      <c r="M250" s="1242">
        <f t="shared" ref="M250:M255" si="142">IF(I250&gt;0,L250/I250,0)</f>
        <v>0</v>
      </c>
      <c r="N250" s="1243" t="str">
        <f>$N$5</f>
        <v xml:space="preserve">% Pdn prom semana : </v>
      </c>
      <c r="O250" s="1244">
        <f>IF(SUM(L250:L255)&gt;0,100*SUMPRODUCT(M250:M256,I250:I256)/SUMIF(L250:L256,"&gt;0",I250:I256),IF(L256&gt;0,100*L256/7/I256,0))</f>
        <v>0</v>
      </c>
      <c r="P250" s="1244">
        <f>IFERROR(LOOKUP($A250,TP!$A$6:$A$108,GSh!$AE$6:$AE$108),0)</f>
        <v>0</v>
      </c>
      <c r="Q250" s="1245">
        <f>IF(AND(P250&gt;0,O250&gt;0),O250-P250,0)</f>
        <v>0</v>
      </c>
      <c r="R250" s="699"/>
      <c r="S250" s="762"/>
      <c r="T250" s="765">
        <f t="shared" si="122"/>
        <v>0</v>
      </c>
      <c r="U250" s="700"/>
      <c r="V250" s="701"/>
      <c r="W250" s="701"/>
      <c r="X250" s="295">
        <f t="shared" si="117"/>
        <v>0</v>
      </c>
      <c r="Y250" s="296">
        <f>IF(AA250&gt;0,V250,AE250/IF(Iniciar!$C$25="B X 40 K",40,IF(Iniciar!$C$25="B X 50 K",50,1))*I250/1000)</f>
        <v>0</v>
      </c>
      <c r="Z250" s="296">
        <f t="shared" si="118"/>
        <v>0</v>
      </c>
      <c r="AA250" s="297">
        <f t="shared" ref="AA250:AA255" si="143">IF(I250&gt;0,V250*$A$1/I250,0)</f>
        <v>0</v>
      </c>
      <c r="AB250" s="297">
        <f t="shared" si="112"/>
        <v>0</v>
      </c>
      <c r="AC250" s="1261" t="str">
        <f>$AC$5</f>
        <v>Gr. Ave Dia :</v>
      </c>
      <c r="AD250" s="1262">
        <f>IF(SUMIF(V250:V256,"&gt;0")&gt;0,SUMPRODUCT(AA250:AA256,I250:I256)/SUMIF(AA250:AA256,"&gt;0",I250:I256),0)</f>
        <v>0</v>
      </c>
      <c r="AE250" s="1262">
        <f>IFERROR(LOOKUP($A250,TP!$A$6:$A$108,GSh!$AU$6:$AU$108),0)</f>
        <v>0</v>
      </c>
      <c r="AF250" s="1263">
        <f>IF(AND(AE250&gt;0,AD250&gt;0),(AD250/AE250-1)*100,0)</f>
        <v>0</v>
      </c>
      <c r="AG250" s="1264" t="str">
        <f>PROD!$AG$5</f>
        <v>Gr X H</v>
      </c>
      <c r="AH250" s="1265">
        <f>IF(PROD!O250&gt;0,IF($AG250="Gr X H",PROD!AD250/PROD!O250*100,IF($AG250="Conv Kg/Doc",PROD!AD250/PROD!O250*1.2,IF(PROD!$O252&gt;0,PROD!AD250/(PROD!O250*PROD!$O252)*100,0))),0)</f>
        <v>0</v>
      </c>
      <c r="AI250" s="1265">
        <f>IF(PROD!P250&gt;0,IF($AG250="Gr X H",PROD!AE250/PROD!P250*100,IF($AG250="Conv Kg/Doc",PROD!AE250/PROD!P250*1.2,IF(PROD!$P252&gt;0,PROD!AE250/(PROD!P250*PROD!$P252)*100,0))),0)</f>
        <v>0</v>
      </c>
      <c r="AJ250" s="1266">
        <f t="shared" si="141"/>
        <v>0</v>
      </c>
      <c r="AK250" s="2026"/>
      <c r="AL250" s="1284">
        <f t="shared" si="113"/>
        <v>0</v>
      </c>
      <c r="AM250" s="1285"/>
      <c r="AN250" s="1285"/>
      <c r="AO250" s="1285"/>
      <c r="AP250" s="1285"/>
      <c r="AQ250" s="1285"/>
      <c r="AR250" s="1285"/>
      <c r="AS250" s="1286"/>
      <c r="AT250" s="1287"/>
      <c r="AU250" s="1288"/>
      <c r="AV250" s="1289"/>
      <c r="AW250" s="1290"/>
      <c r="AX250" s="1291"/>
      <c r="AY250" s="1291"/>
      <c r="AZ250" s="1292"/>
      <c r="BA250" s="1293"/>
      <c r="BB250" s="1294"/>
      <c r="BC250" s="1295"/>
      <c r="BD250" s="1296">
        <f>BD249+PROD!L250-BA250</f>
        <v>0</v>
      </c>
      <c r="BE250" s="2132">
        <f>IF(SUM(AM250:AZ256)&gt;0,(SUM(AM250:AM256)*$AM$2+SUM(AN250:AN256)*$AN$2+SUM(AO250:AO256)*$AO$2+SUM(AP250:AP256)*$AP$2+SUM(AQ250:AQ256)*$AQ$2+SUM(AR250:AR256)*$AR$2+SUM(AS250:AS256)*$AS$2+SUM(AW250:AW256)*$AW$2+SUM(AX250:AX256)*$AX$2+SUM(AY250:AY256)*$AY$2+SUM(AZ250:AZ256)*$AZ$2+SUM(AT250:AT256)*$AT$2+SUM(AU250:AU256)*$AU$2+SUM(AV250:AV256)*$AV$2)/SUM(AM250:AZ256),0)</f>
        <v>0</v>
      </c>
      <c r="BF250" s="507" t="e">
        <f t="shared" si="114"/>
        <v>#VALUE!</v>
      </c>
      <c r="BG250" s="277">
        <f>IF(SUM(L250:L256)&gt;0,A250,IF(SUM(V250:V256)&gt;0,A250,BG243))</f>
        <v>0</v>
      </c>
      <c r="BH250" s="1018">
        <f t="shared" si="115"/>
        <v>0</v>
      </c>
    </row>
    <row r="251" spans="1:60" ht="15" customHeight="1" x14ac:dyDescent="0.3">
      <c r="A251" s="2033"/>
      <c r="B251" s="287" t="str">
        <f t="shared" si="116"/>
        <v/>
      </c>
      <c r="C251" s="288" t="str">
        <f t="shared" si="111"/>
        <v/>
      </c>
      <c r="D251" s="691"/>
      <c r="E251" s="692"/>
      <c r="F251" s="693"/>
      <c r="G251" s="694"/>
      <c r="H251" s="695"/>
      <c r="I251" s="289">
        <f>I250-SUM($D251:F251)</f>
        <v>0</v>
      </c>
      <c r="J251" s="1234" t="str">
        <f>$J$6</f>
        <v>% Sel Sem :</v>
      </c>
      <c r="K251" s="1231">
        <f>IF(PROD!$K$2&gt;0,SUM(E250:E256)/PROD!$K$2,0)</f>
        <v>0</v>
      </c>
      <c r="L251" s="1246"/>
      <c r="M251" s="291">
        <f t="shared" si="142"/>
        <v>0</v>
      </c>
      <c r="N251" s="292" t="str">
        <f>$N$6</f>
        <v xml:space="preserve">H. Ave Alojada : </v>
      </c>
      <c r="O251" s="293">
        <f>IF(AND(PROD!$K$2&gt;0,O250&gt;0),SUM(L$5:L256)/PROD!$K$2,0)</f>
        <v>0</v>
      </c>
      <c r="P251" s="293">
        <f>IFERROR(LOOKUP($A250,TP!$A$6:$A$108,GSh!$AJ$6:$AJ$108),0)</f>
        <v>0</v>
      </c>
      <c r="Q251" s="294">
        <f>IF(AND(P251&gt;0,O251&gt;0),O251-P251,0)</f>
        <v>0</v>
      </c>
      <c r="R251" s="699"/>
      <c r="S251" s="762"/>
      <c r="T251" s="765">
        <f t="shared" si="122"/>
        <v>0</v>
      </c>
      <c r="U251" s="700"/>
      <c r="V251" s="701"/>
      <c r="W251" s="701"/>
      <c r="X251" s="295">
        <f t="shared" si="117"/>
        <v>0</v>
      </c>
      <c r="Y251" s="296">
        <f>IF(AA251&gt;0,V251,AE250/IF(Iniciar!$C$25="B X 40 K",40,IF(Iniciar!$C$25="B X 50 K",50,1))*I251/1000)</f>
        <v>0</v>
      </c>
      <c r="Z251" s="296">
        <f t="shared" si="118"/>
        <v>0</v>
      </c>
      <c r="AA251" s="297">
        <f t="shared" si="143"/>
        <v>0</v>
      </c>
      <c r="AB251" s="297">
        <f t="shared" si="112"/>
        <v>0</v>
      </c>
      <c r="AC251" s="1267" t="str">
        <f>$AC$6</f>
        <v>Gr. Ave Sem :</v>
      </c>
      <c r="AD251" s="284">
        <f>AD250*7</f>
        <v>0</v>
      </c>
      <c r="AE251" s="284">
        <f>AE250*7</f>
        <v>0</v>
      </c>
      <c r="AF251" s="285">
        <f>IF(AND(AE251&gt;0,AD251&gt;0),(AD251/AE251-1)*100,0)</f>
        <v>0</v>
      </c>
      <c r="AG251" s="1199" t="str">
        <f>PROD!$AG$6</f>
        <v>Gr X H Acm</v>
      </c>
      <c r="AH251" s="298">
        <f>IF(SUM(PROD!L250:L256)&gt;0,IF(PROD!$AG$5="Gr X H",SUM(PROD!V$5:V256)*PROD!$A$1/SUM(PROD!L$5:L256),IF($AG250="Conv Kg/Doc",(SUM(PROD!V$5:V256)*PROD!$A$1/1000)/(SUM(PROD!L$5:L256)/12),IF(PROD!$O252&gt;0,SUM(PROD!V$5:V256)*PROD!$A$1/(SUM(PROD!L$5:L256)*LOOKUP(PROD!A250,TP!$A$6:$A$108,GSh!$BB$6:$BB$108)),0))),0)</f>
        <v>0</v>
      </c>
      <c r="AI251" s="298">
        <f>IF(PROD!P250&gt;0,IF($AG250="Gr X H",PROD!AE250/PROD!P250*100,IF($AG250="Conv Kg/Doc",PROD!AE250/PROD!P250*1.2,IF(PROD!$P251&gt;0,PROD!AE252/(PROD!P251*LOOKUP(PROD!$A250,TP!$A$6:$A$108,GSh!$BC$6:$BC$108)/1000),0))),0)</f>
        <v>0</v>
      </c>
      <c r="AJ251" s="328">
        <f t="shared" si="141"/>
        <v>0</v>
      </c>
      <c r="AK251" s="2027"/>
      <c r="AL251" s="1284">
        <f t="shared" si="113"/>
        <v>0</v>
      </c>
      <c r="AM251" s="1285"/>
      <c r="AN251" s="1285"/>
      <c r="AO251" s="1285"/>
      <c r="AP251" s="1285"/>
      <c r="AQ251" s="1285"/>
      <c r="AR251" s="1285"/>
      <c r="AS251" s="1286"/>
      <c r="AT251" s="1287"/>
      <c r="AU251" s="1288"/>
      <c r="AV251" s="1289"/>
      <c r="AW251" s="1290"/>
      <c r="AX251" s="1291"/>
      <c r="AY251" s="1291"/>
      <c r="AZ251" s="1292"/>
      <c r="BA251" s="1293"/>
      <c r="BB251" s="1294"/>
      <c r="BC251" s="1295"/>
      <c r="BD251" s="1296">
        <f>BD250+PROD!L251-BA251</f>
        <v>0</v>
      </c>
      <c r="BE251" s="2133"/>
      <c r="BF251" s="507" t="e">
        <f t="shared" si="114"/>
        <v>#VALUE!</v>
      </c>
      <c r="BG251" s="329"/>
      <c r="BH251" s="1018">
        <f t="shared" si="115"/>
        <v>0</v>
      </c>
    </row>
    <row r="252" spans="1:60" ht="15" customHeight="1" x14ac:dyDescent="0.3">
      <c r="A252" s="2033"/>
      <c r="B252" s="287" t="str">
        <f t="shared" si="116"/>
        <v/>
      </c>
      <c r="C252" s="288" t="str">
        <f t="shared" si="111"/>
        <v/>
      </c>
      <c r="D252" s="691"/>
      <c r="E252" s="692"/>
      <c r="F252" s="693"/>
      <c r="G252" s="694"/>
      <c r="H252" s="695"/>
      <c r="I252" s="289">
        <f>I251-SUM($D252:F252)</f>
        <v>0</v>
      </c>
      <c r="J252" s="1235" t="str">
        <f>$J$7</f>
        <v>% Mort/Sel Sem Tab :</v>
      </c>
      <c r="K252" s="1236">
        <f>K255-K248</f>
        <v>0</v>
      </c>
      <c r="L252" s="1246"/>
      <c r="M252" s="291">
        <f t="shared" si="142"/>
        <v>0</v>
      </c>
      <c r="N252" s="304" t="str">
        <f>$N$7</f>
        <v xml:space="preserve">Peso Huevo (Gr) : </v>
      </c>
      <c r="O252" s="305">
        <f>LOOKUP($A250,'Pr-Sem'!$A$6:$A$108,'Pr-Sem'!$Z$6:$Z$108)</f>
        <v>0</v>
      </c>
      <c r="P252" s="305">
        <f>IFERROR(LOOKUP($A250,TP!$A$6:$A$108,GSh!$AZ$6:$AZ$108),0)</f>
        <v>0</v>
      </c>
      <c r="Q252" s="306">
        <f>IF(AND(P252&gt;0,O252&gt;0),O252-P252,0)</f>
        <v>0</v>
      </c>
      <c r="R252" s="699"/>
      <c r="S252" s="762"/>
      <c r="T252" s="765">
        <f t="shared" si="122"/>
        <v>0</v>
      </c>
      <c r="U252" s="700"/>
      <c r="V252" s="701"/>
      <c r="W252" s="701"/>
      <c r="X252" s="295">
        <f t="shared" si="117"/>
        <v>0</v>
      </c>
      <c r="Y252" s="296">
        <f>IF(AA252&gt;0,V252,AE250/IF(Iniciar!$C$25="B X 40 K",40,IF(Iniciar!$C$25="B X 50 K",50,1))*I252/1000)</f>
        <v>0</v>
      </c>
      <c r="Z252" s="296">
        <f t="shared" si="118"/>
        <v>0</v>
      </c>
      <c r="AA252" s="297">
        <f t="shared" si="143"/>
        <v>0</v>
      </c>
      <c r="AB252" s="297">
        <f t="shared" si="112"/>
        <v>0</v>
      </c>
      <c r="AC252" s="1268" t="str">
        <f>$AC$7</f>
        <v>Kg Ave Acu :</v>
      </c>
      <c r="AD252" s="308">
        <f>IF(OR(SUM(L250:L256)&gt;0,SUM(V250:V256)&gt;0),AD251/1000+AD245,0)</f>
        <v>0</v>
      </c>
      <c r="AE252" s="309">
        <f>AE251/1000+AE245</f>
        <v>0</v>
      </c>
      <c r="AF252" s="310">
        <f>IF(AND(AE252&gt;0,AD252&gt;0),(AD252/AE252-1)*100,0)</f>
        <v>0</v>
      </c>
      <c r="AG252" s="311" t="str">
        <f>PROD!$AG$7</f>
        <v xml:space="preserve">Masa Sem H (Gr) : </v>
      </c>
      <c r="AH252" s="312">
        <f>PROD!O250/100*7*PROD!O252</f>
        <v>0</v>
      </c>
      <c r="AI252" s="312">
        <f>PROD!P250/100*7*PROD!P252</f>
        <v>0</v>
      </c>
      <c r="AJ252" s="313">
        <f t="shared" si="141"/>
        <v>0</v>
      </c>
      <c r="AK252" s="2027"/>
      <c r="AL252" s="1284">
        <f t="shared" si="113"/>
        <v>0</v>
      </c>
      <c r="AM252" s="1285"/>
      <c r="AN252" s="1285"/>
      <c r="AO252" s="1285"/>
      <c r="AP252" s="1285"/>
      <c r="AQ252" s="1285"/>
      <c r="AR252" s="1285"/>
      <c r="AS252" s="1286"/>
      <c r="AT252" s="1287"/>
      <c r="AU252" s="1288"/>
      <c r="AV252" s="1289"/>
      <c r="AW252" s="1290"/>
      <c r="AX252" s="1291"/>
      <c r="AY252" s="1291"/>
      <c r="AZ252" s="1292"/>
      <c r="BA252" s="1293"/>
      <c r="BB252" s="1294"/>
      <c r="BC252" s="1295"/>
      <c r="BD252" s="1296">
        <f>BD251+PROD!L252-BA252</f>
        <v>0</v>
      </c>
      <c r="BE252" s="2133"/>
      <c r="BF252" s="507" t="e">
        <f t="shared" si="114"/>
        <v>#VALUE!</v>
      </c>
      <c r="BG252" s="329"/>
      <c r="BH252" s="1018">
        <f t="shared" si="115"/>
        <v>0</v>
      </c>
    </row>
    <row r="253" spans="1:60" ht="15" customHeight="1" x14ac:dyDescent="0.3">
      <c r="A253" s="2033"/>
      <c r="B253" s="287" t="str">
        <f t="shared" si="116"/>
        <v/>
      </c>
      <c r="C253" s="288" t="str">
        <f t="shared" si="111"/>
        <v/>
      </c>
      <c r="D253" s="691"/>
      <c r="E253" s="692"/>
      <c r="F253" s="693"/>
      <c r="G253" s="694"/>
      <c r="H253" s="695"/>
      <c r="I253" s="289">
        <f>I252-SUM($D253:F253)</f>
        <v>0</v>
      </c>
      <c r="J253" s="1234" t="str">
        <f>$J$8</f>
        <v>% Mort Acm :</v>
      </c>
      <c r="K253" s="1231">
        <f>IF(PROD!$K$2&gt;0,SUM(D$5:D256)/PROD!$K$2,0)</f>
        <v>0</v>
      </c>
      <c r="L253" s="1246"/>
      <c r="M253" s="291">
        <f t="shared" si="142"/>
        <v>0</v>
      </c>
      <c r="N253" s="314" t="str">
        <f>N$8</f>
        <v xml:space="preserve">Peso Ave (Gr) : </v>
      </c>
      <c r="O253" s="315">
        <f>LOOKUP($A250,GSh!$BV$6:$BV$108,GSh!$BJ$6:$BJ$108)</f>
        <v>0</v>
      </c>
      <c r="P253" s="315">
        <f>IFERROR(LOOKUP($A250,TP!$A$6:$A$108,GSh!$BK$6:$BK$108),0)</f>
        <v>0</v>
      </c>
      <c r="Q253" s="316">
        <f>IF(AND(P253&gt;0,O253&gt;0),(O253/P253-1)*100,0)</f>
        <v>0</v>
      </c>
      <c r="R253" s="699"/>
      <c r="S253" s="762"/>
      <c r="T253" s="765">
        <f t="shared" si="122"/>
        <v>0</v>
      </c>
      <c r="U253" s="700"/>
      <c r="V253" s="701"/>
      <c r="W253" s="701"/>
      <c r="X253" s="295">
        <f t="shared" si="117"/>
        <v>0</v>
      </c>
      <c r="Y253" s="296">
        <f>IF(AA253&gt;0,V253,AE250/IF(Iniciar!$C$25="B X 40 K",40,IF(Iniciar!$C$25="B X 50 K",50,1))*I253/1000)</f>
        <v>0</v>
      </c>
      <c r="Z253" s="296">
        <f t="shared" si="118"/>
        <v>0</v>
      </c>
      <c r="AA253" s="297">
        <f t="shared" si="143"/>
        <v>0</v>
      </c>
      <c r="AB253" s="297">
        <f t="shared" si="112"/>
        <v>0</v>
      </c>
      <c r="AC253" s="541" t="str">
        <f>$AC$8</f>
        <v xml:space="preserve">Ton. Lote Acu : </v>
      </c>
      <c r="AD253" s="544">
        <f>SUM($V$5:$V256)*$A$1/1000000</f>
        <v>0</v>
      </c>
      <c r="AE253" s="543">
        <f>AE246+(AE250/1000000*7*(I250+I256)/2)</f>
        <v>0</v>
      </c>
      <c r="AF253" s="542">
        <f>IF(AND(AE253&gt;0,AD253&gt;0),(AD253/AE253-1)*100,0)</f>
        <v>0</v>
      </c>
      <c r="AG253" s="317" t="str">
        <f>PROD!$AG$8</f>
        <v xml:space="preserve">Masa Ac A. A (Kg) : </v>
      </c>
      <c r="AH253" s="318">
        <f>IF(PROD!$K$2&gt;0,SUM(PROD!L$5:L256)*LOOKUP(PROD!$A250,TP!$A$6:$A$108,GSh!$BB$6:$BB$108)/1000/PROD!$K$2,0)</f>
        <v>0</v>
      </c>
      <c r="AI253" s="318">
        <f>IFERROR(PROD!P251*LOOKUP(PROD!$A250,TP!$A$6:$A$108,GSh!$BC$6:$BC$108)/1000,0)</f>
        <v>0</v>
      </c>
      <c r="AJ253" s="330">
        <f t="shared" si="141"/>
        <v>0</v>
      </c>
      <c r="AK253" s="2027"/>
      <c r="AL253" s="1284">
        <f t="shared" si="113"/>
        <v>0</v>
      </c>
      <c r="AM253" s="1285"/>
      <c r="AN253" s="1285"/>
      <c r="AO253" s="1285"/>
      <c r="AP253" s="1285"/>
      <c r="AQ253" s="1285"/>
      <c r="AR253" s="1285"/>
      <c r="AS253" s="1286"/>
      <c r="AT253" s="1287"/>
      <c r="AU253" s="1288"/>
      <c r="AV253" s="1289"/>
      <c r="AW253" s="1290"/>
      <c r="AX253" s="1291"/>
      <c r="AY253" s="1291"/>
      <c r="AZ253" s="1292"/>
      <c r="BA253" s="1293"/>
      <c r="BB253" s="1294"/>
      <c r="BC253" s="1295"/>
      <c r="BD253" s="1296">
        <f>BD252+PROD!L253-BA253</f>
        <v>0</v>
      </c>
      <c r="BE253" s="2133"/>
      <c r="BF253" s="507" t="e">
        <f t="shared" si="114"/>
        <v>#VALUE!</v>
      </c>
      <c r="BG253" s="329"/>
      <c r="BH253" s="1018">
        <f t="shared" si="115"/>
        <v>0</v>
      </c>
    </row>
    <row r="254" spans="1:60" ht="15" customHeight="1" x14ac:dyDescent="0.3">
      <c r="A254" s="2033"/>
      <c r="B254" s="287" t="str">
        <f t="shared" si="116"/>
        <v/>
      </c>
      <c r="C254" s="288" t="str">
        <f t="shared" si="111"/>
        <v/>
      </c>
      <c r="D254" s="691"/>
      <c r="E254" s="692"/>
      <c r="F254" s="693"/>
      <c r="G254" s="694"/>
      <c r="H254" s="695"/>
      <c r="I254" s="289">
        <f>I253-SUM($D254:F254)</f>
        <v>0</v>
      </c>
      <c r="J254" s="1234" t="str">
        <f>$J$9</f>
        <v>% Sel Acm :</v>
      </c>
      <c r="K254" s="1231">
        <f>IF(PROD!$K$2&gt;0,SUM(E$5:E256)/PROD!$K$2,0)</f>
        <v>0</v>
      </c>
      <c r="L254" s="1246"/>
      <c r="M254" s="291">
        <f t="shared" si="142"/>
        <v>0</v>
      </c>
      <c r="N254" s="292" t="str">
        <f>$N$9</f>
        <v xml:space="preserve">Uniformidad (10% -) : </v>
      </c>
      <c r="O254" s="320">
        <f>LOOKUP($A250,'Pr-Sem'!$A$6:$A$108,'Pr-Sem'!$AH$6:$AH$108)</f>
        <v>0</v>
      </c>
      <c r="P254" s="320">
        <v>5</v>
      </c>
      <c r="Q254" s="321">
        <f>IF(AND(P254&gt;0,O254&gt;0),(1-O254/P254)*100,0)</f>
        <v>0</v>
      </c>
      <c r="R254" s="699"/>
      <c r="S254" s="762"/>
      <c r="T254" s="765">
        <f t="shared" si="122"/>
        <v>0</v>
      </c>
      <c r="U254" s="700"/>
      <c r="V254" s="701"/>
      <c r="W254" s="701"/>
      <c r="X254" s="295">
        <f t="shared" si="117"/>
        <v>0</v>
      </c>
      <c r="Y254" s="296">
        <f>IF(AA254&gt;0,V254,AE250/IF(Iniciar!$C$25="B X 40 K",40,IF(Iniciar!$C$25="B X 50 K",50,1))*I254/1000)</f>
        <v>0</v>
      </c>
      <c r="Z254" s="296">
        <f t="shared" si="118"/>
        <v>0</v>
      </c>
      <c r="AA254" s="297">
        <f t="shared" si="143"/>
        <v>0</v>
      </c>
      <c r="AB254" s="297">
        <f t="shared" si="112"/>
        <v>0</v>
      </c>
      <c r="AC254" s="2035" t="str">
        <f>$AC$9</f>
        <v xml:space="preserve">Total Litros Sem: </v>
      </c>
      <c r="AD254" s="2036"/>
      <c r="AE254" s="2050">
        <f>SUM(R250:R256)</f>
        <v>0</v>
      </c>
      <c r="AF254" s="2051"/>
      <c r="AG254" s="554" t="str">
        <f>$AG$9</f>
        <v xml:space="preserve">Indicador Eficiencia : </v>
      </c>
      <c r="AH254" s="555">
        <f>IF(AND(AE254&gt;0,O251&gt;0,O252&gt;0,SUM(L250:L256)&gt;0),(PROD!AH253/O251)*K256*100/(AE254/(SUM(L250:L256)*O252/1000)),0)</f>
        <v>0</v>
      </c>
      <c r="AI254" s="555">
        <f>IF(AND(P251&gt;0,PROD!AI252&gt;0),(PROD!AI253/P251)*(1-K255)*100/(AE251/PROD!AI252),0)</f>
        <v>0</v>
      </c>
      <c r="AJ254" s="331">
        <f t="shared" si="141"/>
        <v>0</v>
      </c>
      <c r="AK254" s="2027"/>
      <c r="AL254" s="1284">
        <f t="shared" si="113"/>
        <v>0</v>
      </c>
      <c r="AM254" s="1285"/>
      <c r="AN254" s="1285"/>
      <c r="AO254" s="1285"/>
      <c r="AP254" s="1285"/>
      <c r="AQ254" s="1285"/>
      <c r="AR254" s="1285"/>
      <c r="AS254" s="1286"/>
      <c r="AT254" s="1287"/>
      <c r="AU254" s="1288"/>
      <c r="AV254" s="1289"/>
      <c r="AW254" s="1290"/>
      <c r="AX254" s="1291"/>
      <c r="AY254" s="1291"/>
      <c r="AZ254" s="1292"/>
      <c r="BA254" s="1293"/>
      <c r="BB254" s="1294"/>
      <c r="BC254" s="1295"/>
      <c r="BD254" s="1296">
        <f>BD253+PROD!L254-BA254</f>
        <v>0</v>
      </c>
      <c r="BE254" s="2133"/>
      <c r="BF254" s="507" t="e">
        <f t="shared" si="114"/>
        <v>#VALUE!</v>
      </c>
      <c r="BG254" s="329"/>
      <c r="BH254" s="1018">
        <f t="shared" si="115"/>
        <v>0</v>
      </c>
    </row>
    <row r="255" spans="1:60" ht="15" customHeight="1" x14ac:dyDescent="0.3">
      <c r="A255" s="2033"/>
      <c r="B255" s="287" t="str">
        <f t="shared" si="116"/>
        <v/>
      </c>
      <c r="C255" s="288" t="str">
        <f t="shared" si="111"/>
        <v/>
      </c>
      <c r="D255" s="691"/>
      <c r="E255" s="692"/>
      <c r="F255" s="693"/>
      <c r="G255" s="694"/>
      <c r="H255" s="695"/>
      <c r="I255" s="289">
        <f>I254-SUM($D255:F255)</f>
        <v>0</v>
      </c>
      <c r="J255" s="1237" t="str">
        <f>$J$10</f>
        <v>% Mort/Sel Acm Tab :</v>
      </c>
      <c r="K255" s="1238">
        <f>IFERROR(LOOKUP($A250,TP!$A$6:$A$108,GSh!$AR$6:$AR$108)/100,0)</f>
        <v>0</v>
      </c>
      <c r="L255" s="1246"/>
      <c r="M255" s="291">
        <f t="shared" si="142"/>
        <v>0</v>
      </c>
      <c r="N255" s="292" t="str">
        <f>$N$10</f>
        <v xml:space="preserve">Uniformidad (C. Lote) : </v>
      </c>
      <c r="O255" s="320">
        <f>LOOKUP($A250,'Pr-Sem'!$A$6:$A$108,'Pr-Sem'!$AG$6:$AG$108)</f>
        <v>0</v>
      </c>
      <c r="P255" s="320">
        <v>90</v>
      </c>
      <c r="Q255" s="321">
        <f>IF(AND(P255&gt;0,O255&gt;0),(O255/P255-1)*100,0)</f>
        <v>0</v>
      </c>
      <c r="R255" s="699"/>
      <c r="S255" s="762"/>
      <c r="T255" s="765">
        <f t="shared" si="122"/>
        <v>0</v>
      </c>
      <c r="U255" s="700"/>
      <c r="V255" s="701"/>
      <c r="W255" s="701"/>
      <c r="X255" s="295">
        <f t="shared" si="117"/>
        <v>0</v>
      </c>
      <c r="Y255" s="296">
        <f>IF(AA255&gt;0,V255,AE250/IF(Iniciar!$C$25="B X 40 K",40,IF(Iniciar!$C$25="B X 50 K",50,1))*I255/1000)</f>
        <v>0</v>
      </c>
      <c r="Z255" s="296">
        <f t="shared" si="118"/>
        <v>0</v>
      </c>
      <c r="AA255" s="297">
        <f t="shared" si="143"/>
        <v>0</v>
      </c>
      <c r="AB255" s="297">
        <f t="shared" si="112"/>
        <v>0</v>
      </c>
      <c r="AC255" s="2037" t="str">
        <f>$AC$10</f>
        <v xml:space="preserve">Cons ml /ave día: </v>
      </c>
      <c r="AD255" s="2038"/>
      <c r="AE255" s="2056">
        <f>IFERROR(SUMPRODUCT(AB250:AB256,I250:I256)/SUM(I250:I256),0)</f>
        <v>0</v>
      </c>
      <c r="AF255" s="2057"/>
      <c r="AG255" s="311" t="str">
        <f>CONCATENATE("Costo ",Iniciar!$C$25," : ")</f>
        <v xml:space="preserve">Costo Kilos : </v>
      </c>
      <c r="AH255" s="2043">
        <f>IFERROR(SUMPRODUCT(T250:T256,V250:V256)/SUMIF(T250:T256,"&gt;0",V250:V256),0)</f>
        <v>0</v>
      </c>
      <c r="AI255" s="2043"/>
      <c r="AJ255" s="313"/>
      <c r="AK255" s="2027"/>
      <c r="AL255" s="1284">
        <f t="shared" si="113"/>
        <v>0</v>
      </c>
      <c r="AM255" s="1285"/>
      <c r="AN255" s="1285"/>
      <c r="AO255" s="1285"/>
      <c r="AP255" s="1285"/>
      <c r="AQ255" s="1285"/>
      <c r="AR255" s="1285"/>
      <c r="AS255" s="1286"/>
      <c r="AT255" s="1287"/>
      <c r="AU255" s="1288"/>
      <c r="AV255" s="1289"/>
      <c r="AW255" s="1290"/>
      <c r="AX255" s="1291"/>
      <c r="AY255" s="1291"/>
      <c r="AZ255" s="1292"/>
      <c r="BA255" s="1293"/>
      <c r="BB255" s="1294"/>
      <c r="BC255" s="1295"/>
      <c r="BD255" s="1296">
        <f>BD254+PROD!L255-BA255</f>
        <v>0</v>
      </c>
      <c r="BE255" s="2133"/>
      <c r="BF255" s="507" t="e">
        <f t="shared" si="114"/>
        <v>#VALUE!</v>
      </c>
      <c r="BG255" s="329"/>
      <c r="BH255" s="1018">
        <f t="shared" si="115"/>
        <v>0</v>
      </c>
    </row>
    <row r="256" spans="1:60" ht="15" customHeight="1" x14ac:dyDescent="0.3">
      <c r="A256" s="2034"/>
      <c r="B256" s="287" t="str">
        <f t="shared" si="116"/>
        <v/>
      </c>
      <c r="C256" s="288" t="str">
        <f t="shared" si="111"/>
        <v/>
      </c>
      <c r="D256" s="691"/>
      <c r="E256" s="692"/>
      <c r="F256" s="693"/>
      <c r="G256" s="694"/>
      <c r="H256" s="695"/>
      <c r="I256" s="289">
        <f>I255-SUM($D256:F256)</f>
        <v>0</v>
      </c>
      <c r="J256" s="1239" t="str">
        <f>$J$11</f>
        <v>% Viabilidad :</v>
      </c>
      <c r="K256" s="1240">
        <f>IF(OR(SUM(L250:L256)&gt;0,SUM(V250:V256)&gt;0),1-(K253+K254),0)</f>
        <v>0</v>
      </c>
      <c r="L256" s="1247"/>
      <c r="M256" s="1248">
        <f>IF(I256&gt;0,(L256/IF(SUM(L250:L255)&gt;0,1,7))/I256,0)</f>
        <v>0</v>
      </c>
      <c r="N256" s="1249" t="str">
        <f>$N$11</f>
        <v xml:space="preserve">Uniformidad (10% +) : </v>
      </c>
      <c r="O256" s="1250">
        <f>IF(O254&gt;0,IF(O255&gt;0,100-SUM(O254:O255),0),0)</f>
        <v>0</v>
      </c>
      <c r="P256" s="1251">
        <f>100-SUM(P254:P255)</f>
        <v>5</v>
      </c>
      <c r="Q256" s="1252">
        <f>IF(AND(P256&gt;0,O256&gt;0),(O256/P256-1)*100,0)</f>
        <v>0</v>
      </c>
      <c r="R256" s="699"/>
      <c r="S256" s="762"/>
      <c r="T256" s="765">
        <f t="shared" si="122"/>
        <v>0</v>
      </c>
      <c r="U256" s="700"/>
      <c r="V256" s="701"/>
      <c r="W256" s="701"/>
      <c r="X256" s="295">
        <f t="shared" si="117"/>
        <v>0</v>
      </c>
      <c r="Y256" s="296">
        <f>IF(AA256&gt;0,V256,AE250/IF(Iniciar!$C$25="B X 40 K",40,IF(Iniciar!$C$25="B X 50 K",50,1))*I256/1000)</f>
        <v>0</v>
      </c>
      <c r="Z256" s="296">
        <f t="shared" si="118"/>
        <v>0</v>
      </c>
      <c r="AA256" s="297">
        <f>IF(I256&gt;0,(V256/IF(SUM(V250:V255)&gt;0,1,7))*$A$1/I256,0)</f>
        <v>0</v>
      </c>
      <c r="AB256" s="297">
        <f t="shared" si="112"/>
        <v>0</v>
      </c>
      <c r="AC256" s="2039" t="str">
        <f>$AC$11</f>
        <v xml:space="preserve">Relación Agua /Alimto: </v>
      </c>
      <c r="AD256" s="2040"/>
      <c r="AE256" s="2058">
        <f>IFERROR(AE255/AD250,0)</f>
        <v>0</v>
      </c>
      <c r="AF256" s="2059"/>
      <c r="AG256" s="1269" t="s">
        <v>237</v>
      </c>
      <c r="AH256" s="1270">
        <f>IF(SUM(L250:L256)&gt;0,AH255*SUM(V250:V256)/SUM(L250:L256),0)</f>
        <v>0</v>
      </c>
      <c r="AI256" s="1270">
        <f>IF(AND($A$1&gt;0,P250&gt;0),AH255/$A$1*(AE250/P250)*100,0)</f>
        <v>0</v>
      </c>
      <c r="AJ256" s="1271">
        <f t="shared" ref="AJ256:AJ261" si="144">IF(AND(AI256&gt;0,AH256&gt;0),(AH256/AI256-1)*100,0)</f>
        <v>0</v>
      </c>
      <c r="AK256" s="2028"/>
      <c r="AL256" s="1284">
        <f t="shared" si="113"/>
        <v>0</v>
      </c>
      <c r="AM256" s="1285"/>
      <c r="AN256" s="1285"/>
      <c r="AO256" s="1285"/>
      <c r="AP256" s="1285"/>
      <c r="AQ256" s="1285"/>
      <c r="AR256" s="1285"/>
      <c r="AS256" s="1286"/>
      <c r="AT256" s="1287"/>
      <c r="AU256" s="1288"/>
      <c r="AV256" s="1289"/>
      <c r="AW256" s="1290"/>
      <c r="AX256" s="1291"/>
      <c r="AY256" s="1291"/>
      <c r="AZ256" s="1292"/>
      <c r="BA256" s="1293"/>
      <c r="BB256" s="1294"/>
      <c r="BC256" s="1295"/>
      <c r="BD256" s="1296">
        <f>BD255+PROD!L256-BA256</f>
        <v>0</v>
      </c>
      <c r="BE256" s="2134"/>
      <c r="BF256" s="507" t="e">
        <f t="shared" si="114"/>
        <v>#VALUE!</v>
      </c>
      <c r="BG256" s="329"/>
      <c r="BH256" s="1018">
        <f t="shared" si="115"/>
        <v>0</v>
      </c>
    </row>
    <row r="257" spans="1:60" ht="15" customHeight="1" x14ac:dyDescent="0.3">
      <c r="A257" s="2032">
        <f>A250+1</f>
        <v>54</v>
      </c>
      <c r="B257" s="287" t="str">
        <f t="shared" si="116"/>
        <v/>
      </c>
      <c r="C257" s="288" t="str">
        <f t="shared" si="111"/>
        <v/>
      </c>
      <c r="D257" s="691"/>
      <c r="E257" s="692"/>
      <c r="F257" s="693"/>
      <c r="G257" s="694"/>
      <c r="H257" s="695"/>
      <c r="I257" s="289">
        <f>I256-SUM($D257:F257)</f>
        <v>0</v>
      </c>
      <c r="J257" s="1232" t="str">
        <f>$J$5</f>
        <v>% Mort Sem :</v>
      </c>
      <c r="K257" s="1233">
        <f>IF(PROD!$K$2&gt;0,SUM(D257:D263)/PROD!$K$2,0)</f>
        <v>0</v>
      </c>
      <c r="L257" s="1241"/>
      <c r="M257" s="1242">
        <f t="shared" ref="M257:M262" si="145">IF(I257&gt;0,L257/I257,0)</f>
        <v>0</v>
      </c>
      <c r="N257" s="1243" t="str">
        <f>$N$5</f>
        <v xml:space="preserve">% Pdn prom semana : </v>
      </c>
      <c r="O257" s="1244">
        <f>IF(SUM(L257:L262)&gt;0,100*SUMPRODUCT(M257:M263,I257:I263)/SUMIF(L257:L263,"&gt;0",I257:I263),IF(L263&gt;0,100*L263/7/I263,0))</f>
        <v>0</v>
      </c>
      <c r="P257" s="1244">
        <f>IFERROR(LOOKUP($A257,TP!$A$6:$A$108,GSh!$AE$6:$AE$108),0)</f>
        <v>0</v>
      </c>
      <c r="Q257" s="1245">
        <f>IF(AND(P257&gt;0,O257&gt;0),O257-P257,0)</f>
        <v>0</v>
      </c>
      <c r="R257" s="699"/>
      <c r="S257" s="762"/>
      <c r="T257" s="765">
        <f t="shared" si="122"/>
        <v>0</v>
      </c>
      <c r="U257" s="700"/>
      <c r="V257" s="701"/>
      <c r="W257" s="701"/>
      <c r="X257" s="295">
        <f t="shared" si="117"/>
        <v>0</v>
      </c>
      <c r="Y257" s="296">
        <f>IF(AA257&gt;0,V257,AE257/IF(Iniciar!$C$25="B X 40 K",40,IF(Iniciar!$C$25="B X 50 K",50,1))*I257/1000)</f>
        <v>0</v>
      </c>
      <c r="Z257" s="296">
        <f t="shared" si="118"/>
        <v>0</v>
      </c>
      <c r="AA257" s="297">
        <f t="shared" ref="AA257:AA262" si="146">IF(I257&gt;0,V257*$A$1/I257,0)</f>
        <v>0</v>
      </c>
      <c r="AB257" s="297">
        <f t="shared" si="112"/>
        <v>0</v>
      </c>
      <c r="AC257" s="1261" t="str">
        <f>$AC$5</f>
        <v>Gr. Ave Dia :</v>
      </c>
      <c r="AD257" s="1262">
        <f>IF(SUMIF(V257:V263,"&gt;0")&gt;0,SUMPRODUCT(AA257:AA263,I257:I263)/SUMIF(AA257:AA263,"&gt;0",I257:I263),0)</f>
        <v>0</v>
      </c>
      <c r="AE257" s="1262">
        <f>IFERROR(LOOKUP($A257,TP!$A$6:$A$108,GSh!$AU$6:$AU$108),0)</f>
        <v>0</v>
      </c>
      <c r="AF257" s="1263">
        <f>IF(AND(AE257&gt;0,AD257&gt;0),(AD257/AE257-1)*100,0)</f>
        <v>0</v>
      </c>
      <c r="AG257" s="1264" t="str">
        <f>PROD!$AG$5</f>
        <v>Gr X H</v>
      </c>
      <c r="AH257" s="1265">
        <f>IF(PROD!O257&gt;0,IF($AG257="Gr X H",PROD!AD257/PROD!O257*100,IF($AG257="Conv Kg/Doc",PROD!AD257/PROD!O257*1.2,IF(PROD!$O259&gt;0,PROD!AD257/(PROD!O257*PROD!$O259)*100,0))),0)</f>
        <v>0</v>
      </c>
      <c r="AI257" s="1265">
        <f>IF(PROD!P257&gt;0,IF($AG257="Gr X H",PROD!AE257/PROD!P257*100,IF($AG257="Conv Kg/Doc",PROD!AE257/PROD!P257*1.2,IF(PROD!$P259&gt;0,PROD!AE257/(PROD!P257*PROD!$P259)*100,0))),0)</f>
        <v>0</v>
      </c>
      <c r="AJ257" s="1266">
        <f t="shared" si="144"/>
        <v>0</v>
      </c>
      <c r="AK257" s="2026"/>
      <c r="AL257" s="1284">
        <f t="shared" si="113"/>
        <v>0</v>
      </c>
      <c r="AM257" s="1285"/>
      <c r="AN257" s="1285"/>
      <c r="AO257" s="1285"/>
      <c r="AP257" s="1285"/>
      <c r="AQ257" s="1285"/>
      <c r="AR257" s="1285"/>
      <c r="AS257" s="1286"/>
      <c r="AT257" s="1287"/>
      <c r="AU257" s="1288"/>
      <c r="AV257" s="1289"/>
      <c r="AW257" s="1290"/>
      <c r="AX257" s="1291"/>
      <c r="AY257" s="1291"/>
      <c r="AZ257" s="1292"/>
      <c r="BA257" s="1293"/>
      <c r="BB257" s="1294"/>
      <c r="BC257" s="1295"/>
      <c r="BD257" s="1296">
        <f>BD256+PROD!L257-BA257</f>
        <v>0</v>
      </c>
      <c r="BE257" s="2132">
        <f>IF(SUM(AM257:AZ263)&gt;0,(SUM(AM257:AM263)*$AM$2+SUM(AN257:AN263)*$AN$2+SUM(AO257:AO263)*$AO$2+SUM(AP257:AP263)*$AP$2+SUM(AQ257:AQ263)*$AQ$2+SUM(AR257:AR263)*$AR$2+SUM(AS257:AS263)*$AS$2+SUM(AW257:AW263)*$AW$2+SUM(AX257:AX263)*$AX$2+SUM(AY257:AY263)*$AY$2+SUM(AZ257:AZ263)*$AZ$2+SUM(AT257:AT263)*$AT$2+SUM(AU257:AU263)*$AU$2+SUM(AV257:AV263)*$AV$2)/SUM(AM257:AZ263),0)</f>
        <v>0</v>
      </c>
      <c r="BF257" s="507" t="e">
        <f t="shared" si="114"/>
        <v>#VALUE!</v>
      </c>
      <c r="BG257" s="277">
        <f>IF(SUM(L257:L263)&gt;0,A257,IF(SUM(V257:V263)&gt;0,A257,BG250))</f>
        <v>0</v>
      </c>
      <c r="BH257" s="1018">
        <f t="shared" si="115"/>
        <v>0</v>
      </c>
    </row>
    <row r="258" spans="1:60" ht="15" customHeight="1" x14ac:dyDescent="0.3">
      <c r="A258" s="2033"/>
      <c r="B258" s="287" t="str">
        <f t="shared" si="116"/>
        <v/>
      </c>
      <c r="C258" s="288" t="str">
        <f t="shared" si="111"/>
        <v/>
      </c>
      <c r="D258" s="691"/>
      <c r="E258" s="692"/>
      <c r="F258" s="693"/>
      <c r="G258" s="694"/>
      <c r="H258" s="695"/>
      <c r="I258" s="289">
        <f>I257-SUM($D258:F258)</f>
        <v>0</v>
      </c>
      <c r="J258" s="1234" t="str">
        <f>$J$6</f>
        <v>% Sel Sem :</v>
      </c>
      <c r="K258" s="1231">
        <f>IF(PROD!$K$2&gt;0,SUM(E257:E263)/PROD!$K$2,0)</f>
        <v>0</v>
      </c>
      <c r="L258" s="1246"/>
      <c r="M258" s="291">
        <f t="shared" si="145"/>
        <v>0</v>
      </c>
      <c r="N258" s="292" t="str">
        <f>$N$6</f>
        <v xml:space="preserve">H. Ave Alojada : </v>
      </c>
      <c r="O258" s="293">
        <f>IF(AND(PROD!$K$2&gt;0,O257&gt;0),SUM(L$5:L263)/PROD!$K$2,0)</f>
        <v>0</v>
      </c>
      <c r="P258" s="293">
        <f>IFERROR(LOOKUP($A257,TP!$A$6:$A$108,GSh!$AJ$6:$AJ$108),0)</f>
        <v>0</v>
      </c>
      <c r="Q258" s="294">
        <f>IF(AND(P258&gt;0,O258&gt;0),O258-P258,0)</f>
        <v>0</v>
      </c>
      <c r="R258" s="699"/>
      <c r="S258" s="762"/>
      <c r="T258" s="765">
        <f t="shared" si="122"/>
        <v>0</v>
      </c>
      <c r="U258" s="700"/>
      <c r="V258" s="701"/>
      <c r="W258" s="701"/>
      <c r="X258" s="295">
        <f t="shared" si="117"/>
        <v>0</v>
      </c>
      <c r="Y258" s="296">
        <f>IF(AA258&gt;0,V258,AE257/IF(Iniciar!$C$25="B X 40 K",40,IF(Iniciar!$C$25="B X 50 K",50,1))*I258/1000)</f>
        <v>0</v>
      </c>
      <c r="Z258" s="296">
        <f t="shared" si="118"/>
        <v>0</v>
      </c>
      <c r="AA258" s="297">
        <f t="shared" si="146"/>
        <v>0</v>
      </c>
      <c r="AB258" s="297">
        <f t="shared" si="112"/>
        <v>0</v>
      </c>
      <c r="AC258" s="1267" t="str">
        <f>$AC$6</f>
        <v>Gr. Ave Sem :</v>
      </c>
      <c r="AD258" s="284">
        <f>AD257*7</f>
        <v>0</v>
      </c>
      <c r="AE258" s="284">
        <f>AE257*7</f>
        <v>0</v>
      </c>
      <c r="AF258" s="285">
        <f>IF(AND(AE258&gt;0,AD258&gt;0),(AD258/AE258-1)*100,0)</f>
        <v>0</v>
      </c>
      <c r="AG258" s="1199" t="str">
        <f>PROD!$AG$6</f>
        <v>Gr X H Acm</v>
      </c>
      <c r="AH258" s="298">
        <f>IF(SUM(PROD!L257:L263)&gt;0,IF(PROD!$AG$5="Gr X H",SUM(PROD!V$5:V263)*PROD!$A$1/SUM(PROD!L$5:L263),IF($AG257="Conv Kg/Doc",(SUM(PROD!V$5:V263)*PROD!$A$1/1000)/(SUM(PROD!L$5:L263)/12),IF(PROD!$O259&gt;0,SUM(PROD!V$5:V263)*PROD!$A$1/(SUM(PROD!L$5:L263)*LOOKUP(PROD!A257,TP!$A$6:$A$108,GSh!$BB$6:$BB$108)),0))),0)</f>
        <v>0</v>
      </c>
      <c r="AI258" s="298">
        <f>IF(PROD!P257&gt;0,IF($AG257="Gr X H",PROD!AE257/PROD!P257*100,IF($AG257="Conv Kg/Doc",PROD!AE257/PROD!P257*1.2,IF(PROD!$P258&gt;0,PROD!AE259/(PROD!P258*LOOKUP(PROD!$A257,TP!$A$6:$A$108,GSh!$BC$6:$BC$108)/1000),0))),0)</f>
        <v>0</v>
      </c>
      <c r="AJ258" s="328">
        <f t="shared" si="144"/>
        <v>0</v>
      </c>
      <c r="AK258" s="2027"/>
      <c r="AL258" s="1284">
        <f t="shared" si="113"/>
        <v>0</v>
      </c>
      <c r="AM258" s="1285"/>
      <c r="AN258" s="1285"/>
      <c r="AO258" s="1285"/>
      <c r="AP258" s="1285"/>
      <c r="AQ258" s="1285"/>
      <c r="AR258" s="1285"/>
      <c r="AS258" s="1286"/>
      <c r="AT258" s="1287"/>
      <c r="AU258" s="1288"/>
      <c r="AV258" s="1289"/>
      <c r="AW258" s="1290"/>
      <c r="AX258" s="1291"/>
      <c r="AY258" s="1291"/>
      <c r="AZ258" s="1292"/>
      <c r="BA258" s="1293"/>
      <c r="BB258" s="1294"/>
      <c r="BC258" s="1295"/>
      <c r="BD258" s="1296">
        <f>BD257+PROD!L258-BA258</f>
        <v>0</v>
      </c>
      <c r="BE258" s="2133"/>
      <c r="BF258" s="507" t="e">
        <f t="shared" si="114"/>
        <v>#VALUE!</v>
      </c>
      <c r="BG258" s="329"/>
      <c r="BH258" s="1018">
        <f t="shared" si="115"/>
        <v>0</v>
      </c>
    </row>
    <row r="259" spans="1:60" ht="15" customHeight="1" x14ac:dyDescent="0.3">
      <c r="A259" s="2033"/>
      <c r="B259" s="287" t="str">
        <f t="shared" si="116"/>
        <v/>
      </c>
      <c r="C259" s="288" t="str">
        <f t="shared" si="111"/>
        <v/>
      </c>
      <c r="D259" s="691"/>
      <c r="E259" s="692"/>
      <c r="F259" s="693"/>
      <c r="G259" s="694"/>
      <c r="H259" s="695"/>
      <c r="I259" s="289">
        <f>I258-SUM($D259:F259)</f>
        <v>0</v>
      </c>
      <c r="J259" s="1235" t="str">
        <f>$J$7</f>
        <v>% Mort/Sel Sem Tab :</v>
      </c>
      <c r="K259" s="1236">
        <f>K262-K255</f>
        <v>0</v>
      </c>
      <c r="L259" s="1246"/>
      <c r="M259" s="291">
        <f t="shared" si="145"/>
        <v>0</v>
      </c>
      <c r="N259" s="304" t="str">
        <f>$N$7</f>
        <v xml:space="preserve">Peso Huevo (Gr) : </v>
      </c>
      <c r="O259" s="305">
        <f>LOOKUP($A257,'Pr-Sem'!$A$6:$A$108,'Pr-Sem'!$Z$6:$Z$108)</f>
        <v>0</v>
      </c>
      <c r="P259" s="305">
        <f>IFERROR(LOOKUP($A257,TP!$A$6:$A$108,GSh!$AZ$6:$AZ$108),0)</f>
        <v>0</v>
      </c>
      <c r="Q259" s="306">
        <f>IF(AND(P259&gt;0,O259&gt;0),O259-P259,0)</f>
        <v>0</v>
      </c>
      <c r="R259" s="699"/>
      <c r="S259" s="762"/>
      <c r="T259" s="765">
        <f t="shared" si="122"/>
        <v>0</v>
      </c>
      <c r="U259" s="700"/>
      <c r="V259" s="701"/>
      <c r="W259" s="701"/>
      <c r="X259" s="295">
        <f t="shared" si="117"/>
        <v>0</v>
      </c>
      <c r="Y259" s="296">
        <f>IF(AA259&gt;0,V259,AE257/IF(Iniciar!$C$25="B X 40 K",40,IF(Iniciar!$C$25="B X 50 K",50,1))*I259/1000)</f>
        <v>0</v>
      </c>
      <c r="Z259" s="296">
        <f t="shared" si="118"/>
        <v>0</v>
      </c>
      <c r="AA259" s="297">
        <f t="shared" si="146"/>
        <v>0</v>
      </c>
      <c r="AB259" s="297">
        <f t="shared" si="112"/>
        <v>0</v>
      </c>
      <c r="AC259" s="1268" t="str">
        <f>$AC$7</f>
        <v>Kg Ave Acu :</v>
      </c>
      <c r="AD259" s="308">
        <f>IF(OR(SUM(L257:L263)&gt;0,SUM(V257:V263)&gt;0),AD258/1000+AD252,0)</f>
        <v>0</v>
      </c>
      <c r="AE259" s="309">
        <f>AE258/1000+AE252</f>
        <v>0</v>
      </c>
      <c r="AF259" s="310">
        <f>IF(AND(AE259&gt;0,AD259&gt;0),(AD259/AE259-1)*100,0)</f>
        <v>0</v>
      </c>
      <c r="AG259" s="311" t="str">
        <f>PROD!$AG$7</f>
        <v xml:space="preserve">Masa Sem H (Gr) : </v>
      </c>
      <c r="AH259" s="312">
        <f>PROD!O257/100*7*PROD!O259</f>
        <v>0</v>
      </c>
      <c r="AI259" s="312">
        <f>PROD!P257/100*7*PROD!P259</f>
        <v>0</v>
      </c>
      <c r="AJ259" s="313">
        <f t="shared" si="144"/>
        <v>0</v>
      </c>
      <c r="AK259" s="2027"/>
      <c r="AL259" s="1284">
        <f t="shared" si="113"/>
        <v>0</v>
      </c>
      <c r="AM259" s="1285"/>
      <c r="AN259" s="1285"/>
      <c r="AO259" s="1285"/>
      <c r="AP259" s="1285"/>
      <c r="AQ259" s="1285"/>
      <c r="AR259" s="1285"/>
      <c r="AS259" s="1286"/>
      <c r="AT259" s="1287"/>
      <c r="AU259" s="1288"/>
      <c r="AV259" s="1289"/>
      <c r="AW259" s="1290"/>
      <c r="AX259" s="1291"/>
      <c r="AY259" s="1291"/>
      <c r="AZ259" s="1292"/>
      <c r="BA259" s="1293"/>
      <c r="BB259" s="1294"/>
      <c r="BC259" s="1295"/>
      <c r="BD259" s="1296">
        <f>BD258+PROD!L259-BA259</f>
        <v>0</v>
      </c>
      <c r="BE259" s="2133"/>
      <c r="BF259" s="507" t="e">
        <f t="shared" si="114"/>
        <v>#VALUE!</v>
      </c>
      <c r="BG259" s="329"/>
      <c r="BH259" s="1018">
        <f t="shared" si="115"/>
        <v>0</v>
      </c>
    </row>
    <row r="260" spans="1:60" ht="15" customHeight="1" x14ac:dyDescent="0.3">
      <c r="A260" s="2033"/>
      <c r="B260" s="287" t="str">
        <f t="shared" si="116"/>
        <v/>
      </c>
      <c r="C260" s="288" t="str">
        <f t="shared" si="111"/>
        <v/>
      </c>
      <c r="D260" s="691"/>
      <c r="E260" s="692"/>
      <c r="F260" s="693"/>
      <c r="G260" s="694"/>
      <c r="H260" s="695"/>
      <c r="I260" s="289">
        <f>I259-SUM($D260:F260)</f>
        <v>0</v>
      </c>
      <c r="J260" s="1234" t="str">
        <f>$J$8</f>
        <v>% Mort Acm :</v>
      </c>
      <c r="K260" s="1231">
        <f>IF(PROD!$K$2&gt;0,SUM(D$5:D263)/PROD!$K$2,0)</f>
        <v>0</v>
      </c>
      <c r="L260" s="1246"/>
      <c r="M260" s="291">
        <f t="shared" si="145"/>
        <v>0</v>
      </c>
      <c r="N260" s="314" t="str">
        <f>N$8</f>
        <v xml:space="preserve">Peso Ave (Gr) : </v>
      </c>
      <c r="O260" s="315">
        <f>LOOKUP($A257,GSh!$BV$6:$BV$108,GSh!$BJ$6:$BJ$108)</f>
        <v>0</v>
      </c>
      <c r="P260" s="315">
        <f>IFERROR(LOOKUP($A257,TP!$A$6:$A$108,GSh!$BK$6:$BK$108),0)</f>
        <v>0</v>
      </c>
      <c r="Q260" s="316">
        <f>IF(AND(P260&gt;0,O260&gt;0),(O260/P260-1)*100,0)</f>
        <v>0</v>
      </c>
      <c r="R260" s="699"/>
      <c r="S260" s="762"/>
      <c r="T260" s="765">
        <f t="shared" si="122"/>
        <v>0</v>
      </c>
      <c r="U260" s="700"/>
      <c r="V260" s="701"/>
      <c r="W260" s="701"/>
      <c r="X260" s="295">
        <f t="shared" si="117"/>
        <v>0</v>
      </c>
      <c r="Y260" s="296">
        <f>IF(AA260&gt;0,V260,AE257/IF(Iniciar!$C$25="B X 40 K",40,IF(Iniciar!$C$25="B X 50 K",50,1))*I260/1000)</f>
        <v>0</v>
      </c>
      <c r="Z260" s="296">
        <f t="shared" si="118"/>
        <v>0</v>
      </c>
      <c r="AA260" s="297">
        <f t="shared" si="146"/>
        <v>0</v>
      </c>
      <c r="AB260" s="297">
        <f t="shared" si="112"/>
        <v>0</v>
      </c>
      <c r="AC260" s="541" t="str">
        <f>$AC$8</f>
        <v xml:space="preserve">Ton. Lote Acu : </v>
      </c>
      <c r="AD260" s="544">
        <f>SUM($V$5:$V263)*$A$1/1000000</f>
        <v>0</v>
      </c>
      <c r="AE260" s="543">
        <f>AE253+(AE257/1000000*7*(I257+I263)/2)</f>
        <v>0</v>
      </c>
      <c r="AF260" s="542">
        <f>IF(AND(AE260&gt;0,AD260&gt;0),(AD260/AE260-1)*100,0)</f>
        <v>0</v>
      </c>
      <c r="AG260" s="317" t="str">
        <f>PROD!$AG$8</f>
        <v xml:space="preserve">Masa Ac A. A (Kg) : </v>
      </c>
      <c r="AH260" s="318">
        <f>IF(PROD!$K$2&gt;0,SUM(PROD!L$5:L263)*LOOKUP(PROD!$A257,TP!$A$6:$A$108,GSh!$BB$6:$BB$108)/1000/PROD!$K$2,0)</f>
        <v>0</v>
      </c>
      <c r="AI260" s="318">
        <f>IFERROR(PROD!P258*LOOKUP(PROD!$A257,TP!$A$6:$A$108,GSh!$BC$6:$BC$108)/1000,0)</f>
        <v>0</v>
      </c>
      <c r="AJ260" s="330">
        <f t="shared" si="144"/>
        <v>0</v>
      </c>
      <c r="AK260" s="2027"/>
      <c r="AL260" s="1284">
        <f t="shared" si="113"/>
        <v>0</v>
      </c>
      <c r="AM260" s="1285"/>
      <c r="AN260" s="1285"/>
      <c r="AO260" s="1285"/>
      <c r="AP260" s="1285"/>
      <c r="AQ260" s="1285"/>
      <c r="AR260" s="1285"/>
      <c r="AS260" s="1286"/>
      <c r="AT260" s="1287"/>
      <c r="AU260" s="1288"/>
      <c r="AV260" s="1289"/>
      <c r="AW260" s="1290"/>
      <c r="AX260" s="1291"/>
      <c r="AY260" s="1291"/>
      <c r="AZ260" s="1292"/>
      <c r="BA260" s="1293"/>
      <c r="BB260" s="1294"/>
      <c r="BC260" s="1295"/>
      <c r="BD260" s="1296">
        <f>BD259+PROD!L260-BA260</f>
        <v>0</v>
      </c>
      <c r="BE260" s="2133"/>
      <c r="BF260" s="507" t="e">
        <f t="shared" si="114"/>
        <v>#VALUE!</v>
      </c>
      <c r="BG260" s="329"/>
      <c r="BH260" s="1018">
        <f t="shared" si="115"/>
        <v>0</v>
      </c>
    </row>
    <row r="261" spans="1:60" ht="15" customHeight="1" x14ac:dyDescent="0.3">
      <c r="A261" s="2033"/>
      <c r="B261" s="287" t="str">
        <f t="shared" si="116"/>
        <v/>
      </c>
      <c r="C261" s="288" t="str">
        <f t="shared" ref="C261:C324" si="147">IF(B261="","",(B261-Fnac+1)/7)</f>
        <v/>
      </c>
      <c r="D261" s="691"/>
      <c r="E261" s="692"/>
      <c r="F261" s="693"/>
      <c r="G261" s="694"/>
      <c r="H261" s="695"/>
      <c r="I261" s="289">
        <f>I260-SUM($D261:F261)</f>
        <v>0</v>
      </c>
      <c r="J261" s="1234" t="str">
        <f>$J$9</f>
        <v>% Sel Acm :</v>
      </c>
      <c r="K261" s="1231">
        <f>IF(PROD!$K$2&gt;0,SUM(E$5:E263)/PROD!$K$2,0)</f>
        <v>0</v>
      </c>
      <c r="L261" s="1246"/>
      <c r="M261" s="291">
        <f t="shared" si="145"/>
        <v>0</v>
      </c>
      <c r="N261" s="292" t="str">
        <f>$N$9</f>
        <v xml:space="preserve">Uniformidad (10% -) : </v>
      </c>
      <c r="O261" s="320">
        <f>LOOKUP($A257,'Pr-Sem'!$A$6:$A$108,'Pr-Sem'!$AH$6:$AH$108)</f>
        <v>0</v>
      </c>
      <c r="P261" s="320">
        <v>5</v>
      </c>
      <c r="Q261" s="321">
        <f>IF(AND(P261&gt;0,O261&gt;0),(1-O261/P261)*100,0)</f>
        <v>0</v>
      </c>
      <c r="R261" s="699"/>
      <c r="S261" s="762"/>
      <c r="T261" s="765">
        <f t="shared" si="122"/>
        <v>0</v>
      </c>
      <c r="U261" s="700"/>
      <c r="V261" s="701"/>
      <c r="W261" s="701"/>
      <c r="X261" s="295">
        <f t="shared" si="117"/>
        <v>0</v>
      </c>
      <c r="Y261" s="296">
        <f>IF(AA261&gt;0,V261,AE257/IF(Iniciar!$C$25="B X 40 K",40,IF(Iniciar!$C$25="B X 50 K",50,1))*I261/1000)</f>
        <v>0</v>
      </c>
      <c r="Z261" s="296">
        <f t="shared" si="118"/>
        <v>0</v>
      </c>
      <c r="AA261" s="297">
        <f t="shared" si="146"/>
        <v>0</v>
      </c>
      <c r="AB261" s="297">
        <f t="shared" ref="AB261:AB324" si="148">IFERROR(R261*1000/I261,0)</f>
        <v>0</v>
      </c>
      <c r="AC261" s="2035" t="str">
        <f>$AC$9</f>
        <v xml:space="preserve">Total Litros Sem: </v>
      </c>
      <c r="AD261" s="2036"/>
      <c r="AE261" s="2050">
        <f>SUM(R257:R263)</f>
        <v>0</v>
      </c>
      <c r="AF261" s="2051"/>
      <c r="AG261" s="554" t="str">
        <f>$AG$9</f>
        <v xml:space="preserve">Indicador Eficiencia : </v>
      </c>
      <c r="AH261" s="555">
        <f>IF(AND(AE261&gt;0,O258&gt;0,O259&gt;0,SUM(L257:L263)&gt;0),(PROD!AH260/O258)*K263*100/(AE261/(SUM(L257:L263)*O259/1000)),0)</f>
        <v>0</v>
      </c>
      <c r="AI261" s="555">
        <f>IF(AND(P258&gt;0,PROD!AI259&gt;0),(PROD!AI260/P258)*(1-K262)*100/(AE258/PROD!AI259),0)</f>
        <v>0</v>
      </c>
      <c r="AJ261" s="331">
        <f t="shared" si="144"/>
        <v>0</v>
      </c>
      <c r="AK261" s="2027"/>
      <c r="AL261" s="1284">
        <f t="shared" ref="AL261:AL324" si="149">L261-SUM(AM261:AS261)-SUM(AW261:AZ261)-SUM(AT261:AV261)</f>
        <v>0</v>
      </c>
      <c r="AM261" s="1285"/>
      <c r="AN261" s="1285"/>
      <c r="AO261" s="1285"/>
      <c r="AP261" s="1285"/>
      <c r="AQ261" s="1285"/>
      <c r="AR261" s="1285"/>
      <c r="AS261" s="1286"/>
      <c r="AT261" s="1287"/>
      <c r="AU261" s="1288"/>
      <c r="AV261" s="1289"/>
      <c r="AW261" s="1290"/>
      <c r="AX261" s="1291"/>
      <c r="AY261" s="1291"/>
      <c r="AZ261" s="1292"/>
      <c r="BA261" s="1293"/>
      <c r="BB261" s="1294"/>
      <c r="BC261" s="1295"/>
      <c r="BD261" s="1296">
        <f>BD260+PROD!L261-BA261</f>
        <v>0</v>
      </c>
      <c r="BE261" s="2133"/>
      <c r="BF261" s="507" t="e">
        <f t="shared" ref="BF261:BF324" si="150">INT((B261-Fnac)/7)+1</f>
        <v>#VALUE!</v>
      </c>
      <c r="BG261" s="329"/>
      <c r="BH261" s="1018">
        <f t="shared" ref="BH261:BH324" si="151">T261*V261</f>
        <v>0</v>
      </c>
    </row>
    <row r="262" spans="1:60" ht="15" customHeight="1" x14ac:dyDescent="0.3">
      <c r="A262" s="2033"/>
      <c r="B262" s="287" t="str">
        <f t="shared" ref="B262:B325" si="152">IF(B261="","",B261+1)</f>
        <v/>
      </c>
      <c r="C262" s="288" t="str">
        <f t="shared" si="147"/>
        <v/>
      </c>
      <c r="D262" s="691"/>
      <c r="E262" s="692"/>
      <c r="F262" s="693"/>
      <c r="G262" s="694"/>
      <c r="H262" s="695"/>
      <c r="I262" s="289">
        <f>I261-SUM($D262:F262)</f>
        <v>0</v>
      </c>
      <c r="J262" s="1237" t="str">
        <f>$J$10</f>
        <v>% Mort/Sel Acm Tab :</v>
      </c>
      <c r="K262" s="1238">
        <f>IFERROR(LOOKUP($A257,TP!$A$6:$A$108,GSh!$AR$6:$AR$108)/100,0)</f>
        <v>0</v>
      </c>
      <c r="L262" s="1246"/>
      <c r="M262" s="291">
        <f t="shared" si="145"/>
        <v>0</v>
      </c>
      <c r="N262" s="292" t="str">
        <f>$N$10</f>
        <v xml:space="preserve">Uniformidad (C. Lote) : </v>
      </c>
      <c r="O262" s="320">
        <f>LOOKUP($A257,'Pr-Sem'!$A$6:$A$108,'Pr-Sem'!$AG$6:$AG$108)</f>
        <v>0</v>
      </c>
      <c r="P262" s="320">
        <v>90</v>
      </c>
      <c r="Q262" s="321">
        <f>IF(AND(P262&gt;0,O262&gt;0),(O262/P262-1)*100,0)</f>
        <v>0</v>
      </c>
      <c r="R262" s="699"/>
      <c r="S262" s="762"/>
      <c r="T262" s="765">
        <f t="shared" si="122"/>
        <v>0</v>
      </c>
      <c r="U262" s="700"/>
      <c r="V262" s="701"/>
      <c r="W262" s="701"/>
      <c r="X262" s="295">
        <f t="shared" ref="X262:X325" si="153">X261+U262-V262-W262</f>
        <v>0</v>
      </c>
      <c r="Y262" s="296">
        <f>IF(AA262&gt;0,V262,AE257/IF(Iniciar!$C$25="B X 40 K",40,IF(Iniciar!$C$25="B X 50 K",50,1))*I262/1000)</f>
        <v>0</v>
      </c>
      <c r="Z262" s="296">
        <f t="shared" ref="Z262:Z325" si="154">Z261+U262-Y262-W262</f>
        <v>0</v>
      </c>
      <c r="AA262" s="297">
        <f t="shared" si="146"/>
        <v>0</v>
      </c>
      <c r="AB262" s="297">
        <f t="shared" si="148"/>
        <v>0</v>
      </c>
      <c r="AC262" s="2037" t="str">
        <f>$AC$10</f>
        <v xml:space="preserve">Cons ml /ave día: </v>
      </c>
      <c r="AD262" s="2038"/>
      <c r="AE262" s="2056">
        <f>IFERROR(SUMPRODUCT(AB257:AB263,I257:I263)/SUM(I257:I263),0)</f>
        <v>0</v>
      </c>
      <c r="AF262" s="2057"/>
      <c r="AG262" s="311" t="str">
        <f>CONCATENATE("Costo ",Iniciar!$C$25," : ")</f>
        <v xml:space="preserve">Costo Kilos : </v>
      </c>
      <c r="AH262" s="2043">
        <f>IFERROR(SUMPRODUCT(T257:T263,V257:V263)/SUMIF(T257:T263,"&gt;0",V257:V263),0)</f>
        <v>0</v>
      </c>
      <c r="AI262" s="2043"/>
      <c r="AJ262" s="313"/>
      <c r="AK262" s="2027"/>
      <c r="AL262" s="1284">
        <f t="shared" si="149"/>
        <v>0</v>
      </c>
      <c r="AM262" s="1285"/>
      <c r="AN262" s="1285"/>
      <c r="AO262" s="1285"/>
      <c r="AP262" s="1285"/>
      <c r="AQ262" s="1285"/>
      <c r="AR262" s="1285"/>
      <c r="AS262" s="1286"/>
      <c r="AT262" s="1287"/>
      <c r="AU262" s="1288"/>
      <c r="AV262" s="1289"/>
      <c r="AW262" s="1290"/>
      <c r="AX262" s="1291"/>
      <c r="AY262" s="1291"/>
      <c r="AZ262" s="1292"/>
      <c r="BA262" s="1293"/>
      <c r="BB262" s="1294"/>
      <c r="BC262" s="1295"/>
      <c r="BD262" s="1296">
        <f>BD261+PROD!L262-BA262</f>
        <v>0</v>
      </c>
      <c r="BE262" s="2133"/>
      <c r="BF262" s="507" t="e">
        <f t="shared" si="150"/>
        <v>#VALUE!</v>
      </c>
      <c r="BG262" s="329"/>
      <c r="BH262" s="1018">
        <f t="shared" si="151"/>
        <v>0</v>
      </c>
    </row>
    <row r="263" spans="1:60" ht="15" customHeight="1" x14ac:dyDescent="0.3">
      <c r="A263" s="2034"/>
      <c r="B263" s="287" t="str">
        <f t="shared" si="152"/>
        <v/>
      </c>
      <c r="C263" s="288" t="str">
        <f t="shared" si="147"/>
        <v/>
      </c>
      <c r="D263" s="691"/>
      <c r="E263" s="692"/>
      <c r="F263" s="693"/>
      <c r="G263" s="694"/>
      <c r="H263" s="695"/>
      <c r="I263" s="289">
        <f>I262-SUM($D263:F263)</f>
        <v>0</v>
      </c>
      <c r="J263" s="1239" t="str">
        <f>$J$11</f>
        <v>% Viabilidad :</v>
      </c>
      <c r="K263" s="1240">
        <f>IF(OR(SUM(L257:L263)&gt;0,SUM(V257:V263)&gt;0),1-(K260+K261),0)</f>
        <v>0</v>
      </c>
      <c r="L263" s="1247"/>
      <c r="M263" s="1248">
        <f>IF(I263&gt;0,(L263/IF(SUM(L257:L262)&gt;0,1,7))/I263,0)</f>
        <v>0</v>
      </c>
      <c r="N263" s="1249" t="str">
        <f>$N$11</f>
        <v xml:space="preserve">Uniformidad (10% +) : </v>
      </c>
      <c r="O263" s="1250">
        <f>IF(O261&gt;0,IF(O262&gt;0,100-SUM(O261:O262),0),0)</f>
        <v>0</v>
      </c>
      <c r="P263" s="1251">
        <f>100-SUM(P261:P262)</f>
        <v>5</v>
      </c>
      <c r="Q263" s="1252">
        <f>IF(AND(P263&gt;0,O263&gt;0),(O263/P263-1)*100,0)</f>
        <v>0</v>
      </c>
      <c r="R263" s="699"/>
      <c r="S263" s="762"/>
      <c r="T263" s="765">
        <f t="shared" si="122"/>
        <v>0</v>
      </c>
      <c r="U263" s="700"/>
      <c r="V263" s="701"/>
      <c r="W263" s="701"/>
      <c r="X263" s="295">
        <f t="shared" si="153"/>
        <v>0</v>
      </c>
      <c r="Y263" s="296">
        <f>IF(AA263&gt;0,V263,AE257/IF(Iniciar!$C$25="B X 40 K",40,IF(Iniciar!$C$25="B X 50 K",50,1))*I263/1000)</f>
        <v>0</v>
      </c>
      <c r="Z263" s="296">
        <f t="shared" si="154"/>
        <v>0</v>
      </c>
      <c r="AA263" s="297">
        <f>IF(I263&gt;0,(V263/IF(SUM(V257:V262)&gt;0,1,7))*$A$1/I263,0)</f>
        <v>0</v>
      </c>
      <c r="AB263" s="297">
        <f t="shared" si="148"/>
        <v>0</v>
      </c>
      <c r="AC263" s="2039" t="str">
        <f>$AC$11</f>
        <v xml:space="preserve">Relación Agua /Alimto: </v>
      </c>
      <c r="AD263" s="2040"/>
      <c r="AE263" s="2058">
        <f>IFERROR(AE262/AD257,0)</f>
        <v>0</v>
      </c>
      <c r="AF263" s="2059"/>
      <c r="AG263" s="1269" t="s">
        <v>237</v>
      </c>
      <c r="AH263" s="1270">
        <f>IF(SUM(L257:L263)&gt;0,AH262*SUM(V257:V263)/SUM(L257:L263),0)</f>
        <v>0</v>
      </c>
      <c r="AI263" s="1270">
        <f>IF(AND($A$1&gt;0,P257&gt;0),AH262/$A$1*(AE257/P257)*100,0)</f>
        <v>0</v>
      </c>
      <c r="AJ263" s="1271">
        <f t="shared" ref="AJ263:AJ268" si="155">IF(AND(AI263&gt;0,AH263&gt;0),(AH263/AI263-1)*100,0)</f>
        <v>0</v>
      </c>
      <c r="AK263" s="2028"/>
      <c r="AL263" s="1284">
        <f t="shared" si="149"/>
        <v>0</v>
      </c>
      <c r="AM263" s="1285"/>
      <c r="AN263" s="1285"/>
      <c r="AO263" s="1285"/>
      <c r="AP263" s="1285"/>
      <c r="AQ263" s="1285"/>
      <c r="AR263" s="1285"/>
      <c r="AS263" s="1286"/>
      <c r="AT263" s="1287"/>
      <c r="AU263" s="1288"/>
      <c r="AV263" s="1289"/>
      <c r="AW263" s="1290"/>
      <c r="AX263" s="1291"/>
      <c r="AY263" s="1291"/>
      <c r="AZ263" s="1292"/>
      <c r="BA263" s="1293"/>
      <c r="BB263" s="1294"/>
      <c r="BC263" s="1295"/>
      <c r="BD263" s="1296">
        <f>BD262+PROD!L263-BA263</f>
        <v>0</v>
      </c>
      <c r="BE263" s="2134"/>
      <c r="BF263" s="507" t="e">
        <f t="shared" si="150"/>
        <v>#VALUE!</v>
      </c>
      <c r="BG263" s="329"/>
      <c r="BH263" s="1018">
        <f t="shared" si="151"/>
        <v>0</v>
      </c>
    </row>
    <row r="264" spans="1:60" ht="15" customHeight="1" x14ac:dyDescent="0.3">
      <c r="A264" s="2032">
        <f>A257+1</f>
        <v>55</v>
      </c>
      <c r="B264" s="287" t="str">
        <f t="shared" si="152"/>
        <v/>
      </c>
      <c r="C264" s="288" t="str">
        <f t="shared" si="147"/>
        <v/>
      </c>
      <c r="D264" s="691"/>
      <c r="E264" s="692"/>
      <c r="F264" s="693"/>
      <c r="G264" s="694"/>
      <c r="H264" s="695"/>
      <c r="I264" s="289">
        <f>I263-SUM($D264:F264)</f>
        <v>0</v>
      </c>
      <c r="J264" s="1232" t="str">
        <f>$J$5</f>
        <v>% Mort Sem :</v>
      </c>
      <c r="K264" s="1233">
        <f>IF(PROD!$K$2&gt;0,SUM(D264:D270)/PROD!$K$2,0)</f>
        <v>0</v>
      </c>
      <c r="L264" s="1241"/>
      <c r="M264" s="1242">
        <f t="shared" ref="M264:M269" si="156">IF(I264&gt;0,L264/I264,0)</f>
        <v>0</v>
      </c>
      <c r="N264" s="1243" t="str">
        <f>$N$5</f>
        <v xml:space="preserve">% Pdn prom semana : </v>
      </c>
      <c r="O264" s="1244">
        <f>IF(SUM(L264:L269)&gt;0,100*SUMPRODUCT(M264:M270,I264:I270)/SUMIF(L264:L270,"&gt;0",I264:I270),IF(L270&gt;0,100*L270/7/I270,0))</f>
        <v>0</v>
      </c>
      <c r="P264" s="1244">
        <f>IFERROR(LOOKUP($A264,TP!$A$6:$A$108,GSh!$AE$6:$AE$108),0)</f>
        <v>0</v>
      </c>
      <c r="Q264" s="1245">
        <f>IF(AND(P264&gt;0,O264&gt;0),O264-P264,0)</f>
        <v>0</v>
      </c>
      <c r="R264" s="699"/>
      <c r="S264" s="762"/>
      <c r="T264" s="765">
        <f t="shared" si="122"/>
        <v>0</v>
      </c>
      <c r="U264" s="700"/>
      <c r="V264" s="701"/>
      <c r="W264" s="701"/>
      <c r="X264" s="295">
        <f t="shared" si="153"/>
        <v>0</v>
      </c>
      <c r="Y264" s="296">
        <f>IF(AA264&gt;0,V264,AE264/IF(Iniciar!$C$25="B X 40 K",40,IF(Iniciar!$C$25="B X 50 K",50,1))*I264/1000)</f>
        <v>0</v>
      </c>
      <c r="Z264" s="296">
        <f t="shared" si="154"/>
        <v>0</v>
      </c>
      <c r="AA264" s="297">
        <f t="shared" ref="AA264:AA269" si="157">IF(I264&gt;0,V264*$A$1/I264,0)</f>
        <v>0</v>
      </c>
      <c r="AB264" s="297">
        <f t="shared" si="148"/>
        <v>0</v>
      </c>
      <c r="AC264" s="1261" t="str">
        <f>$AC$5</f>
        <v>Gr. Ave Dia :</v>
      </c>
      <c r="AD264" s="1262">
        <f>IF(SUMIF(V264:V270,"&gt;0")&gt;0,SUMPRODUCT(AA264:AA270,I264:I270)/SUMIF(AA264:AA270,"&gt;0",I264:I270),0)</f>
        <v>0</v>
      </c>
      <c r="AE264" s="1262">
        <f>IFERROR(LOOKUP($A264,TP!$A$6:$A$108,GSh!$AU$6:$AU$108),0)</f>
        <v>0</v>
      </c>
      <c r="AF264" s="1263">
        <f>IF(AND(AE264&gt;0,AD264&gt;0),(AD264/AE264-1)*100,0)</f>
        <v>0</v>
      </c>
      <c r="AG264" s="1264" t="str">
        <f>PROD!$AG$5</f>
        <v>Gr X H</v>
      </c>
      <c r="AH264" s="1265">
        <f>IF(PROD!O264&gt;0,IF($AG264="Gr X H",PROD!AD264/PROD!O264*100,IF($AG264="Conv Kg/Doc",PROD!AD264/PROD!O264*1.2,IF(PROD!$O266&gt;0,PROD!AD264/(PROD!O264*PROD!$O266)*100,0))),0)</f>
        <v>0</v>
      </c>
      <c r="AI264" s="1265">
        <f>IF(PROD!P264&gt;0,IF($AG264="Gr X H",PROD!AE264/PROD!P264*100,IF($AG264="Conv Kg/Doc",PROD!AE264/PROD!P264*1.2,IF(PROD!$P266&gt;0,PROD!AE264/(PROD!P264*PROD!$P266)*100,0))),0)</f>
        <v>0</v>
      </c>
      <c r="AJ264" s="1266">
        <f t="shared" si="155"/>
        <v>0</v>
      </c>
      <c r="AK264" s="2026"/>
      <c r="AL264" s="1284">
        <f t="shared" si="149"/>
        <v>0</v>
      </c>
      <c r="AM264" s="1285"/>
      <c r="AN264" s="1285"/>
      <c r="AO264" s="1285"/>
      <c r="AP264" s="1285"/>
      <c r="AQ264" s="1285"/>
      <c r="AR264" s="1285"/>
      <c r="AS264" s="1286"/>
      <c r="AT264" s="1287"/>
      <c r="AU264" s="1288"/>
      <c r="AV264" s="1289"/>
      <c r="AW264" s="1290"/>
      <c r="AX264" s="1291"/>
      <c r="AY264" s="1291"/>
      <c r="AZ264" s="1292"/>
      <c r="BA264" s="1293"/>
      <c r="BB264" s="1294"/>
      <c r="BC264" s="1295"/>
      <c r="BD264" s="1296">
        <f>BD263+PROD!L264-BA264</f>
        <v>0</v>
      </c>
      <c r="BE264" s="2132">
        <f>IF(SUM(AM264:AZ270)&gt;0,(SUM(AM264:AM270)*$AM$2+SUM(AN264:AN270)*$AN$2+SUM(AO264:AO270)*$AO$2+SUM(AP264:AP270)*$AP$2+SUM(AQ264:AQ270)*$AQ$2+SUM(AR264:AR270)*$AR$2+SUM(AS264:AS270)*$AS$2+SUM(AW264:AW270)*$AW$2+SUM(AX264:AX270)*$AX$2+SUM(AY264:AY270)*$AY$2+SUM(AZ264:AZ270)*$AZ$2+SUM(AT264:AT270)*$AT$2+SUM(AU264:AU270)*$AU$2+SUM(AV264:AV270)*$AV$2)/SUM(AM264:AZ270),0)</f>
        <v>0</v>
      </c>
      <c r="BF264" s="507" t="e">
        <f t="shared" si="150"/>
        <v>#VALUE!</v>
      </c>
      <c r="BG264" s="277">
        <f>IF(SUM(L264:L270)&gt;0,A264,IF(SUM(V264:V270)&gt;0,A264,BG257))</f>
        <v>0</v>
      </c>
      <c r="BH264" s="1018">
        <f t="shared" si="151"/>
        <v>0</v>
      </c>
    </row>
    <row r="265" spans="1:60" ht="15" customHeight="1" x14ac:dyDescent="0.3">
      <c r="A265" s="2033"/>
      <c r="B265" s="287" t="str">
        <f t="shared" si="152"/>
        <v/>
      </c>
      <c r="C265" s="288" t="str">
        <f t="shared" si="147"/>
        <v/>
      </c>
      <c r="D265" s="691"/>
      <c r="E265" s="692"/>
      <c r="F265" s="693"/>
      <c r="G265" s="694"/>
      <c r="H265" s="695"/>
      <c r="I265" s="289">
        <f>I264-SUM($D265:F265)</f>
        <v>0</v>
      </c>
      <c r="J265" s="1234" t="str">
        <f>$J$6</f>
        <v>% Sel Sem :</v>
      </c>
      <c r="K265" s="1231">
        <f>IF(PROD!$K$2&gt;0,SUM(E264:E270)/PROD!$K$2,0)</f>
        <v>0</v>
      </c>
      <c r="L265" s="1246"/>
      <c r="M265" s="291">
        <f t="shared" si="156"/>
        <v>0</v>
      </c>
      <c r="N265" s="292" t="str">
        <f>$N$6</f>
        <v xml:space="preserve">H. Ave Alojada : </v>
      </c>
      <c r="O265" s="293">
        <f>IF(AND(PROD!$K$2&gt;0,O264&gt;0),SUM(L$5:L270)/PROD!$K$2,0)</f>
        <v>0</v>
      </c>
      <c r="P265" s="293">
        <f>IFERROR(LOOKUP($A264,TP!$A$6:$A$108,GSh!$AJ$6:$AJ$108),0)</f>
        <v>0</v>
      </c>
      <c r="Q265" s="294">
        <f>IF(AND(P265&gt;0,O265&gt;0),O265-P265,0)</f>
        <v>0</v>
      </c>
      <c r="R265" s="699"/>
      <c r="S265" s="762"/>
      <c r="T265" s="765">
        <f t="shared" si="122"/>
        <v>0</v>
      </c>
      <c r="U265" s="700"/>
      <c r="V265" s="701"/>
      <c r="W265" s="701"/>
      <c r="X265" s="295">
        <f t="shared" si="153"/>
        <v>0</v>
      </c>
      <c r="Y265" s="296">
        <f>IF(AA265&gt;0,V265,AE264/IF(Iniciar!$C$25="B X 40 K",40,IF(Iniciar!$C$25="B X 50 K",50,1))*I265/1000)</f>
        <v>0</v>
      </c>
      <c r="Z265" s="296">
        <f t="shared" si="154"/>
        <v>0</v>
      </c>
      <c r="AA265" s="297">
        <f t="shared" si="157"/>
        <v>0</v>
      </c>
      <c r="AB265" s="297">
        <f t="shared" si="148"/>
        <v>0</v>
      </c>
      <c r="AC265" s="1267" t="str">
        <f>$AC$6</f>
        <v>Gr. Ave Sem :</v>
      </c>
      <c r="AD265" s="284">
        <f>AD264*7</f>
        <v>0</v>
      </c>
      <c r="AE265" s="284">
        <f>AE264*7</f>
        <v>0</v>
      </c>
      <c r="AF265" s="285">
        <f>IF(AND(AE265&gt;0,AD265&gt;0),(AD265/AE265-1)*100,0)</f>
        <v>0</v>
      </c>
      <c r="AG265" s="1199" t="str">
        <f>PROD!$AG$6</f>
        <v>Gr X H Acm</v>
      </c>
      <c r="AH265" s="298">
        <f>IF(SUM(PROD!L264:L270)&gt;0,IF(PROD!$AG$5="Gr X H",SUM(PROD!V$5:V270)*PROD!$A$1/SUM(PROD!L$5:L270),IF($AG264="Conv Kg/Doc",(SUM(PROD!V$5:V270)*PROD!$A$1/1000)/(SUM(PROD!L$5:L270)/12),IF(PROD!$O266&gt;0,SUM(PROD!V$5:V270)*PROD!$A$1/(SUM(PROD!L$5:L270)*LOOKUP(PROD!A264,TP!$A$6:$A$108,GSh!$BB$6:$BB$108)),0))),0)</f>
        <v>0</v>
      </c>
      <c r="AI265" s="298">
        <f>IF(PROD!P264&gt;0,IF($AG264="Gr X H",PROD!AE264/PROD!P264*100,IF($AG264="Conv Kg/Doc",PROD!AE264/PROD!P264*1.2,IF(PROD!$P265&gt;0,PROD!AE266/(PROD!P265*LOOKUP(PROD!$A264,TP!$A$6:$A$108,GSh!$BC$6:$BC$108)/1000),0))),0)</f>
        <v>0</v>
      </c>
      <c r="AJ265" s="328">
        <f t="shared" si="155"/>
        <v>0</v>
      </c>
      <c r="AK265" s="2027"/>
      <c r="AL265" s="1284">
        <f t="shared" si="149"/>
        <v>0</v>
      </c>
      <c r="AM265" s="1285"/>
      <c r="AN265" s="1285"/>
      <c r="AO265" s="1285"/>
      <c r="AP265" s="1285"/>
      <c r="AQ265" s="1285"/>
      <c r="AR265" s="1285"/>
      <c r="AS265" s="1286"/>
      <c r="AT265" s="1287"/>
      <c r="AU265" s="1288"/>
      <c r="AV265" s="1289"/>
      <c r="AW265" s="1290"/>
      <c r="AX265" s="1291"/>
      <c r="AY265" s="1291"/>
      <c r="AZ265" s="1292"/>
      <c r="BA265" s="1293"/>
      <c r="BB265" s="1294"/>
      <c r="BC265" s="1295"/>
      <c r="BD265" s="1296">
        <f>BD264+PROD!L265-BA265</f>
        <v>0</v>
      </c>
      <c r="BE265" s="2133"/>
      <c r="BF265" s="507" t="e">
        <f t="shared" si="150"/>
        <v>#VALUE!</v>
      </c>
      <c r="BG265" s="329"/>
      <c r="BH265" s="1018">
        <f t="shared" si="151"/>
        <v>0</v>
      </c>
    </row>
    <row r="266" spans="1:60" ht="15" customHeight="1" x14ac:dyDescent="0.3">
      <c r="A266" s="2033"/>
      <c r="B266" s="287" t="str">
        <f t="shared" si="152"/>
        <v/>
      </c>
      <c r="C266" s="288" t="str">
        <f t="shared" si="147"/>
        <v/>
      </c>
      <c r="D266" s="691"/>
      <c r="E266" s="692"/>
      <c r="F266" s="693"/>
      <c r="G266" s="694"/>
      <c r="H266" s="695"/>
      <c r="I266" s="289">
        <f>I265-SUM($D266:F266)</f>
        <v>0</v>
      </c>
      <c r="J266" s="1235" t="str">
        <f>$J$7</f>
        <v>% Mort/Sel Sem Tab :</v>
      </c>
      <c r="K266" s="1236">
        <f>K269-K262</f>
        <v>0</v>
      </c>
      <c r="L266" s="1246"/>
      <c r="M266" s="291">
        <f t="shared" si="156"/>
        <v>0</v>
      </c>
      <c r="N266" s="304" t="str">
        <f>$N$7</f>
        <v xml:space="preserve">Peso Huevo (Gr) : </v>
      </c>
      <c r="O266" s="305">
        <f>LOOKUP($A264,'Pr-Sem'!$A$6:$A$108,'Pr-Sem'!$Z$6:$Z$108)</f>
        <v>0</v>
      </c>
      <c r="P266" s="305">
        <f>IFERROR(LOOKUP($A264,TP!$A$6:$A$108,GSh!$AZ$6:$AZ$108),0)</f>
        <v>0</v>
      </c>
      <c r="Q266" s="306">
        <f>IF(AND(P266&gt;0,O266&gt;0),O266-P266,0)</f>
        <v>0</v>
      </c>
      <c r="R266" s="699"/>
      <c r="S266" s="762"/>
      <c r="T266" s="765">
        <f t="shared" si="122"/>
        <v>0</v>
      </c>
      <c r="U266" s="700"/>
      <c r="V266" s="701"/>
      <c r="W266" s="701"/>
      <c r="X266" s="295">
        <f t="shared" si="153"/>
        <v>0</v>
      </c>
      <c r="Y266" s="296">
        <f>IF(AA266&gt;0,V266,AE264/IF(Iniciar!$C$25="B X 40 K",40,IF(Iniciar!$C$25="B X 50 K",50,1))*I266/1000)</f>
        <v>0</v>
      </c>
      <c r="Z266" s="296">
        <f t="shared" si="154"/>
        <v>0</v>
      </c>
      <c r="AA266" s="297">
        <f t="shared" si="157"/>
        <v>0</v>
      </c>
      <c r="AB266" s="297">
        <f t="shared" si="148"/>
        <v>0</v>
      </c>
      <c r="AC266" s="1268" t="str">
        <f>$AC$7</f>
        <v>Kg Ave Acu :</v>
      </c>
      <c r="AD266" s="308">
        <f>IF(OR(SUM(L264:L270)&gt;0,SUM(V264:V270)&gt;0),AD265/1000+AD259,0)</f>
        <v>0</v>
      </c>
      <c r="AE266" s="309">
        <f>AE265/1000+AE259</f>
        <v>0</v>
      </c>
      <c r="AF266" s="310">
        <f>IF(AND(AE266&gt;0,AD266&gt;0),(AD266/AE266-1)*100,0)</f>
        <v>0</v>
      </c>
      <c r="AG266" s="311" t="str">
        <f>PROD!$AG$7</f>
        <v xml:space="preserve">Masa Sem H (Gr) : </v>
      </c>
      <c r="AH266" s="312">
        <f>PROD!O264/100*7*PROD!O266</f>
        <v>0</v>
      </c>
      <c r="AI266" s="312">
        <f>PROD!P264/100*7*PROD!P266</f>
        <v>0</v>
      </c>
      <c r="AJ266" s="313">
        <f t="shared" si="155"/>
        <v>0</v>
      </c>
      <c r="AK266" s="2027"/>
      <c r="AL266" s="1284">
        <f t="shared" si="149"/>
        <v>0</v>
      </c>
      <c r="AM266" s="1285"/>
      <c r="AN266" s="1285"/>
      <c r="AO266" s="1285"/>
      <c r="AP266" s="1285"/>
      <c r="AQ266" s="1285"/>
      <c r="AR266" s="1285"/>
      <c r="AS266" s="1286"/>
      <c r="AT266" s="1287"/>
      <c r="AU266" s="1288"/>
      <c r="AV266" s="1289"/>
      <c r="AW266" s="1290"/>
      <c r="AX266" s="1291"/>
      <c r="AY266" s="1291"/>
      <c r="AZ266" s="1292"/>
      <c r="BA266" s="1293"/>
      <c r="BB266" s="1294"/>
      <c r="BC266" s="1295"/>
      <c r="BD266" s="1296">
        <f>BD265+PROD!L266-BA266</f>
        <v>0</v>
      </c>
      <c r="BE266" s="2133"/>
      <c r="BF266" s="507" t="e">
        <f t="shared" si="150"/>
        <v>#VALUE!</v>
      </c>
      <c r="BG266" s="329"/>
      <c r="BH266" s="1018">
        <f t="shared" si="151"/>
        <v>0</v>
      </c>
    </row>
    <row r="267" spans="1:60" ht="15" customHeight="1" x14ac:dyDescent="0.3">
      <c r="A267" s="2033"/>
      <c r="B267" s="287" t="str">
        <f t="shared" si="152"/>
        <v/>
      </c>
      <c r="C267" s="288" t="str">
        <f t="shared" si="147"/>
        <v/>
      </c>
      <c r="D267" s="691"/>
      <c r="E267" s="692"/>
      <c r="F267" s="693"/>
      <c r="G267" s="694"/>
      <c r="H267" s="695"/>
      <c r="I267" s="289">
        <f>I266-SUM($D267:F267)</f>
        <v>0</v>
      </c>
      <c r="J267" s="1234" t="str">
        <f>$J$8</f>
        <v>% Mort Acm :</v>
      </c>
      <c r="K267" s="1231">
        <f>IF(PROD!$K$2&gt;0,SUM(D$5:D270)/PROD!$K$2,0)</f>
        <v>0</v>
      </c>
      <c r="L267" s="1246"/>
      <c r="M267" s="291">
        <f t="shared" si="156"/>
        <v>0</v>
      </c>
      <c r="N267" s="314" t="str">
        <f>N$8</f>
        <v xml:space="preserve">Peso Ave (Gr) : </v>
      </c>
      <c r="O267" s="315">
        <f>LOOKUP($A264,GSh!$BV$6:$BV$108,GSh!$BJ$6:$BJ$108)</f>
        <v>0</v>
      </c>
      <c r="P267" s="315">
        <f>IFERROR(LOOKUP($A264,TP!$A$6:$A$108,GSh!$BK$6:$BK$108),0)</f>
        <v>0</v>
      </c>
      <c r="Q267" s="316">
        <f>IF(AND(P267&gt;0,O267&gt;0),(O267/P267-1)*100,0)</f>
        <v>0</v>
      </c>
      <c r="R267" s="699"/>
      <c r="S267" s="762"/>
      <c r="T267" s="765">
        <f t="shared" si="122"/>
        <v>0</v>
      </c>
      <c r="U267" s="700"/>
      <c r="V267" s="701"/>
      <c r="W267" s="701"/>
      <c r="X267" s="295">
        <f t="shared" si="153"/>
        <v>0</v>
      </c>
      <c r="Y267" s="296">
        <f>IF(AA267&gt;0,V267,AE264/IF(Iniciar!$C$25="B X 40 K",40,IF(Iniciar!$C$25="B X 50 K",50,1))*I267/1000)</f>
        <v>0</v>
      </c>
      <c r="Z267" s="296">
        <f t="shared" si="154"/>
        <v>0</v>
      </c>
      <c r="AA267" s="297">
        <f t="shared" si="157"/>
        <v>0</v>
      </c>
      <c r="AB267" s="297">
        <f t="shared" si="148"/>
        <v>0</v>
      </c>
      <c r="AC267" s="541" t="str">
        <f>$AC$8</f>
        <v xml:space="preserve">Ton. Lote Acu : </v>
      </c>
      <c r="AD267" s="544">
        <f>SUM($V$5:$V270)*$A$1/1000000</f>
        <v>0</v>
      </c>
      <c r="AE267" s="543">
        <f>AE260+(AE264/1000000*7*(I264+I270)/2)</f>
        <v>0</v>
      </c>
      <c r="AF267" s="542">
        <f>IF(AND(AE267&gt;0,AD267&gt;0),(AD267/AE267-1)*100,0)</f>
        <v>0</v>
      </c>
      <c r="AG267" s="317" t="str">
        <f>PROD!$AG$8</f>
        <v xml:space="preserve">Masa Ac A. A (Kg) : </v>
      </c>
      <c r="AH267" s="318">
        <f>IF(PROD!$K$2&gt;0,SUM(PROD!L$5:L270)*LOOKUP(PROD!$A264,TP!$A$6:$A$108,GSh!$BB$6:$BB$108)/1000/PROD!$K$2,0)</f>
        <v>0</v>
      </c>
      <c r="AI267" s="318">
        <f>IFERROR(PROD!P265*LOOKUP(PROD!$A264,TP!$A$6:$A$108,GSh!$BC$6:$BC$108)/1000,0)</f>
        <v>0</v>
      </c>
      <c r="AJ267" s="330">
        <f t="shared" si="155"/>
        <v>0</v>
      </c>
      <c r="AK267" s="2027"/>
      <c r="AL267" s="1284">
        <f t="shared" si="149"/>
        <v>0</v>
      </c>
      <c r="AM267" s="1285"/>
      <c r="AN267" s="1285"/>
      <c r="AO267" s="1285"/>
      <c r="AP267" s="1285"/>
      <c r="AQ267" s="1285"/>
      <c r="AR267" s="1285"/>
      <c r="AS267" s="1286"/>
      <c r="AT267" s="1287"/>
      <c r="AU267" s="1288"/>
      <c r="AV267" s="1289"/>
      <c r="AW267" s="1290"/>
      <c r="AX267" s="1291"/>
      <c r="AY267" s="1291"/>
      <c r="AZ267" s="1292"/>
      <c r="BA267" s="1293"/>
      <c r="BB267" s="1294"/>
      <c r="BC267" s="1295"/>
      <c r="BD267" s="1296">
        <f>BD266+PROD!L267-BA267</f>
        <v>0</v>
      </c>
      <c r="BE267" s="2133"/>
      <c r="BF267" s="507" t="e">
        <f t="shared" si="150"/>
        <v>#VALUE!</v>
      </c>
      <c r="BG267" s="329"/>
      <c r="BH267" s="1018">
        <f t="shared" si="151"/>
        <v>0</v>
      </c>
    </row>
    <row r="268" spans="1:60" ht="15" customHeight="1" x14ac:dyDescent="0.3">
      <c r="A268" s="2033"/>
      <c r="B268" s="287" t="str">
        <f t="shared" si="152"/>
        <v/>
      </c>
      <c r="C268" s="288" t="str">
        <f t="shared" si="147"/>
        <v/>
      </c>
      <c r="D268" s="691"/>
      <c r="E268" s="692"/>
      <c r="F268" s="693"/>
      <c r="G268" s="694"/>
      <c r="H268" s="695"/>
      <c r="I268" s="289">
        <f>I267-SUM($D268:F268)</f>
        <v>0</v>
      </c>
      <c r="J268" s="1234" t="str">
        <f>$J$9</f>
        <v>% Sel Acm :</v>
      </c>
      <c r="K268" s="1231">
        <f>IF(PROD!$K$2&gt;0,SUM(E$5:E270)/PROD!$K$2,0)</f>
        <v>0</v>
      </c>
      <c r="L268" s="1246"/>
      <c r="M268" s="291">
        <f t="shared" si="156"/>
        <v>0</v>
      </c>
      <c r="N268" s="292" t="str">
        <f>$N$9</f>
        <v xml:space="preserve">Uniformidad (10% -) : </v>
      </c>
      <c r="O268" s="320">
        <f>LOOKUP($A264,'Pr-Sem'!$A$6:$A$108,'Pr-Sem'!$AH$6:$AH$108)</f>
        <v>0</v>
      </c>
      <c r="P268" s="320">
        <v>5</v>
      </c>
      <c r="Q268" s="321">
        <f>IF(AND(P268&gt;0,O268&gt;0),(1-O268/P268)*100,0)</f>
        <v>0</v>
      </c>
      <c r="R268" s="699"/>
      <c r="S268" s="762"/>
      <c r="T268" s="765">
        <f t="shared" ref="T268:T331" si="158">T267</f>
        <v>0</v>
      </c>
      <c r="U268" s="700"/>
      <c r="V268" s="701"/>
      <c r="W268" s="701"/>
      <c r="X268" s="295">
        <f t="shared" si="153"/>
        <v>0</v>
      </c>
      <c r="Y268" s="296">
        <f>IF(AA268&gt;0,V268,AE264/IF(Iniciar!$C$25="B X 40 K",40,IF(Iniciar!$C$25="B X 50 K",50,1))*I268/1000)</f>
        <v>0</v>
      </c>
      <c r="Z268" s="296">
        <f t="shared" si="154"/>
        <v>0</v>
      </c>
      <c r="AA268" s="297">
        <f t="shared" si="157"/>
        <v>0</v>
      </c>
      <c r="AB268" s="297">
        <f t="shared" si="148"/>
        <v>0</v>
      </c>
      <c r="AC268" s="2035" t="str">
        <f>$AC$9</f>
        <v xml:space="preserve">Total Litros Sem: </v>
      </c>
      <c r="AD268" s="2036"/>
      <c r="AE268" s="2050">
        <f>SUM(R264:R270)</f>
        <v>0</v>
      </c>
      <c r="AF268" s="2051"/>
      <c r="AG268" s="554" t="str">
        <f>$AG$9</f>
        <v xml:space="preserve">Indicador Eficiencia : </v>
      </c>
      <c r="AH268" s="555">
        <f>IF(AND(AE268&gt;0,O265&gt;0,O266&gt;0,SUM(L264:L270)&gt;0),(PROD!AH267/O265)*K270*100/(AE268/(SUM(L264:L270)*O266/1000)),0)</f>
        <v>0</v>
      </c>
      <c r="AI268" s="555">
        <f>IF(AND(P265&gt;0,PROD!AI266&gt;0),(PROD!AI267/P265)*(1-K269)*100/(AE265/PROD!AI266),0)</f>
        <v>0</v>
      </c>
      <c r="AJ268" s="331">
        <f t="shared" si="155"/>
        <v>0</v>
      </c>
      <c r="AK268" s="2027"/>
      <c r="AL268" s="1284">
        <f t="shared" si="149"/>
        <v>0</v>
      </c>
      <c r="AM268" s="1285"/>
      <c r="AN268" s="1285"/>
      <c r="AO268" s="1285"/>
      <c r="AP268" s="1285"/>
      <c r="AQ268" s="1285"/>
      <c r="AR268" s="1285"/>
      <c r="AS268" s="1286"/>
      <c r="AT268" s="1287"/>
      <c r="AU268" s="1288"/>
      <c r="AV268" s="1289"/>
      <c r="AW268" s="1290"/>
      <c r="AX268" s="1291"/>
      <c r="AY268" s="1291"/>
      <c r="AZ268" s="1292"/>
      <c r="BA268" s="1293"/>
      <c r="BB268" s="1294"/>
      <c r="BC268" s="1295"/>
      <c r="BD268" s="1296">
        <f>BD267+PROD!L268-BA268</f>
        <v>0</v>
      </c>
      <c r="BE268" s="2133"/>
      <c r="BF268" s="507" t="e">
        <f t="shared" si="150"/>
        <v>#VALUE!</v>
      </c>
      <c r="BG268" s="329"/>
      <c r="BH268" s="1018">
        <f t="shared" si="151"/>
        <v>0</v>
      </c>
    </row>
    <row r="269" spans="1:60" ht="15" customHeight="1" x14ac:dyDescent="0.3">
      <c r="A269" s="2033"/>
      <c r="B269" s="287" t="str">
        <f t="shared" si="152"/>
        <v/>
      </c>
      <c r="C269" s="288" t="str">
        <f t="shared" si="147"/>
        <v/>
      </c>
      <c r="D269" s="691"/>
      <c r="E269" s="692"/>
      <c r="F269" s="693"/>
      <c r="G269" s="694"/>
      <c r="H269" s="695"/>
      <c r="I269" s="289">
        <f>I268-SUM($D269:F269)</f>
        <v>0</v>
      </c>
      <c r="J269" s="1237" t="str">
        <f>$J$10</f>
        <v>% Mort/Sel Acm Tab :</v>
      </c>
      <c r="K269" s="1238">
        <f>IFERROR(LOOKUP($A264,TP!$A$6:$A$108,GSh!$AR$6:$AR$108)/100,0)</f>
        <v>0</v>
      </c>
      <c r="L269" s="1246"/>
      <c r="M269" s="291">
        <f t="shared" si="156"/>
        <v>0</v>
      </c>
      <c r="N269" s="292" t="str">
        <f>$N$10</f>
        <v xml:space="preserve">Uniformidad (C. Lote) : </v>
      </c>
      <c r="O269" s="320">
        <f>LOOKUP($A264,'Pr-Sem'!$A$6:$A$108,'Pr-Sem'!$AG$6:$AG$108)</f>
        <v>0</v>
      </c>
      <c r="P269" s="320">
        <v>90</v>
      </c>
      <c r="Q269" s="321">
        <f>IF(AND(P269&gt;0,O269&gt;0),(O269/P269-1)*100,0)</f>
        <v>0</v>
      </c>
      <c r="R269" s="699"/>
      <c r="S269" s="762"/>
      <c r="T269" s="765">
        <f t="shared" si="158"/>
        <v>0</v>
      </c>
      <c r="U269" s="700"/>
      <c r="V269" s="701"/>
      <c r="W269" s="701"/>
      <c r="X269" s="295">
        <f t="shared" si="153"/>
        <v>0</v>
      </c>
      <c r="Y269" s="296">
        <f>IF(AA269&gt;0,V269,AE264/IF(Iniciar!$C$25="B X 40 K",40,IF(Iniciar!$C$25="B X 50 K",50,1))*I269/1000)</f>
        <v>0</v>
      </c>
      <c r="Z269" s="296">
        <f t="shared" si="154"/>
        <v>0</v>
      </c>
      <c r="AA269" s="297">
        <f t="shared" si="157"/>
        <v>0</v>
      </c>
      <c r="AB269" s="297">
        <f t="shared" si="148"/>
        <v>0</v>
      </c>
      <c r="AC269" s="2037" t="str">
        <f>$AC$10</f>
        <v xml:space="preserve">Cons ml /ave día: </v>
      </c>
      <c r="AD269" s="2038"/>
      <c r="AE269" s="2056">
        <f>IFERROR(SUMPRODUCT(AB264:AB270,I264:I270)/SUM(I264:I270),0)</f>
        <v>0</v>
      </c>
      <c r="AF269" s="2057"/>
      <c r="AG269" s="311" t="str">
        <f>CONCATENATE("Costo ",Iniciar!$C$25," : ")</f>
        <v xml:space="preserve">Costo Kilos : </v>
      </c>
      <c r="AH269" s="2043">
        <f>IFERROR(SUMPRODUCT(T264:T270,V264:V270)/SUMIF(T264:T270,"&gt;0",V264:V270),0)</f>
        <v>0</v>
      </c>
      <c r="AI269" s="2043"/>
      <c r="AJ269" s="313"/>
      <c r="AK269" s="2027"/>
      <c r="AL269" s="1284">
        <f t="shared" si="149"/>
        <v>0</v>
      </c>
      <c r="AM269" s="1285"/>
      <c r="AN269" s="1285"/>
      <c r="AO269" s="1285"/>
      <c r="AP269" s="1285"/>
      <c r="AQ269" s="1285"/>
      <c r="AR269" s="1285"/>
      <c r="AS269" s="1286"/>
      <c r="AT269" s="1287"/>
      <c r="AU269" s="1288"/>
      <c r="AV269" s="1289"/>
      <c r="AW269" s="1290"/>
      <c r="AX269" s="1291"/>
      <c r="AY269" s="1291"/>
      <c r="AZ269" s="1292"/>
      <c r="BA269" s="1293"/>
      <c r="BB269" s="1294"/>
      <c r="BC269" s="1295"/>
      <c r="BD269" s="1296">
        <f>BD268+PROD!L269-BA269</f>
        <v>0</v>
      </c>
      <c r="BE269" s="2133"/>
      <c r="BF269" s="507" t="e">
        <f t="shared" si="150"/>
        <v>#VALUE!</v>
      </c>
      <c r="BG269" s="329"/>
      <c r="BH269" s="1018">
        <f t="shared" si="151"/>
        <v>0</v>
      </c>
    </row>
    <row r="270" spans="1:60" ht="15" customHeight="1" x14ac:dyDescent="0.3">
      <c r="A270" s="2034"/>
      <c r="B270" s="287" t="str">
        <f t="shared" si="152"/>
        <v/>
      </c>
      <c r="C270" s="288" t="str">
        <f t="shared" si="147"/>
        <v/>
      </c>
      <c r="D270" s="691"/>
      <c r="E270" s="692"/>
      <c r="F270" s="693"/>
      <c r="G270" s="694"/>
      <c r="H270" s="695"/>
      <c r="I270" s="289">
        <f>I269-SUM($D270:F270)</f>
        <v>0</v>
      </c>
      <c r="J270" s="1239" t="str">
        <f>$J$11</f>
        <v>% Viabilidad :</v>
      </c>
      <c r="K270" s="1240">
        <f>IF(OR(SUM(L264:L270)&gt;0,SUM(V264:V270)&gt;0),1-(K267+K268),0)</f>
        <v>0</v>
      </c>
      <c r="L270" s="1247"/>
      <c r="M270" s="1248">
        <f>IF(I270&gt;0,(L270/IF(SUM(L264:L269)&gt;0,1,7))/I270,0)</f>
        <v>0</v>
      </c>
      <c r="N270" s="1249" t="str">
        <f>$N$11</f>
        <v xml:space="preserve">Uniformidad (10% +) : </v>
      </c>
      <c r="O270" s="1250">
        <f>IF(O268&gt;0,IF(O269&gt;0,100-SUM(O268:O269),0),0)</f>
        <v>0</v>
      </c>
      <c r="P270" s="1251">
        <f>100-SUM(P268:P269)</f>
        <v>5</v>
      </c>
      <c r="Q270" s="1252">
        <f>IF(AND(P270&gt;0,O270&gt;0),(O270/P270-1)*100,0)</f>
        <v>0</v>
      </c>
      <c r="R270" s="699"/>
      <c r="S270" s="762"/>
      <c r="T270" s="765">
        <f t="shared" si="158"/>
        <v>0</v>
      </c>
      <c r="U270" s="700"/>
      <c r="V270" s="701"/>
      <c r="W270" s="701"/>
      <c r="X270" s="295">
        <f t="shared" si="153"/>
        <v>0</v>
      </c>
      <c r="Y270" s="296">
        <f>IF(AA270&gt;0,V270,AE264/IF(Iniciar!$C$25="B X 40 K",40,IF(Iniciar!$C$25="B X 50 K",50,1))*I270/1000)</f>
        <v>0</v>
      </c>
      <c r="Z270" s="296">
        <f t="shared" si="154"/>
        <v>0</v>
      </c>
      <c r="AA270" s="297">
        <f>IF(I270&gt;0,(V270/IF(SUM(V264:V269)&gt;0,1,7))*$A$1/I270,0)</f>
        <v>0</v>
      </c>
      <c r="AB270" s="297">
        <f t="shared" si="148"/>
        <v>0</v>
      </c>
      <c r="AC270" s="2039" t="str">
        <f>$AC$11</f>
        <v xml:space="preserve">Relación Agua /Alimto: </v>
      </c>
      <c r="AD270" s="2040"/>
      <c r="AE270" s="2058">
        <f>IFERROR(AE269/AD264,0)</f>
        <v>0</v>
      </c>
      <c r="AF270" s="2059"/>
      <c r="AG270" s="1269" t="s">
        <v>237</v>
      </c>
      <c r="AH270" s="1270">
        <f>IF(SUM(L264:L270)&gt;0,AH269*SUM(V264:V270)/SUM(L264:L270),0)</f>
        <v>0</v>
      </c>
      <c r="AI270" s="1270">
        <f>IF(AND($A$1&gt;0,P264&gt;0),AH269/$A$1*(AE264/P264)*100,0)</f>
        <v>0</v>
      </c>
      <c r="AJ270" s="1271">
        <f t="shared" ref="AJ270:AJ275" si="159">IF(AND(AI270&gt;0,AH270&gt;0),(AH270/AI270-1)*100,0)</f>
        <v>0</v>
      </c>
      <c r="AK270" s="2028"/>
      <c r="AL270" s="1284">
        <f t="shared" si="149"/>
        <v>0</v>
      </c>
      <c r="AM270" s="1285"/>
      <c r="AN270" s="1285"/>
      <c r="AO270" s="1285"/>
      <c r="AP270" s="1285"/>
      <c r="AQ270" s="1285"/>
      <c r="AR270" s="1285"/>
      <c r="AS270" s="1286"/>
      <c r="AT270" s="1287"/>
      <c r="AU270" s="1288"/>
      <c r="AV270" s="1289"/>
      <c r="AW270" s="1290"/>
      <c r="AX270" s="1291"/>
      <c r="AY270" s="1291"/>
      <c r="AZ270" s="1292"/>
      <c r="BA270" s="1293"/>
      <c r="BB270" s="1294"/>
      <c r="BC270" s="1295"/>
      <c r="BD270" s="1296">
        <f>BD269+PROD!L270-BA270</f>
        <v>0</v>
      </c>
      <c r="BE270" s="2134"/>
      <c r="BF270" s="507" t="e">
        <f t="shared" si="150"/>
        <v>#VALUE!</v>
      </c>
      <c r="BG270" s="329"/>
      <c r="BH270" s="1018">
        <f t="shared" si="151"/>
        <v>0</v>
      </c>
    </row>
    <row r="271" spans="1:60" ht="15" customHeight="1" x14ac:dyDescent="0.3">
      <c r="A271" s="2032">
        <f>A264+1</f>
        <v>56</v>
      </c>
      <c r="B271" s="287" t="str">
        <f t="shared" si="152"/>
        <v/>
      </c>
      <c r="C271" s="288" t="str">
        <f t="shared" si="147"/>
        <v/>
      </c>
      <c r="D271" s="691"/>
      <c r="E271" s="692"/>
      <c r="F271" s="693"/>
      <c r="G271" s="694"/>
      <c r="H271" s="695"/>
      <c r="I271" s="289">
        <f>I270-SUM($D271:F271)</f>
        <v>0</v>
      </c>
      <c r="J271" s="1232" t="str">
        <f>$J$5</f>
        <v>% Mort Sem :</v>
      </c>
      <c r="K271" s="1233">
        <f>IF(PROD!$K$2&gt;0,SUM(D271:D277)/PROD!$K$2,0)</f>
        <v>0</v>
      </c>
      <c r="L271" s="1241"/>
      <c r="M271" s="1242">
        <f t="shared" ref="M271:M276" si="160">IF(I271&gt;0,L271/I271,0)</f>
        <v>0</v>
      </c>
      <c r="N271" s="1243" t="str">
        <f>$N$5</f>
        <v xml:space="preserve">% Pdn prom semana : </v>
      </c>
      <c r="O271" s="1244">
        <f>IF(SUM(L271:L276)&gt;0,100*SUMPRODUCT(M271:M277,I271:I277)/SUMIF(L271:L277,"&gt;0",I271:I277),IF(L277&gt;0,100*L277/7/I277,0))</f>
        <v>0</v>
      </c>
      <c r="P271" s="1244">
        <f>IFERROR(LOOKUP($A271,TP!$A$6:$A$108,GSh!$AE$6:$AE$108),0)</f>
        <v>0</v>
      </c>
      <c r="Q271" s="1245">
        <f>IF(AND(P271&gt;0,O271&gt;0),O271-P271,0)</f>
        <v>0</v>
      </c>
      <c r="R271" s="699"/>
      <c r="S271" s="762"/>
      <c r="T271" s="765">
        <f t="shared" si="158"/>
        <v>0</v>
      </c>
      <c r="U271" s="700"/>
      <c r="V271" s="701"/>
      <c r="W271" s="701"/>
      <c r="X271" s="295">
        <f t="shared" si="153"/>
        <v>0</v>
      </c>
      <c r="Y271" s="296">
        <f>IF(AA271&gt;0,V271,AE271/IF(Iniciar!$C$25="B X 40 K",40,IF(Iniciar!$C$25="B X 50 K",50,1))*I271/1000)</f>
        <v>0</v>
      </c>
      <c r="Z271" s="296">
        <f t="shared" si="154"/>
        <v>0</v>
      </c>
      <c r="AA271" s="297">
        <f t="shared" ref="AA271:AA276" si="161">IF(I271&gt;0,V271*$A$1/I271,0)</f>
        <v>0</v>
      </c>
      <c r="AB271" s="297">
        <f t="shared" si="148"/>
        <v>0</v>
      </c>
      <c r="AC271" s="1261" t="str">
        <f>$AC$5</f>
        <v>Gr. Ave Dia :</v>
      </c>
      <c r="AD271" s="1262">
        <f>IF(SUMIF(V271:V277,"&gt;0")&gt;0,SUMPRODUCT(AA271:AA277,I271:I277)/SUMIF(AA271:AA277,"&gt;0",I271:I277),0)</f>
        <v>0</v>
      </c>
      <c r="AE271" s="1262">
        <f>IFERROR(LOOKUP($A271,TP!$A$6:$A$108,GSh!$AU$6:$AU$108),0)</f>
        <v>0</v>
      </c>
      <c r="AF271" s="1263">
        <f>IF(AND(AE271&gt;0,AD271&gt;0),(AD271/AE271-1)*100,0)</f>
        <v>0</v>
      </c>
      <c r="AG271" s="1264" t="str">
        <f>PROD!$AG$5</f>
        <v>Gr X H</v>
      </c>
      <c r="AH271" s="1265">
        <f>IF(PROD!O271&gt;0,IF($AG271="Gr X H",PROD!AD271/PROD!O271*100,IF($AG271="Conv Kg/Doc",PROD!AD271/PROD!O271*1.2,IF(PROD!$O273&gt;0,PROD!AD271/(PROD!O271*PROD!$O273)*100,0))),0)</f>
        <v>0</v>
      </c>
      <c r="AI271" s="1265">
        <f>IF(PROD!P271&gt;0,IF($AG271="Gr X H",PROD!AE271/PROD!P271*100,IF($AG271="Conv Kg/Doc",PROD!AE271/PROD!P271*1.2,IF(PROD!$P273&gt;0,PROD!AE271/(PROD!P271*PROD!$P273)*100,0))),0)</f>
        <v>0</v>
      </c>
      <c r="AJ271" s="1266">
        <f t="shared" si="159"/>
        <v>0</v>
      </c>
      <c r="AK271" s="2026"/>
      <c r="AL271" s="1284">
        <f t="shared" si="149"/>
        <v>0</v>
      </c>
      <c r="AM271" s="1285"/>
      <c r="AN271" s="1285"/>
      <c r="AO271" s="1285"/>
      <c r="AP271" s="1285"/>
      <c r="AQ271" s="1285"/>
      <c r="AR271" s="1285"/>
      <c r="AS271" s="1286"/>
      <c r="AT271" s="1287"/>
      <c r="AU271" s="1288"/>
      <c r="AV271" s="1289"/>
      <c r="AW271" s="1290"/>
      <c r="AX271" s="1291"/>
      <c r="AY271" s="1291"/>
      <c r="AZ271" s="1292"/>
      <c r="BA271" s="1293"/>
      <c r="BB271" s="1294"/>
      <c r="BC271" s="1295"/>
      <c r="BD271" s="1296">
        <f>BD270+PROD!L271-BA271</f>
        <v>0</v>
      </c>
      <c r="BE271" s="2132">
        <f>IF(SUM(AM271:AZ277)&gt;0,(SUM(AM271:AM277)*$AM$2+SUM(AN271:AN277)*$AN$2+SUM(AO271:AO277)*$AO$2+SUM(AP271:AP277)*$AP$2+SUM(AQ271:AQ277)*$AQ$2+SUM(AR271:AR277)*$AR$2+SUM(AS271:AS277)*$AS$2+SUM(AW271:AW277)*$AW$2+SUM(AX271:AX277)*$AX$2+SUM(AY271:AY277)*$AY$2+SUM(AZ271:AZ277)*$AZ$2+SUM(AT271:AT277)*$AT$2+SUM(AU271:AU277)*$AU$2+SUM(AV271:AV277)*$AV$2)/SUM(AM271:AZ277),0)</f>
        <v>0</v>
      </c>
      <c r="BF271" s="507" t="e">
        <f t="shared" si="150"/>
        <v>#VALUE!</v>
      </c>
      <c r="BG271" s="277">
        <f>IF(SUM(L271:L277)&gt;0,A271,IF(SUM(V271:V277)&gt;0,A271,BG264))</f>
        <v>0</v>
      </c>
      <c r="BH271" s="1018">
        <f t="shared" si="151"/>
        <v>0</v>
      </c>
    </row>
    <row r="272" spans="1:60" ht="15" customHeight="1" x14ac:dyDescent="0.3">
      <c r="A272" s="2033"/>
      <c r="B272" s="287" t="str">
        <f t="shared" si="152"/>
        <v/>
      </c>
      <c r="C272" s="288" t="str">
        <f t="shared" si="147"/>
        <v/>
      </c>
      <c r="D272" s="691"/>
      <c r="E272" s="692"/>
      <c r="F272" s="693"/>
      <c r="G272" s="694"/>
      <c r="H272" s="695"/>
      <c r="I272" s="289">
        <f>I271-SUM($D272:F272)</f>
        <v>0</v>
      </c>
      <c r="J272" s="1234" t="str">
        <f>$J$6</f>
        <v>% Sel Sem :</v>
      </c>
      <c r="K272" s="1231">
        <f>IF(PROD!$K$2&gt;0,SUM(E271:E277)/PROD!$K$2,0)</f>
        <v>0</v>
      </c>
      <c r="L272" s="1246"/>
      <c r="M272" s="291">
        <f t="shared" si="160"/>
        <v>0</v>
      </c>
      <c r="N272" s="292" t="str">
        <f>$N$6</f>
        <v xml:space="preserve">H. Ave Alojada : </v>
      </c>
      <c r="O272" s="293">
        <f>IF(AND(PROD!$K$2&gt;0,O271&gt;0),SUM(L$5:L277)/PROD!$K$2,0)</f>
        <v>0</v>
      </c>
      <c r="P272" s="293">
        <f>IFERROR(LOOKUP($A271,TP!$A$6:$A$108,GSh!$AJ$6:$AJ$108),0)</f>
        <v>0</v>
      </c>
      <c r="Q272" s="294">
        <f>IF(AND(P272&gt;0,O272&gt;0),O272-P272,0)</f>
        <v>0</v>
      </c>
      <c r="R272" s="699"/>
      <c r="S272" s="762"/>
      <c r="T272" s="765">
        <f t="shared" si="158"/>
        <v>0</v>
      </c>
      <c r="U272" s="700"/>
      <c r="V272" s="701"/>
      <c r="W272" s="701"/>
      <c r="X272" s="295">
        <f t="shared" si="153"/>
        <v>0</v>
      </c>
      <c r="Y272" s="296">
        <f>IF(AA272&gt;0,V272,AE271/IF(Iniciar!$C$25="B X 40 K",40,IF(Iniciar!$C$25="B X 50 K",50,1))*I272/1000)</f>
        <v>0</v>
      </c>
      <c r="Z272" s="296">
        <f t="shared" si="154"/>
        <v>0</v>
      </c>
      <c r="AA272" s="297">
        <f t="shared" si="161"/>
        <v>0</v>
      </c>
      <c r="AB272" s="297">
        <f t="shared" si="148"/>
        <v>0</v>
      </c>
      <c r="AC272" s="1267" t="str">
        <f>$AC$6</f>
        <v>Gr. Ave Sem :</v>
      </c>
      <c r="AD272" s="284">
        <f>AD271*7</f>
        <v>0</v>
      </c>
      <c r="AE272" s="284">
        <f>AE271*7</f>
        <v>0</v>
      </c>
      <c r="AF272" s="285">
        <f>IF(AND(AE272&gt;0,AD272&gt;0),(AD272/AE272-1)*100,0)</f>
        <v>0</v>
      </c>
      <c r="AG272" s="1199" t="str">
        <f>PROD!$AG$6</f>
        <v>Gr X H Acm</v>
      </c>
      <c r="AH272" s="298">
        <f>IF(SUM(PROD!L271:L277)&gt;0,IF(PROD!$AG$5="Gr X H",SUM(PROD!V$5:V277)*PROD!$A$1/SUM(PROD!L$5:L277),IF($AG271="Conv Kg/Doc",(SUM(PROD!V$5:V277)*PROD!$A$1/1000)/(SUM(PROD!L$5:L277)/12),IF(PROD!$O273&gt;0,SUM(PROD!V$5:V277)*PROD!$A$1/(SUM(PROD!L$5:L277)*LOOKUP(PROD!A271,TP!$A$6:$A$108,GSh!$BB$6:$BB$108)),0))),0)</f>
        <v>0</v>
      </c>
      <c r="AI272" s="298">
        <f>IF(PROD!P271&gt;0,IF($AG271="Gr X H",PROD!AE271/PROD!P271*100,IF($AG271="Conv Kg/Doc",PROD!AE271/PROD!P271*1.2,IF(PROD!$P272&gt;0,PROD!AE273/(PROD!P272*LOOKUP(PROD!$A271,TP!$A$6:$A$108,GSh!$BC$6:$BC$108)/1000),0))),0)</f>
        <v>0</v>
      </c>
      <c r="AJ272" s="328">
        <f t="shared" si="159"/>
        <v>0</v>
      </c>
      <c r="AK272" s="2027"/>
      <c r="AL272" s="1284">
        <f t="shared" si="149"/>
        <v>0</v>
      </c>
      <c r="AM272" s="1285"/>
      <c r="AN272" s="1285"/>
      <c r="AO272" s="1285"/>
      <c r="AP272" s="1285"/>
      <c r="AQ272" s="1285"/>
      <c r="AR272" s="1285"/>
      <c r="AS272" s="1286"/>
      <c r="AT272" s="1287"/>
      <c r="AU272" s="1288"/>
      <c r="AV272" s="1289"/>
      <c r="AW272" s="1290"/>
      <c r="AX272" s="1291"/>
      <c r="AY272" s="1291"/>
      <c r="AZ272" s="1292"/>
      <c r="BA272" s="1293"/>
      <c r="BB272" s="1294"/>
      <c r="BC272" s="1295"/>
      <c r="BD272" s="1296">
        <f>BD271+PROD!L272-BA272</f>
        <v>0</v>
      </c>
      <c r="BE272" s="2133"/>
      <c r="BF272" s="507" t="e">
        <f t="shared" si="150"/>
        <v>#VALUE!</v>
      </c>
      <c r="BG272" s="329"/>
      <c r="BH272" s="1018">
        <f t="shared" si="151"/>
        <v>0</v>
      </c>
    </row>
    <row r="273" spans="1:60" ht="15" customHeight="1" x14ac:dyDescent="0.3">
      <c r="A273" s="2033"/>
      <c r="B273" s="287" t="str">
        <f t="shared" si="152"/>
        <v/>
      </c>
      <c r="C273" s="288" t="str">
        <f t="shared" si="147"/>
        <v/>
      </c>
      <c r="D273" s="691"/>
      <c r="E273" s="692"/>
      <c r="F273" s="693"/>
      <c r="G273" s="694"/>
      <c r="H273" s="695"/>
      <c r="I273" s="289">
        <f>I272-SUM($D273:F273)</f>
        <v>0</v>
      </c>
      <c r="J273" s="1235" t="str">
        <f>$J$7</f>
        <v>% Mort/Sel Sem Tab :</v>
      </c>
      <c r="K273" s="1236">
        <f>K276-K269</f>
        <v>0</v>
      </c>
      <c r="L273" s="1246"/>
      <c r="M273" s="291">
        <f t="shared" si="160"/>
        <v>0</v>
      </c>
      <c r="N273" s="304" t="str">
        <f>$N$7</f>
        <v xml:space="preserve">Peso Huevo (Gr) : </v>
      </c>
      <c r="O273" s="305">
        <f>LOOKUP($A271,'Pr-Sem'!$A$6:$A$108,'Pr-Sem'!$Z$6:$Z$108)</f>
        <v>0</v>
      </c>
      <c r="P273" s="305">
        <f>IFERROR(LOOKUP($A271,TP!$A$6:$A$108,GSh!$AZ$6:$AZ$108),0)</f>
        <v>0</v>
      </c>
      <c r="Q273" s="306">
        <f>IF(AND(P273&gt;0,O273&gt;0),O273-P273,0)</f>
        <v>0</v>
      </c>
      <c r="R273" s="699"/>
      <c r="S273" s="762"/>
      <c r="T273" s="765">
        <f t="shared" si="158"/>
        <v>0</v>
      </c>
      <c r="U273" s="700"/>
      <c r="V273" s="701"/>
      <c r="W273" s="701"/>
      <c r="X273" s="295">
        <f t="shared" si="153"/>
        <v>0</v>
      </c>
      <c r="Y273" s="296">
        <f>IF(AA273&gt;0,V273,AE271/IF(Iniciar!$C$25="B X 40 K",40,IF(Iniciar!$C$25="B X 50 K",50,1))*I273/1000)</f>
        <v>0</v>
      </c>
      <c r="Z273" s="296">
        <f t="shared" si="154"/>
        <v>0</v>
      </c>
      <c r="AA273" s="297">
        <f t="shared" si="161"/>
        <v>0</v>
      </c>
      <c r="AB273" s="297">
        <f t="shared" si="148"/>
        <v>0</v>
      </c>
      <c r="AC273" s="1268" t="str">
        <f>$AC$7</f>
        <v>Kg Ave Acu :</v>
      </c>
      <c r="AD273" s="308">
        <f>IF(OR(SUM(L271:L277)&gt;0,SUM(V271:V277)&gt;0),AD272/1000+AD266,0)</f>
        <v>0</v>
      </c>
      <c r="AE273" s="309">
        <f>AE272/1000+AE266</f>
        <v>0</v>
      </c>
      <c r="AF273" s="310">
        <f>IF(AND(AE273&gt;0,AD273&gt;0),(AD273/AE273-1)*100,0)</f>
        <v>0</v>
      </c>
      <c r="AG273" s="311" t="str">
        <f>PROD!$AG$7</f>
        <v xml:space="preserve">Masa Sem H (Gr) : </v>
      </c>
      <c r="AH273" s="312">
        <f>PROD!O271/100*7*PROD!O273</f>
        <v>0</v>
      </c>
      <c r="AI273" s="312">
        <f>PROD!P271/100*7*PROD!P273</f>
        <v>0</v>
      </c>
      <c r="AJ273" s="313">
        <f t="shared" si="159"/>
        <v>0</v>
      </c>
      <c r="AK273" s="2027"/>
      <c r="AL273" s="1284">
        <f t="shared" si="149"/>
        <v>0</v>
      </c>
      <c r="AM273" s="1285"/>
      <c r="AN273" s="1285"/>
      <c r="AO273" s="1285"/>
      <c r="AP273" s="1285"/>
      <c r="AQ273" s="1285"/>
      <c r="AR273" s="1285"/>
      <c r="AS273" s="1286"/>
      <c r="AT273" s="1287"/>
      <c r="AU273" s="1288"/>
      <c r="AV273" s="1289"/>
      <c r="AW273" s="1290"/>
      <c r="AX273" s="1291"/>
      <c r="AY273" s="1291"/>
      <c r="AZ273" s="1292"/>
      <c r="BA273" s="1293"/>
      <c r="BB273" s="1294"/>
      <c r="BC273" s="1295"/>
      <c r="BD273" s="1296">
        <f>BD272+PROD!L273-BA273</f>
        <v>0</v>
      </c>
      <c r="BE273" s="2133"/>
      <c r="BF273" s="507" t="e">
        <f t="shared" si="150"/>
        <v>#VALUE!</v>
      </c>
      <c r="BG273" s="329"/>
      <c r="BH273" s="1018">
        <f t="shared" si="151"/>
        <v>0</v>
      </c>
    </row>
    <row r="274" spans="1:60" ht="15" customHeight="1" x14ac:dyDescent="0.3">
      <c r="A274" s="2033"/>
      <c r="B274" s="287" t="str">
        <f t="shared" si="152"/>
        <v/>
      </c>
      <c r="C274" s="288" t="str">
        <f t="shared" si="147"/>
        <v/>
      </c>
      <c r="D274" s="691"/>
      <c r="E274" s="692"/>
      <c r="F274" s="693"/>
      <c r="G274" s="694"/>
      <c r="H274" s="695"/>
      <c r="I274" s="289">
        <f>I273-SUM($D274:F274)</f>
        <v>0</v>
      </c>
      <c r="J274" s="1234" t="str">
        <f>$J$8</f>
        <v>% Mort Acm :</v>
      </c>
      <c r="K274" s="1231">
        <f>IF(PROD!$K$2&gt;0,SUM(D$5:D277)/PROD!$K$2,0)</f>
        <v>0</v>
      </c>
      <c r="L274" s="1246"/>
      <c r="M274" s="291">
        <f t="shared" si="160"/>
        <v>0</v>
      </c>
      <c r="N274" s="314" t="str">
        <f>N$8</f>
        <v xml:space="preserve">Peso Ave (Gr) : </v>
      </c>
      <c r="O274" s="315">
        <f>LOOKUP($A271,GSh!$BV$6:$BV$108,GSh!$BJ$6:$BJ$108)</f>
        <v>0</v>
      </c>
      <c r="P274" s="315">
        <f>IFERROR(LOOKUP($A271,TP!$A$6:$A$108,GSh!$BK$6:$BK$108),0)</f>
        <v>0</v>
      </c>
      <c r="Q274" s="316">
        <f>IF(AND(P274&gt;0,O274&gt;0),(O274/P274-1)*100,0)</f>
        <v>0</v>
      </c>
      <c r="R274" s="699"/>
      <c r="S274" s="762"/>
      <c r="T274" s="765">
        <f t="shared" si="158"/>
        <v>0</v>
      </c>
      <c r="U274" s="700"/>
      <c r="V274" s="701"/>
      <c r="W274" s="701"/>
      <c r="X274" s="295">
        <f t="shared" si="153"/>
        <v>0</v>
      </c>
      <c r="Y274" s="296">
        <f>IF(AA274&gt;0,V274,AE271/IF(Iniciar!$C$25="B X 40 K",40,IF(Iniciar!$C$25="B X 50 K",50,1))*I274/1000)</f>
        <v>0</v>
      </c>
      <c r="Z274" s="296">
        <f t="shared" si="154"/>
        <v>0</v>
      </c>
      <c r="AA274" s="297">
        <f t="shared" si="161"/>
        <v>0</v>
      </c>
      <c r="AB274" s="297">
        <f t="shared" si="148"/>
        <v>0</v>
      </c>
      <c r="AC274" s="541" t="str">
        <f>$AC$8</f>
        <v xml:space="preserve">Ton. Lote Acu : </v>
      </c>
      <c r="AD274" s="544">
        <f>SUM($V$5:$V277)*$A$1/1000000</f>
        <v>0</v>
      </c>
      <c r="AE274" s="543">
        <f>AE267+(AE271/1000000*7*(I271+I277)/2)</f>
        <v>0</v>
      </c>
      <c r="AF274" s="542">
        <f>IF(AND(AE274&gt;0,AD274&gt;0),(AD274/AE274-1)*100,0)</f>
        <v>0</v>
      </c>
      <c r="AG274" s="317" t="str">
        <f>PROD!$AG$8</f>
        <v xml:space="preserve">Masa Ac A. A (Kg) : </v>
      </c>
      <c r="AH274" s="318">
        <f>IF(PROD!$K$2&gt;0,SUM(PROD!L$5:L277)*LOOKUP(PROD!$A271,TP!$A$6:$A$108,GSh!$BB$6:$BB$108)/1000/PROD!$K$2,0)</f>
        <v>0</v>
      </c>
      <c r="AI274" s="318">
        <f>IFERROR(PROD!P272*LOOKUP(PROD!$A271,TP!$A$6:$A$108,GSh!$BC$6:$BC$108)/1000,0)</f>
        <v>0</v>
      </c>
      <c r="AJ274" s="330">
        <f t="shared" si="159"/>
        <v>0</v>
      </c>
      <c r="AK274" s="2027"/>
      <c r="AL274" s="1284">
        <f t="shared" si="149"/>
        <v>0</v>
      </c>
      <c r="AM274" s="1285"/>
      <c r="AN274" s="1285"/>
      <c r="AO274" s="1285"/>
      <c r="AP274" s="1285"/>
      <c r="AQ274" s="1285"/>
      <c r="AR274" s="1285"/>
      <c r="AS274" s="1286"/>
      <c r="AT274" s="1287"/>
      <c r="AU274" s="1288"/>
      <c r="AV274" s="1289"/>
      <c r="AW274" s="1290"/>
      <c r="AX274" s="1291"/>
      <c r="AY274" s="1291"/>
      <c r="AZ274" s="1292"/>
      <c r="BA274" s="1293"/>
      <c r="BB274" s="1294"/>
      <c r="BC274" s="1295"/>
      <c r="BD274" s="1296">
        <f>BD273+PROD!L274-BA274</f>
        <v>0</v>
      </c>
      <c r="BE274" s="2133"/>
      <c r="BF274" s="507" t="e">
        <f t="shared" si="150"/>
        <v>#VALUE!</v>
      </c>
      <c r="BG274" s="329"/>
      <c r="BH274" s="1018">
        <f t="shared" si="151"/>
        <v>0</v>
      </c>
    </row>
    <row r="275" spans="1:60" ht="15" customHeight="1" x14ac:dyDescent="0.3">
      <c r="A275" s="2033"/>
      <c r="B275" s="287" t="str">
        <f t="shared" si="152"/>
        <v/>
      </c>
      <c r="C275" s="288" t="str">
        <f t="shared" si="147"/>
        <v/>
      </c>
      <c r="D275" s="691"/>
      <c r="E275" s="692"/>
      <c r="F275" s="693"/>
      <c r="G275" s="694"/>
      <c r="H275" s="695"/>
      <c r="I275" s="289">
        <f>I274-SUM($D275:F275)</f>
        <v>0</v>
      </c>
      <c r="J275" s="1234" t="str">
        <f>$J$9</f>
        <v>% Sel Acm :</v>
      </c>
      <c r="K275" s="1231">
        <f>IF(PROD!$K$2&gt;0,SUM(E$5:E277)/PROD!$K$2,0)</f>
        <v>0</v>
      </c>
      <c r="L275" s="1246"/>
      <c r="M275" s="291">
        <f t="shared" si="160"/>
        <v>0</v>
      </c>
      <c r="N275" s="292" t="str">
        <f>$N$9</f>
        <v xml:space="preserve">Uniformidad (10% -) : </v>
      </c>
      <c r="O275" s="320">
        <f>LOOKUP($A271,'Pr-Sem'!$A$6:$A$108,'Pr-Sem'!$AH$6:$AH$108)</f>
        <v>0</v>
      </c>
      <c r="P275" s="320">
        <v>5</v>
      </c>
      <c r="Q275" s="321">
        <f>IF(AND(P275&gt;0,O275&gt;0),(1-O275/P275)*100,0)</f>
        <v>0</v>
      </c>
      <c r="R275" s="699"/>
      <c r="S275" s="762"/>
      <c r="T275" s="765">
        <f t="shared" si="158"/>
        <v>0</v>
      </c>
      <c r="U275" s="700"/>
      <c r="V275" s="701"/>
      <c r="W275" s="701"/>
      <c r="X275" s="295">
        <f t="shared" si="153"/>
        <v>0</v>
      </c>
      <c r="Y275" s="296">
        <f>IF(AA275&gt;0,V275,AE271/IF(Iniciar!$C$25="B X 40 K",40,IF(Iniciar!$C$25="B X 50 K",50,1))*I275/1000)</f>
        <v>0</v>
      </c>
      <c r="Z275" s="296">
        <f t="shared" si="154"/>
        <v>0</v>
      </c>
      <c r="AA275" s="297">
        <f t="shared" si="161"/>
        <v>0</v>
      </c>
      <c r="AB275" s="297">
        <f t="shared" si="148"/>
        <v>0</v>
      </c>
      <c r="AC275" s="2035" t="str">
        <f>$AC$9</f>
        <v xml:space="preserve">Total Litros Sem: </v>
      </c>
      <c r="AD275" s="2036"/>
      <c r="AE275" s="2050">
        <f>SUM(R271:R277)</f>
        <v>0</v>
      </c>
      <c r="AF275" s="2051"/>
      <c r="AG275" s="554" t="str">
        <f>$AG$9</f>
        <v xml:space="preserve">Indicador Eficiencia : </v>
      </c>
      <c r="AH275" s="555">
        <f>IF(AND(AE275&gt;0,O272&gt;0,O273&gt;0,SUM(L271:L277)&gt;0),(PROD!AH274/O272)*K277*100/(AE275/(SUM(L271:L277)*O273/1000)),0)</f>
        <v>0</v>
      </c>
      <c r="AI275" s="555">
        <f>IF(AND(P272&gt;0,PROD!AI273&gt;0),(PROD!AI274/P272)*(1-K276)*100/(AE272/PROD!AI273),0)</f>
        <v>0</v>
      </c>
      <c r="AJ275" s="331">
        <f t="shared" si="159"/>
        <v>0</v>
      </c>
      <c r="AK275" s="2027"/>
      <c r="AL275" s="1284">
        <f t="shared" si="149"/>
        <v>0</v>
      </c>
      <c r="AM275" s="1285"/>
      <c r="AN275" s="1285"/>
      <c r="AO275" s="1285"/>
      <c r="AP275" s="1285"/>
      <c r="AQ275" s="1285"/>
      <c r="AR275" s="1285"/>
      <c r="AS275" s="1286"/>
      <c r="AT275" s="1287"/>
      <c r="AU275" s="1288"/>
      <c r="AV275" s="1289"/>
      <c r="AW275" s="1290"/>
      <c r="AX275" s="1291"/>
      <c r="AY275" s="1291"/>
      <c r="AZ275" s="1292"/>
      <c r="BA275" s="1293"/>
      <c r="BB275" s="1294"/>
      <c r="BC275" s="1295"/>
      <c r="BD275" s="1296">
        <f>BD274+PROD!L275-BA275</f>
        <v>0</v>
      </c>
      <c r="BE275" s="2133"/>
      <c r="BF275" s="507" t="e">
        <f t="shared" si="150"/>
        <v>#VALUE!</v>
      </c>
      <c r="BG275" s="329"/>
      <c r="BH275" s="1018">
        <f t="shared" si="151"/>
        <v>0</v>
      </c>
    </row>
    <row r="276" spans="1:60" ht="15" customHeight="1" x14ac:dyDescent="0.3">
      <c r="A276" s="2033"/>
      <c r="B276" s="287" t="str">
        <f t="shared" si="152"/>
        <v/>
      </c>
      <c r="C276" s="288" t="str">
        <f t="shared" si="147"/>
        <v/>
      </c>
      <c r="D276" s="691"/>
      <c r="E276" s="692"/>
      <c r="F276" s="693"/>
      <c r="G276" s="694"/>
      <c r="H276" s="695"/>
      <c r="I276" s="289">
        <f>I275-SUM($D276:F276)</f>
        <v>0</v>
      </c>
      <c r="J276" s="1237" t="str">
        <f>$J$10</f>
        <v>% Mort/Sel Acm Tab :</v>
      </c>
      <c r="K276" s="1238">
        <f>IFERROR(LOOKUP($A271,TP!$A$6:$A$108,GSh!$AR$6:$AR$108)/100,0)</f>
        <v>0</v>
      </c>
      <c r="L276" s="1246"/>
      <c r="M276" s="291">
        <f t="shared" si="160"/>
        <v>0</v>
      </c>
      <c r="N276" s="292" t="str">
        <f>$N$10</f>
        <v xml:space="preserve">Uniformidad (C. Lote) : </v>
      </c>
      <c r="O276" s="320">
        <f>LOOKUP($A271,'Pr-Sem'!$A$6:$A$108,'Pr-Sem'!$AG$6:$AG$108)</f>
        <v>0</v>
      </c>
      <c r="P276" s="320">
        <v>90</v>
      </c>
      <c r="Q276" s="321">
        <f>IF(AND(P276&gt;0,O276&gt;0),(O276/P276-1)*100,0)</f>
        <v>0</v>
      </c>
      <c r="R276" s="699"/>
      <c r="S276" s="762"/>
      <c r="T276" s="765">
        <f t="shared" si="158"/>
        <v>0</v>
      </c>
      <c r="U276" s="700"/>
      <c r="V276" s="701"/>
      <c r="W276" s="701"/>
      <c r="X276" s="295">
        <f t="shared" si="153"/>
        <v>0</v>
      </c>
      <c r="Y276" s="296">
        <f>IF(AA276&gt;0,V276,AE271/IF(Iniciar!$C$25="B X 40 K",40,IF(Iniciar!$C$25="B X 50 K",50,1))*I276/1000)</f>
        <v>0</v>
      </c>
      <c r="Z276" s="296">
        <f t="shared" si="154"/>
        <v>0</v>
      </c>
      <c r="AA276" s="297">
        <f t="shared" si="161"/>
        <v>0</v>
      </c>
      <c r="AB276" s="297">
        <f t="shared" si="148"/>
        <v>0</v>
      </c>
      <c r="AC276" s="2037" t="str">
        <f>$AC$10</f>
        <v xml:space="preserve">Cons ml /ave día: </v>
      </c>
      <c r="AD276" s="2038"/>
      <c r="AE276" s="2056">
        <f>IFERROR(SUMPRODUCT(AB271:AB277,I271:I277)/SUM(I271:I277),0)</f>
        <v>0</v>
      </c>
      <c r="AF276" s="2057"/>
      <c r="AG276" s="311" t="str">
        <f>CONCATENATE("Costo ",Iniciar!$C$25," : ")</f>
        <v xml:space="preserve">Costo Kilos : </v>
      </c>
      <c r="AH276" s="2043">
        <f>IFERROR(SUMPRODUCT(T271:T277,V271:V277)/SUMIF(T271:T277,"&gt;0",V271:V277),0)</f>
        <v>0</v>
      </c>
      <c r="AI276" s="2043"/>
      <c r="AJ276" s="313"/>
      <c r="AK276" s="2027"/>
      <c r="AL276" s="1284">
        <f t="shared" si="149"/>
        <v>0</v>
      </c>
      <c r="AM276" s="1285"/>
      <c r="AN276" s="1285"/>
      <c r="AO276" s="1285"/>
      <c r="AP276" s="1285"/>
      <c r="AQ276" s="1285"/>
      <c r="AR276" s="1285"/>
      <c r="AS276" s="1286"/>
      <c r="AT276" s="1287"/>
      <c r="AU276" s="1288"/>
      <c r="AV276" s="1289"/>
      <c r="AW276" s="1290"/>
      <c r="AX276" s="1291"/>
      <c r="AY276" s="1291"/>
      <c r="AZ276" s="1292"/>
      <c r="BA276" s="1293"/>
      <c r="BB276" s="1294"/>
      <c r="BC276" s="1295"/>
      <c r="BD276" s="1296">
        <f>BD275+PROD!L276-BA276</f>
        <v>0</v>
      </c>
      <c r="BE276" s="2133"/>
      <c r="BF276" s="507" t="e">
        <f t="shared" si="150"/>
        <v>#VALUE!</v>
      </c>
      <c r="BG276" s="329"/>
      <c r="BH276" s="1018">
        <f t="shared" si="151"/>
        <v>0</v>
      </c>
    </row>
    <row r="277" spans="1:60" ht="15" customHeight="1" x14ac:dyDescent="0.3">
      <c r="A277" s="2034"/>
      <c r="B277" s="287" t="str">
        <f t="shared" si="152"/>
        <v/>
      </c>
      <c r="C277" s="288" t="str">
        <f t="shared" si="147"/>
        <v/>
      </c>
      <c r="D277" s="691"/>
      <c r="E277" s="692"/>
      <c r="F277" s="693"/>
      <c r="G277" s="694"/>
      <c r="H277" s="695"/>
      <c r="I277" s="289">
        <f>I276-SUM($D277:F277)</f>
        <v>0</v>
      </c>
      <c r="J277" s="1239" t="str">
        <f>$J$11</f>
        <v>% Viabilidad :</v>
      </c>
      <c r="K277" s="1240">
        <f>IF(OR(SUM(L271:L277)&gt;0,SUM(V271:V277)&gt;0),1-(K274+K275),0)</f>
        <v>0</v>
      </c>
      <c r="L277" s="1247"/>
      <c r="M277" s="1248">
        <f>IF(I277&gt;0,(L277/IF(SUM(L271:L276)&gt;0,1,7))/I277,0)</f>
        <v>0</v>
      </c>
      <c r="N277" s="1249" t="str">
        <f>$N$11</f>
        <v xml:space="preserve">Uniformidad (10% +) : </v>
      </c>
      <c r="O277" s="1250">
        <f>IF(O275&gt;0,IF(O276&gt;0,100-SUM(O275:O276),0),0)</f>
        <v>0</v>
      </c>
      <c r="P277" s="1251">
        <f>100-SUM(P275:P276)</f>
        <v>5</v>
      </c>
      <c r="Q277" s="1252">
        <f>IF(AND(P277&gt;0,O277&gt;0),(O277/P277-1)*100,0)</f>
        <v>0</v>
      </c>
      <c r="R277" s="699"/>
      <c r="S277" s="762"/>
      <c r="T277" s="765">
        <f t="shared" si="158"/>
        <v>0</v>
      </c>
      <c r="U277" s="700"/>
      <c r="V277" s="701"/>
      <c r="W277" s="701"/>
      <c r="X277" s="295">
        <f t="shared" si="153"/>
        <v>0</v>
      </c>
      <c r="Y277" s="296">
        <f>IF(AA277&gt;0,V277,AE271/IF(Iniciar!$C$25="B X 40 K",40,IF(Iniciar!$C$25="B X 50 K",50,1))*I277/1000)</f>
        <v>0</v>
      </c>
      <c r="Z277" s="296">
        <f t="shared" si="154"/>
        <v>0</v>
      </c>
      <c r="AA277" s="297">
        <f>IF(I277&gt;0,(V277/IF(SUM(V271:V276)&gt;0,1,7))*$A$1/I277,0)</f>
        <v>0</v>
      </c>
      <c r="AB277" s="297">
        <f t="shared" si="148"/>
        <v>0</v>
      </c>
      <c r="AC277" s="2039" t="str">
        <f>$AC$11</f>
        <v xml:space="preserve">Relación Agua /Alimto: </v>
      </c>
      <c r="AD277" s="2040"/>
      <c r="AE277" s="2058">
        <f>IFERROR(AE276/AD271,0)</f>
        <v>0</v>
      </c>
      <c r="AF277" s="2059"/>
      <c r="AG277" s="1269" t="s">
        <v>237</v>
      </c>
      <c r="AH277" s="1270">
        <f>IF(SUM(L271:L277)&gt;0,AH276*SUM(V271:V277)/SUM(L271:L277),0)</f>
        <v>0</v>
      </c>
      <c r="AI277" s="1270">
        <f>IF(AND($A$1&gt;0,P271&gt;0),AH276/$A$1*(AE271/P271)*100,0)</f>
        <v>0</v>
      </c>
      <c r="AJ277" s="1271">
        <f t="shared" ref="AJ277:AJ282" si="162">IF(AND(AI277&gt;0,AH277&gt;0),(AH277/AI277-1)*100,0)</f>
        <v>0</v>
      </c>
      <c r="AK277" s="2028"/>
      <c r="AL277" s="1284">
        <f t="shared" si="149"/>
        <v>0</v>
      </c>
      <c r="AM277" s="1285"/>
      <c r="AN277" s="1285"/>
      <c r="AO277" s="1285"/>
      <c r="AP277" s="1285"/>
      <c r="AQ277" s="1285"/>
      <c r="AR277" s="1285"/>
      <c r="AS277" s="1286"/>
      <c r="AT277" s="1287"/>
      <c r="AU277" s="1288"/>
      <c r="AV277" s="1289"/>
      <c r="AW277" s="1290"/>
      <c r="AX277" s="1291"/>
      <c r="AY277" s="1291"/>
      <c r="AZ277" s="1292"/>
      <c r="BA277" s="1293"/>
      <c r="BB277" s="1294"/>
      <c r="BC277" s="1295"/>
      <c r="BD277" s="1296">
        <f>BD276+PROD!L277-BA277</f>
        <v>0</v>
      </c>
      <c r="BE277" s="2134"/>
      <c r="BF277" s="507" t="e">
        <f t="shared" si="150"/>
        <v>#VALUE!</v>
      </c>
      <c r="BG277" s="329"/>
      <c r="BH277" s="1018">
        <f t="shared" si="151"/>
        <v>0</v>
      </c>
    </row>
    <row r="278" spans="1:60" ht="15" customHeight="1" x14ac:dyDescent="0.3">
      <c r="A278" s="2032">
        <f>A271+1</f>
        <v>57</v>
      </c>
      <c r="B278" s="287" t="str">
        <f t="shared" si="152"/>
        <v/>
      </c>
      <c r="C278" s="288" t="str">
        <f t="shared" si="147"/>
        <v/>
      </c>
      <c r="D278" s="691"/>
      <c r="E278" s="692"/>
      <c r="F278" s="693"/>
      <c r="G278" s="694"/>
      <c r="H278" s="695"/>
      <c r="I278" s="289">
        <f>I277-SUM($D278:F278)</f>
        <v>0</v>
      </c>
      <c r="J278" s="1232" t="str">
        <f>$J$5</f>
        <v>% Mort Sem :</v>
      </c>
      <c r="K278" s="1233">
        <f>IF(PROD!$K$2&gt;0,SUM(D278:D284)/PROD!$K$2,0)</f>
        <v>0</v>
      </c>
      <c r="L278" s="1241"/>
      <c r="M278" s="1242">
        <f t="shared" ref="M278:M283" si="163">IF(I278&gt;0,L278/I278,0)</f>
        <v>0</v>
      </c>
      <c r="N278" s="1243" t="str">
        <f>$N$5</f>
        <v xml:space="preserve">% Pdn prom semana : </v>
      </c>
      <c r="O278" s="1244">
        <f>IF(SUM(L278:L283)&gt;0,100*SUMPRODUCT(M278:M284,I278:I284)/SUMIF(L278:L284,"&gt;0",I278:I284),IF(L284&gt;0,100*L284/7/I284,0))</f>
        <v>0</v>
      </c>
      <c r="P278" s="1244">
        <f>IFERROR(LOOKUP($A278,TP!$A$6:$A$108,GSh!$AE$6:$AE$108),0)</f>
        <v>0</v>
      </c>
      <c r="Q278" s="1245">
        <f>IF(AND(P278&gt;0,O278&gt;0),O278-P278,0)</f>
        <v>0</v>
      </c>
      <c r="R278" s="699"/>
      <c r="S278" s="762"/>
      <c r="T278" s="765">
        <f t="shared" si="158"/>
        <v>0</v>
      </c>
      <c r="U278" s="700"/>
      <c r="V278" s="701"/>
      <c r="W278" s="701"/>
      <c r="X278" s="295">
        <f t="shared" si="153"/>
        <v>0</v>
      </c>
      <c r="Y278" s="296">
        <f>IF(AA278&gt;0,V278,AE278/IF(Iniciar!$C$25="B X 40 K",40,IF(Iniciar!$C$25="B X 50 K",50,1))*I278/1000)</f>
        <v>0</v>
      </c>
      <c r="Z278" s="296">
        <f t="shared" si="154"/>
        <v>0</v>
      </c>
      <c r="AA278" s="297">
        <f t="shared" ref="AA278:AA283" si="164">IF(I278&gt;0,V278*$A$1/I278,0)</f>
        <v>0</v>
      </c>
      <c r="AB278" s="297">
        <f t="shared" si="148"/>
        <v>0</v>
      </c>
      <c r="AC278" s="1261" t="str">
        <f>$AC$5</f>
        <v>Gr. Ave Dia :</v>
      </c>
      <c r="AD278" s="1262">
        <f>IF(SUMIF(V278:V284,"&gt;0")&gt;0,SUMPRODUCT(AA278:AA284,I278:I284)/SUMIF(AA278:AA284,"&gt;0",I278:I284),0)</f>
        <v>0</v>
      </c>
      <c r="AE278" s="1262">
        <f>IFERROR(LOOKUP($A278,TP!$A$6:$A$108,GSh!$AU$6:$AU$108),0)</f>
        <v>0</v>
      </c>
      <c r="AF278" s="1263">
        <f>IF(AND(AE278&gt;0,AD278&gt;0),(AD278/AE278-1)*100,0)</f>
        <v>0</v>
      </c>
      <c r="AG278" s="1264" t="str">
        <f>PROD!$AG$5</f>
        <v>Gr X H</v>
      </c>
      <c r="AH278" s="1265">
        <f>IF(PROD!O278&gt;0,IF($AG278="Gr X H",PROD!AD278/PROD!O278*100,IF($AG278="Conv Kg/Doc",PROD!AD278/PROD!O278*1.2,IF(PROD!$O280&gt;0,PROD!AD278/(PROD!O278*PROD!$O280)*100,0))),0)</f>
        <v>0</v>
      </c>
      <c r="AI278" s="1265">
        <f>IF(PROD!P278&gt;0,IF($AG278="Gr X H",PROD!AE278/PROD!P278*100,IF($AG278="Conv Kg/Doc",PROD!AE278/PROD!P278*1.2,IF(PROD!$P280&gt;0,PROD!AE278/(PROD!P278*PROD!$P280)*100,0))),0)</f>
        <v>0</v>
      </c>
      <c r="AJ278" s="1266">
        <f t="shared" si="162"/>
        <v>0</v>
      </c>
      <c r="AK278" s="2026"/>
      <c r="AL278" s="1284">
        <f t="shared" si="149"/>
        <v>0</v>
      </c>
      <c r="AM278" s="1285"/>
      <c r="AN278" s="1285"/>
      <c r="AO278" s="1285"/>
      <c r="AP278" s="1285"/>
      <c r="AQ278" s="1285"/>
      <c r="AR278" s="1285"/>
      <c r="AS278" s="1286"/>
      <c r="AT278" s="1287"/>
      <c r="AU278" s="1288"/>
      <c r="AV278" s="1289"/>
      <c r="AW278" s="1290"/>
      <c r="AX278" s="1291"/>
      <c r="AY278" s="1291"/>
      <c r="AZ278" s="1292"/>
      <c r="BA278" s="1293"/>
      <c r="BB278" s="1294"/>
      <c r="BC278" s="1295"/>
      <c r="BD278" s="1296">
        <f>BD277+PROD!L278-BA278</f>
        <v>0</v>
      </c>
      <c r="BE278" s="2132">
        <f>IF(SUM(AM278:AZ284)&gt;0,(SUM(AM278:AM284)*$AM$2+SUM(AN278:AN284)*$AN$2+SUM(AO278:AO284)*$AO$2+SUM(AP278:AP284)*$AP$2+SUM(AQ278:AQ284)*$AQ$2+SUM(AR278:AR284)*$AR$2+SUM(AS278:AS284)*$AS$2+SUM(AW278:AW284)*$AW$2+SUM(AX278:AX284)*$AX$2+SUM(AY278:AY284)*$AY$2+SUM(AZ278:AZ284)*$AZ$2+SUM(AT278:AT284)*$AT$2+SUM(AU278:AU284)*$AU$2+SUM(AV278:AV284)*$AV$2)/SUM(AM278:AZ284),0)</f>
        <v>0</v>
      </c>
      <c r="BF278" s="507" t="e">
        <f t="shared" si="150"/>
        <v>#VALUE!</v>
      </c>
      <c r="BG278" s="277">
        <f>IF(SUM(L278:L284)&gt;0,A278,IF(SUM(V278:V284)&gt;0,A278,BG271))</f>
        <v>0</v>
      </c>
      <c r="BH278" s="1018">
        <f t="shared" si="151"/>
        <v>0</v>
      </c>
    </row>
    <row r="279" spans="1:60" ht="15" customHeight="1" x14ac:dyDescent="0.3">
      <c r="A279" s="2033"/>
      <c r="B279" s="287" t="str">
        <f t="shared" si="152"/>
        <v/>
      </c>
      <c r="C279" s="288" t="str">
        <f t="shared" si="147"/>
        <v/>
      </c>
      <c r="D279" s="691"/>
      <c r="E279" s="692"/>
      <c r="F279" s="693"/>
      <c r="G279" s="694"/>
      <c r="H279" s="695"/>
      <c r="I279" s="289">
        <f>I278-SUM($D279:F279)</f>
        <v>0</v>
      </c>
      <c r="J279" s="1234" t="str">
        <f>$J$6</f>
        <v>% Sel Sem :</v>
      </c>
      <c r="K279" s="1231">
        <f>IF(PROD!$K$2&gt;0,SUM(E278:E284)/PROD!$K$2,0)</f>
        <v>0</v>
      </c>
      <c r="L279" s="1246"/>
      <c r="M279" s="291">
        <f t="shared" si="163"/>
        <v>0</v>
      </c>
      <c r="N279" s="292" t="str">
        <f>$N$6</f>
        <v xml:space="preserve">H. Ave Alojada : </v>
      </c>
      <c r="O279" s="293">
        <f>IF(AND(PROD!$K$2&gt;0,O278&gt;0),SUM(L$5:L284)/PROD!$K$2,0)</f>
        <v>0</v>
      </c>
      <c r="P279" s="293">
        <f>IFERROR(LOOKUP($A278,TP!$A$6:$A$108,GSh!$AJ$6:$AJ$108),0)</f>
        <v>0</v>
      </c>
      <c r="Q279" s="294">
        <f>IF(AND(P279&gt;0,O279&gt;0),O279-P279,0)</f>
        <v>0</v>
      </c>
      <c r="R279" s="699"/>
      <c r="S279" s="762"/>
      <c r="T279" s="765">
        <f t="shared" si="158"/>
        <v>0</v>
      </c>
      <c r="U279" s="700"/>
      <c r="V279" s="701"/>
      <c r="W279" s="701"/>
      <c r="X279" s="295">
        <f t="shared" si="153"/>
        <v>0</v>
      </c>
      <c r="Y279" s="296">
        <f>IF(AA279&gt;0,V279,AE278/IF(Iniciar!$C$25="B X 40 K",40,IF(Iniciar!$C$25="B X 50 K",50,1))*I279/1000)</f>
        <v>0</v>
      </c>
      <c r="Z279" s="296">
        <f t="shared" si="154"/>
        <v>0</v>
      </c>
      <c r="AA279" s="297">
        <f t="shared" si="164"/>
        <v>0</v>
      </c>
      <c r="AB279" s="297">
        <f t="shared" si="148"/>
        <v>0</v>
      </c>
      <c r="AC279" s="1267" t="str">
        <f>$AC$6</f>
        <v>Gr. Ave Sem :</v>
      </c>
      <c r="AD279" s="284">
        <f>AD278*7</f>
        <v>0</v>
      </c>
      <c r="AE279" s="284">
        <f>AE278*7</f>
        <v>0</v>
      </c>
      <c r="AF279" s="285">
        <f>IF(AND(AE279&gt;0,AD279&gt;0),(AD279/AE279-1)*100,0)</f>
        <v>0</v>
      </c>
      <c r="AG279" s="1199" t="str">
        <f>PROD!$AG$6</f>
        <v>Gr X H Acm</v>
      </c>
      <c r="AH279" s="298">
        <f>IF(SUM(PROD!L278:L284)&gt;0,IF(PROD!$AG$5="Gr X H",SUM(PROD!V$5:V284)*PROD!$A$1/SUM(PROD!L$5:L284),IF($AG278="Conv Kg/Doc",(SUM(PROD!V$5:V284)*PROD!$A$1/1000)/(SUM(PROD!L$5:L284)/12),IF(PROD!$O280&gt;0,SUM(PROD!V$5:V284)*PROD!$A$1/(SUM(PROD!L$5:L284)*LOOKUP(PROD!A278,TP!$A$6:$A$108,GSh!$BB$6:$BB$108)),0))),0)</f>
        <v>0</v>
      </c>
      <c r="AI279" s="298">
        <f>IF(PROD!P278&gt;0,IF($AG278="Gr X H",PROD!AE278/PROD!P278*100,IF($AG278="Conv Kg/Doc",PROD!AE278/PROD!P278*1.2,IF(PROD!$P279&gt;0,PROD!AE280/(PROD!P279*LOOKUP(PROD!$A278,TP!$A$6:$A$108,GSh!$BC$6:$BC$108)/1000),0))),0)</f>
        <v>0</v>
      </c>
      <c r="AJ279" s="328">
        <f t="shared" si="162"/>
        <v>0</v>
      </c>
      <c r="AK279" s="2027"/>
      <c r="AL279" s="1284">
        <f t="shared" si="149"/>
        <v>0</v>
      </c>
      <c r="AM279" s="1285"/>
      <c r="AN279" s="1285"/>
      <c r="AO279" s="1285"/>
      <c r="AP279" s="1285"/>
      <c r="AQ279" s="1285"/>
      <c r="AR279" s="1285"/>
      <c r="AS279" s="1286"/>
      <c r="AT279" s="1287"/>
      <c r="AU279" s="1288"/>
      <c r="AV279" s="1289"/>
      <c r="AW279" s="1290"/>
      <c r="AX279" s="1291"/>
      <c r="AY279" s="1291"/>
      <c r="AZ279" s="1292"/>
      <c r="BA279" s="1293"/>
      <c r="BB279" s="1294"/>
      <c r="BC279" s="1295"/>
      <c r="BD279" s="1296">
        <f>BD278+PROD!L279-BA279</f>
        <v>0</v>
      </c>
      <c r="BE279" s="2133"/>
      <c r="BF279" s="507" t="e">
        <f t="shared" si="150"/>
        <v>#VALUE!</v>
      </c>
      <c r="BG279" s="329"/>
      <c r="BH279" s="1018">
        <f t="shared" si="151"/>
        <v>0</v>
      </c>
    </row>
    <row r="280" spans="1:60" ht="15" customHeight="1" x14ac:dyDescent="0.3">
      <c r="A280" s="2033"/>
      <c r="B280" s="287" t="str">
        <f t="shared" si="152"/>
        <v/>
      </c>
      <c r="C280" s="288" t="str">
        <f t="shared" si="147"/>
        <v/>
      </c>
      <c r="D280" s="691"/>
      <c r="E280" s="692"/>
      <c r="F280" s="693"/>
      <c r="G280" s="694"/>
      <c r="H280" s="695"/>
      <c r="I280" s="289">
        <f>I279-SUM($D280:F280)</f>
        <v>0</v>
      </c>
      <c r="J280" s="1235" t="str">
        <f>$J$7</f>
        <v>% Mort/Sel Sem Tab :</v>
      </c>
      <c r="K280" s="1236">
        <f>K283-K276</f>
        <v>0</v>
      </c>
      <c r="L280" s="1246"/>
      <c r="M280" s="291">
        <f t="shared" si="163"/>
        <v>0</v>
      </c>
      <c r="N280" s="304" t="str">
        <f>$N$7</f>
        <v xml:space="preserve">Peso Huevo (Gr) : </v>
      </c>
      <c r="O280" s="305">
        <f>LOOKUP($A278,'Pr-Sem'!$A$6:$A$108,'Pr-Sem'!$Z$6:$Z$108)</f>
        <v>0</v>
      </c>
      <c r="P280" s="305">
        <f>IFERROR(LOOKUP($A278,TP!$A$6:$A$108,GSh!$AZ$6:$AZ$108),0)</f>
        <v>0</v>
      </c>
      <c r="Q280" s="306">
        <f>IF(AND(P280&gt;0,O280&gt;0),O280-P280,0)</f>
        <v>0</v>
      </c>
      <c r="R280" s="699"/>
      <c r="S280" s="762"/>
      <c r="T280" s="765">
        <f t="shared" si="158"/>
        <v>0</v>
      </c>
      <c r="U280" s="700"/>
      <c r="V280" s="701"/>
      <c r="W280" s="701"/>
      <c r="X280" s="295">
        <f t="shared" si="153"/>
        <v>0</v>
      </c>
      <c r="Y280" s="296">
        <f>IF(AA280&gt;0,V280,AE278/IF(Iniciar!$C$25="B X 40 K",40,IF(Iniciar!$C$25="B X 50 K",50,1))*I280/1000)</f>
        <v>0</v>
      </c>
      <c r="Z280" s="296">
        <f t="shared" si="154"/>
        <v>0</v>
      </c>
      <c r="AA280" s="297">
        <f t="shared" si="164"/>
        <v>0</v>
      </c>
      <c r="AB280" s="297">
        <f t="shared" si="148"/>
        <v>0</v>
      </c>
      <c r="AC280" s="1268" t="str">
        <f>$AC$7</f>
        <v>Kg Ave Acu :</v>
      </c>
      <c r="AD280" s="308">
        <f>IF(OR(SUM(L278:L284)&gt;0,SUM(V278:V284)&gt;0),AD279/1000+AD273,0)</f>
        <v>0</v>
      </c>
      <c r="AE280" s="309">
        <f>AE279/1000+AE273</f>
        <v>0</v>
      </c>
      <c r="AF280" s="310">
        <f>IF(AND(AE280&gt;0,AD280&gt;0),(AD280/AE280-1)*100,0)</f>
        <v>0</v>
      </c>
      <c r="AG280" s="311" t="str">
        <f>PROD!$AG$7</f>
        <v xml:space="preserve">Masa Sem H (Gr) : </v>
      </c>
      <c r="AH280" s="312">
        <f>PROD!O278/100*7*PROD!O280</f>
        <v>0</v>
      </c>
      <c r="AI280" s="312">
        <f>PROD!P278/100*7*PROD!P280</f>
        <v>0</v>
      </c>
      <c r="AJ280" s="313">
        <f t="shared" si="162"/>
        <v>0</v>
      </c>
      <c r="AK280" s="2027"/>
      <c r="AL280" s="1284">
        <f t="shared" si="149"/>
        <v>0</v>
      </c>
      <c r="AM280" s="1285"/>
      <c r="AN280" s="1285"/>
      <c r="AO280" s="1285"/>
      <c r="AP280" s="1285"/>
      <c r="AQ280" s="1285"/>
      <c r="AR280" s="1285"/>
      <c r="AS280" s="1286"/>
      <c r="AT280" s="1287"/>
      <c r="AU280" s="1288"/>
      <c r="AV280" s="1289"/>
      <c r="AW280" s="1290"/>
      <c r="AX280" s="1291"/>
      <c r="AY280" s="1291"/>
      <c r="AZ280" s="1292"/>
      <c r="BA280" s="1293"/>
      <c r="BB280" s="1294"/>
      <c r="BC280" s="1295"/>
      <c r="BD280" s="1296">
        <f>BD279+PROD!L280-BA280</f>
        <v>0</v>
      </c>
      <c r="BE280" s="2133"/>
      <c r="BF280" s="507" t="e">
        <f t="shared" si="150"/>
        <v>#VALUE!</v>
      </c>
      <c r="BG280" s="329"/>
      <c r="BH280" s="1018">
        <f t="shared" si="151"/>
        <v>0</v>
      </c>
    </row>
    <row r="281" spans="1:60" ht="15" customHeight="1" x14ac:dyDescent="0.3">
      <c r="A281" s="2033"/>
      <c r="B281" s="287" t="str">
        <f t="shared" si="152"/>
        <v/>
      </c>
      <c r="C281" s="288" t="str">
        <f t="shared" si="147"/>
        <v/>
      </c>
      <c r="D281" s="691"/>
      <c r="E281" s="692"/>
      <c r="F281" s="693"/>
      <c r="G281" s="694"/>
      <c r="H281" s="695"/>
      <c r="I281" s="289">
        <f>I280-SUM($D281:F281)</f>
        <v>0</v>
      </c>
      <c r="J281" s="1234" t="str">
        <f>$J$8</f>
        <v>% Mort Acm :</v>
      </c>
      <c r="K281" s="1231">
        <f>IF(PROD!$K$2&gt;0,SUM(D$5:D284)/PROD!$K$2,0)</f>
        <v>0</v>
      </c>
      <c r="L281" s="1246"/>
      <c r="M281" s="291">
        <f t="shared" si="163"/>
        <v>0</v>
      </c>
      <c r="N281" s="314" t="str">
        <f>N$8</f>
        <v xml:space="preserve">Peso Ave (Gr) : </v>
      </c>
      <c r="O281" s="315">
        <f>LOOKUP($A278,GSh!$BV$6:$BV$108,GSh!$BJ$6:$BJ$108)</f>
        <v>0</v>
      </c>
      <c r="P281" s="315">
        <f>IFERROR(LOOKUP($A278,TP!$A$6:$A$108,GSh!$BK$6:$BK$108),0)</f>
        <v>0</v>
      </c>
      <c r="Q281" s="316">
        <f>IF(AND(P281&gt;0,O281&gt;0),(O281/P281-1)*100,0)</f>
        <v>0</v>
      </c>
      <c r="R281" s="699"/>
      <c r="S281" s="762"/>
      <c r="T281" s="765">
        <f t="shared" si="158"/>
        <v>0</v>
      </c>
      <c r="U281" s="700"/>
      <c r="V281" s="701"/>
      <c r="W281" s="701"/>
      <c r="X281" s="295">
        <f t="shared" si="153"/>
        <v>0</v>
      </c>
      <c r="Y281" s="296">
        <f>IF(AA281&gt;0,V281,AE278/IF(Iniciar!$C$25="B X 40 K",40,IF(Iniciar!$C$25="B X 50 K",50,1))*I281/1000)</f>
        <v>0</v>
      </c>
      <c r="Z281" s="296">
        <f t="shared" si="154"/>
        <v>0</v>
      </c>
      <c r="AA281" s="297">
        <f t="shared" si="164"/>
        <v>0</v>
      </c>
      <c r="AB281" s="297">
        <f t="shared" si="148"/>
        <v>0</v>
      </c>
      <c r="AC281" s="541" t="str">
        <f>$AC$8</f>
        <v xml:space="preserve">Ton. Lote Acu : </v>
      </c>
      <c r="AD281" s="544">
        <f>SUM($V$5:$V284)*$A$1/1000000</f>
        <v>0</v>
      </c>
      <c r="AE281" s="543">
        <f>AE274+(AE278/1000000*7*(I278+I284)/2)</f>
        <v>0</v>
      </c>
      <c r="AF281" s="542">
        <f>IF(AND(AE281&gt;0,AD281&gt;0),(AD281/AE281-1)*100,0)</f>
        <v>0</v>
      </c>
      <c r="AG281" s="317" t="str">
        <f>PROD!$AG$8</f>
        <v xml:space="preserve">Masa Ac A. A (Kg) : </v>
      </c>
      <c r="AH281" s="318">
        <f>IF(PROD!$K$2&gt;0,SUM(PROD!L$5:L284)*LOOKUP(PROD!$A278,TP!$A$6:$A$108,GSh!$BB$6:$BB$108)/1000/PROD!$K$2,0)</f>
        <v>0</v>
      </c>
      <c r="AI281" s="318">
        <f>IFERROR(PROD!P279*LOOKUP(PROD!$A278,TP!$A$6:$A$108,GSh!$BC$6:$BC$108)/1000,0)</f>
        <v>0</v>
      </c>
      <c r="AJ281" s="330">
        <f t="shared" si="162"/>
        <v>0</v>
      </c>
      <c r="AK281" s="2027"/>
      <c r="AL281" s="1284">
        <f t="shared" si="149"/>
        <v>0</v>
      </c>
      <c r="AM281" s="1285"/>
      <c r="AN281" s="1285"/>
      <c r="AO281" s="1285"/>
      <c r="AP281" s="1285"/>
      <c r="AQ281" s="1285"/>
      <c r="AR281" s="1285"/>
      <c r="AS281" s="1286"/>
      <c r="AT281" s="1287"/>
      <c r="AU281" s="1288"/>
      <c r="AV281" s="1289"/>
      <c r="AW281" s="1290"/>
      <c r="AX281" s="1291"/>
      <c r="AY281" s="1291"/>
      <c r="AZ281" s="1292"/>
      <c r="BA281" s="1293"/>
      <c r="BB281" s="1294"/>
      <c r="BC281" s="1295"/>
      <c r="BD281" s="1296">
        <f>BD280+PROD!L281-BA281</f>
        <v>0</v>
      </c>
      <c r="BE281" s="2133"/>
      <c r="BF281" s="507" t="e">
        <f t="shared" si="150"/>
        <v>#VALUE!</v>
      </c>
      <c r="BG281" s="329"/>
      <c r="BH281" s="1018">
        <f t="shared" si="151"/>
        <v>0</v>
      </c>
    </row>
    <row r="282" spans="1:60" ht="15" customHeight="1" x14ac:dyDescent="0.3">
      <c r="A282" s="2033"/>
      <c r="B282" s="287" t="str">
        <f t="shared" si="152"/>
        <v/>
      </c>
      <c r="C282" s="288" t="str">
        <f t="shared" si="147"/>
        <v/>
      </c>
      <c r="D282" s="691"/>
      <c r="E282" s="692"/>
      <c r="F282" s="693"/>
      <c r="G282" s="694"/>
      <c r="H282" s="695"/>
      <c r="I282" s="289">
        <f>I281-SUM($D282:F282)</f>
        <v>0</v>
      </c>
      <c r="J282" s="1234" t="str">
        <f>$J$9</f>
        <v>% Sel Acm :</v>
      </c>
      <c r="K282" s="1231">
        <f>IF(PROD!$K$2&gt;0,SUM(E$5:E284)/PROD!$K$2,0)</f>
        <v>0</v>
      </c>
      <c r="L282" s="1246"/>
      <c r="M282" s="291">
        <f t="shared" si="163"/>
        <v>0</v>
      </c>
      <c r="N282" s="292" t="str">
        <f>$N$9</f>
        <v xml:space="preserve">Uniformidad (10% -) : </v>
      </c>
      <c r="O282" s="320">
        <f>LOOKUP($A278,'Pr-Sem'!$A$6:$A$108,'Pr-Sem'!$AH$6:$AH$108)</f>
        <v>0</v>
      </c>
      <c r="P282" s="320">
        <v>5</v>
      </c>
      <c r="Q282" s="321">
        <f>IF(AND(P282&gt;0,O282&gt;0),(1-O282/P282)*100,0)</f>
        <v>0</v>
      </c>
      <c r="R282" s="699"/>
      <c r="S282" s="762"/>
      <c r="T282" s="765">
        <f t="shared" si="158"/>
        <v>0</v>
      </c>
      <c r="U282" s="700"/>
      <c r="V282" s="701"/>
      <c r="W282" s="701"/>
      <c r="X282" s="295">
        <f t="shared" si="153"/>
        <v>0</v>
      </c>
      <c r="Y282" s="296">
        <f>IF(AA282&gt;0,V282,AE278/IF(Iniciar!$C$25="B X 40 K",40,IF(Iniciar!$C$25="B X 50 K",50,1))*I282/1000)</f>
        <v>0</v>
      </c>
      <c r="Z282" s="296">
        <f t="shared" si="154"/>
        <v>0</v>
      </c>
      <c r="AA282" s="297">
        <f t="shared" si="164"/>
        <v>0</v>
      </c>
      <c r="AB282" s="297">
        <f t="shared" si="148"/>
        <v>0</v>
      </c>
      <c r="AC282" s="2035" t="str">
        <f>$AC$9</f>
        <v xml:space="preserve">Total Litros Sem: </v>
      </c>
      <c r="AD282" s="2036"/>
      <c r="AE282" s="2050">
        <f>SUM(R278:R284)</f>
        <v>0</v>
      </c>
      <c r="AF282" s="2051"/>
      <c r="AG282" s="554" t="str">
        <f>$AG$9</f>
        <v xml:space="preserve">Indicador Eficiencia : </v>
      </c>
      <c r="AH282" s="555">
        <f>IF(AND(AE282&gt;0,O279&gt;0,O280&gt;0,SUM(L278:L284)&gt;0),(PROD!AH281/O279)*K284*100/(AE282/(SUM(L278:L284)*O280/1000)),0)</f>
        <v>0</v>
      </c>
      <c r="AI282" s="555">
        <f>IF(AND(P279&gt;0,PROD!AI280&gt;0),(PROD!AI281/P279)*(1-K283)*100/(AE279/PROD!AI280),0)</f>
        <v>0</v>
      </c>
      <c r="AJ282" s="331">
        <f t="shared" si="162"/>
        <v>0</v>
      </c>
      <c r="AK282" s="2027"/>
      <c r="AL282" s="1284">
        <f t="shared" si="149"/>
        <v>0</v>
      </c>
      <c r="AM282" s="1285"/>
      <c r="AN282" s="1285"/>
      <c r="AO282" s="1285"/>
      <c r="AP282" s="1285"/>
      <c r="AQ282" s="1285"/>
      <c r="AR282" s="1285"/>
      <c r="AS282" s="1286"/>
      <c r="AT282" s="1287"/>
      <c r="AU282" s="1288"/>
      <c r="AV282" s="1289"/>
      <c r="AW282" s="1290"/>
      <c r="AX282" s="1291"/>
      <c r="AY282" s="1291"/>
      <c r="AZ282" s="1292"/>
      <c r="BA282" s="1293"/>
      <c r="BB282" s="1294"/>
      <c r="BC282" s="1295"/>
      <c r="BD282" s="1296">
        <f>BD281+PROD!L282-BA282</f>
        <v>0</v>
      </c>
      <c r="BE282" s="2133"/>
      <c r="BF282" s="507" t="e">
        <f t="shared" si="150"/>
        <v>#VALUE!</v>
      </c>
      <c r="BG282" s="329"/>
      <c r="BH282" s="1018">
        <f t="shared" si="151"/>
        <v>0</v>
      </c>
    </row>
    <row r="283" spans="1:60" ht="15" customHeight="1" x14ac:dyDescent="0.3">
      <c r="A283" s="2033"/>
      <c r="B283" s="287" t="str">
        <f t="shared" si="152"/>
        <v/>
      </c>
      <c r="C283" s="288" t="str">
        <f t="shared" si="147"/>
        <v/>
      </c>
      <c r="D283" s="691"/>
      <c r="E283" s="692"/>
      <c r="F283" s="693"/>
      <c r="G283" s="694"/>
      <c r="H283" s="695"/>
      <c r="I283" s="289">
        <f>I282-SUM($D283:F283)</f>
        <v>0</v>
      </c>
      <c r="J283" s="1237" t="str">
        <f>$J$10</f>
        <v>% Mort/Sel Acm Tab :</v>
      </c>
      <c r="K283" s="1238">
        <f>IFERROR(LOOKUP($A278,TP!$A$6:$A$108,GSh!$AR$6:$AR$108)/100,0)</f>
        <v>0</v>
      </c>
      <c r="L283" s="1246"/>
      <c r="M283" s="291">
        <f t="shared" si="163"/>
        <v>0</v>
      </c>
      <c r="N283" s="292" t="str">
        <f>$N$10</f>
        <v xml:space="preserve">Uniformidad (C. Lote) : </v>
      </c>
      <c r="O283" s="320">
        <f>LOOKUP($A278,'Pr-Sem'!$A$6:$A$108,'Pr-Sem'!$AG$6:$AG$108)</f>
        <v>0</v>
      </c>
      <c r="P283" s="320">
        <v>90</v>
      </c>
      <c r="Q283" s="321">
        <f>IF(AND(P283&gt;0,O283&gt;0),(O283/P283-1)*100,0)</f>
        <v>0</v>
      </c>
      <c r="R283" s="699"/>
      <c r="S283" s="762"/>
      <c r="T283" s="765">
        <f t="shared" si="158"/>
        <v>0</v>
      </c>
      <c r="U283" s="700"/>
      <c r="V283" s="701"/>
      <c r="W283" s="701"/>
      <c r="X283" s="295">
        <f t="shared" si="153"/>
        <v>0</v>
      </c>
      <c r="Y283" s="296">
        <f>IF(AA283&gt;0,V283,AE278/IF(Iniciar!$C$25="B X 40 K",40,IF(Iniciar!$C$25="B X 50 K",50,1))*I283/1000)</f>
        <v>0</v>
      </c>
      <c r="Z283" s="296">
        <f t="shared" si="154"/>
        <v>0</v>
      </c>
      <c r="AA283" s="297">
        <f t="shared" si="164"/>
        <v>0</v>
      </c>
      <c r="AB283" s="297">
        <f t="shared" si="148"/>
        <v>0</v>
      </c>
      <c r="AC283" s="2037" t="str">
        <f>$AC$10</f>
        <v xml:space="preserve">Cons ml /ave día: </v>
      </c>
      <c r="AD283" s="2038"/>
      <c r="AE283" s="2056">
        <f>IFERROR(SUMPRODUCT(AB278:AB284,I278:I284)/SUM(I278:I284),0)</f>
        <v>0</v>
      </c>
      <c r="AF283" s="2057"/>
      <c r="AG283" s="311" t="str">
        <f>CONCATENATE("Costo ",Iniciar!$C$25," : ")</f>
        <v xml:space="preserve">Costo Kilos : </v>
      </c>
      <c r="AH283" s="2043">
        <f>IFERROR(SUMPRODUCT(T278:T284,V278:V284)/SUMIF(T278:T284,"&gt;0",V278:V284),0)</f>
        <v>0</v>
      </c>
      <c r="AI283" s="2043"/>
      <c r="AJ283" s="313"/>
      <c r="AK283" s="2027"/>
      <c r="AL283" s="1284">
        <f t="shared" si="149"/>
        <v>0</v>
      </c>
      <c r="AM283" s="1285"/>
      <c r="AN283" s="1285"/>
      <c r="AO283" s="1285"/>
      <c r="AP283" s="1285"/>
      <c r="AQ283" s="1285"/>
      <c r="AR283" s="1285"/>
      <c r="AS283" s="1286"/>
      <c r="AT283" s="1287"/>
      <c r="AU283" s="1288"/>
      <c r="AV283" s="1289"/>
      <c r="AW283" s="1290"/>
      <c r="AX283" s="1291"/>
      <c r="AY283" s="1291"/>
      <c r="AZ283" s="1292"/>
      <c r="BA283" s="1293"/>
      <c r="BB283" s="1294"/>
      <c r="BC283" s="1295"/>
      <c r="BD283" s="1296">
        <f>BD282+PROD!L283-BA283</f>
        <v>0</v>
      </c>
      <c r="BE283" s="2133"/>
      <c r="BF283" s="507" t="e">
        <f t="shared" si="150"/>
        <v>#VALUE!</v>
      </c>
      <c r="BG283" s="329"/>
      <c r="BH283" s="1018">
        <f t="shared" si="151"/>
        <v>0</v>
      </c>
    </row>
    <row r="284" spans="1:60" ht="15" customHeight="1" x14ac:dyDescent="0.3">
      <c r="A284" s="2034"/>
      <c r="B284" s="287" t="str">
        <f t="shared" si="152"/>
        <v/>
      </c>
      <c r="C284" s="288" t="str">
        <f t="shared" si="147"/>
        <v/>
      </c>
      <c r="D284" s="691"/>
      <c r="E284" s="692"/>
      <c r="F284" s="693"/>
      <c r="G284" s="694"/>
      <c r="H284" s="695"/>
      <c r="I284" s="289">
        <f>I283-SUM($D284:F284)</f>
        <v>0</v>
      </c>
      <c r="J284" s="1239" t="str">
        <f>$J$11</f>
        <v>% Viabilidad :</v>
      </c>
      <c r="K284" s="1240">
        <f>IF(OR(SUM(L278:L284)&gt;0,SUM(V278:V284)&gt;0),1-(K281+K282),0)</f>
        <v>0</v>
      </c>
      <c r="L284" s="1247"/>
      <c r="M284" s="1248">
        <f>IF(I284&gt;0,(L284/IF(SUM(L278:L283)&gt;0,1,7))/I284,0)</f>
        <v>0</v>
      </c>
      <c r="N284" s="1249" t="str">
        <f>$N$11</f>
        <v xml:space="preserve">Uniformidad (10% +) : </v>
      </c>
      <c r="O284" s="1250">
        <f>IF(O282&gt;0,IF(O283&gt;0,100-SUM(O282:O283),0),0)</f>
        <v>0</v>
      </c>
      <c r="P284" s="1251">
        <f>100-SUM(P282:P283)</f>
        <v>5</v>
      </c>
      <c r="Q284" s="1252">
        <f>IF(AND(P284&gt;0,O284&gt;0),(O284/P284-1)*100,0)</f>
        <v>0</v>
      </c>
      <c r="R284" s="699"/>
      <c r="S284" s="762"/>
      <c r="T284" s="765">
        <f t="shared" si="158"/>
        <v>0</v>
      </c>
      <c r="U284" s="700"/>
      <c r="V284" s="701"/>
      <c r="W284" s="701"/>
      <c r="X284" s="295">
        <f t="shared" si="153"/>
        <v>0</v>
      </c>
      <c r="Y284" s="296">
        <f>IF(AA284&gt;0,V284,AE278/IF(Iniciar!$C$25="B X 40 K",40,IF(Iniciar!$C$25="B X 50 K",50,1))*I284/1000)</f>
        <v>0</v>
      </c>
      <c r="Z284" s="296">
        <f t="shared" si="154"/>
        <v>0</v>
      </c>
      <c r="AA284" s="297">
        <f>IF(I284&gt;0,(V284/IF(SUM(V278:V283)&gt;0,1,7))*$A$1/I284,0)</f>
        <v>0</v>
      </c>
      <c r="AB284" s="297">
        <f t="shared" si="148"/>
        <v>0</v>
      </c>
      <c r="AC284" s="2039" t="str">
        <f>$AC$11</f>
        <v xml:space="preserve">Relación Agua /Alimto: </v>
      </c>
      <c r="AD284" s="2040"/>
      <c r="AE284" s="2058">
        <f>IFERROR(AE283/AD278,0)</f>
        <v>0</v>
      </c>
      <c r="AF284" s="2059"/>
      <c r="AG284" s="1269" t="s">
        <v>237</v>
      </c>
      <c r="AH284" s="1270">
        <f>IF(SUM(L278:L284)&gt;0,AH283*SUM(V278:V284)/SUM(L278:L284),0)</f>
        <v>0</v>
      </c>
      <c r="AI284" s="1270">
        <f>IF(AND($A$1&gt;0,P278&gt;0),AH283/$A$1*(AE278/P278)*100,0)</f>
        <v>0</v>
      </c>
      <c r="AJ284" s="1271">
        <f t="shared" ref="AJ284:AJ289" si="165">IF(AND(AI284&gt;0,AH284&gt;0),(AH284/AI284-1)*100,0)</f>
        <v>0</v>
      </c>
      <c r="AK284" s="2028"/>
      <c r="AL284" s="1284">
        <f t="shared" si="149"/>
        <v>0</v>
      </c>
      <c r="AM284" s="1285"/>
      <c r="AN284" s="1285"/>
      <c r="AO284" s="1285"/>
      <c r="AP284" s="1285"/>
      <c r="AQ284" s="1285"/>
      <c r="AR284" s="1285"/>
      <c r="AS284" s="1286"/>
      <c r="AT284" s="1287"/>
      <c r="AU284" s="1288"/>
      <c r="AV284" s="1289"/>
      <c r="AW284" s="1290"/>
      <c r="AX284" s="1291"/>
      <c r="AY284" s="1291"/>
      <c r="AZ284" s="1292"/>
      <c r="BA284" s="1293"/>
      <c r="BB284" s="1294"/>
      <c r="BC284" s="1295"/>
      <c r="BD284" s="1296">
        <f>BD283+PROD!L284-BA284</f>
        <v>0</v>
      </c>
      <c r="BE284" s="2134"/>
      <c r="BF284" s="507" t="e">
        <f t="shared" si="150"/>
        <v>#VALUE!</v>
      </c>
      <c r="BG284" s="329"/>
      <c r="BH284" s="1018">
        <f t="shared" si="151"/>
        <v>0</v>
      </c>
    </row>
    <row r="285" spans="1:60" ht="15" customHeight="1" x14ac:dyDescent="0.3">
      <c r="A285" s="2032">
        <f>A278+1</f>
        <v>58</v>
      </c>
      <c r="B285" s="287" t="str">
        <f t="shared" si="152"/>
        <v/>
      </c>
      <c r="C285" s="288" t="str">
        <f t="shared" si="147"/>
        <v/>
      </c>
      <c r="D285" s="691"/>
      <c r="E285" s="692"/>
      <c r="F285" s="693"/>
      <c r="G285" s="694"/>
      <c r="H285" s="695"/>
      <c r="I285" s="289">
        <f>I284-SUM($D285:F285)</f>
        <v>0</v>
      </c>
      <c r="J285" s="1232" t="str">
        <f>$J$5</f>
        <v>% Mort Sem :</v>
      </c>
      <c r="K285" s="1233">
        <f>IF(PROD!$K$2&gt;0,SUM(D285:D291)/PROD!$K$2,0)</f>
        <v>0</v>
      </c>
      <c r="L285" s="1241"/>
      <c r="M285" s="1242">
        <f t="shared" ref="M285:M290" si="166">IF(I285&gt;0,L285/I285,0)</f>
        <v>0</v>
      </c>
      <c r="N285" s="1243" t="str">
        <f>$N$5</f>
        <v xml:space="preserve">% Pdn prom semana : </v>
      </c>
      <c r="O285" s="1244">
        <f>IF(SUM(L285:L290)&gt;0,100*SUMPRODUCT(M285:M291,I285:I291)/SUMIF(L285:L291,"&gt;0",I285:I291),IF(L291&gt;0,100*L291/7/I291,0))</f>
        <v>0</v>
      </c>
      <c r="P285" s="1244">
        <f>IFERROR(LOOKUP($A285,TP!$A$6:$A$108,GSh!$AE$6:$AE$108),0)</f>
        <v>0</v>
      </c>
      <c r="Q285" s="1245">
        <f>IF(AND(P285&gt;0,O285&gt;0),O285-P285,0)</f>
        <v>0</v>
      </c>
      <c r="R285" s="699"/>
      <c r="S285" s="762"/>
      <c r="T285" s="765">
        <f t="shared" si="158"/>
        <v>0</v>
      </c>
      <c r="U285" s="700"/>
      <c r="V285" s="701"/>
      <c r="W285" s="701"/>
      <c r="X285" s="295">
        <f t="shared" si="153"/>
        <v>0</v>
      </c>
      <c r="Y285" s="296">
        <f>IF(AA285&gt;0,V285,AE285/IF(Iniciar!$C$25="B X 40 K",40,IF(Iniciar!$C$25="B X 50 K",50,1))*I285/1000)</f>
        <v>0</v>
      </c>
      <c r="Z285" s="296">
        <f t="shared" si="154"/>
        <v>0</v>
      </c>
      <c r="AA285" s="297">
        <f t="shared" ref="AA285:AA290" si="167">IF(I285&gt;0,V285*$A$1/I285,0)</f>
        <v>0</v>
      </c>
      <c r="AB285" s="297">
        <f t="shared" si="148"/>
        <v>0</v>
      </c>
      <c r="AC285" s="1261" t="str">
        <f>$AC$5</f>
        <v>Gr. Ave Dia :</v>
      </c>
      <c r="AD285" s="1262">
        <f>IF(SUMIF(V285:V291,"&gt;0")&gt;0,SUMPRODUCT(AA285:AA291,I285:I291)/SUMIF(AA285:AA291,"&gt;0",I285:I291),0)</f>
        <v>0</v>
      </c>
      <c r="AE285" s="1262">
        <f>IFERROR(LOOKUP($A285,TP!$A$6:$A$108,GSh!$AU$6:$AU$108),0)</f>
        <v>0</v>
      </c>
      <c r="AF285" s="1263">
        <f>IF(AND(AE285&gt;0,AD285&gt;0),(AD285/AE285-1)*100,0)</f>
        <v>0</v>
      </c>
      <c r="AG285" s="1264" t="str">
        <f>PROD!$AG$5</f>
        <v>Gr X H</v>
      </c>
      <c r="AH285" s="1265">
        <f>IF(PROD!O285&gt;0,IF($AG285="Gr X H",PROD!AD285/PROD!O285*100,IF($AG285="Conv Kg/Doc",PROD!AD285/PROD!O285*1.2,IF(PROD!$O287&gt;0,PROD!AD285/(PROD!O285*PROD!$O287)*100,0))),0)</f>
        <v>0</v>
      </c>
      <c r="AI285" s="1265">
        <f>IF(PROD!P285&gt;0,IF($AG285="Gr X H",PROD!AE285/PROD!P285*100,IF($AG285="Conv Kg/Doc",PROD!AE285/PROD!P285*1.2,IF(PROD!$P287&gt;0,PROD!AE285/(PROD!P285*PROD!$P287)*100,0))),0)</f>
        <v>0</v>
      </c>
      <c r="AJ285" s="1266">
        <f t="shared" si="165"/>
        <v>0</v>
      </c>
      <c r="AK285" s="2026"/>
      <c r="AL285" s="1284">
        <f t="shared" si="149"/>
        <v>0</v>
      </c>
      <c r="AM285" s="1285"/>
      <c r="AN285" s="1285"/>
      <c r="AO285" s="1285"/>
      <c r="AP285" s="1285"/>
      <c r="AQ285" s="1285"/>
      <c r="AR285" s="1285"/>
      <c r="AS285" s="1286"/>
      <c r="AT285" s="1287"/>
      <c r="AU285" s="1288"/>
      <c r="AV285" s="1289"/>
      <c r="AW285" s="1290"/>
      <c r="AX285" s="1291"/>
      <c r="AY285" s="1291"/>
      <c r="AZ285" s="1292"/>
      <c r="BA285" s="1293"/>
      <c r="BB285" s="1294"/>
      <c r="BC285" s="1295"/>
      <c r="BD285" s="1296">
        <f>BD284+PROD!L285-BA285</f>
        <v>0</v>
      </c>
      <c r="BE285" s="2132">
        <f>IF(SUM(AM285:AZ291)&gt;0,(SUM(AM285:AM291)*$AM$2+SUM(AN285:AN291)*$AN$2+SUM(AO285:AO291)*$AO$2+SUM(AP285:AP291)*$AP$2+SUM(AQ285:AQ291)*$AQ$2+SUM(AR285:AR291)*$AR$2+SUM(AS285:AS291)*$AS$2+SUM(AW285:AW291)*$AW$2+SUM(AX285:AX291)*$AX$2+SUM(AY285:AY291)*$AY$2+SUM(AZ285:AZ291)*$AZ$2+SUM(AT285:AT291)*$AT$2+SUM(AU285:AU291)*$AU$2+SUM(AV285:AV291)*$AV$2)/SUM(AM285:AZ291),0)</f>
        <v>0</v>
      </c>
      <c r="BF285" s="507" t="e">
        <f t="shared" si="150"/>
        <v>#VALUE!</v>
      </c>
      <c r="BG285" s="277">
        <f>IF(SUM(L285:L291)&gt;0,A285,IF(SUM(V285:V291)&gt;0,A285,BG278))</f>
        <v>0</v>
      </c>
      <c r="BH285" s="1018">
        <f t="shared" si="151"/>
        <v>0</v>
      </c>
    </row>
    <row r="286" spans="1:60" ht="15" customHeight="1" x14ac:dyDescent="0.3">
      <c r="A286" s="2033"/>
      <c r="B286" s="287" t="str">
        <f t="shared" si="152"/>
        <v/>
      </c>
      <c r="C286" s="288" t="str">
        <f t="shared" si="147"/>
        <v/>
      </c>
      <c r="D286" s="691"/>
      <c r="E286" s="692"/>
      <c r="F286" s="693"/>
      <c r="G286" s="694"/>
      <c r="H286" s="695"/>
      <c r="I286" s="289">
        <f>I285-SUM($D286:F286)</f>
        <v>0</v>
      </c>
      <c r="J286" s="1234" t="str">
        <f>$J$6</f>
        <v>% Sel Sem :</v>
      </c>
      <c r="K286" s="1231">
        <f>IF(PROD!$K$2&gt;0,SUM(E285:E291)/PROD!$K$2,0)</f>
        <v>0</v>
      </c>
      <c r="L286" s="1246"/>
      <c r="M286" s="291">
        <f t="shared" si="166"/>
        <v>0</v>
      </c>
      <c r="N286" s="292" t="str">
        <f>$N$6</f>
        <v xml:space="preserve">H. Ave Alojada : </v>
      </c>
      <c r="O286" s="293">
        <f>IF(AND(PROD!$K$2&gt;0,O285&gt;0),SUM(L$5:L291)/PROD!$K$2,0)</f>
        <v>0</v>
      </c>
      <c r="P286" s="293">
        <f>IFERROR(LOOKUP($A285,TP!$A$6:$A$108,GSh!$AJ$6:$AJ$108),0)</f>
        <v>0</v>
      </c>
      <c r="Q286" s="294">
        <f>IF(AND(P286&gt;0,O286&gt;0),O286-P286,0)</f>
        <v>0</v>
      </c>
      <c r="R286" s="699"/>
      <c r="S286" s="762"/>
      <c r="T286" s="765">
        <f t="shared" si="158"/>
        <v>0</v>
      </c>
      <c r="U286" s="700"/>
      <c r="V286" s="701"/>
      <c r="W286" s="701"/>
      <c r="X286" s="295">
        <f t="shared" si="153"/>
        <v>0</v>
      </c>
      <c r="Y286" s="296">
        <f>IF(AA286&gt;0,V286,AE285/IF(Iniciar!$C$25="B X 40 K",40,IF(Iniciar!$C$25="B X 50 K",50,1))*I286/1000)</f>
        <v>0</v>
      </c>
      <c r="Z286" s="296">
        <f t="shared" si="154"/>
        <v>0</v>
      </c>
      <c r="AA286" s="297">
        <f t="shared" si="167"/>
        <v>0</v>
      </c>
      <c r="AB286" s="297">
        <f t="shared" si="148"/>
        <v>0</v>
      </c>
      <c r="AC286" s="1267" t="str">
        <f>$AC$6</f>
        <v>Gr. Ave Sem :</v>
      </c>
      <c r="AD286" s="284">
        <f>AD285*7</f>
        <v>0</v>
      </c>
      <c r="AE286" s="284">
        <f>AE285*7</f>
        <v>0</v>
      </c>
      <c r="AF286" s="285">
        <f>IF(AND(AE286&gt;0,AD286&gt;0),(AD286/AE286-1)*100,0)</f>
        <v>0</v>
      </c>
      <c r="AG286" s="1199" t="str">
        <f>PROD!$AG$6</f>
        <v>Gr X H Acm</v>
      </c>
      <c r="AH286" s="298">
        <f>IF(SUM(PROD!L285:L291)&gt;0,IF(PROD!$AG$5="Gr X H",SUM(PROD!V$5:V291)*PROD!$A$1/SUM(PROD!L$5:L291),IF($AG285="Conv Kg/Doc",(SUM(PROD!V$5:V291)*PROD!$A$1/1000)/(SUM(PROD!L$5:L291)/12),IF(PROD!$O287&gt;0,SUM(PROD!V$5:V291)*PROD!$A$1/(SUM(PROD!L$5:L291)*LOOKUP(PROD!A285,TP!$A$6:$A$108,GSh!$BB$6:$BB$108)),0))),0)</f>
        <v>0</v>
      </c>
      <c r="AI286" s="298">
        <f>IF(PROD!P285&gt;0,IF($AG285="Gr X H",PROD!AE285/PROD!P285*100,IF($AG285="Conv Kg/Doc",PROD!AE285/PROD!P285*1.2,IF(PROD!$P286&gt;0,PROD!AE287/(PROD!P286*LOOKUP(PROD!$A285,TP!$A$6:$A$108,GSh!$BC$6:$BC$108)/1000),0))),0)</f>
        <v>0</v>
      </c>
      <c r="AJ286" s="328">
        <f t="shared" si="165"/>
        <v>0</v>
      </c>
      <c r="AK286" s="2027"/>
      <c r="AL286" s="1284">
        <f t="shared" si="149"/>
        <v>0</v>
      </c>
      <c r="AM286" s="1285"/>
      <c r="AN286" s="1285"/>
      <c r="AO286" s="1285"/>
      <c r="AP286" s="1285"/>
      <c r="AQ286" s="1285"/>
      <c r="AR286" s="1285"/>
      <c r="AS286" s="1286"/>
      <c r="AT286" s="1287"/>
      <c r="AU286" s="1288"/>
      <c r="AV286" s="1289"/>
      <c r="AW286" s="1290"/>
      <c r="AX286" s="1291"/>
      <c r="AY286" s="1291"/>
      <c r="AZ286" s="1292"/>
      <c r="BA286" s="1293"/>
      <c r="BB286" s="1294"/>
      <c r="BC286" s="1295"/>
      <c r="BD286" s="1296">
        <f>BD285+PROD!L286-BA286</f>
        <v>0</v>
      </c>
      <c r="BE286" s="2133"/>
      <c r="BF286" s="507" t="e">
        <f t="shared" si="150"/>
        <v>#VALUE!</v>
      </c>
      <c r="BG286" s="329"/>
      <c r="BH286" s="1018">
        <f t="shared" si="151"/>
        <v>0</v>
      </c>
    </row>
    <row r="287" spans="1:60" ht="15" customHeight="1" x14ac:dyDescent="0.3">
      <c r="A287" s="2033"/>
      <c r="B287" s="287" t="str">
        <f t="shared" si="152"/>
        <v/>
      </c>
      <c r="C287" s="288" t="str">
        <f t="shared" si="147"/>
        <v/>
      </c>
      <c r="D287" s="691"/>
      <c r="E287" s="692"/>
      <c r="F287" s="693"/>
      <c r="G287" s="694"/>
      <c r="H287" s="695"/>
      <c r="I287" s="289">
        <f>I286-SUM($D287:F287)</f>
        <v>0</v>
      </c>
      <c r="J287" s="1235" t="str">
        <f>$J$7</f>
        <v>% Mort/Sel Sem Tab :</v>
      </c>
      <c r="K287" s="1236">
        <f>K290-K283</f>
        <v>0</v>
      </c>
      <c r="L287" s="1246"/>
      <c r="M287" s="291">
        <f t="shared" si="166"/>
        <v>0</v>
      </c>
      <c r="N287" s="304" t="str">
        <f>$N$7</f>
        <v xml:space="preserve">Peso Huevo (Gr) : </v>
      </c>
      <c r="O287" s="305">
        <f>LOOKUP($A285,'Pr-Sem'!$A$6:$A$108,'Pr-Sem'!$Z$6:$Z$108)</f>
        <v>0</v>
      </c>
      <c r="P287" s="305">
        <f>IFERROR(LOOKUP($A285,TP!$A$6:$A$108,GSh!$AZ$6:$AZ$108),0)</f>
        <v>0</v>
      </c>
      <c r="Q287" s="306">
        <f>IF(AND(P287&gt;0,O287&gt;0),O287-P287,0)</f>
        <v>0</v>
      </c>
      <c r="R287" s="699"/>
      <c r="S287" s="762"/>
      <c r="T287" s="765">
        <f t="shared" si="158"/>
        <v>0</v>
      </c>
      <c r="U287" s="700"/>
      <c r="V287" s="701"/>
      <c r="W287" s="701"/>
      <c r="X287" s="295">
        <f t="shared" si="153"/>
        <v>0</v>
      </c>
      <c r="Y287" s="296">
        <f>IF(AA287&gt;0,V287,AE285/IF(Iniciar!$C$25="B X 40 K",40,IF(Iniciar!$C$25="B X 50 K",50,1))*I287/1000)</f>
        <v>0</v>
      </c>
      <c r="Z287" s="296">
        <f t="shared" si="154"/>
        <v>0</v>
      </c>
      <c r="AA287" s="297">
        <f t="shared" si="167"/>
        <v>0</v>
      </c>
      <c r="AB287" s="297">
        <f t="shared" si="148"/>
        <v>0</v>
      </c>
      <c r="AC287" s="1268" t="str">
        <f>$AC$7</f>
        <v>Kg Ave Acu :</v>
      </c>
      <c r="AD287" s="308">
        <f>IF(OR(SUM(L285:L291)&gt;0,SUM(V285:V291)&gt;0),AD286/1000+AD280,0)</f>
        <v>0</v>
      </c>
      <c r="AE287" s="309">
        <f>AE286/1000+AE280</f>
        <v>0</v>
      </c>
      <c r="AF287" s="310">
        <f>IF(AND(AE287&gt;0,AD287&gt;0),(AD287/AE287-1)*100,0)</f>
        <v>0</v>
      </c>
      <c r="AG287" s="311" t="str">
        <f>PROD!$AG$7</f>
        <v xml:space="preserve">Masa Sem H (Gr) : </v>
      </c>
      <c r="AH287" s="312">
        <f>PROD!O285/100*7*PROD!O287</f>
        <v>0</v>
      </c>
      <c r="AI287" s="312">
        <f>PROD!P285/100*7*PROD!P287</f>
        <v>0</v>
      </c>
      <c r="AJ287" s="313">
        <f t="shared" si="165"/>
        <v>0</v>
      </c>
      <c r="AK287" s="2027"/>
      <c r="AL287" s="1284">
        <f t="shared" si="149"/>
        <v>0</v>
      </c>
      <c r="AM287" s="1285"/>
      <c r="AN287" s="1285"/>
      <c r="AO287" s="1285"/>
      <c r="AP287" s="1285"/>
      <c r="AQ287" s="1285"/>
      <c r="AR287" s="1285"/>
      <c r="AS287" s="1286"/>
      <c r="AT287" s="1287"/>
      <c r="AU287" s="1288"/>
      <c r="AV287" s="1289"/>
      <c r="AW287" s="1290"/>
      <c r="AX287" s="1291"/>
      <c r="AY287" s="1291"/>
      <c r="AZ287" s="1292"/>
      <c r="BA287" s="1293"/>
      <c r="BB287" s="1294"/>
      <c r="BC287" s="1295"/>
      <c r="BD287" s="1296">
        <f>BD286+PROD!L287-BA287</f>
        <v>0</v>
      </c>
      <c r="BE287" s="2133"/>
      <c r="BF287" s="507" t="e">
        <f t="shared" si="150"/>
        <v>#VALUE!</v>
      </c>
      <c r="BG287" s="329"/>
      <c r="BH287" s="1018">
        <f t="shared" si="151"/>
        <v>0</v>
      </c>
    </row>
    <row r="288" spans="1:60" ht="15" customHeight="1" x14ac:dyDescent="0.3">
      <c r="A288" s="2033"/>
      <c r="B288" s="287" t="str">
        <f t="shared" si="152"/>
        <v/>
      </c>
      <c r="C288" s="288" t="str">
        <f t="shared" si="147"/>
        <v/>
      </c>
      <c r="D288" s="691"/>
      <c r="E288" s="692"/>
      <c r="F288" s="693"/>
      <c r="G288" s="694"/>
      <c r="H288" s="695"/>
      <c r="I288" s="289">
        <f>I287-SUM($D288:F288)</f>
        <v>0</v>
      </c>
      <c r="J288" s="1234" t="str">
        <f>$J$8</f>
        <v>% Mort Acm :</v>
      </c>
      <c r="K288" s="1231">
        <f>IF(PROD!$K$2&gt;0,SUM(D$5:D291)/PROD!$K$2,0)</f>
        <v>0</v>
      </c>
      <c r="L288" s="1246"/>
      <c r="M288" s="291">
        <f t="shared" si="166"/>
        <v>0</v>
      </c>
      <c r="N288" s="314" t="str">
        <f>N$8</f>
        <v xml:space="preserve">Peso Ave (Gr) : </v>
      </c>
      <c r="O288" s="315">
        <f>LOOKUP($A285,GSh!$BV$6:$BV$108,GSh!$BJ$6:$BJ$108)</f>
        <v>0</v>
      </c>
      <c r="P288" s="315">
        <f>IFERROR(LOOKUP($A285,TP!$A$6:$A$108,GSh!$BK$6:$BK$108),0)</f>
        <v>0</v>
      </c>
      <c r="Q288" s="316">
        <f>IF(AND(P288&gt;0,O288&gt;0),(O288/P288-1)*100,0)</f>
        <v>0</v>
      </c>
      <c r="R288" s="699"/>
      <c r="S288" s="762"/>
      <c r="T288" s="765">
        <f t="shared" si="158"/>
        <v>0</v>
      </c>
      <c r="U288" s="700"/>
      <c r="V288" s="701"/>
      <c r="W288" s="701"/>
      <c r="X288" s="295">
        <f t="shared" si="153"/>
        <v>0</v>
      </c>
      <c r="Y288" s="296">
        <f>IF(AA288&gt;0,V288,AE285/IF(Iniciar!$C$25="B X 40 K",40,IF(Iniciar!$C$25="B X 50 K",50,1))*I288/1000)</f>
        <v>0</v>
      </c>
      <c r="Z288" s="296">
        <f t="shared" si="154"/>
        <v>0</v>
      </c>
      <c r="AA288" s="297">
        <f t="shared" si="167"/>
        <v>0</v>
      </c>
      <c r="AB288" s="297">
        <f t="shared" si="148"/>
        <v>0</v>
      </c>
      <c r="AC288" s="541" t="str">
        <f>$AC$8</f>
        <v xml:space="preserve">Ton. Lote Acu : </v>
      </c>
      <c r="AD288" s="544">
        <f>SUM($V$5:$V291)*$A$1/1000000</f>
        <v>0</v>
      </c>
      <c r="AE288" s="543">
        <f>AE281+(AE285/1000000*7*(I285+I291)/2)</f>
        <v>0</v>
      </c>
      <c r="AF288" s="542">
        <f>IF(AND(AE288&gt;0,AD288&gt;0),(AD288/AE288-1)*100,0)</f>
        <v>0</v>
      </c>
      <c r="AG288" s="317" t="str">
        <f>PROD!$AG$8</f>
        <v xml:space="preserve">Masa Ac A. A (Kg) : </v>
      </c>
      <c r="AH288" s="318">
        <f>IF(PROD!$K$2&gt;0,SUM(PROD!L$5:L291)*LOOKUP(PROD!$A285,TP!$A$6:$A$108,GSh!$BB$6:$BB$108)/1000/PROD!$K$2,0)</f>
        <v>0</v>
      </c>
      <c r="AI288" s="318">
        <f>IFERROR(PROD!P286*LOOKUP(PROD!$A285,TP!$A$6:$A$108,GSh!$BC$6:$BC$108)/1000,0)</f>
        <v>0</v>
      </c>
      <c r="AJ288" s="330">
        <f t="shared" si="165"/>
        <v>0</v>
      </c>
      <c r="AK288" s="2027"/>
      <c r="AL288" s="1284">
        <f t="shared" si="149"/>
        <v>0</v>
      </c>
      <c r="AM288" s="1285"/>
      <c r="AN288" s="1285"/>
      <c r="AO288" s="1285"/>
      <c r="AP288" s="1285"/>
      <c r="AQ288" s="1285"/>
      <c r="AR288" s="1285"/>
      <c r="AS288" s="1286"/>
      <c r="AT288" s="1287"/>
      <c r="AU288" s="1288"/>
      <c r="AV288" s="1289"/>
      <c r="AW288" s="1290"/>
      <c r="AX288" s="1291"/>
      <c r="AY288" s="1291"/>
      <c r="AZ288" s="1292"/>
      <c r="BA288" s="1293"/>
      <c r="BB288" s="1294"/>
      <c r="BC288" s="1295"/>
      <c r="BD288" s="1296">
        <f>BD287+PROD!L288-BA288</f>
        <v>0</v>
      </c>
      <c r="BE288" s="2133"/>
      <c r="BF288" s="507" t="e">
        <f t="shared" si="150"/>
        <v>#VALUE!</v>
      </c>
      <c r="BG288" s="329"/>
      <c r="BH288" s="1018">
        <f t="shared" si="151"/>
        <v>0</v>
      </c>
    </row>
    <row r="289" spans="1:60" ht="15" customHeight="1" x14ac:dyDescent="0.3">
      <c r="A289" s="2033"/>
      <c r="B289" s="287" t="str">
        <f t="shared" si="152"/>
        <v/>
      </c>
      <c r="C289" s="288" t="str">
        <f t="shared" si="147"/>
        <v/>
      </c>
      <c r="D289" s="691"/>
      <c r="E289" s="692"/>
      <c r="F289" s="693"/>
      <c r="G289" s="694"/>
      <c r="H289" s="695"/>
      <c r="I289" s="289">
        <f>I288-SUM($D289:F289)</f>
        <v>0</v>
      </c>
      <c r="J289" s="1234" t="str">
        <f>$J$9</f>
        <v>% Sel Acm :</v>
      </c>
      <c r="K289" s="1231">
        <f>IF(PROD!$K$2&gt;0,SUM(E$5:E291)/PROD!$K$2,0)</f>
        <v>0</v>
      </c>
      <c r="L289" s="1246"/>
      <c r="M289" s="291">
        <f t="shared" si="166"/>
        <v>0</v>
      </c>
      <c r="N289" s="292" t="str">
        <f>$N$9</f>
        <v xml:space="preserve">Uniformidad (10% -) : </v>
      </c>
      <c r="O289" s="320">
        <f>LOOKUP($A285,'Pr-Sem'!$A$6:$A$108,'Pr-Sem'!$AH$6:$AH$108)</f>
        <v>0</v>
      </c>
      <c r="P289" s="320">
        <v>5</v>
      </c>
      <c r="Q289" s="321">
        <f>IF(AND(P289&gt;0,O289&gt;0),(1-O289/P289)*100,0)</f>
        <v>0</v>
      </c>
      <c r="R289" s="699"/>
      <c r="S289" s="762"/>
      <c r="T289" s="765">
        <f t="shared" si="158"/>
        <v>0</v>
      </c>
      <c r="U289" s="700"/>
      <c r="V289" s="701"/>
      <c r="W289" s="701"/>
      <c r="X289" s="295">
        <f t="shared" si="153"/>
        <v>0</v>
      </c>
      <c r="Y289" s="296">
        <f>IF(AA289&gt;0,V289,AE285/IF(Iniciar!$C$25="B X 40 K",40,IF(Iniciar!$C$25="B X 50 K",50,1))*I289/1000)</f>
        <v>0</v>
      </c>
      <c r="Z289" s="296">
        <f t="shared" si="154"/>
        <v>0</v>
      </c>
      <c r="AA289" s="297">
        <f t="shared" si="167"/>
        <v>0</v>
      </c>
      <c r="AB289" s="297">
        <f t="shared" si="148"/>
        <v>0</v>
      </c>
      <c r="AC289" s="2035" t="str">
        <f>$AC$9</f>
        <v xml:space="preserve">Total Litros Sem: </v>
      </c>
      <c r="AD289" s="2036"/>
      <c r="AE289" s="2050">
        <f>SUM(R285:R291)</f>
        <v>0</v>
      </c>
      <c r="AF289" s="2051"/>
      <c r="AG289" s="554" t="str">
        <f>$AG$9</f>
        <v xml:space="preserve">Indicador Eficiencia : </v>
      </c>
      <c r="AH289" s="555">
        <f>IF(AND(AE289&gt;0,O286&gt;0,O287&gt;0,SUM(L285:L291)&gt;0),(PROD!AH288/O286)*K291*100/(AE289/(SUM(L285:L291)*O287/1000)),0)</f>
        <v>0</v>
      </c>
      <c r="AI289" s="555">
        <f>IF(AND(P286&gt;0,PROD!AI287&gt;0),(PROD!AI288/P286)*(1-K290)*100/(AE286/PROD!AI287),0)</f>
        <v>0</v>
      </c>
      <c r="AJ289" s="331">
        <f t="shared" si="165"/>
        <v>0</v>
      </c>
      <c r="AK289" s="2027"/>
      <c r="AL289" s="1284">
        <f t="shared" si="149"/>
        <v>0</v>
      </c>
      <c r="AM289" s="1285"/>
      <c r="AN289" s="1285"/>
      <c r="AO289" s="1285"/>
      <c r="AP289" s="1285"/>
      <c r="AQ289" s="1285"/>
      <c r="AR289" s="1285"/>
      <c r="AS289" s="1286"/>
      <c r="AT289" s="1287"/>
      <c r="AU289" s="1288"/>
      <c r="AV289" s="1289"/>
      <c r="AW289" s="1290"/>
      <c r="AX289" s="1291"/>
      <c r="AY289" s="1291"/>
      <c r="AZ289" s="1292"/>
      <c r="BA289" s="1293"/>
      <c r="BB289" s="1294"/>
      <c r="BC289" s="1295"/>
      <c r="BD289" s="1296">
        <f>BD288+PROD!L289-BA289</f>
        <v>0</v>
      </c>
      <c r="BE289" s="2133"/>
      <c r="BF289" s="507" t="e">
        <f t="shared" si="150"/>
        <v>#VALUE!</v>
      </c>
      <c r="BG289" s="329"/>
      <c r="BH289" s="1018">
        <f t="shared" si="151"/>
        <v>0</v>
      </c>
    </row>
    <row r="290" spans="1:60" ht="15" customHeight="1" x14ac:dyDescent="0.3">
      <c r="A290" s="2033"/>
      <c r="B290" s="287" t="str">
        <f t="shared" si="152"/>
        <v/>
      </c>
      <c r="C290" s="288" t="str">
        <f t="shared" si="147"/>
        <v/>
      </c>
      <c r="D290" s="691"/>
      <c r="E290" s="692"/>
      <c r="F290" s="693"/>
      <c r="G290" s="694"/>
      <c r="H290" s="695"/>
      <c r="I290" s="289">
        <f>I289-SUM($D290:F290)</f>
        <v>0</v>
      </c>
      <c r="J290" s="1237" t="str">
        <f>$J$10</f>
        <v>% Mort/Sel Acm Tab :</v>
      </c>
      <c r="K290" s="1238">
        <f>IFERROR(LOOKUP($A285,TP!$A$6:$A$108,GSh!$AR$6:$AR$108)/100,0)</f>
        <v>0</v>
      </c>
      <c r="L290" s="1246"/>
      <c r="M290" s="291">
        <f t="shared" si="166"/>
        <v>0</v>
      </c>
      <c r="N290" s="292" t="str">
        <f>$N$10</f>
        <v xml:space="preserve">Uniformidad (C. Lote) : </v>
      </c>
      <c r="O290" s="320">
        <f>LOOKUP($A285,'Pr-Sem'!$A$6:$A$108,'Pr-Sem'!$AG$6:$AG$108)</f>
        <v>0</v>
      </c>
      <c r="P290" s="320">
        <v>90</v>
      </c>
      <c r="Q290" s="321">
        <f>IF(AND(P290&gt;0,O290&gt;0),(O290/P290-1)*100,0)</f>
        <v>0</v>
      </c>
      <c r="R290" s="699"/>
      <c r="S290" s="762"/>
      <c r="T290" s="765">
        <f t="shared" si="158"/>
        <v>0</v>
      </c>
      <c r="U290" s="700"/>
      <c r="V290" s="701"/>
      <c r="W290" s="701"/>
      <c r="X290" s="295">
        <f t="shared" si="153"/>
        <v>0</v>
      </c>
      <c r="Y290" s="296">
        <f>IF(AA290&gt;0,V290,AE285/IF(Iniciar!$C$25="B X 40 K",40,IF(Iniciar!$C$25="B X 50 K",50,1))*I290/1000)</f>
        <v>0</v>
      </c>
      <c r="Z290" s="296">
        <f t="shared" si="154"/>
        <v>0</v>
      </c>
      <c r="AA290" s="297">
        <f t="shared" si="167"/>
        <v>0</v>
      </c>
      <c r="AB290" s="297">
        <f t="shared" si="148"/>
        <v>0</v>
      </c>
      <c r="AC290" s="2037" t="str">
        <f>$AC$10</f>
        <v xml:space="preserve">Cons ml /ave día: </v>
      </c>
      <c r="AD290" s="2038"/>
      <c r="AE290" s="2056">
        <f>IFERROR(SUMPRODUCT(AB285:AB291,I285:I291)/SUM(I285:I291),0)</f>
        <v>0</v>
      </c>
      <c r="AF290" s="2057"/>
      <c r="AG290" s="311" t="str">
        <f>CONCATENATE("Costo ",Iniciar!$C$25," : ")</f>
        <v xml:space="preserve">Costo Kilos : </v>
      </c>
      <c r="AH290" s="2043">
        <f>IFERROR(SUMPRODUCT(T285:T291,V285:V291)/SUMIF(T285:T291,"&gt;0",V285:V291),0)</f>
        <v>0</v>
      </c>
      <c r="AI290" s="2043"/>
      <c r="AJ290" s="313"/>
      <c r="AK290" s="2027"/>
      <c r="AL290" s="1284">
        <f t="shared" si="149"/>
        <v>0</v>
      </c>
      <c r="AM290" s="1285"/>
      <c r="AN290" s="1285"/>
      <c r="AO290" s="1285"/>
      <c r="AP290" s="1285"/>
      <c r="AQ290" s="1285"/>
      <c r="AR290" s="1285"/>
      <c r="AS290" s="1286"/>
      <c r="AT290" s="1287"/>
      <c r="AU290" s="1288"/>
      <c r="AV290" s="1289"/>
      <c r="AW290" s="1290"/>
      <c r="AX290" s="1291"/>
      <c r="AY290" s="1291"/>
      <c r="AZ290" s="1292"/>
      <c r="BA290" s="1293"/>
      <c r="BB290" s="1294"/>
      <c r="BC290" s="1295"/>
      <c r="BD290" s="1296">
        <f>BD289+PROD!L290-BA290</f>
        <v>0</v>
      </c>
      <c r="BE290" s="2133"/>
      <c r="BF290" s="507" t="e">
        <f t="shared" si="150"/>
        <v>#VALUE!</v>
      </c>
      <c r="BG290" s="329"/>
      <c r="BH290" s="1018">
        <f t="shared" si="151"/>
        <v>0</v>
      </c>
    </row>
    <row r="291" spans="1:60" ht="15" customHeight="1" x14ac:dyDescent="0.3">
      <c r="A291" s="2034"/>
      <c r="B291" s="287" t="str">
        <f t="shared" si="152"/>
        <v/>
      </c>
      <c r="C291" s="288" t="str">
        <f t="shared" si="147"/>
        <v/>
      </c>
      <c r="D291" s="691"/>
      <c r="E291" s="692"/>
      <c r="F291" s="693"/>
      <c r="G291" s="694"/>
      <c r="H291" s="695"/>
      <c r="I291" s="289">
        <f>I290-SUM($D291:F291)</f>
        <v>0</v>
      </c>
      <c r="J291" s="1239" t="str">
        <f>$J$11</f>
        <v>% Viabilidad :</v>
      </c>
      <c r="K291" s="1240">
        <f>IF(OR(SUM(L285:L291)&gt;0,SUM(V285:V291)&gt;0),1-(K288+K289),0)</f>
        <v>0</v>
      </c>
      <c r="L291" s="1247"/>
      <c r="M291" s="1248">
        <f>IF(I291&gt;0,(L291/IF(SUM(L285:L290)&gt;0,1,7))/I291,0)</f>
        <v>0</v>
      </c>
      <c r="N291" s="1249" t="str">
        <f>$N$11</f>
        <v xml:space="preserve">Uniformidad (10% +) : </v>
      </c>
      <c r="O291" s="1250">
        <f>IF(O289&gt;0,IF(O290&gt;0,100-SUM(O289:O290),0),0)</f>
        <v>0</v>
      </c>
      <c r="P291" s="1251">
        <f>100-SUM(P289:P290)</f>
        <v>5</v>
      </c>
      <c r="Q291" s="1252">
        <f>IF(AND(P291&gt;0,O291&gt;0),(O291/P291-1)*100,0)</f>
        <v>0</v>
      </c>
      <c r="R291" s="699"/>
      <c r="S291" s="762"/>
      <c r="T291" s="765">
        <f t="shared" si="158"/>
        <v>0</v>
      </c>
      <c r="U291" s="700"/>
      <c r="V291" s="701"/>
      <c r="W291" s="701"/>
      <c r="X291" s="295">
        <f t="shared" si="153"/>
        <v>0</v>
      </c>
      <c r="Y291" s="296">
        <f>IF(AA291&gt;0,V291,AE285/IF(Iniciar!$C$25="B X 40 K",40,IF(Iniciar!$C$25="B X 50 K",50,1))*I291/1000)</f>
        <v>0</v>
      </c>
      <c r="Z291" s="296">
        <f t="shared" si="154"/>
        <v>0</v>
      </c>
      <c r="AA291" s="297">
        <f>IF(I291&gt;0,(V291/IF(SUM(V285:V290)&gt;0,1,7))*$A$1/I291,0)</f>
        <v>0</v>
      </c>
      <c r="AB291" s="297">
        <f t="shared" si="148"/>
        <v>0</v>
      </c>
      <c r="AC291" s="2039" t="str">
        <f>$AC$11</f>
        <v xml:space="preserve">Relación Agua /Alimto: </v>
      </c>
      <c r="AD291" s="2040"/>
      <c r="AE291" s="2058">
        <f>IFERROR(AE290/AD285,0)</f>
        <v>0</v>
      </c>
      <c r="AF291" s="2059"/>
      <c r="AG291" s="1269" t="s">
        <v>237</v>
      </c>
      <c r="AH291" s="1270">
        <f>IF(SUM(L285:L291)&gt;0,AH290*SUM(V285:V291)/SUM(L285:L291),0)</f>
        <v>0</v>
      </c>
      <c r="AI291" s="1270">
        <f>IF(AND($A$1&gt;0,P285&gt;0),AH290/$A$1*(AE285/P285)*100,0)</f>
        <v>0</v>
      </c>
      <c r="AJ291" s="1271">
        <f t="shared" ref="AJ291:AJ296" si="168">IF(AND(AI291&gt;0,AH291&gt;0),(AH291/AI291-1)*100,0)</f>
        <v>0</v>
      </c>
      <c r="AK291" s="2028"/>
      <c r="AL291" s="1284">
        <f t="shared" si="149"/>
        <v>0</v>
      </c>
      <c r="AM291" s="1285"/>
      <c r="AN291" s="1285"/>
      <c r="AO291" s="1285"/>
      <c r="AP291" s="1285"/>
      <c r="AQ291" s="1285"/>
      <c r="AR291" s="1285"/>
      <c r="AS291" s="1286"/>
      <c r="AT291" s="1287"/>
      <c r="AU291" s="1288"/>
      <c r="AV291" s="1289"/>
      <c r="AW291" s="1290"/>
      <c r="AX291" s="1291"/>
      <c r="AY291" s="1291"/>
      <c r="AZ291" s="1292"/>
      <c r="BA291" s="1293"/>
      <c r="BB291" s="1294"/>
      <c r="BC291" s="1295"/>
      <c r="BD291" s="1296">
        <f>BD290+PROD!L291-BA291</f>
        <v>0</v>
      </c>
      <c r="BE291" s="2134"/>
      <c r="BF291" s="507" t="e">
        <f t="shared" si="150"/>
        <v>#VALUE!</v>
      </c>
      <c r="BG291" s="329"/>
      <c r="BH291" s="1018">
        <f t="shared" si="151"/>
        <v>0</v>
      </c>
    </row>
    <row r="292" spans="1:60" ht="15" customHeight="1" x14ac:dyDescent="0.3">
      <c r="A292" s="2032">
        <f>A285+1</f>
        <v>59</v>
      </c>
      <c r="B292" s="287" t="str">
        <f t="shared" si="152"/>
        <v/>
      </c>
      <c r="C292" s="288" t="str">
        <f t="shared" si="147"/>
        <v/>
      </c>
      <c r="D292" s="691"/>
      <c r="E292" s="692"/>
      <c r="F292" s="693"/>
      <c r="G292" s="694"/>
      <c r="H292" s="695"/>
      <c r="I292" s="289">
        <f>I291-SUM($D292:F292)</f>
        <v>0</v>
      </c>
      <c r="J292" s="1232" t="str">
        <f>$J$5</f>
        <v>% Mort Sem :</v>
      </c>
      <c r="K292" s="1233">
        <f>IF(PROD!$K$2&gt;0,SUM(D292:D298)/PROD!$K$2,0)</f>
        <v>0</v>
      </c>
      <c r="L292" s="1241"/>
      <c r="M292" s="1242">
        <f t="shared" ref="M292:M297" si="169">IF(I292&gt;0,L292/I292,0)</f>
        <v>0</v>
      </c>
      <c r="N292" s="1243" t="str">
        <f>$N$5</f>
        <v xml:space="preserve">% Pdn prom semana : </v>
      </c>
      <c r="O292" s="1244">
        <f>IF(SUM(L292:L297)&gt;0,100*SUMPRODUCT(M292:M298,I292:I298)/SUMIF(L292:L298,"&gt;0",I292:I298),IF(L298&gt;0,100*L298/7/I298,0))</f>
        <v>0</v>
      </c>
      <c r="P292" s="1244">
        <f>IFERROR(LOOKUP($A292,TP!$A$6:$A$108,GSh!$AE$6:$AE$108),0)</f>
        <v>0</v>
      </c>
      <c r="Q292" s="1245">
        <f>IF(AND(P292&gt;0,O292&gt;0),O292-P292,0)</f>
        <v>0</v>
      </c>
      <c r="R292" s="699"/>
      <c r="S292" s="762"/>
      <c r="T292" s="765">
        <f t="shared" si="158"/>
        <v>0</v>
      </c>
      <c r="U292" s="700"/>
      <c r="V292" s="701"/>
      <c r="W292" s="701"/>
      <c r="X292" s="295">
        <f t="shared" si="153"/>
        <v>0</v>
      </c>
      <c r="Y292" s="296">
        <f>IF(AA292&gt;0,V292,AE292/IF(Iniciar!$C$25="B X 40 K",40,IF(Iniciar!$C$25="B X 50 K",50,1))*I292/1000)</f>
        <v>0</v>
      </c>
      <c r="Z292" s="296">
        <f t="shared" si="154"/>
        <v>0</v>
      </c>
      <c r="AA292" s="297">
        <f t="shared" ref="AA292:AA297" si="170">IF(I292&gt;0,V292*$A$1/I292,0)</f>
        <v>0</v>
      </c>
      <c r="AB292" s="297">
        <f t="shared" si="148"/>
        <v>0</v>
      </c>
      <c r="AC292" s="1261" t="str">
        <f>$AC$5</f>
        <v>Gr. Ave Dia :</v>
      </c>
      <c r="AD292" s="1262">
        <f>IF(SUMIF(V292:V298,"&gt;0")&gt;0,SUMPRODUCT(AA292:AA298,I292:I298)/SUMIF(AA292:AA298,"&gt;0",I292:I298),0)</f>
        <v>0</v>
      </c>
      <c r="AE292" s="1262">
        <f>IFERROR(LOOKUP($A292,TP!$A$6:$A$108,GSh!$AU$6:$AU$108),0)</f>
        <v>0</v>
      </c>
      <c r="AF292" s="1263">
        <f>IF(AND(AE292&gt;0,AD292&gt;0),(AD292/AE292-1)*100,0)</f>
        <v>0</v>
      </c>
      <c r="AG292" s="1264" t="str">
        <f>PROD!$AG$5</f>
        <v>Gr X H</v>
      </c>
      <c r="AH292" s="1265">
        <f>IF(PROD!O292&gt;0,IF($AG292="Gr X H",PROD!AD292/PROD!O292*100,IF($AG292="Conv Kg/Doc",PROD!AD292/PROD!O292*1.2,IF(PROD!$O294&gt;0,PROD!AD292/(PROD!O292*PROD!$O294)*100,0))),0)</f>
        <v>0</v>
      </c>
      <c r="AI292" s="1265">
        <f>IF(PROD!P292&gt;0,IF($AG292="Gr X H",PROD!AE292/PROD!P292*100,IF($AG292="Conv Kg/Doc",PROD!AE292/PROD!P292*1.2,IF(PROD!$P294&gt;0,PROD!AE292/(PROD!P292*PROD!$P294)*100,0))),0)</f>
        <v>0</v>
      </c>
      <c r="AJ292" s="1266">
        <f t="shared" si="168"/>
        <v>0</v>
      </c>
      <c r="AK292" s="2026"/>
      <c r="AL292" s="1284">
        <f t="shared" si="149"/>
        <v>0</v>
      </c>
      <c r="AM292" s="1285"/>
      <c r="AN292" s="1285"/>
      <c r="AO292" s="1285"/>
      <c r="AP292" s="1285"/>
      <c r="AQ292" s="1285"/>
      <c r="AR292" s="1285"/>
      <c r="AS292" s="1286"/>
      <c r="AT292" s="1287"/>
      <c r="AU292" s="1288"/>
      <c r="AV292" s="1289"/>
      <c r="AW292" s="1290"/>
      <c r="AX292" s="1291"/>
      <c r="AY292" s="1291"/>
      <c r="AZ292" s="1292"/>
      <c r="BA292" s="1293"/>
      <c r="BB292" s="1294"/>
      <c r="BC292" s="1295"/>
      <c r="BD292" s="1296">
        <f>BD291+PROD!L292-BA292</f>
        <v>0</v>
      </c>
      <c r="BE292" s="2132">
        <f>IF(SUM(AM292:AZ298)&gt;0,(SUM(AM292:AM298)*$AM$2+SUM(AN292:AN298)*$AN$2+SUM(AO292:AO298)*$AO$2+SUM(AP292:AP298)*$AP$2+SUM(AQ292:AQ298)*$AQ$2+SUM(AR292:AR298)*$AR$2+SUM(AS292:AS298)*$AS$2+SUM(AW292:AW298)*$AW$2+SUM(AX292:AX298)*$AX$2+SUM(AY292:AY298)*$AY$2+SUM(AZ292:AZ298)*$AZ$2+SUM(AT292:AT298)*$AT$2+SUM(AU292:AU298)*$AU$2+SUM(AV292:AV298)*$AV$2)/SUM(AM292:AZ298),0)</f>
        <v>0</v>
      </c>
      <c r="BF292" s="507" t="e">
        <f t="shared" si="150"/>
        <v>#VALUE!</v>
      </c>
      <c r="BG292" s="277">
        <f>IF(SUM(L292:L298)&gt;0,A292,IF(SUM(V292:V298)&gt;0,A292,BG285))</f>
        <v>0</v>
      </c>
      <c r="BH292" s="1018">
        <f t="shared" si="151"/>
        <v>0</v>
      </c>
    </row>
    <row r="293" spans="1:60" ht="15" customHeight="1" x14ac:dyDescent="0.3">
      <c r="A293" s="2033"/>
      <c r="B293" s="287" t="str">
        <f t="shared" si="152"/>
        <v/>
      </c>
      <c r="C293" s="288" t="str">
        <f t="shared" si="147"/>
        <v/>
      </c>
      <c r="D293" s="691"/>
      <c r="E293" s="692"/>
      <c r="F293" s="693"/>
      <c r="G293" s="694"/>
      <c r="H293" s="695"/>
      <c r="I293" s="289">
        <f>I292-SUM($D293:F293)</f>
        <v>0</v>
      </c>
      <c r="J293" s="1234" t="str">
        <f>$J$6</f>
        <v>% Sel Sem :</v>
      </c>
      <c r="K293" s="1231">
        <f>IF(PROD!$K$2&gt;0,SUM(E292:E298)/PROD!$K$2,0)</f>
        <v>0</v>
      </c>
      <c r="L293" s="1246"/>
      <c r="M293" s="291">
        <f t="shared" si="169"/>
        <v>0</v>
      </c>
      <c r="N293" s="292" t="str">
        <f>$N$6</f>
        <v xml:space="preserve">H. Ave Alojada : </v>
      </c>
      <c r="O293" s="293">
        <f>IF(AND(PROD!$K$2&gt;0,O292&gt;0),SUM(L$5:L298)/PROD!$K$2,0)</f>
        <v>0</v>
      </c>
      <c r="P293" s="293">
        <f>IFERROR(LOOKUP($A292,TP!$A$6:$A$108,GSh!$AJ$6:$AJ$108),0)</f>
        <v>0</v>
      </c>
      <c r="Q293" s="294">
        <f>IF(AND(P293&gt;0,O293&gt;0),O293-P293,0)</f>
        <v>0</v>
      </c>
      <c r="R293" s="699"/>
      <c r="S293" s="762"/>
      <c r="T293" s="765">
        <f t="shared" si="158"/>
        <v>0</v>
      </c>
      <c r="U293" s="700"/>
      <c r="V293" s="701"/>
      <c r="W293" s="701"/>
      <c r="X293" s="295">
        <f t="shared" si="153"/>
        <v>0</v>
      </c>
      <c r="Y293" s="296">
        <f>IF(AA293&gt;0,V293,AE292/IF(Iniciar!$C$25="B X 40 K",40,IF(Iniciar!$C$25="B X 50 K",50,1))*I293/1000)</f>
        <v>0</v>
      </c>
      <c r="Z293" s="296">
        <f t="shared" si="154"/>
        <v>0</v>
      </c>
      <c r="AA293" s="297">
        <f t="shared" si="170"/>
        <v>0</v>
      </c>
      <c r="AB293" s="297">
        <f t="shared" si="148"/>
        <v>0</v>
      </c>
      <c r="AC293" s="1267" t="str">
        <f>$AC$6</f>
        <v>Gr. Ave Sem :</v>
      </c>
      <c r="AD293" s="284">
        <f>AD292*7</f>
        <v>0</v>
      </c>
      <c r="AE293" s="284">
        <f>AE292*7</f>
        <v>0</v>
      </c>
      <c r="AF293" s="285">
        <f>IF(AND(AE293&gt;0,AD293&gt;0),(AD293/AE293-1)*100,0)</f>
        <v>0</v>
      </c>
      <c r="AG293" s="1199" t="str">
        <f>PROD!$AG$6</f>
        <v>Gr X H Acm</v>
      </c>
      <c r="AH293" s="298">
        <f>IF(SUM(PROD!L292:L298)&gt;0,IF(PROD!$AG$5="Gr X H",SUM(PROD!V$5:V298)*PROD!$A$1/SUM(PROD!L$5:L298),IF($AG292="Conv Kg/Doc",(SUM(PROD!V$5:V298)*PROD!$A$1/1000)/(SUM(PROD!L$5:L298)/12),IF(PROD!$O294&gt;0,SUM(PROD!V$5:V298)*PROD!$A$1/(SUM(PROD!L$5:L298)*LOOKUP(PROD!A292,TP!$A$6:$A$108,GSh!$BB$6:$BB$108)),0))),0)</f>
        <v>0</v>
      </c>
      <c r="AI293" s="298">
        <f>IF(PROD!P292&gt;0,IF($AG292="Gr X H",PROD!AE292/PROD!P292*100,IF($AG292="Conv Kg/Doc",PROD!AE292/PROD!P292*1.2,IF(PROD!$P293&gt;0,PROD!AE294/(PROD!P293*LOOKUP(PROD!$A292,TP!$A$6:$A$108,GSh!$BC$6:$BC$108)/1000),0))),0)</f>
        <v>0</v>
      </c>
      <c r="AJ293" s="328">
        <f t="shared" si="168"/>
        <v>0</v>
      </c>
      <c r="AK293" s="2027"/>
      <c r="AL293" s="1284">
        <f t="shared" si="149"/>
        <v>0</v>
      </c>
      <c r="AM293" s="1285"/>
      <c r="AN293" s="1285"/>
      <c r="AO293" s="1285"/>
      <c r="AP293" s="1285"/>
      <c r="AQ293" s="1285"/>
      <c r="AR293" s="1285"/>
      <c r="AS293" s="1286"/>
      <c r="AT293" s="1287"/>
      <c r="AU293" s="1288"/>
      <c r="AV293" s="1289"/>
      <c r="AW293" s="1290"/>
      <c r="AX293" s="1291"/>
      <c r="AY293" s="1291"/>
      <c r="AZ293" s="1292"/>
      <c r="BA293" s="1293"/>
      <c r="BB293" s="1294"/>
      <c r="BC293" s="1295"/>
      <c r="BD293" s="1296">
        <f>BD292+PROD!L293-BA293</f>
        <v>0</v>
      </c>
      <c r="BE293" s="2133"/>
      <c r="BF293" s="507" t="e">
        <f t="shared" si="150"/>
        <v>#VALUE!</v>
      </c>
      <c r="BG293" s="329"/>
      <c r="BH293" s="1018">
        <f t="shared" si="151"/>
        <v>0</v>
      </c>
    </row>
    <row r="294" spans="1:60" ht="15" customHeight="1" x14ac:dyDescent="0.3">
      <c r="A294" s="2033"/>
      <c r="B294" s="287" t="str">
        <f t="shared" si="152"/>
        <v/>
      </c>
      <c r="C294" s="288" t="str">
        <f t="shared" si="147"/>
        <v/>
      </c>
      <c r="D294" s="691"/>
      <c r="E294" s="692"/>
      <c r="F294" s="693"/>
      <c r="G294" s="694"/>
      <c r="H294" s="695"/>
      <c r="I294" s="289">
        <f>I293-SUM($D294:F294)</f>
        <v>0</v>
      </c>
      <c r="J294" s="1235" t="str">
        <f>$J$7</f>
        <v>% Mort/Sel Sem Tab :</v>
      </c>
      <c r="K294" s="1236">
        <f>K297-K290</f>
        <v>0</v>
      </c>
      <c r="L294" s="1246"/>
      <c r="M294" s="291">
        <f t="shared" si="169"/>
        <v>0</v>
      </c>
      <c r="N294" s="304" t="str">
        <f>$N$7</f>
        <v xml:space="preserve">Peso Huevo (Gr) : </v>
      </c>
      <c r="O294" s="305">
        <f>LOOKUP($A292,'Pr-Sem'!$A$6:$A$108,'Pr-Sem'!$Z$6:$Z$108)</f>
        <v>0</v>
      </c>
      <c r="P294" s="305">
        <f>IFERROR(LOOKUP($A292,TP!$A$6:$A$108,GSh!$AZ$6:$AZ$108),0)</f>
        <v>0</v>
      </c>
      <c r="Q294" s="306">
        <f>IF(AND(P294&gt;0,O294&gt;0),O294-P294,0)</f>
        <v>0</v>
      </c>
      <c r="R294" s="699"/>
      <c r="S294" s="762"/>
      <c r="T294" s="765">
        <f t="shared" si="158"/>
        <v>0</v>
      </c>
      <c r="U294" s="700"/>
      <c r="V294" s="701"/>
      <c r="W294" s="701"/>
      <c r="X294" s="295">
        <f t="shared" si="153"/>
        <v>0</v>
      </c>
      <c r="Y294" s="296">
        <f>IF(AA294&gt;0,V294,AE292/IF(Iniciar!$C$25="B X 40 K",40,IF(Iniciar!$C$25="B X 50 K",50,1))*I294/1000)</f>
        <v>0</v>
      </c>
      <c r="Z294" s="296">
        <f t="shared" si="154"/>
        <v>0</v>
      </c>
      <c r="AA294" s="297">
        <f t="shared" si="170"/>
        <v>0</v>
      </c>
      <c r="AB294" s="297">
        <f t="shared" si="148"/>
        <v>0</v>
      </c>
      <c r="AC294" s="1268" t="str">
        <f>$AC$7</f>
        <v>Kg Ave Acu :</v>
      </c>
      <c r="AD294" s="308">
        <f>IF(OR(SUM(L292:L298)&gt;0,SUM(V292:V298)&gt;0),AD293/1000+AD287,0)</f>
        <v>0</v>
      </c>
      <c r="AE294" s="309">
        <f>AE293/1000+AE287</f>
        <v>0</v>
      </c>
      <c r="AF294" s="310">
        <f>IF(AND(AE294&gt;0,AD294&gt;0),(AD294/AE294-1)*100,0)</f>
        <v>0</v>
      </c>
      <c r="AG294" s="311" t="str">
        <f>PROD!$AG$7</f>
        <v xml:space="preserve">Masa Sem H (Gr) : </v>
      </c>
      <c r="AH294" s="312">
        <f>PROD!O292/100*7*PROD!O294</f>
        <v>0</v>
      </c>
      <c r="AI294" s="312">
        <f>PROD!P292/100*7*PROD!P294</f>
        <v>0</v>
      </c>
      <c r="AJ294" s="313">
        <f t="shared" si="168"/>
        <v>0</v>
      </c>
      <c r="AK294" s="2027"/>
      <c r="AL294" s="1284">
        <f t="shared" si="149"/>
        <v>0</v>
      </c>
      <c r="AM294" s="1285"/>
      <c r="AN294" s="1285"/>
      <c r="AO294" s="1285"/>
      <c r="AP294" s="1285"/>
      <c r="AQ294" s="1285"/>
      <c r="AR294" s="1285"/>
      <c r="AS294" s="1286"/>
      <c r="AT294" s="1287"/>
      <c r="AU294" s="1288"/>
      <c r="AV294" s="1289"/>
      <c r="AW294" s="1290"/>
      <c r="AX294" s="1291"/>
      <c r="AY294" s="1291"/>
      <c r="AZ294" s="1292"/>
      <c r="BA294" s="1293"/>
      <c r="BB294" s="1294"/>
      <c r="BC294" s="1295"/>
      <c r="BD294" s="1296">
        <f>BD293+PROD!L294-BA294</f>
        <v>0</v>
      </c>
      <c r="BE294" s="2133"/>
      <c r="BF294" s="507" t="e">
        <f t="shared" si="150"/>
        <v>#VALUE!</v>
      </c>
      <c r="BG294" s="329"/>
      <c r="BH294" s="1018">
        <f t="shared" si="151"/>
        <v>0</v>
      </c>
    </row>
    <row r="295" spans="1:60" ht="15" customHeight="1" x14ac:dyDescent="0.3">
      <c r="A295" s="2033"/>
      <c r="B295" s="287" t="str">
        <f t="shared" si="152"/>
        <v/>
      </c>
      <c r="C295" s="288" t="str">
        <f t="shared" si="147"/>
        <v/>
      </c>
      <c r="D295" s="691"/>
      <c r="E295" s="692"/>
      <c r="F295" s="693"/>
      <c r="G295" s="694"/>
      <c r="H295" s="695"/>
      <c r="I295" s="289">
        <f>I294-SUM($D295:F295)</f>
        <v>0</v>
      </c>
      <c r="J295" s="1234" t="str">
        <f>$J$8</f>
        <v>% Mort Acm :</v>
      </c>
      <c r="K295" s="1231">
        <f>IF(PROD!$K$2&gt;0,SUM(D$5:D298)/PROD!$K$2,0)</f>
        <v>0</v>
      </c>
      <c r="L295" s="1246"/>
      <c r="M295" s="291">
        <f t="shared" si="169"/>
        <v>0</v>
      </c>
      <c r="N295" s="314" t="str">
        <f>N$8</f>
        <v xml:space="preserve">Peso Ave (Gr) : </v>
      </c>
      <c r="O295" s="315">
        <f>LOOKUP($A292,GSh!$BV$6:$BV$108,GSh!$BJ$6:$BJ$108)</f>
        <v>0</v>
      </c>
      <c r="P295" s="315">
        <f>IFERROR(LOOKUP($A292,TP!$A$6:$A$108,GSh!$BK$6:$BK$108),0)</f>
        <v>0</v>
      </c>
      <c r="Q295" s="316">
        <f>IF(AND(P295&gt;0,O295&gt;0),(O295/P295-1)*100,0)</f>
        <v>0</v>
      </c>
      <c r="R295" s="699"/>
      <c r="S295" s="762"/>
      <c r="T295" s="765">
        <f t="shared" si="158"/>
        <v>0</v>
      </c>
      <c r="U295" s="700"/>
      <c r="V295" s="701"/>
      <c r="W295" s="701"/>
      <c r="X295" s="295">
        <f t="shared" si="153"/>
        <v>0</v>
      </c>
      <c r="Y295" s="296">
        <f>IF(AA295&gt;0,V295,AE292/IF(Iniciar!$C$25="B X 40 K",40,IF(Iniciar!$C$25="B X 50 K",50,1))*I295/1000)</f>
        <v>0</v>
      </c>
      <c r="Z295" s="296">
        <f t="shared" si="154"/>
        <v>0</v>
      </c>
      <c r="AA295" s="297">
        <f t="shared" si="170"/>
        <v>0</v>
      </c>
      <c r="AB295" s="297">
        <f t="shared" si="148"/>
        <v>0</v>
      </c>
      <c r="AC295" s="541" t="str">
        <f>$AC$8</f>
        <v xml:space="preserve">Ton. Lote Acu : </v>
      </c>
      <c r="AD295" s="544">
        <f>SUM($V$5:$V298)*$A$1/1000000</f>
        <v>0</v>
      </c>
      <c r="AE295" s="543">
        <f>AE288+(AE292/1000000*7*(I292+I298)/2)</f>
        <v>0</v>
      </c>
      <c r="AF295" s="542">
        <f>IF(AND(AE295&gt;0,AD295&gt;0),(AD295/AE295-1)*100,0)</f>
        <v>0</v>
      </c>
      <c r="AG295" s="317" t="str">
        <f>PROD!$AG$8</f>
        <v xml:space="preserve">Masa Ac A. A (Kg) : </v>
      </c>
      <c r="AH295" s="318">
        <f>IF(PROD!$K$2&gt;0,SUM(PROD!L$5:L298)*LOOKUP(PROD!$A292,TP!$A$6:$A$108,GSh!$BB$6:$BB$108)/1000/PROD!$K$2,0)</f>
        <v>0</v>
      </c>
      <c r="AI295" s="318">
        <f>IFERROR(PROD!P293*LOOKUP(PROD!$A292,TP!$A$6:$A$108,GSh!$BC$6:$BC$108)/1000,0)</f>
        <v>0</v>
      </c>
      <c r="AJ295" s="330">
        <f t="shared" si="168"/>
        <v>0</v>
      </c>
      <c r="AK295" s="2027"/>
      <c r="AL295" s="1284">
        <f t="shared" si="149"/>
        <v>0</v>
      </c>
      <c r="AM295" s="1285"/>
      <c r="AN295" s="1285"/>
      <c r="AO295" s="1285"/>
      <c r="AP295" s="1285"/>
      <c r="AQ295" s="1285"/>
      <c r="AR295" s="1285"/>
      <c r="AS295" s="1286"/>
      <c r="AT295" s="1287"/>
      <c r="AU295" s="1288"/>
      <c r="AV295" s="1289"/>
      <c r="AW295" s="1290"/>
      <c r="AX295" s="1291"/>
      <c r="AY295" s="1291"/>
      <c r="AZ295" s="1292"/>
      <c r="BA295" s="1293"/>
      <c r="BB295" s="1294"/>
      <c r="BC295" s="1295"/>
      <c r="BD295" s="1296">
        <f>BD294+PROD!L295-BA295</f>
        <v>0</v>
      </c>
      <c r="BE295" s="2133"/>
      <c r="BF295" s="507" t="e">
        <f t="shared" si="150"/>
        <v>#VALUE!</v>
      </c>
      <c r="BG295" s="329"/>
      <c r="BH295" s="1018">
        <f t="shared" si="151"/>
        <v>0</v>
      </c>
    </row>
    <row r="296" spans="1:60" ht="15" customHeight="1" x14ac:dyDescent="0.3">
      <c r="A296" s="2033"/>
      <c r="B296" s="287" t="str">
        <f t="shared" si="152"/>
        <v/>
      </c>
      <c r="C296" s="288" t="str">
        <f t="shared" si="147"/>
        <v/>
      </c>
      <c r="D296" s="691"/>
      <c r="E296" s="692"/>
      <c r="F296" s="693"/>
      <c r="G296" s="694"/>
      <c r="H296" s="695"/>
      <c r="I296" s="289">
        <f>I295-SUM($D296:F296)</f>
        <v>0</v>
      </c>
      <c r="J296" s="1234" t="str">
        <f>$J$9</f>
        <v>% Sel Acm :</v>
      </c>
      <c r="K296" s="1231">
        <f>IF(PROD!$K$2&gt;0,SUM(E$5:E298)/PROD!$K$2,0)</f>
        <v>0</v>
      </c>
      <c r="L296" s="1246"/>
      <c r="M296" s="291">
        <f t="shared" si="169"/>
        <v>0</v>
      </c>
      <c r="N296" s="292" t="str">
        <f>$N$9</f>
        <v xml:space="preserve">Uniformidad (10% -) : </v>
      </c>
      <c r="O296" s="320">
        <f>LOOKUP($A292,'Pr-Sem'!$A$6:$A$108,'Pr-Sem'!$AH$6:$AH$108)</f>
        <v>0</v>
      </c>
      <c r="P296" s="320">
        <v>5</v>
      </c>
      <c r="Q296" s="321">
        <f>IF(AND(P296&gt;0,O296&gt;0),(1-O296/P296)*100,0)</f>
        <v>0</v>
      </c>
      <c r="R296" s="699"/>
      <c r="S296" s="762"/>
      <c r="T296" s="765">
        <f t="shared" si="158"/>
        <v>0</v>
      </c>
      <c r="U296" s="700"/>
      <c r="V296" s="701"/>
      <c r="W296" s="701"/>
      <c r="X296" s="295">
        <f t="shared" si="153"/>
        <v>0</v>
      </c>
      <c r="Y296" s="296">
        <f>IF(AA296&gt;0,V296,AE292/IF(Iniciar!$C$25="B X 40 K",40,IF(Iniciar!$C$25="B X 50 K",50,1))*I296/1000)</f>
        <v>0</v>
      </c>
      <c r="Z296" s="296">
        <f t="shared" si="154"/>
        <v>0</v>
      </c>
      <c r="AA296" s="297">
        <f t="shared" si="170"/>
        <v>0</v>
      </c>
      <c r="AB296" s="297">
        <f t="shared" si="148"/>
        <v>0</v>
      </c>
      <c r="AC296" s="2035" t="str">
        <f>$AC$9</f>
        <v xml:space="preserve">Total Litros Sem: </v>
      </c>
      <c r="AD296" s="2036"/>
      <c r="AE296" s="2050">
        <f>SUM(R292:R298)</f>
        <v>0</v>
      </c>
      <c r="AF296" s="2051"/>
      <c r="AG296" s="554" t="str">
        <f>$AG$9</f>
        <v xml:space="preserve">Indicador Eficiencia : </v>
      </c>
      <c r="AH296" s="555">
        <f>IF(AND(AE296&gt;0,O293&gt;0,O294&gt;0,SUM(L292:L298)&gt;0),(PROD!AH295/O293)*K298*100/(AE296/(SUM(L292:L298)*O294/1000)),0)</f>
        <v>0</v>
      </c>
      <c r="AI296" s="555">
        <f>IF(AND(P293&gt;0,PROD!AI294&gt;0),(PROD!AI295/P293)*(1-K297)*100/(AE293/PROD!AI294),0)</f>
        <v>0</v>
      </c>
      <c r="AJ296" s="331">
        <f t="shared" si="168"/>
        <v>0</v>
      </c>
      <c r="AK296" s="2027"/>
      <c r="AL296" s="1284">
        <f t="shared" si="149"/>
        <v>0</v>
      </c>
      <c r="AM296" s="1285"/>
      <c r="AN296" s="1285"/>
      <c r="AO296" s="1285"/>
      <c r="AP296" s="1285"/>
      <c r="AQ296" s="1285"/>
      <c r="AR296" s="1285"/>
      <c r="AS296" s="1286"/>
      <c r="AT296" s="1287"/>
      <c r="AU296" s="1288"/>
      <c r="AV296" s="1289"/>
      <c r="AW296" s="1290"/>
      <c r="AX296" s="1291"/>
      <c r="AY296" s="1291"/>
      <c r="AZ296" s="1292"/>
      <c r="BA296" s="1293"/>
      <c r="BB296" s="1294"/>
      <c r="BC296" s="1295"/>
      <c r="BD296" s="1296">
        <f>BD295+PROD!L296-BA296</f>
        <v>0</v>
      </c>
      <c r="BE296" s="2133"/>
      <c r="BF296" s="507" t="e">
        <f t="shared" si="150"/>
        <v>#VALUE!</v>
      </c>
      <c r="BG296" s="329"/>
      <c r="BH296" s="1018">
        <f t="shared" si="151"/>
        <v>0</v>
      </c>
    </row>
    <row r="297" spans="1:60" ht="15" customHeight="1" x14ac:dyDescent="0.3">
      <c r="A297" s="2033"/>
      <c r="B297" s="287" t="str">
        <f t="shared" si="152"/>
        <v/>
      </c>
      <c r="C297" s="288" t="str">
        <f t="shared" si="147"/>
        <v/>
      </c>
      <c r="D297" s="691"/>
      <c r="E297" s="692"/>
      <c r="F297" s="693"/>
      <c r="G297" s="694"/>
      <c r="H297" s="695"/>
      <c r="I297" s="289">
        <f>I296-SUM($D297:F297)</f>
        <v>0</v>
      </c>
      <c r="J297" s="1237" t="str">
        <f>$J$10</f>
        <v>% Mort/Sel Acm Tab :</v>
      </c>
      <c r="K297" s="1238">
        <f>IFERROR(LOOKUP($A292,TP!$A$6:$A$108,GSh!$AR$6:$AR$108)/100,0)</f>
        <v>0</v>
      </c>
      <c r="L297" s="1246"/>
      <c r="M297" s="291">
        <f t="shared" si="169"/>
        <v>0</v>
      </c>
      <c r="N297" s="292" t="str">
        <f>$N$10</f>
        <v xml:space="preserve">Uniformidad (C. Lote) : </v>
      </c>
      <c r="O297" s="320">
        <f>LOOKUP($A292,'Pr-Sem'!$A$6:$A$108,'Pr-Sem'!$AG$6:$AG$108)</f>
        <v>0</v>
      </c>
      <c r="P297" s="320">
        <v>90</v>
      </c>
      <c r="Q297" s="321">
        <f>IF(AND(P297&gt;0,O297&gt;0),(O297/P297-1)*100,0)</f>
        <v>0</v>
      </c>
      <c r="R297" s="699"/>
      <c r="S297" s="762"/>
      <c r="T297" s="765">
        <f t="shared" si="158"/>
        <v>0</v>
      </c>
      <c r="U297" s="700"/>
      <c r="V297" s="701"/>
      <c r="W297" s="701"/>
      <c r="X297" s="295">
        <f t="shared" si="153"/>
        <v>0</v>
      </c>
      <c r="Y297" s="296">
        <f>IF(AA297&gt;0,V297,AE292/IF(Iniciar!$C$25="B X 40 K",40,IF(Iniciar!$C$25="B X 50 K",50,1))*I297/1000)</f>
        <v>0</v>
      </c>
      <c r="Z297" s="296">
        <f t="shared" si="154"/>
        <v>0</v>
      </c>
      <c r="AA297" s="297">
        <f t="shared" si="170"/>
        <v>0</v>
      </c>
      <c r="AB297" s="297">
        <f t="shared" si="148"/>
        <v>0</v>
      </c>
      <c r="AC297" s="2037" t="str">
        <f>$AC$10</f>
        <v xml:space="preserve">Cons ml /ave día: </v>
      </c>
      <c r="AD297" s="2038"/>
      <c r="AE297" s="2056">
        <f>IFERROR(SUMPRODUCT(AB292:AB298,I292:I298)/SUM(I292:I298),0)</f>
        <v>0</v>
      </c>
      <c r="AF297" s="2057"/>
      <c r="AG297" s="311" t="str">
        <f>CONCATENATE("Costo ",Iniciar!$C$25," : ")</f>
        <v xml:space="preserve">Costo Kilos : </v>
      </c>
      <c r="AH297" s="2043">
        <f>IFERROR(SUMPRODUCT(T292:T298,V292:V298)/SUMIF(T292:T298,"&gt;0",V292:V298),0)</f>
        <v>0</v>
      </c>
      <c r="AI297" s="2043"/>
      <c r="AJ297" s="313"/>
      <c r="AK297" s="2027"/>
      <c r="AL297" s="1284">
        <f t="shared" si="149"/>
        <v>0</v>
      </c>
      <c r="AM297" s="1285"/>
      <c r="AN297" s="1285"/>
      <c r="AO297" s="1285"/>
      <c r="AP297" s="1285"/>
      <c r="AQ297" s="1285"/>
      <c r="AR297" s="1285"/>
      <c r="AS297" s="1286"/>
      <c r="AT297" s="1287"/>
      <c r="AU297" s="1288"/>
      <c r="AV297" s="1289"/>
      <c r="AW297" s="1290"/>
      <c r="AX297" s="1291"/>
      <c r="AY297" s="1291"/>
      <c r="AZ297" s="1292"/>
      <c r="BA297" s="1293"/>
      <c r="BB297" s="1294"/>
      <c r="BC297" s="1295"/>
      <c r="BD297" s="1296">
        <f>BD296+PROD!L297-BA297</f>
        <v>0</v>
      </c>
      <c r="BE297" s="2133"/>
      <c r="BF297" s="507" t="e">
        <f t="shared" si="150"/>
        <v>#VALUE!</v>
      </c>
      <c r="BG297" s="329"/>
      <c r="BH297" s="1018">
        <f t="shared" si="151"/>
        <v>0</v>
      </c>
    </row>
    <row r="298" spans="1:60" ht="15" customHeight="1" x14ac:dyDescent="0.3">
      <c r="A298" s="2034"/>
      <c r="B298" s="287" t="str">
        <f t="shared" si="152"/>
        <v/>
      </c>
      <c r="C298" s="288" t="str">
        <f t="shared" si="147"/>
        <v/>
      </c>
      <c r="D298" s="691"/>
      <c r="E298" s="692"/>
      <c r="F298" s="693"/>
      <c r="G298" s="694"/>
      <c r="H298" s="695"/>
      <c r="I298" s="289">
        <f>I297-SUM($D298:F298)</f>
        <v>0</v>
      </c>
      <c r="J298" s="1239" t="str">
        <f>$J$11</f>
        <v>% Viabilidad :</v>
      </c>
      <c r="K298" s="1240">
        <f>IF(OR(SUM(L292:L298)&gt;0,SUM(V292:V298)&gt;0),1-(K295+K296),0)</f>
        <v>0</v>
      </c>
      <c r="L298" s="1247"/>
      <c r="M298" s="1248">
        <f>IF(I298&gt;0,(L298/IF(SUM(L292:L297)&gt;0,1,7))/I298,0)</f>
        <v>0</v>
      </c>
      <c r="N298" s="1249" t="str">
        <f>$N$11</f>
        <v xml:space="preserve">Uniformidad (10% +) : </v>
      </c>
      <c r="O298" s="1250">
        <f>IF(O296&gt;0,IF(O297&gt;0,100-SUM(O296:O297),0),0)</f>
        <v>0</v>
      </c>
      <c r="P298" s="1251">
        <f>100-SUM(P296:P297)</f>
        <v>5</v>
      </c>
      <c r="Q298" s="1252">
        <f>IF(AND(P298&gt;0,O298&gt;0),(O298/P298-1)*100,0)</f>
        <v>0</v>
      </c>
      <c r="R298" s="699"/>
      <c r="S298" s="762"/>
      <c r="T298" s="765">
        <f t="shared" si="158"/>
        <v>0</v>
      </c>
      <c r="U298" s="700"/>
      <c r="V298" s="701"/>
      <c r="W298" s="701"/>
      <c r="X298" s="295">
        <f t="shared" si="153"/>
        <v>0</v>
      </c>
      <c r="Y298" s="296">
        <f>IF(AA298&gt;0,V298,AE292/IF(Iniciar!$C$25="B X 40 K",40,IF(Iniciar!$C$25="B X 50 K",50,1))*I298/1000)</f>
        <v>0</v>
      </c>
      <c r="Z298" s="296">
        <f t="shared" si="154"/>
        <v>0</v>
      </c>
      <c r="AA298" s="297">
        <f>IF(I298&gt;0,(V298/IF(SUM(V292:V297)&gt;0,1,7))*$A$1/I298,0)</f>
        <v>0</v>
      </c>
      <c r="AB298" s="297">
        <f t="shared" si="148"/>
        <v>0</v>
      </c>
      <c r="AC298" s="2039" t="str">
        <f>$AC$11</f>
        <v xml:space="preserve">Relación Agua /Alimto: </v>
      </c>
      <c r="AD298" s="2040"/>
      <c r="AE298" s="2058">
        <f>IFERROR(AE297/AD292,0)</f>
        <v>0</v>
      </c>
      <c r="AF298" s="2059"/>
      <c r="AG298" s="1269" t="s">
        <v>237</v>
      </c>
      <c r="AH298" s="1270">
        <f>IF(SUM(L292:L298)&gt;0,AH297*SUM(V292:V298)/SUM(L292:L298),0)</f>
        <v>0</v>
      </c>
      <c r="AI298" s="1270">
        <f>IF(AND($A$1&gt;0,P292&gt;0),AH297/$A$1*(AE292/P292)*100,0)</f>
        <v>0</v>
      </c>
      <c r="AJ298" s="1271">
        <f t="shared" ref="AJ298:AJ303" si="171">IF(AND(AI298&gt;0,AH298&gt;0),(AH298/AI298-1)*100,0)</f>
        <v>0</v>
      </c>
      <c r="AK298" s="2028"/>
      <c r="AL298" s="1284">
        <f t="shared" si="149"/>
        <v>0</v>
      </c>
      <c r="AM298" s="1285"/>
      <c r="AN298" s="1285"/>
      <c r="AO298" s="1285"/>
      <c r="AP298" s="1285"/>
      <c r="AQ298" s="1285"/>
      <c r="AR298" s="1285"/>
      <c r="AS298" s="1286"/>
      <c r="AT298" s="1287"/>
      <c r="AU298" s="1288"/>
      <c r="AV298" s="1289"/>
      <c r="AW298" s="1290"/>
      <c r="AX298" s="1291"/>
      <c r="AY298" s="1291"/>
      <c r="AZ298" s="1292"/>
      <c r="BA298" s="1293"/>
      <c r="BB298" s="1294"/>
      <c r="BC298" s="1295"/>
      <c r="BD298" s="1296">
        <f>BD297+PROD!L298-BA298</f>
        <v>0</v>
      </c>
      <c r="BE298" s="2134"/>
      <c r="BF298" s="507" t="e">
        <f t="shared" si="150"/>
        <v>#VALUE!</v>
      </c>
      <c r="BG298" s="329"/>
      <c r="BH298" s="1018">
        <f t="shared" si="151"/>
        <v>0</v>
      </c>
    </row>
    <row r="299" spans="1:60" ht="15" customHeight="1" x14ac:dyDescent="0.3">
      <c r="A299" s="2032">
        <f>A292+1</f>
        <v>60</v>
      </c>
      <c r="B299" s="287" t="str">
        <f t="shared" si="152"/>
        <v/>
      </c>
      <c r="C299" s="288" t="str">
        <f t="shared" si="147"/>
        <v/>
      </c>
      <c r="D299" s="691"/>
      <c r="E299" s="692"/>
      <c r="F299" s="693"/>
      <c r="G299" s="694"/>
      <c r="H299" s="695"/>
      <c r="I299" s="289">
        <f>I298-SUM($D299:F299)</f>
        <v>0</v>
      </c>
      <c r="J299" s="1232" t="str">
        <f>$J$5</f>
        <v>% Mort Sem :</v>
      </c>
      <c r="K299" s="1233">
        <f>IF(PROD!$K$2&gt;0,SUM(D299:D305)/PROD!$K$2,0)</f>
        <v>0</v>
      </c>
      <c r="L299" s="1241"/>
      <c r="M299" s="1242">
        <f t="shared" ref="M299:M304" si="172">IF(I299&gt;0,L299/I299,0)</f>
        <v>0</v>
      </c>
      <c r="N299" s="1243" t="str">
        <f>$N$5</f>
        <v xml:space="preserve">% Pdn prom semana : </v>
      </c>
      <c r="O299" s="1244">
        <f>IF(SUM(L299:L304)&gt;0,100*SUMPRODUCT(M299:M305,I299:I305)/SUMIF(L299:L305,"&gt;0",I299:I305),IF(L305&gt;0,100*L305/7/I305,0))</f>
        <v>0</v>
      </c>
      <c r="P299" s="1244">
        <f>IFERROR(LOOKUP($A299,TP!$A$6:$A$108,GSh!$AE$6:$AE$108),0)</f>
        <v>0</v>
      </c>
      <c r="Q299" s="1245">
        <f>IF(AND(P299&gt;0,O299&gt;0),O299-P299,0)</f>
        <v>0</v>
      </c>
      <c r="R299" s="699"/>
      <c r="S299" s="762"/>
      <c r="T299" s="765">
        <f t="shared" si="158"/>
        <v>0</v>
      </c>
      <c r="U299" s="700"/>
      <c r="V299" s="701"/>
      <c r="W299" s="701"/>
      <c r="X299" s="295">
        <f t="shared" si="153"/>
        <v>0</v>
      </c>
      <c r="Y299" s="296">
        <f>IF(AA299&gt;0,V299,AE299/IF(Iniciar!$C$25="B X 40 K",40,IF(Iniciar!$C$25="B X 50 K",50,1))*I299/1000)</f>
        <v>0</v>
      </c>
      <c r="Z299" s="296">
        <f t="shared" si="154"/>
        <v>0</v>
      </c>
      <c r="AA299" s="297">
        <f t="shared" ref="AA299:AA304" si="173">IF(I299&gt;0,V299*$A$1/I299,0)</f>
        <v>0</v>
      </c>
      <c r="AB299" s="297">
        <f t="shared" si="148"/>
        <v>0</v>
      </c>
      <c r="AC299" s="1261" t="str">
        <f>$AC$5</f>
        <v>Gr. Ave Dia :</v>
      </c>
      <c r="AD299" s="1262">
        <f>IF(SUMIF(V299:V305,"&gt;0")&gt;0,SUMPRODUCT(AA299:AA305,I299:I305)/SUMIF(AA299:AA305,"&gt;0",I299:I305),0)</f>
        <v>0</v>
      </c>
      <c r="AE299" s="1262">
        <f>IFERROR(LOOKUP($A299,TP!$A$6:$A$108,GSh!$AU$6:$AU$108),0)</f>
        <v>0</v>
      </c>
      <c r="AF299" s="1263">
        <f>IF(AND(AE299&gt;0,AD299&gt;0),(AD299/AE299-1)*100,0)</f>
        <v>0</v>
      </c>
      <c r="AG299" s="1264" t="str">
        <f>PROD!$AG$5</f>
        <v>Gr X H</v>
      </c>
      <c r="AH299" s="1265">
        <f>IF(PROD!O299&gt;0,IF($AG299="Gr X H",PROD!AD299/PROD!O299*100,IF($AG299="Conv Kg/Doc",PROD!AD299/PROD!O299*1.2,IF(PROD!$O301&gt;0,PROD!AD299/(PROD!O299*PROD!$O301)*100,0))),0)</f>
        <v>0</v>
      </c>
      <c r="AI299" s="1265">
        <f>IF(PROD!P299&gt;0,IF($AG299="Gr X H",PROD!AE299/PROD!P299*100,IF($AG299="Conv Kg/Doc",PROD!AE299/PROD!P299*1.2,IF(PROD!$P301&gt;0,PROD!AE299/(PROD!P299*PROD!$P301)*100,0))),0)</f>
        <v>0</v>
      </c>
      <c r="AJ299" s="1266">
        <f t="shared" si="171"/>
        <v>0</v>
      </c>
      <c r="AK299" s="2026"/>
      <c r="AL299" s="1284">
        <f t="shared" si="149"/>
        <v>0</v>
      </c>
      <c r="AM299" s="1285"/>
      <c r="AN299" s="1285"/>
      <c r="AO299" s="1285"/>
      <c r="AP299" s="1285"/>
      <c r="AQ299" s="1285"/>
      <c r="AR299" s="1285"/>
      <c r="AS299" s="1286"/>
      <c r="AT299" s="1287"/>
      <c r="AU299" s="1288"/>
      <c r="AV299" s="1289"/>
      <c r="AW299" s="1290"/>
      <c r="AX299" s="1291"/>
      <c r="AY299" s="1291"/>
      <c r="AZ299" s="1292"/>
      <c r="BA299" s="1293"/>
      <c r="BB299" s="1294"/>
      <c r="BC299" s="1295"/>
      <c r="BD299" s="1296">
        <f>BD298+PROD!L299-BA299</f>
        <v>0</v>
      </c>
      <c r="BE299" s="2132">
        <f>IF(SUM(AM299:AZ305)&gt;0,(SUM(AM299:AM305)*$AM$2+SUM(AN299:AN305)*$AN$2+SUM(AO299:AO305)*$AO$2+SUM(AP299:AP305)*$AP$2+SUM(AQ299:AQ305)*$AQ$2+SUM(AR299:AR305)*$AR$2+SUM(AS299:AS305)*$AS$2+SUM(AW299:AW305)*$AW$2+SUM(AX299:AX305)*$AX$2+SUM(AY299:AY305)*$AY$2+SUM(AZ299:AZ305)*$AZ$2+SUM(AT299:AT305)*$AT$2+SUM(AU299:AU305)*$AU$2+SUM(AV299:AV305)*$AV$2)/SUM(AM299:AZ305),0)</f>
        <v>0</v>
      </c>
      <c r="BF299" s="507" t="e">
        <f t="shared" si="150"/>
        <v>#VALUE!</v>
      </c>
      <c r="BG299" s="277">
        <f>IF(SUM(L299:L305)&gt;0,A299,IF(SUM(V299:V305)&gt;0,A299,BG292))</f>
        <v>0</v>
      </c>
      <c r="BH299" s="1018">
        <f t="shared" si="151"/>
        <v>0</v>
      </c>
    </row>
    <row r="300" spans="1:60" ht="15" customHeight="1" x14ac:dyDescent="0.3">
      <c r="A300" s="2033"/>
      <c r="B300" s="287" t="str">
        <f t="shared" si="152"/>
        <v/>
      </c>
      <c r="C300" s="288" t="str">
        <f t="shared" si="147"/>
        <v/>
      </c>
      <c r="D300" s="691"/>
      <c r="E300" s="692"/>
      <c r="F300" s="693"/>
      <c r="G300" s="694"/>
      <c r="H300" s="695"/>
      <c r="I300" s="289">
        <f>I299-SUM($D300:F300)</f>
        <v>0</v>
      </c>
      <c r="J300" s="1234" t="str">
        <f>$J$6</f>
        <v>% Sel Sem :</v>
      </c>
      <c r="K300" s="1231">
        <f>IF(PROD!$K$2&gt;0,SUM(E299:E305)/PROD!$K$2,0)</f>
        <v>0</v>
      </c>
      <c r="L300" s="1246"/>
      <c r="M300" s="291">
        <f t="shared" si="172"/>
        <v>0</v>
      </c>
      <c r="N300" s="292" t="str">
        <f>$N$6</f>
        <v xml:space="preserve">H. Ave Alojada : </v>
      </c>
      <c r="O300" s="293">
        <f>IF(AND(PROD!$K$2&gt;0,O299&gt;0),SUM(L$5:L305)/PROD!$K$2,0)</f>
        <v>0</v>
      </c>
      <c r="P300" s="293">
        <f>IFERROR(LOOKUP($A299,TP!$A$6:$A$108,GSh!$AJ$6:$AJ$108),0)</f>
        <v>0</v>
      </c>
      <c r="Q300" s="294">
        <f>IF(AND(P300&gt;0,O300&gt;0),O300-P300,0)</f>
        <v>0</v>
      </c>
      <c r="R300" s="699"/>
      <c r="S300" s="762"/>
      <c r="T300" s="765">
        <f t="shared" si="158"/>
        <v>0</v>
      </c>
      <c r="U300" s="700"/>
      <c r="V300" s="701"/>
      <c r="W300" s="701"/>
      <c r="X300" s="295">
        <f t="shared" si="153"/>
        <v>0</v>
      </c>
      <c r="Y300" s="296">
        <f>IF(AA300&gt;0,V300,AE299/IF(Iniciar!$C$25="B X 40 K",40,IF(Iniciar!$C$25="B X 50 K",50,1))*I300/1000)</f>
        <v>0</v>
      </c>
      <c r="Z300" s="296">
        <f t="shared" si="154"/>
        <v>0</v>
      </c>
      <c r="AA300" s="297">
        <f t="shared" si="173"/>
        <v>0</v>
      </c>
      <c r="AB300" s="297">
        <f t="shared" si="148"/>
        <v>0</v>
      </c>
      <c r="AC300" s="1267" t="str">
        <f>$AC$6</f>
        <v>Gr. Ave Sem :</v>
      </c>
      <c r="AD300" s="284">
        <f>AD299*7</f>
        <v>0</v>
      </c>
      <c r="AE300" s="284">
        <f>AE299*7</f>
        <v>0</v>
      </c>
      <c r="AF300" s="285">
        <f>IF(AND(AE300&gt;0,AD300&gt;0),(AD300/AE300-1)*100,0)</f>
        <v>0</v>
      </c>
      <c r="AG300" s="1199" t="str">
        <f>PROD!$AG$6</f>
        <v>Gr X H Acm</v>
      </c>
      <c r="AH300" s="298">
        <f>IF(SUM(PROD!L299:L305)&gt;0,IF(PROD!$AG$5="Gr X H",SUM(PROD!V$5:V305)*PROD!$A$1/SUM(PROD!L$5:L305),IF($AG299="Conv Kg/Doc",(SUM(PROD!V$5:V305)*PROD!$A$1/1000)/(SUM(PROD!L$5:L305)/12),IF(PROD!$O301&gt;0,SUM(PROD!V$5:V305)*PROD!$A$1/(SUM(PROD!L$5:L305)*LOOKUP(PROD!A299,TP!$A$6:$A$108,GSh!$BB$6:$BB$108)),0))),0)</f>
        <v>0</v>
      </c>
      <c r="AI300" s="298">
        <f>IF(PROD!P299&gt;0,IF($AG299="Gr X H",PROD!AE299/PROD!P299*100,IF($AG299="Conv Kg/Doc",PROD!AE299/PROD!P299*1.2,IF(PROD!$P300&gt;0,PROD!AE301/(PROD!P300*LOOKUP(PROD!$A299,TP!$A$6:$A$108,GSh!$BC$6:$BC$108)/1000),0))),0)</f>
        <v>0</v>
      </c>
      <c r="AJ300" s="328">
        <f t="shared" si="171"/>
        <v>0</v>
      </c>
      <c r="AK300" s="2027"/>
      <c r="AL300" s="1284">
        <f t="shared" si="149"/>
        <v>0</v>
      </c>
      <c r="AM300" s="1285"/>
      <c r="AN300" s="1285"/>
      <c r="AO300" s="1285"/>
      <c r="AP300" s="1285"/>
      <c r="AQ300" s="1285"/>
      <c r="AR300" s="1285"/>
      <c r="AS300" s="1286"/>
      <c r="AT300" s="1287"/>
      <c r="AU300" s="1288"/>
      <c r="AV300" s="1289"/>
      <c r="AW300" s="1290"/>
      <c r="AX300" s="1291"/>
      <c r="AY300" s="1291"/>
      <c r="AZ300" s="1292"/>
      <c r="BA300" s="1293"/>
      <c r="BB300" s="1294"/>
      <c r="BC300" s="1295"/>
      <c r="BD300" s="1296">
        <f>BD299+PROD!L300-BA300</f>
        <v>0</v>
      </c>
      <c r="BE300" s="2133"/>
      <c r="BF300" s="507" t="e">
        <f t="shared" si="150"/>
        <v>#VALUE!</v>
      </c>
      <c r="BG300" s="329"/>
      <c r="BH300" s="1018">
        <f t="shared" si="151"/>
        <v>0</v>
      </c>
    </row>
    <row r="301" spans="1:60" ht="15" customHeight="1" x14ac:dyDescent="0.3">
      <c r="A301" s="2033"/>
      <c r="B301" s="287" t="str">
        <f t="shared" si="152"/>
        <v/>
      </c>
      <c r="C301" s="288" t="str">
        <f t="shared" si="147"/>
        <v/>
      </c>
      <c r="D301" s="691"/>
      <c r="E301" s="692"/>
      <c r="F301" s="693"/>
      <c r="G301" s="694"/>
      <c r="H301" s="695"/>
      <c r="I301" s="289">
        <f>I300-SUM($D301:F301)</f>
        <v>0</v>
      </c>
      <c r="J301" s="1235" t="str">
        <f>$J$7</f>
        <v>% Mort/Sel Sem Tab :</v>
      </c>
      <c r="K301" s="1236">
        <f>K304-K297</f>
        <v>0</v>
      </c>
      <c r="L301" s="1246"/>
      <c r="M301" s="291">
        <f t="shared" si="172"/>
        <v>0</v>
      </c>
      <c r="N301" s="304" t="str">
        <f>$N$7</f>
        <v xml:space="preserve">Peso Huevo (Gr) : </v>
      </c>
      <c r="O301" s="305">
        <f>LOOKUP($A299,'Pr-Sem'!$A$6:$A$108,'Pr-Sem'!$Z$6:$Z$108)</f>
        <v>0</v>
      </c>
      <c r="P301" s="305">
        <f>IFERROR(LOOKUP($A299,TP!$A$6:$A$108,GSh!$AZ$6:$AZ$108),0)</f>
        <v>0</v>
      </c>
      <c r="Q301" s="306">
        <f>IF(AND(P301&gt;0,O301&gt;0),O301-P301,0)</f>
        <v>0</v>
      </c>
      <c r="R301" s="699"/>
      <c r="S301" s="762"/>
      <c r="T301" s="765">
        <f t="shared" si="158"/>
        <v>0</v>
      </c>
      <c r="U301" s="700"/>
      <c r="V301" s="701"/>
      <c r="W301" s="701"/>
      <c r="X301" s="295">
        <f t="shared" si="153"/>
        <v>0</v>
      </c>
      <c r="Y301" s="296">
        <f>IF(AA301&gt;0,V301,AE299/IF(Iniciar!$C$25="B X 40 K",40,IF(Iniciar!$C$25="B X 50 K",50,1))*I301/1000)</f>
        <v>0</v>
      </c>
      <c r="Z301" s="296">
        <f t="shared" si="154"/>
        <v>0</v>
      </c>
      <c r="AA301" s="297">
        <f t="shared" si="173"/>
        <v>0</v>
      </c>
      <c r="AB301" s="297">
        <f t="shared" si="148"/>
        <v>0</v>
      </c>
      <c r="AC301" s="1268" t="str">
        <f>$AC$7</f>
        <v>Kg Ave Acu :</v>
      </c>
      <c r="AD301" s="308">
        <f>IF(OR(SUM(L299:L305)&gt;0,SUM(V299:V305)&gt;0),AD300/1000+AD294,0)</f>
        <v>0</v>
      </c>
      <c r="AE301" s="309">
        <f>AE300/1000+AE294</f>
        <v>0</v>
      </c>
      <c r="AF301" s="310">
        <f>IF(AND(AE301&gt;0,AD301&gt;0),(AD301/AE301-1)*100,0)</f>
        <v>0</v>
      </c>
      <c r="AG301" s="311" t="str">
        <f>PROD!$AG$7</f>
        <v xml:space="preserve">Masa Sem H (Gr) : </v>
      </c>
      <c r="AH301" s="312">
        <f>PROD!O299/100*7*PROD!O301</f>
        <v>0</v>
      </c>
      <c r="AI301" s="312">
        <f>PROD!P299/100*7*PROD!P301</f>
        <v>0</v>
      </c>
      <c r="AJ301" s="313">
        <f t="shared" si="171"/>
        <v>0</v>
      </c>
      <c r="AK301" s="2027"/>
      <c r="AL301" s="1284">
        <f t="shared" si="149"/>
        <v>0</v>
      </c>
      <c r="AM301" s="1285"/>
      <c r="AN301" s="1285"/>
      <c r="AO301" s="1285"/>
      <c r="AP301" s="1285"/>
      <c r="AQ301" s="1285"/>
      <c r="AR301" s="1285"/>
      <c r="AS301" s="1286"/>
      <c r="AT301" s="1287"/>
      <c r="AU301" s="1288"/>
      <c r="AV301" s="1289"/>
      <c r="AW301" s="1290"/>
      <c r="AX301" s="1291"/>
      <c r="AY301" s="1291"/>
      <c r="AZ301" s="1292"/>
      <c r="BA301" s="1293"/>
      <c r="BB301" s="1294"/>
      <c r="BC301" s="1295"/>
      <c r="BD301" s="1296">
        <f>BD300+PROD!L301-BA301</f>
        <v>0</v>
      </c>
      <c r="BE301" s="2133"/>
      <c r="BF301" s="507" t="e">
        <f t="shared" si="150"/>
        <v>#VALUE!</v>
      </c>
      <c r="BG301" s="329"/>
      <c r="BH301" s="1018">
        <f t="shared" si="151"/>
        <v>0</v>
      </c>
    </row>
    <row r="302" spans="1:60" ht="15" customHeight="1" x14ac:dyDescent="0.3">
      <c r="A302" s="2033"/>
      <c r="B302" s="287" t="str">
        <f t="shared" si="152"/>
        <v/>
      </c>
      <c r="C302" s="288" t="str">
        <f t="shared" si="147"/>
        <v/>
      </c>
      <c r="D302" s="691"/>
      <c r="E302" s="692"/>
      <c r="F302" s="693"/>
      <c r="G302" s="694"/>
      <c r="H302" s="695"/>
      <c r="I302" s="289">
        <f>I301-SUM($D302:F302)</f>
        <v>0</v>
      </c>
      <c r="J302" s="1234" t="str">
        <f>$J$8</f>
        <v>% Mort Acm :</v>
      </c>
      <c r="K302" s="1231">
        <f>IF(PROD!$K$2&gt;0,SUM(D$5:D305)/PROD!$K$2,0)</f>
        <v>0</v>
      </c>
      <c r="L302" s="1246"/>
      <c r="M302" s="291">
        <f t="shared" si="172"/>
        <v>0</v>
      </c>
      <c r="N302" s="314" t="str">
        <f>N$8</f>
        <v xml:space="preserve">Peso Ave (Gr) : </v>
      </c>
      <c r="O302" s="315">
        <f>LOOKUP($A299,GSh!$BV$6:$BV$108,GSh!$BJ$6:$BJ$108)</f>
        <v>0</v>
      </c>
      <c r="P302" s="315">
        <f>IFERROR(LOOKUP($A299,TP!$A$6:$A$108,GSh!$BK$6:$BK$108),0)</f>
        <v>0</v>
      </c>
      <c r="Q302" s="316">
        <f>IF(AND(P302&gt;0,O302&gt;0),(O302/P302-1)*100,0)</f>
        <v>0</v>
      </c>
      <c r="R302" s="699"/>
      <c r="S302" s="762"/>
      <c r="T302" s="765">
        <f t="shared" si="158"/>
        <v>0</v>
      </c>
      <c r="U302" s="700"/>
      <c r="V302" s="701"/>
      <c r="W302" s="701"/>
      <c r="X302" s="295">
        <f t="shared" si="153"/>
        <v>0</v>
      </c>
      <c r="Y302" s="296">
        <f>IF(AA302&gt;0,V302,AE299/IF(Iniciar!$C$25="B X 40 K",40,IF(Iniciar!$C$25="B X 50 K",50,1))*I302/1000)</f>
        <v>0</v>
      </c>
      <c r="Z302" s="296">
        <f t="shared" si="154"/>
        <v>0</v>
      </c>
      <c r="AA302" s="297">
        <f t="shared" si="173"/>
        <v>0</v>
      </c>
      <c r="AB302" s="297">
        <f t="shared" si="148"/>
        <v>0</v>
      </c>
      <c r="AC302" s="541" t="str">
        <f>$AC$8</f>
        <v xml:space="preserve">Ton. Lote Acu : </v>
      </c>
      <c r="AD302" s="544">
        <f>SUM($V$5:$V305)*$A$1/1000000</f>
        <v>0</v>
      </c>
      <c r="AE302" s="543">
        <f>AE295+(AE299/1000000*7*(I299+I305)/2)</f>
        <v>0</v>
      </c>
      <c r="AF302" s="542">
        <f>IF(AND(AE302&gt;0,AD302&gt;0),(AD302/AE302-1)*100,0)</f>
        <v>0</v>
      </c>
      <c r="AG302" s="317" t="str">
        <f>PROD!$AG$8</f>
        <v xml:space="preserve">Masa Ac A. A (Kg) : </v>
      </c>
      <c r="AH302" s="318">
        <f>IF(PROD!$K$2&gt;0,SUM(PROD!L$5:L305)*LOOKUP(PROD!$A299,TP!$A$6:$A$108,GSh!$BB$6:$BB$108)/1000/PROD!$K$2,0)</f>
        <v>0</v>
      </c>
      <c r="AI302" s="318">
        <f>IFERROR(PROD!P300*LOOKUP(PROD!$A299,TP!$A$6:$A$108,GSh!$BC$6:$BC$108)/1000,0)</f>
        <v>0</v>
      </c>
      <c r="AJ302" s="330">
        <f t="shared" si="171"/>
        <v>0</v>
      </c>
      <c r="AK302" s="2027"/>
      <c r="AL302" s="1284">
        <f t="shared" si="149"/>
        <v>0</v>
      </c>
      <c r="AM302" s="1285"/>
      <c r="AN302" s="1285"/>
      <c r="AO302" s="1285"/>
      <c r="AP302" s="1285"/>
      <c r="AQ302" s="1285"/>
      <c r="AR302" s="1285"/>
      <c r="AS302" s="1286"/>
      <c r="AT302" s="1287"/>
      <c r="AU302" s="1288"/>
      <c r="AV302" s="1289"/>
      <c r="AW302" s="1290"/>
      <c r="AX302" s="1291"/>
      <c r="AY302" s="1291"/>
      <c r="AZ302" s="1292"/>
      <c r="BA302" s="1293"/>
      <c r="BB302" s="1294"/>
      <c r="BC302" s="1295"/>
      <c r="BD302" s="1296">
        <f>BD301+PROD!L302-BA302</f>
        <v>0</v>
      </c>
      <c r="BE302" s="2133"/>
      <c r="BF302" s="507" t="e">
        <f t="shared" si="150"/>
        <v>#VALUE!</v>
      </c>
      <c r="BG302" s="329"/>
      <c r="BH302" s="1018">
        <f t="shared" si="151"/>
        <v>0</v>
      </c>
    </row>
    <row r="303" spans="1:60" ht="15" customHeight="1" x14ac:dyDescent="0.3">
      <c r="A303" s="2033"/>
      <c r="B303" s="287" t="str">
        <f t="shared" si="152"/>
        <v/>
      </c>
      <c r="C303" s="288" t="str">
        <f t="shared" si="147"/>
        <v/>
      </c>
      <c r="D303" s="691"/>
      <c r="E303" s="692"/>
      <c r="F303" s="693"/>
      <c r="G303" s="694"/>
      <c r="H303" s="695"/>
      <c r="I303" s="289">
        <f>I302-SUM($D303:F303)</f>
        <v>0</v>
      </c>
      <c r="J303" s="1234" t="str">
        <f>$J$9</f>
        <v>% Sel Acm :</v>
      </c>
      <c r="K303" s="1231">
        <f>IF(PROD!$K$2&gt;0,SUM(E$5:E305)/PROD!$K$2,0)</f>
        <v>0</v>
      </c>
      <c r="L303" s="1246"/>
      <c r="M303" s="291">
        <f t="shared" si="172"/>
        <v>0</v>
      </c>
      <c r="N303" s="292" t="str">
        <f>$N$9</f>
        <v xml:space="preserve">Uniformidad (10% -) : </v>
      </c>
      <c r="O303" s="320">
        <f>LOOKUP($A299,'Pr-Sem'!$A$6:$A$108,'Pr-Sem'!$AH$6:$AH$108)</f>
        <v>0</v>
      </c>
      <c r="P303" s="320">
        <v>5</v>
      </c>
      <c r="Q303" s="321">
        <f>IF(AND(P303&gt;0,O303&gt;0),(1-O303/P303)*100,0)</f>
        <v>0</v>
      </c>
      <c r="R303" s="699"/>
      <c r="S303" s="762"/>
      <c r="T303" s="765">
        <f t="shared" si="158"/>
        <v>0</v>
      </c>
      <c r="U303" s="700"/>
      <c r="V303" s="701"/>
      <c r="W303" s="701"/>
      <c r="X303" s="295">
        <f t="shared" si="153"/>
        <v>0</v>
      </c>
      <c r="Y303" s="296">
        <f>IF(AA303&gt;0,V303,AE299/IF(Iniciar!$C$25="B X 40 K",40,IF(Iniciar!$C$25="B X 50 K",50,1))*I303/1000)</f>
        <v>0</v>
      </c>
      <c r="Z303" s="296">
        <f t="shared" si="154"/>
        <v>0</v>
      </c>
      <c r="AA303" s="297">
        <f t="shared" si="173"/>
        <v>0</v>
      </c>
      <c r="AB303" s="297">
        <f t="shared" si="148"/>
        <v>0</v>
      </c>
      <c r="AC303" s="2035" t="str">
        <f>$AC$9</f>
        <v xml:space="preserve">Total Litros Sem: </v>
      </c>
      <c r="AD303" s="2036"/>
      <c r="AE303" s="2050">
        <f>SUM(R299:R305)</f>
        <v>0</v>
      </c>
      <c r="AF303" s="2051"/>
      <c r="AG303" s="554" t="str">
        <f>$AG$9</f>
        <v xml:space="preserve">Indicador Eficiencia : </v>
      </c>
      <c r="AH303" s="555">
        <f>IF(AND(AE303&gt;0,O300&gt;0,O301&gt;0,SUM(L299:L305)&gt;0),(PROD!AH302/O300)*K305*100/(AE303/(SUM(L299:L305)*O301/1000)),0)</f>
        <v>0</v>
      </c>
      <c r="AI303" s="555">
        <f>IF(AND(P300&gt;0,PROD!AI301&gt;0),(PROD!AI302/P300)*(1-K304)*100/(AE300/PROD!AI301),0)</f>
        <v>0</v>
      </c>
      <c r="AJ303" s="331">
        <f t="shared" si="171"/>
        <v>0</v>
      </c>
      <c r="AK303" s="2027"/>
      <c r="AL303" s="1284">
        <f t="shared" si="149"/>
        <v>0</v>
      </c>
      <c r="AM303" s="1285"/>
      <c r="AN303" s="1285"/>
      <c r="AO303" s="1285"/>
      <c r="AP303" s="1285"/>
      <c r="AQ303" s="1285"/>
      <c r="AR303" s="1285"/>
      <c r="AS303" s="1286"/>
      <c r="AT303" s="1287"/>
      <c r="AU303" s="1288"/>
      <c r="AV303" s="1289"/>
      <c r="AW303" s="1290"/>
      <c r="AX303" s="1291"/>
      <c r="AY303" s="1291"/>
      <c r="AZ303" s="1292"/>
      <c r="BA303" s="1293"/>
      <c r="BB303" s="1294"/>
      <c r="BC303" s="1295"/>
      <c r="BD303" s="1296">
        <f>BD302+PROD!L303-BA303</f>
        <v>0</v>
      </c>
      <c r="BE303" s="2133"/>
      <c r="BF303" s="507" t="e">
        <f t="shared" si="150"/>
        <v>#VALUE!</v>
      </c>
      <c r="BG303" s="329"/>
      <c r="BH303" s="1018">
        <f t="shared" si="151"/>
        <v>0</v>
      </c>
    </row>
    <row r="304" spans="1:60" ht="15" customHeight="1" x14ac:dyDescent="0.3">
      <c r="A304" s="2033"/>
      <c r="B304" s="287" t="str">
        <f t="shared" si="152"/>
        <v/>
      </c>
      <c r="C304" s="288" t="str">
        <f t="shared" si="147"/>
        <v/>
      </c>
      <c r="D304" s="691"/>
      <c r="E304" s="692"/>
      <c r="F304" s="693"/>
      <c r="G304" s="694"/>
      <c r="H304" s="695"/>
      <c r="I304" s="289">
        <f>I303-SUM($D304:F304)</f>
        <v>0</v>
      </c>
      <c r="J304" s="1237" t="str">
        <f>$J$10</f>
        <v>% Mort/Sel Acm Tab :</v>
      </c>
      <c r="K304" s="1238">
        <f>IFERROR(LOOKUP($A299,TP!$A$6:$A$108,GSh!$AR$6:$AR$108)/100,0)</f>
        <v>0</v>
      </c>
      <c r="L304" s="1246"/>
      <c r="M304" s="291">
        <f t="shared" si="172"/>
        <v>0</v>
      </c>
      <c r="N304" s="292" t="str">
        <f>$N$10</f>
        <v xml:space="preserve">Uniformidad (C. Lote) : </v>
      </c>
      <c r="O304" s="320">
        <f>LOOKUP($A299,'Pr-Sem'!$A$6:$A$108,'Pr-Sem'!$AG$6:$AG$108)</f>
        <v>0</v>
      </c>
      <c r="P304" s="320">
        <v>90</v>
      </c>
      <c r="Q304" s="321">
        <f>IF(AND(P304&gt;0,O304&gt;0),(O304/P304-1)*100,0)</f>
        <v>0</v>
      </c>
      <c r="R304" s="699"/>
      <c r="S304" s="762"/>
      <c r="T304" s="765">
        <f t="shared" si="158"/>
        <v>0</v>
      </c>
      <c r="U304" s="700"/>
      <c r="V304" s="701"/>
      <c r="W304" s="701"/>
      <c r="X304" s="295">
        <f t="shared" si="153"/>
        <v>0</v>
      </c>
      <c r="Y304" s="296">
        <f>IF(AA304&gt;0,V304,AE299/IF(Iniciar!$C$25="B X 40 K",40,IF(Iniciar!$C$25="B X 50 K",50,1))*I304/1000)</f>
        <v>0</v>
      </c>
      <c r="Z304" s="296">
        <f t="shared" si="154"/>
        <v>0</v>
      </c>
      <c r="AA304" s="297">
        <f t="shared" si="173"/>
        <v>0</v>
      </c>
      <c r="AB304" s="297">
        <f t="shared" si="148"/>
        <v>0</v>
      </c>
      <c r="AC304" s="2037" t="str">
        <f>$AC$10</f>
        <v xml:space="preserve">Cons ml /ave día: </v>
      </c>
      <c r="AD304" s="2038"/>
      <c r="AE304" s="2056">
        <f>IFERROR(SUMPRODUCT(AB299:AB305,I299:I305)/SUM(I299:I305),0)</f>
        <v>0</v>
      </c>
      <c r="AF304" s="2057"/>
      <c r="AG304" s="311" t="str">
        <f>CONCATENATE("Costo ",Iniciar!$C$25," : ")</f>
        <v xml:space="preserve">Costo Kilos : </v>
      </c>
      <c r="AH304" s="2043">
        <f>IFERROR(SUMPRODUCT(T299:T305,V299:V305)/SUMIF(T299:T305,"&gt;0",V299:V305),0)</f>
        <v>0</v>
      </c>
      <c r="AI304" s="2043"/>
      <c r="AJ304" s="313"/>
      <c r="AK304" s="2027"/>
      <c r="AL304" s="1284">
        <f t="shared" si="149"/>
        <v>0</v>
      </c>
      <c r="AM304" s="1285"/>
      <c r="AN304" s="1285"/>
      <c r="AO304" s="1285"/>
      <c r="AP304" s="1285"/>
      <c r="AQ304" s="1285"/>
      <c r="AR304" s="1285"/>
      <c r="AS304" s="1286"/>
      <c r="AT304" s="1287"/>
      <c r="AU304" s="1288"/>
      <c r="AV304" s="1289"/>
      <c r="AW304" s="1290"/>
      <c r="AX304" s="1291"/>
      <c r="AY304" s="1291"/>
      <c r="AZ304" s="1292"/>
      <c r="BA304" s="1293"/>
      <c r="BB304" s="1294"/>
      <c r="BC304" s="1295"/>
      <c r="BD304" s="1296">
        <f>BD303+PROD!L304-BA304</f>
        <v>0</v>
      </c>
      <c r="BE304" s="2133"/>
      <c r="BF304" s="507" t="e">
        <f t="shared" si="150"/>
        <v>#VALUE!</v>
      </c>
      <c r="BG304" s="329"/>
      <c r="BH304" s="1018">
        <f t="shared" si="151"/>
        <v>0</v>
      </c>
    </row>
    <row r="305" spans="1:60" ht="15" customHeight="1" x14ac:dyDescent="0.3">
      <c r="A305" s="2034"/>
      <c r="B305" s="287" t="str">
        <f t="shared" si="152"/>
        <v/>
      </c>
      <c r="C305" s="288" t="str">
        <f t="shared" si="147"/>
        <v/>
      </c>
      <c r="D305" s="691"/>
      <c r="E305" s="692"/>
      <c r="F305" s="693"/>
      <c r="G305" s="694"/>
      <c r="H305" s="695"/>
      <c r="I305" s="289">
        <f>I304-SUM($D305:F305)</f>
        <v>0</v>
      </c>
      <c r="J305" s="1239" t="str">
        <f>$J$11</f>
        <v>% Viabilidad :</v>
      </c>
      <c r="K305" s="1240">
        <f>IF(OR(SUM(L299:L305)&gt;0,SUM(V299:V305)&gt;0),1-(K302+K303),0)</f>
        <v>0</v>
      </c>
      <c r="L305" s="1247"/>
      <c r="M305" s="1248">
        <f>IF(I305&gt;0,(L305/IF(SUM(L299:L304)&gt;0,1,7))/I305,0)</f>
        <v>0</v>
      </c>
      <c r="N305" s="1249" t="str">
        <f>$N$11</f>
        <v xml:space="preserve">Uniformidad (10% +) : </v>
      </c>
      <c r="O305" s="1250">
        <f>IF(O303&gt;0,IF(O304&gt;0,100-SUM(O303:O304),0),0)</f>
        <v>0</v>
      </c>
      <c r="P305" s="1251">
        <f>100-SUM(P303:P304)</f>
        <v>5</v>
      </c>
      <c r="Q305" s="1252">
        <f>IF(AND(P305&gt;0,O305&gt;0),(O305/P305-1)*100,0)</f>
        <v>0</v>
      </c>
      <c r="R305" s="699"/>
      <c r="S305" s="762"/>
      <c r="T305" s="765">
        <f t="shared" si="158"/>
        <v>0</v>
      </c>
      <c r="U305" s="700"/>
      <c r="V305" s="701"/>
      <c r="W305" s="701"/>
      <c r="X305" s="295">
        <f t="shared" si="153"/>
        <v>0</v>
      </c>
      <c r="Y305" s="296">
        <f>IF(AA305&gt;0,V305,AE299/IF(Iniciar!$C$25="B X 40 K",40,IF(Iniciar!$C$25="B X 50 K",50,1))*I305/1000)</f>
        <v>0</v>
      </c>
      <c r="Z305" s="296">
        <f t="shared" si="154"/>
        <v>0</v>
      </c>
      <c r="AA305" s="297">
        <f>IF(I305&gt;0,(V305/IF(SUM(V299:V304)&gt;0,1,7))*$A$1/I305,0)</f>
        <v>0</v>
      </c>
      <c r="AB305" s="297">
        <f t="shared" si="148"/>
        <v>0</v>
      </c>
      <c r="AC305" s="2039" t="str">
        <f>$AC$11</f>
        <v xml:space="preserve">Relación Agua /Alimto: </v>
      </c>
      <c r="AD305" s="2040"/>
      <c r="AE305" s="2058">
        <f>IFERROR(AE304/AD299,0)</f>
        <v>0</v>
      </c>
      <c r="AF305" s="2059"/>
      <c r="AG305" s="1269" t="s">
        <v>237</v>
      </c>
      <c r="AH305" s="1270">
        <f>IF(SUM(L299:L305)&gt;0,AH304*SUM(V299:V305)/SUM(L299:L305),0)</f>
        <v>0</v>
      </c>
      <c r="AI305" s="1270">
        <f>IF(AND($A$1&gt;0,P299&gt;0),AH304/$A$1*(AE299/P299)*100,0)</f>
        <v>0</v>
      </c>
      <c r="AJ305" s="1271">
        <f t="shared" ref="AJ305:AJ310" si="174">IF(AND(AI305&gt;0,AH305&gt;0),(AH305/AI305-1)*100,0)</f>
        <v>0</v>
      </c>
      <c r="AK305" s="2028"/>
      <c r="AL305" s="1284">
        <f t="shared" si="149"/>
        <v>0</v>
      </c>
      <c r="AM305" s="1285"/>
      <c r="AN305" s="1285"/>
      <c r="AO305" s="1285"/>
      <c r="AP305" s="1285"/>
      <c r="AQ305" s="1285"/>
      <c r="AR305" s="1285"/>
      <c r="AS305" s="1286"/>
      <c r="AT305" s="1287"/>
      <c r="AU305" s="1288"/>
      <c r="AV305" s="1289"/>
      <c r="AW305" s="1290"/>
      <c r="AX305" s="1291"/>
      <c r="AY305" s="1291"/>
      <c r="AZ305" s="1292"/>
      <c r="BA305" s="1293"/>
      <c r="BB305" s="1294"/>
      <c r="BC305" s="1295"/>
      <c r="BD305" s="1296">
        <f>BD304+PROD!L305-BA305</f>
        <v>0</v>
      </c>
      <c r="BE305" s="2134"/>
      <c r="BF305" s="507" t="e">
        <f t="shared" si="150"/>
        <v>#VALUE!</v>
      </c>
      <c r="BG305" s="329"/>
      <c r="BH305" s="1018">
        <f t="shared" si="151"/>
        <v>0</v>
      </c>
    </row>
    <row r="306" spans="1:60" ht="15" customHeight="1" x14ac:dyDescent="0.3">
      <c r="A306" s="2032">
        <f>A299+1</f>
        <v>61</v>
      </c>
      <c r="B306" s="287" t="str">
        <f t="shared" si="152"/>
        <v/>
      </c>
      <c r="C306" s="288" t="str">
        <f t="shared" si="147"/>
        <v/>
      </c>
      <c r="D306" s="691"/>
      <c r="E306" s="692"/>
      <c r="F306" s="693"/>
      <c r="G306" s="694"/>
      <c r="H306" s="695"/>
      <c r="I306" s="289">
        <f>I305-SUM($D306:F306)</f>
        <v>0</v>
      </c>
      <c r="J306" s="1232" t="str">
        <f>$J$5</f>
        <v>% Mort Sem :</v>
      </c>
      <c r="K306" s="1233">
        <f>IF(PROD!$K$2&gt;0,SUM(D306:D312)/PROD!$K$2,0)</f>
        <v>0</v>
      </c>
      <c r="L306" s="1241"/>
      <c r="M306" s="1242">
        <f t="shared" ref="M306:M311" si="175">IF(I306&gt;0,L306/I306,0)</f>
        <v>0</v>
      </c>
      <c r="N306" s="1243" t="str">
        <f>$N$5</f>
        <v xml:space="preserve">% Pdn prom semana : </v>
      </c>
      <c r="O306" s="1244">
        <f>IF(SUM(L306:L311)&gt;0,100*SUMPRODUCT(M306:M312,I306:I312)/SUMIF(L306:L312,"&gt;0",I306:I312),IF(L312&gt;0,100*L312/7/I312,0))</f>
        <v>0</v>
      </c>
      <c r="P306" s="1244">
        <f>IFERROR(LOOKUP($A306,TP!$A$6:$A$108,GSh!$AE$6:$AE$108),0)</f>
        <v>0</v>
      </c>
      <c r="Q306" s="1245">
        <f>IF(AND(P306&gt;0,O306&gt;0),O306-P306,0)</f>
        <v>0</v>
      </c>
      <c r="R306" s="699"/>
      <c r="S306" s="762"/>
      <c r="T306" s="765">
        <f t="shared" si="158"/>
        <v>0</v>
      </c>
      <c r="U306" s="700"/>
      <c r="V306" s="701"/>
      <c r="W306" s="701"/>
      <c r="X306" s="295">
        <f t="shared" si="153"/>
        <v>0</v>
      </c>
      <c r="Y306" s="296">
        <f>IF(AA306&gt;0,V306,AE306/IF(Iniciar!$C$25="B X 40 K",40,IF(Iniciar!$C$25="B X 50 K",50,1))*I306/1000)</f>
        <v>0</v>
      </c>
      <c r="Z306" s="296">
        <f t="shared" si="154"/>
        <v>0</v>
      </c>
      <c r="AA306" s="297">
        <f t="shared" ref="AA306:AA311" si="176">IF(I306&gt;0,V306*$A$1/I306,0)</f>
        <v>0</v>
      </c>
      <c r="AB306" s="297">
        <f t="shared" si="148"/>
        <v>0</v>
      </c>
      <c r="AC306" s="1261" t="str">
        <f>$AC$5</f>
        <v>Gr. Ave Dia :</v>
      </c>
      <c r="AD306" s="1262">
        <f>IF(SUMIF(V306:V312,"&gt;0")&gt;0,SUMPRODUCT(AA306:AA312,I306:I312)/SUMIF(AA306:AA312,"&gt;0",I306:I312),0)</f>
        <v>0</v>
      </c>
      <c r="AE306" s="1262">
        <f>IFERROR(LOOKUP($A306,TP!$A$6:$A$108,GSh!$AU$6:$AU$108),0)</f>
        <v>0</v>
      </c>
      <c r="AF306" s="1263">
        <f>IF(AND(AE306&gt;0,AD306&gt;0),(AD306/AE306-1)*100,0)</f>
        <v>0</v>
      </c>
      <c r="AG306" s="1264" t="str">
        <f>PROD!$AG$5</f>
        <v>Gr X H</v>
      </c>
      <c r="AH306" s="1265">
        <f>IF(PROD!O306&gt;0,IF($AG306="Gr X H",PROD!AD306/PROD!O306*100,IF($AG306="Conv Kg/Doc",PROD!AD306/PROD!O306*1.2,IF(PROD!$O308&gt;0,PROD!AD306/(PROD!O306*PROD!$O308)*100,0))),0)</f>
        <v>0</v>
      </c>
      <c r="AI306" s="1265">
        <f>IF(PROD!P306&gt;0,IF($AG306="Gr X H",PROD!AE306/PROD!P306*100,IF($AG306="Conv Kg/Doc",PROD!AE306/PROD!P306*1.2,IF(PROD!$P308&gt;0,PROD!AE306/(PROD!P306*PROD!$P308)*100,0))),0)</f>
        <v>0</v>
      </c>
      <c r="AJ306" s="1266">
        <f t="shared" si="174"/>
        <v>0</v>
      </c>
      <c r="AK306" s="2026"/>
      <c r="AL306" s="1284">
        <f t="shared" si="149"/>
        <v>0</v>
      </c>
      <c r="AM306" s="1285"/>
      <c r="AN306" s="1285"/>
      <c r="AO306" s="1285"/>
      <c r="AP306" s="1285"/>
      <c r="AQ306" s="1285"/>
      <c r="AR306" s="1285"/>
      <c r="AS306" s="1286"/>
      <c r="AT306" s="1287"/>
      <c r="AU306" s="1288"/>
      <c r="AV306" s="1289"/>
      <c r="AW306" s="1290"/>
      <c r="AX306" s="1291"/>
      <c r="AY306" s="1291"/>
      <c r="AZ306" s="1292"/>
      <c r="BA306" s="1293"/>
      <c r="BB306" s="1294"/>
      <c r="BC306" s="1295"/>
      <c r="BD306" s="1296">
        <f>BD305+PROD!L306-BA306</f>
        <v>0</v>
      </c>
      <c r="BE306" s="2132">
        <f>IF(SUM(AM306:AZ312)&gt;0,(SUM(AM306:AM312)*$AM$2+SUM(AN306:AN312)*$AN$2+SUM(AO306:AO312)*$AO$2+SUM(AP306:AP312)*$AP$2+SUM(AQ306:AQ312)*$AQ$2+SUM(AR306:AR312)*$AR$2+SUM(AS306:AS312)*$AS$2+SUM(AW306:AW312)*$AW$2+SUM(AX306:AX312)*$AX$2+SUM(AY306:AY312)*$AY$2+SUM(AZ306:AZ312)*$AZ$2+SUM(AT306:AT312)*$AT$2+SUM(AU306:AU312)*$AU$2+SUM(AV306:AV312)*$AV$2)/SUM(AM306:AZ312),0)</f>
        <v>0</v>
      </c>
      <c r="BF306" s="507" t="e">
        <f t="shared" si="150"/>
        <v>#VALUE!</v>
      </c>
      <c r="BG306" s="277">
        <f>IF(SUM(L306:L312)&gt;0,A306,IF(SUM(V306:V312)&gt;0,A306,BG299))</f>
        <v>0</v>
      </c>
      <c r="BH306" s="1018">
        <f t="shared" si="151"/>
        <v>0</v>
      </c>
    </row>
    <row r="307" spans="1:60" ht="15" customHeight="1" x14ac:dyDescent="0.3">
      <c r="A307" s="2033"/>
      <c r="B307" s="287" t="str">
        <f t="shared" si="152"/>
        <v/>
      </c>
      <c r="C307" s="288" t="str">
        <f t="shared" si="147"/>
        <v/>
      </c>
      <c r="D307" s="691"/>
      <c r="E307" s="692"/>
      <c r="F307" s="693"/>
      <c r="G307" s="694"/>
      <c r="H307" s="695"/>
      <c r="I307" s="289">
        <f>I306-SUM($D307:F307)</f>
        <v>0</v>
      </c>
      <c r="J307" s="1234" t="str">
        <f>$J$6</f>
        <v>% Sel Sem :</v>
      </c>
      <c r="K307" s="1231">
        <f>IF(PROD!$K$2&gt;0,SUM(E306:E312)/PROD!$K$2,0)</f>
        <v>0</v>
      </c>
      <c r="L307" s="1246"/>
      <c r="M307" s="291">
        <f t="shared" si="175"/>
        <v>0</v>
      </c>
      <c r="N307" s="292" t="str">
        <f>$N$6</f>
        <v xml:space="preserve">H. Ave Alojada : </v>
      </c>
      <c r="O307" s="293">
        <f>IF(AND(PROD!$K$2&gt;0,O306&gt;0),SUM(L$5:L312)/PROD!$K$2,0)</f>
        <v>0</v>
      </c>
      <c r="P307" s="293">
        <f>IFERROR(LOOKUP($A306,TP!$A$6:$A$108,GSh!$AJ$6:$AJ$108),0)</f>
        <v>0</v>
      </c>
      <c r="Q307" s="294">
        <f>IF(AND(P307&gt;0,O307&gt;0),O307-P307,0)</f>
        <v>0</v>
      </c>
      <c r="R307" s="699"/>
      <c r="S307" s="762"/>
      <c r="T307" s="765">
        <f t="shared" si="158"/>
        <v>0</v>
      </c>
      <c r="U307" s="700"/>
      <c r="V307" s="701"/>
      <c r="W307" s="701"/>
      <c r="X307" s="295">
        <f t="shared" si="153"/>
        <v>0</v>
      </c>
      <c r="Y307" s="296">
        <f>IF(AA307&gt;0,V307,AE306/IF(Iniciar!$C$25="B X 40 K",40,IF(Iniciar!$C$25="B X 50 K",50,1))*I307/1000)</f>
        <v>0</v>
      </c>
      <c r="Z307" s="296">
        <f t="shared" si="154"/>
        <v>0</v>
      </c>
      <c r="AA307" s="297">
        <f t="shared" si="176"/>
        <v>0</v>
      </c>
      <c r="AB307" s="297">
        <f t="shared" si="148"/>
        <v>0</v>
      </c>
      <c r="AC307" s="1267" t="str">
        <f>$AC$6</f>
        <v>Gr. Ave Sem :</v>
      </c>
      <c r="AD307" s="284">
        <f>AD306*7</f>
        <v>0</v>
      </c>
      <c r="AE307" s="284">
        <f>AE306*7</f>
        <v>0</v>
      </c>
      <c r="AF307" s="285">
        <f>IF(AND(AE307&gt;0,AD307&gt;0),(AD307/AE307-1)*100,0)</f>
        <v>0</v>
      </c>
      <c r="AG307" s="1199" t="str">
        <f>PROD!$AG$6</f>
        <v>Gr X H Acm</v>
      </c>
      <c r="AH307" s="298">
        <f>IF(SUM(PROD!L306:L312)&gt;0,IF(PROD!$AG$5="Gr X H",SUM(PROD!V$5:V312)*PROD!$A$1/SUM(PROD!L$5:L312),IF($AG306="Conv Kg/Doc",(SUM(PROD!V$5:V312)*PROD!$A$1/1000)/(SUM(PROD!L$5:L312)/12),IF(PROD!$O308&gt;0,SUM(PROD!V$5:V312)*PROD!$A$1/(SUM(PROD!L$5:L312)*LOOKUP(PROD!A306,TP!$A$6:$A$108,GSh!$BB$6:$BB$108)),0))),0)</f>
        <v>0</v>
      </c>
      <c r="AI307" s="298">
        <f>IF(PROD!P306&gt;0,IF($AG306="Gr X H",PROD!AE306/PROD!P306*100,IF($AG306="Conv Kg/Doc",PROD!AE306/PROD!P306*1.2,IF(PROD!$P307&gt;0,PROD!AE308/(PROD!P307*LOOKUP(PROD!$A306,TP!$A$6:$A$108,GSh!$BC$6:$BC$108)/1000),0))),0)</f>
        <v>0</v>
      </c>
      <c r="AJ307" s="328">
        <f t="shared" si="174"/>
        <v>0</v>
      </c>
      <c r="AK307" s="2027"/>
      <c r="AL307" s="1284">
        <f t="shared" si="149"/>
        <v>0</v>
      </c>
      <c r="AM307" s="1285"/>
      <c r="AN307" s="1285"/>
      <c r="AO307" s="1285"/>
      <c r="AP307" s="1285"/>
      <c r="AQ307" s="1285"/>
      <c r="AR307" s="1285"/>
      <c r="AS307" s="1286"/>
      <c r="AT307" s="1287"/>
      <c r="AU307" s="1288"/>
      <c r="AV307" s="1289"/>
      <c r="AW307" s="1290"/>
      <c r="AX307" s="1291"/>
      <c r="AY307" s="1291"/>
      <c r="AZ307" s="1292"/>
      <c r="BA307" s="1293"/>
      <c r="BB307" s="1294"/>
      <c r="BC307" s="1295"/>
      <c r="BD307" s="1296">
        <f>BD306+PROD!L307-BA307</f>
        <v>0</v>
      </c>
      <c r="BE307" s="2133"/>
      <c r="BF307" s="507" t="e">
        <f t="shared" si="150"/>
        <v>#VALUE!</v>
      </c>
      <c r="BG307" s="329"/>
      <c r="BH307" s="1018">
        <f t="shared" si="151"/>
        <v>0</v>
      </c>
    </row>
    <row r="308" spans="1:60" ht="15" customHeight="1" x14ac:dyDescent="0.3">
      <c r="A308" s="2033"/>
      <c r="B308" s="287" t="str">
        <f t="shared" si="152"/>
        <v/>
      </c>
      <c r="C308" s="288" t="str">
        <f t="shared" si="147"/>
        <v/>
      </c>
      <c r="D308" s="691"/>
      <c r="E308" s="692"/>
      <c r="F308" s="693"/>
      <c r="G308" s="694"/>
      <c r="H308" s="695"/>
      <c r="I308" s="289">
        <f>I307-SUM($D308:F308)</f>
        <v>0</v>
      </c>
      <c r="J308" s="1235" t="str">
        <f>$J$7</f>
        <v>% Mort/Sel Sem Tab :</v>
      </c>
      <c r="K308" s="1236">
        <f>K311-K304</f>
        <v>0</v>
      </c>
      <c r="L308" s="1246"/>
      <c r="M308" s="291">
        <f t="shared" si="175"/>
        <v>0</v>
      </c>
      <c r="N308" s="304" t="str">
        <f>$N$7</f>
        <v xml:space="preserve">Peso Huevo (Gr) : </v>
      </c>
      <c r="O308" s="305">
        <f>LOOKUP($A306,'Pr-Sem'!$A$6:$A$108,'Pr-Sem'!$Z$6:$Z$108)</f>
        <v>0</v>
      </c>
      <c r="P308" s="305">
        <f>IFERROR(LOOKUP($A306,TP!$A$6:$A$108,GSh!$AZ$6:$AZ$108),0)</f>
        <v>0</v>
      </c>
      <c r="Q308" s="306">
        <f>IF(AND(P308&gt;0,O308&gt;0),O308-P308,0)</f>
        <v>0</v>
      </c>
      <c r="R308" s="699"/>
      <c r="S308" s="762"/>
      <c r="T308" s="765">
        <f t="shared" si="158"/>
        <v>0</v>
      </c>
      <c r="U308" s="700"/>
      <c r="V308" s="701"/>
      <c r="W308" s="701"/>
      <c r="X308" s="295">
        <f t="shared" si="153"/>
        <v>0</v>
      </c>
      <c r="Y308" s="296">
        <f>IF(AA308&gt;0,V308,AE306/IF(Iniciar!$C$25="B X 40 K",40,IF(Iniciar!$C$25="B X 50 K",50,1))*I308/1000)</f>
        <v>0</v>
      </c>
      <c r="Z308" s="296">
        <f t="shared" si="154"/>
        <v>0</v>
      </c>
      <c r="AA308" s="297">
        <f t="shared" si="176"/>
        <v>0</v>
      </c>
      <c r="AB308" s="297">
        <f t="shared" si="148"/>
        <v>0</v>
      </c>
      <c r="AC308" s="1268" t="str">
        <f>$AC$7</f>
        <v>Kg Ave Acu :</v>
      </c>
      <c r="AD308" s="308">
        <f>IF(OR(SUM(L306:L312)&gt;0,SUM(V306:V312)&gt;0),AD307/1000+AD301,0)</f>
        <v>0</v>
      </c>
      <c r="AE308" s="309">
        <f>AE307/1000+AE301</f>
        <v>0</v>
      </c>
      <c r="AF308" s="310">
        <f>IF(AND(AE308&gt;0,AD308&gt;0),(AD308/AE308-1)*100,0)</f>
        <v>0</v>
      </c>
      <c r="AG308" s="311" t="str">
        <f>PROD!$AG$7</f>
        <v xml:space="preserve">Masa Sem H (Gr) : </v>
      </c>
      <c r="AH308" s="312">
        <f>PROD!O306/100*7*PROD!O308</f>
        <v>0</v>
      </c>
      <c r="AI308" s="312">
        <f>PROD!P306/100*7*PROD!P308</f>
        <v>0</v>
      </c>
      <c r="AJ308" s="313">
        <f t="shared" si="174"/>
        <v>0</v>
      </c>
      <c r="AK308" s="2027"/>
      <c r="AL308" s="1284">
        <f t="shared" si="149"/>
        <v>0</v>
      </c>
      <c r="AM308" s="1285"/>
      <c r="AN308" s="1285"/>
      <c r="AO308" s="1285"/>
      <c r="AP308" s="1285"/>
      <c r="AQ308" s="1285"/>
      <c r="AR308" s="1285"/>
      <c r="AS308" s="1286"/>
      <c r="AT308" s="1287"/>
      <c r="AU308" s="1288"/>
      <c r="AV308" s="1289"/>
      <c r="AW308" s="1290"/>
      <c r="AX308" s="1291"/>
      <c r="AY308" s="1291"/>
      <c r="AZ308" s="1292"/>
      <c r="BA308" s="1293"/>
      <c r="BB308" s="1294"/>
      <c r="BC308" s="1295"/>
      <c r="BD308" s="1296">
        <f>BD307+PROD!L308-BA308</f>
        <v>0</v>
      </c>
      <c r="BE308" s="2133"/>
      <c r="BF308" s="507" t="e">
        <f t="shared" si="150"/>
        <v>#VALUE!</v>
      </c>
      <c r="BG308" s="329"/>
      <c r="BH308" s="1018">
        <f t="shared" si="151"/>
        <v>0</v>
      </c>
    </row>
    <row r="309" spans="1:60" ht="15" customHeight="1" x14ac:dyDescent="0.3">
      <c r="A309" s="2033"/>
      <c r="B309" s="287" t="str">
        <f t="shared" si="152"/>
        <v/>
      </c>
      <c r="C309" s="288" t="str">
        <f t="shared" si="147"/>
        <v/>
      </c>
      <c r="D309" s="691"/>
      <c r="E309" s="692"/>
      <c r="F309" s="693"/>
      <c r="G309" s="694"/>
      <c r="H309" s="695"/>
      <c r="I309" s="289">
        <f>I308-SUM($D309:F309)</f>
        <v>0</v>
      </c>
      <c r="J309" s="1234" t="str">
        <f>$J$8</f>
        <v>% Mort Acm :</v>
      </c>
      <c r="K309" s="1231">
        <f>IF(PROD!$K$2&gt;0,SUM(D$5:D312)/PROD!$K$2,0)</f>
        <v>0</v>
      </c>
      <c r="L309" s="1246"/>
      <c r="M309" s="291">
        <f t="shared" si="175"/>
        <v>0</v>
      </c>
      <c r="N309" s="314" t="str">
        <f>N$8</f>
        <v xml:space="preserve">Peso Ave (Gr) : </v>
      </c>
      <c r="O309" s="315">
        <f>LOOKUP($A306,GSh!$BV$6:$BV$108,GSh!$BJ$6:$BJ$108)</f>
        <v>0</v>
      </c>
      <c r="P309" s="315">
        <f>IFERROR(LOOKUP($A306,TP!$A$6:$A$108,GSh!$BK$6:$BK$108),0)</f>
        <v>0</v>
      </c>
      <c r="Q309" s="316">
        <f>IF(AND(P309&gt;0,O309&gt;0),(O309/P309-1)*100,0)</f>
        <v>0</v>
      </c>
      <c r="R309" s="699"/>
      <c r="S309" s="762"/>
      <c r="T309" s="765">
        <f t="shared" si="158"/>
        <v>0</v>
      </c>
      <c r="U309" s="700"/>
      <c r="V309" s="701"/>
      <c r="W309" s="701"/>
      <c r="X309" s="295">
        <f t="shared" si="153"/>
        <v>0</v>
      </c>
      <c r="Y309" s="296">
        <f>IF(AA309&gt;0,V309,AE306/IF(Iniciar!$C$25="B X 40 K",40,IF(Iniciar!$C$25="B X 50 K",50,1))*I309/1000)</f>
        <v>0</v>
      </c>
      <c r="Z309" s="296">
        <f t="shared" si="154"/>
        <v>0</v>
      </c>
      <c r="AA309" s="297">
        <f t="shared" si="176"/>
        <v>0</v>
      </c>
      <c r="AB309" s="297">
        <f t="shared" si="148"/>
        <v>0</v>
      </c>
      <c r="AC309" s="541" t="str">
        <f>$AC$8</f>
        <v xml:space="preserve">Ton. Lote Acu : </v>
      </c>
      <c r="AD309" s="544">
        <f>SUM($V$5:$V312)*$A$1/1000000</f>
        <v>0</v>
      </c>
      <c r="AE309" s="543">
        <f>AE302+(AE306/1000000*7*(I306+I312)/2)</f>
        <v>0</v>
      </c>
      <c r="AF309" s="542">
        <f>IF(AND(AE309&gt;0,AD309&gt;0),(AD309/AE309-1)*100,0)</f>
        <v>0</v>
      </c>
      <c r="AG309" s="317" t="str">
        <f>PROD!$AG$8</f>
        <v xml:space="preserve">Masa Ac A. A (Kg) : </v>
      </c>
      <c r="AH309" s="318">
        <f>IF(PROD!$K$2&gt;0,SUM(PROD!L$5:L312)*LOOKUP(PROD!$A306,TP!$A$6:$A$108,GSh!$BB$6:$BB$108)/1000/PROD!$K$2,0)</f>
        <v>0</v>
      </c>
      <c r="AI309" s="318">
        <f>IFERROR(PROD!P307*LOOKUP(PROD!$A306,TP!$A$6:$A$108,GSh!$BC$6:$BC$108)/1000,0)</f>
        <v>0</v>
      </c>
      <c r="AJ309" s="330">
        <f t="shared" si="174"/>
        <v>0</v>
      </c>
      <c r="AK309" s="2027"/>
      <c r="AL309" s="1284">
        <f t="shared" si="149"/>
        <v>0</v>
      </c>
      <c r="AM309" s="1285"/>
      <c r="AN309" s="1285"/>
      <c r="AO309" s="1285"/>
      <c r="AP309" s="1285"/>
      <c r="AQ309" s="1285"/>
      <c r="AR309" s="1285"/>
      <c r="AS309" s="1286"/>
      <c r="AT309" s="1287"/>
      <c r="AU309" s="1288"/>
      <c r="AV309" s="1289"/>
      <c r="AW309" s="1290"/>
      <c r="AX309" s="1291"/>
      <c r="AY309" s="1291"/>
      <c r="AZ309" s="1292"/>
      <c r="BA309" s="1293"/>
      <c r="BB309" s="1294"/>
      <c r="BC309" s="1295"/>
      <c r="BD309" s="1296">
        <f>BD308+PROD!L309-BA309</f>
        <v>0</v>
      </c>
      <c r="BE309" s="2133"/>
      <c r="BF309" s="507" t="e">
        <f t="shared" si="150"/>
        <v>#VALUE!</v>
      </c>
      <c r="BG309" s="329"/>
      <c r="BH309" s="1018">
        <f t="shared" si="151"/>
        <v>0</v>
      </c>
    </row>
    <row r="310" spans="1:60" ht="15" customHeight="1" x14ac:dyDescent="0.3">
      <c r="A310" s="2033"/>
      <c r="B310" s="287" t="str">
        <f t="shared" si="152"/>
        <v/>
      </c>
      <c r="C310" s="288" t="str">
        <f t="shared" si="147"/>
        <v/>
      </c>
      <c r="D310" s="691"/>
      <c r="E310" s="692"/>
      <c r="F310" s="693"/>
      <c r="G310" s="694"/>
      <c r="H310" s="695"/>
      <c r="I310" s="289">
        <f>I309-SUM($D310:F310)</f>
        <v>0</v>
      </c>
      <c r="J310" s="1234" t="str">
        <f>$J$9</f>
        <v>% Sel Acm :</v>
      </c>
      <c r="K310" s="1231">
        <f>IF(PROD!$K$2&gt;0,SUM(E$5:E312)/PROD!$K$2,0)</f>
        <v>0</v>
      </c>
      <c r="L310" s="1246"/>
      <c r="M310" s="291">
        <f t="shared" si="175"/>
        <v>0</v>
      </c>
      <c r="N310" s="292" t="str">
        <f>$N$9</f>
        <v xml:space="preserve">Uniformidad (10% -) : </v>
      </c>
      <c r="O310" s="320">
        <f>LOOKUP($A306,'Pr-Sem'!$A$6:$A$108,'Pr-Sem'!$AH$6:$AH$108)</f>
        <v>0</v>
      </c>
      <c r="P310" s="320">
        <v>5</v>
      </c>
      <c r="Q310" s="321">
        <f>IF(AND(P310&gt;0,O310&gt;0),(1-O310/P310)*100,0)</f>
        <v>0</v>
      </c>
      <c r="R310" s="699"/>
      <c r="S310" s="762"/>
      <c r="T310" s="765">
        <f t="shared" si="158"/>
        <v>0</v>
      </c>
      <c r="U310" s="700"/>
      <c r="V310" s="701"/>
      <c r="W310" s="701"/>
      <c r="X310" s="295">
        <f t="shared" si="153"/>
        <v>0</v>
      </c>
      <c r="Y310" s="296">
        <f>IF(AA310&gt;0,V310,AE306/IF(Iniciar!$C$25="B X 40 K",40,IF(Iniciar!$C$25="B X 50 K",50,1))*I310/1000)</f>
        <v>0</v>
      </c>
      <c r="Z310" s="296">
        <f t="shared" si="154"/>
        <v>0</v>
      </c>
      <c r="AA310" s="297">
        <f t="shared" si="176"/>
        <v>0</v>
      </c>
      <c r="AB310" s="297">
        <f t="shared" si="148"/>
        <v>0</v>
      </c>
      <c r="AC310" s="2035" t="str">
        <f>$AC$9</f>
        <v xml:space="preserve">Total Litros Sem: </v>
      </c>
      <c r="AD310" s="2036"/>
      <c r="AE310" s="2050">
        <f>SUM(R306:R312)</f>
        <v>0</v>
      </c>
      <c r="AF310" s="2051"/>
      <c r="AG310" s="554" t="str">
        <f>$AG$9</f>
        <v xml:space="preserve">Indicador Eficiencia : </v>
      </c>
      <c r="AH310" s="555">
        <f>IF(AND(AE310&gt;0,O307&gt;0,O308&gt;0,SUM(L306:L312)&gt;0),(PROD!AH309/O307)*K312*100/(AE310/(SUM(L306:L312)*O308/1000)),0)</f>
        <v>0</v>
      </c>
      <c r="AI310" s="555">
        <f>IF(AND(P307&gt;0,PROD!AI308&gt;0),(PROD!AI309/P307)*(1-K311)*100/(AE307/PROD!AI308),0)</f>
        <v>0</v>
      </c>
      <c r="AJ310" s="331">
        <f t="shared" si="174"/>
        <v>0</v>
      </c>
      <c r="AK310" s="2027"/>
      <c r="AL310" s="1284">
        <f t="shared" si="149"/>
        <v>0</v>
      </c>
      <c r="AM310" s="1285"/>
      <c r="AN310" s="1285"/>
      <c r="AO310" s="1285"/>
      <c r="AP310" s="1285"/>
      <c r="AQ310" s="1285"/>
      <c r="AR310" s="1285"/>
      <c r="AS310" s="1286"/>
      <c r="AT310" s="1287"/>
      <c r="AU310" s="1288"/>
      <c r="AV310" s="1289"/>
      <c r="AW310" s="1290"/>
      <c r="AX310" s="1291"/>
      <c r="AY310" s="1291"/>
      <c r="AZ310" s="1292"/>
      <c r="BA310" s="1293"/>
      <c r="BB310" s="1294"/>
      <c r="BC310" s="1295"/>
      <c r="BD310" s="1296">
        <f>BD309+PROD!L310-BA310</f>
        <v>0</v>
      </c>
      <c r="BE310" s="2133"/>
      <c r="BF310" s="507" t="e">
        <f t="shared" si="150"/>
        <v>#VALUE!</v>
      </c>
      <c r="BG310" s="329"/>
      <c r="BH310" s="1018">
        <f t="shared" si="151"/>
        <v>0</v>
      </c>
    </row>
    <row r="311" spans="1:60" ht="15" customHeight="1" x14ac:dyDescent="0.3">
      <c r="A311" s="2033"/>
      <c r="B311" s="287" t="str">
        <f t="shared" si="152"/>
        <v/>
      </c>
      <c r="C311" s="288" t="str">
        <f t="shared" si="147"/>
        <v/>
      </c>
      <c r="D311" s="691"/>
      <c r="E311" s="692"/>
      <c r="F311" s="693"/>
      <c r="G311" s="694"/>
      <c r="H311" s="695"/>
      <c r="I311" s="289">
        <f>I310-SUM($D311:F311)</f>
        <v>0</v>
      </c>
      <c r="J311" s="1237" t="str">
        <f>$J$10</f>
        <v>% Mort/Sel Acm Tab :</v>
      </c>
      <c r="K311" s="1238">
        <f>IFERROR(LOOKUP($A306,TP!$A$6:$A$108,GSh!$AR$6:$AR$108)/100,0)</f>
        <v>0</v>
      </c>
      <c r="L311" s="1246"/>
      <c r="M311" s="291">
        <f t="shared" si="175"/>
        <v>0</v>
      </c>
      <c r="N311" s="292" t="str">
        <f>$N$10</f>
        <v xml:space="preserve">Uniformidad (C. Lote) : </v>
      </c>
      <c r="O311" s="320">
        <f>LOOKUP($A306,'Pr-Sem'!$A$6:$A$108,'Pr-Sem'!$AG$6:$AG$108)</f>
        <v>0</v>
      </c>
      <c r="P311" s="320">
        <v>90</v>
      </c>
      <c r="Q311" s="321">
        <f>IF(AND(P311&gt;0,O311&gt;0),(O311/P311-1)*100,0)</f>
        <v>0</v>
      </c>
      <c r="R311" s="699"/>
      <c r="S311" s="762"/>
      <c r="T311" s="765">
        <f t="shared" si="158"/>
        <v>0</v>
      </c>
      <c r="U311" s="700"/>
      <c r="V311" s="701"/>
      <c r="W311" s="701"/>
      <c r="X311" s="295">
        <f t="shared" si="153"/>
        <v>0</v>
      </c>
      <c r="Y311" s="296">
        <f>IF(AA311&gt;0,V311,AE306/IF(Iniciar!$C$25="B X 40 K",40,IF(Iniciar!$C$25="B X 50 K",50,1))*I311/1000)</f>
        <v>0</v>
      </c>
      <c r="Z311" s="296">
        <f t="shared" si="154"/>
        <v>0</v>
      </c>
      <c r="AA311" s="297">
        <f t="shared" si="176"/>
        <v>0</v>
      </c>
      <c r="AB311" s="297">
        <f t="shared" si="148"/>
        <v>0</v>
      </c>
      <c r="AC311" s="2037" t="str">
        <f>$AC$10</f>
        <v xml:space="preserve">Cons ml /ave día: </v>
      </c>
      <c r="AD311" s="2038"/>
      <c r="AE311" s="2056">
        <f>IFERROR(SUMPRODUCT(AB306:AB312,I306:I312)/SUM(I306:I312),0)</f>
        <v>0</v>
      </c>
      <c r="AF311" s="2057"/>
      <c r="AG311" s="311" t="str">
        <f>CONCATENATE("Costo ",Iniciar!$C$25," : ")</f>
        <v xml:space="preserve">Costo Kilos : </v>
      </c>
      <c r="AH311" s="2043">
        <f>IFERROR(SUMPRODUCT(T306:T312,V306:V312)/SUMIF(T306:T312,"&gt;0",V306:V312),0)</f>
        <v>0</v>
      </c>
      <c r="AI311" s="2043"/>
      <c r="AJ311" s="313"/>
      <c r="AK311" s="2027"/>
      <c r="AL311" s="1284">
        <f t="shared" si="149"/>
        <v>0</v>
      </c>
      <c r="AM311" s="1285"/>
      <c r="AN311" s="1285"/>
      <c r="AO311" s="1285"/>
      <c r="AP311" s="1285"/>
      <c r="AQ311" s="1285"/>
      <c r="AR311" s="1285"/>
      <c r="AS311" s="1286"/>
      <c r="AT311" s="1287"/>
      <c r="AU311" s="1288"/>
      <c r="AV311" s="1289"/>
      <c r="AW311" s="1290"/>
      <c r="AX311" s="1291"/>
      <c r="AY311" s="1291"/>
      <c r="AZ311" s="1292"/>
      <c r="BA311" s="1293"/>
      <c r="BB311" s="1294"/>
      <c r="BC311" s="1295"/>
      <c r="BD311" s="1296">
        <f>BD310+PROD!L311-BA311</f>
        <v>0</v>
      </c>
      <c r="BE311" s="2133"/>
      <c r="BF311" s="507" t="e">
        <f t="shared" si="150"/>
        <v>#VALUE!</v>
      </c>
      <c r="BG311" s="329"/>
      <c r="BH311" s="1018">
        <f t="shared" si="151"/>
        <v>0</v>
      </c>
    </row>
    <row r="312" spans="1:60" ht="15" customHeight="1" x14ac:dyDescent="0.3">
      <c r="A312" s="2034"/>
      <c r="B312" s="287" t="str">
        <f t="shared" si="152"/>
        <v/>
      </c>
      <c r="C312" s="288" t="str">
        <f t="shared" si="147"/>
        <v/>
      </c>
      <c r="D312" s="691"/>
      <c r="E312" s="692"/>
      <c r="F312" s="693"/>
      <c r="G312" s="694"/>
      <c r="H312" s="695"/>
      <c r="I312" s="289">
        <f>I311-SUM($D312:F312)</f>
        <v>0</v>
      </c>
      <c r="J312" s="1239" t="str">
        <f>$J$11</f>
        <v>% Viabilidad :</v>
      </c>
      <c r="K312" s="1240">
        <f>IF(OR(SUM(L306:L312)&gt;0,SUM(V306:V312)&gt;0),1-(K309+K310),0)</f>
        <v>0</v>
      </c>
      <c r="L312" s="1247"/>
      <c r="M312" s="1248">
        <f>IF(I312&gt;0,(L312/IF(SUM(L306:L311)&gt;0,1,7))/I312,0)</f>
        <v>0</v>
      </c>
      <c r="N312" s="1249" t="str">
        <f>$N$11</f>
        <v xml:space="preserve">Uniformidad (10% +) : </v>
      </c>
      <c r="O312" s="1250">
        <f>IF(O310&gt;0,IF(O311&gt;0,100-SUM(O310:O311),0),0)</f>
        <v>0</v>
      </c>
      <c r="P312" s="1251">
        <f>100-SUM(P310:P311)</f>
        <v>5</v>
      </c>
      <c r="Q312" s="1252">
        <f>IF(AND(P312&gt;0,O312&gt;0),(O312/P312-1)*100,0)</f>
        <v>0</v>
      </c>
      <c r="R312" s="699"/>
      <c r="S312" s="762"/>
      <c r="T312" s="765">
        <f t="shared" si="158"/>
        <v>0</v>
      </c>
      <c r="U312" s="700"/>
      <c r="V312" s="701"/>
      <c r="W312" s="701"/>
      <c r="X312" s="295">
        <f t="shared" si="153"/>
        <v>0</v>
      </c>
      <c r="Y312" s="296">
        <f>IF(AA312&gt;0,V312,AE306/IF(Iniciar!$C$25="B X 40 K",40,IF(Iniciar!$C$25="B X 50 K",50,1))*I312/1000)</f>
        <v>0</v>
      </c>
      <c r="Z312" s="296">
        <f t="shared" si="154"/>
        <v>0</v>
      </c>
      <c r="AA312" s="297">
        <f>IF(I312&gt;0,(V312/IF(SUM(V306:V311)&gt;0,1,7))*$A$1/I312,0)</f>
        <v>0</v>
      </c>
      <c r="AB312" s="297">
        <f t="shared" si="148"/>
        <v>0</v>
      </c>
      <c r="AC312" s="2039" t="str">
        <f>$AC$11</f>
        <v xml:space="preserve">Relación Agua /Alimto: </v>
      </c>
      <c r="AD312" s="2040"/>
      <c r="AE312" s="2058">
        <f>IFERROR(AE311/AD306,0)</f>
        <v>0</v>
      </c>
      <c r="AF312" s="2059"/>
      <c r="AG312" s="1269" t="s">
        <v>237</v>
      </c>
      <c r="AH312" s="1270">
        <f>IF(SUM(L306:L312)&gt;0,AH311*SUM(V306:V312)/SUM(L306:L312),0)</f>
        <v>0</v>
      </c>
      <c r="AI312" s="1270">
        <f>IF(AND($A$1&gt;0,P306&gt;0),AH311/$A$1*(AE306/P306)*100,0)</f>
        <v>0</v>
      </c>
      <c r="AJ312" s="1271">
        <f t="shared" ref="AJ312:AJ317" si="177">IF(AND(AI312&gt;0,AH312&gt;0),(AH312/AI312-1)*100,0)</f>
        <v>0</v>
      </c>
      <c r="AK312" s="2028"/>
      <c r="AL312" s="1284">
        <f t="shared" si="149"/>
        <v>0</v>
      </c>
      <c r="AM312" s="1285"/>
      <c r="AN312" s="1285"/>
      <c r="AO312" s="1285"/>
      <c r="AP312" s="1285"/>
      <c r="AQ312" s="1285"/>
      <c r="AR312" s="1285"/>
      <c r="AS312" s="1286"/>
      <c r="AT312" s="1287"/>
      <c r="AU312" s="1288"/>
      <c r="AV312" s="1289"/>
      <c r="AW312" s="1290"/>
      <c r="AX312" s="1291"/>
      <c r="AY312" s="1291"/>
      <c r="AZ312" s="1292"/>
      <c r="BA312" s="1293"/>
      <c r="BB312" s="1294"/>
      <c r="BC312" s="1295"/>
      <c r="BD312" s="1296">
        <f>BD311+PROD!L312-BA312</f>
        <v>0</v>
      </c>
      <c r="BE312" s="2134"/>
      <c r="BF312" s="507" t="e">
        <f t="shared" si="150"/>
        <v>#VALUE!</v>
      </c>
      <c r="BG312" s="329"/>
      <c r="BH312" s="1018">
        <f t="shared" si="151"/>
        <v>0</v>
      </c>
    </row>
    <row r="313" spans="1:60" ht="15" customHeight="1" x14ac:dyDescent="0.3">
      <c r="A313" s="2032">
        <f>A306+1</f>
        <v>62</v>
      </c>
      <c r="B313" s="287" t="str">
        <f t="shared" si="152"/>
        <v/>
      </c>
      <c r="C313" s="288" t="str">
        <f t="shared" si="147"/>
        <v/>
      </c>
      <c r="D313" s="691"/>
      <c r="E313" s="692"/>
      <c r="F313" s="693"/>
      <c r="G313" s="694"/>
      <c r="H313" s="695"/>
      <c r="I313" s="289">
        <f>I312-SUM($D313:F313)</f>
        <v>0</v>
      </c>
      <c r="J313" s="1232" t="str">
        <f>$J$5</f>
        <v>% Mort Sem :</v>
      </c>
      <c r="K313" s="1233">
        <f>IF(PROD!$K$2&gt;0,SUM(D313:D319)/PROD!$K$2,0)</f>
        <v>0</v>
      </c>
      <c r="L313" s="1241"/>
      <c r="M313" s="1242">
        <f t="shared" ref="M313:M318" si="178">IF(I313&gt;0,L313/I313,0)</f>
        <v>0</v>
      </c>
      <c r="N313" s="1243" t="str">
        <f>$N$5</f>
        <v xml:space="preserve">% Pdn prom semana : </v>
      </c>
      <c r="O313" s="1244">
        <f>IF(SUM(L313:L318)&gt;0,100*SUMPRODUCT(M313:M319,I313:I319)/SUMIF(L313:L319,"&gt;0",I313:I319),IF(L319&gt;0,100*L319/7/I319,0))</f>
        <v>0</v>
      </c>
      <c r="P313" s="1244">
        <f>IFERROR(LOOKUP($A313,TP!$A$6:$A$108,GSh!$AE$6:$AE$108),0)</f>
        <v>0</v>
      </c>
      <c r="Q313" s="1245">
        <f>IF(AND(P313&gt;0,O313&gt;0),O313-P313,0)</f>
        <v>0</v>
      </c>
      <c r="R313" s="699"/>
      <c r="S313" s="762"/>
      <c r="T313" s="765">
        <f t="shared" si="158"/>
        <v>0</v>
      </c>
      <c r="U313" s="700"/>
      <c r="V313" s="701"/>
      <c r="W313" s="701"/>
      <c r="X313" s="295">
        <f t="shared" si="153"/>
        <v>0</v>
      </c>
      <c r="Y313" s="296">
        <f>IF(AA313&gt;0,V313,AE313/IF(Iniciar!$C$25="B X 40 K",40,IF(Iniciar!$C$25="B X 50 K",50,1))*I313/1000)</f>
        <v>0</v>
      </c>
      <c r="Z313" s="296">
        <f t="shared" si="154"/>
        <v>0</v>
      </c>
      <c r="AA313" s="297">
        <f t="shared" ref="AA313:AA318" si="179">IF(I313&gt;0,V313*$A$1/I313,0)</f>
        <v>0</v>
      </c>
      <c r="AB313" s="297">
        <f t="shared" si="148"/>
        <v>0</v>
      </c>
      <c r="AC313" s="1261" t="str">
        <f>$AC$5</f>
        <v>Gr. Ave Dia :</v>
      </c>
      <c r="AD313" s="1262">
        <f>IF(SUMIF(V313:V319,"&gt;0")&gt;0,SUMPRODUCT(AA313:AA319,I313:I319)/SUMIF(AA313:AA319,"&gt;0",I313:I319),0)</f>
        <v>0</v>
      </c>
      <c r="AE313" s="1262">
        <f>IFERROR(LOOKUP($A313,TP!$A$6:$A$108,GSh!$AU$6:$AU$108),0)</f>
        <v>0</v>
      </c>
      <c r="AF313" s="1263">
        <f>IF(AND(AE313&gt;0,AD313&gt;0),(AD313/AE313-1)*100,0)</f>
        <v>0</v>
      </c>
      <c r="AG313" s="1264" t="str">
        <f>PROD!$AG$5</f>
        <v>Gr X H</v>
      </c>
      <c r="AH313" s="1265">
        <f>IF(PROD!O313&gt;0,IF($AG313="Gr X H",PROD!AD313/PROD!O313*100,IF($AG313="Conv Kg/Doc",PROD!AD313/PROD!O313*1.2,IF(PROD!$O315&gt;0,PROD!AD313/(PROD!O313*PROD!$O315)*100,0))),0)</f>
        <v>0</v>
      </c>
      <c r="AI313" s="1265">
        <f>IF(PROD!P313&gt;0,IF($AG313="Gr X H",PROD!AE313/PROD!P313*100,IF($AG313="Conv Kg/Doc",PROD!AE313/PROD!P313*1.2,IF(PROD!$P315&gt;0,PROD!AE313/(PROD!P313*PROD!$P315)*100,0))),0)</f>
        <v>0</v>
      </c>
      <c r="AJ313" s="1266">
        <f t="shared" si="177"/>
        <v>0</v>
      </c>
      <c r="AK313" s="2026"/>
      <c r="AL313" s="1284">
        <f t="shared" si="149"/>
        <v>0</v>
      </c>
      <c r="AM313" s="1285"/>
      <c r="AN313" s="1285"/>
      <c r="AO313" s="1285"/>
      <c r="AP313" s="1285"/>
      <c r="AQ313" s="1285"/>
      <c r="AR313" s="1285"/>
      <c r="AS313" s="1286"/>
      <c r="AT313" s="1287"/>
      <c r="AU313" s="1288"/>
      <c r="AV313" s="1289"/>
      <c r="AW313" s="1290"/>
      <c r="AX313" s="1291"/>
      <c r="AY313" s="1291"/>
      <c r="AZ313" s="1292"/>
      <c r="BA313" s="1293"/>
      <c r="BB313" s="1294"/>
      <c r="BC313" s="1295"/>
      <c r="BD313" s="1296">
        <f>BD312+PROD!L313-BA313</f>
        <v>0</v>
      </c>
      <c r="BE313" s="2132">
        <f>IF(SUM(AM313:AZ319)&gt;0,(SUM(AM313:AM319)*$AM$2+SUM(AN313:AN319)*$AN$2+SUM(AO313:AO319)*$AO$2+SUM(AP313:AP319)*$AP$2+SUM(AQ313:AQ319)*$AQ$2+SUM(AR313:AR319)*$AR$2+SUM(AS313:AS319)*$AS$2+SUM(AW313:AW319)*$AW$2+SUM(AX313:AX319)*$AX$2+SUM(AY313:AY319)*$AY$2+SUM(AZ313:AZ319)*$AZ$2+SUM(AT313:AT319)*$AT$2+SUM(AU313:AU319)*$AU$2+SUM(AV313:AV319)*$AV$2)/SUM(AM313:AZ319),0)</f>
        <v>0</v>
      </c>
      <c r="BF313" s="507" t="e">
        <f t="shared" si="150"/>
        <v>#VALUE!</v>
      </c>
      <c r="BG313" s="277">
        <f>IF(SUM(L313:L319)&gt;0,A313,IF(SUM(V313:V319)&gt;0,A313,BG306))</f>
        <v>0</v>
      </c>
      <c r="BH313" s="1018">
        <f t="shared" si="151"/>
        <v>0</v>
      </c>
    </row>
    <row r="314" spans="1:60" ht="15" customHeight="1" x14ac:dyDescent="0.3">
      <c r="A314" s="2033"/>
      <c r="B314" s="287" t="str">
        <f t="shared" si="152"/>
        <v/>
      </c>
      <c r="C314" s="288" t="str">
        <f t="shared" si="147"/>
        <v/>
      </c>
      <c r="D314" s="691"/>
      <c r="E314" s="692"/>
      <c r="F314" s="693"/>
      <c r="G314" s="694"/>
      <c r="H314" s="695"/>
      <c r="I314" s="289">
        <f>I313-SUM($D314:F314)</f>
        <v>0</v>
      </c>
      <c r="J314" s="1234" t="str">
        <f>$J$6</f>
        <v>% Sel Sem :</v>
      </c>
      <c r="K314" s="1231">
        <f>IF(PROD!$K$2&gt;0,SUM(E313:E319)/PROD!$K$2,0)</f>
        <v>0</v>
      </c>
      <c r="L314" s="1246"/>
      <c r="M314" s="291">
        <f t="shared" si="178"/>
        <v>0</v>
      </c>
      <c r="N314" s="292" t="str">
        <f>$N$6</f>
        <v xml:space="preserve">H. Ave Alojada : </v>
      </c>
      <c r="O314" s="293">
        <f>IF(AND(PROD!$K$2&gt;0,O313&gt;0),SUM(L$5:L319)/PROD!$K$2,0)</f>
        <v>0</v>
      </c>
      <c r="P314" s="293">
        <f>IFERROR(LOOKUP($A313,TP!$A$6:$A$108,GSh!$AJ$6:$AJ$108),0)</f>
        <v>0</v>
      </c>
      <c r="Q314" s="294">
        <f>IF(AND(P314&gt;0,O314&gt;0),O314-P314,0)</f>
        <v>0</v>
      </c>
      <c r="R314" s="699"/>
      <c r="S314" s="762"/>
      <c r="T314" s="765">
        <f t="shared" si="158"/>
        <v>0</v>
      </c>
      <c r="U314" s="700"/>
      <c r="V314" s="701"/>
      <c r="W314" s="701"/>
      <c r="X314" s="295">
        <f t="shared" si="153"/>
        <v>0</v>
      </c>
      <c r="Y314" s="296">
        <f>IF(AA314&gt;0,V314,AE313/IF(Iniciar!$C$25="B X 40 K",40,IF(Iniciar!$C$25="B X 50 K",50,1))*I314/1000)</f>
        <v>0</v>
      </c>
      <c r="Z314" s="296">
        <f t="shared" si="154"/>
        <v>0</v>
      </c>
      <c r="AA314" s="297">
        <f t="shared" si="179"/>
        <v>0</v>
      </c>
      <c r="AB314" s="297">
        <f t="shared" si="148"/>
        <v>0</v>
      </c>
      <c r="AC314" s="1267" t="str">
        <f>$AC$6</f>
        <v>Gr. Ave Sem :</v>
      </c>
      <c r="AD314" s="284">
        <f>AD313*7</f>
        <v>0</v>
      </c>
      <c r="AE314" s="284">
        <f>AE313*7</f>
        <v>0</v>
      </c>
      <c r="AF314" s="285">
        <f>IF(AND(AE314&gt;0,AD314&gt;0),(AD314/AE314-1)*100,0)</f>
        <v>0</v>
      </c>
      <c r="AG314" s="1199" t="str">
        <f>PROD!$AG$6</f>
        <v>Gr X H Acm</v>
      </c>
      <c r="AH314" s="298">
        <f>IF(SUM(PROD!L313:L319)&gt;0,IF(PROD!$AG$5="Gr X H",SUM(PROD!V$5:V319)*PROD!$A$1/SUM(PROD!L$5:L319),IF($AG313="Conv Kg/Doc",(SUM(PROD!V$5:V319)*PROD!$A$1/1000)/(SUM(PROD!L$5:L319)/12),IF(PROD!$O315&gt;0,SUM(PROD!V$5:V319)*PROD!$A$1/(SUM(PROD!L$5:L319)*LOOKUP(PROD!A313,TP!$A$6:$A$108,GSh!$BB$6:$BB$108)),0))),0)</f>
        <v>0</v>
      </c>
      <c r="AI314" s="298">
        <f>IF(PROD!P313&gt;0,IF($AG313="Gr X H",PROD!AE313/PROD!P313*100,IF($AG313="Conv Kg/Doc",PROD!AE313/PROD!P313*1.2,IF(PROD!$P314&gt;0,PROD!AE315/(PROD!P314*LOOKUP(PROD!$A313,TP!$A$6:$A$108,GSh!$BC$6:$BC$108)/1000),0))),0)</f>
        <v>0</v>
      </c>
      <c r="AJ314" s="328">
        <f t="shared" si="177"/>
        <v>0</v>
      </c>
      <c r="AK314" s="2027"/>
      <c r="AL314" s="1284">
        <f t="shared" si="149"/>
        <v>0</v>
      </c>
      <c r="AM314" s="1285"/>
      <c r="AN314" s="1285"/>
      <c r="AO314" s="1285"/>
      <c r="AP314" s="1285"/>
      <c r="AQ314" s="1285"/>
      <c r="AR314" s="1285"/>
      <c r="AS314" s="1286"/>
      <c r="AT314" s="1287"/>
      <c r="AU314" s="1288"/>
      <c r="AV314" s="1289"/>
      <c r="AW314" s="1290"/>
      <c r="AX314" s="1291"/>
      <c r="AY314" s="1291"/>
      <c r="AZ314" s="1292"/>
      <c r="BA314" s="1293"/>
      <c r="BB314" s="1294"/>
      <c r="BC314" s="1295"/>
      <c r="BD314" s="1296">
        <f>BD313+PROD!L314-BA314</f>
        <v>0</v>
      </c>
      <c r="BE314" s="2133"/>
      <c r="BF314" s="507" t="e">
        <f t="shared" si="150"/>
        <v>#VALUE!</v>
      </c>
      <c r="BG314" s="329"/>
      <c r="BH314" s="1018">
        <f t="shared" si="151"/>
        <v>0</v>
      </c>
    </row>
    <row r="315" spans="1:60" ht="15" customHeight="1" x14ac:dyDescent="0.3">
      <c r="A315" s="2033"/>
      <c r="B315" s="287" t="str">
        <f t="shared" si="152"/>
        <v/>
      </c>
      <c r="C315" s="288" t="str">
        <f t="shared" si="147"/>
        <v/>
      </c>
      <c r="D315" s="691"/>
      <c r="E315" s="692"/>
      <c r="F315" s="693"/>
      <c r="G315" s="694"/>
      <c r="H315" s="695"/>
      <c r="I315" s="289">
        <f>I314-SUM($D315:F315)</f>
        <v>0</v>
      </c>
      <c r="J315" s="1235" t="str">
        <f>$J$7</f>
        <v>% Mort/Sel Sem Tab :</v>
      </c>
      <c r="K315" s="1236">
        <f>K318-K311</f>
        <v>0</v>
      </c>
      <c r="L315" s="1246"/>
      <c r="M315" s="291">
        <f t="shared" si="178"/>
        <v>0</v>
      </c>
      <c r="N315" s="304" t="str">
        <f>$N$7</f>
        <v xml:space="preserve">Peso Huevo (Gr) : </v>
      </c>
      <c r="O315" s="305">
        <f>LOOKUP($A313,'Pr-Sem'!$A$6:$A$108,'Pr-Sem'!$Z$6:$Z$108)</f>
        <v>0</v>
      </c>
      <c r="P315" s="305">
        <f>IFERROR(LOOKUP($A313,TP!$A$6:$A$108,GSh!$AZ$6:$AZ$108),0)</f>
        <v>0</v>
      </c>
      <c r="Q315" s="306">
        <f>IF(AND(P315&gt;0,O315&gt;0),O315-P315,0)</f>
        <v>0</v>
      </c>
      <c r="R315" s="699"/>
      <c r="S315" s="762"/>
      <c r="T315" s="765">
        <f t="shared" si="158"/>
        <v>0</v>
      </c>
      <c r="U315" s="700"/>
      <c r="V315" s="701"/>
      <c r="W315" s="701"/>
      <c r="X315" s="295">
        <f t="shared" si="153"/>
        <v>0</v>
      </c>
      <c r="Y315" s="296">
        <f>IF(AA315&gt;0,V315,AE313/IF(Iniciar!$C$25="B X 40 K",40,IF(Iniciar!$C$25="B X 50 K",50,1))*I315/1000)</f>
        <v>0</v>
      </c>
      <c r="Z315" s="296">
        <f t="shared" si="154"/>
        <v>0</v>
      </c>
      <c r="AA315" s="297">
        <f t="shared" si="179"/>
        <v>0</v>
      </c>
      <c r="AB315" s="297">
        <f t="shared" si="148"/>
        <v>0</v>
      </c>
      <c r="AC315" s="1268" t="str">
        <f>$AC$7</f>
        <v>Kg Ave Acu :</v>
      </c>
      <c r="AD315" s="308">
        <f>IF(OR(SUM(L313:L319)&gt;0,SUM(V313:V319)&gt;0),AD314/1000+AD308,0)</f>
        <v>0</v>
      </c>
      <c r="AE315" s="309">
        <f>AE314/1000+AE308</f>
        <v>0</v>
      </c>
      <c r="AF315" s="310">
        <f>IF(AND(AE315&gt;0,AD315&gt;0),(AD315/AE315-1)*100,0)</f>
        <v>0</v>
      </c>
      <c r="AG315" s="311" t="str">
        <f>PROD!$AG$7</f>
        <v xml:space="preserve">Masa Sem H (Gr) : </v>
      </c>
      <c r="AH315" s="312">
        <f>PROD!O313/100*7*PROD!O315</f>
        <v>0</v>
      </c>
      <c r="AI315" s="312">
        <f>PROD!P313/100*7*PROD!P315</f>
        <v>0</v>
      </c>
      <c r="AJ315" s="313">
        <f t="shared" si="177"/>
        <v>0</v>
      </c>
      <c r="AK315" s="2027"/>
      <c r="AL315" s="1284">
        <f t="shared" si="149"/>
        <v>0</v>
      </c>
      <c r="AM315" s="1285"/>
      <c r="AN315" s="1285"/>
      <c r="AO315" s="1285"/>
      <c r="AP315" s="1285"/>
      <c r="AQ315" s="1285"/>
      <c r="AR315" s="1285"/>
      <c r="AS315" s="1286"/>
      <c r="AT315" s="1287"/>
      <c r="AU315" s="1288"/>
      <c r="AV315" s="1289"/>
      <c r="AW315" s="1290"/>
      <c r="AX315" s="1291"/>
      <c r="AY315" s="1291"/>
      <c r="AZ315" s="1292"/>
      <c r="BA315" s="1293"/>
      <c r="BB315" s="1294"/>
      <c r="BC315" s="1295"/>
      <c r="BD315" s="1296">
        <f>BD314+PROD!L315-BA315</f>
        <v>0</v>
      </c>
      <c r="BE315" s="2133"/>
      <c r="BF315" s="507" t="e">
        <f t="shared" si="150"/>
        <v>#VALUE!</v>
      </c>
      <c r="BG315" s="329"/>
      <c r="BH315" s="1018">
        <f t="shared" si="151"/>
        <v>0</v>
      </c>
    </row>
    <row r="316" spans="1:60" ht="15" customHeight="1" x14ac:dyDescent="0.3">
      <c r="A316" s="2033"/>
      <c r="B316" s="287" t="str">
        <f t="shared" si="152"/>
        <v/>
      </c>
      <c r="C316" s="288" t="str">
        <f t="shared" si="147"/>
        <v/>
      </c>
      <c r="D316" s="691"/>
      <c r="E316" s="692"/>
      <c r="F316" s="693"/>
      <c r="G316" s="694"/>
      <c r="H316" s="695"/>
      <c r="I316" s="289">
        <f>I315-SUM($D316:F316)</f>
        <v>0</v>
      </c>
      <c r="J316" s="1234" t="str">
        <f>$J$8</f>
        <v>% Mort Acm :</v>
      </c>
      <c r="K316" s="1231">
        <f>IF(PROD!$K$2&gt;0,SUM(D$5:D319)/PROD!$K$2,0)</f>
        <v>0</v>
      </c>
      <c r="L316" s="1246"/>
      <c r="M316" s="291">
        <f t="shared" si="178"/>
        <v>0</v>
      </c>
      <c r="N316" s="314" t="str">
        <f>N$8</f>
        <v xml:space="preserve">Peso Ave (Gr) : </v>
      </c>
      <c r="O316" s="315">
        <f>LOOKUP($A313,GSh!$BV$6:$BV$108,GSh!$BJ$6:$BJ$108)</f>
        <v>0</v>
      </c>
      <c r="P316" s="315">
        <f>IFERROR(LOOKUP($A313,TP!$A$6:$A$108,GSh!$BK$6:$BK$108),0)</f>
        <v>0</v>
      </c>
      <c r="Q316" s="316">
        <f>IF(AND(P316&gt;0,O316&gt;0),(O316/P316-1)*100,0)</f>
        <v>0</v>
      </c>
      <c r="R316" s="699"/>
      <c r="S316" s="762"/>
      <c r="T316" s="765">
        <f t="shared" si="158"/>
        <v>0</v>
      </c>
      <c r="U316" s="700"/>
      <c r="V316" s="701"/>
      <c r="W316" s="701"/>
      <c r="X316" s="295">
        <f t="shared" si="153"/>
        <v>0</v>
      </c>
      <c r="Y316" s="296">
        <f>IF(AA316&gt;0,V316,AE313/IF(Iniciar!$C$25="B X 40 K",40,IF(Iniciar!$C$25="B X 50 K",50,1))*I316/1000)</f>
        <v>0</v>
      </c>
      <c r="Z316" s="296">
        <f t="shared" si="154"/>
        <v>0</v>
      </c>
      <c r="AA316" s="297">
        <f t="shared" si="179"/>
        <v>0</v>
      </c>
      <c r="AB316" s="297">
        <f t="shared" si="148"/>
        <v>0</v>
      </c>
      <c r="AC316" s="541" t="str">
        <f>$AC$8</f>
        <v xml:space="preserve">Ton. Lote Acu : </v>
      </c>
      <c r="AD316" s="544">
        <f>SUM($V$5:$V319)*$A$1/1000000</f>
        <v>0</v>
      </c>
      <c r="AE316" s="543">
        <f>AE309+(AE313/1000000*7*(I313+I319)/2)</f>
        <v>0</v>
      </c>
      <c r="AF316" s="542">
        <f>IF(AND(AE316&gt;0,AD316&gt;0),(AD316/AE316-1)*100,0)</f>
        <v>0</v>
      </c>
      <c r="AG316" s="317" t="str">
        <f>PROD!$AG$8</f>
        <v xml:space="preserve">Masa Ac A. A (Kg) : </v>
      </c>
      <c r="AH316" s="318">
        <f>IF(PROD!$K$2&gt;0,SUM(PROD!L$5:L319)*LOOKUP(PROD!$A313,TP!$A$6:$A$108,GSh!$BB$6:$BB$108)/1000/PROD!$K$2,0)</f>
        <v>0</v>
      </c>
      <c r="AI316" s="318">
        <f>IFERROR(PROD!P314*LOOKUP(PROD!$A313,TP!$A$6:$A$108,GSh!$BC$6:$BC$108)/1000,0)</f>
        <v>0</v>
      </c>
      <c r="AJ316" s="330">
        <f t="shared" si="177"/>
        <v>0</v>
      </c>
      <c r="AK316" s="2027"/>
      <c r="AL316" s="1284">
        <f t="shared" si="149"/>
        <v>0</v>
      </c>
      <c r="AM316" s="1285"/>
      <c r="AN316" s="1285"/>
      <c r="AO316" s="1285"/>
      <c r="AP316" s="1285"/>
      <c r="AQ316" s="1285"/>
      <c r="AR316" s="1285"/>
      <c r="AS316" s="1286"/>
      <c r="AT316" s="1287"/>
      <c r="AU316" s="1288"/>
      <c r="AV316" s="1289"/>
      <c r="AW316" s="1290"/>
      <c r="AX316" s="1291"/>
      <c r="AY316" s="1291"/>
      <c r="AZ316" s="1292"/>
      <c r="BA316" s="1293"/>
      <c r="BB316" s="1294"/>
      <c r="BC316" s="1295"/>
      <c r="BD316" s="1296">
        <f>BD315+PROD!L316-BA316</f>
        <v>0</v>
      </c>
      <c r="BE316" s="2133"/>
      <c r="BF316" s="507" t="e">
        <f t="shared" si="150"/>
        <v>#VALUE!</v>
      </c>
      <c r="BG316" s="329"/>
      <c r="BH316" s="1018">
        <f t="shared" si="151"/>
        <v>0</v>
      </c>
    </row>
    <row r="317" spans="1:60" ht="15" customHeight="1" x14ac:dyDescent="0.3">
      <c r="A317" s="2033"/>
      <c r="B317" s="287" t="str">
        <f t="shared" si="152"/>
        <v/>
      </c>
      <c r="C317" s="288" t="str">
        <f t="shared" si="147"/>
        <v/>
      </c>
      <c r="D317" s="691"/>
      <c r="E317" s="692"/>
      <c r="F317" s="693"/>
      <c r="G317" s="694"/>
      <c r="H317" s="695"/>
      <c r="I317" s="289">
        <f>I316-SUM($D317:F317)</f>
        <v>0</v>
      </c>
      <c r="J317" s="1234" t="str">
        <f>$J$9</f>
        <v>% Sel Acm :</v>
      </c>
      <c r="K317" s="1231">
        <f>IF(PROD!$K$2&gt;0,SUM(E$5:E319)/PROD!$K$2,0)</f>
        <v>0</v>
      </c>
      <c r="L317" s="1246"/>
      <c r="M317" s="291">
        <f t="shared" si="178"/>
        <v>0</v>
      </c>
      <c r="N317" s="292" t="str">
        <f>$N$9</f>
        <v xml:space="preserve">Uniformidad (10% -) : </v>
      </c>
      <c r="O317" s="320">
        <f>LOOKUP($A313,'Pr-Sem'!$A$6:$A$108,'Pr-Sem'!$AH$6:$AH$108)</f>
        <v>0</v>
      </c>
      <c r="P317" s="320">
        <v>5</v>
      </c>
      <c r="Q317" s="321">
        <f>IF(AND(P317&gt;0,O317&gt;0),(1-O317/P317)*100,0)</f>
        <v>0</v>
      </c>
      <c r="R317" s="699"/>
      <c r="S317" s="762"/>
      <c r="T317" s="765">
        <f t="shared" si="158"/>
        <v>0</v>
      </c>
      <c r="U317" s="700"/>
      <c r="V317" s="701"/>
      <c r="W317" s="701"/>
      <c r="X317" s="295">
        <f t="shared" si="153"/>
        <v>0</v>
      </c>
      <c r="Y317" s="296">
        <f>IF(AA317&gt;0,V317,AE313/IF(Iniciar!$C$25="B X 40 K",40,IF(Iniciar!$C$25="B X 50 K",50,1))*I317/1000)</f>
        <v>0</v>
      </c>
      <c r="Z317" s="296">
        <f t="shared" si="154"/>
        <v>0</v>
      </c>
      <c r="AA317" s="297">
        <f t="shared" si="179"/>
        <v>0</v>
      </c>
      <c r="AB317" s="297">
        <f t="shared" si="148"/>
        <v>0</v>
      </c>
      <c r="AC317" s="2035" t="str">
        <f>$AC$9</f>
        <v xml:space="preserve">Total Litros Sem: </v>
      </c>
      <c r="AD317" s="2036"/>
      <c r="AE317" s="2050">
        <f>SUM(R313:R319)</f>
        <v>0</v>
      </c>
      <c r="AF317" s="2051"/>
      <c r="AG317" s="554" t="str">
        <f>$AG$9</f>
        <v xml:space="preserve">Indicador Eficiencia : </v>
      </c>
      <c r="AH317" s="555">
        <f>IF(AND(AE317&gt;0,O314&gt;0,O315&gt;0,SUM(L313:L319)&gt;0),(PROD!AH316/O314)*K319*100/(AE317/(SUM(L313:L319)*O315/1000)),0)</f>
        <v>0</v>
      </c>
      <c r="AI317" s="555">
        <f>IF(AND(P314&gt;0,PROD!AI315&gt;0),(PROD!AI316/P314)*(1-K318)*100/(AE314/PROD!AI315),0)</f>
        <v>0</v>
      </c>
      <c r="AJ317" s="331">
        <f t="shared" si="177"/>
        <v>0</v>
      </c>
      <c r="AK317" s="2027"/>
      <c r="AL317" s="1284">
        <f t="shared" si="149"/>
        <v>0</v>
      </c>
      <c r="AM317" s="1285"/>
      <c r="AN317" s="1285"/>
      <c r="AO317" s="1285"/>
      <c r="AP317" s="1285"/>
      <c r="AQ317" s="1285"/>
      <c r="AR317" s="1285"/>
      <c r="AS317" s="1286"/>
      <c r="AT317" s="1287"/>
      <c r="AU317" s="1288"/>
      <c r="AV317" s="1289"/>
      <c r="AW317" s="1290"/>
      <c r="AX317" s="1291"/>
      <c r="AY317" s="1291"/>
      <c r="AZ317" s="1292"/>
      <c r="BA317" s="1293"/>
      <c r="BB317" s="1294"/>
      <c r="BC317" s="1295"/>
      <c r="BD317" s="1296">
        <f>BD316+PROD!L317-BA317</f>
        <v>0</v>
      </c>
      <c r="BE317" s="2133"/>
      <c r="BF317" s="507" t="e">
        <f t="shared" si="150"/>
        <v>#VALUE!</v>
      </c>
      <c r="BG317" s="329"/>
      <c r="BH317" s="1018">
        <f t="shared" si="151"/>
        <v>0</v>
      </c>
    </row>
    <row r="318" spans="1:60" ht="15" customHeight="1" x14ac:dyDescent="0.3">
      <c r="A318" s="2033"/>
      <c r="B318" s="287" t="str">
        <f t="shared" si="152"/>
        <v/>
      </c>
      <c r="C318" s="288" t="str">
        <f t="shared" si="147"/>
        <v/>
      </c>
      <c r="D318" s="691"/>
      <c r="E318" s="692"/>
      <c r="F318" s="693"/>
      <c r="G318" s="694"/>
      <c r="H318" s="695"/>
      <c r="I318" s="289">
        <f>I317-SUM($D318:F318)</f>
        <v>0</v>
      </c>
      <c r="J318" s="1237" t="str">
        <f>$J$10</f>
        <v>% Mort/Sel Acm Tab :</v>
      </c>
      <c r="K318" s="1238">
        <f>IFERROR(LOOKUP($A313,TP!$A$6:$A$108,GSh!$AR$6:$AR$108)/100,0)</f>
        <v>0</v>
      </c>
      <c r="L318" s="1246"/>
      <c r="M318" s="291">
        <f t="shared" si="178"/>
        <v>0</v>
      </c>
      <c r="N318" s="292" t="str">
        <f>$N$10</f>
        <v xml:space="preserve">Uniformidad (C. Lote) : </v>
      </c>
      <c r="O318" s="320">
        <f>LOOKUP($A313,'Pr-Sem'!$A$6:$A$108,'Pr-Sem'!$AG$6:$AG$108)</f>
        <v>0</v>
      </c>
      <c r="P318" s="320">
        <v>90</v>
      </c>
      <c r="Q318" s="321">
        <f>IF(AND(P318&gt;0,O318&gt;0),(O318/P318-1)*100,0)</f>
        <v>0</v>
      </c>
      <c r="R318" s="699"/>
      <c r="S318" s="762"/>
      <c r="T318" s="765">
        <f t="shared" si="158"/>
        <v>0</v>
      </c>
      <c r="U318" s="700"/>
      <c r="V318" s="701"/>
      <c r="W318" s="701"/>
      <c r="X318" s="295">
        <f t="shared" si="153"/>
        <v>0</v>
      </c>
      <c r="Y318" s="296">
        <f>IF(AA318&gt;0,V318,AE313/IF(Iniciar!$C$25="B X 40 K",40,IF(Iniciar!$C$25="B X 50 K",50,1))*I318/1000)</f>
        <v>0</v>
      </c>
      <c r="Z318" s="296">
        <f t="shared" si="154"/>
        <v>0</v>
      </c>
      <c r="AA318" s="297">
        <f t="shared" si="179"/>
        <v>0</v>
      </c>
      <c r="AB318" s="297">
        <f t="shared" si="148"/>
        <v>0</v>
      </c>
      <c r="AC318" s="2037" t="str">
        <f>$AC$10</f>
        <v xml:space="preserve">Cons ml /ave día: </v>
      </c>
      <c r="AD318" s="2038"/>
      <c r="AE318" s="2056">
        <f>IFERROR(SUMPRODUCT(AB313:AB319,I313:I319)/SUM(I313:I319),0)</f>
        <v>0</v>
      </c>
      <c r="AF318" s="2057"/>
      <c r="AG318" s="311" t="str">
        <f>CONCATENATE("Costo ",Iniciar!$C$25," : ")</f>
        <v xml:space="preserve">Costo Kilos : </v>
      </c>
      <c r="AH318" s="2043">
        <f>IFERROR(SUMPRODUCT(T313:T319,V313:V319)/SUMIF(T313:T319,"&gt;0",V313:V319),0)</f>
        <v>0</v>
      </c>
      <c r="AI318" s="2043"/>
      <c r="AJ318" s="313"/>
      <c r="AK318" s="2027"/>
      <c r="AL318" s="1284">
        <f t="shared" si="149"/>
        <v>0</v>
      </c>
      <c r="AM318" s="1285"/>
      <c r="AN318" s="1285"/>
      <c r="AO318" s="1285"/>
      <c r="AP318" s="1285"/>
      <c r="AQ318" s="1285"/>
      <c r="AR318" s="1285"/>
      <c r="AS318" s="1286"/>
      <c r="AT318" s="1287"/>
      <c r="AU318" s="1288"/>
      <c r="AV318" s="1289"/>
      <c r="AW318" s="1290"/>
      <c r="AX318" s="1291"/>
      <c r="AY318" s="1291"/>
      <c r="AZ318" s="1292"/>
      <c r="BA318" s="1293"/>
      <c r="BB318" s="1294"/>
      <c r="BC318" s="1295"/>
      <c r="BD318" s="1296">
        <f>BD317+PROD!L318-BA318</f>
        <v>0</v>
      </c>
      <c r="BE318" s="2133"/>
      <c r="BF318" s="507" t="e">
        <f t="shared" si="150"/>
        <v>#VALUE!</v>
      </c>
      <c r="BG318" s="329"/>
      <c r="BH318" s="1018">
        <f t="shared" si="151"/>
        <v>0</v>
      </c>
    </row>
    <row r="319" spans="1:60" ht="15" customHeight="1" x14ac:dyDescent="0.3">
      <c r="A319" s="2034"/>
      <c r="B319" s="287" t="str">
        <f t="shared" si="152"/>
        <v/>
      </c>
      <c r="C319" s="288" t="str">
        <f t="shared" si="147"/>
        <v/>
      </c>
      <c r="D319" s="691"/>
      <c r="E319" s="692"/>
      <c r="F319" s="693"/>
      <c r="G319" s="694"/>
      <c r="H319" s="695"/>
      <c r="I319" s="289">
        <f>I318-SUM($D319:F319)</f>
        <v>0</v>
      </c>
      <c r="J319" s="1239" t="str">
        <f>$J$11</f>
        <v>% Viabilidad :</v>
      </c>
      <c r="K319" s="1240">
        <f>IF(OR(SUM(L313:L319)&gt;0,SUM(V313:V319)&gt;0),1-(K316+K317),0)</f>
        <v>0</v>
      </c>
      <c r="L319" s="1247"/>
      <c r="M319" s="1248">
        <f>IF(I319&gt;0,(L319/IF(SUM(L313:L318)&gt;0,1,7))/I319,0)</f>
        <v>0</v>
      </c>
      <c r="N319" s="1249" t="str">
        <f>$N$11</f>
        <v xml:space="preserve">Uniformidad (10% +) : </v>
      </c>
      <c r="O319" s="1250">
        <f>IF(O317&gt;0,IF(O318&gt;0,100-SUM(O317:O318),0),0)</f>
        <v>0</v>
      </c>
      <c r="P319" s="1251">
        <f>100-SUM(P317:P318)</f>
        <v>5</v>
      </c>
      <c r="Q319" s="1252">
        <f>IF(AND(P319&gt;0,O319&gt;0),(O319/P319-1)*100,0)</f>
        <v>0</v>
      </c>
      <c r="R319" s="699"/>
      <c r="S319" s="762"/>
      <c r="T319" s="765">
        <f t="shared" si="158"/>
        <v>0</v>
      </c>
      <c r="U319" s="700"/>
      <c r="V319" s="701"/>
      <c r="W319" s="701"/>
      <c r="X319" s="295">
        <f t="shared" si="153"/>
        <v>0</v>
      </c>
      <c r="Y319" s="296">
        <f>IF(AA319&gt;0,V319,AE313/IF(Iniciar!$C$25="B X 40 K",40,IF(Iniciar!$C$25="B X 50 K",50,1))*I319/1000)</f>
        <v>0</v>
      </c>
      <c r="Z319" s="296">
        <f t="shared" si="154"/>
        <v>0</v>
      </c>
      <c r="AA319" s="297">
        <f>IF(I319&gt;0,(V319/IF(SUM(V313:V318)&gt;0,1,7))*$A$1/I319,0)</f>
        <v>0</v>
      </c>
      <c r="AB319" s="297">
        <f t="shared" si="148"/>
        <v>0</v>
      </c>
      <c r="AC319" s="2039" t="str">
        <f>$AC$11</f>
        <v xml:space="preserve">Relación Agua /Alimto: </v>
      </c>
      <c r="AD319" s="2040"/>
      <c r="AE319" s="2058">
        <f>IFERROR(AE318/AD313,0)</f>
        <v>0</v>
      </c>
      <c r="AF319" s="2059"/>
      <c r="AG319" s="1269" t="s">
        <v>237</v>
      </c>
      <c r="AH319" s="1270">
        <f>IF(SUM(L313:L319)&gt;0,AH318*SUM(V313:V319)/SUM(L313:L319),0)</f>
        <v>0</v>
      </c>
      <c r="AI319" s="1270">
        <f>IF(AND($A$1&gt;0,P313&gt;0),AH318/$A$1*(AE313/P313)*100,0)</f>
        <v>0</v>
      </c>
      <c r="AJ319" s="1271">
        <f t="shared" ref="AJ319:AJ324" si="180">IF(AND(AI319&gt;0,AH319&gt;0),(AH319/AI319-1)*100,0)</f>
        <v>0</v>
      </c>
      <c r="AK319" s="2028"/>
      <c r="AL319" s="1284">
        <f t="shared" si="149"/>
        <v>0</v>
      </c>
      <c r="AM319" s="1285"/>
      <c r="AN319" s="1285"/>
      <c r="AO319" s="1285"/>
      <c r="AP319" s="1285"/>
      <c r="AQ319" s="1285"/>
      <c r="AR319" s="1285"/>
      <c r="AS319" s="1286"/>
      <c r="AT319" s="1287"/>
      <c r="AU319" s="1288"/>
      <c r="AV319" s="1289"/>
      <c r="AW319" s="1290"/>
      <c r="AX319" s="1291"/>
      <c r="AY319" s="1291"/>
      <c r="AZ319" s="1292"/>
      <c r="BA319" s="1293"/>
      <c r="BB319" s="1294"/>
      <c r="BC319" s="1295"/>
      <c r="BD319" s="1296">
        <f>BD318+PROD!L319-BA319</f>
        <v>0</v>
      </c>
      <c r="BE319" s="2134"/>
      <c r="BF319" s="507" t="e">
        <f t="shared" si="150"/>
        <v>#VALUE!</v>
      </c>
      <c r="BG319" s="329"/>
      <c r="BH319" s="1018">
        <f t="shared" si="151"/>
        <v>0</v>
      </c>
    </row>
    <row r="320" spans="1:60" ht="15" customHeight="1" x14ac:dyDescent="0.3">
      <c r="A320" s="2032">
        <f>A313+1</f>
        <v>63</v>
      </c>
      <c r="B320" s="287" t="str">
        <f t="shared" si="152"/>
        <v/>
      </c>
      <c r="C320" s="288" t="str">
        <f t="shared" si="147"/>
        <v/>
      </c>
      <c r="D320" s="691"/>
      <c r="E320" s="692"/>
      <c r="F320" s="693"/>
      <c r="G320" s="694"/>
      <c r="H320" s="695"/>
      <c r="I320" s="289">
        <f>I319-SUM($D320:F320)</f>
        <v>0</v>
      </c>
      <c r="J320" s="1232" t="str">
        <f>$J$5</f>
        <v>% Mort Sem :</v>
      </c>
      <c r="K320" s="1233">
        <f>IF(PROD!$K$2&gt;0,SUM(D320:D326)/PROD!$K$2,0)</f>
        <v>0</v>
      </c>
      <c r="L320" s="1241"/>
      <c r="M320" s="1242">
        <f t="shared" ref="M320:M325" si="181">IF(I320&gt;0,L320/I320,0)</f>
        <v>0</v>
      </c>
      <c r="N320" s="1243" t="str">
        <f>$N$5</f>
        <v xml:space="preserve">% Pdn prom semana : </v>
      </c>
      <c r="O320" s="1244">
        <f>IF(SUM(L320:L325)&gt;0,100*SUMPRODUCT(M320:M326,I320:I326)/SUMIF(L320:L326,"&gt;0",I320:I326),IF(L326&gt;0,100*L326/7/I326,0))</f>
        <v>0</v>
      </c>
      <c r="P320" s="1244">
        <f>IFERROR(LOOKUP($A320,TP!$A$6:$A$108,GSh!$AE$6:$AE$108),0)</f>
        <v>0</v>
      </c>
      <c r="Q320" s="1245">
        <f>IF(AND(P320&gt;0,O320&gt;0),O320-P320,0)</f>
        <v>0</v>
      </c>
      <c r="R320" s="699"/>
      <c r="S320" s="762"/>
      <c r="T320" s="765">
        <f t="shared" si="158"/>
        <v>0</v>
      </c>
      <c r="U320" s="700"/>
      <c r="V320" s="701"/>
      <c r="W320" s="701"/>
      <c r="X320" s="295">
        <f t="shared" si="153"/>
        <v>0</v>
      </c>
      <c r="Y320" s="296">
        <f>IF(AA320&gt;0,V320,AE320/IF(Iniciar!$C$25="B X 40 K",40,IF(Iniciar!$C$25="B X 50 K",50,1))*I320/1000)</f>
        <v>0</v>
      </c>
      <c r="Z320" s="296">
        <f t="shared" si="154"/>
        <v>0</v>
      </c>
      <c r="AA320" s="297">
        <f t="shared" ref="AA320:AA325" si="182">IF(I320&gt;0,V320*$A$1/I320,0)</f>
        <v>0</v>
      </c>
      <c r="AB320" s="297">
        <f t="shared" si="148"/>
        <v>0</v>
      </c>
      <c r="AC320" s="1261" t="str">
        <f>$AC$5</f>
        <v>Gr. Ave Dia :</v>
      </c>
      <c r="AD320" s="1262">
        <f>IF(SUMIF(V320:V326,"&gt;0")&gt;0,SUMPRODUCT(AA320:AA326,I320:I326)/SUMIF(AA320:AA326,"&gt;0",I320:I326),0)</f>
        <v>0</v>
      </c>
      <c r="AE320" s="1262">
        <f>IFERROR(LOOKUP($A320,TP!$A$6:$A$108,GSh!$AU$6:$AU$108),0)</f>
        <v>0</v>
      </c>
      <c r="AF320" s="1263">
        <f>IF(AND(AE320&gt;0,AD320&gt;0),(AD320/AE320-1)*100,0)</f>
        <v>0</v>
      </c>
      <c r="AG320" s="1264" t="str">
        <f>PROD!$AG$5</f>
        <v>Gr X H</v>
      </c>
      <c r="AH320" s="1265">
        <f>IF(PROD!O320&gt;0,IF($AG320="Gr X H",PROD!AD320/PROD!O320*100,IF($AG320="Conv Kg/Doc",PROD!AD320/PROD!O320*1.2,IF(PROD!$O322&gt;0,PROD!AD320/(PROD!O320*PROD!$O322)*100,0))),0)</f>
        <v>0</v>
      </c>
      <c r="AI320" s="1265">
        <f>IF(PROD!P320&gt;0,IF($AG320="Gr X H",PROD!AE320/PROD!P320*100,IF($AG320="Conv Kg/Doc",PROD!AE320/PROD!P320*1.2,IF(PROD!$P322&gt;0,PROD!AE320/(PROD!P320*PROD!$P322)*100,0))),0)</f>
        <v>0</v>
      </c>
      <c r="AJ320" s="1266">
        <f t="shared" si="180"/>
        <v>0</v>
      </c>
      <c r="AK320" s="2026"/>
      <c r="AL320" s="1284">
        <f t="shared" si="149"/>
        <v>0</v>
      </c>
      <c r="AM320" s="1285"/>
      <c r="AN320" s="1285"/>
      <c r="AO320" s="1285"/>
      <c r="AP320" s="1285"/>
      <c r="AQ320" s="1285"/>
      <c r="AR320" s="1285"/>
      <c r="AS320" s="1286"/>
      <c r="AT320" s="1287"/>
      <c r="AU320" s="1288"/>
      <c r="AV320" s="1289"/>
      <c r="AW320" s="1290"/>
      <c r="AX320" s="1291"/>
      <c r="AY320" s="1291"/>
      <c r="AZ320" s="1292"/>
      <c r="BA320" s="1293"/>
      <c r="BB320" s="1294"/>
      <c r="BC320" s="1295"/>
      <c r="BD320" s="1296">
        <f>BD319+PROD!L320-BA320</f>
        <v>0</v>
      </c>
      <c r="BE320" s="2132">
        <f>IF(SUM(AM320:AZ326)&gt;0,(SUM(AM320:AM326)*$AM$2+SUM(AN320:AN326)*$AN$2+SUM(AO320:AO326)*$AO$2+SUM(AP320:AP326)*$AP$2+SUM(AQ320:AQ326)*$AQ$2+SUM(AR320:AR326)*$AR$2+SUM(AS320:AS326)*$AS$2+SUM(AW320:AW326)*$AW$2+SUM(AX320:AX326)*$AX$2+SUM(AY320:AY326)*$AY$2+SUM(AZ320:AZ326)*$AZ$2+SUM(AT320:AT326)*$AT$2+SUM(AU320:AU326)*$AU$2+SUM(AV320:AV326)*$AV$2)/SUM(AM320:AZ326),0)</f>
        <v>0</v>
      </c>
      <c r="BF320" s="507" t="e">
        <f t="shared" si="150"/>
        <v>#VALUE!</v>
      </c>
      <c r="BG320" s="277">
        <f>IF(SUM(L320:L326)&gt;0,A320,IF(SUM(V320:V326)&gt;0,A320,BG313))</f>
        <v>0</v>
      </c>
      <c r="BH320" s="1018">
        <f t="shared" si="151"/>
        <v>0</v>
      </c>
    </row>
    <row r="321" spans="1:60" ht="15" customHeight="1" x14ac:dyDescent="0.3">
      <c r="A321" s="2033"/>
      <c r="B321" s="287" t="str">
        <f t="shared" si="152"/>
        <v/>
      </c>
      <c r="C321" s="288" t="str">
        <f t="shared" si="147"/>
        <v/>
      </c>
      <c r="D321" s="691"/>
      <c r="E321" s="692"/>
      <c r="F321" s="693"/>
      <c r="G321" s="694"/>
      <c r="H321" s="695"/>
      <c r="I321" s="289">
        <f>I320-SUM($D321:F321)</f>
        <v>0</v>
      </c>
      <c r="J321" s="1234" t="str">
        <f>$J$6</f>
        <v>% Sel Sem :</v>
      </c>
      <c r="K321" s="1231">
        <f>IF(PROD!$K$2&gt;0,SUM(E320:E326)/PROD!$K$2,0)</f>
        <v>0</v>
      </c>
      <c r="L321" s="1246"/>
      <c r="M321" s="291">
        <f t="shared" si="181"/>
        <v>0</v>
      </c>
      <c r="N321" s="292" t="str">
        <f>$N$6</f>
        <v xml:space="preserve">H. Ave Alojada : </v>
      </c>
      <c r="O321" s="293">
        <f>IF(AND(PROD!$K$2&gt;0,O320&gt;0),SUM(L$5:L326)/PROD!$K$2,0)</f>
        <v>0</v>
      </c>
      <c r="P321" s="293">
        <f>IFERROR(LOOKUP($A320,TP!$A$6:$A$108,GSh!$AJ$6:$AJ$108),0)</f>
        <v>0</v>
      </c>
      <c r="Q321" s="294">
        <f>IF(AND(P321&gt;0,O321&gt;0),O321-P321,0)</f>
        <v>0</v>
      </c>
      <c r="R321" s="699"/>
      <c r="S321" s="762"/>
      <c r="T321" s="765">
        <f t="shared" si="158"/>
        <v>0</v>
      </c>
      <c r="U321" s="700"/>
      <c r="V321" s="701"/>
      <c r="W321" s="701"/>
      <c r="X321" s="295">
        <f t="shared" si="153"/>
        <v>0</v>
      </c>
      <c r="Y321" s="296">
        <f>IF(AA321&gt;0,V321,AE320/IF(Iniciar!$C$25="B X 40 K",40,IF(Iniciar!$C$25="B X 50 K",50,1))*I321/1000)</f>
        <v>0</v>
      </c>
      <c r="Z321" s="296">
        <f t="shared" si="154"/>
        <v>0</v>
      </c>
      <c r="AA321" s="297">
        <f t="shared" si="182"/>
        <v>0</v>
      </c>
      <c r="AB321" s="297">
        <f t="shared" si="148"/>
        <v>0</v>
      </c>
      <c r="AC321" s="1267" t="str">
        <f>$AC$6</f>
        <v>Gr. Ave Sem :</v>
      </c>
      <c r="AD321" s="284">
        <f>AD320*7</f>
        <v>0</v>
      </c>
      <c r="AE321" s="284">
        <f>AE320*7</f>
        <v>0</v>
      </c>
      <c r="AF321" s="285">
        <f>IF(AND(AE321&gt;0,AD321&gt;0),(AD321/AE321-1)*100,0)</f>
        <v>0</v>
      </c>
      <c r="AG321" s="1199" t="str">
        <f>PROD!$AG$6</f>
        <v>Gr X H Acm</v>
      </c>
      <c r="AH321" s="298">
        <f>IF(SUM(PROD!L320:L326)&gt;0,IF(PROD!$AG$5="Gr X H",SUM(PROD!V$5:V326)*PROD!$A$1/SUM(PROD!L$5:L326),IF($AG320="Conv Kg/Doc",(SUM(PROD!V$5:V326)*PROD!$A$1/1000)/(SUM(PROD!L$5:L326)/12),IF(PROD!$O322&gt;0,SUM(PROD!V$5:V326)*PROD!$A$1/(SUM(PROD!L$5:L326)*LOOKUP(PROD!A320,TP!$A$6:$A$108,GSh!$BB$6:$BB$108)),0))),0)</f>
        <v>0</v>
      </c>
      <c r="AI321" s="298">
        <f>IF(PROD!P320&gt;0,IF($AG320="Gr X H",PROD!AE320/PROD!P320*100,IF($AG320="Conv Kg/Doc",PROD!AE320/PROD!P320*1.2,IF(PROD!$P321&gt;0,PROD!AE322/(PROD!P321*LOOKUP(PROD!$A320,TP!$A$6:$A$108,GSh!$BC$6:$BC$108)/1000),0))),0)</f>
        <v>0</v>
      </c>
      <c r="AJ321" s="328">
        <f t="shared" si="180"/>
        <v>0</v>
      </c>
      <c r="AK321" s="2027"/>
      <c r="AL321" s="1284">
        <f t="shared" si="149"/>
        <v>0</v>
      </c>
      <c r="AM321" s="1285"/>
      <c r="AN321" s="1285"/>
      <c r="AO321" s="1285"/>
      <c r="AP321" s="1285"/>
      <c r="AQ321" s="1285"/>
      <c r="AR321" s="1285"/>
      <c r="AS321" s="1286"/>
      <c r="AT321" s="1287"/>
      <c r="AU321" s="1288"/>
      <c r="AV321" s="1289"/>
      <c r="AW321" s="1290"/>
      <c r="AX321" s="1291"/>
      <c r="AY321" s="1291"/>
      <c r="AZ321" s="1292"/>
      <c r="BA321" s="1293"/>
      <c r="BB321" s="1294"/>
      <c r="BC321" s="1295"/>
      <c r="BD321" s="1296">
        <f>BD320+PROD!L321-BA321</f>
        <v>0</v>
      </c>
      <c r="BE321" s="2133"/>
      <c r="BF321" s="507" t="e">
        <f t="shared" si="150"/>
        <v>#VALUE!</v>
      </c>
      <c r="BG321" s="329"/>
      <c r="BH321" s="1018">
        <f t="shared" si="151"/>
        <v>0</v>
      </c>
    </row>
    <row r="322" spans="1:60" ht="15" customHeight="1" x14ac:dyDescent="0.3">
      <c r="A322" s="2033"/>
      <c r="B322" s="287" t="str">
        <f t="shared" si="152"/>
        <v/>
      </c>
      <c r="C322" s="288" t="str">
        <f t="shared" si="147"/>
        <v/>
      </c>
      <c r="D322" s="691"/>
      <c r="E322" s="692"/>
      <c r="F322" s="693"/>
      <c r="G322" s="694"/>
      <c r="H322" s="695"/>
      <c r="I322" s="289">
        <f>I321-SUM($D322:F322)</f>
        <v>0</v>
      </c>
      <c r="J322" s="1235" t="str">
        <f>$J$7</f>
        <v>% Mort/Sel Sem Tab :</v>
      </c>
      <c r="K322" s="1236">
        <f>K325-K318</f>
        <v>0</v>
      </c>
      <c r="L322" s="1246"/>
      <c r="M322" s="291">
        <f t="shared" si="181"/>
        <v>0</v>
      </c>
      <c r="N322" s="304" t="str">
        <f>$N$7</f>
        <v xml:space="preserve">Peso Huevo (Gr) : </v>
      </c>
      <c r="O322" s="305">
        <f>LOOKUP($A320,'Pr-Sem'!$A$6:$A$108,'Pr-Sem'!$Z$6:$Z$108)</f>
        <v>0</v>
      </c>
      <c r="P322" s="305">
        <f>IFERROR(LOOKUP($A320,TP!$A$6:$A$108,GSh!$AZ$6:$AZ$108),0)</f>
        <v>0</v>
      </c>
      <c r="Q322" s="306">
        <f>IF(AND(P322&gt;0,O322&gt;0),O322-P322,0)</f>
        <v>0</v>
      </c>
      <c r="R322" s="699"/>
      <c r="S322" s="762"/>
      <c r="T322" s="765">
        <f t="shared" si="158"/>
        <v>0</v>
      </c>
      <c r="U322" s="700"/>
      <c r="V322" s="701"/>
      <c r="W322" s="701"/>
      <c r="X322" s="295">
        <f t="shared" si="153"/>
        <v>0</v>
      </c>
      <c r="Y322" s="296">
        <f>IF(AA322&gt;0,V322,AE320/IF(Iniciar!$C$25="B X 40 K",40,IF(Iniciar!$C$25="B X 50 K",50,1))*I322/1000)</f>
        <v>0</v>
      </c>
      <c r="Z322" s="296">
        <f t="shared" si="154"/>
        <v>0</v>
      </c>
      <c r="AA322" s="297">
        <f t="shared" si="182"/>
        <v>0</v>
      </c>
      <c r="AB322" s="297">
        <f t="shared" si="148"/>
        <v>0</v>
      </c>
      <c r="AC322" s="1268" t="str">
        <f>$AC$7</f>
        <v>Kg Ave Acu :</v>
      </c>
      <c r="AD322" s="308">
        <f>IF(OR(SUM(L320:L326)&gt;0,SUM(V320:V326)&gt;0),AD321/1000+AD315,0)</f>
        <v>0</v>
      </c>
      <c r="AE322" s="309">
        <f>AE321/1000+AE315</f>
        <v>0</v>
      </c>
      <c r="AF322" s="310">
        <f>IF(AND(AE322&gt;0,AD322&gt;0),(AD322/AE322-1)*100,0)</f>
        <v>0</v>
      </c>
      <c r="AG322" s="311" t="str">
        <f>PROD!$AG$7</f>
        <v xml:space="preserve">Masa Sem H (Gr) : </v>
      </c>
      <c r="AH322" s="312">
        <f>PROD!O320/100*7*PROD!O322</f>
        <v>0</v>
      </c>
      <c r="AI322" s="312">
        <f>PROD!P320/100*7*PROD!P322</f>
        <v>0</v>
      </c>
      <c r="AJ322" s="313">
        <f t="shared" si="180"/>
        <v>0</v>
      </c>
      <c r="AK322" s="2027"/>
      <c r="AL322" s="1284">
        <f t="shared" si="149"/>
        <v>0</v>
      </c>
      <c r="AM322" s="1285"/>
      <c r="AN322" s="1285"/>
      <c r="AO322" s="1285"/>
      <c r="AP322" s="1285"/>
      <c r="AQ322" s="1285"/>
      <c r="AR322" s="1285"/>
      <c r="AS322" s="1286"/>
      <c r="AT322" s="1287"/>
      <c r="AU322" s="1288"/>
      <c r="AV322" s="1289"/>
      <c r="AW322" s="1290"/>
      <c r="AX322" s="1291"/>
      <c r="AY322" s="1291"/>
      <c r="AZ322" s="1292"/>
      <c r="BA322" s="1293"/>
      <c r="BB322" s="1294"/>
      <c r="BC322" s="1295"/>
      <c r="BD322" s="1296">
        <f>BD321+PROD!L322-BA322</f>
        <v>0</v>
      </c>
      <c r="BE322" s="2133"/>
      <c r="BF322" s="507" t="e">
        <f t="shared" si="150"/>
        <v>#VALUE!</v>
      </c>
      <c r="BG322" s="329"/>
      <c r="BH322" s="1018">
        <f t="shared" si="151"/>
        <v>0</v>
      </c>
    </row>
    <row r="323" spans="1:60" ht="15" customHeight="1" x14ac:dyDescent="0.3">
      <c r="A323" s="2033"/>
      <c r="B323" s="287" t="str">
        <f t="shared" si="152"/>
        <v/>
      </c>
      <c r="C323" s="288" t="str">
        <f t="shared" si="147"/>
        <v/>
      </c>
      <c r="D323" s="691"/>
      <c r="E323" s="692"/>
      <c r="F323" s="693"/>
      <c r="G323" s="694"/>
      <c r="H323" s="695"/>
      <c r="I323" s="289">
        <f>I322-SUM($D323:F323)</f>
        <v>0</v>
      </c>
      <c r="J323" s="1234" t="str">
        <f>$J$8</f>
        <v>% Mort Acm :</v>
      </c>
      <c r="K323" s="1231">
        <f>IF(PROD!$K$2&gt;0,SUM(D$5:D326)/PROD!$K$2,0)</f>
        <v>0</v>
      </c>
      <c r="L323" s="1246"/>
      <c r="M323" s="291">
        <f t="shared" si="181"/>
        <v>0</v>
      </c>
      <c r="N323" s="314" t="str">
        <f>N$8</f>
        <v xml:space="preserve">Peso Ave (Gr) : </v>
      </c>
      <c r="O323" s="315">
        <f>LOOKUP($A320,GSh!$BV$6:$BV$108,GSh!$BJ$6:$BJ$108)</f>
        <v>0</v>
      </c>
      <c r="P323" s="315">
        <f>IFERROR(LOOKUP($A320,TP!$A$6:$A$108,GSh!$BK$6:$BK$108),0)</f>
        <v>0</v>
      </c>
      <c r="Q323" s="316">
        <f>IF(AND(P323&gt;0,O323&gt;0),(O323/P323-1)*100,0)</f>
        <v>0</v>
      </c>
      <c r="R323" s="699"/>
      <c r="S323" s="762"/>
      <c r="T323" s="765">
        <f t="shared" si="158"/>
        <v>0</v>
      </c>
      <c r="U323" s="700"/>
      <c r="V323" s="701"/>
      <c r="W323" s="701"/>
      <c r="X323" s="295">
        <f t="shared" si="153"/>
        <v>0</v>
      </c>
      <c r="Y323" s="296">
        <f>IF(AA323&gt;0,V323,AE320/IF(Iniciar!$C$25="B X 40 K",40,IF(Iniciar!$C$25="B X 50 K",50,1))*I323/1000)</f>
        <v>0</v>
      </c>
      <c r="Z323" s="296">
        <f t="shared" si="154"/>
        <v>0</v>
      </c>
      <c r="AA323" s="297">
        <f t="shared" si="182"/>
        <v>0</v>
      </c>
      <c r="AB323" s="297">
        <f t="shared" si="148"/>
        <v>0</v>
      </c>
      <c r="AC323" s="541" t="str">
        <f>$AC$8</f>
        <v xml:space="preserve">Ton. Lote Acu : </v>
      </c>
      <c r="AD323" s="544">
        <f>SUM($V$5:$V326)*$A$1/1000000</f>
        <v>0</v>
      </c>
      <c r="AE323" s="543">
        <f>AE316+(AE320/1000000*7*(I320+I326)/2)</f>
        <v>0</v>
      </c>
      <c r="AF323" s="542">
        <f>IF(AND(AE323&gt;0,AD323&gt;0),(AD323/AE323-1)*100,0)</f>
        <v>0</v>
      </c>
      <c r="AG323" s="317" t="str">
        <f>PROD!$AG$8</f>
        <v xml:space="preserve">Masa Ac A. A (Kg) : </v>
      </c>
      <c r="AH323" s="318">
        <f>IF(PROD!$K$2&gt;0,SUM(PROD!L$5:L326)*LOOKUP(PROD!$A320,TP!$A$6:$A$108,GSh!$BB$6:$BB$108)/1000/PROD!$K$2,0)</f>
        <v>0</v>
      </c>
      <c r="AI323" s="318">
        <f>IFERROR(PROD!P321*LOOKUP(PROD!$A320,TP!$A$6:$A$108,GSh!$BC$6:$BC$108)/1000,0)</f>
        <v>0</v>
      </c>
      <c r="AJ323" s="330">
        <f t="shared" si="180"/>
        <v>0</v>
      </c>
      <c r="AK323" s="2027"/>
      <c r="AL323" s="1284">
        <f t="shared" si="149"/>
        <v>0</v>
      </c>
      <c r="AM323" s="1285"/>
      <c r="AN323" s="1285"/>
      <c r="AO323" s="1285"/>
      <c r="AP323" s="1285"/>
      <c r="AQ323" s="1285"/>
      <c r="AR323" s="1285"/>
      <c r="AS323" s="1286"/>
      <c r="AT323" s="1287"/>
      <c r="AU323" s="1288"/>
      <c r="AV323" s="1289"/>
      <c r="AW323" s="1290"/>
      <c r="AX323" s="1291"/>
      <c r="AY323" s="1291"/>
      <c r="AZ323" s="1292"/>
      <c r="BA323" s="1293"/>
      <c r="BB323" s="1294"/>
      <c r="BC323" s="1295"/>
      <c r="BD323" s="1296">
        <f>BD322+PROD!L323-BA323</f>
        <v>0</v>
      </c>
      <c r="BE323" s="2133"/>
      <c r="BF323" s="507" t="e">
        <f t="shared" si="150"/>
        <v>#VALUE!</v>
      </c>
      <c r="BG323" s="329"/>
      <c r="BH323" s="1018">
        <f t="shared" si="151"/>
        <v>0</v>
      </c>
    </row>
    <row r="324" spans="1:60" ht="15" customHeight="1" x14ac:dyDescent="0.3">
      <c r="A324" s="2033"/>
      <c r="B324" s="287" t="str">
        <f t="shared" si="152"/>
        <v/>
      </c>
      <c r="C324" s="288" t="str">
        <f t="shared" si="147"/>
        <v/>
      </c>
      <c r="D324" s="691"/>
      <c r="E324" s="692"/>
      <c r="F324" s="693"/>
      <c r="G324" s="694"/>
      <c r="H324" s="695"/>
      <c r="I324" s="289">
        <f>I323-SUM($D324:F324)</f>
        <v>0</v>
      </c>
      <c r="J324" s="1234" t="str">
        <f>$J$9</f>
        <v>% Sel Acm :</v>
      </c>
      <c r="K324" s="1231">
        <f>IF(PROD!$K$2&gt;0,SUM(E$5:E326)/PROD!$K$2,0)</f>
        <v>0</v>
      </c>
      <c r="L324" s="1246"/>
      <c r="M324" s="291">
        <f t="shared" si="181"/>
        <v>0</v>
      </c>
      <c r="N324" s="292" t="str">
        <f>$N$9</f>
        <v xml:space="preserve">Uniformidad (10% -) : </v>
      </c>
      <c r="O324" s="320">
        <f>LOOKUP($A320,'Pr-Sem'!$A$6:$A$108,'Pr-Sem'!$AH$6:$AH$108)</f>
        <v>0</v>
      </c>
      <c r="P324" s="320">
        <v>5</v>
      </c>
      <c r="Q324" s="321">
        <f>IF(AND(P324&gt;0,O324&gt;0),(1-O324/P324)*100,0)</f>
        <v>0</v>
      </c>
      <c r="R324" s="699"/>
      <c r="S324" s="762"/>
      <c r="T324" s="765">
        <f t="shared" si="158"/>
        <v>0</v>
      </c>
      <c r="U324" s="700"/>
      <c r="V324" s="701"/>
      <c r="W324" s="701"/>
      <c r="X324" s="295">
        <f t="shared" si="153"/>
        <v>0</v>
      </c>
      <c r="Y324" s="296">
        <f>IF(AA324&gt;0,V324,AE320/IF(Iniciar!$C$25="B X 40 K",40,IF(Iniciar!$C$25="B X 50 K",50,1))*I324/1000)</f>
        <v>0</v>
      </c>
      <c r="Z324" s="296">
        <f t="shared" si="154"/>
        <v>0</v>
      </c>
      <c r="AA324" s="297">
        <f t="shared" si="182"/>
        <v>0</v>
      </c>
      <c r="AB324" s="297">
        <f t="shared" si="148"/>
        <v>0</v>
      </c>
      <c r="AC324" s="2035" t="str">
        <f>$AC$9</f>
        <v xml:space="preserve">Total Litros Sem: </v>
      </c>
      <c r="AD324" s="2036"/>
      <c r="AE324" s="2050">
        <f>SUM(R320:R326)</f>
        <v>0</v>
      </c>
      <c r="AF324" s="2051"/>
      <c r="AG324" s="554" t="str">
        <f>$AG$9</f>
        <v xml:space="preserve">Indicador Eficiencia : </v>
      </c>
      <c r="AH324" s="555">
        <f>IF(AND(AE324&gt;0,O321&gt;0,O322&gt;0,SUM(L320:L326)&gt;0),(PROD!AH323/O321)*K326*100/(AE324/(SUM(L320:L326)*O322/1000)),0)</f>
        <v>0</v>
      </c>
      <c r="AI324" s="555">
        <f>IF(AND(P321&gt;0,PROD!AI322&gt;0),(PROD!AI323/P321)*(1-K325)*100/(AE321/PROD!AI322),0)</f>
        <v>0</v>
      </c>
      <c r="AJ324" s="331">
        <f t="shared" si="180"/>
        <v>0</v>
      </c>
      <c r="AK324" s="2027"/>
      <c r="AL324" s="1284">
        <f t="shared" si="149"/>
        <v>0</v>
      </c>
      <c r="AM324" s="1285"/>
      <c r="AN324" s="1285"/>
      <c r="AO324" s="1285"/>
      <c r="AP324" s="1285"/>
      <c r="AQ324" s="1285"/>
      <c r="AR324" s="1285"/>
      <c r="AS324" s="1286"/>
      <c r="AT324" s="1287"/>
      <c r="AU324" s="1288"/>
      <c r="AV324" s="1289"/>
      <c r="AW324" s="1290"/>
      <c r="AX324" s="1291"/>
      <c r="AY324" s="1291"/>
      <c r="AZ324" s="1292"/>
      <c r="BA324" s="1293"/>
      <c r="BB324" s="1294"/>
      <c r="BC324" s="1295"/>
      <c r="BD324" s="1296">
        <f>BD323+PROD!L324-BA324</f>
        <v>0</v>
      </c>
      <c r="BE324" s="2133"/>
      <c r="BF324" s="507" t="e">
        <f t="shared" si="150"/>
        <v>#VALUE!</v>
      </c>
      <c r="BG324" s="329"/>
      <c r="BH324" s="1018">
        <f t="shared" si="151"/>
        <v>0</v>
      </c>
    </row>
    <row r="325" spans="1:60" ht="15" customHeight="1" x14ac:dyDescent="0.3">
      <c r="A325" s="2033"/>
      <c r="B325" s="287" t="str">
        <f t="shared" si="152"/>
        <v/>
      </c>
      <c r="C325" s="288" t="str">
        <f t="shared" ref="C325:C388" si="183">IF(B325="","",(B325-Fnac+1)/7)</f>
        <v/>
      </c>
      <c r="D325" s="691"/>
      <c r="E325" s="692"/>
      <c r="F325" s="693"/>
      <c r="G325" s="694"/>
      <c r="H325" s="695"/>
      <c r="I325" s="289">
        <f>I324-SUM($D325:F325)</f>
        <v>0</v>
      </c>
      <c r="J325" s="1237" t="str">
        <f>$J$10</f>
        <v>% Mort/Sel Acm Tab :</v>
      </c>
      <c r="K325" s="1238">
        <f>IFERROR(LOOKUP($A320,TP!$A$6:$A$108,GSh!$AR$6:$AR$108)/100,0)</f>
        <v>0</v>
      </c>
      <c r="L325" s="1246"/>
      <c r="M325" s="291">
        <f t="shared" si="181"/>
        <v>0</v>
      </c>
      <c r="N325" s="292" t="str">
        <f>$N$10</f>
        <v xml:space="preserve">Uniformidad (C. Lote) : </v>
      </c>
      <c r="O325" s="320">
        <f>LOOKUP($A320,'Pr-Sem'!$A$6:$A$108,'Pr-Sem'!$AG$6:$AG$108)</f>
        <v>0</v>
      </c>
      <c r="P325" s="320">
        <v>90</v>
      </c>
      <c r="Q325" s="321">
        <f>IF(AND(P325&gt;0,O325&gt;0),(O325/P325-1)*100,0)</f>
        <v>0</v>
      </c>
      <c r="R325" s="699"/>
      <c r="S325" s="762"/>
      <c r="T325" s="765">
        <f t="shared" si="158"/>
        <v>0</v>
      </c>
      <c r="U325" s="700"/>
      <c r="V325" s="701"/>
      <c r="W325" s="701"/>
      <c r="X325" s="295">
        <f t="shared" si="153"/>
        <v>0</v>
      </c>
      <c r="Y325" s="296">
        <f>IF(AA325&gt;0,V325,AE320/IF(Iniciar!$C$25="B X 40 K",40,IF(Iniciar!$C$25="B X 50 K",50,1))*I325/1000)</f>
        <v>0</v>
      </c>
      <c r="Z325" s="296">
        <f t="shared" si="154"/>
        <v>0</v>
      </c>
      <c r="AA325" s="297">
        <f t="shared" si="182"/>
        <v>0</v>
      </c>
      <c r="AB325" s="297">
        <f t="shared" ref="AB325:AB388" si="184">IFERROR(R325*1000/I325,0)</f>
        <v>0</v>
      </c>
      <c r="AC325" s="2037" t="str">
        <f>$AC$10</f>
        <v xml:space="preserve">Cons ml /ave día: </v>
      </c>
      <c r="AD325" s="2038"/>
      <c r="AE325" s="2056">
        <f>IFERROR(SUMPRODUCT(AB320:AB326,I320:I326)/SUM(I320:I326),0)</f>
        <v>0</v>
      </c>
      <c r="AF325" s="2057"/>
      <c r="AG325" s="311" t="str">
        <f>CONCATENATE("Costo ",Iniciar!$C$25," : ")</f>
        <v xml:space="preserve">Costo Kilos : </v>
      </c>
      <c r="AH325" s="2043">
        <f>IFERROR(SUMPRODUCT(T320:T326,V320:V326)/SUMIF(T320:T326,"&gt;0",V320:V326),0)</f>
        <v>0</v>
      </c>
      <c r="AI325" s="2043"/>
      <c r="AJ325" s="313"/>
      <c r="AK325" s="2027"/>
      <c r="AL325" s="1284">
        <f t="shared" ref="AL325:AL388" si="185">L325-SUM(AM325:AS325)-SUM(AW325:AZ325)-SUM(AT325:AV325)</f>
        <v>0</v>
      </c>
      <c r="AM325" s="1285"/>
      <c r="AN325" s="1285"/>
      <c r="AO325" s="1285"/>
      <c r="AP325" s="1285"/>
      <c r="AQ325" s="1285"/>
      <c r="AR325" s="1285"/>
      <c r="AS325" s="1286"/>
      <c r="AT325" s="1287"/>
      <c r="AU325" s="1288"/>
      <c r="AV325" s="1289"/>
      <c r="AW325" s="1290"/>
      <c r="AX325" s="1291"/>
      <c r="AY325" s="1291"/>
      <c r="AZ325" s="1292"/>
      <c r="BA325" s="1293"/>
      <c r="BB325" s="1294"/>
      <c r="BC325" s="1295"/>
      <c r="BD325" s="1296">
        <f>BD324+PROD!L325-BA325</f>
        <v>0</v>
      </c>
      <c r="BE325" s="2133"/>
      <c r="BF325" s="507" t="e">
        <f t="shared" ref="BF325:BF388" si="186">INT((B325-Fnac)/7)+1</f>
        <v>#VALUE!</v>
      </c>
      <c r="BG325" s="329"/>
      <c r="BH325" s="1018">
        <f t="shared" ref="BH325:BH388" si="187">T325*V325</f>
        <v>0</v>
      </c>
    </row>
    <row r="326" spans="1:60" ht="15" customHeight="1" x14ac:dyDescent="0.3">
      <c r="A326" s="2034"/>
      <c r="B326" s="287" t="str">
        <f t="shared" ref="B326:B389" si="188">IF(B325="","",B325+1)</f>
        <v/>
      </c>
      <c r="C326" s="288" t="str">
        <f t="shared" si="183"/>
        <v/>
      </c>
      <c r="D326" s="691"/>
      <c r="E326" s="692"/>
      <c r="F326" s="693"/>
      <c r="G326" s="694"/>
      <c r="H326" s="695"/>
      <c r="I326" s="289">
        <f>I325-SUM($D326:F326)</f>
        <v>0</v>
      </c>
      <c r="J326" s="1239" t="str">
        <f>$J$11</f>
        <v>% Viabilidad :</v>
      </c>
      <c r="K326" s="1240">
        <f>IF(OR(SUM(L320:L326)&gt;0,SUM(V320:V326)&gt;0),1-(K323+K324),0)</f>
        <v>0</v>
      </c>
      <c r="L326" s="1247"/>
      <c r="M326" s="1248">
        <f>IF(I326&gt;0,(L326/IF(SUM(L320:L325)&gt;0,1,7))/I326,0)</f>
        <v>0</v>
      </c>
      <c r="N326" s="1249" t="str">
        <f>$N$11</f>
        <v xml:space="preserve">Uniformidad (10% +) : </v>
      </c>
      <c r="O326" s="1250">
        <f>IF(O324&gt;0,IF(O325&gt;0,100-SUM(O324:O325),0),0)</f>
        <v>0</v>
      </c>
      <c r="P326" s="1251">
        <f>100-SUM(P324:P325)</f>
        <v>5</v>
      </c>
      <c r="Q326" s="1252">
        <f>IF(AND(P326&gt;0,O326&gt;0),(O326/P326-1)*100,0)</f>
        <v>0</v>
      </c>
      <c r="R326" s="699"/>
      <c r="S326" s="762"/>
      <c r="T326" s="765">
        <f t="shared" si="158"/>
        <v>0</v>
      </c>
      <c r="U326" s="700"/>
      <c r="V326" s="701"/>
      <c r="W326" s="701"/>
      <c r="X326" s="295">
        <f t="shared" ref="X326:X389" si="189">X325+U326-V326-W326</f>
        <v>0</v>
      </c>
      <c r="Y326" s="296">
        <f>IF(AA326&gt;0,V326,AE320/IF(Iniciar!$C$25="B X 40 K",40,IF(Iniciar!$C$25="B X 50 K",50,1))*I326/1000)</f>
        <v>0</v>
      </c>
      <c r="Z326" s="296">
        <f t="shared" ref="Z326:Z389" si="190">Z325+U326-Y326-W326</f>
        <v>0</v>
      </c>
      <c r="AA326" s="297">
        <f>IF(I326&gt;0,(V326/IF(SUM(V320:V325)&gt;0,1,7))*$A$1/I326,0)</f>
        <v>0</v>
      </c>
      <c r="AB326" s="297">
        <f t="shared" si="184"/>
        <v>0</v>
      </c>
      <c r="AC326" s="2039" t="str">
        <f>$AC$11</f>
        <v xml:space="preserve">Relación Agua /Alimto: </v>
      </c>
      <c r="AD326" s="2040"/>
      <c r="AE326" s="2058">
        <f>IFERROR(AE325/AD320,0)</f>
        <v>0</v>
      </c>
      <c r="AF326" s="2059"/>
      <c r="AG326" s="1269" t="s">
        <v>237</v>
      </c>
      <c r="AH326" s="1270">
        <f>IF(SUM(L320:L326)&gt;0,AH325*SUM(V320:V326)/SUM(L320:L326),0)</f>
        <v>0</v>
      </c>
      <c r="AI326" s="1270">
        <f>IF(AND($A$1&gt;0,P320&gt;0),AH325/$A$1*(AE320/P320)*100,0)</f>
        <v>0</v>
      </c>
      <c r="AJ326" s="1271">
        <f t="shared" ref="AJ326:AJ331" si="191">IF(AND(AI326&gt;0,AH326&gt;0),(AH326/AI326-1)*100,0)</f>
        <v>0</v>
      </c>
      <c r="AK326" s="2028"/>
      <c r="AL326" s="1284">
        <f t="shared" si="185"/>
        <v>0</v>
      </c>
      <c r="AM326" s="1285"/>
      <c r="AN326" s="1285"/>
      <c r="AO326" s="1285"/>
      <c r="AP326" s="1285"/>
      <c r="AQ326" s="1285"/>
      <c r="AR326" s="1285"/>
      <c r="AS326" s="1286"/>
      <c r="AT326" s="1287"/>
      <c r="AU326" s="1288"/>
      <c r="AV326" s="1289"/>
      <c r="AW326" s="1290"/>
      <c r="AX326" s="1291"/>
      <c r="AY326" s="1291"/>
      <c r="AZ326" s="1292"/>
      <c r="BA326" s="1293"/>
      <c r="BB326" s="1294"/>
      <c r="BC326" s="1295"/>
      <c r="BD326" s="1296">
        <f>BD325+PROD!L326-BA326</f>
        <v>0</v>
      </c>
      <c r="BE326" s="2134"/>
      <c r="BF326" s="507" t="e">
        <f t="shared" si="186"/>
        <v>#VALUE!</v>
      </c>
      <c r="BG326" s="329"/>
      <c r="BH326" s="1018">
        <f t="shared" si="187"/>
        <v>0</v>
      </c>
    </row>
    <row r="327" spans="1:60" ht="15" customHeight="1" x14ac:dyDescent="0.3">
      <c r="A327" s="2032">
        <f>A320+1</f>
        <v>64</v>
      </c>
      <c r="B327" s="287" t="str">
        <f t="shared" si="188"/>
        <v/>
      </c>
      <c r="C327" s="288" t="str">
        <f t="shared" si="183"/>
        <v/>
      </c>
      <c r="D327" s="691"/>
      <c r="E327" s="692"/>
      <c r="F327" s="693"/>
      <c r="G327" s="694"/>
      <c r="H327" s="695"/>
      <c r="I327" s="289">
        <f>I326-SUM($D327:F327)</f>
        <v>0</v>
      </c>
      <c r="J327" s="1232" t="str">
        <f>$J$5</f>
        <v>% Mort Sem :</v>
      </c>
      <c r="K327" s="1233">
        <f>IF(PROD!$K$2&gt;0,SUM(D327:D333)/PROD!$K$2,0)</f>
        <v>0</v>
      </c>
      <c r="L327" s="1241"/>
      <c r="M327" s="1242">
        <f t="shared" ref="M327:M332" si="192">IF(I327&gt;0,L327/I327,0)</f>
        <v>0</v>
      </c>
      <c r="N327" s="1243" t="str">
        <f>$N$5</f>
        <v xml:space="preserve">% Pdn prom semana : </v>
      </c>
      <c r="O327" s="1244">
        <f>IF(SUM(L327:L332)&gt;0,100*SUMPRODUCT(M327:M333,I327:I333)/SUMIF(L327:L333,"&gt;0",I327:I333),IF(L333&gt;0,100*L333/7/I333,0))</f>
        <v>0</v>
      </c>
      <c r="P327" s="1244">
        <f>IFERROR(LOOKUP($A327,TP!$A$6:$A$108,GSh!$AE$6:$AE$108),0)</f>
        <v>0</v>
      </c>
      <c r="Q327" s="1245">
        <f>IF(AND(P327&gt;0,O327&gt;0),O327-P327,0)</f>
        <v>0</v>
      </c>
      <c r="R327" s="699"/>
      <c r="S327" s="762"/>
      <c r="T327" s="765">
        <f t="shared" si="158"/>
        <v>0</v>
      </c>
      <c r="U327" s="700"/>
      <c r="V327" s="701"/>
      <c r="W327" s="701"/>
      <c r="X327" s="295">
        <f t="shared" si="189"/>
        <v>0</v>
      </c>
      <c r="Y327" s="296">
        <f>IF(AA327&gt;0,V327,AE327/IF(Iniciar!$C$25="B X 40 K",40,IF(Iniciar!$C$25="B X 50 K",50,1))*I327/1000)</f>
        <v>0</v>
      </c>
      <c r="Z327" s="296">
        <f t="shared" si="190"/>
        <v>0</v>
      </c>
      <c r="AA327" s="297">
        <f t="shared" ref="AA327:AA332" si="193">IF(I327&gt;0,V327*$A$1/I327,0)</f>
        <v>0</v>
      </c>
      <c r="AB327" s="297">
        <f t="shared" si="184"/>
        <v>0</v>
      </c>
      <c r="AC327" s="1261" t="str">
        <f>$AC$5</f>
        <v>Gr. Ave Dia :</v>
      </c>
      <c r="AD327" s="1262">
        <f>IF(SUMIF(V327:V333,"&gt;0")&gt;0,SUMPRODUCT(AA327:AA333,I327:I333)/SUMIF(AA327:AA333,"&gt;0",I327:I333),0)</f>
        <v>0</v>
      </c>
      <c r="AE327" s="1262">
        <f>IFERROR(LOOKUP($A327,TP!$A$6:$A$108,GSh!$AU$6:$AU$108),0)</f>
        <v>0</v>
      </c>
      <c r="AF327" s="1263">
        <f>IF(AND(AE327&gt;0,AD327&gt;0),(AD327/AE327-1)*100,0)</f>
        <v>0</v>
      </c>
      <c r="AG327" s="1264" t="str">
        <f>PROD!$AG$5</f>
        <v>Gr X H</v>
      </c>
      <c r="AH327" s="1265">
        <f>IF(PROD!O327&gt;0,IF($AG327="Gr X H",PROD!AD327/PROD!O327*100,IF($AG327="Conv Kg/Doc",PROD!AD327/PROD!O327*1.2,IF(PROD!$O329&gt;0,PROD!AD327/(PROD!O327*PROD!$O329)*100,0))),0)</f>
        <v>0</v>
      </c>
      <c r="AI327" s="1265">
        <f>IF(PROD!P327&gt;0,IF($AG327="Gr X H",PROD!AE327/PROD!P327*100,IF($AG327="Conv Kg/Doc",PROD!AE327/PROD!P327*1.2,IF(PROD!$P329&gt;0,PROD!AE327/(PROD!P327*PROD!$P329)*100,0))),0)</f>
        <v>0</v>
      </c>
      <c r="AJ327" s="1266">
        <f t="shared" si="191"/>
        <v>0</v>
      </c>
      <c r="AK327" s="2026"/>
      <c r="AL327" s="1284">
        <f t="shared" si="185"/>
        <v>0</v>
      </c>
      <c r="AM327" s="1285"/>
      <c r="AN327" s="1285"/>
      <c r="AO327" s="1285"/>
      <c r="AP327" s="1285"/>
      <c r="AQ327" s="1285"/>
      <c r="AR327" s="1285"/>
      <c r="AS327" s="1286"/>
      <c r="AT327" s="1287"/>
      <c r="AU327" s="1288"/>
      <c r="AV327" s="1289"/>
      <c r="AW327" s="1290"/>
      <c r="AX327" s="1291"/>
      <c r="AY327" s="1291"/>
      <c r="AZ327" s="1292"/>
      <c r="BA327" s="1293"/>
      <c r="BB327" s="1294"/>
      <c r="BC327" s="1295"/>
      <c r="BD327" s="1296">
        <f>BD326+PROD!L327-BA327</f>
        <v>0</v>
      </c>
      <c r="BE327" s="2132">
        <f>IF(SUM(AM327:AZ333)&gt;0,(SUM(AM327:AM333)*$AM$2+SUM(AN327:AN333)*$AN$2+SUM(AO327:AO333)*$AO$2+SUM(AP327:AP333)*$AP$2+SUM(AQ327:AQ333)*$AQ$2+SUM(AR327:AR333)*$AR$2+SUM(AS327:AS333)*$AS$2+SUM(AW327:AW333)*$AW$2+SUM(AX327:AX333)*$AX$2+SUM(AY327:AY333)*$AY$2+SUM(AZ327:AZ333)*$AZ$2+SUM(AT327:AT333)*$AT$2+SUM(AU327:AU333)*$AU$2+SUM(AV327:AV333)*$AV$2)/SUM(AM327:AZ333),0)</f>
        <v>0</v>
      </c>
      <c r="BF327" s="507" t="e">
        <f t="shared" si="186"/>
        <v>#VALUE!</v>
      </c>
      <c r="BG327" s="277">
        <f>IF(SUM(L327:L333)&gt;0,A327,IF(SUM(V327:V333)&gt;0,A327,BG320))</f>
        <v>0</v>
      </c>
      <c r="BH327" s="1018">
        <f t="shared" si="187"/>
        <v>0</v>
      </c>
    </row>
    <row r="328" spans="1:60" ht="15" customHeight="1" x14ac:dyDescent="0.3">
      <c r="A328" s="2033"/>
      <c r="B328" s="287" t="str">
        <f t="shared" si="188"/>
        <v/>
      </c>
      <c r="C328" s="288" t="str">
        <f t="shared" si="183"/>
        <v/>
      </c>
      <c r="D328" s="691"/>
      <c r="E328" s="692"/>
      <c r="F328" s="693"/>
      <c r="G328" s="694"/>
      <c r="H328" s="695"/>
      <c r="I328" s="289">
        <f>I327-SUM($D328:F328)</f>
        <v>0</v>
      </c>
      <c r="J328" s="1234" t="str">
        <f>$J$6</f>
        <v>% Sel Sem :</v>
      </c>
      <c r="K328" s="1231">
        <f>IF(PROD!$K$2&gt;0,SUM(E327:E333)/PROD!$K$2,0)</f>
        <v>0</v>
      </c>
      <c r="L328" s="1246"/>
      <c r="M328" s="291">
        <f t="shared" si="192"/>
        <v>0</v>
      </c>
      <c r="N328" s="292" t="str">
        <f>$N$6</f>
        <v xml:space="preserve">H. Ave Alojada : </v>
      </c>
      <c r="O328" s="293">
        <f>IF(AND(PROD!$K$2&gt;0,O327&gt;0),SUM(L$5:L333)/PROD!$K$2,0)</f>
        <v>0</v>
      </c>
      <c r="P328" s="293">
        <f>IFERROR(LOOKUP($A327,TP!$A$6:$A$108,GSh!$AJ$6:$AJ$108),0)</f>
        <v>0</v>
      </c>
      <c r="Q328" s="294">
        <f>IF(AND(P328&gt;0,O328&gt;0),O328-P328,0)</f>
        <v>0</v>
      </c>
      <c r="R328" s="699"/>
      <c r="S328" s="762"/>
      <c r="T328" s="765">
        <f t="shared" si="158"/>
        <v>0</v>
      </c>
      <c r="U328" s="700"/>
      <c r="V328" s="701"/>
      <c r="W328" s="701"/>
      <c r="X328" s="295">
        <f t="shared" si="189"/>
        <v>0</v>
      </c>
      <c r="Y328" s="296">
        <f>IF(AA328&gt;0,V328,AE327/IF(Iniciar!$C$25="B X 40 K",40,IF(Iniciar!$C$25="B X 50 K",50,1))*I328/1000)</f>
        <v>0</v>
      </c>
      <c r="Z328" s="296">
        <f t="shared" si="190"/>
        <v>0</v>
      </c>
      <c r="AA328" s="297">
        <f t="shared" si="193"/>
        <v>0</v>
      </c>
      <c r="AB328" s="297">
        <f t="shared" si="184"/>
        <v>0</v>
      </c>
      <c r="AC328" s="1267" t="str">
        <f>$AC$6</f>
        <v>Gr. Ave Sem :</v>
      </c>
      <c r="AD328" s="284">
        <f>AD327*7</f>
        <v>0</v>
      </c>
      <c r="AE328" s="284">
        <f>AE327*7</f>
        <v>0</v>
      </c>
      <c r="AF328" s="285">
        <f>IF(AND(AE328&gt;0,AD328&gt;0),(AD328/AE328-1)*100,0)</f>
        <v>0</v>
      </c>
      <c r="AG328" s="1199" t="str">
        <f>PROD!$AG$6</f>
        <v>Gr X H Acm</v>
      </c>
      <c r="AH328" s="298">
        <f>IF(SUM(PROD!L327:L333)&gt;0,IF(PROD!$AG$5="Gr X H",SUM(PROD!V$5:V333)*PROD!$A$1/SUM(PROD!L$5:L333),IF($AG327="Conv Kg/Doc",(SUM(PROD!V$5:V333)*PROD!$A$1/1000)/(SUM(PROD!L$5:L333)/12),IF(PROD!$O329&gt;0,SUM(PROD!V$5:V333)*PROD!$A$1/(SUM(PROD!L$5:L333)*LOOKUP(PROD!A327,TP!$A$6:$A$108,GSh!$BB$6:$BB$108)),0))),0)</f>
        <v>0</v>
      </c>
      <c r="AI328" s="298">
        <f>IF(PROD!P327&gt;0,IF($AG327="Gr X H",PROD!AE327/PROD!P327*100,IF($AG327="Conv Kg/Doc",PROD!AE327/PROD!P327*1.2,IF(PROD!$P328&gt;0,PROD!AE329/(PROD!P328*LOOKUP(PROD!$A327,TP!$A$6:$A$108,GSh!$BC$6:$BC$108)/1000),0))),0)</f>
        <v>0</v>
      </c>
      <c r="AJ328" s="328">
        <f t="shared" si="191"/>
        <v>0</v>
      </c>
      <c r="AK328" s="2027"/>
      <c r="AL328" s="1284">
        <f t="shared" si="185"/>
        <v>0</v>
      </c>
      <c r="AM328" s="1285"/>
      <c r="AN328" s="1285"/>
      <c r="AO328" s="1285"/>
      <c r="AP328" s="1285"/>
      <c r="AQ328" s="1285"/>
      <c r="AR328" s="1285"/>
      <c r="AS328" s="1286"/>
      <c r="AT328" s="1287"/>
      <c r="AU328" s="1288"/>
      <c r="AV328" s="1289"/>
      <c r="AW328" s="1290"/>
      <c r="AX328" s="1291"/>
      <c r="AY328" s="1291"/>
      <c r="AZ328" s="1292"/>
      <c r="BA328" s="1293"/>
      <c r="BB328" s="1294"/>
      <c r="BC328" s="1295"/>
      <c r="BD328" s="1296">
        <f>BD327+PROD!L328-BA328</f>
        <v>0</v>
      </c>
      <c r="BE328" s="2133"/>
      <c r="BF328" s="507" t="e">
        <f t="shared" si="186"/>
        <v>#VALUE!</v>
      </c>
      <c r="BG328" s="329"/>
      <c r="BH328" s="1018">
        <f t="shared" si="187"/>
        <v>0</v>
      </c>
    </row>
    <row r="329" spans="1:60" ht="15" customHeight="1" x14ac:dyDescent="0.3">
      <c r="A329" s="2033"/>
      <c r="B329" s="287" t="str">
        <f t="shared" si="188"/>
        <v/>
      </c>
      <c r="C329" s="288" t="str">
        <f t="shared" si="183"/>
        <v/>
      </c>
      <c r="D329" s="691"/>
      <c r="E329" s="692"/>
      <c r="F329" s="693"/>
      <c r="G329" s="694"/>
      <c r="H329" s="695"/>
      <c r="I329" s="289">
        <f>I328-SUM($D329:F329)</f>
        <v>0</v>
      </c>
      <c r="J329" s="1235" t="str">
        <f>$J$7</f>
        <v>% Mort/Sel Sem Tab :</v>
      </c>
      <c r="K329" s="1236">
        <f>K332-K325</f>
        <v>0</v>
      </c>
      <c r="L329" s="1246"/>
      <c r="M329" s="291">
        <f t="shared" si="192"/>
        <v>0</v>
      </c>
      <c r="N329" s="304" t="str">
        <f>$N$7</f>
        <v xml:space="preserve">Peso Huevo (Gr) : </v>
      </c>
      <c r="O329" s="305">
        <f>LOOKUP($A327,'Pr-Sem'!$A$6:$A$108,'Pr-Sem'!$Z$6:$Z$108)</f>
        <v>0</v>
      </c>
      <c r="P329" s="305">
        <f>IFERROR(LOOKUP($A327,TP!$A$6:$A$108,GSh!$AZ$6:$AZ$108),0)</f>
        <v>0</v>
      </c>
      <c r="Q329" s="306">
        <f>IF(AND(P329&gt;0,O329&gt;0),O329-P329,0)</f>
        <v>0</v>
      </c>
      <c r="R329" s="699"/>
      <c r="S329" s="762"/>
      <c r="T329" s="765">
        <f t="shared" si="158"/>
        <v>0</v>
      </c>
      <c r="U329" s="700"/>
      <c r="V329" s="701"/>
      <c r="W329" s="701"/>
      <c r="X329" s="295">
        <f t="shared" si="189"/>
        <v>0</v>
      </c>
      <c r="Y329" s="296">
        <f>IF(AA329&gt;0,V329,AE327/IF(Iniciar!$C$25="B X 40 K",40,IF(Iniciar!$C$25="B X 50 K",50,1))*I329/1000)</f>
        <v>0</v>
      </c>
      <c r="Z329" s="296">
        <f t="shared" si="190"/>
        <v>0</v>
      </c>
      <c r="AA329" s="297">
        <f t="shared" si="193"/>
        <v>0</v>
      </c>
      <c r="AB329" s="297">
        <f t="shared" si="184"/>
        <v>0</v>
      </c>
      <c r="AC329" s="1268" t="str">
        <f>$AC$7</f>
        <v>Kg Ave Acu :</v>
      </c>
      <c r="AD329" s="308">
        <f>IF(OR(SUM(L327:L333)&gt;0,SUM(V327:V333)&gt;0),AD328/1000+AD322,0)</f>
        <v>0</v>
      </c>
      <c r="AE329" s="309">
        <f>AE328/1000+AE322</f>
        <v>0</v>
      </c>
      <c r="AF329" s="310">
        <f>IF(AND(AE329&gt;0,AD329&gt;0),(AD329/AE329-1)*100,0)</f>
        <v>0</v>
      </c>
      <c r="AG329" s="311" t="str">
        <f>PROD!$AG$7</f>
        <v xml:space="preserve">Masa Sem H (Gr) : </v>
      </c>
      <c r="AH329" s="312">
        <f>PROD!O327/100*7*PROD!O329</f>
        <v>0</v>
      </c>
      <c r="AI329" s="312">
        <f>PROD!P327/100*7*PROD!P329</f>
        <v>0</v>
      </c>
      <c r="AJ329" s="313">
        <f t="shared" si="191"/>
        <v>0</v>
      </c>
      <c r="AK329" s="2027"/>
      <c r="AL329" s="1284">
        <f t="shared" si="185"/>
        <v>0</v>
      </c>
      <c r="AM329" s="1285"/>
      <c r="AN329" s="1285"/>
      <c r="AO329" s="1285"/>
      <c r="AP329" s="1285"/>
      <c r="AQ329" s="1285"/>
      <c r="AR329" s="1285"/>
      <c r="AS329" s="1286"/>
      <c r="AT329" s="1287"/>
      <c r="AU329" s="1288"/>
      <c r="AV329" s="1289"/>
      <c r="AW329" s="1290"/>
      <c r="AX329" s="1291"/>
      <c r="AY329" s="1291"/>
      <c r="AZ329" s="1292"/>
      <c r="BA329" s="1293"/>
      <c r="BB329" s="1294"/>
      <c r="BC329" s="1295"/>
      <c r="BD329" s="1296">
        <f>BD328+PROD!L329-BA329</f>
        <v>0</v>
      </c>
      <c r="BE329" s="2133"/>
      <c r="BF329" s="507" t="e">
        <f t="shared" si="186"/>
        <v>#VALUE!</v>
      </c>
      <c r="BG329" s="329"/>
      <c r="BH329" s="1018">
        <f t="shared" si="187"/>
        <v>0</v>
      </c>
    </row>
    <row r="330" spans="1:60" ht="15" customHeight="1" x14ac:dyDescent="0.3">
      <c r="A330" s="2033"/>
      <c r="B330" s="287" t="str">
        <f t="shared" si="188"/>
        <v/>
      </c>
      <c r="C330" s="288" t="str">
        <f t="shared" si="183"/>
        <v/>
      </c>
      <c r="D330" s="691"/>
      <c r="E330" s="692"/>
      <c r="F330" s="693"/>
      <c r="G330" s="694"/>
      <c r="H330" s="695"/>
      <c r="I330" s="289">
        <f>I329-SUM($D330:F330)</f>
        <v>0</v>
      </c>
      <c r="J330" s="1234" t="str">
        <f>$J$8</f>
        <v>% Mort Acm :</v>
      </c>
      <c r="K330" s="1231">
        <f>IF(PROD!$K$2&gt;0,SUM(D$5:D333)/PROD!$K$2,0)</f>
        <v>0</v>
      </c>
      <c r="L330" s="1246"/>
      <c r="M330" s="291">
        <f t="shared" si="192"/>
        <v>0</v>
      </c>
      <c r="N330" s="314" t="str">
        <f>N$8</f>
        <v xml:space="preserve">Peso Ave (Gr) : </v>
      </c>
      <c r="O330" s="315">
        <f>LOOKUP($A327,GSh!$BV$6:$BV$108,GSh!$BJ$6:$BJ$108)</f>
        <v>0</v>
      </c>
      <c r="P330" s="315">
        <f>IFERROR(LOOKUP($A327,TP!$A$6:$A$108,GSh!$BK$6:$BK$108),0)</f>
        <v>0</v>
      </c>
      <c r="Q330" s="316">
        <f>IF(AND(P330&gt;0,O330&gt;0),(O330/P330-1)*100,0)</f>
        <v>0</v>
      </c>
      <c r="R330" s="699"/>
      <c r="S330" s="762"/>
      <c r="T330" s="765">
        <f t="shared" si="158"/>
        <v>0</v>
      </c>
      <c r="U330" s="700"/>
      <c r="V330" s="701"/>
      <c r="W330" s="701"/>
      <c r="X330" s="295">
        <f t="shared" si="189"/>
        <v>0</v>
      </c>
      <c r="Y330" s="296">
        <f>IF(AA330&gt;0,V330,AE327/IF(Iniciar!$C$25="B X 40 K",40,IF(Iniciar!$C$25="B X 50 K",50,1))*I330/1000)</f>
        <v>0</v>
      </c>
      <c r="Z330" s="296">
        <f t="shared" si="190"/>
        <v>0</v>
      </c>
      <c r="AA330" s="297">
        <f t="shared" si="193"/>
        <v>0</v>
      </c>
      <c r="AB330" s="297">
        <f t="shared" si="184"/>
        <v>0</v>
      </c>
      <c r="AC330" s="541" t="str">
        <f>$AC$8</f>
        <v xml:space="preserve">Ton. Lote Acu : </v>
      </c>
      <c r="AD330" s="544">
        <f>SUM($V$5:$V333)*$A$1/1000000</f>
        <v>0</v>
      </c>
      <c r="AE330" s="543">
        <f>AE323+(AE327/1000000*7*(I327+I333)/2)</f>
        <v>0</v>
      </c>
      <c r="AF330" s="542">
        <f>IF(AND(AE330&gt;0,AD330&gt;0),(AD330/AE330-1)*100,0)</f>
        <v>0</v>
      </c>
      <c r="AG330" s="317" t="str">
        <f>PROD!$AG$8</f>
        <v xml:space="preserve">Masa Ac A. A (Kg) : </v>
      </c>
      <c r="AH330" s="318">
        <f>IF(PROD!$K$2&gt;0,SUM(PROD!L$5:L333)*LOOKUP(PROD!$A327,TP!$A$6:$A$108,GSh!$BB$6:$BB$108)/1000/PROD!$K$2,0)</f>
        <v>0</v>
      </c>
      <c r="AI330" s="318">
        <f>IFERROR(PROD!P328*LOOKUP(PROD!$A327,TP!$A$6:$A$108,GSh!$BC$6:$BC$108)/1000,0)</f>
        <v>0</v>
      </c>
      <c r="AJ330" s="330">
        <f t="shared" si="191"/>
        <v>0</v>
      </c>
      <c r="AK330" s="2027"/>
      <c r="AL330" s="1284">
        <f t="shared" si="185"/>
        <v>0</v>
      </c>
      <c r="AM330" s="1285"/>
      <c r="AN330" s="1285"/>
      <c r="AO330" s="1285"/>
      <c r="AP330" s="1285"/>
      <c r="AQ330" s="1285"/>
      <c r="AR330" s="1285"/>
      <c r="AS330" s="1286"/>
      <c r="AT330" s="1287"/>
      <c r="AU330" s="1288"/>
      <c r="AV330" s="1289"/>
      <c r="AW330" s="1290"/>
      <c r="AX330" s="1291"/>
      <c r="AY330" s="1291"/>
      <c r="AZ330" s="1292"/>
      <c r="BA330" s="1293"/>
      <c r="BB330" s="1294"/>
      <c r="BC330" s="1295"/>
      <c r="BD330" s="1296">
        <f>BD329+PROD!L330-BA330</f>
        <v>0</v>
      </c>
      <c r="BE330" s="2133"/>
      <c r="BF330" s="507" t="e">
        <f t="shared" si="186"/>
        <v>#VALUE!</v>
      </c>
      <c r="BG330" s="329"/>
      <c r="BH330" s="1018">
        <f t="shared" si="187"/>
        <v>0</v>
      </c>
    </row>
    <row r="331" spans="1:60" ht="15" customHeight="1" x14ac:dyDescent="0.3">
      <c r="A331" s="2033"/>
      <c r="B331" s="287" t="str">
        <f t="shared" si="188"/>
        <v/>
      </c>
      <c r="C331" s="288" t="str">
        <f t="shared" si="183"/>
        <v/>
      </c>
      <c r="D331" s="691"/>
      <c r="E331" s="692"/>
      <c r="F331" s="693"/>
      <c r="G331" s="694"/>
      <c r="H331" s="695"/>
      <c r="I331" s="289">
        <f>I330-SUM($D331:F331)</f>
        <v>0</v>
      </c>
      <c r="J331" s="1234" t="str">
        <f>$J$9</f>
        <v>% Sel Acm :</v>
      </c>
      <c r="K331" s="1231">
        <f>IF(PROD!$K$2&gt;0,SUM(E$5:E333)/PROD!$K$2,0)</f>
        <v>0</v>
      </c>
      <c r="L331" s="1246"/>
      <c r="M331" s="291">
        <f t="shared" si="192"/>
        <v>0</v>
      </c>
      <c r="N331" s="292" t="str">
        <f>$N$9</f>
        <v xml:space="preserve">Uniformidad (10% -) : </v>
      </c>
      <c r="O331" s="320">
        <f>LOOKUP($A327,'Pr-Sem'!$A$6:$A$108,'Pr-Sem'!$AH$6:$AH$108)</f>
        <v>0</v>
      </c>
      <c r="P331" s="320">
        <v>5</v>
      </c>
      <c r="Q331" s="321">
        <f>IF(AND(P331&gt;0,O331&gt;0),(1-O331/P331)*100,0)</f>
        <v>0</v>
      </c>
      <c r="R331" s="699"/>
      <c r="S331" s="762"/>
      <c r="T331" s="765">
        <f t="shared" si="158"/>
        <v>0</v>
      </c>
      <c r="U331" s="700"/>
      <c r="V331" s="701"/>
      <c r="W331" s="701"/>
      <c r="X331" s="295">
        <f t="shared" si="189"/>
        <v>0</v>
      </c>
      <c r="Y331" s="296">
        <f>IF(AA331&gt;0,V331,AE327/IF(Iniciar!$C$25="B X 40 K",40,IF(Iniciar!$C$25="B X 50 K",50,1))*I331/1000)</f>
        <v>0</v>
      </c>
      <c r="Z331" s="296">
        <f t="shared" si="190"/>
        <v>0</v>
      </c>
      <c r="AA331" s="297">
        <f t="shared" si="193"/>
        <v>0</v>
      </c>
      <c r="AB331" s="297">
        <f t="shared" si="184"/>
        <v>0</v>
      </c>
      <c r="AC331" s="2035" t="str">
        <f>$AC$9</f>
        <v xml:space="preserve">Total Litros Sem: </v>
      </c>
      <c r="AD331" s="2036"/>
      <c r="AE331" s="2050">
        <f>SUM(R327:R333)</f>
        <v>0</v>
      </c>
      <c r="AF331" s="2051"/>
      <c r="AG331" s="554" t="str">
        <f>$AG$9</f>
        <v xml:space="preserve">Indicador Eficiencia : </v>
      </c>
      <c r="AH331" s="555">
        <f>IF(AND(AE331&gt;0,O328&gt;0,O329&gt;0,SUM(L327:L333)&gt;0),(PROD!AH330/O328)*K333*100/(AE331/(SUM(L327:L333)*O329/1000)),0)</f>
        <v>0</v>
      </c>
      <c r="AI331" s="555">
        <f>IF(AND(P328&gt;0,PROD!AI329&gt;0),(PROD!AI330/P328)*(1-K332)*100/(AE328/PROD!AI329),0)</f>
        <v>0</v>
      </c>
      <c r="AJ331" s="331">
        <f t="shared" si="191"/>
        <v>0</v>
      </c>
      <c r="AK331" s="2027"/>
      <c r="AL331" s="1284">
        <f t="shared" si="185"/>
        <v>0</v>
      </c>
      <c r="AM331" s="1285"/>
      <c r="AN331" s="1285"/>
      <c r="AO331" s="1285"/>
      <c r="AP331" s="1285"/>
      <c r="AQ331" s="1285"/>
      <c r="AR331" s="1285"/>
      <c r="AS331" s="1286"/>
      <c r="AT331" s="1287"/>
      <c r="AU331" s="1288"/>
      <c r="AV331" s="1289"/>
      <c r="AW331" s="1290"/>
      <c r="AX331" s="1291"/>
      <c r="AY331" s="1291"/>
      <c r="AZ331" s="1292"/>
      <c r="BA331" s="1293"/>
      <c r="BB331" s="1294"/>
      <c r="BC331" s="1295"/>
      <c r="BD331" s="1296">
        <f>BD330+PROD!L331-BA331</f>
        <v>0</v>
      </c>
      <c r="BE331" s="2133"/>
      <c r="BF331" s="507" t="e">
        <f t="shared" si="186"/>
        <v>#VALUE!</v>
      </c>
      <c r="BG331" s="329"/>
      <c r="BH331" s="1018">
        <f t="shared" si="187"/>
        <v>0</v>
      </c>
    </row>
    <row r="332" spans="1:60" ht="15" customHeight="1" x14ac:dyDescent="0.3">
      <c r="A332" s="2033"/>
      <c r="B332" s="287" t="str">
        <f t="shared" si="188"/>
        <v/>
      </c>
      <c r="C332" s="288" t="str">
        <f t="shared" si="183"/>
        <v/>
      </c>
      <c r="D332" s="691"/>
      <c r="E332" s="692"/>
      <c r="F332" s="693"/>
      <c r="G332" s="694"/>
      <c r="H332" s="695"/>
      <c r="I332" s="289">
        <f>I331-SUM($D332:F332)</f>
        <v>0</v>
      </c>
      <c r="J332" s="1237" t="str">
        <f>$J$10</f>
        <v>% Mort/Sel Acm Tab :</v>
      </c>
      <c r="K332" s="1238">
        <f>IFERROR(LOOKUP($A327,TP!$A$6:$A$108,GSh!$AR$6:$AR$108)/100,0)</f>
        <v>0</v>
      </c>
      <c r="L332" s="1246"/>
      <c r="M332" s="291">
        <f t="shared" si="192"/>
        <v>0</v>
      </c>
      <c r="N332" s="292" t="str">
        <f>$N$10</f>
        <v xml:space="preserve">Uniformidad (C. Lote) : </v>
      </c>
      <c r="O332" s="320">
        <f>LOOKUP($A327,'Pr-Sem'!$A$6:$A$108,'Pr-Sem'!$AG$6:$AG$108)</f>
        <v>0</v>
      </c>
      <c r="P332" s="320">
        <v>90</v>
      </c>
      <c r="Q332" s="321">
        <f>IF(AND(P332&gt;0,O332&gt;0),(O332/P332-1)*100,0)</f>
        <v>0</v>
      </c>
      <c r="R332" s="699"/>
      <c r="S332" s="762"/>
      <c r="T332" s="765">
        <f t="shared" ref="T332:T395" si="194">T331</f>
        <v>0</v>
      </c>
      <c r="U332" s="700"/>
      <c r="V332" s="701"/>
      <c r="W332" s="701"/>
      <c r="X332" s="295">
        <f t="shared" si="189"/>
        <v>0</v>
      </c>
      <c r="Y332" s="296">
        <f>IF(AA332&gt;0,V332,AE327/IF(Iniciar!$C$25="B X 40 K",40,IF(Iniciar!$C$25="B X 50 K",50,1))*I332/1000)</f>
        <v>0</v>
      </c>
      <c r="Z332" s="296">
        <f t="shared" si="190"/>
        <v>0</v>
      </c>
      <c r="AA332" s="297">
        <f t="shared" si="193"/>
        <v>0</v>
      </c>
      <c r="AB332" s="297">
        <f t="shared" si="184"/>
        <v>0</v>
      </c>
      <c r="AC332" s="2037" t="str">
        <f>$AC$10</f>
        <v xml:space="preserve">Cons ml /ave día: </v>
      </c>
      <c r="AD332" s="2038"/>
      <c r="AE332" s="2056">
        <f>IFERROR(SUMPRODUCT(AB327:AB333,I327:I333)/SUM(I327:I333),0)</f>
        <v>0</v>
      </c>
      <c r="AF332" s="2057"/>
      <c r="AG332" s="311" t="str">
        <f>CONCATENATE("Costo ",Iniciar!$C$25," : ")</f>
        <v xml:space="preserve">Costo Kilos : </v>
      </c>
      <c r="AH332" s="2043">
        <f>IFERROR(SUMPRODUCT(T327:T333,V327:V333)/SUMIF(T327:T333,"&gt;0",V327:V333),0)</f>
        <v>0</v>
      </c>
      <c r="AI332" s="2043"/>
      <c r="AJ332" s="313"/>
      <c r="AK332" s="2027"/>
      <c r="AL332" s="1284">
        <f t="shared" si="185"/>
        <v>0</v>
      </c>
      <c r="AM332" s="1285"/>
      <c r="AN332" s="1285"/>
      <c r="AO332" s="1285"/>
      <c r="AP332" s="1285"/>
      <c r="AQ332" s="1285"/>
      <c r="AR332" s="1285"/>
      <c r="AS332" s="1286"/>
      <c r="AT332" s="1287"/>
      <c r="AU332" s="1288"/>
      <c r="AV332" s="1289"/>
      <c r="AW332" s="1290"/>
      <c r="AX332" s="1291"/>
      <c r="AY332" s="1291"/>
      <c r="AZ332" s="1292"/>
      <c r="BA332" s="1293"/>
      <c r="BB332" s="1294"/>
      <c r="BC332" s="1295"/>
      <c r="BD332" s="1296">
        <f>BD331+PROD!L332-BA332</f>
        <v>0</v>
      </c>
      <c r="BE332" s="2133"/>
      <c r="BF332" s="507" t="e">
        <f t="shared" si="186"/>
        <v>#VALUE!</v>
      </c>
      <c r="BG332" s="329"/>
      <c r="BH332" s="1018">
        <f t="shared" si="187"/>
        <v>0</v>
      </c>
    </row>
    <row r="333" spans="1:60" ht="15" customHeight="1" x14ac:dyDescent="0.3">
      <c r="A333" s="2034"/>
      <c r="B333" s="287" t="str">
        <f t="shared" si="188"/>
        <v/>
      </c>
      <c r="C333" s="288" t="str">
        <f t="shared" si="183"/>
        <v/>
      </c>
      <c r="D333" s="691"/>
      <c r="E333" s="692"/>
      <c r="F333" s="693"/>
      <c r="G333" s="694"/>
      <c r="H333" s="695"/>
      <c r="I333" s="289">
        <f>I332-SUM($D333:F333)</f>
        <v>0</v>
      </c>
      <c r="J333" s="1239" t="str">
        <f>$J$11</f>
        <v>% Viabilidad :</v>
      </c>
      <c r="K333" s="1240">
        <f>IF(OR(SUM(L327:L333)&gt;0,SUM(V327:V333)&gt;0),1-(K330+K331),0)</f>
        <v>0</v>
      </c>
      <c r="L333" s="1247"/>
      <c r="M333" s="1248">
        <f>IF(I333&gt;0,(L333/IF(SUM(L327:L332)&gt;0,1,7))/I333,0)</f>
        <v>0</v>
      </c>
      <c r="N333" s="1249" t="str">
        <f>$N$11</f>
        <v xml:space="preserve">Uniformidad (10% +) : </v>
      </c>
      <c r="O333" s="1250">
        <f>IF(O331&gt;0,IF(O332&gt;0,100-SUM(O331:O332),0),0)</f>
        <v>0</v>
      </c>
      <c r="P333" s="1251">
        <f>100-SUM(P331:P332)</f>
        <v>5</v>
      </c>
      <c r="Q333" s="1252">
        <f>IF(AND(P333&gt;0,O333&gt;0),(O333/P333-1)*100,0)</f>
        <v>0</v>
      </c>
      <c r="R333" s="699"/>
      <c r="S333" s="762"/>
      <c r="T333" s="765">
        <f t="shared" si="194"/>
        <v>0</v>
      </c>
      <c r="U333" s="700"/>
      <c r="V333" s="701"/>
      <c r="W333" s="701"/>
      <c r="X333" s="295">
        <f t="shared" si="189"/>
        <v>0</v>
      </c>
      <c r="Y333" s="296">
        <f>IF(AA333&gt;0,V333,AE327/IF(Iniciar!$C$25="B X 40 K",40,IF(Iniciar!$C$25="B X 50 K",50,1))*I333/1000)</f>
        <v>0</v>
      </c>
      <c r="Z333" s="296">
        <f t="shared" si="190"/>
        <v>0</v>
      </c>
      <c r="AA333" s="297">
        <f>IF(I333&gt;0,(V333/IF(SUM(V327:V332)&gt;0,1,7))*$A$1/I333,0)</f>
        <v>0</v>
      </c>
      <c r="AB333" s="297">
        <f t="shared" si="184"/>
        <v>0</v>
      </c>
      <c r="AC333" s="2039" t="str">
        <f>$AC$11</f>
        <v xml:space="preserve">Relación Agua /Alimto: </v>
      </c>
      <c r="AD333" s="2040"/>
      <c r="AE333" s="2058">
        <f>IFERROR(AE332/AD327,0)</f>
        <v>0</v>
      </c>
      <c r="AF333" s="2059"/>
      <c r="AG333" s="1269" t="s">
        <v>237</v>
      </c>
      <c r="AH333" s="1270">
        <f>IF(SUM(L327:L333)&gt;0,AH332*SUM(V327:V333)/SUM(L327:L333),0)</f>
        <v>0</v>
      </c>
      <c r="AI333" s="1270">
        <f>IF(AND($A$1&gt;0,P327&gt;0),AH332/$A$1*(AE327/P327)*100,0)</f>
        <v>0</v>
      </c>
      <c r="AJ333" s="1271">
        <f t="shared" ref="AJ333:AJ338" si="195">IF(AND(AI333&gt;0,AH333&gt;0),(AH333/AI333-1)*100,0)</f>
        <v>0</v>
      </c>
      <c r="AK333" s="2028"/>
      <c r="AL333" s="1284">
        <f t="shared" si="185"/>
        <v>0</v>
      </c>
      <c r="AM333" s="1285"/>
      <c r="AN333" s="1285"/>
      <c r="AO333" s="1285"/>
      <c r="AP333" s="1285"/>
      <c r="AQ333" s="1285"/>
      <c r="AR333" s="1285"/>
      <c r="AS333" s="1286"/>
      <c r="AT333" s="1287"/>
      <c r="AU333" s="1288"/>
      <c r="AV333" s="1289"/>
      <c r="AW333" s="1290"/>
      <c r="AX333" s="1291"/>
      <c r="AY333" s="1291"/>
      <c r="AZ333" s="1292"/>
      <c r="BA333" s="1293"/>
      <c r="BB333" s="1294"/>
      <c r="BC333" s="1295"/>
      <c r="BD333" s="1296">
        <f>BD332+PROD!L333-BA333</f>
        <v>0</v>
      </c>
      <c r="BE333" s="2134"/>
      <c r="BF333" s="507" t="e">
        <f t="shared" si="186"/>
        <v>#VALUE!</v>
      </c>
      <c r="BG333" s="329"/>
      <c r="BH333" s="1018">
        <f t="shared" si="187"/>
        <v>0</v>
      </c>
    </row>
    <row r="334" spans="1:60" ht="15" customHeight="1" x14ac:dyDescent="0.3">
      <c r="A334" s="2032">
        <f>A327+1</f>
        <v>65</v>
      </c>
      <c r="B334" s="287" t="str">
        <f t="shared" si="188"/>
        <v/>
      </c>
      <c r="C334" s="288" t="str">
        <f t="shared" si="183"/>
        <v/>
      </c>
      <c r="D334" s="691"/>
      <c r="E334" s="692"/>
      <c r="F334" s="693"/>
      <c r="G334" s="694"/>
      <c r="H334" s="695"/>
      <c r="I334" s="289">
        <f>I333-SUM($D334:F334)</f>
        <v>0</v>
      </c>
      <c r="J334" s="1232" t="str">
        <f>$J$5</f>
        <v>% Mort Sem :</v>
      </c>
      <c r="K334" s="1233">
        <f>IF(PROD!$K$2&gt;0,SUM(D334:D340)/PROD!$K$2,0)</f>
        <v>0</v>
      </c>
      <c r="L334" s="1241"/>
      <c r="M334" s="1242">
        <f t="shared" ref="M334:M339" si="196">IF(I334&gt;0,L334/I334,0)</f>
        <v>0</v>
      </c>
      <c r="N334" s="1243" t="str">
        <f>$N$5</f>
        <v xml:space="preserve">% Pdn prom semana : </v>
      </c>
      <c r="O334" s="1244">
        <f>IF(SUM(L334:L339)&gt;0,100*SUMPRODUCT(M334:M340,I334:I340)/SUMIF(L334:L340,"&gt;0",I334:I340),IF(L340&gt;0,100*L340/7/I340,0))</f>
        <v>0</v>
      </c>
      <c r="P334" s="1244">
        <f>IFERROR(LOOKUP($A334,TP!$A$6:$A$108,GSh!$AE$6:$AE$108),0)</f>
        <v>0</v>
      </c>
      <c r="Q334" s="1245">
        <f>IF(AND(P334&gt;0,O334&gt;0),O334-P334,0)</f>
        <v>0</v>
      </c>
      <c r="R334" s="699"/>
      <c r="S334" s="762"/>
      <c r="T334" s="765">
        <f t="shared" si="194"/>
        <v>0</v>
      </c>
      <c r="U334" s="700"/>
      <c r="V334" s="701"/>
      <c r="W334" s="701"/>
      <c r="X334" s="295">
        <f t="shared" si="189"/>
        <v>0</v>
      </c>
      <c r="Y334" s="296">
        <f>IF(AA334&gt;0,V334,AE334/IF(Iniciar!$C$25="B X 40 K",40,IF(Iniciar!$C$25="B X 50 K",50,1))*I334/1000)</f>
        <v>0</v>
      </c>
      <c r="Z334" s="296">
        <f t="shared" si="190"/>
        <v>0</v>
      </c>
      <c r="AA334" s="297">
        <f t="shared" ref="AA334:AA339" si="197">IF(I334&gt;0,V334*$A$1/I334,0)</f>
        <v>0</v>
      </c>
      <c r="AB334" s="297">
        <f t="shared" si="184"/>
        <v>0</v>
      </c>
      <c r="AC334" s="1261" t="str">
        <f>$AC$5</f>
        <v>Gr. Ave Dia :</v>
      </c>
      <c r="AD334" s="1262">
        <f>IF(SUMIF(V334:V340,"&gt;0")&gt;0,SUMPRODUCT(AA334:AA340,I334:I340)/SUMIF(AA334:AA340,"&gt;0",I334:I340),0)</f>
        <v>0</v>
      </c>
      <c r="AE334" s="1262">
        <f>IFERROR(LOOKUP($A334,TP!$A$6:$A$108,GSh!$AU$6:$AU$108),0)</f>
        <v>0</v>
      </c>
      <c r="AF334" s="1263">
        <f>IF(AND(AE334&gt;0,AD334&gt;0),(AD334/AE334-1)*100,0)</f>
        <v>0</v>
      </c>
      <c r="AG334" s="1264" t="str">
        <f>PROD!$AG$5</f>
        <v>Gr X H</v>
      </c>
      <c r="AH334" s="1265">
        <f>IF(PROD!O334&gt;0,IF($AG334="Gr X H",PROD!AD334/PROD!O334*100,IF($AG334="Conv Kg/Doc",PROD!AD334/PROD!O334*1.2,IF(PROD!$O336&gt;0,PROD!AD334/(PROD!O334*PROD!$O336)*100,0))),0)</f>
        <v>0</v>
      </c>
      <c r="AI334" s="1265">
        <f>IF(PROD!P334&gt;0,IF($AG334="Gr X H",PROD!AE334/PROD!P334*100,IF($AG334="Conv Kg/Doc",PROD!AE334/PROD!P334*1.2,IF(PROD!$P336&gt;0,PROD!AE334/(PROD!P334*PROD!$P336)*100,0))),0)</f>
        <v>0</v>
      </c>
      <c r="AJ334" s="1266">
        <f t="shared" si="195"/>
        <v>0</v>
      </c>
      <c r="AK334" s="2026"/>
      <c r="AL334" s="1284">
        <f t="shared" si="185"/>
        <v>0</v>
      </c>
      <c r="AM334" s="1285"/>
      <c r="AN334" s="1285"/>
      <c r="AO334" s="1285"/>
      <c r="AP334" s="1285"/>
      <c r="AQ334" s="1285"/>
      <c r="AR334" s="1285"/>
      <c r="AS334" s="1286"/>
      <c r="AT334" s="1287"/>
      <c r="AU334" s="1288"/>
      <c r="AV334" s="1289"/>
      <c r="AW334" s="1290"/>
      <c r="AX334" s="1291"/>
      <c r="AY334" s="1291"/>
      <c r="AZ334" s="1292"/>
      <c r="BA334" s="1293"/>
      <c r="BB334" s="1294"/>
      <c r="BC334" s="1295"/>
      <c r="BD334" s="1296">
        <f>BD333+PROD!L334-BA334</f>
        <v>0</v>
      </c>
      <c r="BE334" s="2132">
        <f>IF(SUM(AM334:AZ340)&gt;0,(SUM(AM334:AM340)*$AM$2+SUM(AN334:AN340)*$AN$2+SUM(AO334:AO340)*$AO$2+SUM(AP334:AP340)*$AP$2+SUM(AQ334:AQ340)*$AQ$2+SUM(AR334:AR340)*$AR$2+SUM(AS334:AS340)*$AS$2+SUM(AW334:AW340)*$AW$2+SUM(AX334:AX340)*$AX$2+SUM(AY334:AY340)*$AY$2+SUM(AZ334:AZ340)*$AZ$2+SUM(AT334:AT340)*$AT$2+SUM(AU334:AU340)*$AU$2+SUM(AV334:AV340)*$AV$2)/SUM(AM334:AZ340),0)</f>
        <v>0</v>
      </c>
      <c r="BF334" s="507" t="e">
        <f t="shared" si="186"/>
        <v>#VALUE!</v>
      </c>
      <c r="BG334" s="277">
        <f>IF(SUM(L334:L340)&gt;0,A334,IF(SUM(V334:V340)&gt;0,A334,BG327))</f>
        <v>0</v>
      </c>
      <c r="BH334" s="1018">
        <f t="shared" si="187"/>
        <v>0</v>
      </c>
    </row>
    <row r="335" spans="1:60" ht="15" customHeight="1" x14ac:dyDescent="0.3">
      <c r="A335" s="2033"/>
      <c r="B335" s="287" t="str">
        <f t="shared" si="188"/>
        <v/>
      </c>
      <c r="C335" s="288" t="str">
        <f t="shared" si="183"/>
        <v/>
      </c>
      <c r="D335" s="691"/>
      <c r="E335" s="692"/>
      <c r="F335" s="693"/>
      <c r="G335" s="694"/>
      <c r="H335" s="695"/>
      <c r="I335" s="289">
        <f>I334-SUM($D335:F335)</f>
        <v>0</v>
      </c>
      <c r="J335" s="1234" t="str">
        <f>$J$6</f>
        <v>% Sel Sem :</v>
      </c>
      <c r="K335" s="1231">
        <f>IF(PROD!$K$2&gt;0,SUM(E334:E340)/PROD!$K$2,0)</f>
        <v>0</v>
      </c>
      <c r="L335" s="1246"/>
      <c r="M335" s="291">
        <f t="shared" si="196"/>
        <v>0</v>
      </c>
      <c r="N335" s="292" t="str">
        <f>$N$6</f>
        <v xml:space="preserve">H. Ave Alojada : </v>
      </c>
      <c r="O335" s="293">
        <f>IF(AND(PROD!$K$2&gt;0,O334&gt;0),SUM(L$5:L340)/PROD!$K$2,0)</f>
        <v>0</v>
      </c>
      <c r="P335" s="293">
        <f>IFERROR(LOOKUP($A334,TP!$A$6:$A$108,GSh!$AJ$6:$AJ$108),0)</f>
        <v>0</v>
      </c>
      <c r="Q335" s="294">
        <f>IF(AND(P335&gt;0,O335&gt;0),O335-P335,0)</f>
        <v>0</v>
      </c>
      <c r="R335" s="699"/>
      <c r="S335" s="762"/>
      <c r="T335" s="765">
        <f t="shared" si="194"/>
        <v>0</v>
      </c>
      <c r="U335" s="700"/>
      <c r="V335" s="701"/>
      <c r="W335" s="701"/>
      <c r="X335" s="295">
        <f t="shared" si="189"/>
        <v>0</v>
      </c>
      <c r="Y335" s="296">
        <f>IF(AA335&gt;0,V335,AE334/IF(Iniciar!$C$25="B X 40 K",40,IF(Iniciar!$C$25="B X 50 K",50,1))*I335/1000)</f>
        <v>0</v>
      </c>
      <c r="Z335" s="296">
        <f t="shared" si="190"/>
        <v>0</v>
      </c>
      <c r="AA335" s="297">
        <f t="shared" si="197"/>
        <v>0</v>
      </c>
      <c r="AB335" s="297">
        <f t="shared" si="184"/>
        <v>0</v>
      </c>
      <c r="AC335" s="1267" t="str">
        <f>$AC$6</f>
        <v>Gr. Ave Sem :</v>
      </c>
      <c r="AD335" s="284">
        <f>AD334*7</f>
        <v>0</v>
      </c>
      <c r="AE335" s="284">
        <f>AE334*7</f>
        <v>0</v>
      </c>
      <c r="AF335" s="285">
        <f>IF(AND(AE335&gt;0,AD335&gt;0),(AD335/AE335-1)*100,0)</f>
        <v>0</v>
      </c>
      <c r="AG335" s="1199" t="str">
        <f>PROD!$AG$6</f>
        <v>Gr X H Acm</v>
      </c>
      <c r="AH335" s="298">
        <f>IF(SUM(PROD!L334:L340)&gt;0,IF(PROD!$AG$5="Gr X H",SUM(PROD!V$5:V340)*PROD!$A$1/SUM(PROD!L$5:L340),IF($AG334="Conv Kg/Doc",(SUM(PROD!V$5:V340)*PROD!$A$1/1000)/(SUM(PROD!L$5:L340)/12),IF(PROD!$O336&gt;0,SUM(PROD!V$5:V340)*PROD!$A$1/(SUM(PROD!L$5:L340)*LOOKUP(PROD!A334,TP!$A$6:$A$108,GSh!$BB$6:$BB$108)),0))),0)</f>
        <v>0</v>
      </c>
      <c r="AI335" s="298">
        <f>IF(PROD!P334&gt;0,IF($AG334="Gr X H",PROD!AE334/PROD!P334*100,IF($AG334="Conv Kg/Doc",PROD!AE334/PROD!P334*1.2,IF(PROD!$P335&gt;0,PROD!AE336/(PROD!P335*LOOKUP(PROD!$A334,TP!$A$6:$A$108,GSh!$BC$6:$BC$108)/1000),0))),0)</f>
        <v>0</v>
      </c>
      <c r="AJ335" s="328">
        <f t="shared" si="195"/>
        <v>0</v>
      </c>
      <c r="AK335" s="2027"/>
      <c r="AL335" s="1284">
        <f t="shared" si="185"/>
        <v>0</v>
      </c>
      <c r="AM335" s="1285"/>
      <c r="AN335" s="1285"/>
      <c r="AO335" s="1285"/>
      <c r="AP335" s="1285"/>
      <c r="AQ335" s="1285"/>
      <c r="AR335" s="1285"/>
      <c r="AS335" s="1286"/>
      <c r="AT335" s="1287"/>
      <c r="AU335" s="1288"/>
      <c r="AV335" s="1289"/>
      <c r="AW335" s="1290"/>
      <c r="AX335" s="1291"/>
      <c r="AY335" s="1291"/>
      <c r="AZ335" s="1292"/>
      <c r="BA335" s="1293"/>
      <c r="BB335" s="1294"/>
      <c r="BC335" s="1295"/>
      <c r="BD335" s="1296">
        <f>BD334+PROD!L335-BA335</f>
        <v>0</v>
      </c>
      <c r="BE335" s="2133"/>
      <c r="BF335" s="507" t="e">
        <f t="shared" si="186"/>
        <v>#VALUE!</v>
      </c>
      <c r="BG335" s="329"/>
      <c r="BH335" s="1018">
        <f t="shared" si="187"/>
        <v>0</v>
      </c>
    </row>
    <row r="336" spans="1:60" ht="15" customHeight="1" x14ac:dyDescent="0.3">
      <c r="A336" s="2033"/>
      <c r="B336" s="287" t="str">
        <f t="shared" si="188"/>
        <v/>
      </c>
      <c r="C336" s="288" t="str">
        <f t="shared" si="183"/>
        <v/>
      </c>
      <c r="D336" s="691"/>
      <c r="E336" s="692"/>
      <c r="F336" s="693"/>
      <c r="G336" s="694"/>
      <c r="H336" s="695"/>
      <c r="I336" s="289">
        <f>I335-SUM($D336:F336)</f>
        <v>0</v>
      </c>
      <c r="J336" s="1235" t="str">
        <f>$J$7</f>
        <v>% Mort/Sel Sem Tab :</v>
      </c>
      <c r="K336" s="1236">
        <f>K339-K332</f>
        <v>0</v>
      </c>
      <c r="L336" s="1246"/>
      <c r="M336" s="291">
        <f t="shared" si="196"/>
        <v>0</v>
      </c>
      <c r="N336" s="304" t="str">
        <f>$N$7</f>
        <v xml:space="preserve">Peso Huevo (Gr) : </v>
      </c>
      <c r="O336" s="305">
        <f>LOOKUP($A334,'Pr-Sem'!$A$6:$A$108,'Pr-Sem'!$Z$6:$Z$108)</f>
        <v>0</v>
      </c>
      <c r="P336" s="305">
        <f>IFERROR(LOOKUP($A334,TP!$A$6:$A$108,GSh!$AZ$6:$AZ$108),0)</f>
        <v>0</v>
      </c>
      <c r="Q336" s="306">
        <f>IF(AND(P336&gt;0,O336&gt;0),O336-P336,0)</f>
        <v>0</v>
      </c>
      <c r="R336" s="699"/>
      <c r="S336" s="762"/>
      <c r="T336" s="765">
        <f t="shared" si="194"/>
        <v>0</v>
      </c>
      <c r="U336" s="700"/>
      <c r="V336" s="701"/>
      <c r="W336" s="701"/>
      <c r="X336" s="295">
        <f t="shared" si="189"/>
        <v>0</v>
      </c>
      <c r="Y336" s="296">
        <f>IF(AA336&gt;0,V336,AE334/IF(Iniciar!$C$25="B X 40 K",40,IF(Iniciar!$C$25="B X 50 K",50,1))*I336/1000)</f>
        <v>0</v>
      </c>
      <c r="Z336" s="296">
        <f t="shared" si="190"/>
        <v>0</v>
      </c>
      <c r="AA336" s="297">
        <f t="shared" si="197"/>
        <v>0</v>
      </c>
      <c r="AB336" s="297">
        <f t="shared" si="184"/>
        <v>0</v>
      </c>
      <c r="AC336" s="1268" t="str">
        <f>$AC$7</f>
        <v>Kg Ave Acu :</v>
      </c>
      <c r="AD336" s="308">
        <f>IF(OR(SUM(L334:L340)&gt;0,SUM(V334:V340)&gt;0),AD335/1000+AD329,0)</f>
        <v>0</v>
      </c>
      <c r="AE336" s="309">
        <f>AE335/1000+AE329</f>
        <v>0</v>
      </c>
      <c r="AF336" s="310">
        <f>IF(AND(AE336&gt;0,AD336&gt;0),(AD336/AE336-1)*100,0)</f>
        <v>0</v>
      </c>
      <c r="AG336" s="311" t="str">
        <f>PROD!$AG$7</f>
        <v xml:space="preserve">Masa Sem H (Gr) : </v>
      </c>
      <c r="AH336" s="312">
        <f>PROD!O334/100*7*PROD!O336</f>
        <v>0</v>
      </c>
      <c r="AI336" s="312">
        <f>PROD!P334/100*7*PROD!P336</f>
        <v>0</v>
      </c>
      <c r="AJ336" s="313">
        <f t="shared" si="195"/>
        <v>0</v>
      </c>
      <c r="AK336" s="2027"/>
      <c r="AL336" s="1284">
        <f t="shared" si="185"/>
        <v>0</v>
      </c>
      <c r="AM336" s="1285"/>
      <c r="AN336" s="1285"/>
      <c r="AO336" s="1285"/>
      <c r="AP336" s="1285"/>
      <c r="AQ336" s="1285"/>
      <c r="AR336" s="1285"/>
      <c r="AS336" s="1286"/>
      <c r="AT336" s="1287"/>
      <c r="AU336" s="1288"/>
      <c r="AV336" s="1289"/>
      <c r="AW336" s="1290"/>
      <c r="AX336" s="1291"/>
      <c r="AY336" s="1291"/>
      <c r="AZ336" s="1292"/>
      <c r="BA336" s="1293"/>
      <c r="BB336" s="1294"/>
      <c r="BC336" s="1295"/>
      <c r="BD336" s="1296">
        <f>BD335+PROD!L336-BA336</f>
        <v>0</v>
      </c>
      <c r="BE336" s="2133"/>
      <c r="BF336" s="507" t="e">
        <f t="shared" si="186"/>
        <v>#VALUE!</v>
      </c>
      <c r="BG336" s="329"/>
      <c r="BH336" s="1018">
        <f t="shared" si="187"/>
        <v>0</v>
      </c>
    </row>
    <row r="337" spans="1:60" ht="15" customHeight="1" x14ac:dyDescent="0.3">
      <c r="A337" s="2033"/>
      <c r="B337" s="287" t="str">
        <f t="shared" si="188"/>
        <v/>
      </c>
      <c r="C337" s="288" t="str">
        <f t="shared" si="183"/>
        <v/>
      </c>
      <c r="D337" s="691"/>
      <c r="E337" s="692"/>
      <c r="F337" s="693"/>
      <c r="G337" s="694"/>
      <c r="H337" s="695"/>
      <c r="I337" s="289">
        <f>I336-SUM($D337:F337)</f>
        <v>0</v>
      </c>
      <c r="J337" s="1234" t="str">
        <f>$J$8</f>
        <v>% Mort Acm :</v>
      </c>
      <c r="K337" s="1231">
        <f>IF(PROD!$K$2&gt;0,SUM(D$5:D340)/PROD!$K$2,0)</f>
        <v>0</v>
      </c>
      <c r="L337" s="1246"/>
      <c r="M337" s="291">
        <f t="shared" si="196"/>
        <v>0</v>
      </c>
      <c r="N337" s="314" t="str">
        <f>N$8</f>
        <v xml:space="preserve">Peso Ave (Gr) : </v>
      </c>
      <c r="O337" s="315">
        <f>LOOKUP($A334,GSh!$BV$6:$BV$108,GSh!$BJ$6:$BJ$108)</f>
        <v>0</v>
      </c>
      <c r="P337" s="315">
        <f>IFERROR(LOOKUP($A334,TP!$A$6:$A$108,GSh!$BK$6:$BK$108),0)</f>
        <v>0</v>
      </c>
      <c r="Q337" s="316">
        <f>IF(AND(P337&gt;0,O337&gt;0),(O337/P337-1)*100,0)</f>
        <v>0</v>
      </c>
      <c r="R337" s="699"/>
      <c r="S337" s="762"/>
      <c r="T337" s="765">
        <f t="shared" si="194"/>
        <v>0</v>
      </c>
      <c r="U337" s="700"/>
      <c r="V337" s="701"/>
      <c r="W337" s="701"/>
      <c r="X337" s="295">
        <f t="shared" si="189"/>
        <v>0</v>
      </c>
      <c r="Y337" s="296">
        <f>IF(AA337&gt;0,V337,AE334/IF(Iniciar!$C$25="B X 40 K",40,IF(Iniciar!$C$25="B X 50 K",50,1))*I337/1000)</f>
        <v>0</v>
      </c>
      <c r="Z337" s="296">
        <f t="shared" si="190"/>
        <v>0</v>
      </c>
      <c r="AA337" s="297">
        <f t="shared" si="197"/>
        <v>0</v>
      </c>
      <c r="AB337" s="297">
        <f t="shared" si="184"/>
        <v>0</v>
      </c>
      <c r="AC337" s="541" t="str">
        <f>$AC$8</f>
        <v xml:space="preserve">Ton. Lote Acu : </v>
      </c>
      <c r="AD337" s="544">
        <f>SUM($V$5:$V340)*$A$1/1000000</f>
        <v>0</v>
      </c>
      <c r="AE337" s="543">
        <f>AE330+(AE334/1000000*7*(I334+I340)/2)</f>
        <v>0</v>
      </c>
      <c r="AF337" s="542">
        <f>IF(AND(AE337&gt;0,AD337&gt;0),(AD337/AE337-1)*100,0)</f>
        <v>0</v>
      </c>
      <c r="AG337" s="317" t="str">
        <f>PROD!$AG$8</f>
        <v xml:space="preserve">Masa Ac A. A (Kg) : </v>
      </c>
      <c r="AH337" s="318">
        <f>IF(PROD!$K$2&gt;0,SUM(PROD!L$5:L340)*LOOKUP(PROD!$A334,TP!$A$6:$A$108,GSh!$BB$6:$BB$108)/1000/PROD!$K$2,0)</f>
        <v>0</v>
      </c>
      <c r="AI337" s="318">
        <f>IFERROR(PROD!P335*LOOKUP(PROD!$A334,TP!$A$6:$A$108,GSh!$BC$6:$BC$108)/1000,0)</f>
        <v>0</v>
      </c>
      <c r="AJ337" s="330">
        <f t="shared" si="195"/>
        <v>0</v>
      </c>
      <c r="AK337" s="2027"/>
      <c r="AL337" s="1284">
        <f t="shared" si="185"/>
        <v>0</v>
      </c>
      <c r="AM337" s="1285"/>
      <c r="AN337" s="1285"/>
      <c r="AO337" s="1285"/>
      <c r="AP337" s="1285"/>
      <c r="AQ337" s="1285"/>
      <c r="AR337" s="1285"/>
      <c r="AS337" s="1286"/>
      <c r="AT337" s="1287"/>
      <c r="AU337" s="1288"/>
      <c r="AV337" s="1289"/>
      <c r="AW337" s="1290"/>
      <c r="AX337" s="1291"/>
      <c r="AY337" s="1291"/>
      <c r="AZ337" s="1292"/>
      <c r="BA337" s="1293"/>
      <c r="BB337" s="1294"/>
      <c r="BC337" s="1295"/>
      <c r="BD337" s="1296">
        <f>BD336+PROD!L337-BA337</f>
        <v>0</v>
      </c>
      <c r="BE337" s="2133"/>
      <c r="BF337" s="507" t="e">
        <f t="shared" si="186"/>
        <v>#VALUE!</v>
      </c>
      <c r="BG337" s="329"/>
      <c r="BH337" s="1018">
        <f t="shared" si="187"/>
        <v>0</v>
      </c>
    </row>
    <row r="338" spans="1:60" ht="15" customHeight="1" x14ac:dyDescent="0.3">
      <c r="A338" s="2033"/>
      <c r="B338" s="287" t="str">
        <f t="shared" si="188"/>
        <v/>
      </c>
      <c r="C338" s="288" t="str">
        <f t="shared" si="183"/>
        <v/>
      </c>
      <c r="D338" s="691"/>
      <c r="E338" s="692"/>
      <c r="F338" s="693"/>
      <c r="G338" s="694"/>
      <c r="H338" s="695"/>
      <c r="I338" s="289">
        <f>I337-SUM($D338:F338)</f>
        <v>0</v>
      </c>
      <c r="J338" s="1234" t="str">
        <f>$J$9</f>
        <v>% Sel Acm :</v>
      </c>
      <c r="K338" s="1231">
        <f>IF(PROD!$K$2&gt;0,SUM(E$5:E340)/PROD!$K$2,0)</f>
        <v>0</v>
      </c>
      <c r="L338" s="1246"/>
      <c r="M338" s="291">
        <f t="shared" si="196"/>
        <v>0</v>
      </c>
      <c r="N338" s="292" t="str">
        <f>$N$9</f>
        <v xml:space="preserve">Uniformidad (10% -) : </v>
      </c>
      <c r="O338" s="320">
        <f>LOOKUP($A334,'Pr-Sem'!$A$6:$A$108,'Pr-Sem'!$AH$6:$AH$108)</f>
        <v>0</v>
      </c>
      <c r="P338" s="320">
        <v>5</v>
      </c>
      <c r="Q338" s="321">
        <f>IF(AND(P338&gt;0,O338&gt;0),(1-O338/P338)*100,0)</f>
        <v>0</v>
      </c>
      <c r="R338" s="699"/>
      <c r="S338" s="762"/>
      <c r="T338" s="765">
        <f t="shared" si="194"/>
        <v>0</v>
      </c>
      <c r="U338" s="700"/>
      <c r="V338" s="701"/>
      <c r="W338" s="701"/>
      <c r="X338" s="295">
        <f t="shared" si="189"/>
        <v>0</v>
      </c>
      <c r="Y338" s="296">
        <f>IF(AA338&gt;0,V338,AE334/IF(Iniciar!$C$25="B X 40 K",40,IF(Iniciar!$C$25="B X 50 K",50,1))*I338/1000)</f>
        <v>0</v>
      </c>
      <c r="Z338" s="296">
        <f t="shared" si="190"/>
        <v>0</v>
      </c>
      <c r="AA338" s="297">
        <f t="shared" si="197"/>
        <v>0</v>
      </c>
      <c r="AB338" s="297">
        <f t="shared" si="184"/>
        <v>0</v>
      </c>
      <c r="AC338" s="2035" t="str">
        <f>$AC$9</f>
        <v xml:space="preserve">Total Litros Sem: </v>
      </c>
      <c r="AD338" s="2036"/>
      <c r="AE338" s="2050">
        <f>SUM(R334:R340)</f>
        <v>0</v>
      </c>
      <c r="AF338" s="2051"/>
      <c r="AG338" s="554" t="str">
        <f>$AG$9</f>
        <v xml:space="preserve">Indicador Eficiencia : </v>
      </c>
      <c r="AH338" s="555">
        <f>IF(AND(AE338&gt;0,O335&gt;0,O336&gt;0,SUM(L334:L340)&gt;0),(PROD!AH337/O335)*K340*100/(AE338/(SUM(L334:L340)*O336/1000)),0)</f>
        <v>0</v>
      </c>
      <c r="AI338" s="555">
        <f>IF(AND(P335&gt;0,PROD!AI336&gt;0),(PROD!AI337/P335)*(1-K339)*100/(AE335/PROD!AI336),0)</f>
        <v>0</v>
      </c>
      <c r="AJ338" s="331">
        <f t="shared" si="195"/>
        <v>0</v>
      </c>
      <c r="AK338" s="2027"/>
      <c r="AL338" s="1284">
        <f t="shared" si="185"/>
        <v>0</v>
      </c>
      <c r="AM338" s="1285"/>
      <c r="AN338" s="1285"/>
      <c r="AO338" s="1285"/>
      <c r="AP338" s="1285"/>
      <c r="AQ338" s="1285"/>
      <c r="AR338" s="1285"/>
      <c r="AS338" s="1286"/>
      <c r="AT338" s="1287"/>
      <c r="AU338" s="1288"/>
      <c r="AV338" s="1289"/>
      <c r="AW338" s="1290"/>
      <c r="AX338" s="1291"/>
      <c r="AY338" s="1291"/>
      <c r="AZ338" s="1292"/>
      <c r="BA338" s="1293"/>
      <c r="BB338" s="1294"/>
      <c r="BC338" s="1295"/>
      <c r="BD338" s="1296">
        <f>BD337+PROD!L338-BA338</f>
        <v>0</v>
      </c>
      <c r="BE338" s="2133"/>
      <c r="BF338" s="507" t="e">
        <f t="shared" si="186"/>
        <v>#VALUE!</v>
      </c>
      <c r="BG338" s="329"/>
      <c r="BH338" s="1018">
        <f t="shared" si="187"/>
        <v>0</v>
      </c>
    </row>
    <row r="339" spans="1:60" ht="15" customHeight="1" x14ac:dyDescent="0.3">
      <c r="A339" s="2033"/>
      <c r="B339" s="287" t="str">
        <f t="shared" si="188"/>
        <v/>
      </c>
      <c r="C339" s="288" t="str">
        <f t="shared" si="183"/>
        <v/>
      </c>
      <c r="D339" s="691"/>
      <c r="E339" s="692"/>
      <c r="F339" s="693"/>
      <c r="G339" s="694"/>
      <c r="H339" s="695"/>
      <c r="I339" s="289">
        <f>I338-SUM($D339:F339)</f>
        <v>0</v>
      </c>
      <c r="J339" s="1237" t="str">
        <f>$J$10</f>
        <v>% Mort/Sel Acm Tab :</v>
      </c>
      <c r="K339" s="1238">
        <f>IFERROR(LOOKUP($A334,TP!$A$6:$A$108,GSh!$AR$6:$AR$108)/100,0)</f>
        <v>0</v>
      </c>
      <c r="L339" s="1246"/>
      <c r="M339" s="291">
        <f t="shared" si="196"/>
        <v>0</v>
      </c>
      <c r="N339" s="292" t="str">
        <f>$N$10</f>
        <v xml:space="preserve">Uniformidad (C. Lote) : </v>
      </c>
      <c r="O339" s="320">
        <f>LOOKUP($A334,'Pr-Sem'!$A$6:$A$108,'Pr-Sem'!$AG$6:$AG$108)</f>
        <v>0</v>
      </c>
      <c r="P339" s="320">
        <v>90</v>
      </c>
      <c r="Q339" s="321">
        <f>IF(AND(P339&gt;0,O339&gt;0),(O339/P339-1)*100,0)</f>
        <v>0</v>
      </c>
      <c r="R339" s="699"/>
      <c r="S339" s="762"/>
      <c r="T339" s="765">
        <f t="shared" si="194"/>
        <v>0</v>
      </c>
      <c r="U339" s="700"/>
      <c r="V339" s="701"/>
      <c r="W339" s="701"/>
      <c r="X339" s="295">
        <f t="shared" si="189"/>
        <v>0</v>
      </c>
      <c r="Y339" s="296">
        <f>IF(AA339&gt;0,V339,AE334/IF(Iniciar!$C$25="B X 40 K",40,IF(Iniciar!$C$25="B X 50 K",50,1))*I339/1000)</f>
        <v>0</v>
      </c>
      <c r="Z339" s="296">
        <f t="shared" si="190"/>
        <v>0</v>
      </c>
      <c r="AA339" s="297">
        <f t="shared" si="197"/>
        <v>0</v>
      </c>
      <c r="AB339" s="297">
        <f t="shared" si="184"/>
        <v>0</v>
      </c>
      <c r="AC339" s="2037" t="str">
        <f>$AC$10</f>
        <v xml:space="preserve">Cons ml /ave día: </v>
      </c>
      <c r="AD339" s="2038"/>
      <c r="AE339" s="2056">
        <f>IFERROR(SUMPRODUCT(AB334:AB340,I334:I340)/SUM(I334:I340),0)</f>
        <v>0</v>
      </c>
      <c r="AF339" s="2057"/>
      <c r="AG339" s="311" t="str">
        <f>CONCATENATE("Costo ",Iniciar!$C$25," : ")</f>
        <v xml:space="preserve">Costo Kilos : </v>
      </c>
      <c r="AH339" s="2043">
        <f>IFERROR(SUMPRODUCT(T334:T340,V334:V340)/SUMIF(T334:T340,"&gt;0",V334:V340),0)</f>
        <v>0</v>
      </c>
      <c r="AI339" s="2043"/>
      <c r="AJ339" s="313"/>
      <c r="AK339" s="2027"/>
      <c r="AL339" s="1284">
        <f t="shared" si="185"/>
        <v>0</v>
      </c>
      <c r="AM339" s="1285"/>
      <c r="AN339" s="1285"/>
      <c r="AO339" s="1285"/>
      <c r="AP339" s="1285"/>
      <c r="AQ339" s="1285"/>
      <c r="AR339" s="1285"/>
      <c r="AS339" s="1286"/>
      <c r="AT339" s="1287"/>
      <c r="AU339" s="1288"/>
      <c r="AV339" s="1289"/>
      <c r="AW339" s="1290"/>
      <c r="AX339" s="1291"/>
      <c r="AY339" s="1291"/>
      <c r="AZ339" s="1292"/>
      <c r="BA339" s="1293"/>
      <c r="BB339" s="1294"/>
      <c r="BC339" s="1295"/>
      <c r="BD339" s="1296">
        <f>BD338+PROD!L339-BA339</f>
        <v>0</v>
      </c>
      <c r="BE339" s="2133"/>
      <c r="BF339" s="507" t="e">
        <f t="shared" si="186"/>
        <v>#VALUE!</v>
      </c>
      <c r="BG339" s="329"/>
      <c r="BH339" s="1018">
        <f t="shared" si="187"/>
        <v>0</v>
      </c>
    </row>
    <row r="340" spans="1:60" ht="15" customHeight="1" x14ac:dyDescent="0.3">
      <c r="A340" s="2034"/>
      <c r="B340" s="287" t="str">
        <f t="shared" si="188"/>
        <v/>
      </c>
      <c r="C340" s="288" t="str">
        <f t="shared" si="183"/>
        <v/>
      </c>
      <c r="D340" s="691"/>
      <c r="E340" s="692"/>
      <c r="F340" s="693"/>
      <c r="G340" s="694"/>
      <c r="H340" s="695"/>
      <c r="I340" s="289">
        <f>I339-SUM($D340:F340)</f>
        <v>0</v>
      </c>
      <c r="J340" s="1239" t="str">
        <f>$J$11</f>
        <v>% Viabilidad :</v>
      </c>
      <c r="K340" s="1240">
        <f>IF(OR(SUM(L334:L340)&gt;0,SUM(V334:V340)&gt;0),1-(K337+K338),0)</f>
        <v>0</v>
      </c>
      <c r="L340" s="1247"/>
      <c r="M340" s="1248">
        <f>IF(I340&gt;0,(L340/IF(SUM(L334:L339)&gt;0,1,7))/I340,0)</f>
        <v>0</v>
      </c>
      <c r="N340" s="1249" t="str">
        <f>$N$11</f>
        <v xml:space="preserve">Uniformidad (10% +) : </v>
      </c>
      <c r="O340" s="1250">
        <f>IF(O338&gt;0,IF(O339&gt;0,100-SUM(O338:O339),0),0)</f>
        <v>0</v>
      </c>
      <c r="P340" s="1251">
        <f>100-SUM(P338:P339)</f>
        <v>5</v>
      </c>
      <c r="Q340" s="1252">
        <f>IF(AND(P340&gt;0,O340&gt;0),(O340/P340-1)*100,0)</f>
        <v>0</v>
      </c>
      <c r="R340" s="699"/>
      <c r="S340" s="762"/>
      <c r="T340" s="765">
        <f t="shared" si="194"/>
        <v>0</v>
      </c>
      <c r="U340" s="700"/>
      <c r="V340" s="701"/>
      <c r="W340" s="701"/>
      <c r="X340" s="295">
        <f t="shared" si="189"/>
        <v>0</v>
      </c>
      <c r="Y340" s="296">
        <f>IF(AA340&gt;0,V340,AE334/IF(Iniciar!$C$25="B X 40 K",40,IF(Iniciar!$C$25="B X 50 K",50,1))*I340/1000)</f>
        <v>0</v>
      </c>
      <c r="Z340" s="296">
        <f t="shared" si="190"/>
        <v>0</v>
      </c>
      <c r="AA340" s="297">
        <f>IF(I340&gt;0,(V340/IF(SUM(V334:V339)&gt;0,1,7))*$A$1/I340,0)</f>
        <v>0</v>
      </c>
      <c r="AB340" s="297">
        <f t="shared" si="184"/>
        <v>0</v>
      </c>
      <c r="AC340" s="2039" t="str">
        <f>$AC$11</f>
        <v xml:space="preserve">Relación Agua /Alimto: </v>
      </c>
      <c r="AD340" s="2040"/>
      <c r="AE340" s="2058">
        <f>IFERROR(AE339/AD334,0)</f>
        <v>0</v>
      </c>
      <c r="AF340" s="2059"/>
      <c r="AG340" s="1269" t="s">
        <v>237</v>
      </c>
      <c r="AH340" s="1270">
        <f>IF(SUM(L334:L340)&gt;0,AH339*SUM(V334:V340)/SUM(L334:L340),0)</f>
        <v>0</v>
      </c>
      <c r="AI340" s="1270">
        <f>IF(AND($A$1&gt;0,P334&gt;0),AH339/$A$1*(AE334/P334)*100,0)</f>
        <v>0</v>
      </c>
      <c r="AJ340" s="1271">
        <f t="shared" ref="AJ340:AJ345" si="198">IF(AND(AI340&gt;0,AH340&gt;0),(AH340/AI340-1)*100,0)</f>
        <v>0</v>
      </c>
      <c r="AK340" s="2028"/>
      <c r="AL340" s="1284">
        <f t="shared" si="185"/>
        <v>0</v>
      </c>
      <c r="AM340" s="1285"/>
      <c r="AN340" s="1285"/>
      <c r="AO340" s="1285"/>
      <c r="AP340" s="1285"/>
      <c r="AQ340" s="1285"/>
      <c r="AR340" s="1285"/>
      <c r="AS340" s="1286"/>
      <c r="AT340" s="1287"/>
      <c r="AU340" s="1288"/>
      <c r="AV340" s="1289"/>
      <c r="AW340" s="1290"/>
      <c r="AX340" s="1291"/>
      <c r="AY340" s="1291"/>
      <c r="AZ340" s="1292"/>
      <c r="BA340" s="1293"/>
      <c r="BB340" s="1294"/>
      <c r="BC340" s="1295"/>
      <c r="BD340" s="1296">
        <f>BD339+PROD!L340-BA340</f>
        <v>0</v>
      </c>
      <c r="BE340" s="2134"/>
      <c r="BF340" s="507" t="e">
        <f t="shared" si="186"/>
        <v>#VALUE!</v>
      </c>
      <c r="BG340" s="329"/>
      <c r="BH340" s="1018">
        <f t="shared" si="187"/>
        <v>0</v>
      </c>
    </row>
    <row r="341" spans="1:60" ht="15" customHeight="1" x14ac:dyDescent="0.3">
      <c r="A341" s="2032">
        <f>A334+1</f>
        <v>66</v>
      </c>
      <c r="B341" s="287" t="str">
        <f t="shared" si="188"/>
        <v/>
      </c>
      <c r="C341" s="288" t="str">
        <f t="shared" si="183"/>
        <v/>
      </c>
      <c r="D341" s="691"/>
      <c r="E341" s="692"/>
      <c r="F341" s="693"/>
      <c r="G341" s="694"/>
      <c r="H341" s="695"/>
      <c r="I341" s="289">
        <f>I340-SUM($D341:F341)</f>
        <v>0</v>
      </c>
      <c r="J341" s="1232" t="str">
        <f>$J$5</f>
        <v>% Mort Sem :</v>
      </c>
      <c r="K341" s="1233">
        <f>IF(PROD!$K$2&gt;0,SUM(D341:D347)/PROD!$K$2,0)</f>
        <v>0</v>
      </c>
      <c r="L341" s="1241"/>
      <c r="M341" s="1242">
        <f t="shared" ref="M341:M346" si="199">IF(I341&gt;0,L341/I341,0)</f>
        <v>0</v>
      </c>
      <c r="N341" s="1243" t="str">
        <f>$N$5</f>
        <v xml:space="preserve">% Pdn prom semana : </v>
      </c>
      <c r="O341" s="1244">
        <f>IF(SUM(L341:L346)&gt;0,100*SUMPRODUCT(M341:M347,I341:I347)/SUMIF(L341:L347,"&gt;0",I341:I347),IF(L347&gt;0,100*L347/7/I347,0))</f>
        <v>0</v>
      </c>
      <c r="P341" s="1244">
        <f>IFERROR(LOOKUP($A341,TP!$A$6:$A$108,GSh!$AE$6:$AE$108),0)</f>
        <v>0</v>
      </c>
      <c r="Q341" s="1245">
        <f>IF(AND(P341&gt;0,O341&gt;0),O341-P341,0)</f>
        <v>0</v>
      </c>
      <c r="R341" s="699"/>
      <c r="S341" s="762"/>
      <c r="T341" s="765">
        <f t="shared" si="194"/>
        <v>0</v>
      </c>
      <c r="U341" s="700"/>
      <c r="V341" s="701"/>
      <c r="W341" s="701"/>
      <c r="X341" s="295">
        <f t="shared" si="189"/>
        <v>0</v>
      </c>
      <c r="Y341" s="296">
        <f>IF(AA341&gt;0,V341,AE341/IF(Iniciar!$C$25="B X 40 K",40,IF(Iniciar!$C$25="B X 50 K",50,1))*I341/1000)</f>
        <v>0</v>
      </c>
      <c r="Z341" s="296">
        <f t="shared" si="190"/>
        <v>0</v>
      </c>
      <c r="AA341" s="297">
        <f t="shared" ref="AA341:AA346" si="200">IF(I341&gt;0,V341*$A$1/I341,0)</f>
        <v>0</v>
      </c>
      <c r="AB341" s="297">
        <f t="shared" si="184"/>
        <v>0</v>
      </c>
      <c r="AC341" s="1261" t="str">
        <f>$AC$5</f>
        <v>Gr. Ave Dia :</v>
      </c>
      <c r="AD341" s="1262">
        <f>IF(SUMIF(V341:V347,"&gt;0")&gt;0,SUMPRODUCT(AA341:AA347,I341:I347)/SUMIF(AA341:AA347,"&gt;0",I341:I347),0)</f>
        <v>0</v>
      </c>
      <c r="AE341" s="1262">
        <f>IFERROR(LOOKUP($A341,TP!$A$6:$A$108,GSh!$AU$6:$AU$108),0)</f>
        <v>0</v>
      </c>
      <c r="AF341" s="1263">
        <f>IF(AND(AE341&gt;0,AD341&gt;0),(AD341/AE341-1)*100,0)</f>
        <v>0</v>
      </c>
      <c r="AG341" s="1264" t="str">
        <f>PROD!$AG$5</f>
        <v>Gr X H</v>
      </c>
      <c r="AH341" s="1265">
        <f>IF(PROD!O341&gt;0,IF($AG341="Gr X H",PROD!AD341/PROD!O341*100,IF($AG341="Conv Kg/Doc",PROD!AD341/PROD!O341*1.2,IF(PROD!$O343&gt;0,PROD!AD341/(PROD!O341*PROD!$O343)*100,0))),0)</f>
        <v>0</v>
      </c>
      <c r="AI341" s="1265">
        <f>IF(PROD!P341&gt;0,IF($AG341="Gr X H",PROD!AE341/PROD!P341*100,IF($AG341="Conv Kg/Doc",PROD!AE341/PROD!P341*1.2,IF(PROD!$P343&gt;0,PROD!AE341/(PROD!P341*PROD!$P343)*100,0))),0)</f>
        <v>0</v>
      </c>
      <c r="AJ341" s="1266">
        <f t="shared" si="198"/>
        <v>0</v>
      </c>
      <c r="AK341" s="2026"/>
      <c r="AL341" s="1284">
        <f t="shared" si="185"/>
        <v>0</v>
      </c>
      <c r="AM341" s="1285"/>
      <c r="AN341" s="1285"/>
      <c r="AO341" s="1285"/>
      <c r="AP341" s="1285"/>
      <c r="AQ341" s="1285"/>
      <c r="AR341" s="1285"/>
      <c r="AS341" s="1286"/>
      <c r="AT341" s="1287"/>
      <c r="AU341" s="1288"/>
      <c r="AV341" s="1289"/>
      <c r="AW341" s="1290"/>
      <c r="AX341" s="1291"/>
      <c r="AY341" s="1291"/>
      <c r="AZ341" s="1292"/>
      <c r="BA341" s="1293"/>
      <c r="BB341" s="1294"/>
      <c r="BC341" s="1295"/>
      <c r="BD341" s="1296">
        <f>BD340+PROD!L341-BA341</f>
        <v>0</v>
      </c>
      <c r="BE341" s="2132">
        <f>IF(SUM(AM341:AZ347)&gt;0,(SUM(AM341:AM347)*$AM$2+SUM(AN341:AN347)*$AN$2+SUM(AO341:AO347)*$AO$2+SUM(AP341:AP347)*$AP$2+SUM(AQ341:AQ347)*$AQ$2+SUM(AR341:AR347)*$AR$2+SUM(AS341:AS347)*$AS$2+SUM(AW341:AW347)*$AW$2+SUM(AX341:AX347)*$AX$2+SUM(AY341:AY347)*$AY$2+SUM(AZ341:AZ347)*$AZ$2+SUM(AT341:AT347)*$AT$2+SUM(AU341:AU347)*$AU$2+SUM(AV341:AV347)*$AV$2)/SUM(AM341:AZ347),0)</f>
        <v>0</v>
      </c>
      <c r="BF341" s="507" t="e">
        <f t="shared" si="186"/>
        <v>#VALUE!</v>
      </c>
      <c r="BG341" s="277">
        <f>IF(SUM(L341:L347)&gt;0,A341,IF(SUM(V341:V347)&gt;0,A341,BG334))</f>
        <v>0</v>
      </c>
      <c r="BH341" s="1018">
        <f t="shared" si="187"/>
        <v>0</v>
      </c>
    </row>
    <row r="342" spans="1:60" ht="15" customHeight="1" x14ac:dyDescent="0.3">
      <c r="A342" s="2033"/>
      <c r="B342" s="287" t="str">
        <f t="shared" si="188"/>
        <v/>
      </c>
      <c r="C342" s="288" t="str">
        <f t="shared" si="183"/>
        <v/>
      </c>
      <c r="D342" s="691"/>
      <c r="E342" s="692"/>
      <c r="F342" s="693"/>
      <c r="G342" s="694"/>
      <c r="H342" s="695"/>
      <c r="I342" s="289">
        <f>I341-SUM($D342:F342)</f>
        <v>0</v>
      </c>
      <c r="J342" s="1234" t="str">
        <f>$J$6</f>
        <v>% Sel Sem :</v>
      </c>
      <c r="K342" s="1231">
        <f>IF(PROD!$K$2&gt;0,SUM(E341:E347)/PROD!$K$2,0)</f>
        <v>0</v>
      </c>
      <c r="L342" s="1246"/>
      <c r="M342" s="291">
        <f t="shared" si="199"/>
        <v>0</v>
      </c>
      <c r="N342" s="292" t="str">
        <f>$N$6</f>
        <v xml:space="preserve">H. Ave Alojada : </v>
      </c>
      <c r="O342" s="293">
        <f>IF(AND(PROD!$K$2&gt;0,O341&gt;0),SUM(L$5:L347)/PROD!$K$2,0)</f>
        <v>0</v>
      </c>
      <c r="P342" s="293">
        <f>IFERROR(LOOKUP($A341,TP!$A$6:$A$108,GSh!$AJ$6:$AJ$108),0)</f>
        <v>0</v>
      </c>
      <c r="Q342" s="294">
        <f>IF(AND(P342&gt;0,O342&gt;0),O342-P342,0)</f>
        <v>0</v>
      </c>
      <c r="R342" s="699"/>
      <c r="S342" s="762"/>
      <c r="T342" s="765">
        <f t="shared" si="194"/>
        <v>0</v>
      </c>
      <c r="U342" s="700"/>
      <c r="V342" s="701"/>
      <c r="W342" s="701"/>
      <c r="X342" s="295">
        <f t="shared" si="189"/>
        <v>0</v>
      </c>
      <c r="Y342" s="296">
        <f>IF(AA342&gt;0,V342,AE341/IF(Iniciar!$C$25="B X 40 K",40,IF(Iniciar!$C$25="B X 50 K",50,1))*I342/1000)</f>
        <v>0</v>
      </c>
      <c r="Z342" s="296">
        <f t="shared" si="190"/>
        <v>0</v>
      </c>
      <c r="AA342" s="297">
        <f t="shared" si="200"/>
        <v>0</v>
      </c>
      <c r="AB342" s="297">
        <f t="shared" si="184"/>
        <v>0</v>
      </c>
      <c r="AC342" s="1267" t="str">
        <f>$AC$6</f>
        <v>Gr. Ave Sem :</v>
      </c>
      <c r="AD342" s="284">
        <f>AD341*7</f>
        <v>0</v>
      </c>
      <c r="AE342" s="284">
        <f>AE341*7</f>
        <v>0</v>
      </c>
      <c r="AF342" s="285">
        <f>IF(AND(AE342&gt;0,AD342&gt;0),(AD342/AE342-1)*100,0)</f>
        <v>0</v>
      </c>
      <c r="AG342" s="1199" t="str">
        <f>PROD!$AG$6</f>
        <v>Gr X H Acm</v>
      </c>
      <c r="AH342" s="298">
        <f>IF(SUM(PROD!L341:L347)&gt;0,IF(PROD!$AG$5="Gr X H",SUM(PROD!V$5:V347)*PROD!$A$1/SUM(PROD!L$5:L347),IF($AG341="Conv Kg/Doc",(SUM(PROD!V$5:V347)*PROD!$A$1/1000)/(SUM(PROD!L$5:L347)/12),IF(PROD!$O343&gt;0,SUM(PROD!V$5:V347)*PROD!$A$1/(SUM(PROD!L$5:L347)*LOOKUP(PROD!A341,TP!$A$6:$A$108,GSh!$BB$6:$BB$108)),0))),0)</f>
        <v>0</v>
      </c>
      <c r="AI342" s="298">
        <f>IF(PROD!P341&gt;0,IF($AG341="Gr X H",PROD!AE341/PROD!P341*100,IF($AG341="Conv Kg/Doc",PROD!AE341/PROD!P341*1.2,IF(PROD!$P342&gt;0,PROD!AE343/(PROD!P342*LOOKUP(PROD!$A341,TP!$A$6:$A$108,GSh!$BC$6:$BC$108)/1000),0))),0)</f>
        <v>0</v>
      </c>
      <c r="AJ342" s="328">
        <f t="shared" si="198"/>
        <v>0</v>
      </c>
      <c r="AK342" s="2027"/>
      <c r="AL342" s="1284">
        <f t="shared" si="185"/>
        <v>0</v>
      </c>
      <c r="AM342" s="1285"/>
      <c r="AN342" s="1285"/>
      <c r="AO342" s="1285"/>
      <c r="AP342" s="1285"/>
      <c r="AQ342" s="1285"/>
      <c r="AR342" s="1285"/>
      <c r="AS342" s="1286"/>
      <c r="AT342" s="1287"/>
      <c r="AU342" s="1288"/>
      <c r="AV342" s="1289"/>
      <c r="AW342" s="1290"/>
      <c r="AX342" s="1291"/>
      <c r="AY342" s="1291"/>
      <c r="AZ342" s="1292"/>
      <c r="BA342" s="1293"/>
      <c r="BB342" s="1294"/>
      <c r="BC342" s="1295"/>
      <c r="BD342" s="1296">
        <f>BD341+PROD!L342-BA342</f>
        <v>0</v>
      </c>
      <c r="BE342" s="2133"/>
      <c r="BF342" s="507" t="e">
        <f t="shared" si="186"/>
        <v>#VALUE!</v>
      </c>
      <c r="BG342" s="329"/>
      <c r="BH342" s="1018">
        <f t="shared" si="187"/>
        <v>0</v>
      </c>
    </row>
    <row r="343" spans="1:60" ht="15" customHeight="1" x14ac:dyDescent="0.3">
      <c r="A343" s="2033"/>
      <c r="B343" s="287" t="str">
        <f t="shared" si="188"/>
        <v/>
      </c>
      <c r="C343" s="288" t="str">
        <f t="shared" si="183"/>
        <v/>
      </c>
      <c r="D343" s="691"/>
      <c r="E343" s="692"/>
      <c r="F343" s="693"/>
      <c r="G343" s="694"/>
      <c r="H343" s="695"/>
      <c r="I343" s="289">
        <f>I342-SUM($D343:F343)</f>
        <v>0</v>
      </c>
      <c r="J343" s="1235" t="str">
        <f>$J$7</f>
        <v>% Mort/Sel Sem Tab :</v>
      </c>
      <c r="K343" s="1236">
        <f>K346-K339</f>
        <v>0</v>
      </c>
      <c r="L343" s="1246"/>
      <c r="M343" s="291">
        <f t="shared" si="199"/>
        <v>0</v>
      </c>
      <c r="N343" s="304" t="str">
        <f>$N$7</f>
        <v xml:space="preserve">Peso Huevo (Gr) : </v>
      </c>
      <c r="O343" s="305">
        <f>LOOKUP($A341,'Pr-Sem'!$A$6:$A$108,'Pr-Sem'!$Z$6:$Z$108)</f>
        <v>0</v>
      </c>
      <c r="P343" s="305">
        <f>IFERROR(LOOKUP($A341,TP!$A$6:$A$108,GSh!$AZ$6:$AZ$108),0)</f>
        <v>0</v>
      </c>
      <c r="Q343" s="306">
        <f>IF(AND(P343&gt;0,O343&gt;0),O343-P343,0)</f>
        <v>0</v>
      </c>
      <c r="R343" s="699"/>
      <c r="S343" s="762"/>
      <c r="T343" s="765">
        <f t="shared" si="194"/>
        <v>0</v>
      </c>
      <c r="U343" s="700"/>
      <c r="V343" s="701"/>
      <c r="W343" s="701"/>
      <c r="X343" s="295">
        <f t="shared" si="189"/>
        <v>0</v>
      </c>
      <c r="Y343" s="296">
        <f>IF(AA343&gt;0,V343,AE341/IF(Iniciar!$C$25="B X 40 K",40,IF(Iniciar!$C$25="B X 50 K",50,1))*I343/1000)</f>
        <v>0</v>
      </c>
      <c r="Z343" s="296">
        <f t="shared" si="190"/>
        <v>0</v>
      </c>
      <c r="AA343" s="297">
        <f t="shared" si="200"/>
        <v>0</v>
      </c>
      <c r="AB343" s="297">
        <f t="shared" si="184"/>
        <v>0</v>
      </c>
      <c r="AC343" s="1268" t="str">
        <f>$AC$7</f>
        <v>Kg Ave Acu :</v>
      </c>
      <c r="AD343" s="308">
        <f>IF(OR(SUM(L341:L347)&gt;0,SUM(V341:V347)&gt;0),AD342/1000+AD336,0)</f>
        <v>0</v>
      </c>
      <c r="AE343" s="309">
        <f>AE342/1000+AE336</f>
        <v>0</v>
      </c>
      <c r="AF343" s="310">
        <f>IF(AND(AE343&gt;0,AD343&gt;0),(AD343/AE343-1)*100,0)</f>
        <v>0</v>
      </c>
      <c r="AG343" s="311" t="str">
        <f>PROD!$AG$7</f>
        <v xml:space="preserve">Masa Sem H (Gr) : </v>
      </c>
      <c r="AH343" s="312">
        <f>PROD!O341/100*7*PROD!O343</f>
        <v>0</v>
      </c>
      <c r="AI343" s="312">
        <f>PROD!P341/100*7*PROD!P343</f>
        <v>0</v>
      </c>
      <c r="AJ343" s="313">
        <f t="shared" si="198"/>
        <v>0</v>
      </c>
      <c r="AK343" s="2027"/>
      <c r="AL343" s="1284">
        <f t="shared" si="185"/>
        <v>0</v>
      </c>
      <c r="AM343" s="1285"/>
      <c r="AN343" s="1285"/>
      <c r="AO343" s="1285"/>
      <c r="AP343" s="1285"/>
      <c r="AQ343" s="1285"/>
      <c r="AR343" s="1285"/>
      <c r="AS343" s="1286"/>
      <c r="AT343" s="1287"/>
      <c r="AU343" s="1288"/>
      <c r="AV343" s="1289"/>
      <c r="AW343" s="1290"/>
      <c r="AX343" s="1291"/>
      <c r="AY343" s="1291"/>
      <c r="AZ343" s="1292"/>
      <c r="BA343" s="1293"/>
      <c r="BB343" s="1294"/>
      <c r="BC343" s="1295"/>
      <c r="BD343" s="1296">
        <f>BD342+PROD!L343-BA343</f>
        <v>0</v>
      </c>
      <c r="BE343" s="2133"/>
      <c r="BF343" s="507" t="e">
        <f t="shared" si="186"/>
        <v>#VALUE!</v>
      </c>
      <c r="BG343" s="329"/>
      <c r="BH343" s="1018">
        <f t="shared" si="187"/>
        <v>0</v>
      </c>
    </row>
    <row r="344" spans="1:60" ht="15" customHeight="1" x14ac:dyDescent="0.3">
      <c r="A344" s="2033"/>
      <c r="B344" s="287" t="str">
        <f t="shared" si="188"/>
        <v/>
      </c>
      <c r="C344" s="288" t="str">
        <f t="shared" si="183"/>
        <v/>
      </c>
      <c r="D344" s="691"/>
      <c r="E344" s="692"/>
      <c r="F344" s="693"/>
      <c r="G344" s="694"/>
      <c r="H344" s="695"/>
      <c r="I344" s="289">
        <f>I343-SUM($D344:F344)</f>
        <v>0</v>
      </c>
      <c r="J344" s="1234" t="str">
        <f>$J$8</f>
        <v>% Mort Acm :</v>
      </c>
      <c r="K344" s="1231">
        <f>IF(PROD!$K$2&gt;0,SUM(D$5:D347)/PROD!$K$2,0)</f>
        <v>0</v>
      </c>
      <c r="L344" s="1246"/>
      <c r="M344" s="291">
        <f t="shared" si="199"/>
        <v>0</v>
      </c>
      <c r="N344" s="314" t="str">
        <f>N$8</f>
        <v xml:space="preserve">Peso Ave (Gr) : </v>
      </c>
      <c r="O344" s="315">
        <f>LOOKUP($A341,GSh!$BV$6:$BV$108,GSh!$BJ$6:$BJ$108)</f>
        <v>0</v>
      </c>
      <c r="P344" s="315">
        <f>IFERROR(LOOKUP($A341,TP!$A$6:$A$108,GSh!$BK$6:$BK$108),0)</f>
        <v>0</v>
      </c>
      <c r="Q344" s="316">
        <f>IF(AND(P344&gt;0,O344&gt;0),(O344/P344-1)*100,0)</f>
        <v>0</v>
      </c>
      <c r="R344" s="699"/>
      <c r="S344" s="762"/>
      <c r="T344" s="765">
        <f t="shared" si="194"/>
        <v>0</v>
      </c>
      <c r="U344" s="700"/>
      <c r="V344" s="701"/>
      <c r="W344" s="701"/>
      <c r="X344" s="295">
        <f t="shared" si="189"/>
        <v>0</v>
      </c>
      <c r="Y344" s="296">
        <f>IF(AA344&gt;0,V344,AE341/IF(Iniciar!$C$25="B X 40 K",40,IF(Iniciar!$C$25="B X 50 K",50,1))*I344/1000)</f>
        <v>0</v>
      </c>
      <c r="Z344" s="296">
        <f t="shared" si="190"/>
        <v>0</v>
      </c>
      <c r="AA344" s="297">
        <f t="shared" si="200"/>
        <v>0</v>
      </c>
      <c r="AB344" s="297">
        <f t="shared" si="184"/>
        <v>0</v>
      </c>
      <c r="AC344" s="541" t="str">
        <f>$AC$8</f>
        <v xml:space="preserve">Ton. Lote Acu : </v>
      </c>
      <c r="AD344" s="544">
        <f>SUM($V$5:$V347)*$A$1/1000000</f>
        <v>0</v>
      </c>
      <c r="AE344" s="543">
        <f>AE337+(AE341/1000000*7*(I341+I347)/2)</f>
        <v>0</v>
      </c>
      <c r="AF344" s="542">
        <f>IF(AND(AE344&gt;0,AD344&gt;0),(AD344/AE344-1)*100,0)</f>
        <v>0</v>
      </c>
      <c r="AG344" s="317" t="str">
        <f>PROD!$AG$8</f>
        <v xml:space="preserve">Masa Ac A. A (Kg) : </v>
      </c>
      <c r="AH344" s="318">
        <f>IF(PROD!$K$2&gt;0,SUM(PROD!L$5:L347)*LOOKUP(PROD!$A341,TP!$A$6:$A$108,GSh!$BB$6:$BB$108)/1000/PROD!$K$2,0)</f>
        <v>0</v>
      </c>
      <c r="AI344" s="318">
        <f>IFERROR(PROD!P342*LOOKUP(PROD!$A341,TP!$A$6:$A$108,GSh!$BC$6:$BC$108)/1000,0)</f>
        <v>0</v>
      </c>
      <c r="AJ344" s="330">
        <f t="shared" si="198"/>
        <v>0</v>
      </c>
      <c r="AK344" s="2027"/>
      <c r="AL344" s="1284">
        <f t="shared" si="185"/>
        <v>0</v>
      </c>
      <c r="AM344" s="1285"/>
      <c r="AN344" s="1285"/>
      <c r="AO344" s="1285"/>
      <c r="AP344" s="1285"/>
      <c r="AQ344" s="1285"/>
      <c r="AR344" s="1285"/>
      <c r="AS344" s="1286"/>
      <c r="AT344" s="1287"/>
      <c r="AU344" s="1288"/>
      <c r="AV344" s="1289"/>
      <c r="AW344" s="1290"/>
      <c r="AX344" s="1291"/>
      <c r="AY344" s="1291"/>
      <c r="AZ344" s="1292"/>
      <c r="BA344" s="1293"/>
      <c r="BB344" s="1294"/>
      <c r="BC344" s="1295"/>
      <c r="BD344" s="1296">
        <f>BD343+PROD!L344-BA344</f>
        <v>0</v>
      </c>
      <c r="BE344" s="2133"/>
      <c r="BF344" s="507" t="e">
        <f t="shared" si="186"/>
        <v>#VALUE!</v>
      </c>
      <c r="BG344" s="329"/>
      <c r="BH344" s="1018">
        <f t="shared" si="187"/>
        <v>0</v>
      </c>
    </row>
    <row r="345" spans="1:60" ht="15" customHeight="1" x14ac:dyDescent="0.3">
      <c r="A345" s="2033"/>
      <c r="B345" s="287" t="str">
        <f t="shared" si="188"/>
        <v/>
      </c>
      <c r="C345" s="288" t="str">
        <f t="shared" si="183"/>
        <v/>
      </c>
      <c r="D345" s="691"/>
      <c r="E345" s="692"/>
      <c r="F345" s="693"/>
      <c r="G345" s="694"/>
      <c r="H345" s="695"/>
      <c r="I345" s="289">
        <f>I344-SUM($D345:F345)</f>
        <v>0</v>
      </c>
      <c r="J345" s="1234" t="str">
        <f>$J$9</f>
        <v>% Sel Acm :</v>
      </c>
      <c r="K345" s="1231">
        <f>IF(PROD!$K$2&gt;0,SUM(E$5:E347)/PROD!$K$2,0)</f>
        <v>0</v>
      </c>
      <c r="L345" s="1246"/>
      <c r="M345" s="291">
        <f t="shared" si="199"/>
        <v>0</v>
      </c>
      <c r="N345" s="292" t="str">
        <f>$N$9</f>
        <v xml:space="preserve">Uniformidad (10% -) : </v>
      </c>
      <c r="O345" s="320">
        <f>LOOKUP($A341,'Pr-Sem'!$A$6:$A$108,'Pr-Sem'!$AH$6:$AH$108)</f>
        <v>0</v>
      </c>
      <c r="P345" s="320">
        <v>5</v>
      </c>
      <c r="Q345" s="321">
        <f>IF(AND(P345&gt;0,O345&gt;0),(1-O345/P345)*100,0)</f>
        <v>0</v>
      </c>
      <c r="R345" s="699"/>
      <c r="S345" s="762"/>
      <c r="T345" s="765">
        <f t="shared" si="194"/>
        <v>0</v>
      </c>
      <c r="U345" s="700"/>
      <c r="V345" s="701"/>
      <c r="W345" s="701"/>
      <c r="X345" s="295">
        <f t="shared" si="189"/>
        <v>0</v>
      </c>
      <c r="Y345" s="296">
        <f>IF(AA345&gt;0,V345,AE341/IF(Iniciar!$C$25="B X 40 K",40,IF(Iniciar!$C$25="B X 50 K",50,1))*I345/1000)</f>
        <v>0</v>
      </c>
      <c r="Z345" s="296">
        <f t="shared" si="190"/>
        <v>0</v>
      </c>
      <c r="AA345" s="297">
        <f t="shared" si="200"/>
        <v>0</v>
      </c>
      <c r="AB345" s="297">
        <f t="shared" si="184"/>
        <v>0</v>
      </c>
      <c r="AC345" s="2035" t="str">
        <f>$AC$9</f>
        <v xml:space="preserve">Total Litros Sem: </v>
      </c>
      <c r="AD345" s="2036"/>
      <c r="AE345" s="2050">
        <f>SUM(R341:R347)</f>
        <v>0</v>
      </c>
      <c r="AF345" s="2051"/>
      <c r="AG345" s="554" t="str">
        <f>$AG$9</f>
        <v xml:space="preserve">Indicador Eficiencia : </v>
      </c>
      <c r="AH345" s="555">
        <f>IF(AND(AE345&gt;0,O342&gt;0,O343&gt;0,SUM(L341:L347)&gt;0),(PROD!AH344/O342)*K347*100/(AE345/(SUM(L341:L347)*O343/1000)),0)</f>
        <v>0</v>
      </c>
      <c r="AI345" s="555">
        <f>IF(AND(P342&gt;0,PROD!AI343&gt;0),(PROD!AI344/P342)*(1-K346)*100/(AE342/PROD!AI343),0)</f>
        <v>0</v>
      </c>
      <c r="AJ345" s="331">
        <f t="shared" si="198"/>
        <v>0</v>
      </c>
      <c r="AK345" s="2027"/>
      <c r="AL345" s="1284">
        <f t="shared" si="185"/>
        <v>0</v>
      </c>
      <c r="AM345" s="1285"/>
      <c r="AN345" s="1285"/>
      <c r="AO345" s="1285"/>
      <c r="AP345" s="1285"/>
      <c r="AQ345" s="1285"/>
      <c r="AR345" s="1285"/>
      <c r="AS345" s="1286"/>
      <c r="AT345" s="1287"/>
      <c r="AU345" s="1288"/>
      <c r="AV345" s="1289"/>
      <c r="AW345" s="1290"/>
      <c r="AX345" s="1291"/>
      <c r="AY345" s="1291"/>
      <c r="AZ345" s="1292"/>
      <c r="BA345" s="1293"/>
      <c r="BB345" s="1294"/>
      <c r="BC345" s="1295"/>
      <c r="BD345" s="1296">
        <f>BD344+PROD!L345-BA345</f>
        <v>0</v>
      </c>
      <c r="BE345" s="2133"/>
      <c r="BF345" s="507" t="e">
        <f t="shared" si="186"/>
        <v>#VALUE!</v>
      </c>
      <c r="BG345" s="329"/>
      <c r="BH345" s="1018">
        <f t="shared" si="187"/>
        <v>0</v>
      </c>
    </row>
    <row r="346" spans="1:60" ht="15" customHeight="1" x14ac:dyDescent="0.3">
      <c r="A346" s="2033"/>
      <c r="B346" s="287" t="str">
        <f t="shared" si="188"/>
        <v/>
      </c>
      <c r="C346" s="288" t="str">
        <f t="shared" si="183"/>
        <v/>
      </c>
      <c r="D346" s="691"/>
      <c r="E346" s="692"/>
      <c r="F346" s="693"/>
      <c r="G346" s="694"/>
      <c r="H346" s="695"/>
      <c r="I346" s="289">
        <f>I345-SUM($D346:F346)</f>
        <v>0</v>
      </c>
      <c r="J346" s="1237" t="str">
        <f>$J$10</f>
        <v>% Mort/Sel Acm Tab :</v>
      </c>
      <c r="K346" s="1238">
        <f>IFERROR(LOOKUP($A341,TP!$A$6:$A$108,GSh!$AR$6:$AR$108)/100,0)</f>
        <v>0</v>
      </c>
      <c r="L346" s="1246"/>
      <c r="M346" s="291">
        <f t="shared" si="199"/>
        <v>0</v>
      </c>
      <c r="N346" s="292" t="str">
        <f>$N$10</f>
        <v xml:space="preserve">Uniformidad (C. Lote) : </v>
      </c>
      <c r="O346" s="320">
        <f>LOOKUP($A341,'Pr-Sem'!$A$6:$A$108,'Pr-Sem'!$AG$6:$AG$108)</f>
        <v>0</v>
      </c>
      <c r="P346" s="320">
        <v>90</v>
      </c>
      <c r="Q346" s="321">
        <f>IF(AND(P346&gt;0,O346&gt;0),(O346/P346-1)*100,0)</f>
        <v>0</v>
      </c>
      <c r="R346" s="699"/>
      <c r="S346" s="762"/>
      <c r="T346" s="765">
        <f t="shared" si="194"/>
        <v>0</v>
      </c>
      <c r="U346" s="700"/>
      <c r="V346" s="701"/>
      <c r="W346" s="701"/>
      <c r="X346" s="295">
        <f t="shared" si="189"/>
        <v>0</v>
      </c>
      <c r="Y346" s="296">
        <f>IF(AA346&gt;0,V346,AE341/IF(Iniciar!$C$25="B X 40 K",40,IF(Iniciar!$C$25="B X 50 K",50,1))*I346/1000)</f>
        <v>0</v>
      </c>
      <c r="Z346" s="296">
        <f t="shared" si="190"/>
        <v>0</v>
      </c>
      <c r="AA346" s="297">
        <f t="shared" si="200"/>
        <v>0</v>
      </c>
      <c r="AB346" s="297">
        <f t="shared" si="184"/>
        <v>0</v>
      </c>
      <c r="AC346" s="2037" t="str">
        <f>$AC$10</f>
        <v xml:space="preserve">Cons ml /ave día: </v>
      </c>
      <c r="AD346" s="2038"/>
      <c r="AE346" s="2056">
        <f>IFERROR(SUMPRODUCT(AB341:AB347,I341:I347)/SUM(I341:I347),0)</f>
        <v>0</v>
      </c>
      <c r="AF346" s="2057"/>
      <c r="AG346" s="311" t="str">
        <f>CONCATENATE("Costo ",Iniciar!$C$25," : ")</f>
        <v xml:space="preserve">Costo Kilos : </v>
      </c>
      <c r="AH346" s="2043">
        <f>IFERROR(SUMPRODUCT(T341:T347,V341:V347)/SUMIF(T341:T347,"&gt;0",V341:V347),0)</f>
        <v>0</v>
      </c>
      <c r="AI346" s="2043"/>
      <c r="AJ346" s="313"/>
      <c r="AK346" s="2027"/>
      <c r="AL346" s="1284">
        <f t="shared" si="185"/>
        <v>0</v>
      </c>
      <c r="AM346" s="1285"/>
      <c r="AN346" s="1285"/>
      <c r="AO346" s="1285"/>
      <c r="AP346" s="1285"/>
      <c r="AQ346" s="1285"/>
      <c r="AR346" s="1285"/>
      <c r="AS346" s="1286"/>
      <c r="AT346" s="1287"/>
      <c r="AU346" s="1288"/>
      <c r="AV346" s="1289"/>
      <c r="AW346" s="1290"/>
      <c r="AX346" s="1291"/>
      <c r="AY346" s="1291"/>
      <c r="AZ346" s="1292"/>
      <c r="BA346" s="1293"/>
      <c r="BB346" s="1294"/>
      <c r="BC346" s="1295"/>
      <c r="BD346" s="1296">
        <f>BD345+PROD!L346-BA346</f>
        <v>0</v>
      </c>
      <c r="BE346" s="2133"/>
      <c r="BF346" s="507" t="e">
        <f t="shared" si="186"/>
        <v>#VALUE!</v>
      </c>
      <c r="BG346" s="329"/>
      <c r="BH346" s="1018">
        <f t="shared" si="187"/>
        <v>0</v>
      </c>
    </row>
    <row r="347" spans="1:60" ht="15" customHeight="1" x14ac:dyDescent="0.3">
      <c r="A347" s="2034"/>
      <c r="B347" s="287" t="str">
        <f t="shared" si="188"/>
        <v/>
      </c>
      <c r="C347" s="288" t="str">
        <f t="shared" si="183"/>
        <v/>
      </c>
      <c r="D347" s="691"/>
      <c r="E347" s="692"/>
      <c r="F347" s="693"/>
      <c r="G347" s="694"/>
      <c r="H347" s="695"/>
      <c r="I347" s="289">
        <f>I346-SUM($D347:F347)</f>
        <v>0</v>
      </c>
      <c r="J347" s="1239" t="str">
        <f>$J$11</f>
        <v>% Viabilidad :</v>
      </c>
      <c r="K347" s="1240">
        <f>IF(OR(SUM(L341:L347)&gt;0,SUM(V341:V347)&gt;0),1-(K344+K345),0)</f>
        <v>0</v>
      </c>
      <c r="L347" s="1247"/>
      <c r="M347" s="1248">
        <f>IF(I347&gt;0,(L347/IF(SUM(L341:L346)&gt;0,1,7))/I347,0)</f>
        <v>0</v>
      </c>
      <c r="N347" s="1249" t="str">
        <f>$N$11</f>
        <v xml:space="preserve">Uniformidad (10% +) : </v>
      </c>
      <c r="O347" s="1250">
        <f>IF(O345&gt;0,IF(O346&gt;0,100-SUM(O345:O346),0),0)</f>
        <v>0</v>
      </c>
      <c r="P347" s="1251">
        <f>100-SUM(P345:P346)</f>
        <v>5</v>
      </c>
      <c r="Q347" s="1252">
        <f>IF(AND(P347&gt;0,O347&gt;0),(O347/P347-1)*100,0)</f>
        <v>0</v>
      </c>
      <c r="R347" s="699"/>
      <c r="S347" s="762"/>
      <c r="T347" s="765">
        <f t="shared" si="194"/>
        <v>0</v>
      </c>
      <c r="U347" s="700"/>
      <c r="V347" s="701"/>
      <c r="W347" s="701"/>
      <c r="X347" s="295">
        <f t="shared" si="189"/>
        <v>0</v>
      </c>
      <c r="Y347" s="296">
        <f>IF(AA347&gt;0,V347,AE341/IF(Iniciar!$C$25="B X 40 K",40,IF(Iniciar!$C$25="B X 50 K",50,1))*I347/1000)</f>
        <v>0</v>
      </c>
      <c r="Z347" s="296">
        <f t="shared" si="190"/>
        <v>0</v>
      </c>
      <c r="AA347" s="297">
        <f>IF(I347&gt;0,(V347/IF(SUM(V341:V346)&gt;0,1,7))*$A$1/I347,0)</f>
        <v>0</v>
      </c>
      <c r="AB347" s="297">
        <f t="shared" si="184"/>
        <v>0</v>
      </c>
      <c r="AC347" s="2039" t="str">
        <f>$AC$11</f>
        <v xml:space="preserve">Relación Agua /Alimto: </v>
      </c>
      <c r="AD347" s="2040"/>
      <c r="AE347" s="2058">
        <f>IFERROR(AE346/AD341,0)</f>
        <v>0</v>
      </c>
      <c r="AF347" s="2059"/>
      <c r="AG347" s="1269" t="s">
        <v>237</v>
      </c>
      <c r="AH347" s="1270">
        <f>IF(SUM(L341:L347)&gt;0,AH346*SUM(V341:V347)/SUM(L341:L347),0)</f>
        <v>0</v>
      </c>
      <c r="AI347" s="1270">
        <f>IF(AND($A$1&gt;0,P341&gt;0),AH346/$A$1*(AE341/P341)*100,0)</f>
        <v>0</v>
      </c>
      <c r="AJ347" s="1271">
        <f t="shared" ref="AJ347:AJ352" si="201">IF(AND(AI347&gt;0,AH347&gt;0),(AH347/AI347-1)*100,0)</f>
        <v>0</v>
      </c>
      <c r="AK347" s="2028"/>
      <c r="AL347" s="1284">
        <f t="shared" si="185"/>
        <v>0</v>
      </c>
      <c r="AM347" s="1285"/>
      <c r="AN347" s="1285"/>
      <c r="AO347" s="1285"/>
      <c r="AP347" s="1285"/>
      <c r="AQ347" s="1285"/>
      <c r="AR347" s="1285"/>
      <c r="AS347" s="1286"/>
      <c r="AT347" s="1287"/>
      <c r="AU347" s="1288"/>
      <c r="AV347" s="1289"/>
      <c r="AW347" s="1290"/>
      <c r="AX347" s="1291"/>
      <c r="AY347" s="1291"/>
      <c r="AZ347" s="1292"/>
      <c r="BA347" s="1293"/>
      <c r="BB347" s="1294"/>
      <c r="BC347" s="1295"/>
      <c r="BD347" s="1296">
        <f>BD346+PROD!L347-BA347</f>
        <v>0</v>
      </c>
      <c r="BE347" s="2134"/>
      <c r="BF347" s="507" t="e">
        <f t="shared" si="186"/>
        <v>#VALUE!</v>
      </c>
      <c r="BG347" s="329"/>
      <c r="BH347" s="1018">
        <f t="shared" si="187"/>
        <v>0</v>
      </c>
    </row>
    <row r="348" spans="1:60" ht="15" customHeight="1" x14ac:dyDescent="0.3">
      <c r="A348" s="2032">
        <f>A341+1</f>
        <v>67</v>
      </c>
      <c r="B348" s="287" t="str">
        <f t="shared" si="188"/>
        <v/>
      </c>
      <c r="C348" s="288" t="str">
        <f t="shared" si="183"/>
        <v/>
      </c>
      <c r="D348" s="691"/>
      <c r="E348" s="692"/>
      <c r="F348" s="693"/>
      <c r="G348" s="694"/>
      <c r="H348" s="695"/>
      <c r="I348" s="289">
        <f>I347-SUM($D348:F348)</f>
        <v>0</v>
      </c>
      <c r="J348" s="1232" t="str">
        <f>$J$5</f>
        <v>% Mort Sem :</v>
      </c>
      <c r="K348" s="1233">
        <f>IF(PROD!$K$2&gt;0,SUM(D348:D354)/PROD!$K$2,0)</f>
        <v>0</v>
      </c>
      <c r="L348" s="1241"/>
      <c r="M348" s="1242">
        <f t="shared" ref="M348:M353" si="202">IF(I348&gt;0,L348/I348,0)</f>
        <v>0</v>
      </c>
      <c r="N348" s="1243" t="str">
        <f>$N$5</f>
        <v xml:space="preserve">% Pdn prom semana : </v>
      </c>
      <c r="O348" s="1244">
        <f>IF(SUM(L348:L353)&gt;0,100*SUMPRODUCT(M348:M354,I348:I354)/SUMIF(L348:L354,"&gt;0",I348:I354),IF(L354&gt;0,100*L354/7/I354,0))</f>
        <v>0</v>
      </c>
      <c r="P348" s="1244">
        <f>IFERROR(LOOKUP($A348,TP!$A$6:$A$108,GSh!$AE$6:$AE$108),0)</f>
        <v>0</v>
      </c>
      <c r="Q348" s="1245">
        <f>IF(AND(P348&gt;0,O348&gt;0),O348-P348,0)</f>
        <v>0</v>
      </c>
      <c r="R348" s="699"/>
      <c r="S348" s="762"/>
      <c r="T348" s="765">
        <f t="shared" si="194"/>
        <v>0</v>
      </c>
      <c r="U348" s="700"/>
      <c r="V348" s="701"/>
      <c r="W348" s="701"/>
      <c r="X348" s="295">
        <f t="shared" si="189"/>
        <v>0</v>
      </c>
      <c r="Y348" s="296">
        <f>IF(AA348&gt;0,V348,AE348/IF(Iniciar!$C$25="B X 40 K",40,IF(Iniciar!$C$25="B X 50 K",50,1))*I348/1000)</f>
        <v>0</v>
      </c>
      <c r="Z348" s="296">
        <f t="shared" si="190"/>
        <v>0</v>
      </c>
      <c r="AA348" s="297">
        <f t="shared" ref="AA348:AA353" si="203">IF(I348&gt;0,V348*$A$1/I348,0)</f>
        <v>0</v>
      </c>
      <c r="AB348" s="297">
        <f t="shared" si="184"/>
        <v>0</v>
      </c>
      <c r="AC348" s="1261" t="str">
        <f>$AC$5</f>
        <v>Gr. Ave Dia :</v>
      </c>
      <c r="AD348" s="1262">
        <f>IF(SUMIF(V348:V354,"&gt;0")&gt;0,SUMPRODUCT(AA348:AA354,I348:I354)/SUMIF(AA348:AA354,"&gt;0",I348:I354),0)</f>
        <v>0</v>
      </c>
      <c r="AE348" s="1262">
        <f>IFERROR(LOOKUP($A348,TP!$A$6:$A$108,GSh!$AU$6:$AU$108),0)</f>
        <v>0</v>
      </c>
      <c r="AF348" s="1263">
        <f>IF(AND(AE348&gt;0,AD348&gt;0),(AD348/AE348-1)*100,0)</f>
        <v>0</v>
      </c>
      <c r="AG348" s="1264" t="str">
        <f>PROD!$AG$5</f>
        <v>Gr X H</v>
      </c>
      <c r="AH348" s="1265">
        <f>IF(PROD!O348&gt;0,IF($AG348="Gr X H",PROD!AD348/PROD!O348*100,IF($AG348="Conv Kg/Doc",PROD!AD348/PROD!O348*1.2,IF(PROD!$O350&gt;0,PROD!AD348/(PROD!O348*PROD!$O350)*100,0))),0)</f>
        <v>0</v>
      </c>
      <c r="AI348" s="1265">
        <f>IF(PROD!P348&gt;0,IF($AG348="Gr X H",PROD!AE348/PROD!P348*100,IF($AG348="Conv Kg/Doc",PROD!AE348/PROD!P348*1.2,IF(PROD!$P350&gt;0,PROD!AE348/(PROD!P348*PROD!$P350)*100,0))),0)</f>
        <v>0</v>
      </c>
      <c r="AJ348" s="1266">
        <f t="shared" si="201"/>
        <v>0</v>
      </c>
      <c r="AK348" s="2026"/>
      <c r="AL348" s="1284">
        <f t="shared" si="185"/>
        <v>0</v>
      </c>
      <c r="AM348" s="1285"/>
      <c r="AN348" s="1285"/>
      <c r="AO348" s="1285"/>
      <c r="AP348" s="1285"/>
      <c r="AQ348" s="1285"/>
      <c r="AR348" s="1285"/>
      <c r="AS348" s="1286"/>
      <c r="AT348" s="1287"/>
      <c r="AU348" s="1288"/>
      <c r="AV348" s="1289"/>
      <c r="AW348" s="1290"/>
      <c r="AX348" s="1291"/>
      <c r="AY348" s="1291"/>
      <c r="AZ348" s="1292"/>
      <c r="BA348" s="1293"/>
      <c r="BB348" s="1294"/>
      <c r="BC348" s="1295"/>
      <c r="BD348" s="1296">
        <f>BD347+PROD!L348-BA348</f>
        <v>0</v>
      </c>
      <c r="BE348" s="2132">
        <f>IF(SUM(AM348:AZ354)&gt;0,(SUM(AM348:AM354)*$AM$2+SUM(AN348:AN354)*$AN$2+SUM(AO348:AO354)*$AO$2+SUM(AP348:AP354)*$AP$2+SUM(AQ348:AQ354)*$AQ$2+SUM(AR348:AR354)*$AR$2+SUM(AS348:AS354)*$AS$2+SUM(AW348:AW354)*$AW$2+SUM(AX348:AX354)*$AX$2+SUM(AY348:AY354)*$AY$2+SUM(AZ348:AZ354)*$AZ$2+SUM(AT348:AT354)*$AT$2+SUM(AU348:AU354)*$AU$2+SUM(AV348:AV354)*$AV$2)/SUM(AM348:AZ354),0)</f>
        <v>0</v>
      </c>
      <c r="BF348" s="507" t="e">
        <f t="shared" si="186"/>
        <v>#VALUE!</v>
      </c>
      <c r="BG348" s="277">
        <f>IF(SUM(L348:L354)&gt;0,A348,IF(SUM(V348:V354)&gt;0,A348,BG341))</f>
        <v>0</v>
      </c>
      <c r="BH348" s="1018">
        <f t="shared" si="187"/>
        <v>0</v>
      </c>
    </row>
    <row r="349" spans="1:60" ht="15" customHeight="1" x14ac:dyDescent="0.3">
      <c r="A349" s="2033"/>
      <c r="B349" s="287" t="str">
        <f t="shared" si="188"/>
        <v/>
      </c>
      <c r="C349" s="288" t="str">
        <f t="shared" si="183"/>
        <v/>
      </c>
      <c r="D349" s="691"/>
      <c r="E349" s="692"/>
      <c r="F349" s="693"/>
      <c r="G349" s="694"/>
      <c r="H349" s="695"/>
      <c r="I349" s="289">
        <f>I348-SUM($D349:F349)</f>
        <v>0</v>
      </c>
      <c r="J349" s="1234" t="str">
        <f>$J$6</f>
        <v>% Sel Sem :</v>
      </c>
      <c r="K349" s="1231">
        <f>IF(PROD!$K$2&gt;0,SUM(E348:E354)/PROD!$K$2,0)</f>
        <v>0</v>
      </c>
      <c r="L349" s="1246"/>
      <c r="M349" s="291">
        <f t="shared" si="202"/>
        <v>0</v>
      </c>
      <c r="N349" s="292" t="str">
        <f>$N$6</f>
        <v xml:space="preserve">H. Ave Alojada : </v>
      </c>
      <c r="O349" s="293">
        <f>IF(AND(PROD!$K$2&gt;0,O348&gt;0),SUM(L$5:L354)/PROD!$K$2,0)</f>
        <v>0</v>
      </c>
      <c r="P349" s="293">
        <f>IFERROR(LOOKUP($A348,TP!$A$6:$A$108,GSh!$AJ$6:$AJ$108),0)</f>
        <v>0</v>
      </c>
      <c r="Q349" s="294">
        <f>IF(AND(P349&gt;0,O349&gt;0),O349-P349,0)</f>
        <v>0</v>
      </c>
      <c r="R349" s="699"/>
      <c r="S349" s="762"/>
      <c r="T349" s="765">
        <f t="shared" si="194"/>
        <v>0</v>
      </c>
      <c r="U349" s="700"/>
      <c r="V349" s="701"/>
      <c r="W349" s="701"/>
      <c r="X349" s="295">
        <f t="shared" si="189"/>
        <v>0</v>
      </c>
      <c r="Y349" s="296">
        <f>IF(AA349&gt;0,V349,AE348/IF(Iniciar!$C$25="B X 40 K",40,IF(Iniciar!$C$25="B X 50 K",50,1))*I349/1000)</f>
        <v>0</v>
      </c>
      <c r="Z349" s="296">
        <f t="shared" si="190"/>
        <v>0</v>
      </c>
      <c r="AA349" s="297">
        <f t="shared" si="203"/>
        <v>0</v>
      </c>
      <c r="AB349" s="297">
        <f t="shared" si="184"/>
        <v>0</v>
      </c>
      <c r="AC349" s="1267" t="str">
        <f>$AC$6</f>
        <v>Gr. Ave Sem :</v>
      </c>
      <c r="AD349" s="284">
        <f>AD348*7</f>
        <v>0</v>
      </c>
      <c r="AE349" s="284">
        <f>AE348*7</f>
        <v>0</v>
      </c>
      <c r="AF349" s="285">
        <f>IF(AND(AE349&gt;0,AD349&gt;0),(AD349/AE349-1)*100,0)</f>
        <v>0</v>
      </c>
      <c r="AG349" s="1199" t="str">
        <f>PROD!$AG$6</f>
        <v>Gr X H Acm</v>
      </c>
      <c r="AH349" s="298">
        <f>IF(SUM(PROD!L348:L354)&gt;0,IF(PROD!$AG$5="Gr X H",SUM(PROD!V$5:V354)*PROD!$A$1/SUM(PROD!L$5:L354),IF($AG348="Conv Kg/Doc",(SUM(PROD!V$5:V354)*PROD!$A$1/1000)/(SUM(PROD!L$5:L354)/12),IF(PROD!$O350&gt;0,SUM(PROD!V$5:V354)*PROD!$A$1/(SUM(PROD!L$5:L354)*LOOKUP(PROD!A348,TP!$A$6:$A$108,GSh!$BB$6:$BB$108)),0))),0)</f>
        <v>0</v>
      </c>
      <c r="AI349" s="298">
        <f>IF(PROD!P348&gt;0,IF($AG348="Gr X H",PROD!AE348/PROD!P348*100,IF($AG348="Conv Kg/Doc",PROD!AE348/PROD!P348*1.2,IF(PROD!$P349&gt;0,PROD!AE350/(PROD!P349*LOOKUP(PROD!$A348,TP!$A$6:$A$108,GSh!$BC$6:$BC$108)/1000),0))),0)</f>
        <v>0</v>
      </c>
      <c r="AJ349" s="328">
        <f t="shared" si="201"/>
        <v>0</v>
      </c>
      <c r="AK349" s="2027"/>
      <c r="AL349" s="1284">
        <f t="shared" si="185"/>
        <v>0</v>
      </c>
      <c r="AM349" s="1285"/>
      <c r="AN349" s="1285"/>
      <c r="AO349" s="1285"/>
      <c r="AP349" s="1285"/>
      <c r="AQ349" s="1285"/>
      <c r="AR349" s="1285"/>
      <c r="AS349" s="1286"/>
      <c r="AT349" s="1287"/>
      <c r="AU349" s="1288"/>
      <c r="AV349" s="1289"/>
      <c r="AW349" s="1290"/>
      <c r="AX349" s="1291"/>
      <c r="AY349" s="1291"/>
      <c r="AZ349" s="1292"/>
      <c r="BA349" s="1293"/>
      <c r="BB349" s="1294"/>
      <c r="BC349" s="1295"/>
      <c r="BD349" s="1296">
        <f>BD348+PROD!L349-BA349</f>
        <v>0</v>
      </c>
      <c r="BE349" s="2133"/>
      <c r="BF349" s="507" t="e">
        <f t="shared" si="186"/>
        <v>#VALUE!</v>
      </c>
      <c r="BG349" s="329"/>
      <c r="BH349" s="1018">
        <f t="shared" si="187"/>
        <v>0</v>
      </c>
    </row>
    <row r="350" spans="1:60" ht="15" customHeight="1" x14ac:dyDescent="0.3">
      <c r="A350" s="2033"/>
      <c r="B350" s="287" t="str">
        <f t="shared" si="188"/>
        <v/>
      </c>
      <c r="C350" s="288" t="str">
        <f t="shared" si="183"/>
        <v/>
      </c>
      <c r="D350" s="691"/>
      <c r="E350" s="692"/>
      <c r="F350" s="693"/>
      <c r="G350" s="694"/>
      <c r="H350" s="695"/>
      <c r="I350" s="289">
        <f>I349-SUM($D350:F350)</f>
        <v>0</v>
      </c>
      <c r="J350" s="1235" t="str">
        <f>$J$7</f>
        <v>% Mort/Sel Sem Tab :</v>
      </c>
      <c r="K350" s="1236">
        <f>K353-K346</f>
        <v>0</v>
      </c>
      <c r="L350" s="1246"/>
      <c r="M350" s="291">
        <f t="shared" si="202"/>
        <v>0</v>
      </c>
      <c r="N350" s="304" t="str">
        <f>$N$7</f>
        <v xml:space="preserve">Peso Huevo (Gr) : </v>
      </c>
      <c r="O350" s="305">
        <f>LOOKUP($A348,'Pr-Sem'!$A$6:$A$108,'Pr-Sem'!$Z$6:$Z$108)</f>
        <v>0</v>
      </c>
      <c r="P350" s="305">
        <f>IFERROR(LOOKUP($A348,TP!$A$6:$A$108,GSh!$AZ$6:$AZ$108),0)</f>
        <v>0</v>
      </c>
      <c r="Q350" s="306">
        <f>IF(AND(P350&gt;0,O350&gt;0),O350-P350,0)</f>
        <v>0</v>
      </c>
      <c r="R350" s="699"/>
      <c r="S350" s="762"/>
      <c r="T350" s="765">
        <f t="shared" si="194"/>
        <v>0</v>
      </c>
      <c r="U350" s="700"/>
      <c r="V350" s="701"/>
      <c r="W350" s="701"/>
      <c r="X350" s="295">
        <f t="shared" si="189"/>
        <v>0</v>
      </c>
      <c r="Y350" s="296">
        <f>IF(AA350&gt;0,V350,AE348/IF(Iniciar!$C$25="B X 40 K",40,IF(Iniciar!$C$25="B X 50 K",50,1))*I350/1000)</f>
        <v>0</v>
      </c>
      <c r="Z350" s="296">
        <f t="shared" si="190"/>
        <v>0</v>
      </c>
      <c r="AA350" s="297">
        <f t="shared" si="203"/>
        <v>0</v>
      </c>
      <c r="AB350" s="297">
        <f t="shared" si="184"/>
        <v>0</v>
      </c>
      <c r="AC350" s="1268" t="str">
        <f>$AC$7</f>
        <v>Kg Ave Acu :</v>
      </c>
      <c r="AD350" s="308">
        <f>IF(OR(SUM(L348:L354)&gt;0,SUM(V348:V354)&gt;0),AD349/1000+AD343,0)</f>
        <v>0</v>
      </c>
      <c r="AE350" s="309">
        <f>AE349/1000+AE343</f>
        <v>0</v>
      </c>
      <c r="AF350" s="310">
        <f>IF(AND(AE350&gt;0,AD350&gt;0),(AD350/AE350-1)*100,0)</f>
        <v>0</v>
      </c>
      <c r="AG350" s="311" t="str">
        <f>PROD!$AG$7</f>
        <v xml:space="preserve">Masa Sem H (Gr) : </v>
      </c>
      <c r="AH350" s="312">
        <f>PROD!O348/100*7*PROD!O350</f>
        <v>0</v>
      </c>
      <c r="AI350" s="312">
        <f>PROD!P348/100*7*PROD!P350</f>
        <v>0</v>
      </c>
      <c r="AJ350" s="313">
        <f t="shared" si="201"/>
        <v>0</v>
      </c>
      <c r="AK350" s="2027"/>
      <c r="AL350" s="1284">
        <f t="shared" si="185"/>
        <v>0</v>
      </c>
      <c r="AM350" s="1285"/>
      <c r="AN350" s="1285"/>
      <c r="AO350" s="1285"/>
      <c r="AP350" s="1285"/>
      <c r="AQ350" s="1285"/>
      <c r="AR350" s="1285"/>
      <c r="AS350" s="1286"/>
      <c r="AT350" s="1287"/>
      <c r="AU350" s="1288"/>
      <c r="AV350" s="1289"/>
      <c r="AW350" s="1290"/>
      <c r="AX350" s="1291"/>
      <c r="AY350" s="1291"/>
      <c r="AZ350" s="1292"/>
      <c r="BA350" s="1293"/>
      <c r="BB350" s="1294"/>
      <c r="BC350" s="1295"/>
      <c r="BD350" s="1296">
        <f>BD349+PROD!L350-BA350</f>
        <v>0</v>
      </c>
      <c r="BE350" s="2133"/>
      <c r="BF350" s="507" t="e">
        <f t="shared" si="186"/>
        <v>#VALUE!</v>
      </c>
      <c r="BG350" s="329"/>
      <c r="BH350" s="1018">
        <f t="shared" si="187"/>
        <v>0</v>
      </c>
    </row>
    <row r="351" spans="1:60" ht="15" customHeight="1" x14ac:dyDescent="0.3">
      <c r="A351" s="2033"/>
      <c r="B351" s="287" t="str">
        <f t="shared" si="188"/>
        <v/>
      </c>
      <c r="C351" s="288" t="str">
        <f t="shared" si="183"/>
        <v/>
      </c>
      <c r="D351" s="691"/>
      <c r="E351" s="692"/>
      <c r="F351" s="693"/>
      <c r="G351" s="694"/>
      <c r="H351" s="695"/>
      <c r="I351" s="289">
        <f>I350-SUM($D351:F351)</f>
        <v>0</v>
      </c>
      <c r="J351" s="1234" t="str">
        <f>$J$8</f>
        <v>% Mort Acm :</v>
      </c>
      <c r="K351" s="1231">
        <f>IF(PROD!$K$2&gt;0,SUM(D$5:D354)/PROD!$K$2,0)</f>
        <v>0</v>
      </c>
      <c r="L351" s="1246"/>
      <c r="M351" s="291">
        <f t="shared" si="202"/>
        <v>0</v>
      </c>
      <c r="N351" s="314" t="str">
        <f>N$8</f>
        <v xml:space="preserve">Peso Ave (Gr) : </v>
      </c>
      <c r="O351" s="315">
        <f>LOOKUP($A348,GSh!$BV$6:$BV$108,GSh!$BJ$6:$BJ$108)</f>
        <v>0</v>
      </c>
      <c r="P351" s="315">
        <f>IFERROR(LOOKUP($A348,TP!$A$6:$A$108,GSh!$BK$6:$BK$108),0)</f>
        <v>0</v>
      </c>
      <c r="Q351" s="316">
        <f>IF(AND(P351&gt;0,O351&gt;0),(O351/P351-1)*100,0)</f>
        <v>0</v>
      </c>
      <c r="R351" s="699"/>
      <c r="S351" s="762"/>
      <c r="T351" s="765">
        <f t="shared" si="194"/>
        <v>0</v>
      </c>
      <c r="U351" s="700"/>
      <c r="V351" s="701"/>
      <c r="W351" s="701"/>
      <c r="X351" s="295">
        <f t="shared" si="189"/>
        <v>0</v>
      </c>
      <c r="Y351" s="296">
        <f>IF(AA351&gt;0,V351,AE348/IF(Iniciar!$C$25="B X 40 K",40,IF(Iniciar!$C$25="B X 50 K",50,1))*I351/1000)</f>
        <v>0</v>
      </c>
      <c r="Z351" s="296">
        <f t="shared" si="190"/>
        <v>0</v>
      </c>
      <c r="AA351" s="297">
        <f t="shared" si="203"/>
        <v>0</v>
      </c>
      <c r="AB351" s="297">
        <f t="shared" si="184"/>
        <v>0</v>
      </c>
      <c r="AC351" s="541" t="str">
        <f>$AC$8</f>
        <v xml:space="preserve">Ton. Lote Acu : </v>
      </c>
      <c r="AD351" s="544">
        <f>SUM($V$5:$V354)*$A$1/1000000</f>
        <v>0</v>
      </c>
      <c r="AE351" s="543">
        <f>AE344+(AE348/1000000*7*(I348+I354)/2)</f>
        <v>0</v>
      </c>
      <c r="AF351" s="542">
        <f>IF(AND(AE351&gt;0,AD351&gt;0),(AD351/AE351-1)*100,0)</f>
        <v>0</v>
      </c>
      <c r="AG351" s="317" t="str">
        <f>PROD!$AG$8</f>
        <v xml:space="preserve">Masa Ac A. A (Kg) : </v>
      </c>
      <c r="AH351" s="318">
        <f>IF(PROD!$K$2&gt;0,SUM(PROD!L$5:L354)*LOOKUP(PROD!$A348,TP!$A$6:$A$108,GSh!$BB$6:$BB$108)/1000/PROD!$K$2,0)</f>
        <v>0</v>
      </c>
      <c r="AI351" s="318">
        <f>IFERROR(PROD!P349*LOOKUP(PROD!$A348,TP!$A$6:$A$108,GSh!$BC$6:$BC$108)/1000,0)</f>
        <v>0</v>
      </c>
      <c r="AJ351" s="330">
        <f t="shared" si="201"/>
        <v>0</v>
      </c>
      <c r="AK351" s="2027"/>
      <c r="AL351" s="1284">
        <f t="shared" si="185"/>
        <v>0</v>
      </c>
      <c r="AM351" s="1285"/>
      <c r="AN351" s="1285"/>
      <c r="AO351" s="1285"/>
      <c r="AP351" s="1285"/>
      <c r="AQ351" s="1285"/>
      <c r="AR351" s="1285"/>
      <c r="AS351" s="1286"/>
      <c r="AT351" s="1287"/>
      <c r="AU351" s="1288"/>
      <c r="AV351" s="1289"/>
      <c r="AW351" s="1290"/>
      <c r="AX351" s="1291"/>
      <c r="AY351" s="1291"/>
      <c r="AZ351" s="1292"/>
      <c r="BA351" s="1293"/>
      <c r="BB351" s="1294"/>
      <c r="BC351" s="1295"/>
      <c r="BD351" s="1296">
        <f>BD350+PROD!L351-BA351</f>
        <v>0</v>
      </c>
      <c r="BE351" s="2133"/>
      <c r="BF351" s="507" t="e">
        <f t="shared" si="186"/>
        <v>#VALUE!</v>
      </c>
      <c r="BG351" s="329"/>
      <c r="BH351" s="1018">
        <f t="shared" si="187"/>
        <v>0</v>
      </c>
    </row>
    <row r="352" spans="1:60" ht="15" customHeight="1" x14ac:dyDescent="0.3">
      <c r="A352" s="2033"/>
      <c r="B352" s="287" t="str">
        <f t="shared" si="188"/>
        <v/>
      </c>
      <c r="C352" s="288" t="str">
        <f t="shared" si="183"/>
        <v/>
      </c>
      <c r="D352" s="691"/>
      <c r="E352" s="692"/>
      <c r="F352" s="693"/>
      <c r="G352" s="694"/>
      <c r="H352" s="695"/>
      <c r="I352" s="289">
        <f>I351-SUM($D352:F352)</f>
        <v>0</v>
      </c>
      <c r="J352" s="1234" t="str">
        <f>$J$9</f>
        <v>% Sel Acm :</v>
      </c>
      <c r="K352" s="1231">
        <f>IF(PROD!$K$2&gt;0,SUM(E$5:E354)/PROD!$K$2,0)</f>
        <v>0</v>
      </c>
      <c r="L352" s="1246"/>
      <c r="M352" s="291">
        <f t="shared" si="202"/>
        <v>0</v>
      </c>
      <c r="N352" s="292" t="str">
        <f>$N$9</f>
        <v xml:space="preserve">Uniformidad (10% -) : </v>
      </c>
      <c r="O352" s="320">
        <f>LOOKUP($A348,'Pr-Sem'!$A$6:$A$108,'Pr-Sem'!$AH$6:$AH$108)</f>
        <v>0</v>
      </c>
      <c r="P352" s="320">
        <v>5</v>
      </c>
      <c r="Q352" s="321">
        <f>IF(AND(P352&gt;0,O352&gt;0),(1-O352/P352)*100,0)</f>
        <v>0</v>
      </c>
      <c r="R352" s="699"/>
      <c r="S352" s="762"/>
      <c r="T352" s="765">
        <f t="shared" si="194"/>
        <v>0</v>
      </c>
      <c r="U352" s="700"/>
      <c r="V352" s="701"/>
      <c r="W352" s="701"/>
      <c r="X352" s="295">
        <f t="shared" si="189"/>
        <v>0</v>
      </c>
      <c r="Y352" s="296">
        <f>IF(AA352&gt;0,V352,AE348/IF(Iniciar!$C$25="B X 40 K",40,IF(Iniciar!$C$25="B X 50 K",50,1))*I352/1000)</f>
        <v>0</v>
      </c>
      <c r="Z352" s="296">
        <f t="shared" si="190"/>
        <v>0</v>
      </c>
      <c r="AA352" s="297">
        <f t="shared" si="203"/>
        <v>0</v>
      </c>
      <c r="AB352" s="297">
        <f t="shared" si="184"/>
        <v>0</v>
      </c>
      <c r="AC352" s="2035" t="str">
        <f>$AC$9</f>
        <v xml:space="preserve">Total Litros Sem: </v>
      </c>
      <c r="AD352" s="2036"/>
      <c r="AE352" s="2050">
        <f>SUM(R348:R354)</f>
        <v>0</v>
      </c>
      <c r="AF352" s="2051"/>
      <c r="AG352" s="554" t="str">
        <f>$AG$9</f>
        <v xml:space="preserve">Indicador Eficiencia : </v>
      </c>
      <c r="AH352" s="555">
        <f>IF(AND(AE352&gt;0,O349&gt;0,O350&gt;0,SUM(L348:L354)&gt;0),(PROD!AH351/O349)*K354*100/(AE352/(SUM(L348:L354)*O350/1000)),0)</f>
        <v>0</v>
      </c>
      <c r="AI352" s="555">
        <f>IF(AND(P349&gt;0,PROD!AI350&gt;0),(PROD!AI351/P349)*(1-K353)*100/(AE349/PROD!AI350),0)</f>
        <v>0</v>
      </c>
      <c r="AJ352" s="331">
        <f t="shared" si="201"/>
        <v>0</v>
      </c>
      <c r="AK352" s="2027"/>
      <c r="AL352" s="1284">
        <f t="shared" si="185"/>
        <v>0</v>
      </c>
      <c r="AM352" s="1285"/>
      <c r="AN352" s="1285"/>
      <c r="AO352" s="1285"/>
      <c r="AP352" s="1285"/>
      <c r="AQ352" s="1285"/>
      <c r="AR352" s="1285"/>
      <c r="AS352" s="1286"/>
      <c r="AT352" s="1287"/>
      <c r="AU352" s="1288"/>
      <c r="AV352" s="1289"/>
      <c r="AW352" s="1290"/>
      <c r="AX352" s="1291"/>
      <c r="AY352" s="1291"/>
      <c r="AZ352" s="1292"/>
      <c r="BA352" s="1293"/>
      <c r="BB352" s="1294"/>
      <c r="BC352" s="1295"/>
      <c r="BD352" s="1296">
        <f>BD351+PROD!L352-BA352</f>
        <v>0</v>
      </c>
      <c r="BE352" s="2133"/>
      <c r="BF352" s="507" t="e">
        <f t="shared" si="186"/>
        <v>#VALUE!</v>
      </c>
      <c r="BG352" s="329"/>
      <c r="BH352" s="1018">
        <f t="shared" si="187"/>
        <v>0</v>
      </c>
    </row>
    <row r="353" spans="1:60" ht="15" customHeight="1" x14ac:dyDescent="0.3">
      <c r="A353" s="2033"/>
      <c r="B353" s="287" t="str">
        <f t="shared" si="188"/>
        <v/>
      </c>
      <c r="C353" s="288" t="str">
        <f t="shared" si="183"/>
        <v/>
      </c>
      <c r="D353" s="691"/>
      <c r="E353" s="692"/>
      <c r="F353" s="693"/>
      <c r="G353" s="694"/>
      <c r="H353" s="695"/>
      <c r="I353" s="289">
        <f>I352-SUM($D353:F353)</f>
        <v>0</v>
      </c>
      <c r="J353" s="1237" t="str">
        <f>$J$10</f>
        <v>% Mort/Sel Acm Tab :</v>
      </c>
      <c r="K353" s="1238">
        <f>IFERROR(LOOKUP($A348,TP!$A$6:$A$108,GSh!$AR$6:$AR$108)/100,0)</f>
        <v>0</v>
      </c>
      <c r="L353" s="1246"/>
      <c r="M353" s="291">
        <f t="shared" si="202"/>
        <v>0</v>
      </c>
      <c r="N353" s="292" t="str">
        <f>$N$10</f>
        <v xml:space="preserve">Uniformidad (C. Lote) : </v>
      </c>
      <c r="O353" s="320">
        <f>LOOKUP($A348,'Pr-Sem'!$A$6:$A$108,'Pr-Sem'!$AG$6:$AG$108)</f>
        <v>0</v>
      </c>
      <c r="P353" s="320">
        <v>90</v>
      </c>
      <c r="Q353" s="321">
        <f>IF(AND(P353&gt;0,O353&gt;0),(O353/P353-1)*100,0)</f>
        <v>0</v>
      </c>
      <c r="R353" s="699"/>
      <c r="S353" s="762"/>
      <c r="T353" s="765">
        <f t="shared" si="194"/>
        <v>0</v>
      </c>
      <c r="U353" s="700"/>
      <c r="V353" s="701"/>
      <c r="W353" s="701"/>
      <c r="X353" s="295">
        <f t="shared" si="189"/>
        <v>0</v>
      </c>
      <c r="Y353" s="296">
        <f>IF(AA353&gt;0,V353,AE348/IF(Iniciar!$C$25="B X 40 K",40,IF(Iniciar!$C$25="B X 50 K",50,1))*I353/1000)</f>
        <v>0</v>
      </c>
      <c r="Z353" s="296">
        <f t="shared" si="190"/>
        <v>0</v>
      </c>
      <c r="AA353" s="297">
        <f t="shared" si="203"/>
        <v>0</v>
      </c>
      <c r="AB353" s="297">
        <f t="shared" si="184"/>
        <v>0</v>
      </c>
      <c r="AC353" s="2037" t="str">
        <f>$AC$10</f>
        <v xml:space="preserve">Cons ml /ave día: </v>
      </c>
      <c r="AD353" s="2038"/>
      <c r="AE353" s="2056">
        <f>IFERROR(SUMPRODUCT(AB348:AB354,I348:I354)/SUM(I348:I354),0)</f>
        <v>0</v>
      </c>
      <c r="AF353" s="2057"/>
      <c r="AG353" s="311" t="str">
        <f>CONCATENATE("Costo ",Iniciar!$C$25," : ")</f>
        <v xml:space="preserve">Costo Kilos : </v>
      </c>
      <c r="AH353" s="2043">
        <f>IFERROR(SUMPRODUCT(T348:T354,V348:V354)/SUMIF(T348:T354,"&gt;0",V348:V354),0)</f>
        <v>0</v>
      </c>
      <c r="AI353" s="2043"/>
      <c r="AJ353" s="313"/>
      <c r="AK353" s="2027"/>
      <c r="AL353" s="1284">
        <f t="shared" si="185"/>
        <v>0</v>
      </c>
      <c r="AM353" s="1285"/>
      <c r="AN353" s="1285"/>
      <c r="AO353" s="1285"/>
      <c r="AP353" s="1285"/>
      <c r="AQ353" s="1285"/>
      <c r="AR353" s="1285"/>
      <c r="AS353" s="1286"/>
      <c r="AT353" s="1287"/>
      <c r="AU353" s="1288"/>
      <c r="AV353" s="1289"/>
      <c r="AW353" s="1290"/>
      <c r="AX353" s="1291"/>
      <c r="AY353" s="1291"/>
      <c r="AZ353" s="1292"/>
      <c r="BA353" s="1293"/>
      <c r="BB353" s="1294"/>
      <c r="BC353" s="1295"/>
      <c r="BD353" s="1296">
        <f>BD352+PROD!L353-BA353</f>
        <v>0</v>
      </c>
      <c r="BE353" s="2133"/>
      <c r="BF353" s="507" t="e">
        <f t="shared" si="186"/>
        <v>#VALUE!</v>
      </c>
      <c r="BG353" s="329"/>
      <c r="BH353" s="1018">
        <f t="shared" si="187"/>
        <v>0</v>
      </c>
    </row>
    <row r="354" spans="1:60" ht="15" customHeight="1" x14ac:dyDescent="0.3">
      <c r="A354" s="2034"/>
      <c r="B354" s="287" t="str">
        <f t="shared" si="188"/>
        <v/>
      </c>
      <c r="C354" s="288" t="str">
        <f t="shared" si="183"/>
        <v/>
      </c>
      <c r="D354" s="691"/>
      <c r="E354" s="692"/>
      <c r="F354" s="693"/>
      <c r="G354" s="694"/>
      <c r="H354" s="695"/>
      <c r="I354" s="289">
        <f>I353-SUM($D354:F354)</f>
        <v>0</v>
      </c>
      <c r="J354" s="1239" t="str">
        <f>$J$11</f>
        <v>% Viabilidad :</v>
      </c>
      <c r="K354" s="1240">
        <f>IF(OR(SUM(L348:L354)&gt;0,SUM(V348:V354)&gt;0),1-(K351+K352),0)</f>
        <v>0</v>
      </c>
      <c r="L354" s="1247"/>
      <c r="M354" s="1248">
        <f>IF(I354&gt;0,(L354/IF(SUM(L348:L353)&gt;0,1,7))/I354,0)</f>
        <v>0</v>
      </c>
      <c r="N354" s="1249" t="str">
        <f>$N$11</f>
        <v xml:space="preserve">Uniformidad (10% +) : </v>
      </c>
      <c r="O354" s="1250">
        <f>IF(O352&gt;0,IF(O353&gt;0,100-SUM(O352:O353),0),0)</f>
        <v>0</v>
      </c>
      <c r="P354" s="1251">
        <f>100-SUM(P352:P353)</f>
        <v>5</v>
      </c>
      <c r="Q354" s="1252">
        <f>IF(AND(P354&gt;0,O354&gt;0),(O354/P354-1)*100,0)</f>
        <v>0</v>
      </c>
      <c r="R354" s="699"/>
      <c r="S354" s="762"/>
      <c r="T354" s="765">
        <f t="shared" si="194"/>
        <v>0</v>
      </c>
      <c r="U354" s="700"/>
      <c r="V354" s="701"/>
      <c r="W354" s="701"/>
      <c r="X354" s="295">
        <f t="shared" si="189"/>
        <v>0</v>
      </c>
      <c r="Y354" s="296">
        <f>IF(AA354&gt;0,V354,AE348/IF(Iniciar!$C$25="B X 40 K",40,IF(Iniciar!$C$25="B X 50 K",50,1))*I354/1000)</f>
        <v>0</v>
      </c>
      <c r="Z354" s="296">
        <f t="shared" si="190"/>
        <v>0</v>
      </c>
      <c r="AA354" s="297">
        <f>IF(I354&gt;0,(V354/IF(SUM(V348:V353)&gt;0,1,7))*$A$1/I354,0)</f>
        <v>0</v>
      </c>
      <c r="AB354" s="297">
        <f t="shared" si="184"/>
        <v>0</v>
      </c>
      <c r="AC354" s="2039" t="str">
        <f>$AC$11</f>
        <v xml:space="preserve">Relación Agua /Alimto: </v>
      </c>
      <c r="AD354" s="2040"/>
      <c r="AE354" s="2058">
        <f>IFERROR(AE353/AD348,0)</f>
        <v>0</v>
      </c>
      <c r="AF354" s="2059"/>
      <c r="AG354" s="1269" t="s">
        <v>237</v>
      </c>
      <c r="AH354" s="1270">
        <f>IF(SUM(L348:L354)&gt;0,AH353*SUM(V348:V354)/SUM(L348:L354),0)</f>
        <v>0</v>
      </c>
      <c r="AI354" s="1270">
        <f>IF(AND($A$1&gt;0,P348&gt;0),AH353/$A$1*(AE348/P348)*100,0)</f>
        <v>0</v>
      </c>
      <c r="AJ354" s="1271">
        <f t="shared" ref="AJ354:AJ359" si="204">IF(AND(AI354&gt;0,AH354&gt;0),(AH354/AI354-1)*100,0)</f>
        <v>0</v>
      </c>
      <c r="AK354" s="2028"/>
      <c r="AL354" s="1284">
        <f t="shared" si="185"/>
        <v>0</v>
      </c>
      <c r="AM354" s="1285"/>
      <c r="AN354" s="1285"/>
      <c r="AO354" s="1285"/>
      <c r="AP354" s="1285"/>
      <c r="AQ354" s="1285"/>
      <c r="AR354" s="1285"/>
      <c r="AS354" s="1286"/>
      <c r="AT354" s="1287"/>
      <c r="AU354" s="1288"/>
      <c r="AV354" s="1289"/>
      <c r="AW354" s="1290"/>
      <c r="AX354" s="1291"/>
      <c r="AY354" s="1291"/>
      <c r="AZ354" s="1292"/>
      <c r="BA354" s="1293"/>
      <c r="BB354" s="1294"/>
      <c r="BC354" s="1295"/>
      <c r="BD354" s="1296">
        <f>BD353+PROD!L354-BA354</f>
        <v>0</v>
      </c>
      <c r="BE354" s="2134"/>
      <c r="BF354" s="507" t="e">
        <f t="shared" si="186"/>
        <v>#VALUE!</v>
      </c>
      <c r="BG354" s="329"/>
      <c r="BH354" s="1018">
        <f t="shared" si="187"/>
        <v>0</v>
      </c>
    </row>
    <row r="355" spans="1:60" ht="15" customHeight="1" x14ac:dyDescent="0.3">
      <c r="A355" s="2032">
        <f>A348+1</f>
        <v>68</v>
      </c>
      <c r="B355" s="287" t="str">
        <f t="shared" si="188"/>
        <v/>
      </c>
      <c r="C355" s="288" t="str">
        <f t="shared" si="183"/>
        <v/>
      </c>
      <c r="D355" s="691"/>
      <c r="E355" s="692"/>
      <c r="F355" s="693"/>
      <c r="G355" s="694"/>
      <c r="H355" s="695"/>
      <c r="I355" s="289">
        <f>I354-SUM($D355:F355)</f>
        <v>0</v>
      </c>
      <c r="J355" s="1232" t="str">
        <f>$J$5</f>
        <v>% Mort Sem :</v>
      </c>
      <c r="K355" s="1233">
        <f>IF(PROD!$K$2&gt;0,SUM(D355:D361)/PROD!$K$2,0)</f>
        <v>0</v>
      </c>
      <c r="L355" s="1241"/>
      <c r="M355" s="1242">
        <f t="shared" ref="M355:M360" si="205">IF(I355&gt;0,L355/I355,0)</f>
        <v>0</v>
      </c>
      <c r="N355" s="1243" t="str">
        <f>$N$5</f>
        <v xml:space="preserve">% Pdn prom semana : </v>
      </c>
      <c r="O355" s="1244">
        <f>IF(SUM(L355:L360)&gt;0,100*SUMPRODUCT(M355:M361,I355:I361)/SUMIF(L355:L361,"&gt;0",I355:I361),IF(L361&gt;0,100*L361/7/I361,0))</f>
        <v>0</v>
      </c>
      <c r="P355" s="1244">
        <f>IFERROR(LOOKUP($A355,TP!$A$6:$A$108,GSh!$AE$6:$AE$108),0)</f>
        <v>0</v>
      </c>
      <c r="Q355" s="1245">
        <f>IF(AND(P355&gt;0,O355&gt;0),O355-P355,0)</f>
        <v>0</v>
      </c>
      <c r="R355" s="699"/>
      <c r="S355" s="762"/>
      <c r="T355" s="765">
        <f t="shared" si="194"/>
        <v>0</v>
      </c>
      <c r="U355" s="700"/>
      <c r="V355" s="701"/>
      <c r="W355" s="701"/>
      <c r="X355" s="295">
        <f t="shared" si="189"/>
        <v>0</v>
      </c>
      <c r="Y355" s="296">
        <f>IF(AA355&gt;0,V355,AE355/IF(Iniciar!$C$25="B X 40 K",40,IF(Iniciar!$C$25="B X 50 K",50,1))*I355/1000)</f>
        <v>0</v>
      </c>
      <c r="Z355" s="296">
        <f t="shared" si="190"/>
        <v>0</v>
      </c>
      <c r="AA355" s="297">
        <f t="shared" ref="AA355:AA360" si="206">IF(I355&gt;0,V355*$A$1/I355,0)</f>
        <v>0</v>
      </c>
      <c r="AB355" s="297">
        <f t="shared" si="184"/>
        <v>0</v>
      </c>
      <c r="AC355" s="1261" t="str">
        <f>$AC$5</f>
        <v>Gr. Ave Dia :</v>
      </c>
      <c r="AD355" s="1262">
        <f>IF(SUMIF(V355:V361,"&gt;0")&gt;0,SUMPRODUCT(AA355:AA361,I355:I361)/SUMIF(AA355:AA361,"&gt;0",I355:I361),0)</f>
        <v>0</v>
      </c>
      <c r="AE355" s="1262">
        <f>IFERROR(LOOKUP($A355,TP!$A$6:$A$108,GSh!$AU$6:$AU$108),0)</f>
        <v>0</v>
      </c>
      <c r="AF355" s="1263">
        <f>IF(AND(AE355&gt;0,AD355&gt;0),(AD355/AE355-1)*100,0)</f>
        <v>0</v>
      </c>
      <c r="AG355" s="1264" t="str">
        <f>PROD!$AG$5</f>
        <v>Gr X H</v>
      </c>
      <c r="AH355" s="1265">
        <f>IF(PROD!O355&gt;0,IF($AG355="Gr X H",PROD!AD355/PROD!O355*100,IF($AG355="Conv Kg/Doc",PROD!AD355/PROD!O355*1.2,IF(PROD!$O357&gt;0,PROD!AD355/(PROD!O355*PROD!$O357)*100,0))),0)</f>
        <v>0</v>
      </c>
      <c r="AI355" s="1265">
        <f>IF(PROD!P355&gt;0,IF($AG355="Gr X H",PROD!AE355/PROD!P355*100,IF($AG355="Conv Kg/Doc",PROD!AE355/PROD!P355*1.2,IF(PROD!$P357&gt;0,PROD!AE355/(PROD!P355*PROD!$P357)*100,0))),0)</f>
        <v>0</v>
      </c>
      <c r="AJ355" s="1266">
        <f t="shared" si="204"/>
        <v>0</v>
      </c>
      <c r="AK355" s="2026"/>
      <c r="AL355" s="1284">
        <f t="shared" si="185"/>
        <v>0</v>
      </c>
      <c r="AM355" s="1285"/>
      <c r="AN355" s="1285"/>
      <c r="AO355" s="1285"/>
      <c r="AP355" s="1285"/>
      <c r="AQ355" s="1285"/>
      <c r="AR355" s="1285"/>
      <c r="AS355" s="1286"/>
      <c r="AT355" s="1287"/>
      <c r="AU355" s="1288"/>
      <c r="AV355" s="1289"/>
      <c r="AW355" s="1290"/>
      <c r="AX355" s="1291"/>
      <c r="AY355" s="1291"/>
      <c r="AZ355" s="1292"/>
      <c r="BA355" s="1293"/>
      <c r="BB355" s="1294"/>
      <c r="BC355" s="1295"/>
      <c r="BD355" s="1296">
        <f>BD354+PROD!L355-BA355</f>
        <v>0</v>
      </c>
      <c r="BE355" s="2132">
        <f>IF(SUM(AM355:AZ361)&gt;0,(SUM(AM355:AM361)*$AM$2+SUM(AN355:AN361)*$AN$2+SUM(AO355:AO361)*$AO$2+SUM(AP355:AP361)*$AP$2+SUM(AQ355:AQ361)*$AQ$2+SUM(AR355:AR361)*$AR$2+SUM(AS355:AS361)*$AS$2+SUM(AW355:AW361)*$AW$2+SUM(AX355:AX361)*$AX$2+SUM(AY355:AY361)*$AY$2+SUM(AZ355:AZ361)*$AZ$2+SUM(AT355:AT361)*$AT$2+SUM(AU355:AU361)*$AU$2+SUM(AV355:AV361)*$AV$2)/SUM(AM355:AZ361),0)</f>
        <v>0</v>
      </c>
      <c r="BF355" s="507" t="e">
        <f t="shared" si="186"/>
        <v>#VALUE!</v>
      </c>
      <c r="BG355" s="277">
        <f>IF(SUM(L355:L361)&gt;0,A355,IF(SUM(V355:V361)&gt;0,A355,BG348))</f>
        <v>0</v>
      </c>
      <c r="BH355" s="1018">
        <f t="shared" si="187"/>
        <v>0</v>
      </c>
    </row>
    <row r="356" spans="1:60" ht="15" customHeight="1" x14ac:dyDescent="0.3">
      <c r="A356" s="2033"/>
      <c r="B356" s="287" t="str">
        <f t="shared" si="188"/>
        <v/>
      </c>
      <c r="C356" s="288" t="str">
        <f t="shared" si="183"/>
        <v/>
      </c>
      <c r="D356" s="691"/>
      <c r="E356" s="692"/>
      <c r="F356" s="693"/>
      <c r="G356" s="694"/>
      <c r="H356" s="695"/>
      <c r="I356" s="289">
        <f>I355-SUM($D356:F356)</f>
        <v>0</v>
      </c>
      <c r="J356" s="1234" t="str">
        <f>$J$6</f>
        <v>% Sel Sem :</v>
      </c>
      <c r="K356" s="1231">
        <f>IF(PROD!$K$2&gt;0,SUM(E355:E361)/PROD!$K$2,0)</f>
        <v>0</v>
      </c>
      <c r="L356" s="1246"/>
      <c r="M356" s="291">
        <f t="shared" si="205"/>
        <v>0</v>
      </c>
      <c r="N356" s="292" t="str">
        <f>$N$6</f>
        <v xml:space="preserve">H. Ave Alojada : </v>
      </c>
      <c r="O356" s="293">
        <f>IF(AND(PROD!$K$2&gt;0,O355&gt;0),SUM(L$5:L361)/PROD!$K$2,0)</f>
        <v>0</v>
      </c>
      <c r="P356" s="293">
        <f>IFERROR(LOOKUP($A355,TP!$A$6:$A$108,GSh!$AJ$6:$AJ$108),0)</f>
        <v>0</v>
      </c>
      <c r="Q356" s="294">
        <f>IF(AND(P356&gt;0,O356&gt;0),O356-P356,0)</f>
        <v>0</v>
      </c>
      <c r="R356" s="699"/>
      <c r="S356" s="762"/>
      <c r="T356" s="765">
        <f t="shared" si="194"/>
        <v>0</v>
      </c>
      <c r="U356" s="700"/>
      <c r="V356" s="701"/>
      <c r="W356" s="701"/>
      <c r="X356" s="295">
        <f t="shared" si="189"/>
        <v>0</v>
      </c>
      <c r="Y356" s="296">
        <f>IF(AA356&gt;0,V356,AE355/IF(Iniciar!$C$25="B X 40 K",40,IF(Iniciar!$C$25="B X 50 K",50,1))*I356/1000)</f>
        <v>0</v>
      </c>
      <c r="Z356" s="296">
        <f t="shared" si="190"/>
        <v>0</v>
      </c>
      <c r="AA356" s="297">
        <f t="shared" si="206"/>
        <v>0</v>
      </c>
      <c r="AB356" s="297">
        <f t="shared" si="184"/>
        <v>0</v>
      </c>
      <c r="AC356" s="1267" t="str">
        <f>$AC$6</f>
        <v>Gr. Ave Sem :</v>
      </c>
      <c r="AD356" s="284">
        <f>AD355*7</f>
        <v>0</v>
      </c>
      <c r="AE356" s="284">
        <f>AE355*7</f>
        <v>0</v>
      </c>
      <c r="AF356" s="285">
        <f>IF(AND(AE356&gt;0,AD356&gt;0),(AD356/AE356-1)*100,0)</f>
        <v>0</v>
      </c>
      <c r="AG356" s="1199" t="str">
        <f>PROD!$AG$6</f>
        <v>Gr X H Acm</v>
      </c>
      <c r="AH356" s="298">
        <f>IF(SUM(PROD!L355:L361)&gt;0,IF(PROD!$AG$5="Gr X H",SUM(PROD!V$5:V361)*PROD!$A$1/SUM(PROD!L$5:L361),IF($AG355="Conv Kg/Doc",(SUM(PROD!V$5:V361)*PROD!$A$1/1000)/(SUM(PROD!L$5:L361)/12),IF(PROD!$O357&gt;0,SUM(PROD!V$5:V361)*PROD!$A$1/(SUM(PROD!L$5:L361)*LOOKUP(PROD!A355,TP!$A$6:$A$108,GSh!$BB$6:$BB$108)),0))),0)</f>
        <v>0</v>
      </c>
      <c r="AI356" s="298">
        <f>IF(PROD!P355&gt;0,IF($AG355="Gr X H",PROD!AE355/PROD!P355*100,IF($AG355="Conv Kg/Doc",PROD!AE355/PROD!P355*1.2,IF(PROD!$P356&gt;0,PROD!AE357/(PROD!P356*LOOKUP(PROD!$A355,TP!$A$6:$A$108,GSh!$BC$6:$BC$108)/1000),0))),0)</f>
        <v>0</v>
      </c>
      <c r="AJ356" s="328">
        <f t="shared" si="204"/>
        <v>0</v>
      </c>
      <c r="AK356" s="2027"/>
      <c r="AL356" s="1284">
        <f t="shared" si="185"/>
        <v>0</v>
      </c>
      <c r="AM356" s="1285"/>
      <c r="AN356" s="1285"/>
      <c r="AO356" s="1285"/>
      <c r="AP356" s="1285"/>
      <c r="AQ356" s="1285"/>
      <c r="AR356" s="1285"/>
      <c r="AS356" s="1286"/>
      <c r="AT356" s="1287"/>
      <c r="AU356" s="1288"/>
      <c r="AV356" s="1289"/>
      <c r="AW356" s="1290"/>
      <c r="AX356" s="1291"/>
      <c r="AY356" s="1291"/>
      <c r="AZ356" s="1292"/>
      <c r="BA356" s="1293"/>
      <c r="BB356" s="1294"/>
      <c r="BC356" s="1295"/>
      <c r="BD356" s="1296">
        <f>BD355+PROD!L356-BA356</f>
        <v>0</v>
      </c>
      <c r="BE356" s="2133"/>
      <c r="BF356" s="507" t="e">
        <f t="shared" si="186"/>
        <v>#VALUE!</v>
      </c>
      <c r="BG356" s="329"/>
      <c r="BH356" s="1018">
        <f t="shared" si="187"/>
        <v>0</v>
      </c>
    </row>
    <row r="357" spans="1:60" ht="15" customHeight="1" x14ac:dyDescent="0.3">
      <c r="A357" s="2033"/>
      <c r="B357" s="287" t="str">
        <f t="shared" si="188"/>
        <v/>
      </c>
      <c r="C357" s="288" t="str">
        <f t="shared" si="183"/>
        <v/>
      </c>
      <c r="D357" s="691"/>
      <c r="E357" s="692"/>
      <c r="F357" s="693"/>
      <c r="G357" s="694"/>
      <c r="H357" s="695"/>
      <c r="I357" s="289">
        <f>I356-SUM($D357:F357)</f>
        <v>0</v>
      </c>
      <c r="J357" s="1235" t="str">
        <f>$J$7</f>
        <v>% Mort/Sel Sem Tab :</v>
      </c>
      <c r="K357" s="1236">
        <f>K360-K353</f>
        <v>0</v>
      </c>
      <c r="L357" s="1246"/>
      <c r="M357" s="291">
        <f t="shared" si="205"/>
        <v>0</v>
      </c>
      <c r="N357" s="304" t="str">
        <f>$N$7</f>
        <v xml:space="preserve">Peso Huevo (Gr) : </v>
      </c>
      <c r="O357" s="305">
        <f>LOOKUP($A355,'Pr-Sem'!$A$6:$A$108,'Pr-Sem'!$Z$6:$Z$108)</f>
        <v>0</v>
      </c>
      <c r="P357" s="305">
        <f>IFERROR(LOOKUP($A355,TP!$A$6:$A$108,GSh!$AZ$6:$AZ$108),0)</f>
        <v>0</v>
      </c>
      <c r="Q357" s="306">
        <f>IF(AND(P357&gt;0,O357&gt;0),O357-P357,0)</f>
        <v>0</v>
      </c>
      <c r="R357" s="699"/>
      <c r="S357" s="762"/>
      <c r="T357" s="765">
        <f t="shared" si="194"/>
        <v>0</v>
      </c>
      <c r="U357" s="700"/>
      <c r="V357" s="701"/>
      <c r="W357" s="701"/>
      <c r="X357" s="295">
        <f t="shared" si="189"/>
        <v>0</v>
      </c>
      <c r="Y357" s="296">
        <f>IF(AA357&gt;0,V357,AE355/IF(Iniciar!$C$25="B X 40 K",40,IF(Iniciar!$C$25="B X 50 K",50,1))*I357/1000)</f>
        <v>0</v>
      </c>
      <c r="Z357" s="296">
        <f t="shared" si="190"/>
        <v>0</v>
      </c>
      <c r="AA357" s="297">
        <f t="shared" si="206"/>
        <v>0</v>
      </c>
      <c r="AB357" s="297">
        <f t="shared" si="184"/>
        <v>0</v>
      </c>
      <c r="AC357" s="1268" t="str">
        <f>$AC$7</f>
        <v>Kg Ave Acu :</v>
      </c>
      <c r="AD357" s="308">
        <f>IF(OR(SUM(L355:L361)&gt;0,SUM(V355:V361)&gt;0),AD356/1000+AD350,0)</f>
        <v>0</v>
      </c>
      <c r="AE357" s="309">
        <f>AE356/1000+AE350</f>
        <v>0</v>
      </c>
      <c r="AF357" s="310">
        <f>IF(AND(AE357&gt;0,AD357&gt;0),(AD357/AE357-1)*100,0)</f>
        <v>0</v>
      </c>
      <c r="AG357" s="311" t="str">
        <f>PROD!$AG$7</f>
        <v xml:space="preserve">Masa Sem H (Gr) : </v>
      </c>
      <c r="AH357" s="312">
        <f>PROD!O355/100*7*PROD!O357</f>
        <v>0</v>
      </c>
      <c r="AI357" s="312">
        <f>PROD!P355/100*7*PROD!P357</f>
        <v>0</v>
      </c>
      <c r="AJ357" s="313">
        <f t="shared" si="204"/>
        <v>0</v>
      </c>
      <c r="AK357" s="2027"/>
      <c r="AL357" s="1284">
        <f t="shared" si="185"/>
        <v>0</v>
      </c>
      <c r="AM357" s="1285"/>
      <c r="AN357" s="1285"/>
      <c r="AO357" s="1285"/>
      <c r="AP357" s="1285"/>
      <c r="AQ357" s="1285"/>
      <c r="AR357" s="1285"/>
      <c r="AS357" s="1286"/>
      <c r="AT357" s="1287"/>
      <c r="AU357" s="1288"/>
      <c r="AV357" s="1289"/>
      <c r="AW357" s="1290"/>
      <c r="AX357" s="1291"/>
      <c r="AY357" s="1291"/>
      <c r="AZ357" s="1292"/>
      <c r="BA357" s="1293"/>
      <c r="BB357" s="1294"/>
      <c r="BC357" s="1295"/>
      <c r="BD357" s="1296">
        <f>BD356+PROD!L357-BA357</f>
        <v>0</v>
      </c>
      <c r="BE357" s="2133"/>
      <c r="BF357" s="507" t="e">
        <f t="shared" si="186"/>
        <v>#VALUE!</v>
      </c>
      <c r="BG357" s="329"/>
      <c r="BH357" s="1018">
        <f t="shared" si="187"/>
        <v>0</v>
      </c>
    </row>
    <row r="358" spans="1:60" ht="15" customHeight="1" x14ac:dyDescent="0.3">
      <c r="A358" s="2033"/>
      <c r="B358" s="287" t="str">
        <f t="shared" si="188"/>
        <v/>
      </c>
      <c r="C358" s="288" t="str">
        <f t="shared" si="183"/>
        <v/>
      </c>
      <c r="D358" s="691"/>
      <c r="E358" s="692"/>
      <c r="F358" s="693"/>
      <c r="G358" s="694"/>
      <c r="H358" s="695"/>
      <c r="I358" s="289">
        <f>I357-SUM($D358:F358)</f>
        <v>0</v>
      </c>
      <c r="J358" s="1234" t="str">
        <f>$J$8</f>
        <v>% Mort Acm :</v>
      </c>
      <c r="K358" s="1231">
        <f>IF(PROD!$K$2&gt;0,SUM(D$5:D361)/PROD!$K$2,0)</f>
        <v>0</v>
      </c>
      <c r="L358" s="1246"/>
      <c r="M358" s="291">
        <f t="shared" si="205"/>
        <v>0</v>
      </c>
      <c r="N358" s="314" t="str">
        <f>N$8</f>
        <v xml:space="preserve">Peso Ave (Gr) : </v>
      </c>
      <c r="O358" s="315">
        <f>LOOKUP($A355,GSh!$BV$6:$BV$108,GSh!$BJ$6:$BJ$108)</f>
        <v>0</v>
      </c>
      <c r="P358" s="315">
        <f>IFERROR(LOOKUP($A355,TP!$A$6:$A$108,GSh!$BK$6:$BK$108),0)</f>
        <v>0</v>
      </c>
      <c r="Q358" s="316">
        <f>IF(AND(P358&gt;0,O358&gt;0),(O358/P358-1)*100,0)</f>
        <v>0</v>
      </c>
      <c r="R358" s="699"/>
      <c r="S358" s="762"/>
      <c r="T358" s="765">
        <f t="shared" si="194"/>
        <v>0</v>
      </c>
      <c r="U358" s="700"/>
      <c r="V358" s="701"/>
      <c r="W358" s="701"/>
      <c r="X358" s="295">
        <f t="shared" si="189"/>
        <v>0</v>
      </c>
      <c r="Y358" s="296">
        <f>IF(AA358&gt;0,V358,AE355/IF(Iniciar!$C$25="B X 40 K",40,IF(Iniciar!$C$25="B X 50 K",50,1))*I358/1000)</f>
        <v>0</v>
      </c>
      <c r="Z358" s="296">
        <f t="shared" si="190"/>
        <v>0</v>
      </c>
      <c r="AA358" s="297">
        <f t="shared" si="206"/>
        <v>0</v>
      </c>
      <c r="AB358" s="297">
        <f t="shared" si="184"/>
        <v>0</v>
      </c>
      <c r="AC358" s="541" t="str">
        <f>$AC$8</f>
        <v xml:space="preserve">Ton. Lote Acu : </v>
      </c>
      <c r="AD358" s="544">
        <f>SUM($V$5:$V361)*$A$1/1000000</f>
        <v>0</v>
      </c>
      <c r="AE358" s="543">
        <f>AE351+(AE355/1000000*7*(I355+I361)/2)</f>
        <v>0</v>
      </c>
      <c r="AF358" s="542">
        <f>IF(AND(AE358&gt;0,AD358&gt;0),(AD358/AE358-1)*100,0)</f>
        <v>0</v>
      </c>
      <c r="AG358" s="317" t="str">
        <f>PROD!$AG$8</f>
        <v xml:space="preserve">Masa Ac A. A (Kg) : </v>
      </c>
      <c r="AH358" s="318">
        <f>IF(PROD!$K$2&gt;0,SUM(PROD!L$5:L361)*LOOKUP(PROD!$A355,TP!$A$6:$A$108,GSh!$BB$6:$BB$108)/1000/PROD!$K$2,0)</f>
        <v>0</v>
      </c>
      <c r="AI358" s="318">
        <f>IFERROR(PROD!P356*LOOKUP(PROD!$A355,TP!$A$6:$A$108,GSh!$BC$6:$BC$108)/1000,0)</f>
        <v>0</v>
      </c>
      <c r="AJ358" s="330">
        <f t="shared" si="204"/>
        <v>0</v>
      </c>
      <c r="AK358" s="2027"/>
      <c r="AL358" s="1284">
        <f t="shared" si="185"/>
        <v>0</v>
      </c>
      <c r="AM358" s="1285"/>
      <c r="AN358" s="1285"/>
      <c r="AO358" s="1285"/>
      <c r="AP358" s="1285"/>
      <c r="AQ358" s="1285"/>
      <c r="AR358" s="1285"/>
      <c r="AS358" s="1286"/>
      <c r="AT358" s="1287"/>
      <c r="AU358" s="1288"/>
      <c r="AV358" s="1289"/>
      <c r="AW358" s="1290"/>
      <c r="AX358" s="1291"/>
      <c r="AY358" s="1291"/>
      <c r="AZ358" s="1292"/>
      <c r="BA358" s="1293"/>
      <c r="BB358" s="1294"/>
      <c r="BC358" s="1295"/>
      <c r="BD358" s="1296">
        <f>BD357+PROD!L358-BA358</f>
        <v>0</v>
      </c>
      <c r="BE358" s="2133"/>
      <c r="BF358" s="507" t="e">
        <f t="shared" si="186"/>
        <v>#VALUE!</v>
      </c>
      <c r="BG358" s="329"/>
      <c r="BH358" s="1018">
        <f t="shared" si="187"/>
        <v>0</v>
      </c>
    </row>
    <row r="359" spans="1:60" ht="15" customHeight="1" x14ac:dyDescent="0.3">
      <c r="A359" s="2033"/>
      <c r="B359" s="287" t="str">
        <f t="shared" si="188"/>
        <v/>
      </c>
      <c r="C359" s="288" t="str">
        <f t="shared" si="183"/>
        <v/>
      </c>
      <c r="D359" s="691"/>
      <c r="E359" s="692"/>
      <c r="F359" s="693"/>
      <c r="G359" s="694"/>
      <c r="H359" s="695"/>
      <c r="I359" s="289">
        <f>I358-SUM($D359:F359)</f>
        <v>0</v>
      </c>
      <c r="J359" s="1234" t="str">
        <f>$J$9</f>
        <v>% Sel Acm :</v>
      </c>
      <c r="K359" s="1231">
        <f>IF(PROD!$K$2&gt;0,SUM(E$5:E361)/PROD!$K$2,0)</f>
        <v>0</v>
      </c>
      <c r="L359" s="1246"/>
      <c r="M359" s="291">
        <f t="shared" si="205"/>
        <v>0</v>
      </c>
      <c r="N359" s="292" t="str">
        <f>$N$9</f>
        <v xml:space="preserve">Uniformidad (10% -) : </v>
      </c>
      <c r="O359" s="320">
        <f>LOOKUP($A355,'Pr-Sem'!$A$6:$A$108,'Pr-Sem'!$AH$6:$AH$108)</f>
        <v>0</v>
      </c>
      <c r="P359" s="320">
        <v>5</v>
      </c>
      <c r="Q359" s="321">
        <f>IF(AND(P359&gt;0,O359&gt;0),(1-O359/P359)*100,0)</f>
        <v>0</v>
      </c>
      <c r="R359" s="699"/>
      <c r="S359" s="762"/>
      <c r="T359" s="765">
        <f t="shared" si="194"/>
        <v>0</v>
      </c>
      <c r="U359" s="700"/>
      <c r="V359" s="701"/>
      <c r="W359" s="701"/>
      <c r="X359" s="295">
        <f t="shared" si="189"/>
        <v>0</v>
      </c>
      <c r="Y359" s="296">
        <f>IF(AA359&gt;0,V359,AE355/IF(Iniciar!$C$25="B X 40 K",40,IF(Iniciar!$C$25="B X 50 K",50,1))*I359/1000)</f>
        <v>0</v>
      </c>
      <c r="Z359" s="296">
        <f t="shared" si="190"/>
        <v>0</v>
      </c>
      <c r="AA359" s="297">
        <f t="shared" si="206"/>
        <v>0</v>
      </c>
      <c r="AB359" s="297">
        <f t="shared" si="184"/>
        <v>0</v>
      </c>
      <c r="AC359" s="2035" t="str">
        <f>$AC$9</f>
        <v xml:space="preserve">Total Litros Sem: </v>
      </c>
      <c r="AD359" s="2036"/>
      <c r="AE359" s="2050">
        <f>SUM(R355:R361)</f>
        <v>0</v>
      </c>
      <c r="AF359" s="2051"/>
      <c r="AG359" s="554" t="str">
        <f>$AG$9</f>
        <v xml:space="preserve">Indicador Eficiencia : </v>
      </c>
      <c r="AH359" s="555">
        <f>IF(AND(AE359&gt;0,O356&gt;0,O357&gt;0,SUM(L355:L361)&gt;0),(PROD!AH358/O356)*K361*100/(AE359/(SUM(L355:L361)*O357/1000)),0)</f>
        <v>0</v>
      </c>
      <c r="AI359" s="555">
        <f>IF(AND(P356&gt;0,PROD!AI357&gt;0),(PROD!AI358/P356)*(1-K360)*100/(AE356/PROD!AI357),0)</f>
        <v>0</v>
      </c>
      <c r="AJ359" s="331">
        <f t="shared" si="204"/>
        <v>0</v>
      </c>
      <c r="AK359" s="2027"/>
      <c r="AL359" s="1284">
        <f t="shared" si="185"/>
        <v>0</v>
      </c>
      <c r="AM359" s="1285"/>
      <c r="AN359" s="1285"/>
      <c r="AO359" s="1285"/>
      <c r="AP359" s="1285"/>
      <c r="AQ359" s="1285"/>
      <c r="AR359" s="1285"/>
      <c r="AS359" s="1286"/>
      <c r="AT359" s="1287"/>
      <c r="AU359" s="1288"/>
      <c r="AV359" s="1289"/>
      <c r="AW359" s="1290"/>
      <c r="AX359" s="1291"/>
      <c r="AY359" s="1291"/>
      <c r="AZ359" s="1292"/>
      <c r="BA359" s="1293"/>
      <c r="BB359" s="1294"/>
      <c r="BC359" s="1295"/>
      <c r="BD359" s="1296">
        <f>BD358+PROD!L359-BA359</f>
        <v>0</v>
      </c>
      <c r="BE359" s="2133"/>
      <c r="BF359" s="507" t="e">
        <f t="shared" si="186"/>
        <v>#VALUE!</v>
      </c>
      <c r="BG359" s="329"/>
      <c r="BH359" s="1018">
        <f t="shared" si="187"/>
        <v>0</v>
      </c>
    </row>
    <row r="360" spans="1:60" ht="15" customHeight="1" x14ac:dyDescent="0.3">
      <c r="A360" s="2033"/>
      <c r="B360" s="287" t="str">
        <f t="shared" si="188"/>
        <v/>
      </c>
      <c r="C360" s="288" t="str">
        <f t="shared" si="183"/>
        <v/>
      </c>
      <c r="D360" s="691"/>
      <c r="E360" s="692"/>
      <c r="F360" s="693"/>
      <c r="G360" s="694"/>
      <c r="H360" s="695"/>
      <c r="I360" s="289">
        <f>I359-SUM($D360:F360)</f>
        <v>0</v>
      </c>
      <c r="J360" s="1237" t="str">
        <f>$J$10</f>
        <v>% Mort/Sel Acm Tab :</v>
      </c>
      <c r="K360" s="1238">
        <f>IFERROR(LOOKUP($A355,TP!$A$6:$A$108,GSh!$AR$6:$AR$108)/100,0)</f>
        <v>0</v>
      </c>
      <c r="L360" s="1246"/>
      <c r="M360" s="291">
        <f t="shared" si="205"/>
        <v>0</v>
      </c>
      <c r="N360" s="292" t="str">
        <f>$N$10</f>
        <v xml:space="preserve">Uniformidad (C. Lote) : </v>
      </c>
      <c r="O360" s="320">
        <f>LOOKUP($A355,'Pr-Sem'!$A$6:$A$108,'Pr-Sem'!$AG$6:$AG$108)</f>
        <v>0</v>
      </c>
      <c r="P360" s="320">
        <v>90</v>
      </c>
      <c r="Q360" s="321">
        <f>IF(AND(P360&gt;0,O360&gt;0),(O360/P360-1)*100,0)</f>
        <v>0</v>
      </c>
      <c r="R360" s="699"/>
      <c r="S360" s="762"/>
      <c r="T360" s="765">
        <f t="shared" si="194"/>
        <v>0</v>
      </c>
      <c r="U360" s="700"/>
      <c r="V360" s="701"/>
      <c r="W360" s="701"/>
      <c r="X360" s="295">
        <f t="shared" si="189"/>
        <v>0</v>
      </c>
      <c r="Y360" s="296">
        <f>IF(AA360&gt;0,V360,AE355/IF(Iniciar!$C$25="B X 40 K",40,IF(Iniciar!$C$25="B X 50 K",50,1))*I360/1000)</f>
        <v>0</v>
      </c>
      <c r="Z360" s="296">
        <f t="shared" si="190"/>
        <v>0</v>
      </c>
      <c r="AA360" s="297">
        <f t="shared" si="206"/>
        <v>0</v>
      </c>
      <c r="AB360" s="297">
        <f t="shared" si="184"/>
        <v>0</v>
      </c>
      <c r="AC360" s="2037" t="str">
        <f>$AC$10</f>
        <v xml:space="preserve">Cons ml /ave día: </v>
      </c>
      <c r="AD360" s="2038"/>
      <c r="AE360" s="2056">
        <f>IFERROR(SUMPRODUCT(AB355:AB361,I355:I361)/SUM(I355:I361),0)</f>
        <v>0</v>
      </c>
      <c r="AF360" s="2057"/>
      <c r="AG360" s="311" t="str">
        <f>CONCATENATE("Costo ",Iniciar!$C$25," : ")</f>
        <v xml:space="preserve">Costo Kilos : </v>
      </c>
      <c r="AH360" s="2043">
        <f>IFERROR(SUMPRODUCT(T355:T361,V355:V361)/SUMIF(T355:T361,"&gt;0",V355:V361),0)</f>
        <v>0</v>
      </c>
      <c r="AI360" s="2043"/>
      <c r="AJ360" s="313"/>
      <c r="AK360" s="2027"/>
      <c r="AL360" s="1284">
        <f t="shared" si="185"/>
        <v>0</v>
      </c>
      <c r="AM360" s="1285"/>
      <c r="AN360" s="1285"/>
      <c r="AO360" s="1285"/>
      <c r="AP360" s="1285"/>
      <c r="AQ360" s="1285"/>
      <c r="AR360" s="1285"/>
      <c r="AS360" s="1286"/>
      <c r="AT360" s="1287"/>
      <c r="AU360" s="1288"/>
      <c r="AV360" s="1289"/>
      <c r="AW360" s="1290"/>
      <c r="AX360" s="1291"/>
      <c r="AY360" s="1291"/>
      <c r="AZ360" s="1292"/>
      <c r="BA360" s="1293"/>
      <c r="BB360" s="1294"/>
      <c r="BC360" s="1295"/>
      <c r="BD360" s="1296">
        <f>BD359+PROD!L360-BA360</f>
        <v>0</v>
      </c>
      <c r="BE360" s="2133"/>
      <c r="BF360" s="507" t="e">
        <f t="shared" si="186"/>
        <v>#VALUE!</v>
      </c>
      <c r="BG360" s="329"/>
      <c r="BH360" s="1018">
        <f t="shared" si="187"/>
        <v>0</v>
      </c>
    </row>
    <row r="361" spans="1:60" ht="15" customHeight="1" x14ac:dyDescent="0.3">
      <c r="A361" s="2034"/>
      <c r="B361" s="287" t="str">
        <f t="shared" si="188"/>
        <v/>
      </c>
      <c r="C361" s="288" t="str">
        <f t="shared" si="183"/>
        <v/>
      </c>
      <c r="D361" s="691"/>
      <c r="E361" s="692"/>
      <c r="F361" s="693"/>
      <c r="G361" s="694"/>
      <c r="H361" s="695"/>
      <c r="I361" s="289">
        <f>I360-SUM($D361:F361)</f>
        <v>0</v>
      </c>
      <c r="J361" s="1239" t="str">
        <f>$J$11</f>
        <v>% Viabilidad :</v>
      </c>
      <c r="K361" s="1240">
        <f>IF(OR(SUM(L355:L361)&gt;0,SUM(V355:V361)&gt;0),1-(K358+K359),0)</f>
        <v>0</v>
      </c>
      <c r="L361" s="1247"/>
      <c r="M361" s="1248">
        <f>IF(I361&gt;0,(L361/IF(SUM(L355:L360)&gt;0,1,7))/I361,0)</f>
        <v>0</v>
      </c>
      <c r="N361" s="1249" t="str">
        <f>$N$11</f>
        <v xml:space="preserve">Uniformidad (10% +) : </v>
      </c>
      <c r="O361" s="1250">
        <f>IF(O359&gt;0,IF(O360&gt;0,100-SUM(O359:O360),0),0)</f>
        <v>0</v>
      </c>
      <c r="P361" s="1251">
        <f>100-SUM(P359:P360)</f>
        <v>5</v>
      </c>
      <c r="Q361" s="1252">
        <f>IF(AND(P361&gt;0,O361&gt;0),(O361/P361-1)*100,0)</f>
        <v>0</v>
      </c>
      <c r="R361" s="699"/>
      <c r="S361" s="762"/>
      <c r="T361" s="765">
        <f t="shared" si="194"/>
        <v>0</v>
      </c>
      <c r="U361" s="700"/>
      <c r="V361" s="701"/>
      <c r="W361" s="701"/>
      <c r="X361" s="295">
        <f t="shared" si="189"/>
        <v>0</v>
      </c>
      <c r="Y361" s="296">
        <f>IF(AA361&gt;0,V361,AE355/IF(Iniciar!$C$25="B X 40 K",40,IF(Iniciar!$C$25="B X 50 K",50,1))*I361/1000)</f>
        <v>0</v>
      </c>
      <c r="Z361" s="296">
        <f t="shared" si="190"/>
        <v>0</v>
      </c>
      <c r="AA361" s="297">
        <f>IF(I361&gt;0,(V361/IF(SUM(V355:V360)&gt;0,1,7))*$A$1/I361,0)</f>
        <v>0</v>
      </c>
      <c r="AB361" s="297">
        <f t="shared" si="184"/>
        <v>0</v>
      </c>
      <c r="AC361" s="2039" t="str">
        <f>$AC$11</f>
        <v xml:space="preserve">Relación Agua /Alimto: </v>
      </c>
      <c r="AD361" s="2040"/>
      <c r="AE361" s="2058">
        <f>IFERROR(AE360/AD355,0)</f>
        <v>0</v>
      </c>
      <c r="AF361" s="2059"/>
      <c r="AG361" s="1269" t="s">
        <v>237</v>
      </c>
      <c r="AH361" s="1270">
        <f>IF(SUM(L355:L361)&gt;0,AH360*SUM(V355:V361)/SUM(L355:L361),0)</f>
        <v>0</v>
      </c>
      <c r="AI361" s="1270">
        <f>IF(AND($A$1&gt;0,P355&gt;0),AH360/$A$1*(AE355/P355)*100,0)</f>
        <v>0</v>
      </c>
      <c r="AJ361" s="1271">
        <f t="shared" ref="AJ361:AJ366" si="207">IF(AND(AI361&gt;0,AH361&gt;0),(AH361/AI361-1)*100,0)</f>
        <v>0</v>
      </c>
      <c r="AK361" s="2028"/>
      <c r="AL361" s="1284">
        <f t="shared" si="185"/>
        <v>0</v>
      </c>
      <c r="AM361" s="1285"/>
      <c r="AN361" s="1285"/>
      <c r="AO361" s="1285"/>
      <c r="AP361" s="1285"/>
      <c r="AQ361" s="1285"/>
      <c r="AR361" s="1285"/>
      <c r="AS361" s="1286"/>
      <c r="AT361" s="1287"/>
      <c r="AU361" s="1288"/>
      <c r="AV361" s="1289"/>
      <c r="AW361" s="1290"/>
      <c r="AX361" s="1291"/>
      <c r="AY361" s="1291"/>
      <c r="AZ361" s="1292"/>
      <c r="BA361" s="1293"/>
      <c r="BB361" s="1294"/>
      <c r="BC361" s="1295"/>
      <c r="BD361" s="1296">
        <f>BD360+PROD!L361-BA361</f>
        <v>0</v>
      </c>
      <c r="BE361" s="2134"/>
      <c r="BF361" s="507" t="e">
        <f t="shared" si="186"/>
        <v>#VALUE!</v>
      </c>
      <c r="BG361" s="329"/>
      <c r="BH361" s="1018">
        <f t="shared" si="187"/>
        <v>0</v>
      </c>
    </row>
    <row r="362" spans="1:60" ht="15" customHeight="1" x14ac:dyDescent="0.3">
      <c r="A362" s="2032">
        <f>A355+1</f>
        <v>69</v>
      </c>
      <c r="B362" s="287" t="str">
        <f t="shared" si="188"/>
        <v/>
      </c>
      <c r="C362" s="288" t="str">
        <f t="shared" si="183"/>
        <v/>
      </c>
      <c r="D362" s="691"/>
      <c r="E362" s="692"/>
      <c r="F362" s="693"/>
      <c r="G362" s="694"/>
      <c r="H362" s="695"/>
      <c r="I362" s="289">
        <f>I361-SUM($D362:F362)</f>
        <v>0</v>
      </c>
      <c r="J362" s="1232" t="str">
        <f>$J$5</f>
        <v>% Mort Sem :</v>
      </c>
      <c r="K362" s="1233">
        <f>IF(PROD!$K$2&gt;0,SUM(D362:D368)/PROD!$K$2,0)</f>
        <v>0</v>
      </c>
      <c r="L362" s="1241"/>
      <c r="M362" s="1242">
        <f t="shared" ref="M362:M367" si="208">IF(I362&gt;0,L362/I362,0)</f>
        <v>0</v>
      </c>
      <c r="N362" s="1243" t="str">
        <f>$N$5</f>
        <v xml:space="preserve">% Pdn prom semana : </v>
      </c>
      <c r="O362" s="1244">
        <f>IF(SUM(L362:L367)&gt;0,100*SUMPRODUCT(M362:M368,I362:I368)/SUMIF(L362:L368,"&gt;0",I362:I368),IF(L368&gt;0,100*L368/7/I368,0))</f>
        <v>0</v>
      </c>
      <c r="P362" s="1244">
        <f>IFERROR(LOOKUP($A362,TP!$A$6:$A$108,GSh!$AE$6:$AE$108),0)</f>
        <v>0</v>
      </c>
      <c r="Q362" s="1245">
        <f>IF(AND(P362&gt;0,O362&gt;0),O362-P362,0)</f>
        <v>0</v>
      </c>
      <c r="R362" s="699"/>
      <c r="S362" s="762"/>
      <c r="T362" s="765">
        <f t="shared" si="194"/>
        <v>0</v>
      </c>
      <c r="U362" s="700"/>
      <c r="V362" s="701"/>
      <c r="W362" s="701"/>
      <c r="X362" s="295">
        <f t="shared" si="189"/>
        <v>0</v>
      </c>
      <c r="Y362" s="296">
        <f>IF(AA362&gt;0,V362,AE362/IF(Iniciar!$C$25="B X 40 K",40,IF(Iniciar!$C$25="B X 50 K",50,1))*I362/1000)</f>
        <v>0</v>
      </c>
      <c r="Z362" s="296">
        <f t="shared" si="190"/>
        <v>0</v>
      </c>
      <c r="AA362" s="297">
        <f t="shared" ref="AA362:AA367" si="209">IF(I362&gt;0,V362*$A$1/I362,0)</f>
        <v>0</v>
      </c>
      <c r="AB362" s="297">
        <f t="shared" si="184"/>
        <v>0</v>
      </c>
      <c r="AC362" s="1261" t="str">
        <f>$AC$5</f>
        <v>Gr. Ave Dia :</v>
      </c>
      <c r="AD362" s="1262">
        <f>IF(SUMIF(V362:V368,"&gt;0")&gt;0,SUMPRODUCT(AA362:AA368,I362:I368)/SUMIF(AA362:AA368,"&gt;0",I362:I368),0)</f>
        <v>0</v>
      </c>
      <c r="AE362" s="1262">
        <f>IFERROR(LOOKUP($A362,TP!$A$6:$A$108,GSh!$AU$6:$AU$108),0)</f>
        <v>0</v>
      </c>
      <c r="AF362" s="1263">
        <f>IF(AND(AE362&gt;0,AD362&gt;0),(AD362/AE362-1)*100,0)</f>
        <v>0</v>
      </c>
      <c r="AG362" s="1264" t="str">
        <f>PROD!$AG$5</f>
        <v>Gr X H</v>
      </c>
      <c r="AH362" s="1265">
        <f>IF(PROD!O362&gt;0,IF($AG362="Gr X H",PROD!AD362/PROD!O362*100,IF($AG362="Conv Kg/Doc",PROD!AD362/PROD!O362*1.2,IF(PROD!$O364&gt;0,PROD!AD362/(PROD!O362*PROD!$O364)*100,0))),0)</f>
        <v>0</v>
      </c>
      <c r="AI362" s="1265">
        <f>IF(PROD!P362&gt;0,IF($AG362="Gr X H",PROD!AE362/PROD!P362*100,IF($AG362="Conv Kg/Doc",PROD!AE362/PROD!P362*1.2,IF(PROD!$P364&gt;0,PROD!AE362/(PROD!P362*PROD!$P364)*100,0))),0)</f>
        <v>0</v>
      </c>
      <c r="AJ362" s="1266">
        <f t="shared" si="207"/>
        <v>0</v>
      </c>
      <c r="AK362" s="2026"/>
      <c r="AL362" s="1284">
        <f t="shared" si="185"/>
        <v>0</v>
      </c>
      <c r="AM362" s="1285"/>
      <c r="AN362" s="1285"/>
      <c r="AO362" s="1285"/>
      <c r="AP362" s="1285"/>
      <c r="AQ362" s="1285"/>
      <c r="AR362" s="1285"/>
      <c r="AS362" s="1286"/>
      <c r="AT362" s="1287"/>
      <c r="AU362" s="1288"/>
      <c r="AV362" s="1289"/>
      <c r="AW362" s="1290"/>
      <c r="AX362" s="1291"/>
      <c r="AY362" s="1291"/>
      <c r="AZ362" s="1292"/>
      <c r="BA362" s="1293"/>
      <c r="BB362" s="1294"/>
      <c r="BC362" s="1295"/>
      <c r="BD362" s="1296">
        <f>BD361+PROD!L362-BA362</f>
        <v>0</v>
      </c>
      <c r="BE362" s="2132">
        <f>IF(SUM(AM362:AZ368)&gt;0,(SUM(AM362:AM368)*$AM$2+SUM(AN362:AN368)*$AN$2+SUM(AO362:AO368)*$AO$2+SUM(AP362:AP368)*$AP$2+SUM(AQ362:AQ368)*$AQ$2+SUM(AR362:AR368)*$AR$2+SUM(AS362:AS368)*$AS$2+SUM(AW362:AW368)*$AW$2+SUM(AX362:AX368)*$AX$2+SUM(AY362:AY368)*$AY$2+SUM(AZ362:AZ368)*$AZ$2+SUM(AT362:AT368)*$AT$2+SUM(AU362:AU368)*$AU$2+SUM(AV362:AV368)*$AV$2)/SUM(AM362:AZ368),0)</f>
        <v>0</v>
      </c>
      <c r="BF362" s="507" t="e">
        <f t="shared" si="186"/>
        <v>#VALUE!</v>
      </c>
      <c r="BG362" s="277">
        <f>IF(SUM(L362:L368)&gt;0,A362,IF(SUM(V362:V368)&gt;0,A362,BG355))</f>
        <v>0</v>
      </c>
      <c r="BH362" s="1018">
        <f t="shared" si="187"/>
        <v>0</v>
      </c>
    </row>
    <row r="363" spans="1:60" ht="15" customHeight="1" x14ac:dyDescent="0.3">
      <c r="A363" s="2033"/>
      <c r="B363" s="287" t="str">
        <f t="shared" si="188"/>
        <v/>
      </c>
      <c r="C363" s="288" t="str">
        <f t="shared" si="183"/>
        <v/>
      </c>
      <c r="D363" s="691"/>
      <c r="E363" s="692"/>
      <c r="F363" s="693"/>
      <c r="G363" s="694"/>
      <c r="H363" s="695"/>
      <c r="I363" s="289">
        <f>I362-SUM($D363:F363)</f>
        <v>0</v>
      </c>
      <c r="J363" s="1234" t="str">
        <f>$J$6</f>
        <v>% Sel Sem :</v>
      </c>
      <c r="K363" s="1231">
        <f>IF(PROD!$K$2&gt;0,SUM(E362:E368)/PROD!$K$2,0)</f>
        <v>0</v>
      </c>
      <c r="L363" s="1246"/>
      <c r="M363" s="291">
        <f t="shared" si="208"/>
        <v>0</v>
      </c>
      <c r="N363" s="292" t="str">
        <f>$N$6</f>
        <v xml:space="preserve">H. Ave Alojada : </v>
      </c>
      <c r="O363" s="293">
        <f>IF(AND(PROD!$K$2&gt;0,O362&gt;0),SUM(L$5:L368)/PROD!$K$2,0)</f>
        <v>0</v>
      </c>
      <c r="P363" s="293">
        <f>IFERROR(LOOKUP($A362,TP!$A$6:$A$108,GSh!$AJ$6:$AJ$108),0)</f>
        <v>0</v>
      </c>
      <c r="Q363" s="294">
        <f>IF(AND(P363&gt;0,O363&gt;0),O363-P363,0)</f>
        <v>0</v>
      </c>
      <c r="R363" s="699"/>
      <c r="S363" s="762"/>
      <c r="T363" s="765">
        <f t="shared" si="194"/>
        <v>0</v>
      </c>
      <c r="U363" s="700"/>
      <c r="V363" s="701"/>
      <c r="W363" s="701"/>
      <c r="X363" s="295">
        <f t="shared" si="189"/>
        <v>0</v>
      </c>
      <c r="Y363" s="296">
        <f>IF(AA363&gt;0,V363,AE362/IF(Iniciar!$C$25="B X 40 K",40,IF(Iniciar!$C$25="B X 50 K",50,1))*I363/1000)</f>
        <v>0</v>
      </c>
      <c r="Z363" s="296">
        <f t="shared" si="190"/>
        <v>0</v>
      </c>
      <c r="AA363" s="297">
        <f t="shared" si="209"/>
        <v>0</v>
      </c>
      <c r="AB363" s="297">
        <f t="shared" si="184"/>
        <v>0</v>
      </c>
      <c r="AC363" s="1267" t="str">
        <f>$AC$6</f>
        <v>Gr. Ave Sem :</v>
      </c>
      <c r="AD363" s="284">
        <f>AD362*7</f>
        <v>0</v>
      </c>
      <c r="AE363" s="284">
        <f>AE362*7</f>
        <v>0</v>
      </c>
      <c r="AF363" s="285">
        <f>IF(AND(AE363&gt;0,AD363&gt;0),(AD363/AE363-1)*100,0)</f>
        <v>0</v>
      </c>
      <c r="AG363" s="1199" t="str">
        <f>PROD!$AG$6</f>
        <v>Gr X H Acm</v>
      </c>
      <c r="AH363" s="298">
        <f>IF(SUM(PROD!L362:L368)&gt;0,IF(PROD!$AG$5="Gr X H",SUM(PROD!V$5:V368)*PROD!$A$1/SUM(PROD!L$5:L368),IF($AG362="Conv Kg/Doc",(SUM(PROD!V$5:V368)*PROD!$A$1/1000)/(SUM(PROD!L$5:L368)/12),IF(PROD!$O364&gt;0,SUM(PROD!V$5:V368)*PROD!$A$1/(SUM(PROD!L$5:L368)*LOOKUP(PROD!A362,TP!$A$6:$A$108,GSh!$BB$6:$BB$108)),0))),0)</f>
        <v>0</v>
      </c>
      <c r="AI363" s="298">
        <f>IF(PROD!P362&gt;0,IF($AG362="Gr X H",PROD!AE362/PROD!P362*100,IF($AG362="Conv Kg/Doc",PROD!AE362/PROD!P362*1.2,IF(PROD!$P363&gt;0,PROD!AE364/(PROD!P363*LOOKUP(PROD!$A362,TP!$A$6:$A$108,GSh!$BC$6:$BC$108)/1000),0))),0)</f>
        <v>0</v>
      </c>
      <c r="AJ363" s="328">
        <f t="shared" si="207"/>
        <v>0</v>
      </c>
      <c r="AK363" s="2027"/>
      <c r="AL363" s="1284">
        <f t="shared" si="185"/>
        <v>0</v>
      </c>
      <c r="AM363" s="1285"/>
      <c r="AN363" s="1285"/>
      <c r="AO363" s="1285"/>
      <c r="AP363" s="1285"/>
      <c r="AQ363" s="1285"/>
      <c r="AR363" s="1285"/>
      <c r="AS363" s="1286"/>
      <c r="AT363" s="1287"/>
      <c r="AU363" s="1288"/>
      <c r="AV363" s="1289"/>
      <c r="AW363" s="1290"/>
      <c r="AX363" s="1291"/>
      <c r="AY363" s="1291"/>
      <c r="AZ363" s="1292"/>
      <c r="BA363" s="1293"/>
      <c r="BB363" s="1294"/>
      <c r="BC363" s="1295"/>
      <c r="BD363" s="1296">
        <f>BD362+PROD!L363-BA363</f>
        <v>0</v>
      </c>
      <c r="BE363" s="2133"/>
      <c r="BF363" s="507" t="e">
        <f t="shared" si="186"/>
        <v>#VALUE!</v>
      </c>
      <c r="BG363" s="329"/>
      <c r="BH363" s="1018">
        <f t="shared" si="187"/>
        <v>0</v>
      </c>
    </row>
    <row r="364" spans="1:60" ht="15" customHeight="1" x14ac:dyDescent="0.3">
      <c r="A364" s="2033"/>
      <c r="B364" s="287" t="str">
        <f t="shared" si="188"/>
        <v/>
      </c>
      <c r="C364" s="288" t="str">
        <f t="shared" si="183"/>
        <v/>
      </c>
      <c r="D364" s="691"/>
      <c r="E364" s="692"/>
      <c r="F364" s="693"/>
      <c r="G364" s="694"/>
      <c r="H364" s="695"/>
      <c r="I364" s="289">
        <f>I363-SUM($D364:F364)</f>
        <v>0</v>
      </c>
      <c r="J364" s="1235" t="str">
        <f>$J$7</f>
        <v>% Mort/Sel Sem Tab :</v>
      </c>
      <c r="K364" s="1236">
        <f>K367-K360</f>
        <v>0</v>
      </c>
      <c r="L364" s="1246"/>
      <c r="M364" s="291">
        <f t="shared" si="208"/>
        <v>0</v>
      </c>
      <c r="N364" s="304" t="str">
        <f>$N$7</f>
        <v xml:space="preserve">Peso Huevo (Gr) : </v>
      </c>
      <c r="O364" s="305">
        <f>LOOKUP($A362,'Pr-Sem'!$A$6:$A$108,'Pr-Sem'!$Z$6:$Z$108)</f>
        <v>0</v>
      </c>
      <c r="P364" s="305">
        <f>IFERROR(LOOKUP($A362,TP!$A$6:$A$108,GSh!$AZ$6:$AZ$108),0)</f>
        <v>0</v>
      </c>
      <c r="Q364" s="306">
        <f>IF(AND(P364&gt;0,O364&gt;0),O364-P364,0)</f>
        <v>0</v>
      </c>
      <c r="R364" s="699"/>
      <c r="S364" s="762"/>
      <c r="T364" s="765">
        <f t="shared" si="194"/>
        <v>0</v>
      </c>
      <c r="U364" s="700"/>
      <c r="V364" s="701"/>
      <c r="W364" s="701"/>
      <c r="X364" s="295">
        <f t="shared" si="189"/>
        <v>0</v>
      </c>
      <c r="Y364" s="296">
        <f>IF(AA364&gt;0,V364,AE362/IF(Iniciar!$C$25="B X 40 K",40,IF(Iniciar!$C$25="B X 50 K",50,1))*I364/1000)</f>
        <v>0</v>
      </c>
      <c r="Z364" s="296">
        <f t="shared" si="190"/>
        <v>0</v>
      </c>
      <c r="AA364" s="297">
        <f t="shared" si="209"/>
        <v>0</v>
      </c>
      <c r="AB364" s="297">
        <f t="shared" si="184"/>
        <v>0</v>
      </c>
      <c r="AC364" s="1268" t="str">
        <f>$AC$7</f>
        <v>Kg Ave Acu :</v>
      </c>
      <c r="AD364" s="308">
        <f>IF(OR(SUM(L362:L368)&gt;0,SUM(V362:V368)&gt;0),AD363/1000+AD357,0)</f>
        <v>0</v>
      </c>
      <c r="AE364" s="309">
        <f>AE363/1000+AE357</f>
        <v>0</v>
      </c>
      <c r="AF364" s="310">
        <f>IF(AND(AE364&gt;0,AD364&gt;0),(AD364/AE364-1)*100,0)</f>
        <v>0</v>
      </c>
      <c r="AG364" s="311" t="str">
        <f>PROD!$AG$7</f>
        <v xml:space="preserve">Masa Sem H (Gr) : </v>
      </c>
      <c r="AH364" s="312">
        <f>PROD!O362/100*7*PROD!O364</f>
        <v>0</v>
      </c>
      <c r="AI364" s="312">
        <f>PROD!P362/100*7*PROD!P364</f>
        <v>0</v>
      </c>
      <c r="AJ364" s="313">
        <f t="shared" si="207"/>
        <v>0</v>
      </c>
      <c r="AK364" s="2027"/>
      <c r="AL364" s="1284">
        <f t="shared" si="185"/>
        <v>0</v>
      </c>
      <c r="AM364" s="1285"/>
      <c r="AN364" s="1285"/>
      <c r="AO364" s="1285"/>
      <c r="AP364" s="1285"/>
      <c r="AQ364" s="1285"/>
      <c r="AR364" s="1285"/>
      <c r="AS364" s="1286"/>
      <c r="AT364" s="1287"/>
      <c r="AU364" s="1288"/>
      <c r="AV364" s="1289"/>
      <c r="AW364" s="1290"/>
      <c r="AX364" s="1291"/>
      <c r="AY364" s="1291"/>
      <c r="AZ364" s="1292"/>
      <c r="BA364" s="1293"/>
      <c r="BB364" s="1294"/>
      <c r="BC364" s="1295"/>
      <c r="BD364" s="1296">
        <f>BD363+PROD!L364-BA364</f>
        <v>0</v>
      </c>
      <c r="BE364" s="2133"/>
      <c r="BF364" s="507" t="e">
        <f t="shared" si="186"/>
        <v>#VALUE!</v>
      </c>
      <c r="BG364" s="329"/>
      <c r="BH364" s="1018">
        <f t="shared" si="187"/>
        <v>0</v>
      </c>
    </row>
    <row r="365" spans="1:60" ht="15" customHeight="1" x14ac:dyDescent="0.3">
      <c r="A365" s="2033"/>
      <c r="B365" s="287" t="str">
        <f t="shared" si="188"/>
        <v/>
      </c>
      <c r="C365" s="288" t="str">
        <f t="shared" si="183"/>
        <v/>
      </c>
      <c r="D365" s="691"/>
      <c r="E365" s="692"/>
      <c r="F365" s="693"/>
      <c r="G365" s="694"/>
      <c r="H365" s="695"/>
      <c r="I365" s="289">
        <f>I364-SUM($D365:F365)</f>
        <v>0</v>
      </c>
      <c r="J365" s="1234" t="str">
        <f>$J$8</f>
        <v>% Mort Acm :</v>
      </c>
      <c r="K365" s="1231">
        <f>IF(PROD!$K$2&gt;0,SUM(D$5:D368)/PROD!$K$2,0)</f>
        <v>0</v>
      </c>
      <c r="L365" s="1246"/>
      <c r="M365" s="291">
        <f t="shared" si="208"/>
        <v>0</v>
      </c>
      <c r="N365" s="314" t="str">
        <f>N$8</f>
        <v xml:space="preserve">Peso Ave (Gr) : </v>
      </c>
      <c r="O365" s="315">
        <f>LOOKUP($A362,GSh!$BV$6:$BV$108,GSh!$BJ$6:$BJ$108)</f>
        <v>0</v>
      </c>
      <c r="P365" s="315">
        <f>IFERROR(LOOKUP($A362,TP!$A$6:$A$108,GSh!$BK$6:$BK$108),0)</f>
        <v>0</v>
      </c>
      <c r="Q365" s="316">
        <f>IF(AND(P365&gt;0,O365&gt;0),(O365/P365-1)*100,0)</f>
        <v>0</v>
      </c>
      <c r="R365" s="699"/>
      <c r="S365" s="762"/>
      <c r="T365" s="765">
        <f t="shared" si="194"/>
        <v>0</v>
      </c>
      <c r="U365" s="700"/>
      <c r="V365" s="701"/>
      <c r="W365" s="701"/>
      <c r="X365" s="295">
        <f t="shared" si="189"/>
        <v>0</v>
      </c>
      <c r="Y365" s="296">
        <f>IF(AA365&gt;0,V365,AE362/IF(Iniciar!$C$25="B X 40 K",40,IF(Iniciar!$C$25="B X 50 K",50,1))*I365/1000)</f>
        <v>0</v>
      </c>
      <c r="Z365" s="296">
        <f t="shared" si="190"/>
        <v>0</v>
      </c>
      <c r="AA365" s="297">
        <f t="shared" si="209"/>
        <v>0</v>
      </c>
      <c r="AB365" s="297">
        <f t="shared" si="184"/>
        <v>0</v>
      </c>
      <c r="AC365" s="541" t="str">
        <f>$AC$8</f>
        <v xml:space="preserve">Ton. Lote Acu : </v>
      </c>
      <c r="AD365" s="544">
        <f>SUM($V$5:$V368)*$A$1/1000000</f>
        <v>0</v>
      </c>
      <c r="AE365" s="543">
        <f>AE358+(AE362/1000000*7*(I362+I368)/2)</f>
        <v>0</v>
      </c>
      <c r="AF365" s="542">
        <f>IF(AND(AE365&gt;0,AD365&gt;0),(AD365/AE365-1)*100,0)</f>
        <v>0</v>
      </c>
      <c r="AG365" s="317" t="str">
        <f>PROD!$AG$8</f>
        <v xml:space="preserve">Masa Ac A. A (Kg) : </v>
      </c>
      <c r="AH365" s="318">
        <f>IF(PROD!$K$2&gt;0,SUM(PROD!L$5:L368)*LOOKUP(PROD!$A362,TP!$A$6:$A$108,GSh!$BB$6:$BB$108)/1000/PROD!$K$2,0)</f>
        <v>0</v>
      </c>
      <c r="AI365" s="318">
        <f>IFERROR(PROD!P363*LOOKUP(PROD!$A362,TP!$A$6:$A$108,GSh!$BC$6:$BC$108)/1000,0)</f>
        <v>0</v>
      </c>
      <c r="AJ365" s="330">
        <f t="shared" si="207"/>
        <v>0</v>
      </c>
      <c r="AK365" s="2027"/>
      <c r="AL365" s="1284">
        <f t="shared" si="185"/>
        <v>0</v>
      </c>
      <c r="AM365" s="1285"/>
      <c r="AN365" s="1285"/>
      <c r="AO365" s="1285"/>
      <c r="AP365" s="1285"/>
      <c r="AQ365" s="1285"/>
      <c r="AR365" s="1285"/>
      <c r="AS365" s="1286"/>
      <c r="AT365" s="1287"/>
      <c r="AU365" s="1288"/>
      <c r="AV365" s="1289"/>
      <c r="AW365" s="1290"/>
      <c r="AX365" s="1291"/>
      <c r="AY365" s="1291"/>
      <c r="AZ365" s="1292"/>
      <c r="BA365" s="1293"/>
      <c r="BB365" s="1294"/>
      <c r="BC365" s="1295"/>
      <c r="BD365" s="1296">
        <f>BD364+PROD!L365-BA365</f>
        <v>0</v>
      </c>
      <c r="BE365" s="2133"/>
      <c r="BF365" s="507" t="e">
        <f t="shared" si="186"/>
        <v>#VALUE!</v>
      </c>
      <c r="BG365" s="329"/>
      <c r="BH365" s="1018">
        <f t="shared" si="187"/>
        <v>0</v>
      </c>
    </row>
    <row r="366" spans="1:60" ht="15" customHeight="1" x14ac:dyDescent="0.3">
      <c r="A366" s="2033"/>
      <c r="B366" s="287" t="str">
        <f t="shared" si="188"/>
        <v/>
      </c>
      <c r="C366" s="288" t="str">
        <f t="shared" si="183"/>
        <v/>
      </c>
      <c r="D366" s="691"/>
      <c r="E366" s="692"/>
      <c r="F366" s="693"/>
      <c r="G366" s="694"/>
      <c r="H366" s="695"/>
      <c r="I366" s="289">
        <f>I365-SUM($D366:F366)</f>
        <v>0</v>
      </c>
      <c r="J366" s="1234" t="str">
        <f>$J$9</f>
        <v>% Sel Acm :</v>
      </c>
      <c r="K366" s="1231">
        <f>IF(PROD!$K$2&gt;0,SUM(E$5:E368)/PROD!$K$2,0)</f>
        <v>0</v>
      </c>
      <c r="L366" s="1246"/>
      <c r="M366" s="291">
        <f t="shared" si="208"/>
        <v>0</v>
      </c>
      <c r="N366" s="292" t="str">
        <f>$N$9</f>
        <v xml:space="preserve">Uniformidad (10% -) : </v>
      </c>
      <c r="O366" s="320">
        <f>LOOKUP($A362,'Pr-Sem'!$A$6:$A$108,'Pr-Sem'!$AH$6:$AH$108)</f>
        <v>0</v>
      </c>
      <c r="P366" s="320">
        <v>5</v>
      </c>
      <c r="Q366" s="321">
        <f>IF(AND(P366&gt;0,O366&gt;0),(1-O366/P366)*100,0)</f>
        <v>0</v>
      </c>
      <c r="R366" s="699"/>
      <c r="S366" s="762"/>
      <c r="T366" s="765">
        <f t="shared" si="194"/>
        <v>0</v>
      </c>
      <c r="U366" s="700"/>
      <c r="V366" s="701"/>
      <c r="W366" s="701"/>
      <c r="X366" s="295">
        <f t="shared" si="189"/>
        <v>0</v>
      </c>
      <c r="Y366" s="296">
        <f>IF(AA366&gt;0,V366,AE362/IF(Iniciar!$C$25="B X 40 K",40,IF(Iniciar!$C$25="B X 50 K",50,1))*I366/1000)</f>
        <v>0</v>
      </c>
      <c r="Z366" s="296">
        <f t="shared" si="190"/>
        <v>0</v>
      </c>
      <c r="AA366" s="297">
        <f t="shared" si="209"/>
        <v>0</v>
      </c>
      <c r="AB366" s="297">
        <f t="shared" si="184"/>
        <v>0</v>
      </c>
      <c r="AC366" s="2035" t="str">
        <f>$AC$9</f>
        <v xml:space="preserve">Total Litros Sem: </v>
      </c>
      <c r="AD366" s="2036"/>
      <c r="AE366" s="2050">
        <f>SUM(R362:R368)</f>
        <v>0</v>
      </c>
      <c r="AF366" s="2051"/>
      <c r="AG366" s="554" t="str">
        <f>$AG$9</f>
        <v xml:space="preserve">Indicador Eficiencia : </v>
      </c>
      <c r="AH366" s="555">
        <f>IF(AND(AE366&gt;0,O363&gt;0,O364&gt;0,SUM(L362:L368)&gt;0),(PROD!AH365/O363)*K368*100/(AE366/(SUM(L362:L368)*O364/1000)),0)</f>
        <v>0</v>
      </c>
      <c r="AI366" s="555">
        <f>IF(AND(P363&gt;0,PROD!AI364&gt;0),(PROD!AI365/P363)*(1-K367)*100/(AE363/PROD!AI364),0)</f>
        <v>0</v>
      </c>
      <c r="AJ366" s="331">
        <f t="shared" si="207"/>
        <v>0</v>
      </c>
      <c r="AK366" s="2027"/>
      <c r="AL366" s="1284">
        <f t="shared" si="185"/>
        <v>0</v>
      </c>
      <c r="AM366" s="1285"/>
      <c r="AN366" s="1285"/>
      <c r="AO366" s="1285"/>
      <c r="AP366" s="1285"/>
      <c r="AQ366" s="1285"/>
      <c r="AR366" s="1285"/>
      <c r="AS366" s="1286"/>
      <c r="AT366" s="1287"/>
      <c r="AU366" s="1288"/>
      <c r="AV366" s="1289"/>
      <c r="AW366" s="1290"/>
      <c r="AX366" s="1291"/>
      <c r="AY366" s="1291"/>
      <c r="AZ366" s="1292"/>
      <c r="BA366" s="1293"/>
      <c r="BB366" s="1294"/>
      <c r="BC366" s="1295"/>
      <c r="BD366" s="1296">
        <f>BD365+PROD!L366-BA366</f>
        <v>0</v>
      </c>
      <c r="BE366" s="2133"/>
      <c r="BF366" s="507" t="e">
        <f t="shared" si="186"/>
        <v>#VALUE!</v>
      </c>
      <c r="BG366" s="329"/>
      <c r="BH366" s="1018">
        <f t="shared" si="187"/>
        <v>0</v>
      </c>
    </row>
    <row r="367" spans="1:60" ht="15" customHeight="1" x14ac:dyDescent="0.3">
      <c r="A367" s="2033"/>
      <c r="B367" s="287" t="str">
        <f t="shared" si="188"/>
        <v/>
      </c>
      <c r="C367" s="288" t="str">
        <f t="shared" si="183"/>
        <v/>
      </c>
      <c r="D367" s="691"/>
      <c r="E367" s="692"/>
      <c r="F367" s="693"/>
      <c r="G367" s="694"/>
      <c r="H367" s="695"/>
      <c r="I367" s="289">
        <f>I366-SUM($D367:F367)</f>
        <v>0</v>
      </c>
      <c r="J367" s="1237" t="str">
        <f>$J$10</f>
        <v>% Mort/Sel Acm Tab :</v>
      </c>
      <c r="K367" s="1238">
        <f>IFERROR(LOOKUP($A362,TP!$A$6:$A$108,GSh!$AR$6:$AR$108)/100,0)</f>
        <v>0</v>
      </c>
      <c r="L367" s="1246"/>
      <c r="M367" s="291">
        <f t="shared" si="208"/>
        <v>0</v>
      </c>
      <c r="N367" s="292" t="str">
        <f>$N$10</f>
        <v xml:space="preserve">Uniformidad (C. Lote) : </v>
      </c>
      <c r="O367" s="320">
        <f>LOOKUP($A362,'Pr-Sem'!$A$6:$A$108,'Pr-Sem'!$AG$6:$AG$108)</f>
        <v>0</v>
      </c>
      <c r="P367" s="320">
        <v>90</v>
      </c>
      <c r="Q367" s="321">
        <f>IF(AND(P367&gt;0,O367&gt;0),(O367/P367-1)*100,0)</f>
        <v>0</v>
      </c>
      <c r="R367" s="699"/>
      <c r="S367" s="762"/>
      <c r="T367" s="765">
        <f t="shared" si="194"/>
        <v>0</v>
      </c>
      <c r="U367" s="700"/>
      <c r="V367" s="701"/>
      <c r="W367" s="701"/>
      <c r="X367" s="295">
        <f t="shared" si="189"/>
        <v>0</v>
      </c>
      <c r="Y367" s="296">
        <f>IF(AA367&gt;0,V367,AE362/IF(Iniciar!$C$25="B X 40 K",40,IF(Iniciar!$C$25="B X 50 K",50,1))*I367/1000)</f>
        <v>0</v>
      </c>
      <c r="Z367" s="296">
        <f t="shared" si="190"/>
        <v>0</v>
      </c>
      <c r="AA367" s="297">
        <f t="shared" si="209"/>
        <v>0</v>
      </c>
      <c r="AB367" s="297">
        <f t="shared" si="184"/>
        <v>0</v>
      </c>
      <c r="AC367" s="2037" t="str">
        <f>$AC$10</f>
        <v xml:space="preserve">Cons ml /ave día: </v>
      </c>
      <c r="AD367" s="2038"/>
      <c r="AE367" s="2056">
        <f>IFERROR(SUMPRODUCT(AB362:AB368,I362:I368)/SUM(I362:I368),0)</f>
        <v>0</v>
      </c>
      <c r="AF367" s="2057"/>
      <c r="AG367" s="311" t="str">
        <f>CONCATENATE("Costo ",Iniciar!$C$25," : ")</f>
        <v xml:space="preserve">Costo Kilos : </v>
      </c>
      <c r="AH367" s="2043">
        <f>IFERROR(SUMPRODUCT(T362:T368,V362:V368)/SUMIF(T362:T368,"&gt;0",V362:V368),0)</f>
        <v>0</v>
      </c>
      <c r="AI367" s="2043"/>
      <c r="AJ367" s="313"/>
      <c r="AK367" s="2027"/>
      <c r="AL367" s="1284">
        <f t="shared" si="185"/>
        <v>0</v>
      </c>
      <c r="AM367" s="1285"/>
      <c r="AN367" s="1285"/>
      <c r="AO367" s="1285"/>
      <c r="AP367" s="1285"/>
      <c r="AQ367" s="1285"/>
      <c r="AR367" s="1285"/>
      <c r="AS367" s="1286"/>
      <c r="AT367" s="1287"/>
      <c r="AU367" s="1288"/>
      <c r="AV367" s="1289"/>
      <c r="AW367" s="1290"/>
      <c r="AX367" s="1291"/>
      <c r="AY367" s="1291"/>
      <c r="AZ367" s="1292"/>
      <c r="BA367" s="1293"/>
      <c r="BB367" s="1294"/>
      <c r="BC367" s="1295"/>
      <c r="BD367" s="1296">
        <f>BD366+PROD!L367-BA367</f>
        <v>0</v>
      </c>
      <c r="BE367" s="2133"/>
      <c r="BF367" s="507" t="e">
        <f t="shared" si="186"/>
        <v>#VALUE!</v>
      </c>
      <c r="BG367" s="329"/>
      <c r="BH367" s="1018">
        <f t="shared" si="187"/>
        <v>0</v>
      </c>
    </row>
    <row r="368" spans="1:60" ht="15" customHeight="1" x14ac:dyDescent="0.3">
      <c r="A368" s="2034"/>
      <c r="B368" s="287" t="str">
        <f t="shared" si="188"/>
        <v/>
      </c>
      <c r="C368" s="288" t="str">
        <f t="shared" si="183"/>
        <v/>
      </c>
      <c r="D368" s="691"/>
      <c r="E368" s="692"/>
      <c r="F368" s="693"/>
      <c r="G368" s="694"/>
      <c r="H368" s="695"/>
      <c r="I368" s="289">
        <f>I367-SUM($D368:F368)</f>
        <v>0</v>
      </c>
      <c r="J368" s="1239" t="str">
        <f>$J$11</f>
        <v>% Viabilidad :</v>
      </c>
      <c r="K368" s="1240">
        <f>IF(OR(SUM(L362:L368)&gt;0,SUM(V362:V368)&gt;0),1-(K365+K366),0)</f>
        <v>0</v>
      </c>
      <c r="L368" s="1247"/>
      <c r="M368" s="1248">
        <f>IF(I368&gt;0,(L368/IF(SUM(L362:L367)&gt;0,1,7))/I368,0)</f>
        <v>0</v>
      </c>
      <c r="N368" s="1249" t="str">
        <f>$N$11</f>
        <v xml:space="preserve">Uniformidad (10% +) : </v>
      </c>
      <c r="O368" s="1250">
        <f>IF(O366&gt;0,IF(O367&gt;0,100-SUM(O366:O367),0),0)</f>
        <v>0</v>
      </c>
      <c r="P368" s="1251">
        <f>100-SUM(P366:P367)</f>
        <v>5</v>
      </c>
      <c r="Q368" s="1252">
        <f>IF(AND(P368&gt;0,O368&gt;0),(O368/P368-1)*100,0)</f>
        <v>0</v>
      </c>
      <c r="R368" s="699"/>
      <c r="S368" s="762"/>
      <c r="T368" s="765">
        <f t="shared" si="194"/>
        <v>0</v>
      </c>
      <c r="U368" s="700"/>
      <c r="V368" s="701"/>
      <c r="W368" s="701"/>
      <c r="X368" s="295">
        <f t="shared" si="189"/>
        <v>0</v>
      </c>
      <c r="Y368" s="296">
        <f>IF(AA368&gt;0,V368,AE362/IF(Iniciar!$C$25="B X 40 K",40,IF(Iniciar!$C$25="B X 50 K",50,1))*I368/1000)</f>
        <v>0</v>
      </c>
      <c r="Z368" s="296">
        <f t="shared" si="190"/>
        <v>0</v>
      </c>
      <c r="AA368" s="297">
        <f>IF(I368&gt;0,(V368/IF(SUM(V362:V367)&gt;0,1,7))*$A$1/I368,0)</f>
        <v>0</v>
      </c>
      <c r="AB368" s="297">
        <f t="shared" si="184"/>
        <v>0</v>
      </c>
      <c r="AC368" s="2039" t="str">
        <f>$AC$11</f>
        <v xml:space="preserve">Relación Agua /Alimto: </v>
      </c>
      <c r="AD368" s="2040"/>
      <c r="AE368" s="2058">
        <f>IFERROR(AE367/AD362,0)</f>
        <v>0</v>
      </c>
      <c r="AF368" s="2059"/>
      <c r="AG368" s="1269" t="s">
        <v>237</v>
      </c>
      <c r="AH368" s="1270">
        <f>IF(SUM(L362:L368)&gt;0,AH367*SUM(V362:V368)/SUM(L362:L368),0)</f>
        <v>0</v>
      </c>
      <c r="AI368" s="1270">
        <f>IF(AND($A$1&gt;0,P362&gt;0),AH367/$A$1*(AE362/P362)*100,0)</f>
        <v>0</v>
      </c>
      <c r="AJ368" s="1271">
        <f t="shared" ref="AJ368:AJ373" si="210">IF(AND(AI368&gt;0,AH368&gt;0),(AH368/AI368-1)*100,0)</f>
        <v>0</v>
      </c>
      <c r="AK368" s="2028"/>
      <c r="AL368" s="1284">
        <f t="shared" si="185"/>
        <v>0</v>
      </c>
      <c r="AM368" s="1285"/>
      <c r="AN368" s="1285"/>
      <c r="AO368" s="1285"/>
      <c r="AP368" s="1285"/>
      <c r="AQ368" s="1285"/>
      <c r="AR368" s="1285"/>
      <c r="AS368" s="1286"/>
      <c r="AT368" s="1287"/>
      <c r="AU368" s="1288"/>
      <c r="AV368" s="1289"/>
      <c r="AW368" s="1290"/>
      <c r="AX368" s="1291"/>
      <c r="AY368" s="1291"/>
      <c r="AZ368" s="1292"/>
      <c r="BA368" s="1293"/>
      <c r="BB368" s="1294"/>
      <c r="BC368" s="1295"/>
      <c r="BD368" s="1296">
        <f>BD367+PROD!L368-BA368</f>
        <v>0</v>
      </c>
      <c r="BE368" s="2134"/>
      <c r="BF368" s="507" t="e">
        <f t="shared" si="186"/>
        <v>#VALUE!</v>
      </c>
      <c r="BG368" s="329"/>
      <c r="BH368" s="1018">
        <f t="shared" si="187"/>
        <v>0</v>
      </c>
    </row>
    <row r="369" spans="1:60" ht="15" customHeight="1" x14ac:dyDescent="0.3">
      <c r="A369" s="2032">
        <f>A362+1</f>
        <v>70</v>
      </c>
      <c r="B369" s="287" t="str">
        <f t="shared" si="188"/>
        <v/>
      </c>
      <c r="C369" s="288" t="str">
        <f t="shared" si="183"/>
        <v/>
      </c>
      <c r="D369" s="691"/>
      <c r="E369" s="692"/>
      <c r="F369" s="693"/>
      <c r="G369" s="694"/>
      <c r="H369" s="695"/>
      <c r="I369" s="289">
        <f>I368-SUM($D369:F369)</f>
        <v>0</v>
      </c>
      <c r="J369" s="1232" t="str">
        <f>$J$5</f>
        <v>% Mort Sem :</v>
      </c>
      <c r="K369" s="1233">
        <f>IF(PROD!$K$2&gt;0,SUM(D369:D375)/PROD!$K$2,0)</f>
        <v>0</v>
      </c>
      <c r="L369" s="1241"/>
      <c r="M369" s="1242">
        <f t="shared" ref="M369:M374" si="211">IF(I369&gt;0,L369/I369,0)</f>
        <v>0</v>
      </c>
      <c r="N369" s="1243" t="str">
        <f>$N$5</f>
        <v xml:space="preserve">% Pdn prom semana : </v>
      </c>
      <c r="O369" s="1244">
        <f>IF(SUM(L369:L374)&gt;0,100*SUMPRODUCT(M369:M375,I369:I375)/SUMIF(L369:L375,"&gt;0",I369:I375),IF(L375&gt;0,100*L375/7/I375,0))</f>
        <v>0</v>
      </c>
      <c r="P369" s="1244">
        <f>IFERROR(LOOKUP($A369,TP!$A$6:$A$108,GSh!$AE$6:$AE$108),0)</f>
        <v>0</v>
      </c>
      <c r="Q369" s="1245">
        <f>IF(AND(P369&gt;0,O369&gt;0),O369-P369,0)</f>
        <v>0</v>
      </c>
      <c r="R369" s="699"/>
      <c r="S369" s="762"/>
      <c r="T369" s="765">
        <f t="shared" si="194"/>
        <v>0</v>
      </c>
      <c r="U369" s="700"/>
      <c r="V369" s="701"/>
      <c r="W369" s="701"/>
      <c r="X369" s="295">
        <f t="shared" si="189"/>
        <v>0</v>
      </c>
      <c r="Y369" s="296">
        <f>IF(AA369&gt;0,V369,AE369/IF(Iniciar!$C$25="B X 40 K",40,IF(Iniciar!$C$25="B X 50 K",50,1))*I369/1000)</f>
        <v>0</v>
      </c>
      <c r="Z369" s="296">
        <f t="shared" si="190"/>
        <v>0</v>
      </c>
      <c r="AA369" s="297">
        <f t="shared" ref="AA369:AA374" si="212">IF(I369&gt;0,V369*$A$1/I369,0)</f>
        <v>0</v>
      </c>
      <c r="AB369" s="297">
        <f t="shared" si="184"/>
        <v>0</v>
      </c>
      <c r="AC369" s="1261" t="str">
        <f>$AC$5</f>
        <v>Gr. Ave Dia :</v>
      </c>
      <c r="AD369" s="1262">
        <f>IF(SUMIF(V369:V375,"&gt;0")&gt;0,SUMPRODUCT(AA369:AA375,I369:I375)/SUMIF(AA369:AA375,"&gt;0",I369:I375),0)</f>
        <v>0</v>
      </c>
      <c r="AE369" s="1262">
        <f>IFERROR(LOOKUP($A369,TP!$A$6:$A$108,GSh!$AU$6:$AU$108),0)</f>
        <v>0</v>
      </c>
      <c r="AF369" s="1263">
        <f>IF(AND(AE369&gt;0,AD369&gt;0),(AD369/AE369-1)*100,0)</f>
        <v>0</v>
      </c>
      <c r="AG369" s="1264" t="str">
        <f>PROD!$AG$5</f>
        <v>Gr X H</v>
      </c>
      <c r="AH369" s="1265">
        <f>IF(PROD!O369&gt;0,IF($AG369="Gr X H",PROD!AD369/PROD!O369*100,IF($AG369="Conv Kg/Doc",PROD!AD369/PROD!O369*1.2,IF(PROD!$O371&gt;0,PROD!AD369/(PROD!O369*PROD!$O371)*100,0))),0)</f>
        <v>0</v>
      </c>
      <c r="AI369" s="1265">
        <f>IF(PROD!P369&gt;0,IF($AG369="Gr X H",PROD!AE369/PROD!P369*100,IF($AG369="Conv Kg/Doc",PROD!AE369/PROD!P369*1.2,IF(PROD!$P371&gt;0,PROD!AE369/(PROD!P369*PROD!$P371)*100,0))),0)</f>
        <v>0</v>
      </c>
      <c r="AJ369" s="1266">
        <f t="shared" si="210"/>
        <v>0</v>
      </c>
      <c r="AK369" s="2026"/>
      <c r="AL369" s="1284">
        <f t="shared" si="185"/>
        <v>0</v>
      </c>
      <c r="AM369" s="1285"/>
      <c r="AN369" s="1285"/>
      <c r="AO369" s="1285"/>
      <c r="AP369" s="1285"/>
      <c r="AQ369" s="1285"/>
      <c r="AR369" s="1285"/>
      <c r="AS369" s="1286"/>
      <c r="AT369" s="1287"/>
      <c r="AU369" s="1288"/>
      <c r="AV369" s="1289"/>
      <c r="AW369" s="1290"/>
      <c r="AX369" s="1291"/>
      <c r="AY369" s="1291"/>
      <c r="AZ369" s="1292"/>
      <c r="BA369" s="1293"/>
      <c r="BB369" s="1294"/>
      <c r="BC369" s="1295"/>
      <c r="BD369" s="1296">
        <f>BD368+PROD!L369-BA369</f>
        <v>0</v>
      </c>
      <c r="BE369" s="2132">
        <f>IF(SUM(AM369:AZ375)&gt;0,(SUM(AM369:AM375)*$AM$2+SUM(AN369:AN375)*$AN$2+SUM(AO369:AO375)*$AO$2+SUM(AP369:AP375)*$AP$2+SUM(AQ369:AQ375)*$AQ$2+SUM(AR369:AR375)*$AR$2+SUM(AS369:AS375)*$AS$2+SUM(AW369:AW375)*$AW$2+SUM(AX369:AX375)*$AX$2+SUM(AY369:AY375)*$AY$2+SUM(AZ369:AZ375)*$AZ$2+SUM(AT369:AT375)*$AT$2+SUM(AU369:AU375)*$AU$2+SUM(AV369:AV375)*$AV$2)/SUM(AM369:AZ375),0)</f>
        <v>0</v>
      </c>
      <c r="BF369" s="507" t="e">
        <f t="shared" si="186"/>
        <v>#VALUE!</v>
      </c>
      <c r="BG369" s="277">
        <f>IF(SUM(L369:L375)&gt;0,A369,IF(SUM(V369:V375)&gt;0,A369,BG362))</f>
        <v>0</v>
      </c>
      <c r="BH369" s="1018">
        <f t="shared" si="187"/>
        <v>0</v>
      </c>
    </row>
    <row r="370" spans="1:60" ht="15" customHeight="1" x14ac:dyDescent="0.3">
      <c r="A370" s="2033"/>
      <c r="B370" s="287" t="str">
        <f t="shared" si="188"/>
        <v/>
      </c>
      <c r="C370" s="288" t="str">
        <f t="shared" si="183"/>
        <v/>
      </c>
      <c r="D370" s="691"/>
      <c r="E370" s="692"/>
      <c r="F370" s="693"/>
      <c r="G370" s="694"/>
      <c r="H370" s="695"/>
      <c r="I370" s="289">
        <f>I369-SUM($D370:F370)</f>
        <v>0</v>
      </c>
      <c r="J370" s="1234" t="str">
        <f>$J$6</f>
        <v>% Sel Sem :</v>
      </c>
      <c r="K370" s="1231">
        <f>IF(PROD!$K$2&gt;0,SUM(E369:E375)/PROD!$K$2,0)</f>
        <v>0</v>
      </c>
      <c r="L370" s="1246"/>
      <c r="M370" s="291">
        <f t="shared" si="211"/>
        <v>0</v>
      </c>
      <c r="N370" s="292" t="str">
        <f>$N$6</f>
        <v xml:space="preserve">H. Ave Alojada : </v>
      </c>
      <c r="O370" s="293">
        <f>IF(AND(PROD!$K$2&gt;0,O369&gt;0),SUM(L$5:L375)/PROD!$K$2,0)</f>
        <v>0</v>
      </c>
      <c r="P370" s="293">
        <f>IFERROR(LOOKUP($A369,TP!$A$6:$A$108,GSh!$AJ$6:$AJ$108),0)</f>
        <v>0</v>
      </c>
      <c r="Q370" s="294">
        <f>IF(AND(P370&gt;0,O370&gt;0),O370-P370,0)</f>
        <v>0</v>
      </c>
      <c r="R370" s="699"/>
      <c r="S370" s="762"/>
      <c r="T370" s="765">
        <f t="shared" si="194"/>
        <v>0</v>
      </c>
      <c r="U370" s="700"/>
      <c r="V370" s="701"/>
      <c r="W370" s="701"/>
      <c r="X370" s="295">
        <f t="shared" si="189"/>
        <v>0</v>
      </c>
      <c r="Y370" s="296">
        <f>IF(AA370&gt;0,V370,AE369/IF(Iniciar!$C$25="B X 40 K",40,IF(Iniciar!$C$25="B X 50 K",50,1))*I370/1000)</f>
        <v>0</v>
      </c>
      <c r="Z370" s="296">
        <f t="shared" si="190"/>
        <v>0</v>
      </c>
      <c r="AA370" s="297">
        <f t="shared" si="212"/>
        <v>0</v>
      </c>
      <c r="AB370" s="297">
        <f t="shared" si="184"/>
        <v>0</v>
      </c>
      <c r="AC370" s="1267" t="str">
        <f>$AC$6</f>
        <v>Gr. Ave Sem :</v>
      </c>
      <c r="AD370" s="284">
        <f>AD369*7</f>
        <v>0</v>
      </c>
      <c r="AE370" s="284">
        <f>AE369*7</f>
        <v>0</v>
      </c>
      <c r="AF370" s="285">
        <f>IF(AND(AE370&gt;0,AD370&gt;0),(AD370/AE370-1)*100,0)</f>
        <v>0</v>
      </c>
      <c r="AG370" s="1199" t="str">
        <f>PROD!$AG$6</f>
        <v>Gr X H Acm</v>
      </c>
      <c r="AH370" s="298">
        <f>IF(SUM(PROD!L369:L375)&gt;0,IF(PROD!$AG$5="Gr X H",SUM(PROD!V$5:V375)*PROD!$A$1/SUM(PROD!L$5:L375),IF($AG369="Conv Kg/Doc",(SUM(PROD!V$5:V375)*PROD!$A$1/1000)/(SUM(PROD!L$5:L375)/12),IF(PROD!$O371&gt;0,SUM(PROD!V$5:V375)*PROD!$A$1/(SUM(PROD!L$5:L375)*LOOKUP(PROD!A369,TP!$A$6:$A$108,GSh!$BB$6:$BB$108)),0))),0)</f>
        <v>0</v>
      </c>
      <c r="AI370" s="298">
        <f>IF(PROD!P369&gt;0,IF($AG369="Gr X H",PROD!AE369/PROD!P369*100,IF($AG369="Conv Kg/Doc",PROD!AE369/PROD!P369*1.2,IF(PROD!$P370&gt;0,PROD!AE371/(PROD!P370*LOOKUP(PROD!$A369,TP!$A$6:$A$108,GSh!$BC$6:$BC$108)/1000),0))),0)</f>
        <v>0</v>
      </c>
      <c r="AJ370" s="328">
        <f t="shared" si="210"/>
        <v>0</v>
      </c>
      <c r="AK370" s="2027"/>
      <c r="AL370" s="1284">
        <f t="shared" si="185"/>
        <v>0</v>
      </c>
      <c r="AM370" s="1285"/>
      <c r="AN370" s="1285"/>
      <c r="AO370" s="1285"/>
      <c r="AP370" s="1285"/>
      <c r="AQ370" s="1285"/>
      <c r="AR370" s="1285"/>
      <c r="AS370" s="1286"/>
      <c r="AT370" s="1287"/>
      <c r="AU370" s="1288"/>
      <c r="AV370" s="1289"/>
      <c r="AW370" s="1290"/>
      <c r="AX370" s="1291"/>
      <c r="AY370" s="1291"/>
      <c r="AZ370" s="1292"/>
      <c r="BA370" s="1293"/>
      <c r="BB370" s="1294"/>
      <c r="BC370" s="1295"/>
      <c r="BD370" s="1296">
        <f>BD369+PROD!L370-BA370</f>
        <v>0</v>
      </c>
      <c r="BE370" s="2133"/>
      <c r="BF370" s="507" t="e">
        <f t="shared" si="186"/>
        <v>#VALUE!</v>
      </c>
      <c r="BG370" s="329"/>
      <c r="BH370" s="1018">
        <f t="shared" si="187"/>
        <v>0</v>
      </c>
    </row>
    <row r="371" spans="1:60" ht="15" customHeight="1" x14ac:dyDescent="0.3">
      <c r="A371" s="2033"/>
      <c r="B371" s="287" t="str">
        <f t="shared" si="188"/>
        <v/>
      </c>
      <c r="C371" s="288" t="str">
        <f t="shared" si="183"/>
        <v/>
      </c>
      <c r="D371" s="691"/>
      <c r="E371" s="692"/>
      <c r="F371" s="693"/>
      <c r="G371" s="694"/>
      <c r="H371" s="695"/>
      <c r="I371" s="289">
        <f>I370-SUM($D371:F371)</f>
        <v>0</v>
      </c>
      <c r="J371" s="1235" t="str">
        <f>$J$7</f>
        <v>% Mort/Sel Sem Tab :</v>
      </c>
      <c r="K371" s="1236">
        <f>K374-K367</f>
        <v>0</v>
      </c>
      <c r="L371" s="1246"/>
      <c r="M371" s="291">
        <f t="shared" si="211"/>
        <v>0</v>
      </c>
      <c r="N371" s="304" t="str">
        <f>$N$7</f>
        <v xml:space="preserve">Peso Huevo (Gr) : </v>
      </c>
      <c r="O371" s="305">
        <f>LOOKUP($A369,'Pr-Sem'!$A$6:$A$108,'Pr-Sem'!$Z$6:$Z$108)</f>
        <v>0</v>
      </c>
      <c r="P371" s="305">
        <f>IFERROR(LOOKUP($A369,TP!$A$6:$A$108,GSh!$AZ$6:$AZ$108),0)</f>
        <v>0</v>
      </c>
      <c r="Q371" s="306">
        <f>IF(AND(P371&gt;0,O371&gt;0),O371-P371,0)</f>
        <v>0</v>
      </c>
      <c r="R371" s="699"/>
      <c r="S371" s="762"/>
      <c r="T371" s="765">
        <f t="shared" si="194"/>
        <v>0</v>
      </c>
      <c r="U371" s="700"/>
      <c r="V371" s="701"/>
      <c r="W371" s="701"/>
      <c r="X371" s="295">
        <f t="shared" si="189"/>
        <v>0</v>
      </c>
      <c r="Y371" s="296">
        <f>IF(AA371&gt;0,V371,AE369/IF(Iniciar!$C$25="B X 40 K",40,IF(Iniciar!$C$25="B X 50 K",50,1))*I371/1000)</f>
        <v>0</v>
      </c>
      <c r="Z371" s="296">
        <f t="shared" si="190"/>
        <v>0</v>
      </c>
      <c r="AA371" s="297">
        <f t="shared" si="212"/>
        <v>0</v>
      </c>
      <c r="AB371" s="297">
        <f t="shared" si="184"/>
        <v>0</v>
      </c>
      <c r="AC371" s="1268" t="str">
        <f>$AC$7</f>
        <v>Kg Ave Acu :</v>
      </c>
      <c r="AD371" s="308">
        <f>IF(OR(SUM(L369:L375)&gt;0,SUM(V369:V375)&gt;0),AD370/1000+AD364,0)</f>
        <v>0</v>
      </c>
      <c r="AE371" s="309">
        <f>AE370/1000+AE364</f>
        <v>0</v>
      </c>
      <c r="AF371" s="310">
        <f>IF(AND(AE371&gt;0,AD371&gt;0),(AD371/AE371-1)*100,0)</f>
        <v>0</v>
      </c>
      <c r="AG371" s="311" t="str">
        <f>PROD!$AG$7</f>
        <v xml:space="preserve">Masa Sem H (Gr) : </v>
      </c>
      <c r="AH371" s="312">
        <f>PROD!O369/100*7*PROD!O371</f>
        <v>0</v>
      </c>
      <c r="AI371" s="312">
        <f>PROD!P369/100*7*PROD!P371</f>
        <v>0</v>
      </c>
      <c r="AJ371" s="313">
        <f t="shared" si="210"/>
        <v>0</v>
      </c>
      <c r="AK371" s="2027"/>
      <c r="AL371" s="1284">
        <f t="shared" si="185"/>
        <v>0</v>
      </c>
      <c r="AM371" s="1285"/>
      <c r="AN371" s="1285"/>
      <c r="AO371" s="1285"/>
      <c r="AP371" s="1285"/>
      <c r="AQ371" s="1285"/>
      <c r="AR371" s="1285"/>
      <c r="AS371" s="1286"/>
      <c r="AT371" s="1287"/>
      <c r="AU371" s="1288"/>
      <c r="AV371" s="1289"/>
      <c r="AW371" s="1290"/>
      <c r="AX371" s="1291"/>
      <c r="AY371" s="1291"/>
      <c r="AZ371" s="1292"/>
      <c r="BA371" s="1293"/>
      <c r="BB371" s="1294"/>
      <c r="BC371" s="1295"/>
      <c r="BD371" s="1296">
        <f>BD370+PROD!L371-BA371</f>
        <v>0</v>
      </c>
      <c r="BE371" s="2133"/>
      <c r="BF371" s="507" t="e">
        <f t="shared" si="186"/>
        <v>#VALUE!</v>
      </c>
      <c r="BG371" s="329"/>
      <c r="BH371" s="1018">
        <f t="shared" si="187"/>
        <v>0</v>
      </c>
    </row>
    <row r="372" spans="1:60" ht="15" customHeight="1" x14ac:dyDescent="0.3">
      <c r="A372" s="2033"/>
      <c r="B372" s="287" t="str">
        <f t="shared" si="188"/>
        <v/>
      </c>
      <c r="C372" s="288" t="str">
        <f t="shared" si="183"/>
        <v/>
      </c>
      <c r="D372" s="691"/>
      <c r="E372" s="692"/>
      <c r="F372" s="693"/>
      <c r="G372" s="694"/>
      <c r="H372" s="695"/>
      <c r="I372" s="289">
        <f>I371-SUM($D372:F372)</f>
        <v>0</v>
      </c>
      <c r="J372" s="1234" t="str">
        <f>$J$8</f>
        <v>% Mort Acm :</v>
      </c>
      <c r="K372" s="1231">
        <f>IF(PROD!$K$2&gt;0,SUM(D$5:D375)/PROD!$K$2,0)</f>
        <v>0</v>
      </c>
      <c r="L372" s="1246"/>
      <c r="M372" s="291">
        <f t="shared" si="211"/>
        <v>0</v>
      </c>
      <c r="N372" s="314" t="str">
        <f>N$8</f>
        <v xml:space="preserve">Peso Ave (Gr) : </v>
      </c>
      <c r="O372" s="315">
        <f>LOOKUP($A369,GSh!$BV$6:$BV$108,GSh!$BJ$6:$BJ$108)</f>
        <v>0</v>
      </c>
      <c r="P372" s="315">
        <f>IFERROR(LOOKUP($A369,TP!$A$6:$A$108,GSh!$BK$6:$BK$108),0)</f>
        <v>0</v>
      </c>
      <c r="Q372" s="316">
        <f>IF(AND(P372&gt;0,O372&gt;0),(O372/P372-1)*100,0)</f>
        <v>0</v>
      </c>
      <c r="R372" s="699"/>
      <c r="S372" s="762"/>
      <c r="T372" s="765">
        <f t="shared" si="194"/>
        <v>0</v>
      </c>
      <c r="U372" s="700"/>
      <c r="V372" s="701"/>
      <c r="W372" s="701"/>
      <c r="X372" s="295">
        <f t="shared" si="189"/>
        <v>0</v>
      </c>
      <c r="Y372" s="296">
        <f>IF(AA372&gt;0,V372,AE369/IF(Iniciar!$C$25="B X 40 K",40,IF(Iniciar!$C$25="B X 50 K",50,1))*I372/1000)</f>
        <v>0</v>
      </c>
      <c r="Z372" s="296">
        <f t="shared" si="190"/>
        <v>0</v>
      </c>
      <c r="AA372" s="297">
        <f t="shared" si="212"/>
        <v>0</v>
      </c>
      <c r="AB372" s="297">
        <f t="shared" si="184"/>
        <v>0</v>
      </c>
      <c r="AC372" s="541" t="str">
        <f>$AC$8</f>
        <v xml:space="preserve">Ton. Lote Acu : </v>
      </c>
      <c r="AD372" s="544">
        <f>SUM($V$5:$V375)*$A$1/1000000</f>
        <v>0</v>
      </c>
      <c r="AE372" s="543">
        <f>AE365+(AE369/1000000*7*(I369+I375)/2)</f>
        <v>0</v>
      </c>
      <c r="AF372" s="542">
        <f>IF(AND(AE372&gt;0,AD372&gt;0),(AD372/AE372-1)*100,0)</f>
        <v>0</v>
      </c>
      <c r="AG372" s="317" t="str">
        <f>PROD!$AG$8</f>
        <v xml:space="preserve">Masa Ac A. A (Kg) : </v>
      </c>
      <c r="AH372" s="318">
        <f>IF(PROD!$K$2&gt;0,SUM(PROD!L$5:L375)*LOOKUP(PROD!$A369,TP!$A$6:$A$108,GSh!$BB$6:$BB$108)/1000/PROD!$K$2,0)</f>
        <v>0</v>
      </c>
      <c r="AI372" s="318">
        <f>IFERROR(PROD!P370*LOOKUP(PROD!$A369,TP!$A$6:$A$108,GSh!$BC$6:$BC$108)/1000,0)</f>
        <v>0</v>
      </c>
      <c r="AJ372" s="330">
        <f t="shared" si="210"/>
        <v>0</v>
      </c>
      <c r="AK372" s="2027"/>
      <c r="AL372" s="1284">
        <f t="shared" si="185"/>
        <v>0</v>
      </c>
      <c r="AM372" s="1285"/>
      <c r="AN372" s="1285"/>
      <c r="AO372" s="1285"/>
      <c r="AP372" s="1285"/>
      <c r="AQ372" s="1285"/>
      <c r="AR372" s="1285"/>
      <c r="AS372" s="1286"/>
      <c r="AT372" s="1287"/>
      <c r="AU372" s="1288"/>
      <c r="AV372" s="1289"/>
      <c r="AW372" s="1290"/>
      <c r="AX372" s="1291"/>
      <c r="AY372" s="1291"/>
      <c r="AZ372" s="1292"/>
      <c r="BA372" s="1293"/>
      <c r="BB372" s="1294"/>
      <c r="BC372" s="1295"/>
      <c r="BD372" s="1296">
        <f>BD371+PROD!L372-BA372</f>
        <v>0</v>
      </c>
      <c r="BE372" s="2133"/>
      <c r="BF372" s="507" t="e">
        <f t="shared" si="186"/>
        <v>#VALUE!</v>
      </c>
      <c r="BG372" s="329"/>
      <c r="BH372" s="1018">
        <f t="shared" si="187"/>
        <v>0</v>
      </c>
    </row>
    <row r="373" spans="1:60" ht="15" customHeight="1" x14ac:dyDescent="0.3">
      <c r="A373" s="2033"/>
      <c r="B373" s="287" t="str">
        <f t="shared" si="188"/>
        <v/>
      </c>
      <c r="C373" s="288" t="str">
        <f t="shared" si="183"/>
        <v/>
      </c>
      <c r="D373" s="691"/>
      <c r="E373" s="692"/>
      <c r="F373" s="693"/>
      <c r="G373" s="694"/>
      <c r="H373" s="695"/>
      <c r="I373" s="289">
        <f>I372-SUM($D373:F373)</f>
        <v>0</v>
      </c>
      <c r="J373" s="1234" t="str">
        <f>$J$9</f>
        <v>% Sel Acm :</v>
      </c>
      <c r="K373" s="1231">
        <f>IF(PROD!$K$2&gt;0,SUM(E$5:E375)/PROD!$K$2,0)</f>
        <v>0</v>
      </c>
      <c r="L373" s="1246"/>
      <c r="M373" s="291">
        <f t="shared" si="211"/>
        <v>0</v>
      </c>
      <c r="N373" s="292" t="str">
        <f>$N$9</f>
        <v xml:space="preserve">Uniformidad (10% -) : </v>
      </c>
      <c r="O373" s="320">
        <f>LOOKUP($A369,'Pr-Sem'!$A$6:$A$108,'Pr-Sem'!$AH$6:$AH$108)</f>
        <v>0</v>
      </c>
      <c r="P373" s="320">
        <v>5</v>
      </c>
      <c r="Q373" s="321">
        <f>IF(AND(P373&gt;0,O373&gt;0),(1-O373/P373)*100,0)</f>
        <v>0</v>
      </c>
      <c r="R373" s="699"/>
      <c r="S373" s="762"/>
      <c r="T373" s="765">
        <f t="shared" si="194"/>
        <v>0</v>
      </c>
      <c r="U373" s="700"/>
      <c r="V373" s="701"/>
      <c r="W373" s="701"/>
      <c r="X373" s="295">
        <f t="shared" si="189"/>
        <v>0</v>
      </c>
      <c r="Y373" s="296">
        <f>IF(AA373&gt;0,V373,AE369/IF(Iniciar!$C$25="B X 40 K",40,IF(Iniciar!$C$25="B X 50 K",50,1))*I373/1000)</f>
        <v>0</v>
      </c>
      <c r="Z373" s="296">
        <f t="shared" si="190"/>
        <v>0</v>
      </c>
      <c r="AA373" s="297">
        <f t="shared" si="212"/>
        <v>0</v>
      </c>
      <c r="AB373" s="297">
        <f t="shared" si="184"/>
        <v>0</v>
      </c>
      <c r="AC373" s="2035" t="str">
        <f>$AC$9</f>
        <v xml:space="preserve">Total Litros Sem: </v>
      </c>
      <c r="AD373" s="2036"/>
      <c r="AE373" s="2050">
        <f>SUM(R369:R375)</f>
        <v>0</v>
      </c>
      <c r="AF373" s="2051"/>
      <c r="AG373" s="554" t="str">
        <f>$AG$9</f>
        <v xml:space="preserve">Indicador Eficiencia : </v>
      </c>
      <c r="AH373" s="555">
        <f>IF(AND(AE373&gt;0,O370&gt;0,O371&gt;0,SUM(L369:L375)&gt;0),(PROD!AH372/O370)*K375*100/(AE373/(SUM(L369:L375)*O371/1000)),0)</f>
        <v>0</v>
      </c>
      <c r="AI373" s="555">
        <f>IF(AND(P370&gt;0,PROD!AI371&gt;0),(PROD!AI372/P370)*(1-K374)*100/(AE370/PROD!AI371),0)</f>
        <v>0</v>
      </c>
      <c r="AJ373" s="331">
        <f t="shared" si="210"/>
        <v>0</v>
      </c>
      <c r="AK373" s="2027"/>
      <c r="AL373" s="1284">
        <f t="shared" si="185"/>
        <v>0</v>
      </c>
      <c r="AM373" s="1285"/>
      <c r="AN373" s="1285"/>
      <c r="AO373" s="1285"/>
      <c r="AP373" s="1285"/>
      <c r="AQ373" s="1285"/>
      <c r="AR373" s="1285"/>
      <c r="AS373" s="1286"/>
      <c r="AT373" s="1287"/>
      <c r="AU373" s="1288"/>
      <c r="AV373" s="1289"/>
      <c r="AW373" s="1290"/>
      <c r="AX373" s="1291"/>
      <c r="AY373" s="1291"/>
      <c r="AZ373" s="1292"/>
      <c r="BA373" s="1293"/>
      <c r="BB373" s="1294"/>
      <c r="BC373" s="1295"/>
      <c r="BD373" s="1296">
        <f>BD372+PROD!L373-BA373</f>
        <v>0</v>
      </c>
      <c r="BE373" s="2133"/>
      <c r="BF373" s="507" t="e">
        <f t="shared" si="186"/>
        <v>#VALUE!</v>
      </c>
      <c r="BG373" s="329"/>
      <c r="BH373" s="1018">
        <f t="shared" si="187"/>
        <v>0</v>
      </c>
    </row>
    <row r="374" spans="1:60" ht="15" customHeight="1" x14ac:dyDescent="0.3">
      <c r="A374" s="2033"/>
      <c r="B374" s="287" t="str">
        <f t="shared" si="188"/>
        <v/>
      </c>
      <c r="C374" s="288" t="str">
        <f t="shared" si="183"/>
        <v/>
      </c>
      <c r="D374" s="691"/>
      <c r="E374" s="692"/>
      <c r="F374" s="693"/>
      <c r="G374" s="694"/>
      <c r="H374" s="695"/>
      <c r="I374" s="289">
        <f>I373-SUM($D374:F374)</f>
        <v>0</v>
      </c>
      <c r="J374" s="1237" t="str">
        <f>$J$10</f>
        <v>% Mort/Sel Acm Tab :</v>
      </c>
      <c r="K374" s="1238">
        <f>IFERROR(LOOKUP($A369,TP!$A$6:$A$108,GSh!$AR$6:$AR$108)/100,0)</f>
        <v>0</v>
      </c>
      <c r="L374" s="1246"/>
      <c r="M374" s="291">
        <f t="shared" si="211"/>
        <v>0</v>
      </c>
      <c r="N374" s="292" t="str">
        <f>$N$10</f>
        <v xml:space="preserve">Uniformidad (C. Lote) : </v>
      </c>
      <c r="O374" s="320">
        <f>LOOKUP($A369,'Pr-Sem'!$A$6:$A$108,'Pr-Sem'!$AG$6:$AG$108)</f>
        <v>0</v>
      </c>
      <c r="P374" s="320">
        <v>90</v>
      </c>
      <c r="Q374" s="321">
        <f>IF(AND(P374&gt;0,O374&gt;0),(O374/P374-1)*100,0)</f>
        <v>0</v>
      </c>
      <c r="R374" s="699"/>
      <c r="S374" s="762"/>
      <c r="T374" s="765">
        <f t="shared" si="194"/>
        <v>0</v>
      </c>
      <c r="U374" s="700"/>
      <c r="V374" s="701"/>
      <c r="W374" s="701"/>
      <c r="X374" s="295">
        <f t="shared" si="189"/>
        <v>0</v>
      </c>
      <c r="Y374" s="296">
        <f>IF(AA374&gt;0,V374,AE369/IF(Iniciar!$C$25="B X 40 K",40,IF(Iniciar!$C$25="B X 50 K",50,1))*I374/1000)</f>
        <v>0</v>
      </c>
      <c r="Z374" s="296">
        <f t="shared" si="190"/>
        <v>0</v>
      </c>
      <c r="AA374" s="297">
        <f t="shared" si="212"/>
        <v>0</v>
      </c>
      <c r="AB374" s="297">
        <f t="shared" si="184"/>
        <v>0</v>
      </c>
      <c r="AC374" s="2037" t="str">
        <f>$AC$10</f>
        <v xml:space="preserve">Cons ml /ave día: </v>
      </c>
      <c r="AD374" s="2038"/>
      <c r="AE374" s="2056">
        <f>IFERROR(SUMPRODUCT(AB369:AB375,I369:I375)/SUM(I369:I375),0)</f>
        <v>0</v>
      </c>
      <c r="AF374" s="2057"/>
      <c r="AG374" s="311" t="str">
        <f>CONCATENATE("Costo ",Iniciar!$C$25," : ")</f>
        <v xml:space="preserve">Costo Kilos : </v>
      </c>
      <c r="AH374" s="2043">
        <f>IFERROR(SUMPRODUCT(T369:T375,V369:V375)/SUMIF(T369:T375,"&gt;0",V369:V375),0)</f>
        <v>0</v>
      </c>
      <c r="AI374" s="2043"/>
      <c r="AJ374" s="313"/>
      <c r="AK374" s="2027"/>
      <c r="AL374" s="1284">
        <f t="shared" si="185"/>
        <v>0</v>
      </c>
      <c r="AM374" s="1285"/>
      <c r="AN374" s="1285"/>
      <c r="AO374" s="1285"/>
      <c r="AP374" s="1285"/>
      <c r="AQ374" s="1285"/>
      <c r="AR374" s="1285"/>
      <c r="AS374" s="1286"/>
      <c r="AT374" s="1287"/>
      <c r="AU374" s="1288"/>
      <c r="AV374" s="1289"/>
      <c r="AW374" s="1290"/>
      <c r="AX374" s="1291"/>
      <c r="AY374" s="1291"/>
      <c r="AZ374" s="1292"/>
      <c r="BA374" s="1293"/>
      <c r="BB374" s="1294"/>
      <c r="BC374" s="1295"/>
      <c r="BD374" s="1296">
        <f>BD373+PROD!L374-BA374</f>
        <v>0</v>
      </c>
      <c r="BE374" s="2133"/>
      <c r="BF374" s="507" t="e">
        <f t="shared" si="186"/>
        <v>#VALUE!</v>
      </c>
      <c r="BG374" s="329"/>
      <c r="BH374" s="1018">
        <f t="shared" si="187"/>
        <v>0</v>
      </c>
    </row>
    <row r="375" spans="1:60" ht="15" customHeight="1" x14ac:dyDescent="0.3">
      <c r="A375" s="2034"/>
      <c r="B375" s="287" t="str">
        <f t="shared" si="188"/>
        <v/>
      </c>
      <c r="C375" s="288" t="str">
        <f t="shared" si="183"/>
        <v/>
      </c>
      <c r="D375" s="691"/>
      <c r="E375" s="692"/>
      <c r="F375" s="693"/>
      <c r="G375" s="694"/>
      <c r="H375" s="695"/>
      <c r="I375" s="289">
        <f>I374-SUM($D375:F375)</f>
        <v>0</v>
      </c>
      <c r="J375" s="1239" t="str">
        <f>$J$11</f>
        <v>% Viabilidad :</v>
      </c>
      <c r="K375" s="1240">
        <f>IF(OR(SUM(L369:L375)&gt;0,SUM(V369:V375)&gt;0),1-(K372+K373),0)</f>
        <v>0</v>
      </c>
      <c r="L375" s="1247"/>
      <c r="M375" s="1248">
        <f>IF(I375&gt;0,(L375/IF(SUM(L369:L374)&gt;0,1,7))/I375,0)</f>
        <v>0</v>
      </c>
      <c r="N375" s="1249" t="str">
        <f>$N$11</f>
        <v xml:space="preserve">Uniformidad (10% +) : </v>
      </c>
      <c r="O375" s="1250">
        <f>IF(O373&gt;0,IF(O374&gt;0,100-SUM(O373:O374),0),0)</f>
        <v>0</v>
      </c>
      <c r="P375" s="1251">
        <f>100-SUM(P373:P374)</f>
        <v>5</v>
      </c>
      <c r="Q375" s="1252">
        <f>IF(AND(P375&gt;0,O375&gt;0),(O375/P375-1)*100,0)</f>
        <v>0</v>
      </c>
      <c r="R375" s="699"/>
      <c r="S375" s="762"/>
      <c r="T375" s="765">
        <f t="shared" si="194"/>
        <v>0</v>
      </c>
      <c r="U375" s="700"/>
      <c r="V375" s="701"/>
      <c r="W375" s="701"/>
      <c r="X375" s="295">
        <f t="shared" si="189"/>
        <v>0</v>
      </c>
      <c r="Y375" s="296">
        <f>IF(AA375&gt;0,V375,AE369/IF(Iniciar!$C$25="B X 40 K",40,IF(Iniciar!$C$25="B X 50 K",50,1))*I375/1000)</f>
        <v>0</v>
      </c>
      <c r="Z375" s="296">
        <f t="shared" si="190"/>
        <v>0</v>
      </c>
      <c r="AA375" s="297">
        <f>IF(I375&gt;0,(V375/IF(SUM(V369:V374)&gt;0,1,7))*$A$1/I375,0)</f>
        <v>0</v>
      </c>
      <c r="AB375" s="297">
        <f t="shared" si="184"/>
        <v>0</v>
      </c>
      <c r="AC375" s="2039" t="str">
        <f>$AC$11</f>
        <v xml:space="preserve">Relación Agua /Alimto: </v>
      </c>
      <c r="AD375" s="2040"/>
      <c r="AE375" s="2058">
        <f>IFERROR(AE374/AD369,0)</f>
        <v>0</v>
      </c>
      <c r="AF375" s="2059"/>
      <c r="AG375" s="1269" t="s">
        <v>237</v>
      </c>
      <c r="AH375" s="1270">
        <f>IF(SUM(L369:L375)&gt;0,AH374*SUM(V369:V375)/SUM(L369:L375),0)</f>
        <v>0</v>
      </c>
      <c r="AI375" s="1270">
        <f>IF(AND($A$1&gt;0,P369&gt;0),AH374/$A$1*(AE369/P369)*100,0)</f>
        <v>0</v>
      </c>
      <c r="AJ375" s="1271">
        <f t="shared" ref="AJ375:AJ380" si="213">IF(AND(AI375&gt;0,AH375&gt;0),(AH375/AI375-1)*100,0)</f>
        <v>0</v>
      </c>
      <c r="AK375" s="2028"/>
      <c r="AL375" s="1284">
        <f t="shared" si="185"/>
        <v>0</v>
      </c>
      <c r="AM375" s="1285"/>
      <c r="AN375" s="1285"/>
      <c r="AO375" s="1285"/>
      <c r="AP375" s="1285"/>
      <c r="AQ375" s="1285"/>
      <c r="AR375" s="1285"/>
      <c r="AS375" s="1286"/>
      <c r="AT375" s="1287"/>
      <c r="AU375" s="1288"/>
      <c r="AV375" s="1289"/>
      <c r="AW375" s="1290"/>
      <c r="AX375" s="1291"/>
      <c r="AY375" s="1291"/>
      <c r="AZ375" s="1292"/>
      <c r="BA375" s="1293"/>
      <c r="BB375" s="1294"/>
      <c r="BC375" s="1295"/>
      <c r="BD375" s="1296">
        <f>BD374+PROD!L375-BA375</f>
        <v>0</v>
      </c>
      <c r="BE375" s="2134"/>
      <c r="BF375" s="507" t="e">
        <f t="shared" si="186"/>
        <v>#VALUE!</v>
      </c>
      <c r="BG375" s="329"/>
      <c r="BH375" s="1018">
        <f t="shared" si="187"/>
        <v>0</v>
      </c>
    </row>
    <row r="376" spans="1:60" ht="15" customHeight="1" x14ac:dyDescent="0.3">
      <c r="A376" s="2032">
        <f>A369+1</f>
        <v>71</v>
      </c>
      <c r="B376" s="287" t="str">
        <f t="shared" si="188"/>
        <v/>
      </c>
      <c r="C376" s="288" t="str">
        <f t="shared" si="183"/>
        <v/>
      </c>
      <c r="D376" s="691"/>
      <c r="E376" s="692"/>
      <c r="F376" s="693"/>
      <c r="G376" s="694"/>
      <c r="H376" s="695"/>
      <c r="I376" s="289">
        <f>I375-SUM($D376:F376)</f>
        <v>0</v>
      </c>
      <c r="J376" s="1232" t="str">
        <f>$J$5</f>
        <v>% Mort Sem :</v>
      </c>
      <c r="K376" s="1233">
        <f>IF(PROD!$K$2&gt;0,SUM(D376:D382)/PROD!$K$2,0)</f>
        <v>0</v>
      </c>
      <c r="L376" s="1241"/>
      <c r="M376" s="1242">
        <f t="shared" ref="M376:M381" si="214">IF(I376&gt;0,L376/I376,0)</f>
        <v>0</v>
      </c>
      <c r="N376" s="1243" t="str">
        <f>$N$5</f>
        <v xml:space="preserve">% Pdn prom semana : </v>
      </c>
      <c r="O376" s="1244">
        <f>IF(SUM(L376:L381)&gt;0,100*SUMPRODUCT(M376:M382,I376:I382)/SUMIF(L376:L382,"&gt;0",I376:I382),IF(L382&gt;0,100*L382/7/I382,0))</f>
        <v>0</v>
      </c>
      <c r="P376" s="1244">
        <f>IFERROR(LOOKUP($A376,TP!$A$6:$A$108,GSh!$AE$6:$AE$108),0)</f>
        <v>0</v>
      </c>
      <c r="Q376" s="1245">
        <f>IF(AND(P376&gt;0,O376&gt;0),O376-P376,0)</f>
        <v>0</v>
      </c>
      <c r="R376" s="699"/>
      <c r="S376" s="762"/>
      <c r="T376" s="765">
        <f t="shared" si="194"/>
        <v>0</v>
      </c>
      <c r="U376" s="700"/>
      <c r="V376" s="701"/>
      <c r="W376" s="701"/>
      <c r="X376" s="295">
        <f t="shared" si="189"/>
        <v>0</v>
      </c>
      <c r="Y376" s="296">
        <f>IF(AA376&gt;0,V376,AE376/IF(Iniciar!$C$25="B X 40 K",40,IF(Iniciar!$C$25="B X 50 K",50,1))*I376/1000)</f>
        <v>0</v>
      </c>
      <c r="Z376" s="296">
        <f t="shared" si="190"/>
        <v>0</v>
      </c>
      <c r="AA376" s="297">
        <f t="shared" ref="AA376:AA381" si="215">IF(I376&gt;0,V376*$A$1/I376,0)</f>
        <v>0</v>
      </c>
      <c r="AB376" s="297">
        <f t="shared" si="184"/>
        <v>0</v>
      </c>
      <c r="AC376" s="1261" t="str">
        <f>$AC$5</f>
        <v>Gr. Ave Dia :</v>
      </c>
      <c r="AD376" s="1262">
        <f>IF(SUMIF(V376:V382,"&gt;0")&gt;0,SUMPRODUCT(AA376:AA382,I376:I382)/SUMIF(AA376:AA382,"&gt;0",I376:I382),0)</f>
        <v>0</v>
      </c>
      <c r="AE376" s="1262">
        <f>IFERROR(LOOKUP($A376,TP!$A$6:$A$108,GSh!$AU$6:$AU$108),0)</f>
        <v>0</v>
      </c>
      <c r="AF376" s="1263">
        <f>IF(AND(AE376&gt;0,AD376&gt;0),(AD376/AE376-1)*100,0)</f>
        <v>0</v>
      </c>
      <c r="AG376" s="1264" t="str">
        <f>PROD!$AG$5</f>
        <v>Gr X H</v>
      </c>
      <c r="AH376" s="1265">
        <f>IF(PROD!O376&gt;0,IF($AG376="Gr X H",PROD!AD376/PROD!O376*100,IF($AG376="Conv Kg/Doc",PROD!AD376/PROD!O376*1.2,IF(PROD!$O378&gt;0,PROD!AD376/(PROD!O376*PROD!$O378)*100,0))),0)</f>
        <v>0</v>
      </c>
      <c r="AI376" s="1265">
        <f>IF(PROD!P376&gt;0,IF($AG376="Gr X H",PROD!AE376/PROD!P376*100,IF($AG376="Conv Kg/Doc",PROD!AE376/PROD!P376*1.2,IF(PROD!$P378&gt;0,PROD!AE376/(PROD!P376*PROD!$P378)*100,0))),0)</f>
        <v>0</v>
      </c>
      <c r="AJ376" s="1266">
        <f t="shared" si="213"/>
        <v>0</v>
      </c>
      <c r="AK376" s="2026"/>
      <c r="AL376" s="1284">
        <f t="shared" si="185"/>
        <v>0</v>
      </c>
      <c r="AM376" s="1285"/>
      <c r="AN376" s="1285"/>
      <c r="AO376" s="1285"/>
      <c r="AP376" s="1285"/>
      <c r="AQ376" s="1285"/>
      <c r="AR376" s="1285"/>
      <c r="AS376" s="1286"/>
      <c r="AT376" s="1287"/>
      <c r="AU376" s="1288"/>
      <c r="AV376" s="1289"/>
      <c r="AW376" s="1290"/>
      <c r="AX376" s="1291"/>
      <c r="AY376" s="1291"/>
      <c r="AZ376" s="1292"/>
      <c r="BA376" s="1293"/>
      <c r="BB376" s="1294"/>
      <c r="BC376" s="1295"/>
      <c r="BD376" s="1296">
        <f>BD375+PROD!L376-BA376</f>
        <v>0</v>
      </c>
      <c r="BE376" s="2132">
        <f>IF(SUM(AM376:AZ382)&gt;0,(SUM(AM376:AM382)*$AM$2+SUM(AN376:AN382)*$AN$2+SUM(AO376:AO382)*$AO$2+SUM(AP376:AP382)*$AP$2+SUM(AQ376:AQ382)*$AQ$2+SUM(AR376:AR382)*$AR$2+SUM(AS376:AS382)*$AS$2+SUM(AW376:AW382)*$AW$2+SUM(AX376:AX382)*$AX$2+SUM(AY376:AY382)*$AY$2+SUM(AZ376:AZ382)*$AZ$2+SUM(AT376:AT382)*$AT$2+SUM(AU376:AU382)*$AU$2+SUM(AV376:AV382)*$AV$2)/SUM(AM376:AZ382),0)</f>
        <v>0</v>
      </c>
      <c r="BF376" s="507" t="e">
        <f t="shared" si="186"/>
        <v>#VALUE!</v>
      </c>
      <c r="BG376" s="277">
        <f>IF(SUM(L376:L382)&gt;0,A376,IF(SUM(V376:V382)&gt;0,A376,BG369))</f>
        <v>0</v>
      </c>
      <c r="BH376" s="1018">
        <f t="shared" si="187"/>
        <v>0</v>
      </c>
    </row>
    <row r="377" spans="1:60" ht="15" customHeight="1" x14ac:dyDescent="0.3">
      <c r="A377" s="2033"/>
      <c r="B377" s="287" t="str">
        <f t="shared" si="188"/>
        <v/>
      </c>
      <c r="C377" s="288" t="str">
        <f t="shared" si="183"/>
        <v/>
      </c>
      <c r="D377" s="691"/>
      <c r="E377" s="692"/>
      <c r="F377" s="693"/>
      <c r="G377" s="694"/>
      <c r="H377" s="695"/>
      <c r="I377" s="289">
        <f>I376-SUM($D377:F377)</f>
        <v>0</v>
      </c>
      <c r="J377" s="1234" t="str">
        <f>$J$6</f>
        <v>% Sel Sem :</v>
      </c>
      <c r="K377" s="1231">
        <f>IF(PROD!$K$2&gt;0,SUM(E376:E382)/PROD!$K$2,0)</f>
        <v>0</v>
      </c>
      <c r="L377" s="1246"/>
      <c r="M377" s="291">
        <f t="shared" si="214"/>
        <v>0</v>
      </c>
      <c r="N377" s="292" t="str">
        <f>$N$6</f>
        <v xml:space="preserve">H. Ave Alojada : </v>
      </c>
      <c r="O377" s="293">
        <f>IF(AND(PROD!$K$2&gt;0,O376&gt;0),SUM(L$5:L382)/PROD!$K$2,0)</f>
        <v>0</v>
      </c>
      <c r="P377" s="293">
        <f>IFERROR(LOOKUP($A376,TP!$A$6:$A$108,GSh!$AJ$6:$AJ$108),0)</f>
        <v>0</v>
      </c>
      <c r="Q377" s="294">
        <f>IF(AND(P377&gt;0,O377&gt;0),O377-P377,0)</f>
        <v>0</v>
      </c>
      <c r="R377" s="699"/>
      <c r="S377" s="762"/>
      <c r="T377" s="765">
        <f t="shared" si="194"/>
        <v>0</v>
      </c>
      <c r="U377" s="700"/>
      <c r="V377" s="701"/>
      <c r="W377" s="701"/>
      <c r="X377" s="295">
        <f t="shared" si="189"/>
        <v>0</v>
      </c>
      <c r="Y377" s="296">
        <f>IF(AA377&gt;0,V377,AE376/IF(Iniciar!$C$25="B X 40 K",40,IF(Iniciar!$C$25="B X 50 K",50,1))*I377/1000)</f>
        <v>0</v>
      </c>
      <c r="Z377" s="296">
        <f t="shared" si="190"/>
        <v>0</v>
      </c>
      <c r="AA377" s="297">
        <f t="shared" si="215"/>
        <v>0</v>
      </c>
      <c r="AB377" s="297">
        <f t="shared" si="184"/>
        <v>0</v>
      </c>
      <c r="AC377" s="1267" t="str">
        <f>$AC$6</f>
        <v>Gr. Ave Sem :</v>
      </c>
      <c r="AD377" s="284">
        <f>AD376*7</f>
        <v>0</v>
      </c>
      <c r="AE377" s="284">
        <f>AE376*7</f>
        <v>0</v>
      </c>
      <c r="AF377" s="285">
        <f>IF(AND(AE377&gt;0,AD377&gt;0),(AD377/AE377-1)*100,0)</f>
        <v>0</v>
      </c>
      <c r="AG377" s="1199" t="str">
        <f>PROD!$AG$6</f>
        <v>Gr X H Acm</v>
      </c>
      <c r="AH377" s="298">
        <f>IF(SUM(PROD!L376:L382)&gt;0,IF(PROD!$AG$5="Gr X H",SUM(PROD!V$5:V382)*PROD!$A$1/SUM(PROD!L$5:L382),IF($AG376="Conv Kg/Doc",(SUM(PROD!V$5:V382)*PROD!$A$1/1000)/(SUM(PROD!L$5:L382)/12),IF(PROD!$O378&gt;0,SUM(PROD!V$5:V382)*PROD!$A$1/(SUM(PROD!L$5:L382)*LOOKUP(PROD!A376,TP!$A$6:$A$108,GSh!$BB$6:$BB$108)),0))),0)</f>
        <v>0</v>
      </c>
      <c r="AI377" s="298">
        <f>IF(PROD!P376&gt;0,IF($AG376="Gr X H",PROD!AE376/PROD!P376*100,IF($AG376="Conv Kg/Doc",PROD!AE376/PROD!P376*1.2,IF(PROD!$P377&gt;0,PROD!AE378/(PROD!P377*LOOKUP(PROD!$A376,TP!$A$6:$A$108,GSh!$BC$6:$BC$108)/1000),0))),0)</f>
        <v>0</v>
      </c>
      <c r="AJ377" s="328">
        <f t="shared" si="213"/>
        <v>0</v>
      </c>
      <c r="AK377" s="2027"/>
      <c r="AL377" s="1284">
        <f t="shared" si="185"/>
        <v>0</v>
      </c>
      <c r="AM377" s="1285"/>
      <c r="AN377" s="1285"/>
      <c r="AO377" s="1285"/>
      <c r="AP377" s="1285"/>
      <c r="AQ377" s="1285"/>
      <c r="AR377" s="1285"/>
      <c r="AS377" s="1286"/>
      <c r="AT377" s="1287"/>
      <c r="AU377" s="1288"/>
      <c r="AV377" s="1289"/>
      <c r="AW377" s="1290"/>
      <c r="AX377" s="1291"/>
      <c r="AY377" s="1291"/>
      <c r="AZ377" s="1292"/>
      <c r="BA377" s="1293"/>
      <c r="BB377" s="1294"/>
      <c r="BC377" s="1295"/>
      <c r="BD377" s="1296">
        <f>BD376+PROD!L377-BA377</f>
        <v>0</v>
      </c>
      <c r="BE377" s="2133"/>
      <c r="BF377" s="507" t="e">
        <f t="shared" si="186"/>
        <v>#VALUE!</v>
      </c>
      <c r="BG377" s="329"/>
      <c r="BH377" s="1018">
        <f t="shared" si="187"/>
        <v>0</v>
      </c>
    </row>
    <row r="378" spans="1:60" ht="15" customHeight="1" x14ac:dyDescent="0.3">
      <c r="A378" s="2033"/>
      <c r="B378" s="287" t="str">
        <f t="shared" si="188"/>
        <v/>
      </c>
      <c r="C378" s="288" t="str">
        <f t="shared" si="183"/>
        <v/>
      </c>
      <c r="D378" s="691"/>
      <c r="E378" s="692"/>
      <c r="F378" s="693"/>
      <c r="G378" s="694"/>
      <c r="H378" s="695"/>
      <c r="I378" s="289">
        <f>I377-SUM($D378:F378)</f>
        <v>0</v>
      </c>
      <c r="J378" s="1235" t="str">
        <f>$J$7</f>
        <v>% Mort/Sel Sem Tab :</v>
      </c>
      <c r="K378" s="1236">
        <f>K381-K374</f>
        <v>0</v>
      </c>
      <c r="L378" s="1246"/>
      <c r="M378" s="291">
        <f t="shared" si="214"/>
        <v>0</v>
      </c>
      <c r="N378" s="304" t="str">
        <f>$N$7</f>
        <v xml:space="preserve">Peso Huevo (Gr) : </v>
      </c>
      <c r="O378" s="305">
        <f>LOOKUP($A376,'Pr-Sem'!$A$6:$A$108,'Pr-Sem'!$Z$6:$Z$108)</f>
        <v>0</v>
      </c>
      <c r="P378" s="305">
        <f>IFERROR(LOOKUP($A376,TP!$A$6:$A$108,GSh!$AZ$6:$AZ$108),0)</f>
        <v>0</v>
      </c>
      <c r="Q378" s="306">
        <f>IF(AND(P378&gt;0,O378&gt;0),O378-P378,0)</f>
        <v>0</v>
      </c>
      <c r="R378" s="699"/>
      <c r="S378" s="762"/>
      <c r="T378" s="765">
        <f t="shared" si="194"/>
        <v>0</v>
      </c>
      <c r="U378" s="700"/>
      <c r="V378" s="701"/>
      <c r="W378" s="701"/>
      <c r="X378" s="295">
        <f t="shared" si="189"/>
        <v>0</v>
      </c>
      <c r="Y378" s="296">
        <f>IF(AA378&gt;0,V378,AE376/IF(Iniciar!$C$25="B X 40 K",40,IF(Iniciar!$C$25="B X 50 K",50,1))*I378/1000)</f>
        <v>0</v>
      </c>
      <c r="Z378" s="296">
        <f t="shared" si="190"/>
        <v>0</v>
      </c>
      <c r="AA378" s="297">
        <f t="shared" si="215"/>
        <v>0</v>
      </c>
      <c r="AB378" s="297">
        <f t="shared" si="184"/>
        <v>0</v>
      </c>
      <c r="AC378" s="1268" t="str">
        <f>$AC$7</f>
        <v>Kg Ave Acu :</v>
      </c>
      <c r="AD378" s="308">
        <f>IF(OR(SUM(L376:L382)&gt;0,SUM(V376:V382)&gt;0),AD377/1000+AD371,0)</f>
        <v>0</v>
      </c>
      <c r="AE378" s="309">
        <f>AE377/1000+AE371</f>
        <v>0</v>
      </c>
      <c r="AF378" s="310">
        <f>IF(AND(AE378&gt;0,AD378&gt;0),(AD378/AE378-1)*100,0)</f>
        <v>0</v>
      </c>
      <c r="AG378" s="311" t="str">
        <f>PROD!$AG$7</f>
        <v xml:space="preserve">Masa Sem H (Gr) : </v>
      </c>
      <c r="AH378" s="312">
        <f>PROD!O376/100*7*PROD!O378</f>
        <v>0</v>
      </c>
      <c r="AI378" s="312">
        <f>PROD!P376/100*7*PROD!P378</f>
        <v>0</v>
      </c>
      <c r="AJ378" s="313">
        <f t="shared" si="213"/>
        <v>0</v>
      </c>
      <c r="AK378" s="2027"/>
      <c r="AL378" s="1284">
        <f t="shared" si="185"/>
        <v>0</v>
      </c>
      <c r="AM378" s="1285"/>
      <c r="AN378" s="1285"/>
      <c r="AO378" s="1285"/>
      <c r="AP378" s="1285"/>
      <c r="AQ378" s="1285"/>
      <c r="AR378" s="1285"/>
      <c r="AS378" s="1286"/>
      <c r="AT378" s="1287"/>
      <c r="AU378" s="1288"/>
      <c r="AV378" s="1289"/>
      <c r="AW378" s="1290"/>
      <c r="AX378" s="1291"/>
      <c r="AY378" s="1291"/>
      <c r="AZ378" s="1292"/>
      <c r="BA378" s="1293"/>
      <c r="BB378" s="1294"/>
      <c r="BC378" s="1295"/>
      <c r="BD378" s="1296">
        <f>BD377+PROD!L378-BA378</f>
        <v>0</v>
      </c>
      <c r="BE378" s="2133"/>
      <c r="BF378" s="507" t="e">
        <f t="shared" si="186"/>
        <v>#VALUE!</v>
      </c>
      <c r="BG378" s="329"/>
      <c r="BH378" s="1018">
        <f t="shared" si="187"/>
        <v>0</v>
      </c>
    </row>
    <row r="379" spans="1:60" ht="15" customHeight="1" x14ac:dyDescent="0.3">
      <c r="A379" s="2033"/>
      <c r="B379" s="287" t="str">
        <f t="shared" si="188"/>
        <v/>
      </c>
      <c r="C379" s="288" t="str">
        <f t="shared" si="183"/>
        <v/>
      </c>
      <c r="D379" s="691"/>
      <c r="E379" s="692"/>
      <c r="F379" s="693"/>
      <c r="G379" s="694"/>
      <c r="H379" s="695"/>
      <c r="I379" s="289">
        <f>I378-SUM($D379:F379)</f>
        <v>0</v>
      </c>
      <c r="J379" s="1234" t="str">
        <f>$J$8</f>
        <v>% Mort Acm :</v>
      </c>
      <c r="K379" s="1231">
        <f>IF(PROD!$K$2&gt;0,SUM(D$5:D382)/PROD!$K$2,0)</f>
        <v>0</v>
      </c>
      <c r="L379" s="1246"/>
      <c r="M379" s="291">
        <f t="shared" si="214"/>
        <v>0</v>
      </c>
      <c r="N379" s="314" t="str">
        <f>N$8</f>
        <v xml:space="preserve">Peso Ave (Gr) : </v>
      </c>
      <c r="O379" s="315">
        <f>LOOKUP($A376,GSh!$BV$6:$BV$108,GSh!$BJ$6:$BJ$108)</f>
        <v>0</v>
      </c>
      <c r="P379" s="315">
        <f>IFERROR(LOOKUP($A376,TP!$A$6:$A$108,GSh!$BK$6:$BK$108),0)</f>
        <v>0</v>
      </c>
      <c r="Q379" s="316">
        <f>IF(AND(P379&gt;0,O379&gt;0),(O379/P379-1)*100,0)</f>
        <v>0</v>
      </c>
      <c r="R379" s="699"/>
      <c r="S379" s="762"/>
      <c r="T379" s="765">
        <f t="shared" si="194"/>
        <v>0</v>
      </c>
      <c r="U379" s="700"/>
      <c r="V379" s="701"/>
      <c r="W379" s="701"/>
      <c r="X379" s="295">
        <f t="shared" si="189"/>
        <v>0</v>
      </c>
      <c r="Y379" s="296">
        <f>IF(AA379&gt;0,V379,AE376/IF(Iniciar!$C$25="B X 40 K",40,IF(Iniciar!$C$25="B X 50 K",50,1))*I379/1000)</f>
        <v>0</v>
      </c>
      <c r="Z379" s="296">
        <f t="shared" si="190"/>
        <v>0</v>
      </c>
      <c r="AA379" s="297">
        <f t="shared" si="215"/>
        <v>0</v>
      </c>
      <c r="AB379" s="297">
        <f t="shared" si="184"/>
        <v>0</v>
      </c>
      <c r="AC379" s="541" t="str">
        <f>$AC$8</f>
        <v xml:space="preserve">Ton. Lote Acu : </v>
      </c>
      <c r="AD379" s="544">
        <f>SUM($V$5:$V382)*$A$1/1000000</f>
        <v>0</v>
      </c>
      <c r="AE379" s="543">
        <f>AE372+(AE376/1000000*7*(I376+I382)/2)</f>
        <v>0</v>
      </c>
      <c r="AF379" s="542">
        <f>IF(AND(AE379&gt;0,AD379&gt;0),(AD379/AE379-1)*100,0)</f>
        <v>0</v>
      </c>
      <c r="AG379" s="317" t="str">
        <f>PROD!$AG$8</f>
        <v xml:space="preserve">Masa Ac A. A (Kg) : </v>
      </c>
      <c r="AH379" s="318">
        <f>IF(PROD!$K$2&gt;0,SUM(PROD!L$5:L382)*LOOKUP(PROD!$A376,TP!$A$6:$A$108,GSh!$BB$6:$BB$108)/1000/PROD!$K$2,0)</f>
        <v>0</v>
      </c>
      <c r="AI379" s="318">
        <f>IFERROR(PROD!P377*LOOKUP(PROD!$A376,TP!$A$6:$A$108,GSh!$BC$6:$BC$108)/1000,0)</f>
        <v>0</v>
      </c>
      <c r="AJ379" s="330">
        <f t="shared" si="213"/>
        <v>0</v>
      </c>
      <c r="AK379" s="2027"/>
      <c r="AL379" s="1284">
        <f t="shared" si="185"/>
        <v>0</v>
      </c>
      <c r="AM379" s="1285"/>
      <c r="AN379" s="1285"/>
      <c r="AO379" s="1285"/>
      <c r="AP379" s="1285"/>
      <c r="AQ379" s="1285"/>
      <c r="AR379" s="1285"/>
      <c r="AS379" s="1286"/>
      <c r="AT379" s="1287"/>
      <c r="AU379" s="1288"/>
      <c r="AV379" s="1289"/>
      <c r="AW379" s="1290"/>
      <c r="AX379" s="1291"/>
      <c r="AY379" s="1291"/>
      <c r="AZ379" s="1292"/>
      <c r="BA379" s="1293"/>
      <c r="BB379" s="1294"/>
      <c r="BC379" s="1295"/>
      <c r="BD379" s="1296">
        <f>BD378+PROD!L379-BA379</f>
        <v>0</v>
      </c>
      <c r="BE379" s="2133"/>
      <c r="BF379" s="507" t="e">
        <f t="shared" si="186"/>
        <v>#VALUE!</v>
      </c>
      <c r="BG379" s="329"/>
      <c r="BH379" s="1018">
        <f t="shared" si="187"/>
        <v>0</v>
      </c>
    </row>
    <row r="380" spans="1:60" ht="15" customHeight="1" x14ac:dyDescent="0.3">
      <c r="A380" s="2033"/>
      <c r="B380" s="287" t="str">
        <f t="shared" si="188"/>
        <v/>
      </c>
      <c r="C380" s="288" t="str">
        <f t="shared" si="183"/>
        <v/>
      </c>
      <c r="D380" s="691"/>
      <c r="E380" s="692"/>
      <c r="F380" s="693"/>
      <c r="G380" s="694"/>
      <c r="H380" s="695"/>
      <c r="I380" s="289">
        <f>I379-SUM($D380:F380)</f>
        <v>0</v>
      </c>
      <c r="J380" s="1234" t="str">
        <f>$J$9</f>
        <v>% Sel Acm :</v>
      </c>
      <c r="K380" s="1231">
        <f>IF(PROD!$K$2&gt;0,SUM(E$5:E382)/PROD!$K$2,0)</f>
        <v>0</v>
      </c>
      <c r="L380" s="1246"/>
      <c r="M380" s="291">
        <f t="shared" si="214"/>
        <v>0</v>
      </c>
      <c r="N380" s="292" t="str">
        <f>$N$9</f>
        <v xml:space="preserve">Uniformidad (10% -) : </v>
      </c>
      <c r="O380" s="320">
        <f>LOOKUP($A376,'Pr-Sem'!$A$6:$A$108,'Pr-Sem'!$AH$6:$AH$108)</f>
        <v>0</v>
      </c>
      <c r="P380" s="320">
        <v>5</v>
      </c>
      <c r="Q380" s="321">
        <f>IF(AND(P380&gt;0,O380&gt;0),(1-O380/P380)*100,0)</f>
        <v>0</v>
      </c>
      <c r="R380" s="699"/>
      <c r="S380" s="762"/>
      <c r="T380" s="765">
        <f t="shared" si="194"/>
        <v>0</v>
      </c>
      <c r="U380" s="700"/>
      <c r="V380" s="701"/>
      <c r="W380" s="701"/>
      <c r="X380" s="295">
        <f t="shared" si="189"/>
        <v>0</v>
      </c>
      <c r="Y380" s="296">
        <f>IF(AA380&gt;0,V380,AE376/IF(Iniciar!$C$25="B X 40 K",40,IF(Iniciar!$C$25="B X 50 K",50,1))*I380/1000)</f>
        <v>0</v>
      </c>
      <c r="Z380" s="296">
        <f t="shared" si="190"/>
        <v>0</v>
      </c>
      <c r="AA380" s="297">
        <f t="shared" si="215"/>
        <v>0</v>
      </c>
      <c r="AB380" s="297">
        <f t="shared" si="184"/>
        <v>0</v>
      </c>
      <c r="AC380" s="2035" t="str">
        <f>$AC$9</f>
        <v xml:space="preserve">Total Litros Sem: </v>
      </c>
      <c r="AD380" s="2036"/>
      <c r="AE380" s="2050">
        <f>SUM(R376:R382)</f>
        <v>0</v>
      </c>
      <c r="AF380" s="2051"/>
      <c r="AG380" s="554" t="str">
        <f>$AG$9</f>
        <v xml:space="preserve">Indicador Eficiencia : </v>
      </c>
      <c r="AH380" s="555">
        <f>IF(AND(AE380&gt;0,O377&gt;0,O378&gt;0,SUM(L376:L382)&gt;0),(PROD!AH379/O377)*K382*100/(AE380/(SUM(L376:L382)*O378/1000)),0)</f>
        <v>0</v>
      </c>
      <c r="AI380" s="555">
        <f>IF(AND(P377&gt;0,PROD!AI378&gt;0),(PROD!AI379/P377)*(1-K381)*100/(AE377/PROD!AI378),0)</f>
        <v>0</v>
      </c>
      <c r="AJ380" s="331">
        <f t="shared" si="213"/>
        <v>0</v>
      </c>
      <c r="AK380" s="2027"/>
      <c r="AL380" s="1284">
        <f t="shared" si="185"/>
        <v>0</v>
      </c>
      <c r="AM380" s="1285"/>
      <c r="AN380" s="1285"/>
      <c r="AO380" s="1285"/>
      <c r="AP380" s="1285"/>
      <c r="AQ380" s="1285"/>
      <c r="AR380" s="1285"/>
      <c r="AS380" s="1286"/>
      <c r="AT380" s="1287"/>
      <c r="AU380" s="1288"/>
      <c r="AV380" s="1289"/>
      <c r="AW380" s="1290"/>
      <c r="AX380" s="1291"/>
      <c r="AY380" s="1291"/>
      <c r="AZ380" s="1292"/>
      <c r="BA380" s="1293"/>
      <c r="BB380" s="1294"/>
      <c r="BC380" s="1295"/>
      <c r="BD380" s="1296">
        <f>BD379+PROD!L380-BA380</f>
        <v>0</v>
      </c>
      <c r="BE380" s="2133"/>
      <c r="BF380" s="507" t="e">
        <f t="shared" si="186"/>
        <v>#VALUE!</v>
      </c>
      <c r="BG380" s="329"/>
      <c r="BH380" s="1018">
        <f t="shared" si="187"/>
        <v>0</v>
      </c>
    </row>
    <row r="381" spans="1:60" ht="15" customHeight="1" x14ac:dyDescent="0.3">
      <c r="A381" s="2033"/>
      <c r="B381" s="287" t="str">
        <f t="shared" si="188"/>
        <v/>
      </c>
      <c r="C381" s="288" t="str">
        <f t="shared" si="183"/>
        <v/>
      </c>
      <c r="D381" s="691"/>
      <c r="E381" s="692"/>
      <c r="F381" s="693"/>
      <c r="G381" s="694"/>
      <c r="H381" s="695"/>
      <c r="I381" s="289">
        <f>I380-SUM($D381:F381)</f>
        <v>0</v>
      </c>
      <c r="J381" s="1237" t="str">
        <f>$J$10</f>
        <v>% Mort/Sel Acm Tab :</v>
      </c>
      <c r="K381" s="1238">
        <f>IFERROR(LOOKUP($A376,TP!$A$6:$A$108,GSh!$AR$6:$AR$108)/100,0)</f>
        <v>0</v>
      </c>
      <c r="L381" s="1246"/>
      <c r="M381" s="291">
        <f t="shared" si="214"/>
        <v>0</v>
      </c>
      <c r="N381" s="292" t="str">
        <f>$N$10</f>
        <v xml:space="preserve">Uniformidad (C. Lote) : </v>
      </c>
      <c r="O381" s="320">
        <f>LOOKUP($A376,'Pr-Sem'!$A$6:$A$108,'Pr-Sem'!$AG$6:$AG$108)</f>
        <v>0</v>
      </c>
      <c r="P381" s="320">
        <v>90</v>
      </c>
      <c r="Q381" s="321">
        <f>IF(AND(P381&gt;0,O381&gt;0),(O381/P381-1)*100,0)</f>
        <v>0</v>
      </c>
      <c r="R381" s="699"/>
      <c r="S381" s="762"/>
      <c r="T381" s="765">
        <f t="shared" si="194"/>
        <v>0</v>
      </c>
      <c r="U381" s="700"/>
      <c r="V381" s="701"/>
      <c r="W381" s="701"/>
      <c r="X381" s="295">
        <f t="shared" si="189"/>
        <v>0</v>
      </c>
      <c r="Y381" s="296">
        <f>IF(AA381&gt;0,V381,AE376/IF(Iniciar!$C$25="B X 40 K",40,IF(Iniciar!$C$25="B X 50 K",50,1))*I381/1000)</f>
        <v>0</v>
      </c>
      <c r="Z381" s="296">
        <f t="shared" si="190"/>
        <v>0</v>
      </c>
      <c r="AA381" s="297">
        <f t="shared" si="215"/>
        <v>0</v>
      </c>
      <c r="AB381" s="297">
        <f t="shared" si="184"/>
        <v>0</v>
      </c>
      <c r="AC381" s="2037" t="str">
        <f>$AC$10</f>
        <v xml:space="preserve">Cons ml /ave día: </v>
      </c>
      <c r="AD381" s="2038"/>
      <c r="AE381" s="2056">
        <f>IFERROR(SUMPRODUCT(AB376:AB382,I376:I382)/SUM(I376:I382),0)</f>
        <v>0</v>
      </c>
      <c r="AF381" s="2057"/>
      <c r="AG381" s="311" t="str">
        <f>CONCATENATE("Costo ",Iniciar!$C$25," : ")</f>
        <v xml:space="preserve">Costo Kilos : </v>
      </c>
      <c r="AH381" s="2043">
        <f>IFERROR(SUMPRODUCT(T376:T382,V376:V382)/SUMIF(T376:T382,"&gt;0",V376:V382),0)</f>
        <v>0</v>
      </c>
      <c r="AI381" s="2043"/>
      <c r="AJ381" s="313"/>
      <c r="AK381" s="2027"/>
      <c r="AL381" s="1284">
        <f t="shared" si="185"/>
        <v>0</v>
      </c>
      <c r="AM381" s="1285"/>
      <c r="AN381" s="1285"/>
      <c r="AO381" s="1285"/>
      <c r="AP381" s="1285"/>
      <c r="AQ381" s="1285"/>
      <c r="AR381" s="1285"/>
      <c r="AS381" s="1286"/>
      <c r="AT381" s="1287"/>
      <c r="AU381" s="1288"/>
      <c r="AV381" s="1289"/>
      <c r="AW381" s="1290"/>
      <c r="AX381" s="1291"/>
      <c r="AY381" s="1291"/>
      <c r="AZ381" s="1292"/>
      <c r="BA381" s="1293"/>
      <c r="BB381" s="1294"/>
      <c r="BC381" s="1295"/>
      <c r="BD381" s="1296">
        <f>BD380+PROD!L381-BA381</f>
        <v>0</v>
      </c>
      <c r="BE381" s="2133"/>
      <c r="BF381" s="507" t="e">
        <f t="shared" si="186"/>
        <v>#VALUE!</v>
      </c>
      <c r="BG381" s="329"/>
      <c r="BH381" s="1018">
        <f t="shared" si="187"/>
        <v>0</v>
      </c>
    </row>
    <row r="382" spans="1:60" ht="15" customHeight="1" x14ac:dyDescent="0.3">
      <c r="A382" s="2034"/>
      <c r="B382" s="287" t="str">
        <f t="shared" si="188"/>
        <v/>
      </c>
      <c r="C382" s="288" t="str">
        <f t="shared" si="183"/>
        <v/>
      </c>
      <c r="D382" s="691"/>
      <c r="E382" s="692"/>
      <c r="F382" s="693"/>
      <c r="G382" s="694"/>
      <c r="H382" s="695"/>
      <c r="I382" s="289">
        <f>I381-SUM($D382:F382)</f>
        <v>0</v>
      </c>
      <c r="J382" s="1239" t="str">
        <f>$J$11</f>
        <v>% Viabilidad :</v>
      </c>
      <c r="K382" s="1240">
        <f>IF(OR(SUM(L376:L382)&gt;0,SUM(V376:V382)&gt;0),1-(K379+K380),0)</f>
        <v>0</v>
      </c>
      <c r="L382" s="1247"/>
      <c r="M382" s="1248">
        <f>IF(I382&gt;0,(L382/IF(SUM(L376:L381)&gt;0,1,7))/I382,0)</f>
        <v>0</v>
      </c>
      <c r="N382" s="1249" t="str">
        <f>$N$11</f>
        <v xml:space="preserve">Uniformidad (10% +) : </v>
      </c>
      <c r="O382" s="1250">
        <f>IF(O380&gt;0,IF(O381&gt;0,100-SUM(O380:O381),0),0)</f>
        <v>0</v>
      </c>
      <c r="P382" s="1251">
        <f>100-SUM(P380:P381)</f>
        <v>5</v>
      </c>
      <c r="Q382" s="1252">
        <f>IF(AND(P382&gt;0,O382&gt;0),(O382/P382-1)*100,0)</f>
        <v>0</v>
      </c>
      <c r="R382" s="699"/>
      <c r="S382" s="762"/>
      <c r="T382" s="765">
        <f t="shared" si="194"/>
        <v>0</v>
      </c>
      <c r="U382" s="700"/>
      <c r="V382" s="701"/>
      <c r="W382" s="701"/>
      <c r="X382" s="295">
        <f t="shared" si="189"/>
        <v>0</v>
      </c>
      <c r="Y382" s="296">
        <f>IF(AA382&gt;0,V382,AE376/IF(Iniciar!$C$25="B X 40 K",40,IF(Iniciar!$C$25="B X 50 K",50,1))*I382/1000)</f>
        <v>0</v>
      </c>
      <c r="Z382" s="296">
        <f t="shared" si="190"/>
        <v>0</v>
      </c>
      <c r="AA382" s="297">
        <f>IF(I382&gt;0,(V382/IF(SUM(V376:V381)&gt;0,1,7))*$A$1/I382,0)</f>
        <v>0</v>
      </c>
      <c r="AB382" s="297">
        <f t="shared" si="184"/>
        <v>0</v>
      </c>
      <c r="AC382" s="2039" t="str">
        <f>$AC$11</f>
        <v xml:space="preserve">Relación Agua /Alimto: </v>
      </c>
      <c r="AD382" s="2040"/>
      <c r="AE382" s="2058">
        <f>IFERROR(AE381/AD376,0)</f>
        <v>0</v>
      </c>
      <c r="AF382" s="2059"/>
      <c r="AG382" s="1269" t="s">
        <v>237</v>
      </c>
      <c r="AH382" s="1270">
        <f>IF(SUM(L376:L382)&gt;0,AH381*SUM(V376:V382)/SUM(L376:L382),0)</f>
        <v>0</v>
      </c>
      <c r="AI382" s="1270">
        <f>IF(AND($A$1&gt;0,P376&gt;0),AH381/$A$1*(AE376/P376)*100,0)</f>
        <v>0</v>
      </c>
      <c r="AJ382" s="1271">
        <f t="shared" ref="AJ382:AJ387" si="216">IF(AND(AI382&gt;0,AH382&gt;0),(AH382/AI382-1)*100,0)</f>
        <v>0</v>
      </c>
      <c r="AK382" s="2028"/>
      <c r="AL382" s="1284">
        <f t="shared" si="185"/>
        <v>0</v>
      </c>
      <c r="AM382" s="1285"/>
      <c r="AN382" s="1285"/>
      <c r="AO382" s="1285"/>
      <c r="AP382" s="1285"/>
      <c r="AQ382" s="1285"/>
      <c r="AR382" s="1285"/>
      <c r="AS382" s="1286"/>
      <c r="AT382" s="1287"/>
      <c r="AU382" s="1288"/>
      <c r="AV382" s="1289"/>
      <c r="AW382" s="1290"/>
      <c r="AX382" s="1291"/>
      <c r="AY382" s="1291"/>
      <c r="AZ382" s="1292"/>
      <c r="BA382" s="1293"/>
      <c r="BB382" s="1294"/>
      <c r="BC382" s="1295"/>
      <c r="BD382" s="1296">
        <f>BD381+PROD!L382-BA382</f>
        <v>0</v>
      </c>
      <c r="BE382" s="2134"/>
      <c r="BF382" s="507" t="e">
        <f t="shared" si="186"/>
        <v>#VALUE!</v>
      </c>
      <c r="BG382" s="329"/>
      <c r="BH382" s="1018">
        <f t="shared" si="187"/>
        <v>0</v>
      </c>
    </row>
    <row r="383" spans="1:60" ht="15" customHeight="1" x14ac:dyDescent="0.3">
      <c r="A383" s="2032">
        <f>A376+1</f>
        <v>72</v>
      </c>
      <c r="B383" s="287" t="str">
        <f t="shared" si="188"/>
        <v/>
      </c>
      <c r="C383" s="288" t="str">
        <f t="shared" si="183"/>
        <v/>
      </c>
      <c r="D383" s="691"/>
      <c r="E383" s="692"/>
      <c r="F383" s="693"/>
      <c r="G383" s="694"/>
      <c r="H383" s="695"/>
      <c r="I383" s="289">
        <f>I382-SUM($D383:F383)</f>
        <v>0</v>
      </c>
      <c r="J383" s="1232" t="str">
        <f>$J$5</f>
        <v>% Mort Sem :</v>
      </c>
      <c r="K383" s="1233">
        <f>IF(PROD!$K$2&gt;0,SUM(D383:D389)/PROD!$K$2,0)</f>
        <v>0</v>
      </c>
      <c r="L383" s="1241"/>
      <c r="M383" s="1242">
        <f t="shared" ref="M383:M388" si="217">IF(I383&gt;0,L383/I383,0)</f>
        <v>0</v>
      </c>
      <c r="N383" s="1243" t="str">
        <f>$N$5</f>
        <v xml:space="preserve">% Pdn prom semana : </v>
      </c>
      <c r="O383" s="1244">
        <f>IF(SUM(L383:L388)&gt;0,100*SUMPRODUCT(M383:M389,I383:I389)/SUMIF(L383:L389,"&gt;0",I383:I389),IF(L389&gt;0,100*L389/7/I389,0))</f>
        <v>0</v>
      </c>
      <c r="P383" s="1244">
        <f>IFERROR(LOOKUP($A383,TP!$A$6:$A$108,GSh!$AE$6:$AE$108),0)</f>
        <v>0</v>
      </c>
      <c r="Q383" s="1245">
        <f>IF(AND(P383&gt;0,O383&gt;0),O383-P383,0)</f>
        <v>0</v>
      </c>
      <c r="R383" s="699"/>
      <c r="S383" s="762"/>
      <c r="T383" s="765">
        <f t="shared" si="194"/>
        <v>0</v>
      </c>
      <c r="U383" s="700"/>
      <c r="V383" s="701"/>
      <c r="W383" s="701"/>
      <c r="X383" s="295">
        <f t="shared" si="189"/>
        <v>0</v>
      </c>
      <c r="Y383" s="296">
        <f>IF(AA383&gt;0,V383,AE383/IF(Iniciar!$C$25="B X 40 K",40,IF(Iniciar!$C$25="B X 50 K",50,1))*I383/1000)</f>
        <v>0</v>
      </c>
      <c r="Z383" s="296">
        <f t="shared" si="190"/>
        <v>0</v>
      </c>
      <c r="AA383" s="297">
        <f t="shared" ref="AA383:AA388" si="218">IF(I383&gt;0,V383*$A$1/I383,0)</f>
        <v>0</v>
      </c>
      <c r="AB383" s="297">
        <f t="shared" si="184"/>
        <v>0</v>
      </c>
      <c r="AC383" s="1261" t="str">
        <f>$AC$5</f>
        <v>Gr. Ave Dia :</v>
      </c>
      <c r="AD383" s="1262">
        <f>IF(SUMIF(V383:V389,"&gt;0")&gt;0,SUMPRODUCT(AA383:AA389,I383:I389)/SUMIF(AA383:AA389,"&gt;0",I383:I389),0)</f>
        <v>0</v>
      </c>
      <c r="AE383" s="1262">
        <f>IFERROR(LOOKUP($A383,TP!$A$6:$A$108,GSh!$AU$6:$AU$108),0)</f>
        <v>0</v>
      </c>
      <c r="AF383" s="1263">
        <f>IF(AND(AE383&gt;0,AD383&gt;0),(AD383/AE383-1)*100,0)</f>
        <v>0</v>
      </c>
      <c r="AG383" s="1264" t="str">
        <f>PROD!$AG$5</f>
        <v>Gr X H</v>
      </c>
      <c r="AH383" s="1265">
        <f>IF(PROD!O383&gt;0,IF($AG383="Gr X H",PROD!AD383/PROD!O383*100,IF($AG383="Conv Kg/Doc",PROD!AD383/PROD!O383*1.2,IF(PROD!$O385&gt;0,PROD!AD383/(PROD!O383*PROD!$O385)*100,0))),0)</f>
        <v>0</v>
      </c>
      <c r="AI383" s="1265">
        <f>IF(PROD!P383&gt;0,IF($AG383="Gr X H",PROD!AE383/PROD!P383*100,IF($AG383="Conv Kg/Doc",PROD!AE383/PROD!P383*1.2,IF(PROD!$P385&gt;0,PROD!AE383/(PROD!P383*PROD!$P385)*100,0))),0)</f>
        <v>0</v>
      </c>
      <c r="AJ383" s="1266">
        <f t="shared" si="216"/>
        <v>0</v>
      </c>
      <c r="AK383" s="2026"/>
      <c r="AL383" s="1284">
        <f t="shared" si="185"/>
        <v>0</v>
      </c>
      <c r="AM383" s="1285"/>
      <c r="AN383" s="1285"/>
      <c r="AO383" s="1285"/>
      <c r="AP383" s="1285"/>
      <c r="AQ383" s="1285"/>
      <c r="AR383" s="1285"/>
      <c r="AS383" s="1286"/>
      <c r="AT383" s="1287"/>
      <c r="AU383" s="1288"/>
      <c r="AV383" s="1289"/>
      <c r="AW383" s="1290"/>
      <c r="AX383" s="1291"/>
      <c r="AY383" s="1291"/>
      <c r="AZ383" s="1292"/>
      <c r="BA383" s="1293"/>
      <c r="BB383" s="1294"/>
      <c r="BC383" s="1295"/>
      <c r="BD383" s="1296">
        <f>BD382+PROD!L383-BA383</f>
        <v>0</v>
      </c>
      <c r="BE383" s="2132">
        <f>IF(SUM(AM383:AZ389)&gt;0,(SUM(AM383:AM389)*$AM$2+SUM(AN383:AN389)*$AN$2+SUM(AO383:AO389)*$AO$2+SUM(AP383:AP389)*$AP$2+SUM(AQ383:AQ389)*$AQ$2+SUM(AR383:AR389)*$AR$2+SUM(AS383:AS389)*$AS$2+SUM(AW383:AW389)*$AW$2+SUM(AX383:AX389)*$AX$2+SUM(AY383:AY389)*$AY$2+SUM(AZ383:AZ389)*$AZ$2+SUM(AT383:AT389)*$AT$2+SUM(AU383:AU389)*$AU$2+SUM(AV383:AV389)*$AV$2)/SUM(AM383:AZ389),0)</f>
        <v>0</v>
      </c>
      <c r="BF383" s="507" t="e">
        <f t="shared" si="186"/>
        <v>#VALUE!</v>
      </c>
      <c r="BG383" s="277">
        <f>IF(SUM(L383:L389)&gt;0,A383,IF(SUM(V383:V389)&gt;0,A383,BG376))</f>
        <v>0</v>
      </c>
      <c r="BH383" s="1018">
        <f t="shared" si="187"/>
        <v>0</v>
      </c>
    </row>
    <row r="384" spans="1:60" ht="15" customHeight="1" x14ac:dyDescent="0.3">
      <c r="A384" s="2033"/>
      <c r="B384" s="287" t="str">
        <f t="shared" si="188"/>
        <v/>
      </c>
      <c r="C384" s="288" t="str">
        <f t="shared" si="183"/>
        <v/>
      </c>
      <c r="D384" s="691"/>
      <c r="E384" s="692"/>
      <c r="F384" s="693"/>
      <c r="G384" s="694"/>
      <c r="H384" s="695"/>
      <c r="I384" s="289">
        <f>I383-SUM($D384:F384)</f>
        <v>0</v>
      </c>
      <c r="J384" s="1234" t="str">
        <f>$J$6</f>
        <v>% Sel Sem :</v>
      </c>
      <c r="K384" s="1231">
        <f>IF(PROD!$K$2&gt;0,SUM(E383:E389)/PROD!$K$2,0)</f>
        <v>0</v>
      </c>
      <c r="L384" s="1246"/>
      <c r="M384" s="291">
        <f t="shared" si="217"/>
        <v>0</v>
      </c>
      <c r="N384" s="292" t="str">
        <f>$N$6</f>
        <v xml:space="preserve">H. Ave Alojada : </v>
      </c>
      <c r="O384" s="293">
        <f>IF(AND(PROD!$K$2&gt;0,O383&gt;0),SUM(L$5:L389)/PROD!$K$2,0)</f>
        <v>0</v>
      </c>
      <c r="P384" s="293">
        <f>IFERROR(LOOKUP($A383,TP!$A$6:$A$108,GSh!$AJ$6:$AJ$108),0)</f>
        <v>0</v>
      </c>
      <c r="Q384" s="294">
        <f>IF(AND(P384&gt;0,O384&gt;0),O384-P384,0)</f>
        <v>0</v>
      </c>
      <c r="R384" s="699"/>
      <c r="S384" s="762"/>
      <c r="T384" s="765">
        <f t="shared" si="194"/>
        <v>0</v>
      </c>
      <c r="U384" s="700"/>
      <c r="V384" s="701"/>
      <c r="W384" s="701"/>
      <c r="X384" s="295">
        <f t="shared" si="189"/>
        <v>0</v>
      </c>
      <c r="Y384" s="296">
        <f>IF(AA384&gt;0,V384,AE383/IF(Iniciar!$C$25="B X 40 K",40,IF(Iniciar!$C$25="B X 50 K",50,1))*I384/1000)</f>
        <v>0</v>
      </c>
      <c r="Z384" s="296">
        <f t="shared" si="190"/>
        <v>0</v>
      </c>
      <c r="AA384" s="297">
        <f t="shared" si="218"/>
        <v>0</v>
      </c>
      <c r="AB384" s="297">
        <f t="shared" si="184"/>
        <v>0</v>
      </c>
      <c r="AC384" s="1267" t="str">
        <f>$AC$6</f>
        <v>Gr. Ave Sem :</v>
      </c>
      <c r="AD384" s="284">
        <f>AD383*7</f>
        <v>0</v>
      </c>
      <c r="AE384" s="284">
        <f>AE383*7</f>
        <v>0</v>
      </c>
      <c r="AF384" s="285">
        <f>IF(AND(AE384&gt;0,AD384&gt;0),(AD384/AE384-1)*100,0)</f>
        <v>0</v>
      </c>
      <c r="AG384" s="1199" t="str">
        <f>PROD!$AG$6</f>
        <v>Gr X H Acm</v>
      </c>
      <c r="AH384" s="298">
        <f>IF(SUM(PROD!L383:L389)&gt;0,IF(PROD!$AG$5="Gr X H",SUM(PROD!V$5:V389)*PROD!$A$1/SUM(PROD!L$5:L389),IF($AG383="Conv Kg/Doc",(SUM(PROD!V$5:V389)*PROD!$A$1/1000)/(SUM(PROD!L$5:L389)/12),IF(PROD!$O385&gt;0,SUM(PROD!V$5:V389)*PROD!$A$1/(SUM(PROD!L$5:L389)*LOOKUP(PROD!A383,TP!$A$6:$A$108,GSh!$BB$6:$BB$108)),0))),0)</f>
        <v>0</v>
      </c>
      <c r="AI384" s="298">
        <f>IF(PROD!P383&gt;0,IF($AG383="Gr X H",PROD!AE383/PROD!P383*100,IF($AG383="Conv Kg/Doc",PROD!AE383/PROD!P383*1.2,IF(PROD!$P384&gt;0,PROD!AE385/(PROD!P384*LOOKUP(PROD!$A383,TP!$A$6:$A$108,GSh!$BC$6:$BC$108)/1000),0))),0)</f>
        <v>0</v>
      </c>
      <c r="AJ384" s="328">
        <f t="shared" si="216"/>
        <v>0</v>
      </c>
      <c r="AK384" s="2027"/>
      <c r="AL384" s="1284">
        <f t="shared" si="185"/>
        <v>0</v>
      </c>
      <c r="AM384" s="1285"/>
      <c r="AN384" s="1285"/>
      <c r="AO384" s="1285"/>
      <c r="AP384" s="1285"/>
      <c r="AQ384" s="1285"/>
      <c r="AR384" s="1285"/>
      <c r="AS384" s="1286"/>
      <c r="AT384" s="1287"/>
      <c r="AU384" s="1288"/>
      <c r="AV384" s="1289"/>
      <c r="AW384" s="1290"/>
      <c r="AX384" s="1291"/>
      <c r="AY384" s="1291"/>
      <c r="AZ384" s="1292"/>
      <c r="BA384" s="1293"/>
      <c r="BB384" s="1294"/>
      <c r="BC384" s="1295"/>
      <c r="BD384" s="1296">
        <f>BD383+PROD!L384-BA384</f>
        <v>0</v>
      </c>
      <c r="BE384" s="2133"/>
      <c r="BF384" s="507" t="e">
        <f t="shared" si="186"/>
        <v>#VALUE!</v>
      </c>
      <c r="BG384" s="329"/>
      <c r="BH384" s="1018">
        <f t="shared" si="187"/>
        <v>0</v>
      </c>
    </row>
    <row r="385" spans="1:60" ht="15" customHeight="1" x14ac:dyDescent="0.3">
      <c r="A385" s="2033"/>
      <c r="B385" s="287" t="str">
        <f t="shared" si="188"/>
        <v/>
      </c>
      <c r="C385" s="288" t="str">
        <f t="shared" si="183"/>
        <v/>
      </c>
      <c r="D385" s="691"/>
      <c r="E385" s="692"/>
      <c r="F385" s="693"/>
      <c r="G385" s="694"/>
      <c r="H385" s="695"/>
      <c r="I385" s="289">
        <f>I384-SUM($D385:F385)</f>
        <v>0</v>
      </c>
      <c r="J385" s="1235" t="str">
        <f>$J$7</f>
        <v>% Mort/Sel Sem Tab :</v>
      </c>
      <c r="K385" s="1236">
        <f>K388-K381</f>
        <v>0</v>
      </c>
      <c r="L385" s="1246"/>
      <c r="M385" s="291">
        <f t="shared" si="217"/>
        <v>0</v>
      </c>
      <c r="N385" s="304" t="str">
        <f>$N$7</f>
        <v xml:space="preserve">Peso Huevo (Gr) : </v>
      </c>
      <c r="O385" s="305">
        <f>LOOKUP($A383,'Pr-Sem'!$A$6:$A$108,'Pr-Sem'!$Z$6:$Z$108)</f>
        <v>0</v>
      </c>
      <c r="P385" s="305">
        <f>IFERROR(LOOKUP($A383,TP!$A$6:$A$108,GSh!$AZ$6:$AZ$108),0)</f>
        <v>0</v>
      </c>
      <c r="Q385" s="306">
        <f>IF(AND(P385&gt;0,O385&gt;0),O385-P385,0)</f>
        <v>0</v>
      </c>
      <c r="R385" s="699"/>
      <c r="S385" s="762"/>
      <c r="T385" s="765">
        <f t="shared" si="194"/>
        <v>0</v>
      </c>
      <c r="U385" s="700"/>
      <c r="V385" s="701"/>
      <c r="W385" s="701"/>
      <c r="X385" s="295">
        <f t="shared" si="189"/>
        <v>0</v>
      </c>
      <c r="Y385" s="296">
        <f>IF(AA385&gt;0,V385,AE383/IF(Iniciar!$C$25="B X 40 K",40,IF(Iniciar!$C$25="B X 50 K",50,1))*I385/1000)</f>
        <v>0</v>
      </c>
      <c r="Z385" s="296">
        <f t="shared" si="190"/>
        <v>0</v>
      </c>
      <c r="AA385" s="297">
        <f t="shared" si="218"/>
        <v>0</v>
      </c>
      <c r="AB385" s="297">
        <f t="shared" si="184"/>
        <v>0</v>
      </c>
      <c r="AC385" s="1268" t="str">
        <f>$AC$7</f>
        <v>Kg Ave Acu :</v>
      </c>
      <c r="AD385" s="308">
        <f>IF(OR(SUM(L383:L389)&gt;0,SUM(V383:V389)&gt;0),AD384/1000+AD378,0)</f>
        <v>0</v>
      </c>
      <c r="AE385" s="309">
        <f>AE384/1000+AE378</f>
        <v>0</v>
      </c>
      <c r="AF385" s="310">
        <f>IF(AND(AE385&gt;0,AD385&gt;0),(AD385/AE385-1)*100,0)</f>
        <v>0</v>
      </c>
      <c r="AG385" s="311" t="str">
        <f>PROD!$AG$7</f>
        <v xml:space="preserve">Masa Sem H (Gr) : </v>
      </c>
      <c r="AH385" s="312">
        <f>PROD!O383/100*7*PROD!O385</f>
        <v>0</v>
      </c>
      <c r="AI385" s="312">
        <f>PROD!P383/100*7*PROD!P385</f>
        <v>0</v>
      </c>
      <c r="AJ385" s="313">
        <f t="shared" si="216"/>
        <v>0</v>
      </c>
      <c r="AK385" s="2027"/>
      <c r="AL385" s="1284">
        <f t="shared" si="185"/>
        <v>0</v>
      </c>
      <c r="AM385" s="1285"/>
      <c r="AN385" s="1285"/>
      <c r="AO385" s="1285"/>
      <c r="AP385" s="1285"/>
      <c r="AQ385" s="1285"/>
      <c r="AR385" s="1285"/>
      <c r="AS385" s="1286"/>
      <c r="AT385" s="1287"/>
      <c r="AU385" s="1288"/>
      <c r="AV385" s="1289"/>
      <c r="AW385" s="1290"/>
      <c r="AX385" s="1291"/>
      <c r="AY385" s="1291"/>
      <c r="AZ385" s="1292"/>
      <c r="BA385" s="1293"/>
      <c r="BB385" s="1294"/>
      <c r="BC385" s="1295"/>
      <c r="BD385" s="1296">
        <f>BD384+PROD!L385-BA385</f>
        <v>0</v>
      </c>
      <c r="BE385" s="2133"/>
      <c r="BF385" s="507" t="e">
        <f t="shared" si="186"/>
        <v>#VALUE!</v>
      </c>
      <c r="BG385" s="329"/>
      <c r="BH385" s="1018">
        <f t="shared" si="187"/>
        <v>0</v>
      </c>
    </row>
    <row r="386" spans="1:60" ht="15" customHeight="1" x14ac:dyDescent="0.3">
      <c r="A386" s="2033"/>
      <c r="B386" s="287" t="str">
        <f t="shared" si="188"/>
        <v/>
      </c>
      <c r="C386" s="288" t="str">
        <f t="shared" si="183"/>
        <v/>
      </c>
      <c r="D386" s="691"/>
      <c r="E386" s="692"/>
      <c r="F386" s="693"/>
      <c r="G386" s="694"/>
      <c r="H386" s="695"/>
      <c r="I386" s="289">
        <f>I385-SUM($D386:F386)</f>
        <v>0</v>
      </c>
      <c r="J386" s="1234" t="str">
        <f>$J$8</f>
        <v>% Mort Acm :</v>
      </c>
      <c r="K386" s="1231">
        <f>IF(PROD!$K$2&gt;0,SUM(D$5:D389)/PROD!$K$2,0)</f>
        <v>0</v>
      </c>
      <c r="L386" s="1246"/>
      <c r="M386" s="291">
        <f t="shared" si="217"/>
        <v>0</v>
      </c>
      <c r="N386" s="314" t="str">
        <f>N$8</f>
        <v xml:space="preserve">Peso Ave (Gr) : </v>
      </c>
      <c r="O386" s="315">
        <f>LOOKUP($A383,GSh!$BV$6:$BV$108,GSh!$BJ$6:$BJ$108)</f>
        <v>0</v>
      </c>
      <c r="P386" s="315">
        <f>IFERROR(LOOKUP($A383,TP!$A$6:$A$108,GSh!$BK$6:$BK$108),0)</f>
        <v>0</v>
      </c>
      <c r="Q386" s="316">
        <f>IF(AND(P386&gt;0,O386&gt;0),(O386/P386-1)*100,0)</f>
        <v>0</v>
      </c>
      <c r="R386" s="699"/>
      <c r="S386" s="762"/>
      <c r="T386" s="765">
        <f t="shared" si="194"/>
        <v>0</v>
      </c>
      <c r="U386" s="700"/>
      <c r="V386" s="701"/>
      <c r="W386" s="701"/>
      <c r="X386" s="295">
        <f t="shared" si="189"/>
        <v>0</v>
      </c>
      <c r="Y386" s="296">
        <f>IF(AA386&gt;0,V386,AE383/IF(Iniciar!$C$25="B X 40 K",40,IF(Iniciar!$C$25="B X 50 K",50,1))*I386/1000)</f>
        <v>0</v>
      </c>
      <c r="Z386" s="296">
        <f t="shared" si="190"/>
        <v>0</v>
      </c>
      <c r="AA386" s="297">
        <f t="shared" si="218"/>
        <v>0</v>
      </c>
      <c r="AB386" s="297">
        <f t="shared" si="184"/>
        <v>0</v>
      </c>
      <c r="AC386" s="541" t="str">
        <f>$AC$8</f>
        <v xml:space="preserve">Ton. Lote Acu : </v>
      </c>
      <c r="AD386" s="544">
        <f>SUM($V$5:$V389)*$A$1/1000000</f>
        <v>0</v>
      </c>
      <c r="AE386" s="543">
        <f>AE379+(AE383/1000000*7*(I383+I389)/2)</f>
        <v>0</v>
      </c>
      <c r="AF386" s="542">
        <f>IF(AND(AE386&gt;0,AD386&gt;0),(AD386/AE386-1)*100,0)</f>
        <v>0</v>
      </c>
      <c r="AG386" s="317" t="str">
        <f>PROD!$AG$8</f>
        <v xml:space="preserve">Masa Ac A. A (Kg) : </v>
      </c>
      <c r="AH386" s="318">
        <f>IF(PROD!$K$2&gt;0,SUM(PROD!L$5:L389)*LOOKUP(PROD!$A383,TP!$A$6:$A$108,GSh!$BB$6:$BB$108)/1000/PROD!$K$2,0)</f>
        <v>0</v>
      </c>
      <c r="AI386" s="318">
        <f>IFERROR(PROD!P384*LOOKUP(PROD!$A383,TP!$A$6:$A$108,GSh!$BC$6:$BC$108)/1000,0)</f>
        <v>0</v>
      </c>
      <c r="AJ386" s="330">
        <f t="shared" si="216"/>
        <v>0</v>
      </c>
      <c r="AK386" s="2027"/>
      <c r="AL386" s="1284">
        <f t="shared" si="185"/>
        <v>0</v>
      </c>
      <c r="AM386" s="1285"/>
      <c r="AN386" s="1285"/>
      <c r="AO386" s="1285"/>
      <c r="AP386" s="1285"/>
      <c r="AQ386" s="1285"/>
      <c r="AR386" s="1285"/>
      <c r="AS386" s="1286"/>
      <c r="AT386" s="1287"/>
      <c r="AU386" s="1288"/>
      <c r="AV386" s="1289"/>
      <c r="AW386" s="1290"/>
      <c r="AX386" s="1291"/>
      <c r="AY386" s="1291"/>
      <c r="AZ386" s="1292"/>
      <c r="BA386" s="1293"/>
      <c r="BB386" s="1294"/>
      <c r="BC386" s="1295"/>
      <c r="BD386" s="1296">
        <f>BD385+PROD!L386-BA386</f>
        <v>0</v>
      </c>
      <c r="BE386" s="2133"/>
      <c r="BF386" s="507" t="e">
        <f t="shared" si="186"/>
        <v>#VALUE!</v>
      </c>
      <c r="BG386" s="329"/>
      <c r="BH386" s="1018">
        <f t="shared" si="187"/>
        <v>0</v>
      </c>
    </row>
    <row r="387" spans="1:60" ht="15" customHeight="1" x14ac:dyDescent="0.3">
      <c r="A387" s="2033"/>
      <c r="B387" s="287" t="str">
        <f t="shared" si="188"/>
        <v/>
      </c>
      <c r="C387" s="288" t="str">
        <f t="shared" si="183"/>
        <v/>
      </c>
      <c r="D387" s="691"/>
      <c r="E387" s="692"/>
      <c r="F387" s="693"/>
      <c r="G387" s="694"/>
      <c r="H387" s="695"/>
      <c r="I387" s="289">
        <f>I386-SUM($D387:F387)</f>
        <v>0</v>
      </c>
      <c r="J387" s="1234" t="str">
        <f>$J$9</f>
        <v>% Sel Acm :</v>
      </c>
      <c r="K387" s="1231">
        <f>IF(PROD!$K$2&gt;0,SUM(E$5:E389)/PROD!$K$2,0)</f>
        <v>0</v>
      </c>
      <c r="L387" s="1246"/>
      <c r="M387" s="291">
        <f t="shared" si="217"/>
        <v>0</v>
      </c>
      <c r="N387" s="292" t="str">
        <f>$N$9</f>
        <v xml:space="preserve">Uniformidad (10% -) : </v>
      </c>
      <c r="O387" s="320">
        <f>LOOKUP($A383,'Pr-Sem'!$A$6:$A$108,'Pr-Sem'!$AH$6:$AH$108)</f>
        <v>0</v>
      </c>
      <c r="P387" s="320">
        <v>5</v>
      </c>
      <c r="Q387" s="321">
        <f>IF(AND(P387&gt;0,O387&gt;0),(1-O387/P387)*100,0)</f>
        <v>0</v>
      </c>
      <c r="R387" s="699"/>
      <c r="S387" s="762"/>
      <c r="T387" s="765">
        <f t="shared" si="194"/>
        <v>0</v>
      </c>
      <c r="U387" s="700"/>
      <c r="V387" s="701"/>
      <c r="W387" s="701"/>
      <c r="X387" s="295">
        <f t="shared" si="189"/>
        <v>0</v>
      </c>
      <c r="Y387" s="296">
        <f>IF(AA387&gt;0,V387,AE383/IF(Iniciar!$C$25="B X 40 K",40,IF(Iniciar!$C$25="B X 50 K",50,1))*I387/1000)</f>
        <v>0</v>
      </c>
      <c r="Z387" s="296">
        <f t="shared" si="190"/>
        <v>0</v>
      </c>
      <c r="AA387" s="297">
        <f t="shared" si="218"/>
        <v>0</v>
      </c>
      <c r="AB387" s="297">
        <f t="shared" si="184"/>
        <v>0</v>
      </c>
      <c r="AC387" s="2035" t="str">
        <f>$AC$9</f>
        <v xml:space="preserve">Total Litros Sem: </v>
      </c>
      <c r="AD387" s="2036"/>
      <c r="AE387" s="2050">
        <f>SUM(R383:R389)</f>
        <v>0</v>
      </c>
      <c r="AF387" s="2051"/>
      <c r="AG387" s="554" t="str">
        <f>$AG$9</f>
        <v xml:space="preserve">Indicador Eficiencia : </v>
      </c>
      <c r="AH387" s="555">
        <f>IF(AND(AE387&gt;0,O384&gt;0,O385&gt;0,SUM(L383:L389)&gt;0),(PROD!AH386/O384)*K389*100/(AE387/(SUM(L383:L389)*O385/1000)),0)</f>
        <v>0</v>
      </c>
      <c r="AI387" s="555">
        <f>IF(AND(P384&gt;0,PROD!AI385&gt;0),(PROD!AI386/P384)*(1-K388)*100/(AE384/PROD!AI385),0)</f>
        <v>0</v>
      </c>
      <c r="AJ387" s="331">
        <f t="shared" si="216"/>
        <v>0</v>
      </c>
      <c r="AK387" s="2027"/>
      <c r="AL387" s="1284">
        <f t="shared" si="185"/>
        <v>0</v>
      </c>
      <c r="AM387" s="1285"/>
      <c r="AN387" s="1285"/>
      <c r="AO387" s="1285"/>
      <c r="AP387" s="1285"/>
      <c r="AQ387" s="1285"/>
      <c r="AR387" s="1285"/>
      <c r="AS387" s="1286"/>
      <c r="AT387" s="1287"/>
      <c r="AU387" s="1288"/>
      <c r="AV387" s="1289"/>
      <c r="AW387" s="1290"/>
      <c r="AX387" s="1291"/>
      <c r="AY387" s="1291"/>
      <c r="AZ387" s="1292"/>
      <c r="BA387" s="1293"/>
      <c r="BB387" s="1294"/>
      <c r="BC387" s="1295"/>
      <c r="BD387" s="1296">
        <f>BD386+PROD!L387-BA387</f>
        <v>0</v>
      </c>
      <c r="BE387" s="2133"/>
      <c r="BF387" s="507" t="e">
        <f t="shared" si="186"/>
        <v>#VALUE!</v>
      </c>
      <c r="BG387" s="329"/>
      <c r="BH387" s="1018">
        <f t="shared" si="187"/>
        <v>0</v>
      </c>
    </row>
    <row r="388" spans="1:60" ht="15" customHeight="1" x14ac:dyDescent="0.3">
      <c r="A388" s="2033"/>
      <c r="B388" s="287" t="str">
        <f t="shared" si="188"/>
        <v/>
      </c>
      <c r="C388" s="288" t="str">
        <f t="shared" si="183"/>
        <v/>
      </c>
      <c r="D388" s="691"/>
      <c r="E388" s="692"/>
      <c r="F388" s="693"/>
      <c r="G388" s="694"/>
      <c r="H388" s="695"/>
      <c r="I388" s="289">
        <f>I387-SUM($D388:F388)</f>
        <v>0</v>
      </c>
      <c r="J388" s="1237" t="str">
        <f>$J$10</f>
        <v>% Mort/Sel Acm Tab :</v>
      </c>
      <c r="K388" s="1238">
        <f>IFERROR(LOOKUP($A383,TP!$A$6:$A$108,GSh!$AR$6:$AR$108)/100,0)</f>
        <v>0</v>
      </c>
      <c r="L388" s="1246"/>
      <c r="M388" s="291">
        <f t="shared" si="217"/>
        <v>0</v>
      </c>
      <c r="N388" s="292" t="str">
        <f>$N$10</f>
        <v xml:space="preserve">Uniformidad (C. Lote) : </v>
      </c>
      <c r="O388" s="320">
        <f>LOOKUP($A383,'Pr-Sem'!$A$6:$A$108,'Pr-Sem'!$AG$6:$AG$108)</f>
        <v>0</v>
      </c>
      <c r="P388" s="320">
        <v>90</v>
      </c>
      <c r="Q388" s="321">
        <f>IF(AND(P388&gt;0,O388&gt;0),(O388/P388-1)*100,0)</f>
        <v>0</v>
      </c>
      <c r="R388" s="699"/>
      <c r="S388" s="762"/>
      <c r="T388" s="765">
        <f t="shared" si="194"/>
        <v>0</v>
      </c>
      <c r="U388" s="700"/>
      <c r="V388" s="701"/>
      <c r="W388" s="701"/>
      <c r="X388" s="295">
        <f t="shared" si="189"/>
        <v>0</v>
      </c>
      <c r="Y388" s="296">
        <f>IF(AA388&gt;0,V388,AE383/IF(Iniciar!$C$25="B X 40 K",40,IF(Iniciar!$C$25="B X 50 K",50,1))*I388/1000)</f>
        <v>0</v>
      </c>
      <c r="Z388" s="296">
        <f t="shared" si="190"/>
        <v>0</v>
      </c>
      <c r="AA388" s="297">
        <f t="shared" si="218"/>
        <v>0</v>
      </c>
      <c r="AB388" s="297">
        <f t="shared" si="184"/>
        <v>0</v>
      </c>
      <c r="AC388" s="2037" t="str">
        <f>$AC$10</f>
        <v xml:space="preserve">Cons ml /ave día: </v>
      </c>
      <c r="AD388" s="2038"/>
      <c r="AE388" s="2056">
        <f>IFERROR(SUMPRODUCT(AB383:AB389,I383:I389)/SUM(I383:I389),0)</f>
        <v>0</v>
      </c>
      <c r="AF388" s="2057"/>
      <c r="AG388" s="311" t="str">
        <f>CONCATENATE("Costo ",Iniciar!$C$25," : ")</f>
        <v xml:space="preserve">Costo Kilos : </v>
      </c>
      <c r="AH388" s="2043">
        <f>IFERROR(SUMPRODUCT(T383:T389,V383:V389)/SUMIF(T383:T389,"&gt;0",V383:V389),0)</f>
        <v>0</v>
      </c>
      <c r="AI388" s="2043"/>
      <c r="AJ388" s="313"/>
      <c r="AK388" s="2027"/>
      <c r="AL388" s="1284">
        <f t="shared" si="185"/>
        <v>0</v>
      </c>
      <c r="AM388" s="1285"/>
      <c r="AN388" s="1285"/>
      <c r="AO388" s="1285"/>
      <c r="AP388" s="1285"/>
      <c r="AQ388" s="1285"/>
      <c r="AR388" s="1285"/>
      <c r="AS388" s="1286"/>
      <c r="AT388" s="1287"/>
      <c r="AU388" s="1288"/>
      <c r="AV388" s="1289"/>
      <c r="AW388" s="1290"/>
      <c r="AX388" s="1291"/>
      <c r="AY388" s="1291"/>
      <c r="AZ388" s="1292"/>
      <c r="BA388" s="1293"/>
      <c r="BB388" s="1294"/>
      <c r="BC388" s="1295"/>
      <c r="BD388" s="1296">
        <f>BD387+PROD!L388-BA388</f>
        <v>0</v>
      </c>
      <c r="BE388" s="2133"/>
      <c r="BF388" s="507" t="e">
        <f t="shared" si="186"/>
        <v>#VALUE!</v>
      </c>
      <c r="BG388" s="329"/>
      <c r="BH388" s="1018">
        <f t="shared" si="187"/>
        <v>0</v>
      </c>
    </row>
    <row r="389" spans="1:60" ht="15" customHeight="1" x14ac:dyDescent="0.3">
      <c r="A389" s="2034"/>
      <c r="B389" s="287" t="str">
        <f t="shared" si="188"/>
        <v/>
      </c>
      <c r="C389" s="288" t="str">
        <f t="shared" ref="C389:C452" si="219">IF(B389="","",(B389-Fnac+1)/7)</f>
        <v/>
      </c>
      <c r="D389" s="691"/>
      <c r="E389" s="692"/>
      <c r="F389" s="693"/>
      <c r="G389" s="694"/>
      <c r="H389" s="695"/>
      <c r="I389" s="289">
        <f>I388-SUM($D389:F389)</f>
        <v>0</v>
      </c>
      <c r="J389" s="1239" t="str">
        <f>$J$11</f>
        <v>% Viabilidad :</v>
      </c>
      <c r="K389" s="1240">
        <f>IF(OR(SUM(L383:L389)&gt;0,SUM(V383:V389)&gt;0),1-(K386+K387),0)</f>
        <v>0</v>
      </c>
      <c r="L389" s="1247"/>
      <c r="M389" s="1248">
        <f>IF(I389&gt;0,(L389/IF(SUM(L383:L388)&gt;0,1,7))/I389,0)</f>
        <v>0</v>
      </c>
      <c r="N389" s="1249" t="str">
        <f>$N$11</f>
        <v xml:space="preserve">Uniformidad (10% +) : </v>
      </c>
      <c r="O389" s="1250">
        <f>IF(O387&gt;0,IF(O388&gt;0,100-SUM(O387:O388),0),0)</f>
        <v>0</v>
      </c>
      <c r="P389" s="1251">
        <f>100-SUM(P387:P388)</f>
        <v>5</v>
      </c>
      <c r="Q389" s="1252">
        <f>IF(AND(P389&gt;0,O389&gt;0),(O389/P389-1)*100,0)</f>
        <v>0</v>
      </c>
      <c r="R389" s="699"/>
      <c r="S389" s="762"/>
      <c r="T389" s="765">
        <f t="shared" si="194"/>
        <v>0</v>
      </c>
      <c r="U389" s="700"/>
      <c r="V389" s="701"/>
      <c r="W389" s="701"/>
      <c r="X389" s="295">
        <f t="shared" si="189"/>
        <v>0</v>
      </c>
      <c r="Y389" s="296">
        <f>IF(AA389&gt;0,V389,AE383/IF(Iniciar!$C$25="B X 40 K",40,IF(Iniciar!$C$25="B X 50 K",50,1))*I389/1000)</f>
        <v>0</v>
      </c>
      <c r="Z389" s="296">
        <f t="shared" si="190"/>
        <v>0</v>
      </c>
      <c r="AA389" s="297">
        <f>IF(I389&gt;0,(V389/IF(SUM(V383:V388)&gt;0,1,7))*$A$1/I389,0)</f>
        <v>0</v>
      </c>
      <c r="AB389" s="297">
        <f t="shared" ref="AB389:AB452" si="220">IFERROR(R389*1000/I389,0)</f>
        <v>0</v>
      </c>
      <c r="AC389" s="2039" t="str">
        <f>$AC$11</f>
        <v xml:space="preserve">Relación Agua /Alimto: </v>
      </c>
      <c r="AD389" s="2040"/>
      <c r="AE389" s="2058">
        <f>IFERROR(AE388/AD383,0)</f>
        <v>0</v>
      </c>
      <c r="AF389" s="2059"/>
      <c r="AG389" s="1269" t="s">
        <v>237</v>
      </c>
      <c r="AH389" s="1270">
        <f>IF(SUM(L383:L389)&gt;0,AH388*SUM(V383:V389)/SUM(L383:L389),0)</f>
        <v>0</v>
      </c>
      <c r="AI389" s="1270">
        <f>IF(AND($A$1&gt;0,P383&gt;0),AH388/$A$1*(AE383/P383)*100,0)</f>
        <v>0</v>
      </c>
      <c r="AJ389" s="1271">
        <f t="shared" ref="AJ389:AJ394" si="221">IF(AND(AI389&gt;0,AH389&gt;0),(AH389/AI389-1)*100,0)</f>
        <v>0</v>
      </c>
      <c r="AK389" s="2028"/>
      <c r="AL389" s="1284">
        <f t="shared" ref="AL389:AL452" si="222">L389-SUM(AM389:AS389)-SUM(AW389:AZ389)-SUM(AT389:AV389)</f>
        <v>0</v>
      </c>
      <c r="AM389" s="1285"/>
      <c r="AN389" s="1285"/>
      <c r="AO389" s="1285"/>
      <c r="AP389" s="1285"/>
      <c r="AQ389" s="1285"/>
      <c r="AR389" s="1285"/>
      <c r="AS389" s="1286"/>
      <c r="AT389" s="1287"/>
      <c r="AU389" s="1288"/>
      <c r="AV389" s="1289"/>
      <c r="AW389" s="1290"/>
      <c r="AX389" s="1291"/>
      <c r="AY389" s="1291"/>
      <c r="AZ389" s="1292"/>
      <c r="BA389" s="1293"/>
      <c r="BB389" s="1294"/>
      <c r="BC389" s="1295"/>
      <c r="BD389" s="1296">
        <f>BD388+PROD!L389-BA389</f>
        <v>0</v>
      </c>
      <c r="BE389" s="2134"/>
      <c r="BF389" s="507" t="e">
        <f t="shared" ref="BF389:BF452" si="223">INT((B389-Fnac)/7)+1</f>
        <v>#VALUE!</v>
      </c>
      <c r="BG389" s="329"/>
      <c r="BH389" s="1018">
        <f t="shared" ref="BH389:BH452" si="224">T389*V389</f>
        <v>0</v>
      </c>
    </row>
    <row r="390" spans="1:60" ht="15" customHeight="1" x14ac:dyDescent="0.3">
      <c r="A390" s="2032">
        <f>A383+1</f>
        <v>73</v>
      </c>
      <c r="B390" s="287" t="str">
        <f t="shared" ref="B390:B453" si="225">IF(B389="","",B389+1)</f>
        <v/>
      </c>
      <c r="C390" s="288" t="str">
        <f t="shared" si="219"/>
        <v/>
      </c>
      <c r="D390" s="691"/>
      <c r="E390" s="692"/>
      <c r="F390" s="693"/>
      <c r="G390" s="694"/>
      <c r="H390" s="695"/>
      <c r="I390" s="289">
        <f>I389-SUM($D390:F390)</f>
        <v>0</v>
      </c>
      <c r="J390" s="1232" t="str">
        <f>$J$5</f>
        <v>% Mort Sem :</v>
      </c>
      <c r="K390" s="1233">
        <f>IF(PROD!$K$2&gt;0,SUM(D390:D396)/PROD!$K$2,0)</f>
        <v>0</v>
      </c>
      <c r="L390" s="1241"/>
      <c r="M390" s="1242">
        <f t="shared" ref="M390:M395" si="226">IF(I390&gt;0,L390/I390,0)</f>
        <v>0</v>
      </c>
      <c r="N390" s="1243" t="str">
        <f>$N$5</f>
        <v xml:space="preserve">% Pdn prom semana : </v>
      </c>
      <c r="O390" s="1244">
        <f>IF(SUM(L390:L395)&gt;0,100*SUMPRODUCT(M390:M396,I390:I396)/SUMIF(L390:L396,"&gt;0",I390:I396),IF(L396&gt;0,100*L396/7/I396,0))</f>
        <v>0</v>
      </c>
      <c r="P390" s="1244">
        <f>IFERROR(LOOKUP($A390,TP!$A$6:$A$108,GSh!$AE$6:$AE$108),0)</f>
        <v>0</v>
      </c>
      <c r="Q390" s="1245">
        <f>IF(AND(P390&gt;0,O390&gt;0),O390-P390,0)</f>
        <v>0</v>
      </c>
      <c r="R390" s="699"/>
      <c r="S390" s="762"/>
      <c r="T390" s="765">
        <f t="shared" si="194"/>
        <v>0</v>
      </c>
      <c r="U390" s="700"/>
      <c r="V390" s="701"/>
      <c r="W390" s="701"/>
      <c r="X390" s="295">
        <f t="shared" ref="X390:X453" si="227">X389+U390-V390-W390</f>
        <v>0</v>
      </c>
      <c r="Y390" s="296">
        <f>IF(AA390&gt;0,V390,AE390/IF(Iniciar!$C$25="B X 40 K",40,IF(Iniciar!$C$25="B X 50 K",50,1))*I390/1000)</f>
        <v>0</v>
      </c>
      <c r="Z390" s="296">
        <f t="shared" ref="Z390:Z453" si="228">Z389+U390-Y390-W390</f>
        <v>0</v>
      </c>
      <c r="AA390" s="297">
        <f t="shared" ref="AA390:AA395" si="229">IF(I390&gt;0,V390*$A$1/I390,0)</f>
        <v>0</v>
      </c>
      <c r="AB390" s="297">
        <f t="shared" si="220"/>
        <v>0</v>
      </c>
      <c r="AC390" s="1261" t="str">
        <f>$AC$5</f>
        <v>Gr. Ave Dia :</v>
      </c>
      <c r="AD390" s="1262">
        <f>IF(SUMIF(V390:V396,"&gt;0")&gt;0,SUMPRODUCT(AA390:AA396,I390:I396)/SUMIF(AA390:AA396,"&gt;0",I390:I396),0)</f>
        <v>0</v>
      </c>
      <c r="AE390" s="1262">
        <f>IFERROR(LOOKUP($A390,TP!$A$6:$A$108,GSh!$AU$6:$AU$108),0)</f>
        <v>0</v>
      </c>
      <c r="AF390" s="1263">
        <f>IF(AND(AE390&gt;0,AD390&gt;0),(AD390/AE390-1)*100,0)</f>
        <v>0</v>
      </c>
      <c r="AG390" s="1264" t="str">
        <f>PROD!$AG$5</f>
        <v>Gr X H</v>
      </c>
      <c r="AH390" s="1265">
        <f>IF(PROD!O390&gt;0,IF($AG390="Gr X H",PROD!AD390/PROD!O390*100,IF($AG390="Conv Kg/Doc",PROD!AD390/PROD!O390*1.2,IF(PROD!$O392&gt;0,PROD!AD390/(PROD!O390*PROD!$O392)*100,0))),0)</f>
        <v>0</v>
      </c>
      <c r="AI390" s="1265">
        <f>IF(PROD!P390&gt;0,IF($AG390="Gr X H",PROD!AE390/PROD!P390*100,IF($AG390="Conv Kg/Doc",PROD!AE390/PROD!P390*1.2,IF(PROD!$P392&gt;0,PROD!AE390/(PROD!P390*PROD!$P392)*100,0))),0)</f>
        <v>0</v>
      </c>
      <c r="AJ390" s="1266">
        <f t="shared" si="221"/>
        <v>0</v>
      </c>
      <c r="AK390" s="2026"/>
      <c r="AL390" s="1284">
        <f t="shared" si="222"/>
        <v>0</v>
      </c>
      <c r="AM390" s="1285"/>
      <c r="AN390" s="1285"/>
      <c r="AO390" s="1285"/>
      <c r="AP390" s="1285"/>
      <c r="AQ390" s="1285"/>
      <c r="AR390" s="1285"/>
      <c r="AS390" s="1286"/>
      <c r="AT390" s="1287"/>
      <c r="AU390" s="1288"/>
      <c r="AV390" s="1289"/>
      <c r="AW390" s="1290"/>
      <c r="AX390" s="1291"/>
      <c r="AY390" s="1291"/>
      <c r="AZ390" s="1292"/>
      <c r="BA390" s="1293"/>
      <c r="BB390" s="1294"/>
      <c r="BC390" s="1295"/>
      <c r="BD390" s="1296">
        <f>BD389+PROD!L390-BA390</f>
        <v>0</v>
      </c>
      <c r="BE390" s="2132">
        <f>IF(SUM(AM390:AZ396)&gt;0,(SUM(AM390:AM396)*$AM$2+SUM(AN390:AN396)*$AN$2+SUM(AO390:AO396)*$AO$2+SUM(AP390:AP396)*$AP$2+SUM(AQ390:AQ396)*$AQ$2+SUM(AR390:AR396)*$AR$2+SUM(AS390:AS396)*$AS$2+SUM(AW390:AW396)*$AW$2+SUM(AX390:AX396)*$AX$2+SUM(AY390:AY396)*$AY$2+SUM(AZ390:AZ396)*$AZ$2+SUM(AT390:AT396)*$AT$2+SUM(AU390:AU396)*$AU$2+SUM(AV390:AV396)*$AV$2)/SUM(AM390:AZ396),0)</f>
        <v>0</v>
      </c>
      <c r="BF390" s="507" t="e">
        <f t="shared" si="223"/>
        <v>#VALUE!</v>
      </c>
      <c r="BG390" s="277">
        <f>IF(SUM(L390:L396)&gt;0,A390,IF(SUM(V390:V396)&gt;0,A390,BG383))</f>
        <v>0</v>
      </c>
      <c r="BH390" s="1018">
        <f t="shared" si="224"/>
        <v>0</v>
      </c>
    </row>
    <row r="391" spans="1:60" ht="15" customHeight="1" x14ac:dyDescent="0.3">
      <c r="A391" s="2033"/>
      <c r="B391" s="287" t="str">
        <f t="shared" si="225"/>
        <v/>
      </c>
      <c r="C391" s="288" t="str">
        <f t="shared" si="219"/>
        <v/>
      </c>
      <c r="D391" s="691"/>
      <c r="E391" s="692"/>
      <c r="F391" s="693"/>
      <c r="G391" s="694"/>
      <c r="H391" s="695"/>
      <c r="I391" s="289">
        <f>I390-SUM($D391:F391)</f>
        <v>0</v>
      </c>
      <c r="J391" s="1234" t="str">
        <f>$J$6</f>
        <v>% Sel Sem :</v>
      </c>
      <c r="K391" s="1231">
        <f>IF(PROD!$K$2&gt;0,SUM(E390:E396)/PROD!$K$2,0)</f>
        <v>0</v>
      </c>
      <c r="L391" s="1246"/>
      <c r="M391" s="291">
        <f t="shared" si="226"/>
        <v>0</v>
      </c>
      <c r="N391" s="292" t="str">
        <f>$N$6</f>
        <v xml:space="preserve">H. Ave Alojada : </v>
      </c>
      <c r="O391" s="293">
        <f>IF(AND(PROD!$K$2&gt;0,O390&gt;0),SUM(L$5:L396)/PROD!$K$2,0)</f>
        <v>0</v>
      </c>
      <c r="P391" s="293">
        <f>IFERROR(LOOKUP($A390,TP!$A$6:$A$108,GSh!$AJ$6:$AJ$108),0)</f>
        <v>0</v>
      </c>
      <c r="Q391" s="294">
        <f>IF(AND(P391&gt;0,O391&gt;0),O391-P391,0)</f>
        <v>0</v>
      </c>
      <c r="R391" s="699"/>
      <c r="S391" s="762"/>
      <c r="T391" s="765">
        <f t="shared" si="194"/>
        <v>0</v>
      </c>
      <c r="U391" s="700"/>
      <c r="V391" s="701"/>
      <c r="W391" s="701"/>
      <c r="X391" s="295">
        <f t="shared" si="227"/>
        <v>0</v>
      </c>
      <c r="Y391" s="296">
        <f>IF(AA391&gt;0,V391,AE390/IF(Iniciar!$C$25="B X 40 K",40,IF(Iniciar!$C$25="B X 50 K",50,1))*I391/1000)</f>
        <v>0</v>
      </c>
      <c r="Z391" s="296">
        <f t="shared" si="228"/>
        <v>0</v>
      </c>
      <c r="AA391" s="297">
        <f t="shared" si="229"/>
        <v>0</v>
      </c>
      <c r="AB391" s="297">
        <f t="shared" si="220"/>
        <v>0</v>
      </c>
      <c r="AC391" s="1267" t="str">
        <f>$AC$6</f>
        <v>Gr. Ave Sem :</v>
      </c>
      <c r="AD391" s="284">
        <f>AD390*7</f>
        <v>0</v>
      </c>
      <c r="AE391" s="284">
        <f>AE390*7</f>
        <v>0</v>
      </c>
      <c r="AF391" s="285">
        <f>IF(AND(AE391&gt;0,AD391&gt;0),(AD391/AE391-1)*100,0)</f>
        <v>0</v>
      </c>
      <c r="AG391" s="1199" t="str">
        <f>PROD!$AG$6</f>
        <v>Gr X H Acm</v>
      </c>
      <c r="AH391" s="298">
        <f>IF(SUM(PROD!L390:L396)&gt;0,IF(PROD!$AG$5="Gr X H",SUM(PROD!V$5:V396)*PROD!$A$1/SUM(PROD!L$5:L396),IF($AG390="Conv Kg/Doc",(SUM(PROD!V$5:V396)*PROD!$A$1/1000)/(SUM(PROD!L$5:L396)/12),IF(PROD!$O392&gt;0,SUM(PROD!V$5:V396)*PROD!$A$1/(SUM(PROD!L$5:L396)*LOOKUP(PROD!A390,TP!$A$6:$A$108,GSh!$BB$6:$BB$108)),0))),0)</f>
        <v>0</v>
      </c>
      <c r="AI391" s="298">
        <f>IF(PROD!P390&gt;0,IF($AG390="Gr X H",PROD!AE390/PROD!P390*100,IF($AG390="Conv Kg/Doc",PROD!AE390/PROD!P390*1.2,IF(PROD!$P391&gt;0,PROD!AE392/(PROD!P391*LOOKUP(PROD!$A390,TP!$A$6:$A$108,GSh!$BC$6:$BC$108)/1000),0))),0)</f>
        <v>0</v>
      </c>
      <c r="AJ391" s="328">
        <f t="shared" si="221"/>
        <v>0</v>
      </c>
      <c r="AK391" s="2027"/>
      <c r="AL391" s="1284">
        <f t="shared" si="222"/>
        <v>0</v>
      </c>
      <c r="AM391" s="1285"/>
      <c r="AN391" s="1285"/>
      <c r="AO391" s="1285"/>
      <c r="AP391" s="1285"/>
      <c r="AQ391" s="1285"/>
      <c r="AR391" s="1285"/>
      <c r="AS391" s="1286"/>
      <c r="AT391" s="1287"/>
      <c r="AU391" s="1288"/>
      <c r="AV391" s="1289"/>
      <c r="AW391" s="1290"/>
      <c r="AX391" s="1291"/>
      <c r="AY391" s="1291"/>
      <c r="AZ391" s="1292"/>
      <c r="BA391" s="1293"/>
      <c r="BB391" s="1294"/>
      <c r="BC391" s="1295"/>
      <c r="BD391" s="1296">
        <f>BD390+PROD!L391-BA391</f>
        <v>0</v>
      </c>
      <c r="BE391" s="2133"/>
      <c r="BF391" s="507" t="e">
        <f t="shared" si="223"/>
        <v>#VALUE!</v>
      </c>
      <c r="BG391" s="329"/>
      <c r="BH391" s="1018">
        <f t="shared" si="224"/>
        <v>0</v>
      </c>
    </row>
    <row r="392" spans="1:60" ht="15" customHeight="1" x14ac:dyDescent="0.3">
      <c r="A392" s="2033"/>
      <c r="B392" s="287" t="str">
        <f t="shared" si="225"/>
        <v/>
      </c>
      <c r="C392" s="288" t="str">
        <f t="shared" si="219"/>
        <v/>
      </c>
      <c r="D392" s="691"/>
      <c r="E392" s="692"/>
      <c r="F392" s="693"/>
      <c r="G392" s="694"/>
      <c r="H392" s="695"/>
      <c r="I392" s="289">
        <f>I391-SUM($D392:F392)</f>
        <v>0</v>
      </c>
      <c r="J392" s="1235" t="str">
        <f>$J$7</f>
        <v>% Mort/Sel Sem Tab :</v>
      </c>
      <c r="K392" s="1236">
        <f>K395-K388</f>
        <v>0</v>
      </c>
      <c r="L392" s="1246"/>
      <c r="M392" s="291">
        <f t="shared" si="226"/>
        <v>0</v>
      </c>
      <c r="N392" s="304" t="str">
        <f>$N$7</f>
        <v xml:space="preserve">Peso Huevo (Gr) : </v>
      </c>
      <c r="O392" s="305">
        <f>LOOKUP($A390,'Pr-Sem'!$A$6:$A$108,'Pr-Sem'!$Z$6:$Z$108)</f>
        <v>0</v>
      </c>
      <c r="P392" s="305">
        <f>IFERROR(LOOKUP($A390,TP!$A$6:$A$108,GSh!$AZ$6:$AZ$108),0)</f>
        <v>0</v>
      </c>
      <c r="Q392" s="306">
        <f>IF(AND(P392&gt;0,O392&gt;0),O392-P392,0)</f>
        <v>0</v>
      </c>
      <c r="R392" s="699"/>
      <c r="S392" s="762"/>
      <c r="T392" s="765">
        <f t="shared" si="194"/>
        <v>0</v>
      </c>
      <c r="U392" s="700"/>
      <c r="V392" s="701"/>
      <c r="W392" s="701"/>
      <c r="X392" s="295">
        <f t="shared" si="227"/>
        <v>0</v>
      </c>
      <c r="Y392" s="296">
        <f>IF(AA392&gt;0,V392,AE390/IF(Iniciar!$C$25="B X 40 K",40,IF(Iniciar!$C$25="B X 50 K",50,1))*I392/1000)</f>
        <v>0</v>
      </c>
      <c r="Z392" s="296">
        <f t="shared" si="228"/>
        <v>0</v>
      </c>
      <c r="AA392" s="297">
        <f t="shared" si="229"/>
        <v>0</v>
      </c>
      <c r="AB392" s="297">
        <f t="shared" si="220"/>
        <v>0</v>
      </c>
      <c r="AC392" s="1268" t="str">
        <f>$AC$7</f>
        <v>Kg Ave Acu :</v>
      </c>
      <c r="AD392" s="308">
        <f>IF(OR(SUM(L390:L396)&gt;0,SUM(V390:V396)&gt;0),AD391/1000+AD385,0)</f>
        <v>0</v>
      </c>
      <c r="AE392" s="309">
        <f>AE391/1000+AE385</f>
        <v>0</v>
      </c>
      <c r="AF392" s="310">
        <f>IF(AND(AE392&gt;0,AD392&gt;0),(AD392/AE392-1)*100,0)</f>
        <v>0</v>
      </c>
      <c r="AG392" s="311" t="str">
        <f>PROD!$AG$7</f>
        <v xml:space="preserve">Masa Sem H (Gr) : </v>
      </c>
      <c r="AH392" s="312">
        <f>PROD!O390/100*7*PROD!O392</f>
        <v>0</v>
      </c>
      <c r="AI392" s="312">
        <f>PROD!P390/100*7*PROD!P392</f>
        <v>0</v>
      </c>
      <c r="AJ392" s="313">
        <f t="shared" si="221"/>
        <v>0</v>
      </c>
      <c r="AK392" s="2027"/>
      <c r="AL392" s="1284">
        <f t="shared" si="222"/>
        <v>0</v>
      </c>
      <c r="AM392" s="1285"/>
      <c r="AN392" s="1285"/>
      <c r="AO392" s="1285"/>
      <c r="AP392" s="1285"/>
      <c r="AQ392" s="1285"/>
      <c r="AR392" s="1285"/>
      <c r="AS392" s="1286"/>
      <c r="AT392" s="1287"/>
      <c r="AU392" s="1288"/>
      <c r="AV392" s="1289"/>
      <c r="AW392" s="1290"/>
      <c r="AX392" s="1291"/>
      <c r="AY392" s="1291"/>
      <c r="AZ392" s="1292"/>
      <c r="BA392" s="1293"/>
      <c r="BB392" s="1294"/>
      <c r="BC392" s="1295"/>
      <c r="BD392" s="1296">
        <f>BD391+PROD!L392-BA392</f>
        <v>0</v>
      </c>
      <c r="BE392" s="2133"/>
      <c r="BF392" s="507" t="e">
        <f t="shared" si="223"/>
        <v>#VALUE!</v>
      </c>
      <c r="BG392" s="329"/>
      <c r="BH392" s="1018">
        <f t="shared" si="224"/>
        <v>0</v>
      </c>
    </row>
    <row r="393" spans="1:60" ht="15" customHeight="1" x14ac:dyDescent="0.3">
      <c r="A393" s="2033"/>
      <c r="B393" s="287" t="str">
        <f t="shared" si="225"/>
        <v/>
      </c>
      <c r="C393" s="288" t="str">
        <f t="shared" si="219"/>
        <v/>
      </c>
      <c r="D393" s="691"/>
      <c r="E393" s="692"/>
      <c r="F393" s="693"/>
      <c r="G393" s="694"/>
      <c r="H393" s="695"/>
      <c r="I393" s="289">
        <f>I392-SUM($D393:F393)</f>
        <v>0</v>
      </c>
      <c r="J393" s="1234" t="str">
        <f>$J$8</f>
        <v>% Mort Acm :</v>
      </c>
      <c r="K393" s="1231">
        <f>IF(PROD!$K$2&gt;0,SUM(D$5:D396)/PROD!$K$2,0)</f>
        <v>0</v>
      </c>
      <c r="L393" s="1246"/>
      <c r="M393" s="291">
        <f t="shared" si="226"/>
        <v>0</v>
      </c>
      <c r="N393" s="314" t="str">
        <f>N$8</f>
        <v xml:space="preserve">Peso Ave (Gr) : </v>
      </c>
      <c r="O393" s="315">
        <f>LOOKUP($A390,GSh!$BV$6:$BV$108,GSh!$BJ$6:$BJ$108)</f>
        <v>0</v>
      </c>
      <c r="P393" s="315">
        <f>IFERROR(LOOKUP($A390,TP!$A$6:$A$108,GSh!$BK$6:$BK$108),0)</f>
        <v>0</v>
      </c>
      <c r="Q393" s="316">
        <f>IF(AND(P393&gt;0,O393&gt;0),(O393/P393-1)*100,0)</f>
        <v>0</v>
      </c>
      <c r="R393" s="699"/>
      <c r="S393" s="762"/>
      <c r="T393" s="765">
        <f t="shared" si="194"/>
        <v>0</v>
      </c>
      <c r="U393" s="700"/>
      <c r="V393" s="701"/>
      <c r="W393" s="701"/>
      <c r="X393" s="295">
        <f t="shared" si="227"/>
        <v>0</v>
      </c>
      <c r="Y393" s="296">
        <f>IF(AA393&gt;0,V393,AE390/IF(Iniciar!$C$25="B X 40 K",40,IF(Iniciar!$C$25="B X 50 K",50,1))*I393/1000)</f>
        <v>0</v>
      </c>
      <c r="Z393" s="296">
        <f t="shared" si="228"/>
        <v>0</v>
      </c>
      <c r="AA393" s="297">
        <f t="shared" si="229"/>
        <v>0</v>
      </c>
      <c r="AB393" s="297">
        <f t="shared" si="220"/>
        <v>0</v>
      </c>
      <c r="AC393" s="541" t="str">
        <f>$AC$8</f>
        <v xml:space="preserve">Ton. Lote Acu : </v>
      </c>
      <c r="AD393" s="544">
        <f>SUM($V$5:$V396)*$A$1/1000000</f>
        <v>0</v>
      </c>
      <c r="AE393" s="543">
        <f>AE386+(AE390/1000000*7*(I390+I396)/2)</f>
        <v>0</v>
      </c>
      <c r="AF393" s="542">
        <f>IF(AND(AE393&gt;0,AD393&gt;0),(AD393/AE393-1)*100,0)</f>
        <v>0</v>
      </c>
      <c r="AG393" s="317" t="str">
        <f>PROD!$AG$8</f>
        <v xml:space="preserve">Masa Ac A. A (Kg) : </v>
      </c>
      <c r="AH393" s="318">
        <f>IF(PROD!$K$2&gt;0,SUM(PROD!L$5:L396)*LOOKUP(PROD!$A390,TP!$A$6:$A$108,GSh!$BB$6:$BB$108)/1000/PROD!$K$2,0)</f>
        <v>0</v>
      </c>
      <c r="AI393" s="318">
        <f>IFERROR(PROD!P391*LOOKUP(PROD!$A390,TP!$A$6:$A$108,GSh!$BC$6:$BC$108)/1000,0)</f>
        <v>0</v>
      </c>
      <c r="AJ393" s="330">
        <f t="shared" si="221"/>
        <v>0</v>
      </c>
      <c r="AK393" s="2027"/>
      <c r="AL393" s="1284">
        <f t="shared" si="222"/>
        <v>0</v>
      </c>
      <c r="AM393" s="1285"/>
      <c r="AN393" s="1285"/>
      <c r="AO393" s="1285"/>
      <c r="AP393" s="1285"/>
      <c r="AQ393" s="1285"/>
      <c r="AR393" s="1285"/>
      <c r="AS393" s="1286"/>
      <c r="AT393" s="1287"/>
      <c r="AU393" s="1288"/>
      <c r="AV393" s="1289"/>
      <c r="AW393" s="1290"/>
      <c r="AX393" s="1291"/>
      <c r="AY393" s="1291"/>
      <c r="AZ393" s="1292"/>
      <c r="BA393" s="1293"/>
      <c r="BB393" s="1294"/>
      <c r="BC393" s="1295"/>
      <c r="BD393" s="1296">
        <f>BD392+PROD!L393-BA393</f>
        <v>0</v>
      </c>
      <c r="BE393" s="2133"/>
      <c r="BF393" s="507" t="e">
        <f t="shared" si="223"/>
        <v>#VALUE!</v>
      </c>
      <c r="BG393" s="329"/>
      <c r="BH393" s="1018">
        <f t="shared" si="224"/>
        <v>0</v>
      </c>
    </row>
    <row r="394" spans="1:60" ht="15" customHeight="1" x14ac:dyDescent="0.3">
      <c r="A394" s="2033"/>
      <c r="B394" s="287" t="str">
        <f t="shared" si="225"/>
        <v/>
      </c>
      <c r="C394" s="288" t="str">
        <f t="shared" si="219"/>
        <v/>
      </c>
      <c r="D394" s="691"/>
      <c r="E394" s="692"/>
      <c r="F394" s="693"/>
      <c r="G394" s="694"/>
      <c r="H394" s="695"/>
      <c r="I394" s="289">
        <f>I393-SUM($D394:F394)</f>
        <v>0</v>
      </c>
      <c r="J394" s="1234" t="str">
        <f>$J$9</f>
        <v>% Sel Acm :</v>
      </c>
      <c r="K394" s="1231">
        <f>IF(PROD!$K$2&gt;0,SUM(E$5:E396)/PROD!$K$2,0)</f>
        <v>0</v>
      </c>
      <c r="L394" s="1246"/>
      <c r="M394" s="291">
        <f t="shared" si="226"/>
        <v>0</v>
      </c>
      <c r="N394" s="292" t="str">
        <f>$N$9</f>
        <v xml:space="preserve">Uniformidad (10% -) : </v>
      </c>
      <c r="O394" s="320">
        <f>LOOKUP($A390,'Pr-Sem'!$A$6:$A$108,'Pr-Sem'!$AH$6:$AH$108)</f>
        <v>0</v>
      </c>
      <c r="P394" s="320">
        <v>5</v>
      </c>
      <c r="Q394" s="321">
        <f>IF(AND(P394&gt;0,O394&gt;0),(1-O394/P394)*100,0)</f>
        <v>0</v>
      </c>
      <c r="R394" s="699"/>
      <c r="S394" s="762"/>
      <c r="T394" s="765">
        <f t="shared" si="194"/>
        <v>0</v>
      </c>
      <c r="U394" s="700"/>
      <c r="V394" s="701"/>
      <c r="W394" s="701"/>
      <c r="X394" s="295">
        <f t="shared" si="227"/>
        <v>0</v>
      </c>
      <c r="Y394" s="296">
        <f>IF(AA394&gt;0,V394,AE390/IF(Iniciar!$C$25="B X 40 K",40,IF(Iniciar!$C$25="B X 50 K",50,1))*I394/1000)</f>
        <v>0</v>
      </c>
      <c r="Z394" s="296">
        <f t="shared" si="228"/>
        <v>0</v>
      </c>
      <c r="AA394" s="297">
        <f t="shared" si="229"/>
        <v>0</v>
      </c>
      <c r="AB394" s="297">
        <f t="shared" si="220"/>
        <v>0</v>
      </c>
      <c r="AC394" s="2035" t="str">
        <f>$AC$9</f>
        <v xml:space="preserve">Total Litros Sem: </v>
      </c>
      <c r="AD394" s="2036"/>
      <c r="AE394" s="2050">
        <f>SUM(R390:R396)</f>
        <v>0</v>
      </c>
      <c r="AF394" s="2051"/>
      <c r="AG394" s="554" t="str">
        <f>$AG$9</f>
        <v xml:space="preserve">Indicador Eficiencia : </v>
      </c>
      <c r="AH394" s="555">
        <f>IF(AND(AE394&gt;0,O391&gt;0,O392&gt;0,SUM(L390:L396)&gt;0),(PROD!AH393/O391)*K396*100/(AE394/(SUM(L390:L396)*O392/1000)),0)</f>
        <v>0</v>
      </c>
      <c r="AI394" s="555">
        <f>IF(AND(P391&gt;0,PROD!AI392&gt;0),(PROD!AI393/P391)*(1-K395)*100/(AE391/PROD!AI392),0)</f>
        <v>0</v>
      </c>
      <c r="AJ394" s="331">
        <f t="shared" si="221"/>
        <v>0</v>
      </c>
      <c r="AK394" s="2027"/>
      <c r="AL394" s="1284">
        <f t="shared" si="222"/>
        <v>0</v>
      </c>
      <c r="AM394" s="1285"/>
      <c r="AN394" s="1285"/>
      <c r="AO394" s="1285"/>
      <c r="AP394" s="1285"/>
      <c r="AQ394" s="1285"/>
      <c r="AR394" s="1285"/>
      <c r="AS394" s="1286"/>
      <c r="AT394" s="1287"/>
      <c r="AU394" s="1288"/>
      <c r="AV394" s="1289"/>
      <c r="AW394" s="1290"/>
      <c r="AX394" s="1291"/>
      <c r="AY394" s="1291"/>
      <c r="AZ394" s="1292"/>
      <c r="BA394" s="1293"/>
      <c r="BB394" s="1294"/>
      <c r="BC394" s="1295"/>
      <c r="BD394" s="1296">
        <f>BD393+PROD!L394-BA394</f>
        <v>0</v>
      </c>
      <c r="BE394" s="2133"/>
      <c r="BF394" s="507" t="e">
        <f t="shared" si="223"/>
        <v>#VALUE!</v>
      </c>
      <c r="BG394" s="329"/>
      <c r="BH394" s="1018">
        <f t="shared" si="224"/>
        <v>0</v>
      </c>
    </row>
    <row r="395" spans="1:60" ht="15" customHeight="1" x14ac:dyDescent="0.3">
      <c r="A395" s="2033"/>
      <c r="B395" s="287" t="str">
        <f t="shared" si="225"/>
        <v/>
      </c>
      <c r="C395" s="288" t="str">
        <f t="shared" si="219"/>
        <v/>
      </c>
      <c r="D395" s="691"/>
      <c r="E395" s="692"/>
      <c r="F395" s="693"/>
      <c r="G395" s="694"/>
      <c r="H395" s="695"/>
      <c r="I395" s="289">
        <f>I394-SUM($D395:F395)</f>
        <v>0</v>
      </c>
      <c r="J395" s="1237" t="str">
        <f>$J$10</f>
        <v>% Mort/Sel Acm Tab :</v>
      </c>
      <c r="K395" s="1238">
        <f>IFERROR(LOOKUP($A390,TP!$A$6:$A$108,GSh!$AR$6:$AR$108)/100,0)</f>
        <v>0</v>
      </c>
      <c r="L395" s="1246"/>
      <c r="M395" s="291">
        <f t="shared" si="226"/>
        <v>0</v>
      </c>
      <c r="N395" s="292" t="str">
        <f>$N$10</f>
        <v xml:space="preserve">Uniformidad (C. Lote) : </v>
      </c>
      <c r="O395" s="320">
        <f>LOOKUP($A390,'Pr-Sem'!$A$6:$A$108,'Pr-Sem'!$AG$6:$AG$108)</f>
        <v>0</v>
      </c>
      <c r="P395" s="320">
        <v>90</v>
      </c>
      <c r="Q395" s="321">
        <f>IF(AND(P395&gt;0,O395&gt;0),(O395/P395-1)*100,0)</f>
        <v>0</v>
      </c>
      <c r="R395" s="699"/>
      <c r="S395" s="762"/>
      <c r="T395" s="765">
        <f t="shared" si="194"/>
        <v>0</v>
      </c>
      <c r="U395" s="700"/>
      <c r="V395" s="701"/>
      <c r="W395" s="701"/>
      <c r="X395" s="295">
        <f t="shared" si="227"/>
        <v>0</v>
      </c>
      <c r="Y395" s="296">
        <f>IF(AA395&gt;0,V395,AE390/IF(Iniciar!$C$25="B X 40 K",40,IF(Iniciar!$C$25="B X 50 K",50,1))*I395/1000)</f>
        <v>0</v>
      </c>
      <c r="Z395" s="296">
        <f t="shared" si="228"/>
        <v>0</v>
      </c>
      <c r="AA395" s="297">
        <f t="shared" si="229"/>
        <v>0</v>
      </c>
      <c r="AB395" s="297">
        <f t="shared" si="220"/>
        <v>0</v>
      </c>
      <c r="AC395" s="2037" t="str">
        <f>$AC$10</f>
        <v xml:space="preserve">Cons ml /ave día: </v>
      </c>
      <c r="AD395" s="2038"/>
      <c r="AE395" s="2056">
        <f>IFERROR(SUMPRODUCT(AB390:AB396,I390:I396)/SUM(I390:I396),0)</f>
        <v>0</v>
      </c>
      <c r="AF395" s="2057"/>
      <c r="AG395" s="311" t="str">
        <f>CONCATENATE("Costo ",Iniciar!$C$25," : ")</f>
        <v xml:space="preserve">Costo Kilos : </v>
      </c>
      <c r="AH395" s="2043">
        <f>IFERROR(SUMPRODUCT(T390:T396,V390:V396)/SUMIF(T390:T396,"&gt;0",V390:V396),0)</f>
        <v>0</v>
      </c>
      <c r="AI395" s="2043"/>
      <c r="AJ395" s="313"/>
      <c r="AK395" s="2027"/>
      <c r="AL395" s="1284">
        <f t="shared" si="222"/>
        <v>0</v>
      </c>
      <c r="AM395" s="1285"/>
      <c r="AN395" s="1285"/>
      <c r="AO395" s="1285"/>
      <c r="AP395" s="1285"/>
      <c r="AQ395" s="1285"/>
      <c r="AR395" s="1285"/>
      <c r="AS395" s="1286"/>
      <c r="AT395" s="1287"/>
      <c r="AU395" s="1288"/>
      <c r="AV395" s="1289"/>
      <c r="AW395" s="1290"/>
      <c r="AX395" s="1291"/>
      <c r="AY395" s="1291"/>
      <c r="AZ395" s="1292"/>
      <c r="BA395" s="1293"/>
      <c r="BB395" s="1294"/>
      <c r="BC395" s="1295"/>
      <c r="BD395" s="1296">
        <f>BD394+PROD!L395-BA395</f>
        <v>0</v>
      </c>
      <c r="BE395" s="2133"/>
      <c r="BF395" s="507" t="e">
        <f t="shared" si="223"/>
        <v>#VALUE!</v>
      </c>
      <c r="BG395" s="329"/>
      <c r="BH395" s="1018">
        <f t="shared" si="224"/>
        <v>0</v>
      </c>
    </row>
    <row r="396" spans="1:60" ht="15" customHeight="1" x14ac:dyDescent="0.3">
      <c r="A396" s="2034"/>
      <c r="B396" s="287" t="str">
        <f t="shared" si="225"/>
        <v/>
      </c>
      <c r="C396" s="288" t="str">
        <f t="shared" si="219"/>
        <v/>
      </c>
      <c r="D396" s="691"/>
      <c r="E396" s="692"/>
      <c r="F396" s="693"/>
      <c r="G396" s="694"/>
      <c r="H396" s="695"/>
      <c r="I396" s="289">
        <f>I395-SUM($D396:F396)</f>
        <v>0</v>
      </c>
      <c r="J396" s="1239" t="str">
        <f>$J$11</f>
        <v>% Viabilidad :</v>
      </c>
      <c r="K396" s="1240">
        <f>IF(OR(SUM(L390:L396)&gt;0,SUM(V390:V396)&gt;0),1-(K393+K394),0)</f>
        <v>0</v>
      </c>
      <c r="L396" s="1247"/>
      <c r="M396" s="1248">
        <f>IF(I396&gt;0,(L396/IF(SUM(L390:L395)&gt;0,1,7))/I396,0)</f>
        <v>0</v>
      </c>
      <c r="N396" s="1249" t="str">
        <f>$N$11</f>
        <v xml:space="preserve">Uniformidad (10% +) : </v>
      </c>
      <c r="O396" s="1250">
        <f>IF(O394&gt;0,IF(O395&gt;0,100-SUM(O394:O395),0),0)</f>
        <v>0</v>
      </c>
      <c r="P396" s="1251">
        <f>100-SUM(P394:P395)</f>
        <v>5</v>
      </c>
      <c r="Q396" s="1252">
        <f>IF(AND(P396&gt;0,O396&gt;0),(O396/P396-1)*100,0)</f>
        <v>0</v>
      </c>
      <c r="R396" s="699"/>
      <c r="S396" s="762"/>
      <c r="T396" s="765">
        <f t="shared" ref="T396:T459" si="230">T395</f>
        <v>0</v>
      </c>
      <c r="U396" s="700"/>
      <c r="V396" s="701"/>
      <c r="W396" s="701"/>
      <c r="X396" s="295">
        <f t="shared" si="227"/>
        <v>0</v>
      </c>
      <c r="Y396" s="296">
        <f>IF(AA396&gt;0,V396,AE390/IF(Iniciar!$C$25="B X 40 K",40,IF(Iniciar!$C$25="B X 50 K",50,1))*I396/1000)</f>
        <v>0</v>
      </c>
      <c r="Z396" s="296">
        <f t="shared" si="228"/>
        <v>0</v>
      </c>
      <c r="AA396" s="297">
        <f>IF(I396&gt;0,(V396/IF(SUM(V390:V395)&gt;0,1,7))*$A$1/I396,0)</f>
        <v>0</v>
      </c>
      <c r="AB396" s="297">
        <f t="shared" si="220"/>
        <v>0</v>
      </c>
      <c r="AC396" s="2039" t="str">
        <f>$AC$11</f>
        <v xml:space="preserve">Relación Agua /Alimto: </v>
      </c>
      <c r="AD396" s="2040"/>
      <c r="AE396" s="2058">
        <f>IFERROR(AE395/AD390,0)</f>
        <v>0</v>
      </c>
      <c r="AF396" s="2059"/>
      <c r="AG396" s="1269" t="s">
        <v>237</v>
      </c>
      <c r="AH396" s="1270">
        <f>IF(SUM(L390:L396)&gt;0,AH395*SUM(V390:V396)/SUM(L390:L396),0)</f>
        <v>0</v>
      </c>
      <c r="AI396" s="1270">
        <f>IF(AND($A$1&gt;0,P390&gt;0),AH395/$A$1*(AE390/P390)*100,0)</f>
        <v>0</v>
      </c>
      <c r="AJ396" s="1271">
        <f t="shared" ref="AJ396:AJ401" si="231">IF(AND(AI396&gt;0,AH396&gt;0),(AH396/AI396-1)*100,0)</f>
        <v>0</v>
      </c>
      <c r="AK396" s="2028"/>
      <c r="AL396" s="1284">
        <f t="shared" si="222"/>
        <v>0</v>
      </c>
      <c r="AM396" s="1285"/>
      <c r="AN396" s="1285"/>
      <c r="AO396" s="1285"/>
      <c r="AP396" s="1285"/>
      <c r="AQ396" s="1285"/>
      <c r="AR396" s="1285"/>
      <c r="AS396" s="1286"/>
      <c r="AT396" s="1287"/>
      <c r="AU396" s="1288"/>
      <c r="AV396" s="1289"/>
      <c r="AW396" s="1290"/>
      <c r="AX396" s="1291"/>
      <c r="AY396" s="1291"/>
      <c r="AZ396" s="1292"/>
      <c r="BA396" s="1293"/>
      <c r="BB396" s="1294"/>
      <c r="BC396" s="1295"/>
      <c r="BD396" s="1296">
        <f>BD395+PROD!L396-BA396</f>
        <v>0</v>
      </c>
      <c r="BE396" s="2134"/>
      <c r="BF396" s="507" t="e">
        <f t="shared" si="223"/>
        <v>#VALUE!</v>
      </c>
      <c r="BG396" s="329"/>
      <c r="BH396" s="1018">
        <f t="shared" si="224"/>
        <v>0</v>
      </c>
    </row>
    <row r="397" spans="1:60" ht="15" customHeight="1" x14ac:dyDescent="0.3">
      <c r="A397" s="2032">
        <f>A390+1</f>
        <v>74</v>
      </c>
      <c r="B397" s="287" t="str">
        <f t="shared" si="225"/>
        <v/>
      </c>
      <c r="C397" s="288" t="str">
        <f t="shared" si="219"/>
        <v/>
      </c>
      <c r="D397" s="691"/>
      <c r="E397" s="692"/>
      <c r="F397" s="693"/>
      <c r="G397" s="694"/>
      <c r="H397" s="695"/>
      <c r="I397" s="289">
        <f>I396-SUM($D397:F397)</f>
        <v>0</v>
      </c>
      <c r="J397" s="1232" t="str">
        <f>$J$5</f>
        <v>% Mort Sem :</v>
      </c>
      <c r="K397" s="1233">
        <f>IF(PROD!$K$2&gt;0,SUM(D397:D403)/PROD!$K$2,0)</f>
        <v>0</v>
      </c>
      <c r="L397" s="1241"/>
      <c r="M397" s="1242">
        <f t="shared" ref="M397:M402" si="232">IF(I397&gt;0,L397/I397,0)</f>
        <v>0</v>
      </c>
      <c r="N397" s="1243" t="str">
        <f>$N$5</f>
        <v xml:space="preserve">% Pdn prom semana : </v>
      </c>
      <c r="O397" s="1244">
        <f>IF(SUM(L397:L402)&gt;0,100*SUMPRODUCT(M397:M403,I397:I403)/SUMIF(L397:L403,"&gt;0",I397:I403),IF(L403&gt;0,100*L403/7/I403,0))</f>
        <v>0</v>
      </c>
      <c r="P397" s="1244">
        <f>IFERROR(LOOKUP($A397,TP!$A$6:$A$108,GSh!$AE$6:$AE$108),0)</f>
        <v>0</v>
      </c>
      <c r="Q397" s="1245">
        <f>IF(AND(P397&gt;0,O397&gt;0),O397-P397,0)</f>
        <v>0</v>
      </c>
      <c r="R397" s="699"/>
      <c r="S397" s="762"/>
      <c r="T397" s="765">
        <f t="shared" si="230"/>
        <v>0</v>
      </c>
      <c r="U397" s="700"/>
      <c r="V397" s="701"/>
      <c r="W397" s="701"/>
      <c r="X397" s="295">
        <f t="shared" si="227"/>
        <v>0</v>
      </c>
      <c r="Y397" s="296">
        <f>IF(AA397&gt;0,V397,AE397/IF(Iniciar!$C$25="B X 40 K",40,IF(Iniciar!$C$25="B X 50 K",50,1))*I397/1000)</f>
        <v>0</v>
      </c>
      <c r="Z397" s="296">
        <f t="shared" si="228"/>
        <v>0</v>
      </c>
      <c r="AA397" s="297">
        <f t="shared" ref="AA397:AA402" si="233">IF(I397&gt;0,V397*$A$1/I397,0)</f>
        <v>0</v>
      </c>
      <c r="AB397" s="297">
        <f t="shared" si="220"/>
        <v>0</v>
      </c>
      <c r="AC397" s="1261" t="str">
        <f>$AC$5</f>
        <v>Gr. Ave Dia :</v>
      </c>
      <c r="AD397" s="1262">
        <f>IF(SUMIF(V397:V403,"&gt;0")&gt;0,SUMPRODUCT(AA397:AA403,I397:I403)/SUMIF(AA397:AA403,"&gt;0",I397:I403),0)</f>
        <v>0</v>
      </c>
      <c r="AE397" s="1262">
        <f>IFERROR(LOOKUP($A397,TP!$A$6:$A$108,GSh!$AU$6:$AU$108),0)</f>
        <v>0</v>
      </c>
      <c r="AF397" s="1263">
        <f>IF(AND(AE397&gt;0,AD397&gt;0),(AD397/AE397-1)*100,0)</f>
        <v>0</v>
      </c>
      <c r="AG397" s="1264" t="str">
        <f>PROD!$AG$5</f>
        <v>Gr X H</v>
      </c>
      <c r="AH397" s="1265">
        <f>IF(PROD!O397&gt;0,IF($AG397="Gr X H",PROD!AD397/PROD!O397*100,IF($AG397="Conv Kg/Doc",PROD!AD397/PROD!O397*1.2,IF(PROD!$O399&gt;0,PROD!AD397/(PROD!O397*PROD!$O399)*100,0))),0)</f>
        <v>0</v>
      </c>
      <c r="AI397" s="1265">
        <f>IF(PROD!P397&gt;0,IF($AG397="Gr X H",PROD!AE397/PROD!P397*100,IF($AG397="Conv Kg/Doc",PROD!AE397/PROD!P397*1.2,IF(PROD!$P399&gt;0,PROD!AE397/(PROD!P397*PROD!$P399)*100,0))),0)</f>
        <v>0</v>
      </c>
      <c r="AJ397" s="1266">
        <f t="shared" si="231"/>
        <v>0</v>
      </c>
      <c r="AK397" s="2026"/>
      <c r="AL397" s="1284">
        <f t="shared" si="222"/>
        <v>0</v>
      </c>
      <c r="AM397" s="1285"/>
      <c r="AN397" s="1285"/>
      <c r="AO397" s="1285"/>
      <c r="AP397" s="1285"/>
      <c r="AQ397" s="1285"/>
      <c r="AR397" s="1285"/>
      <c r="AS397" s="1286"/>
      <c r="AT397" s="1287"/>
      <c r="AU397" s="1288"/>
      <c r="AV397" s="1289"/>
      <c r="AW397" s="1290"/>
      <c r="AX397" s="1291"/>
      <c r="AY397" s="1291"/>
      <c r="AZ397" s="1292"/>
      <c r="BA397" s="1293"/>
      <c r="BB397" s="1294"/>
      <c r="BC397" s="1295"/>
      <c r="BD397" s="1296">
        <f>BD396+PROD!L397-BA397</f>
        <v>0</v>
      </c>
      <c r="BE397" s="2132">
        <f>IF(SUM(AM397:AZ403)&gt;0,(SUM(AM397:AM403)*$AM$2+SUM(AN397:AN403)*$AN$2+SUM(AO397:AO403)*$AO$2+SUM(AP397:AP403)*$AP$2+SUM(AQ397:AQ403)*$AQ$2+SUM(AR397:AR403)*$AR$2+SUM(AS397:AS403)*$AS$2+SUM(AW397:AW403)*$AW$2+SUM(AX397:AX403)*$AX$2+SUM(AY397:AY403)*$AY$2+SUM(AZ397:AZ403)*$AZ$2+SUM(AT397:AT403)*$AT$2+SUM(AU397:AU403)*$AU$2+SUM(AV397:AV403)*$AV$2)/SUM(AM397:AZ403),0)</f>
        <v>0</v>
      </c>
      <c r="BF397" s="507" t="e">
        <f t="shared" si="223"/>
        <v>#VALUE!</v>
      </c>
      <c r="BG397" s="277">
        <f>IF(SUM(L397:L403)&gt;0,A397,IF(SUM(V397:V403)&gt;0,A397,BG390))</f>
        <v>0</v>
      </c>
      <c r="BH397" s="1018">
        <f t="shared" si="224"/>
        <v>0</v>
      </c>
    </row>
    <row r="398" spans="1:60" ht="15" customHeight="1" x14ac:dyDescent="0.3">
      <c r="A398" s="2033"/>
      <c r="B398" s="287" t="str">
        <f t="shared" si="225"/>
        <v/>
      </c>
      <c r="C398" s="288" t="str">
        <f t="shared" si="219"/>
        <v/>
      </c>
      <c r="D398" s="691"/>
      <c r="E398" s="692"/>
      <c r="F398" s="693"/>
      <c r="G398" s="694"/>
      <c r="H398" s="695"/>
      <c r="I398" s="289">
        <f>I397-SUM($D398:F398)</f>
        <v>0</v>
      </c>
      <c r="J398" s="1234" t="str">
        <f>$J$6</f>
        <v>% Sel Sem :</v>
      </c>
      <c r="K398" s="1231">
        <f>IF(PROD!$K$2&gt;0,SUM(E397:E403)/PROD!$K$2,0)</f>
        <v>0</v>
      </c>
      <c r="L398" s="1246"/>
      <c r="M398" s="291">
        <f t="shared" si="232"/>
        <v>0</v>
      </c>
      <c r="N398" s="292" t="str">
        <f>$N$6</f>
        <v xml:space="preserve">H. Ave Alojada : </v>
      </c>
      <c r="O398" s="293">
        <f>IF(AND(PROD!$K$2&gt;0,O397&gt;0),SUM(L$5:L403)/PROD!$K$2,0)</f>
        <v>0</v>
      </c>
      <c r="P398" s="293">
        <f>IFERROR(LOOKUP($A397,TP!$A$6:$A$108,GSh!$AJ$6:$AJ$108),0)</f>
        <v>0</v>
      </c>
      <c r="Q398" s="294">
        <f>IF(AND(P398&gt;0,O398&gt;0),O398-P398,0)</f>
        <v>0</v>
      </c>
      <c r="R398" s="699"/>
      <c r="S398" s="762"/>
      <c r="T398" s="765">
        <f t="shared" si="230"/>
        <v>0</v>
      </c>
      <c r="U398" s="700"/>
      <c r="V398" s="701"/>
      <c r="W398" s="701"/>
      <c r="X398" s="295">
        <f t="shared" si="227"/>
        <v>0</v>
      </c>
      <c r="Y398" s="296">
        <f>IF(AA398&gt;0,V398,AE397/IF(Iniciar!$C$25="B X 40 K",40,IF(Iniciar!$C$25="B X 50 K",50,1))*I398/1000)</f>
        <v>0</v>
      </c>
      <c r="Z398" s="296">
        <f t="shared" si="228"/>
        <v>0</v>
      </c>
      <c r="AA398" s="297">
        <f t="shared" si="233"/>
        <v>0</v>
      </c>
      <c r="AB398" s="297">
        <f t="shared" si="220"/>
        <v>0</v>
      </c>
      <c r="AC398" s="1267" t="str">
        <f>$AC$6</f>
        <v>Gr. Ave Sem :</v>
      </c>
      <c r="AD398" s="284">
        <f>AD397*7</f>
        <v>0</v>
      </c>
      <c r="AE398" s="284">
        <f>AE397*7</f>
        <v>0</v>
      </c>
      <c r="AF398" s="285">
        <f>IF(AND(AE398&gt;0,AD398&gt;0),(AD398/AE398-1)*100,0)</f>
        <v>0</v>
      </c>
      <c r="AG398" s="1199" t="str">
        <f>PROD!$AG$6</f>
        <v>Gr X H Acm</v>
      </c>
      <c r="AH398" s="298">
        <f>IF(SUM(PROD!L397:L403)&gt;0,IF(PROD!$AG$5="Gr X H",SUM(PROD!V$5:V403)*PROD!$A$1/SUM(PROD!L$5:L403),IF($AG397="Conv Kg/Doc",(SUM(PROD!V$5:V403)*PROD!$A$1/1000)/(SUM(PROD!L$5:L403)/12),IF(PROD!$O399&gt;0,SUM(PROD!V$5:V403)*PROD!$A$1/(SUM(PROD!L$5:L403)*LOOKUP(PROD!A397,TP!$A$6:$A$108,GSh!$BB$6:$BB$108)),0))),0)</f>
        <v>0</v>
      </c>
      <c r="AI398" s="298">
        <f>IF(PROD!P397&gt;0,IF($AG397="Gr X H",PROD!AE397/PROD!P397*100,IF($AG397="Conv Kg/Doc",PROD!AE397/PROD!P397*1.2,IF(PROD!$P398&gt;0,PROD!AE399/(PROD!P398*LOOKUP(PROD!$A397,TP!$A$6:$A$108,GSh!$BC$6:$BC$108)/1000),0))),0)</f>
        <v>0</v>
      </c>
      <c r="AJ398" s="328">
        <f t="shared" si="231"/>
        <v>0</v>
      </c>
      <c r="AK398" s="2027"/>
      <c r="AL398" s="1284">
        <f t="shared" si="222"/>
        <v>0</v>
      </c>
      <c r="AM398" s="1285"/>
      <c r="AN398" s="1285"/>
      <c r="AO398" s="1285"/>
      <c r="AP398" s="1285"/>
      <c r="AQ398" s="1285"/>
      <c r="AR398" s="1285"/>
      <c r="AS398" s="1286"/>
      <c r="AT398" s="1287"/>
      <c r="AU398" s="1288"/>
      <c r="AV398" s="1289"/>
      <c r="AW398" s="1290"/>
      <c r="AX398" s="1291"/>
      <c r="AY398" s="1291"/>
      <c r="AZ398" s="1292"/>
      <c r="BA398" s="1293"/>
      <c r="BB398" s="1294"/>
      <c r="BC398" s="1295"/>
      <c r="BD398" s="1296">
        <f>BD397+PROD!L398-BA398</f>
        <v>0</v>
      </c>
      <c r="BE398" s="2133"/>
      <c r="BF398" s="507" t="e">
        <f t="shared" si="223"/>
        <v>#VALUE!</v>
      </c>
      <c r="BG398" s="329"/>
      <c r="BH398" s="1018">
        <f t="shared" si="224"/>
        <v>0</v>
      </c>
    </row>
    <row r="399" spans="1:60" ht="15" customHeight="1" x14ac:dyDescent="0.3">
      <c r="A399" s="2033"/>
      <c r="B399" s="287" t="str">
        <f t="shared" si="225"/>
        <v/>
      </c>
      <c r="C399" s="288" t="str">
        <f t="shared" si="219"/>
        <v/>
      </c>
      <c r="D399" s="691"/>
      <c r="E399" s="692"/>
      <c r="F399" s="693"/>
      <c r="G399" s="694"/>
      <c r="H399" s="695"/>
      <c r="I399" s="289">
        <f>I398-SUM($D399:F399)</f>
        <v>0</v>
      </c>
      <c r="J399" s="1235" t="str">
        <f>$J$7</f>
        <v>% Mort/Sel Sem Tab :</v>
      </c>
      <c r="K399" s="1236">
        <f>K402-K395</f>
        <v>0</v>
      </c>
      <c r="L399" s="1246"/>
      <c r="M399" s="291">
        <f t="shared" si="232"/>
        <v>0</v>
      </c>
      <c r="N399" s="304" t="str">
        <f>$N$7</f>
        <v xml:space="preserve">Peso Huevo (Gr) : </v>
      </c>
      <c r="O399" s="305">
        <f>LOOKUP($A397,'Pr-Sem'!$A$6:$A$108,'Pr-Sem'!$Z$6:$Z$108)</f>
        <v>0</v>
      </c>
      <c r="P399" s="305">
        <f>IFERROR(LOOKUP($A397,TP!$A$6:$A$108,GSh!$AZ$6:$AZ$108),0)</f>
        <v>0</v>
      </c>
      <c r="Q399" s="306">
        <f>IF(AND(P399&gt;0,O399&gt;0),O399-P399,0)</f>
        <v>0</v>
      </c>
      <c r="R399" s="699"/>
      <c r="S399" s="762"/>
      <c r="T399" s="765">
        <f t="shared" si="230"/>
        <v>0</v>
      </c>
      <c r="U399" s="700"/>
      <c r="V399" s="701"/>
      <c r="W399" s="701"/>
      <c r="X399" s="295">
        <f t="shared" si="227"/>
        <v>0</v>
      </c>
      <c r="Y399" s="296">
        <f>IF(AA399&gt;0,V399,AE397/IF(Iniciar!$C$25="B X 40 K",40,IF(Iniciar!$C$25="B X 50 K",50,1))*I399/1000)</f>
        <v>0</v>
      </c>
      <c r="Z399" s="296">
        <f t="shared" si="228"/>
        <v>0</v>
      </c>
      <c r="AA399" s="297">
        <f t="shared" si="233"/>
        <v>0</v>
      </c>
      <c r="AB399" s="297">
        <f t="shared" si="220"/>
        <v>0</v>
      </c>
      <c r="AC399" s="1268" t="str">
        <f>$AC$7</f>
        <v>Kg Ave Acu :</v>
      </c>
      <c r="AD399" s="308">
        <f>IF(OR(SUM(L397:L403)&gt;0,SUM(V397:V403)&gt;0),AD398/1000+AD392,0)</f>
        <v>0</v>
      </c>
      <c r="AE399" s="309">
        <f>AE398/1000+AE392</f>
        <v>0</v>
      </c>
      <c r="AF399" s="310">
        <f>IF(AND(AE399&gt;0,AD399&gt;0),(AD399/AE399-1)*100,0)</f>
        <v>0</v>
      </c>
      <c r="AG399" s="311" t="str">
        <f>PROD!$AG$7</f>
        <v xml:space="preserve">Masa Sem H (Gr) : </v>
      </c>
      <c r="AH399" s="312">
        <f>PROD!O397/100*7*PROD!O399</f>
        <v>0</v>
      </c>
      <c r="AI399" s="312">
        <f>PROD!P397/100*7*PROD!P399</f>
        <v>0</v>
      </c>
      <c r="AJ399" s="313">
        <f t="shared" si="231"/>
        <v>0</v>
      </c>
      <c r="AK399" s="2027"/>
      <c r="AL399" s="1284">
        <f t="shared" si="222"/>
        <v>0</v>
      </c>
      <c r="AM399" s="1285"/>
      <c r="AN399" s="1285"/>
      <c r="AO399" s="1285"/>
      <c r="AP399" s="1285"/>
      <c r="AQ399" s="1285"/>
      <c r="AR399" s="1285"/>
      <c r="AS399" s="1286"/>
      <c r="AT399" s="1287"/>
      <c r="AU399" s="1288"/>
      <c r="AV399" s="1289"/>
      <c r="AW399" s="1290"/>
      <c r="AX399" s="1291"/>
      <c r="AY399" s="1291"/>
      <c r="AZ399" s="1292"/>
      <c r="BA399" s="1293"/>
      <c r="BB399" s="1294"/>
      <c r="BC399" s="1295"/>
      <c r="BD399" s="1296">
        <f>BD398+PROD!L399-BA399</f>
        <v>0</v>
      </c>
      <c r="BE399" s="2133"/>
      <c r="BF399" s="507" t="e">
        <f t="shared" si="223"/>
        <v>#VALUE!</v>
      </c>
      <c r="BG399" s="329"/>
      <c r="BH399" s="1018">
        <f t="shared" si="224"/>
        <v>0</v>
      </c>
    </row>
    <row r="400" spans="1:60" ht="15" customHeight="1" x14ac:dyDescent="0.3">
      <c r="A400" s="2033"/>
      <c r="B400" s="287" t="str">
        <f t="shared" si="225"/>
        <v/>
      </c>
      <c r="C400" s="288" t="str">
        <f t="shared" si="219"/>
        <v/>
      </c>
      <c r="D400" s="691"/>
      <c r="E400" s="692"/>
      <c r="F400" s="693"/>
      <c r="G400" s="694"/>
      <c r="H400" s="695"/>
      <c r="I400" s="289">
        <f>I399-SUM($D400:F400)</f>
        <v>0</v>
      </c>
      <c r="J400" s="1234" t="str">
        <f>$J$8</f>
        <v>% Mort Acm :</v>
      </c>
      <c r="K400" s="1231">
        <f>IF(PROD!$K$2&gt;0,SUM(D$5:D403)/PROD!$K$2,0)</f>
        <v>0</v>
      </c>
      <c r="L400" s="1246"/>
      <c r="M400" s="291">
        <f t="shared" si="232"/>
        <v>0</v>
      </c>
      <c r="N400" s="314" t="str">
        <f>N$8</f>
        <v xml:space="preserve">Peso Ave (Gr) : </v>
      </c>
      <c r="O400" s="315">
        <f>LOOKUP($A397,GSh!$BV$6:$BV$108,GSh!$BJ$6:$BJ$108)</f>
        <v>0</v>
      </c>
      <c r="P400" s="315">
        <f>IFERROR(LOOKUP($A397,TP!$A$6:$A$108,GSh!$BK$6:$BK$108),0)</f>
        <v>0</v>
      </c>
      <c r="Q400" s="316">
        <f>IF(AND(P400&gt;0,O400&gt;0),(O400/P400-1)*100,0)</f>
        <v>0</v>
      </c>
      <c r="R400" s="699"/>
      <c r="S400" s="762"/>
      <c r="T400" s="765">
        <f t="shared" si="230"/>
        <v>0</v>
      </c>
      <c r="U400" s="700"/>
      <c r="V400" s="701"/>
      <c r="W400" s="701"/>
      <c r="X400" s="295">
        <f t="shared" si="227"/>
        <v>0</v>
      </c>
      <c r="Y400" s="296">
        <f>IF(AA400&gt;0,V400,AE397/IF(Iniciar!$C$25="B X 40 K",40,IF(Iniciar!$C$25="B X 50 K",50,1))*I400/1000)</f>
        <v>0</v>
      </c>
      <c r="Z400" s="296">
        <f t="shared" si="228"/>
        <v>0</v>
      </c>
      <c r="AA400" s="297">
        <f t="shared" si="233"/>
        <v>0</v>
      </c>
      <c r="AB400" s="297">
        <f t="shared" si="220"/>
        <v>0</v>
      </c>
      <c r="AC400" s="541" t="str">
        <f>$AC$8</f>
        <v xml:space="preserve">Ton. Lote Acu : </v>
      </c>
      <c r="AD400" s="544">
        <f>SUM($V$5:$V403)*$A$1/1000000</f>
        <v>0</v>
      </c>
      <c r="AE400" s="543">
        <f>AE393+(AE397/1000000*7*(I397+I403)/2)</f>
        <v>0</v>
      </c>
      <c r="AF400" s="542">
        <f>IF(AND(AE400&gt;0,AD400&gt;0),(AD400/AE400-1)*100,0)</f>
        <v>0</v>
      </c>
      <c r="AG400" s="317" t="str">
        <f>PROD!$AG$8</f>
        <v xml:space="preserve">Masa Ac A. A (Kg) : </v>
      </c>
      <c r="AH400" s="318">
        <f>IF(PROD!$K$2&gt;0,SUM(PROD!L$5:L403)*LOOKUP(PROD!$A397,TP!$A$6:$A$108,GSh!$BB$6:$BB$108)/1000/PROD!$K$2,0)</f>
        <v>0</v>
      </c>
      <c r="AI400" s="318">
        <f>IFERROR(PROD!P398*LOOKUP(PROD!$A397,TP!$A$6:$A$108,GSh!$BC$6:$BC$108)/1000,0)</f>
        <v>0</v>
      </c>
      <c r="AJ400" s="330">
        <f t="shared" si="231"/>
        <v>0</v>
      </c>
      <c r="AK400" s="2027"/>
      <c r="AL400" s="1284">
        <f t="shared" si="222"/>
        <v>0</v>
      </c>
      <c r="AM400" s="1285"/>
      <c r="AN400" s="1285"/>
      <c r="AO400" s="1285"/>
      <c r="AP400" s="1285"/>
      <c r="AQ400" s="1285"/>
      <c r="AR400" s="1285"/>
      <c r="AS400" s="1286"/>
      <c r="AT400" s="1287"/>
      <c r="AU400" s="1288"/>
      <c r="AV400" s="1289"/>
      <c r="AW400" s="1290"/>
      <c r="AX400" s="1291"/>
      <c r="AY400" s="1291"/>
      <c r="AZ400" s="1292"/>
      <c r="BA400" s="1293"/>
      <c r="BB400" s="1294"/>
      <c r="BC400" s="1295"/>
      <c r="BD400" s="1296">
        <f>BD399+PROD!L400-BA400</f>
        <v>0</v>
      </c>
      <c r="BE400" s="2133"/>
      <c r="BF400" s="507" t="e">
        <f t="shared" si="223"/>
        <v>#VALUE!</v>
      </c>
      <c r="BG400" s="329"/>
      <c r="BH400" s="1018">
        <f t="shared" si="224"/>
        <v>0</v>
      </c>
    </row>
    <row r="401" spans="1:60" ht="15" customHeight="1" x14ac:dyDescent="0.3">
      <c r="A401" s="2033"/>
      <c r="B401" s="287" t="str">
        <f t="shared" si="225"/>
        <v/>
      </c>
      <c r="C401" s="288" t="str">
        <f t="shared" si="219"/>
        <v/>
      </c>
      <c r="D401" s="691"/>
      <c r="E401" s="692"/>
      <c r="F401" s="693"/>
      <c r="G401" s="694"/>
      <c r="H401" s="695"/>
      <c r="I401" s="289">
        <f>I400-SUM($D401:F401)</f>
        <v>0</v>
      </c>
      <c r="J401" s="1234" t="str">
        <f>$J$9</f>
        <v>% Sel Acm :</v>
      </c>
      <c r="K401" s="1231">
        <f>IF(PROD!$K$2&gt;0,SUM(E$5:E403)/PROD!$K$2,0)</f>
        <v>0</v>
      </c>
      <c r="L401" s="1246"/>
      <c r="M401" s="291">
        <f t="shared" si="232"/>
        <v>0</v>
      </c>
      <c r="N401" s="292" t="str">
        <f>$N$9</f>
        <v xml:space="preserve">Uniformidad (10% -) : </v>
      </c>
      <c r="O401" s="320">
        <f>LOOKUP($A397,'Pr-Sem'!$A$6:$A$108,'Pr-Sem'!$AH$6:$AH$108)</f>
        <v>0</v>
      </c>
      <c r="P401" s="320">
        <v>5</v>
      </c>
      <c r="Q401" s="321">
        <f>IF(AND(P401&gt;0,O401&gt;0),(1-O401/P401)*100,0)</f>
        <v>0</v>
      </c>
      <c r="R401" s="699"/>
      <c r="S401" s="762"/>
      <c r="T401" s="765">
        <f t="shared" si="230"/>
        <v>0</v>
      </c>
      <c r="U401" s="700"/>
      <c r="V401" s="701"/>
      <c r="W401" s="701"/>
      <c r="X401" s="295">
        <f t="shared" si="227"/>
        <v>0</v>
      </c>
      <c r="Y401" s="296">
        <f>IF(AA401&gt;0,V401,AE397/IF(Iniciar!$C$25="B X 40 K",40,IF(Iniciar!$C$25="B X 50 K",50,1))*I401/1000)</f>
        <v>0</v>
      </c>
      <c r="Z401" s="296">
        <f t="shared" si="228"/>
        <v>0</v>
      </c>
      <c r="AA401" s="297">
        <f t="shared" si="233"/>
        <v>0</v>
      </c>
      <c r="AB401" s="297">
        <f t="shared" si="220"/>
        <v>0</v>
      </c>
      <c r="AC401" s="2035" t="str">
        <f>$AC$9</f>
        <v xml:space="preserve">Total Litros Sem: </v>
      </c>
      <c r="AD401" s="2036"/>
      <c r="AE401" s="2050">
        <f>SUM(R397:R403)</f>
        <v>0</v>
      </c>
      <c r="AF401" s="2051"/>
      <c r="AG401" s="554" t="str">
        <f>$AG$9</f>
        <v xml:space="preserve">Indicador Eficiencia : </v>
      </c>
      <c r="AH401" s="555">
        <f>IF(AND(AE401&gt;0,O398&gt;0,O399&gt;0,SUM(L397:L403)&gt;0),(PROD!AH400/O398)*K403*100/(AE401/(SUM(L397:L403)*O399/1000)),0)</f>
        <v>0</v>
      </c>
      <c r="AI401" s="555">
        <f>IF(AND(P398&gt;0,PROD!AI399&gt;0),(PROD!AI400/P398)*(1-K402)*100/(AE398/PROD!AI399),0)</f>
        <v>0</v>
      </c>
      <c r="AJ401" s="331">
        <f t="shared" si="231"/>
        <v>0</v>
      </c>
      <c r="AK401" s="2027"/>
      <c r="AL401" s="1284">
        <f t="shared" si="222"/>
        <v>0</v>
      </c>
      <c r="AM401" s="1285"/>
      <c r="AN401" s="1285"/>
      <c r="AO401" s="1285"/>
      <c r="AP401" s="1285"/>
      <c r="AQ401" s="1285"/>
      <c r="AR401" s="1285"/>
      <c r="AS401" s="1286"/>
      <c r="AT401" s="1287"/>
      <c r="AU401" s="1288"/>
      <c r="AV401" s="1289"/>
      <c r="AW401" s="1290"/>
      <c r="AX401" s="1291"/>
      <c r="AY401" s="1291"/>
      <c r="AZ401" s="1292"/>
      <c r="BA401" s="1293"/>
      <c r="BB401" s="1294"/>
      <c r="BC401" s="1295"/>
      <c r="BD401" s="1296">
        <f>BD400+PROD!L401-BA401</f>
        <v>0</v>
      </c>
      <c r="BE401" s="2133"/>
      <c r="BF401" s="507" t="e">
        <f t="shared" si="223"/>
        <v>#VALUE!</v>
      </c>
      <c r="BG401" s="329"/>
      <c r="BH401" s="1018">
        <f t="shared" si="224"/>
        <v>0</v>
      </c>
    </row>
    <row r="402" spans="1:60" ht="15" customHeight="1" x14ac:dyDescent="0.3">
      <c r="A402" s="2033"/>
      <c r="B402" s="287" t="str">
        <f t="shared" si="225"/>
        <v/>
      </c>
      <c r="C402" s="288" t="str">
        <f t="shared" si="219"/>
        <v/>
      </c>
      <c r="D402" s="691"/>
      <c r="E402" s="692"/>
      <c r="F402" s="693"/>
      <c r="G402" s="694"/>
      <c r="H402" s="695"/>
      <c r="I402" s="289">
        <f>I401-SUM($D402:F402)</f>
        <v>0</v>
      </c>
      <c r="J402" s="1237" t="str">
        <f>$J$10</f>
        <v>% Mort/Sel Acm Tab :</v>
      </c>
      <c r="K402" s="1238">
        <f>IFERROR(LOOKUP($A397,TP!$A$6:$A$108,GSh!$AR$6:$AR$108)/100,0)</f>
        <v>0</v>
      </c>
      <c r="L402" s="1246"/>
      <c r="M402" s="291">
        <f t="shared" si="232"/>
        <v>0</v>
      </c>
      <c r="N402" s="292" t="str">
        <f>$N$10</f>
        <v xml:space="preserve">Uniformidad (C. Lote) : </v>
      </c>
      <c r="O402" s="320">
        <f>LOOKUP($A397,'Pr-Sem'!$A$6:$A$108,'Pr-Sem'!$AG$6:$AG$108)</f>
        <v>0</v>
      </c>
      <c r="P402" s="320">
        <v>90</v>
      </c>
      <c r="Q402" s="321">
        <f>IF(AND(P402&gt;0,O402&gt;0),(O402/P402-1)*100,0)</f>
        <v>0</v>
      </c>
      <c r="R402" s="699"/>
      <c r="S402" s="762"/>
      <c r="T402" s="765">
        <f t="shared" si="230"/>
        <v>0</v>
      </c>
      <c r="U402" s="700"/>
      <c r="V402" s="701"/>
      <c r="W402" s="701"/>
      <c r="X402" s="295">
        <f t="shared" si="227"/>
        <v>0</v>
      </c>
      <c r="Y402" s="296">
        <f>IF(AA402&gt;0,V402,AE397/IF(Iniciar!$C$25="B X 40 K",40,IF(Iniciar!$C$25="B X 50 K",50,1))*I402/1000)</f>
        <v>0</v>
      </c>
      <c r="Z402" s="296">
        <f t="shared" si="228"/>
        <v>0</v>
      </c>
      <c r="AA402" s="297">
        <f t="shared" si="233"/>
        <v>0</v>
      </c>
      <c r="AB402" s="297">
        <f t="shared" si="220"/>
        <v>0</v>
      </c>
      <c r="AC402" s="2037" t="str">
        <f>$AC$10</f>
        <v xml:space="preserve">Cons ml /ave día: </v>
      </c>
      <c r="AD402" s="2038"/>
      <c r="AE402" s="2056">
        <f>IFERROR(SUMPRODUCT(AB397:AB403,I397:I403)/SUM(I397:I403),0)</f>
        <v>0</v>
      </c>
      <c r="AF402" s="2057"/>
      <c r="AG402" s="311" t="str">
        <f>CONCATENATE("Costo ",Iniciar!$C$25," : ")</f>
        <v xml:space="preserve">Costo Kilos : </v>
      </c>
      <c r="AH402" s="2043">
        <f>IFERROR(SUMPRODUCT(T397:T403,V397:V403)/SUMIF(T397:T403,"&gt;0",V397:V403),0)</f>
        <v>0</v>
      </c>
      <c r="AI402" s="2043"/>
      <c r="AJ402" s="313"/>
      <c r="AK402" s="2027"/>
      <c r="AL402" s="1284">
        <f t="shared" si="222"/>
        <v>0</v>
      </c>
      <c r="AM402" s="1285"/>
      <c r="AN402" s="1285"/>
      <c r="AO402" s="1285"/>
      <c r="AP402" s="1285"/>
      <c r="AQ402" s="1285"/>
      <c r="AR402" s="1285"/>
      <c r="AS402" s="1286"/>
      <c r="AT402" s="1287"/>
      <c r="AU402" s="1288"/>
      <c r="AV402" s="1289"/>
      <c r="AW402" s="1290"/>
      <c r="AX402" s="1291"/>
      <c r="AY402" s="1291"/>
      <c r="AZ402" s="1292"/>
      <c r="BA402" s="1293"/>
      <c r="BB402" s="1294"/>
      <c r="BC402" s="1295"/>
      <c r="BD402" s="1296">
        <f>BD401+PROD!L402-BA402</f>
        <v>0</v>
      </c>
      <c r="BE402" s="2133"/>
      <c r="BF402" s="507" t="e">
        <f t="shared" si="223"/>
        <v>#VALUE!</v>
      </c>
      <c r="BG402" s="329"/>
      <c r="BH402" s="1018">
        <f t="shared" si="224"/>
        <v>0</v>
      </c>
    </row>
    <row r="403" spans="1:60" ht="15" customHeight="1" x14ac:dyDescent="0.3">
      <c r="A403" s="2034"/>
      <c r="B403" s="287" t="str">
        <f t="shared" si="225"/>
        <v/>
      </c>
      <c r="C403" s="288" t="str">
        <f t="shared" si="219"/>
        <v/>
      </c>
      <c r="D403" s="691"/>
      <c r="E403" s="692"/>
      <c r="F403" s="693"/>
      <c r="G403" s="694"/>
      <c r="H403" s="695"/>
      <c r="I403" s="289">
        <f>I402-SUM($D403:F403)</f>
        <v>0</v>
      </c>
      <c r="J403" s="1239" t="str">
        <f>$J$11</f>
        <v>% Viabilidad :</v>
      </c>
      <c r="K403" s="1240">
        <f>IF(OR(SUM(L397:L403)&gt;0,SUM(V397:V403)&gt;0),1-(K400+K401),0)</f>
        <v>0</v>
      </c>
      <c r="L403" s="1247"/>
      <c r="M403" s="1248">
        <f>IF(I403&gt;0,(L403/IF(SUM(L397:L402)&gt;0,1,7))/I403,0)</f>
        <v>0</v>
      </c>
      <c r="N403" s="1249" t="str">
        <f>$N$11</f>
        <v xml:space="preserve">Uniformidad (10% +) : </v>
      </c>
      <c r="O403" s="1250">
        <f>IF(O401&gt;0,IF(O402&gt;0,100-SUM(O401:O402),0),0)</f>
        <v>0</v>
      </c>
      <c r="P403" s="1251">
        <f>100-SUM(P401:P402)</f>
        <v>5</v>
      </c>
      <c r="Q403" s="1252">
        <f>IF(AND(P403&gt;0,O403&gt;0),(O403/P403-1)*100,0)</f>
        <v>0</v>
      </c>
      <c r="R403" s="699"/>
      <c r="S403" s="762"/>
      <c r="T403" s="765">
        <f t="shared" si="230"/>
        <v>0</v>
      </c>
      <c r="U403" s="700"/>
      <c r="V403" s="701"/>
      <c r="W403" s="701"/>
      <c r="X403" s="295">
        <f t="shared" si="227"/>
        <v>0</v>
      </c>
      <c r="Y403" s="296">
        <f>IF(AA403&gt;0,V403,AE397/IF(Iniciar!$C$25="B X 40 K",40,IF(Iniciar!$C$25="B X 50 K",50,1))*I403/1000)</f>
        <v>0</v>
      </c>
      <c r="Z403" s="296">
        <f t="shared" si="228"/>
        <v>0</v>
      </c>
      <c r="AA403" s="297">
        <f>IF(I403&gt;0,(V403/IF(SUM(V397:V402)&gt;0,1,7))*$A$1/I403,0)</f>
        <v>0</v>
      </c>
      <c r="AB403" s="297">
        <f t="shared" si="220"/>
        <v>0</v>
      </c>
      <c r="AC403" s="2039" t="str">
        <f>$AC$11</f>
        <v xml:space="preserve">Relación Agua /Alimto: </v>
      </c>
      <c r="AD403" s="2040"/>
      <c r="AE403" s="2058">
        <f>IFERROR(AE402/AD397,0)</f>
        <v>0</v>
      </c>
      <c r="AF403" s="2059"/>
      <c r="AG403" s="1269" t="s">
        <v>237</v>
      </c>
      <c r="AH403" s="1270">
        <f>IF(SUM(L397:L403)&gt;0,AH402*SUM(V397:V403)/SUM(L397:L403),0)</f>
        <v>0</v>
      </c>
      <c r="AI403" s="1270">
        <f>IF(AND($A$1&gt;0,P397&gt;0),AH402/$A$1*(AE397/P397)*100,0)</f>
        <v>0</v>
      </c>
      <c r="AJ403" s="1271">
        <f t="shared" ref="AJ403:AJ408" si="234">IF(AND(AI403&gt;0,AH403&gt;0),(AH403/AI403-1)*100,0)</f>
        <v>0</v>
      </c>
      <c r="AK403" s="2028"/>
      <c r="AL403" s="1284">
        <f t="shared" si="222"/>
        <v>0</v>
      </c>
      <c r="AM403" s="1285"/>
      <c r="AN403" s="1285"/>
      <c r="AO403" s="1285"/>
      <c r="AP403" s="1285"/>
      <c r="AQ403" s="1285"/>
      <c r="AR403" s="1285"/>
      <c r="AS403" s="1286"/>
      <c r="AT403" s="1287"/>
      <c r="AU403" s="1288"/>
      <c r="AV403" s="1289"/>
      <c r="AW403" s="1290"/>
      <c r="AX403" s="1291"/>
      <c r="AY403" s="1291"/>
      <c r="AZ403" s="1292"/>
      <c r="BA403" s="1293"/>
      <c r="BB403" s="1294"/>
      <c r="BC403" s="1295"/>
      <c r="BD403" s="1296">
        <f>BD402+PROD!L403-BA403</f>
        <v>0</v>
      </c>
      <c r="BE403" s="2134"/>
      <c r="BF403" s="507" t="e">
        <f t="shared" si="223"/>
        <v>#VALUE!</v>
      </c>
      <c r="BG403" s="329"/>
      <c r="BH403" s="1018">
        <f t="shared" si="224"/>
        <v>0</v>
      </c>
    </row>
    <row r="404" spans="1:60" ht="15" customHeight="1" x14ac:dyDescent="0.3">
      <c r="A404" s="2032">
        <f>A397+1</f>
        <v>75</v>
      </c>
      <c r="B404" s="287" t="str">
        <f t="shared" si="225"/>
        <v/>
      </c>
      <c r="C404" s="288" t="str">
        <f t="shared" si="219"/>
        <v/>
      </c>
      <c r="D404" s="691"/>
      <c r="E404" s="692"/>
      <c r="F404" s="693"/>
      <c r="G404" s="694"/>
      <c r="H404" s="695"/>
      <c r="I404" s="289">
        <f>I403-SUM($D404:F404)</f>
        <v>0</v>
      </c>
      <c r="J404" s="1232" t="str">
        <f>$J$5</f>
        <v>% Mort Sem :</v>
      </c>
      <c r="K404" s="1233">
        <f>IF(PROD!$K$2&gt;0,SUM(D404:D410)/PROD!$K$2,0)</f>
        <v>0</v>
      </c>
      <c r="L404" s="1241"/>
      <c r="M404" s="1242">
        <f t="shared" ref="M404:M409" si="235">IF(I404&gt;0,L404/I404,0)</f>
        <v>0</v>
      </c>
      <c r="N404" s="1243" t="str">
        <f>$N$5</f>
        <v xml:space="preserve">% Pdn prom semana : </v>
      </c>
      <c r="O404" s="1244">
        <f>IF(SUM(L404:L409)&gt;0,100*SUMPRODUCT(M404:M410,I404:I410)/SUMIF(L404:L410,"&gt;0",I404:I410),IF(L410&gt;0,100*L410/7/I410,0))</f>
        <v>0</v>
      </c>
      <c r="P404" s="1244">
        <f>IFERROR(LOOKUP($A404,TP!$A$6:$A$108,GSh!$AE$6:$AE$108),0)</f>
        <v>0</v>
      </c>
      <c r="Q404" s="1245">
        <f>IF(AND(P404&gt;0,O404&gt;0),O404-P404,0)</f>
        <v>0</v>
      </c>
      <c r="R404" s="699"/>
      <c r="S404" s="762"/>
      <c r="T404" s="765">
        <f t="shared" si="230"/>
        <v>0</v>
      </c>
      <c r="U404" s="700"/>
      <c r="V404" s="701"/>
      <c r="W404" s="701"/>
      <c r="X404" s="295">
        <f t="shared" si="227"/>
        <v>0</v>
      </c>
      <c r="Y404" s="296">
        <f>IF(AA404&gt;0,V404,AE404/IF(Iniciar!$C$25="B X 40 K",40,IF(Iniciar!$C$25="B X 50 K",50,1))*I404/1000)</f>
        <v>0</v>
      </c>
      <c r="Z404" s="296">
        <f t="shared" si="228"/>
        <v>0</v>
      </c>
      <c r="AA404" s="297">
        <f t="shared" ref="AA404:AA409" si="236">IF(I404&gt;0,V404*$A$1/I404,0)</f>
        <v>0</v>
      </c>
      <c r="AB404" s="297">
        <f t="shared" si="220"/>
        <v>0</v>
      </c>
      <c r="AC404" s="1261" t="str">
        <f>$AC$5</f>
        <v>Gr. Ave Dia :</v>
      </c>
      <c r="AD404" s="1262">
        <f>IF(SUMIF(V404:V410,"&gt;0")&gt;0,SUMPRODUCT(AA404:AA410,I404:I410)/SUMIF(AA404:AA410,"&gt;0",I404:I410),0)</f>
        <v>0</v>
      </c>
      <c r="AE404" s="1262">
        <f>IFERROR(LOOKUP($A404,TP!$A$6:$A$108,GSh!$AU$6:$AU$108),0)</f>
        <v>0</v>
      </c>
      <c r="AF404" s="1263">
        <f>IF(AND(AE404&gt;0,AD404&gt;0),(AD404/AE404-1)*100,0)</f>
        <v>0</v>
      </c>
      <c r="AG404" s="1264" t="str">
        <f>PROD!$AG$5</f>
        <v>Gr X H</v>
      </c>
      <c r="AH404" s="1265">
        <f>IF(PROD!O404&gt;0,IF($AG404="Gr X H",PROD!AD404/PROD!O404*100,IF($AG404="Conv Kg/Doc",PROD!AD404/PROD!O404*1.2,IF(PROD!$O406&gt;0,PROD!AD404/(PROD!O404*PROD!$O406)*100,0))),0)</f>
        <v>0</v>
      </c>
      <c r="AI404" s="1265">
        <f>IF(PROD!P404&gt;0,IF($AG404="Gr X H",PROD!AE404/PROD!P404*100,IF($AG404="Conv Kg/Doc",PROD!AE404/PROD!P404*1.2,IF(PROD!$P406&gt;0,PROD!AE404/(PROD!P404*PROD!$P406)*100,0))),0)</f>
        <v>0</v>
      </c>
      <c r="AJ404" s="1266">
        <f t="shared" si="234"/>
        <v>0</v>
      </c>
      <c r="AK404" s="2026"/>
      <c r="AL404" s="1284">
        <f t="shared" si="222"/>
        <v>0</v>
      </c>
      <c r="AM404" s="1285"/>
      <c r="AN404" s="1285"/>
      <c r="AO404" s="1285"/>
      <c r="AP404" s="1285"/>
      <c r="AQ404" s="1285"/>
      <c r="AR404" s="1285"/>
      <c r="AS404" s="1286"/>
      <c r="AT404" s="1287"/>
      <c r="AU404" s="1288"/>
      <c r="AV404" s="1289"/>
      <c r="AW404" s="1290"/>
      <c r="AX404" s="1291"/>
      <c r="AY404" s="1291"/>
      <c r="AZ404" s="1292"/>
      <c r="BA404" s="1293"/>
      <c r="BB404" s="1294"/>
      <c r="BC404" s="1295"/>
      <c r="BD404" s="1296">
        <f>BD403+PROD!L404-BA404</f>
        <v>0</v>
      </c>
      <c r="BE404" s="2132">
        <f>IF(SUM(AM404:AZ410)&gt;0,(SUM(AM404:AM410)*$AM$2+SUM(AN404:AN410)*$AN$2+SUM(AO404:AO410)*$AO$2+SUM(AP404:AP410)*$AP$2+SUM(AQ404:AQ410)*$AQ$2+SUM(AR404:AR410)*$AR$2+SUM(AS404:AS410)*$AS$2+SUM(AW404:AW410)*$AW$2+SUM(AX404:AX410)*$AX$2+SUM(AY404:AY410)*$AY$2+SUM(AZ404:AZ410)*$AZ$2+SUM(AT404:AT410)*$AT$2+SUM(AU404:AU410)*$AU$2+SUM(AV404:AV410)*$AV$2)/SUM(AM404:AZ410),0)</f>
        <v>0</v>
      </c>
      <c r="BF404" s="507" t="e">
        <f t="shared" si="223"/>
        <v>#VALUE!</v>
      </c>
      <c r="BG404" s="277">
        <f>IF(SUM(L404:L410)&gt;0,A404,IF(SUM(V404:V410)&gt;0,A404,BG397))</f>
        <v>0</v>
      </c>
      <c r="BH404" s="1018">
        <f t="shared" si="224"/>
        <v>0</v>
      </c>
    </row>
    <row r="405" spans="1:60" ht="15" customHeight="1" x14ac:dyDescent="0.3">
      <c r="A405" s="2033"/>
      <c r="B405" s="287" t="str">
        <f t="shared" si="225"/>
        <v/>
      </c>
      <c r="C405" s="288" t="str">
        <f t="shared" si="219"/>
        <v/>
      </c>
      <c r="D405" s="691"/>
      <c r="E405" s="692"/>
      <c r="F405" s="693"/>
      <c r="G405" s="694"/>
      <c r="H405" s="695"/>
      <c r="I405" s="289">
        <f>I404-SUM($D405:F405)</f>
        <v>0</v>
      </c>
      <c r="J405" s="1234" t="str">
        <f>$J$6</f>
        <v>% Sel Sem :</v>
      </c>
      <c r="K405" s="1231">
        <f>IF(PROD!$K$2&gt;0,SUM(E404:E410)/PROD!$K$2,0)</f>
        <v>0</v>
      </c>
      <c r="L405" s="1246"/>
      <c r="M405" s="291">
        <f t="shared" si="235"/>
        <v>0</v>
      </c>
      <c r="N405" s="292" t="str">
        <f>$N$6</f>
        <v xml:space="preserve">H. Ave Alojada : </v>
      </c>
      <c r="O405" s="293">
        <f>IF(AND(PROD!$K$2&gt;0,O404&gt;0),SUM(L$5:L410)/PROD!$K$2,0)</f>
        <v>0</v>
      </c>
      <c r="P405" s="293">
        <f>IFERROR(LOOKUP($A404,TP!$A$6:$A$108,GSh!$AJ$6:$AJ$108),0)</f>
        <v>0</v>
      </c>
      <c r="Q405" s="294">
        <f>IF(AND(P405&gt;0,O405&gt;0),O405-P405,0)</f>
        <v>0</v>
      </c>
      <c r="R405" s="699"/>
      <c r="S405" s="762"/>
      <c r="T405" s="765">
        <f t="shared" si="230"/>
        <v>0</v>
      </c>
      <c r="U405" s="700"/>
      <c r="V405" s="701"/>
      <c r="W405" s="701"/>
      <c r="X405" s="295">
        <f t="shared" si="227"/>
        <v>0</v>
      </c>
      <c r="Y405" s="296">
        <f>IF(AA405&gt;0,V405,AE404/IF(Iniciar!$C$25="B X 40 K",40,IF(Iniciar!$C$25="B X 50 K",50,1))*I405/1000)</f>
        <v>0</v>
      </c>
      <c r="Z405" s="296">
        <f t="shared" si="228"/>
        <v>0</v>
      </c>
      <c r="AA405" s="297">
        <f t="shared" si="236"/>
        <v>0</v>
      </c>
      <c r="AB405" s="297">
        <f t="shared" si="220"/>
        <v>0</v>
      </c>
      <c r="AC405" s="1267" t="str">
        <f>$AC$6</f>
        <v>Gr. Ave Sem :</v>
      </c>
      <c r="AD405" s="284">
        <f>AD404*7</f>
        <v>0</v>
      </c>
      <c r="AE405" s="284">
        <f>AE404*7</f>
        <v>0</v>
      </c>
      <c r="AF405" s="285">
        <f>IF(AND(AE405&gt;0,AD405&gt;0),(AD405/AE405-1)*100,0)</f>
        <v>0</v>
      </c>
      <c r="AG405" s="1199" t="str">
        <f>PROD!$AG$6</f>
        <v>Gr X H Acm</v>
      </c>
      <c r="AH405" s="298">
        <f>IF(SUM(PROD!L404:L410)&gt;0,IF(PROD!$AG$5="Gr X H",SUM(PROD!V$5:V410)*PROD!$A$1/SUM(PROD!L$5:L410),IF($AG404="Conv Kg/Doc",(SUM(PROD!V$5:V410)*PROD!$A$1/1000)/(SUM(PROD!L$5:L410)/12),IF(PROD!$O406&gt;0,SUM(PROD!V$5:V410)*PROD!$A$1/(SUM(PROD!L$5:L410)*LOOKUP(PROD!A404,TP!$A$6:$A$108,GSh!$BB$6:$BB$108)),0))),0)</f>
        <v>0</v>
      </c>
      <c r="AI405" s="298">
        <f>IF(PROD!P404&gt;0,IF($AG404="Gr X H",PROD!AE404/PROD!P404*100,IF($AG404="Conv Kg/Doc",PROD!AE404/PROD!P404*1.2,IF(PROD!$P405&gt;0,PROD!AE406/(PROD!P405*LOOKUP(PROD!$A404,TP!$A$6:$A$108,GSh!$BC$6:$BC$108)/1000),0))),0)</f>
        <v>0</v>
      </c>
      <c r="AJ405" s="328">
        <f t="shared" si="234"/>
        <v>0</v>
      </c>
      <c r="AK405" s="2027"/>
      <c r="AL405" s="1284">
        <f t="shared" si="222"/>
        <v>0</v>
      </c>
      <c r="AM405" s="1285"/>
      <c r="AN405" s="1285"/>
      <c r="AO405" s="1285"/>
      <c r="AP405" s="1285"/>
      <c r="AQ405" s="1285"/>
      <c r="AR405" s="1285"/>
      <c r="AS405" s="1286"/>
      <c r="AT405" s="1287"/>
      <c r="AU405" s="1288"/>
      <c r="AV405" s="1289"/>
      <c r="AW405" s="1290"/>
      <c r="AX405" s="1291"/>
      <c r="AY405" s="1291"/>
      <c r="AZ405" s="1292"/>
      <c r="BA405" s="1293"/>
      <c r="BB405" s="1294"/>
      <c r="BC405" s="1295"/>
      <c r="BD405" s="1296">
        <f>BD404+PROD!L405-BA405</f>
        <v>0</v>
      </c>
      <c r="BE405" s="2133"/>
      <c r="BF405" s="507" t="e">
        <f t="shared" si="223"/>
        <v>#VALUE!</v>
      </c>
      <c r="BG405" s="329"/>
      <c r="BH405" s="1018">
        <f t="shared" si="224"/>
        <v>0</v>
      </c>
    </row>
    <row r="406" spans="1:60" ht="15" customHeight="1" x14ac:dyDescent="0.3">
      <c r="A406" s="2033"/>
      <c r="B406" s="287" t="str">
        <f t="shared" si="225"/>
        <v/>
      </c>
      <c r="C406" s="288" t="str">
        <f t="shared" si="219"/>
        <v/>
      </c>
      <c r="D406" s="691"/>
      <c r="E406" s="692"/>
      <c r="F406" s="693"/>
      <c r="G406" s="694"/>
      <c r="H406" s="695"/>
      <c r="I406" s="289">
        <f>I405-SUM($D406:F406)</f>
        <v>0</v>
      </c>
      <c r="J406" s="1235" t="str">
        <f>$J$7</f>
        <v>% Mort/Sel Sem Tab :</v>
      </c>
      <c r="K406" s="1236">
        <f>K409-K402</f>
        <v>0</v>
      </c>
      <c r="L406" s="1246"/>
      <c r="M406" s="291">
        <f t="shared" si="235"/>
        <v>0</v>
      </c>
      <c r="N406" s="304" t="str">
        <f>$N$7</f>
        <v xml:space="preserve">Peso Huevo (Gr) : </v>
      </c>
      <c r="O406" s="305">
        <f>LOOKUP($A404,'Pr-Sem'!$A$6:$A$108,'Pr-Sem'!$Z$6:$Z$108)</f>
        <v>0</v>
      </c>
      <c r="P406" s="305">
        <f>IFERROR(LOOKUP($A404,TP!$A$6:$A$108,GSh!$AZ$6:$AZ$108),0)</f>
        <v>0</v>
      </c>
      <c r="Q406" s="306">
        <f>IF(AND(P406&gt;0,O406&gt;0),O406-P406,0)</f>
        <v>0</v>
      </c>
      <c r="R406" s="699"/>
      <c r="S406" s="762"/>
      <c r="T406" s="765">
        <f t="shared" si="230"/>
        <v>0</v>
      </c>
      <c r="U406" s="700"/>
      <c r="V406" s="701"/>
      <c r="W406" s="701"/>
      <c r="X406" s="295">
        <f t="shared" si="227"/>
        <v>0</v>
      </c>
      <c r="Y406" s="296">
        <f>IF(AA406&gt;0,V406,AE404/IF(Iniciar!$C$25="B X 40 K",40,IF(Iniciar!$C$25="B X 50 K",50,1))*I406/1000)</f>
        <v>0</v>
      </c>
      <c r="Z406" s="296">
        <f t="shared" si="228"/>
        <v>0</v>
      </c>
      <c r="AA406" s="297">
        <f t="shared" si="236"/>
        <v>0</v>
      </c>
      <c r="AB406" s="297">
        <f t="shared" si="220"/>
        <v>0</v>
      </c>
      <c r="AC406" s="1268" t="str">
        <f>$AC$7</f>
        <v>Kg Ave Acu :</v>
      </c>
      <c r="AD406" s="308">
        <f>IF(OR(SUM(L404:L410)&gt;0,SUM(V404:V410)&gt;0),AD405/1000+AD399,0)</f>
        <v>0</v>
      </c>
      <c r="AE406" s="309">
        <f>AE405/1000+AE399</f>
        <v>0</v>
      </c>
      <c r="AF406" s="310">
        <f>IF(AND(AE406&gt;0,AD406&gt;0),(AD406/AE406-1)*100,0)</f>
        <v>0</v>
      </c>
      <c r="AG406" s="311" t="str">
        <f>PROD!$AG$7</f>
        <v xml:space="preserve">Masa Sem H (Gr) : </v>
      </c>
      <c r="AH406" s="312">
        <f>PROD!O404/100*7*PROD!O406</f>
        <v>0</v>
      </c>
      <c r="AI406" s="312">
        <f>PROD!P404/100*7*PROD!P406</f>
        <v>0</v>
      </c>
      <c r="AJ406" s="313">
        <f t="shared" si="234"/>
        <v>0</v>
      </c>
      <c r="AK406" s="2027"/>
      <c r="AL406" s="1284">
        <f t="shared" si="222"/>
        <v>0</v>
      </c>
      <c r="AM406" s="1285"/>
      <c r="AN406" s="1285"/>
      <c r="AO406" s="1285"/>
      <c r="AP406" s="1285"/>
      <c r="AQ406" s="1285"/>
      <c r="AR406" s="1285"/>
      <c r="AS406" s="1286"/>
      <c r="AT406" s="1287"/>
      <c r="AU406" s="1288"/>
      <c r="AV406" s="1289"/>
      <c r="AW406" s="1290"/>
      <c r="AX406" s="1291"/>
      <c r="AY406" s="1291"/>
      <c r="AZ406" s="1292"/>
      <c r="BA406" s="1293"/>
      <c r="BB406" s="1294"/>
      <c r="BC406" s="1295"/>
      <c r="BD406" s="1296">
        <f>BD405+PROD!L406-BA406</f>
        <v>0</v>
      </c>
      <c r="BE406" s="2133"/>
      <c r="BF406" s="507" t="e">
        <f t="shared" si="223"/>
        <v>#VALUE!</v>
      </c>
      <c r="BG406" s="329"/>
      <c r="BH406" s="1018">
        <f t="shared" si="224"/>
        <v>0</v>
      </c>
    </row>
    <row r="407" spans="1:60" ht="15" customHeight="1" x14ac:dyDescent="0.3">
      <c r="A407" s="2033"/>
      <c r="B407" s="287" t="str">
        <f t="shared" si="225"/>
        <v/>
      </c>
      <c r="C407" s="288" t="str">
        <f t="shared" si="219"/>
        <v/>
      </c>
      <c r="D407" s="691"/>
      <c r="E407" s="692"/>
      <c r="F407" s="693"/>
      <c r="G407" s="694"/>
      <c r="H407" s="695"/>
      <c r="I407" s="289">
        <f>I406-SUM($D407:F407)</f>
        <v>0</v>
      </c>
      <c r="J407" s="1234" t="str">
        <f>$J$8</f>
        <v>% Mort Acm :</v>
      </c>
      <c r="K407" s="1231">
        <f>IF(PROD!$K$2&gt;0,SUM(D$5:D410)/PROD!$K$2,0)</f>
        <v>0</v>
      </c>
      <c r="L407" s="1246"/>
      <c r="M407" s="291">
        <f t="shared" si="235"/>
        <v>0</v>
      </c>
      <c r="N407" s="314" t="str">
        <f>N$8</f>
        <v xml:space="preserve">Peso Ave (Gr) : </v>
      </c>
      <c r="O407" s="315">
        <f>LOOKUP($A404,GSh!$BV$6:$BV$108,GSh!$BJ$6:$BJ$108)</f>
        <v>0</v>
      </c>
      <c r="P407" s="315">
        <f>IFERROR(LOOKUP($A404,TP!$A$6:$A$108,GSh!$BK$6:$BK$108),0)</f>
        <v>0</v>
      </c>
      <c r="Q407" s="316">
        <f>IF(AND(P407&gt;0,O407&gt;0),(O407/P407-1)*100,0)</f>
        <v>0</v>
      </c>
      <c r="R407" s="699"/>
      <c r="S407" s="762"/>
      <c r="T407" s="765">
        <f t="shared" si="230"/>
        <v>0</v>
      </c>
      <c r="U407" s="700"/>
      <c r="V407" s="701"/>
      <c r="W407" s="701"/>
      <c r="X407" s="295">
        <f t="shared" si="227"/>
        <v>0</v>
      </c>
      <c r="Y407" s="296">
        <f>IF(AA407&gt;0,V407,AE404/IF(Iniciar!$C$25="B X 40 K",40,IF(Iniciar!$C$25="B X 50 K",50,1))*I407/1000)</f>
        <v>0</v>
      </c>
      <c r="Z407" s="296">
        <f t="shared" si="228"/>
        <v>0</v>
      </c>
      <c r="AA407" s="297">
        <f t="shared" si="236"/>
        <v>0</v>
      </c>
      <c r="AB407" s="297">
        <f t="shared" si="220"/>
        <v>0</v>
      </c>
      <c r="AC407" s="541" t="str">
        <f>$AC$8</f>
        <v xml:space="preserve">Ton. Lote Acu : </v>
      </c>
      <c r="AD407" s="544">
        <f>SUM($V$5:$V410)*$A$1/1000000</f>
        <v>0</v>
      </c>
      <c r="AE407" s="543">
        <f>AE400+(AE404/1000000*7*(I404+I410)/2)</f>
        <v>0</v>
      </c>
      <c r="AF407" s="542">
        <f>IF(AND(AE407&gt;0,AD407&gt;0),(AD407/AE407-1)*100,0)</f>
        <v>0</v>
      </c>
      <c r="AG407" s="317" t="str">
        <f>PROD!$AG$8</f>
        <v xml:space="preserve">Masa Ac A. A (Kg) : </v>
      </c>
      <c r="AH407" s="318">
        <f>IF(PROD!$K$2&gt;0,SUM(PROD!L$5:L410)*LOOKUP(PROD!$A404,TP!$A$6:$A$108,GSh!$BB$6:$BB$108)/1000/PROD!$K$2,0)</f>
        <v>0</v>
      </c>
      <c r="AI407" s="318">
        <f>IFERROR(PROD!P405*LOOKUP(PROD!$A404,TP!$A$6:$A$108,GSh!$BC$6:$BC$108)/1000,0)</f>
        <v>0</v>
      </c>
      <c r="AJ407" s="330">
        <f t="shared" si="234"/>
        <v>0</v>
      </c>
      <c r="AK407" s="2027"/>
      <c r="AL407" s="1284">
        <f t="shared" si="222"/>
        <v>0</v>
      </c>
      <c r="AM407" s="1285"/>
      <c r="AN407" s="1285"/>
      <c r="AO407" s="1285"/>
      <c r="AP407" s="1285"/>
      <c r="AQ407" s="1285"/>
      <c r="AR407" s="1285"/>
      <c r="AS407" s="1286"/>
      <c r="AT407" s="1287"/>
      <c r="AU407" s="1288"/>
      <c r="AV407" s="1289"/>
      <c r="AW407" s="1290"/>
      <c r="AX407" s="1291"/>
      <c r="AY407" s="1291"/>
      <c r="AZ407" s="1292"/>
      <c r="BA407" s="1293"/>
      <c r="BB407" s="1294"/>
      <c r="BC407" s="1295"/>
      <c r="BD407" s="1296">
        <f>BD406+PROD!L407-BA407</f>
        <v>0</v>
      </c>
      <c r="BE407" s="2133"/>
      <c r="BF407" s="507" t="e">
        <f t="shared" si="223"/>
        <v>#VALUE!</v>
      </c>
      <c r="BG407" s="329"/>
      <c r="BH407" s="1018">
        <f t="shared" si="224"/>
        <v>0</v>
      </c>
    </row>
    <row r="408" spans="1:60" ht="15" customHeight="1" x14ac:dyDescent="0.3">
      <c r="A408" s="2033"/>
      <c r="B408" s="287" t="str">
        <f t="shared" si="225"/>
        <v/>
      </c>
      <c r="C408" s="288" t="str">
        <f t="shared" si="219"/>
        <v/>
      </c>
      <c r="D408" s="691"/>
      <c r="E408" s="692"/>
      <c r="F408" s="693"/>
      <c r="G408" s="694"/>
      <c r="H408" s="695"/>
      <c r="I408" s="289">
        <f>I407-SUM($D408:F408)</f>
        <v>0</v>
      </c>
      <c r="J408" s="1234" t="str">
        <f>$J$9</f>
        <v>% Sel Acm :</v>
      </c>
      <c r="K408" s="1231">
        <f>IF(PROD!$K$2&gt;0,SUM(E$5:E410)/PROD!$K$2,0)</f>
        <v>0</v>
      </c>
      <c r="L408" s="1246"/>
      <c r="M408" s="291">
        <f t="shared" si="235"/>
        <v>0</v>
      </c>
      <c r="N408" s="292" t="str">
        <f>$N$9</f>
        <v xml:space="preserve">Uniformidad (10% -) : </v>
      </c>
      <c r="O408" s="320">
        <f>LOOKUP($A404,'Pr-Sem'!$A$6:$A$108,'Pr-Sem'!$AH$6:$AH$108)</f>
        <v>0</v>
      </c>
      <c r="P408" s="320">
        <v>5</v>
      </c>
      <c r="Q408" s="321">
        <f>IF(AND(P408&gt;0,O408&gt;0),(1-O408/P408)*100,0)</f>
        <v>0</v>
      </c>
      <c r="R408" s="699"/>
      <c r="S408" s="762"/>
      <c r="T408" s="765">
        <f t="shared" si="230"/>
        <v>0</v>
      </c>
      <c r="U408" s="700"/>
      <c r="V408" s="701"/>
      <c r="W408" s="701"/>
      <c r="X408" s="295">
        <f t="shared" si="227"/>
        <v>0</v>
      </c>
      <c r="Y408" s="296">
        <f>IF(AA408&gt;0,V408,AE404/IF(Iniciar!$C$25="B X 40 K",40,IF(Iniciar!$C$25="B X 50 K",50,1))*I408/1000)</f>
        <v>0</v>
      </c>
      <c r="Z408" s="296">
        <f t="shared" si="228"/>
        <v>0</v>
      </c>
      <c r="AA408" s="297">
        <f t="shared" si="236"/>
        <v>0</v>
      </c>
      <c r="AB408" s="297">
        <f t="shared" si="220"/>
        <v>0</v>
      </c>
      <c r="AC408" s="2035" t="str">
        <f>$AC$9</f>
        <v xml:space="preserve">Total Litros Sem: </v>
      </c>
      <c r="AD408" s="2036"/>
      <c r="AE408" s="2050">
        <f>SUM(R404:R410)</f>
        <v>0</v>
      </c>
      <c r="AF408" s="2051"/>
      <c r="AG408" s="554" t="str">
        <f>$AG$9</f>
        <v xml:space="preserve">Indicador Eficiencia : </v>
      </c>
      <c r="AH408" s="555">
        <f>IF(AND(AE408&gt;0,O405&gt;0,O406&gt;0,SUM(L404:L410)&gt;0),(PROD!AH407/O405)*K410*100/(AE408/(SUM(L404:L410)*O406/1000)),0)</f>
        <v>0</v>
      </c>
      <c r="AI408" s="555">
        <f>IF(AND(P405&gt;0,PROD!AI406&gt;0),(PROD!AI407/P405)*(1-K409)*100/(AE405/PROD!AI406),0)</f>
        <v>0</v>
      </c>
      <c r="AJ408" s="331">
        <f t="shared" si="234"/>
        <v>0</v>
      </c>
      <c r="AK408" s="2027"/>
      <c r="AL408" s="1284">
        <f t="shared" si="222"/>
        <v>0</v>
      </c>
      <c r="AM408" s="1285"/>
      <c r="AN408" s="1285"/>
      <c r="AO408" s="1285"/>
      <c r="AP408" s="1285"/>
      <c r="AQ408" s="1285"/>
      <c r="AR408" s="1285"/>
      <c r="AS408" s="1286"/>
      <c r="AT408" s="1287"/>
      <c r="AU408" s="1288"/>
      <c r="AV408" s="1289"/>
      <c r="AW408" s="1290"/>
      <c r="AX408" s="1291"/>
      <c r="AY408" s="1291"/>
      <c r="AZ408" s="1292"/>
      <c r="BA408" s="1293"/>
      <c r="BB408" s="1294"/>
      <c r="BC408" s="1295"/>
      <c r="BD408" s="1296">
        <f>BD407+PROD!L408-BA408</f>
        <v>0</v>
      </c>
      <c r="BE408" s="2133"/>
      <c r="BF408" s="507" t="e">
        <f t="shared" si="223"/>
        <v>#VALUE!</v>
      </c>
      <c r="BG408" s="329"/>
      <c r="BH408" s="1018">
        <f t="shared" si="224"/>
        <v>0</v>
      </c>
    </row>
    <row r="409" spans="1:60" ht="15" customHeight="1" x14ac:dyDescent="0.3">
      <c r="A409" s="2033"/>
      <c r="B409" s="287" t="str">
        <f t="shared" si="225"/>
        <v/>
      </c>
      <c r="C409" s="288" t="str">
        <f t="shared" si="219"/>
        <v/>
      </c>
      <c r="D409" s="691"/>
      <c r="E409" s="692"/>
      <c r="F409" s="693"/>
      <c r="G409" s="694"/>
      <c r="H409" s="695"/>
      <c r="I409" s="289">
        <f>I408-SUM($D409:F409)</f>
        <v>0</v>
      </c>
      <c r="J409" s="1237" t="str">
        <f>$J$10</f>
        <v>% Mort/Sel Acm Tab :</v>
      </c>
      <c r="K409" s="1238">
        <f>IFERROR(LOOKUP($A404,TP!$A$6:$A$108,GSh!$AR$6:$AR$108)/100,0)</f>
        <v>0</v>
      </c>
      <c r="L409" s="1246"/>
      <c r="M409" s="291">
        <f t="shared" si="235"/>
        <v>0</v>
      </c>
      <c r="N409" s="292" t="str">
        <f>$N$10</f>
        <v xml:space="preserve">Uniformidad (C. Lote) : </v>
      </c>
      <c r="O409" s="320">
        <f>LOOKUP($A404,'Pr-Sem'!$A$6:$A$108,'Pr-Sem'!$AG$6:$AG$108)</f>
        <v>0</v>
      </c>
      <c r="P409" s="320">
        <v>90</v>
      </c>
      <c r="Q409" s="321">
        <f>IF(AND(P409&gt;0,O409&gt;0),(O409/P409-1)*100,0)</f>
        <v>0</v>
      </c>
      <c r="R409" s="699"/>
      <c r="S409" s="762"/>
      <c r="T409" s="765">
        <f t="shared" si="230"/>
        <v>0</v>
      </c>
      <c r="U409" s="700"/>
      <c r="V409" s="701"/>
      <c r="W409" s="701"/>
      <c r="X409" s="295">
        <f t="shared" si="227"/>
        <v>0</v>
      </c>
      <c r="Y409" s="296">
        <f>IF(AA409&gt;0,V409,AE404/IF(Iniciar!$C$25="B X 40 K",40,IF(Iniciar!$C$25="B X 50 K",50,1))*I409/1000)</f>
        <v>0</v>
      </c>
      <c r="Z409" s="296">
        <f t="shared" si="228"/>
        <v>0</v>
      </c>
      <c r="AA409" s="297">
        <f t="shared" si="236"/>
        <v>0</v>
      </c>
      <c r="AB409" s="297">
        <f t="shared" si="220"/>
        <v>0</v>
      </c>
      <c r="AC409" s="2037" t="str">
        <f>$AC$10</f>
        <v xml:space="preserve">Cons ml /ave día: </v>
      </c>
      <c r="AD409" s="2038"/>
      <c r="AE409" s="2056">
        <f>IFERROR(SUMPRODUCT(AB404:AB410,I404:I410)/SUM(I404:I410),0)</f>
        <v>0</v>
      </c>
      <c r="AF409" s="2057"/>
      <c r="AG409" s="311" t="str">
        <f>CONCATENATE("Costo ",Iniciar!$C$25," : ")</f>
        <v xml:space="preserve">Costo Kilos : </v>
      </c>
      <c r="AH409" s="2043">
        <f>IFERROR(SUMPRODUCT(T404:T410,V404:V410)/SUMIF(T404:T410,"&gt;0",V404:V410),0)</f>
        <v>0</v>
      </c>
      <c r="AI409" s="2043"/>
      <c r="AJ409" s="313"/>
      <c r="AK409" s="2027"/>
      <c r="AL409" s="1284">
        <f t="shared" si="222"/>
        <v>0</v>
      </c>
      <c r="AM409" s="1285"/>
      <c r="AN409" s="1285"/>
      <c r="AO409" s="1285"/>
      <c r="AP409" s="1285"/>
      <c r="AQ409" s="1285"/>
      <c r="AR409" s="1285"/>
      <c r="AS409" s="1286"/>
      <c r="AT409" s="1287"/>
      <c r="AU409" s="1288"/>
      <c r="AV409" s="1289"/>
      <c r="AW409" s="1290"/>
      <c r="AX409" s="1291"/>
      <c r="AY409" s="1291"/>
      <c r="AZ409" s="1292"/>
      <c r="BA409" s="1293"/>
      <c r="BB409" s="1294"/>
      <c r="BC409" s="1295"/>
      <c r="BD409" s="1296">
        <f>BD408+PROD!L409-BA409</f>
        <v>0</v>
      </c>
      <c r="BE409" s="2133"/>
      <c r="BF409" s="507" t="e">
        <f t="shared" si="223"/>
        <v>#VALUE!</v>
      </c>
      <c r="BG409" s="329"/>
      <c r="BH409" s="1018">
        <f t="shared" si="224"/>
        <v>0</v>
      </c>
    </row>
    <row r="410" spans="1:60" ht="15" customHeight="1" x14ac:dyDescent="0.3">
      <c r="A410" s="2034"/>
      <c r="B410" s="287" t="str">
        <f t="shared" si="225"/>
        <v/>
      </c>
      <c r="C410" s="288" t="str">
        <f t="shared" si="219"/>
        <v/>
      </c>
      <c r="D410" s="691"/>
      <c r="E410" s="692"/>
      <c r="F410" s="693"/>
      <c r="G410" s="694"/>
      <c r="H410" s="695"/>
      <c r="I410" s="289">
        <f>I409-SUM($D410:F410)</f>
        <v>0</v>
      </c>
      <c r="J410" s="1239" t="str">
        <f>$J$11</f>
        <v>% Viabilidad :</v>
      </c>
      <c r="K410" s="1240">
        <f>IF(OR(SUM(L404:L410)&gt;0,SUM(V404:V410)&gt;0),1-(K407+K408),0)</f>
        <v>0</v>
      </c>
      <c r="L410" s="1247"/>
      <c r="M410" s="1248">
        <f>IF(I410&gt;0,(L410/IF(SUM(L404:L409)&gt;0,1,7))/I410,0)</f>
        <v>0</v>
      </c>
      <c r="N410" s="1249" t="str">
        <f>$N$11</f>
        <v xml:space="preserve">Uniformidad (10% +) : </v>
      </c>
      <c r="O410" s="1250">
        <f>IF(O408&gt;0,IF(O409&gt;0,100-SUM(O408:O409),0),0)</f>
        <v>0</v>
      </c>
      <c r="P410" s="1251">
        <f>100-SUM(P408:P409)</f>
        <v>5</v>
      </c>
      <c r="Q410" s="1252">
        <f>IF(AND(P410&gt;0,O410&gt;0),(O410/P410-1)*100,0)</f>
        <v>0</v>
      </c>
      <c r="R410" s="699"/>
      <c r="S410" s="762"/>
      <c r="T410" s="765">
        <f t="shared" si="230"/>
        <v>0</v>
      </c>
      <c r="U410" s="700"/>
      <c r="V410" s="701"/>
      <c r="W410" s="701"/>
      <c r="X410" s="295">
        <f t="shared" si="227"/>
        <v>0</v>
      </c>
      <c r="Y410" s="296">
        <f>IF(AA410&gt;0,V410,AE404/IF(Iniciar!$C$25="B X 40 K",40,IF(Iniciar!$C$25="B X 50 K",50,1))*I410/1000)</f>
        <v>0</v>
      </c>
      <c r="Z410" s="296">
        <f t="shared" si="228"/>
        <v>0</v>
      </c>
      <c r="AA410" s="297">
        <f>IF(I410&gt;0,(V410/IF(SUM(V404:V409)&gt;0,1,7))*$A$1/I410,0)</f>
        <v>0</v>
      </c>
      <c r="AB410" s="297">
        <f t="shared" si="220"/>
        <v>0</v>
      </c>
      <c r="AC410" s="2039" t="str">
        <f>$AC$11</f>
        <v xml:space="preserve">Relación Agua /Alimto: </v>
      </c>
      <c r="AD410" s="2040"/>
      <c r="AE410" s="2058">
        <f>IFERROR(AE409/AD404,0)</f>
        <v>0</v>
      </c>
      <c r="AF410" s="2059"/>
      <c r="AG410" s="1269" t="s">
        <v>237</v>
      </c>
      <c r="AH410" s="1270">
        <f>IF(SUM(L404:L410)&gt;0,AH409*SUM(V404:V410)/SUM(L404:L410),0)</f>
        <v>0</v>
      </c>
      <c r="AI410" s="1270">
        <f>IF(AND($A$1&gt;0,P404&gt;0),AH409/$A$1*(AE404/P404)*100,0)</f>
        <v>0</v>
      </c>
      <c r="AJ410" s="1271">
        <f t="shared" ref="AJ410:AJ415" si="237">IF(AND(AI410&gt;0,AH410&gt;0),(AH410/AI410-1)*100,0)</f>
        <v>0</v>
      </c>
      <c r="AK410" s="2028"/>
      <c r="AL410" s="1284">
        <f t="shared" si="222"/>
        <v>0</v>
      </c>
      <c r="AM410" s="1285"/>
      <c r="AN410" s="1285"/>
      <c r="AO410" s="1285"/>
      <c r="AP410" s="1285"/>
      <c r="AQ410" s="1285"/>
      <c r="AR410" s="1285"/>
      <c r="AS410" s="1286"/>
      <c r="AT410" s="1287"/>
      <c r="AU410" s="1288"/>
      <c r="AV410" s="1289"/>
      <c r="AW410" s="1290"/>
      <c r="AX410" s="1291"/>
      <c r="AY410" s="1291"/>
      <c r="AZ410" s="1292"/>
      <c r="BA410" s="1293"/>
      <c r="BB410" s="1294"/>
      <c r="BC410" s="1295"/>
      <c r="BD410" s="1296">
        <f>BD409+PROD!L410-BA410</f>
        <v>0</v>
      </c>
      <c r="BE410" s="2134"/>
      <c r="BF410" s="507" t="e">
        <f t="shared" si="223"/>
        <v>#VALUE!</v>
      </c>
      <c r="BG410" s="329"/>
      <c r="BH410" s="1018">
        <f t="shared" si="224"/>
        <v>0</v>
      </c>
    </row>
    <row r="411" spans="1:60" ht="15" customHeight="1" x14ac:dyDescent="0.3">
      <c r="A411" s="2032">
        <f>A404+1</f>
        <v>76</v>
      </c>
      <c r="B411" s="287" t="str">
        <f t="shared" si="225"/>
        <v/>
      </c>
      <c r="C411" s="288" t="str">
        <f t="shared" si="219"/>
        <v/>
      </c>
      <c r="D411" s="691"/>
      <c r="E411" s="692"/>
      <c r="F411" s="693"/>
      <c r="G411" s="694"/>
      <c r="H411" s="695"/>
      <c r="I411" s="289">
        <f>I410-SUM($D411:F411)</f>
        <v>0</v>
      </c>
      <c r="J411" s="1232" t="str">
        <f>$J$5</f>
        <v>% Mort Sem :</v>
      </c>
      <c r="K411" s="1233">
        <f>IF(PROD!$K$2&gt;0,SUM(D411:D417)/PROD!$K$2,0)</f>
        <v>0</v>
      </c>
      <c r="L411" s="1241"/>
      <c r="M411" s="1242">
        <f t="shared" ref="M411:M416" si="238">IF(I411&gt;0,L411/I411,0)</f>
        <v>0</v>
      </c>
      <c r="N411" s="1243" t="str">
        <f>$N$5</f>
        <v xml:space="preserve">% Pdn prom semana : </v>
      </c>
      <c r="O411" s="1244">
        <f>IF(SUM(L411:L416)&gt;0,100*SUMPRODUCT(M411:M417,I411:I417)/SUMIF(L411:L417,"&gt;0",I411:I417),IF(L417&gt;0,100*L417/7/I417,0))</f>
        <v>0</v>
      </c>
      <c r="P411" s="1244">
        <f>IFERROR(LOOKUP($A411,TP!$A$6:$A$108,GSh!$AE$6:$AE$108),0)</f>
        <v>0</v>
      </c>
      <c r="Q411" s="1245">
        <f>IF(AND(P411&gt;0,O411&gt;0),O411-P411,0)</f>
        <v>0</v>
      </c>
      <c r="R411" s="699"/>
      <c r="S411" s="762"/>
      <c r="T411" s="765">
        <f t="shared" si="230"/>
        <v>0</v>
      </c>
      <c r="U411" s="700"/>
      <c r="V411" s="701"/>
      <c r="W411" s="701"/>
      <c r="X411" s="295">
        <f t="shared" si="227"/>
        <v>0</v>
      </c>
      <c r="Y411" s="296">
        <f>IF(AA411&gt;0,V411,AE411/IF(Iniciar!$C$25="B X 40 K",40,IF(Iniciar!$C$25="B X 50 K",50,1))*I411/1000)</f>
        <v>0</v>
      </c>
      <c r="Z411" s="296">
        <f t="shared" si="228"/>
        <v>0</v>
      </c>
      <c r="AA411" s="297">
        <f t="shared" ref="AA411:AA416" si="239">IF(I411&gt;0,V411*$A$1/I411,0)</f>
        <v>0</v>
      </c>
      <c r="AB411" s="297">
        <f t="shared" si="220"/>
        <v>0</v>
      </c>
      <c r="AC411" s="1261" t="str">
        <f>$AC$5</f>
        <v>Gr. Ave Dia :</v>
      </c>
      <c r="AD411" s="1262">
        <f>IF(SUMIF(V411:V417,"&gt;0")&gt;0,SUMPRODUCT(AA411:AA417,I411:I417)/SUMIF(AA411:AA417,"&gt;0",I411:I417),0)</f>
        <v>0</v>
      </c>
      <c r="AE411" s="1262">
        <f>IFERROR(LOOKUP($A411,TP!$A$6:$A$108,GSh!$AU$6:$AU$108),0)</f>
        <v>0</v>
      </c>
      <c r="AF411" s="1263">
        <f>IF(AND(AE411&gt;0,AD411&gt;0),(AD411/AE411-1)*100,0)</f>
        <v>0</v>
      </c>
      <c r="AG411" s="1264" t="str">
        <f>PROD!$AG$5</f>
        <v>Gr X H</v>
      </c>
      <c r="AH411" s="1265">
        <f>IF(PROD!O411&gt;0,IF($AG411="Gr X H",PROD!AD411/PROD!O411*100,IF($AG411="Conv Kg/Doc",PROD!AD411/PROD!O411*1.2,IF(PROD!$O413&gt;0,PROD!AD411/(PROD!O411*PROD!$O413)*100,0))),0)</f>
        <v>0</v>
      </c>
      <c r="AI411" s="1265">
        <f>IF(PROD!P411&gt;0,IF($AG411="Gr X H",PROD!AE411/PROD!P411*100,IF($AG411="Conv Kg/Doc",PROD!AE411/PROD!P411*1.2,IF(PROD!$P413&gt;0,PROD!AE411/(PROD!P411*PROD!$P413)*100,0))),0)</f>
        <v>0</v>
      </c>
      <c r="AJ411" s="1266">
        <f t="shared" si="237"/>
        <v>0</v>
      </c>
      <c r="AK411" s="2026"/>
      <c r="AL411" s="1284">
        <f t="shared" si="222"/>
        <v>0</v>
      </c>
      <c r="AM411" s="1285"/>
      <c r="AN411" s="1285"/>
      <c r="AO411" s="1285"/>
      <c r="AP411" s="1285"/>
      <c r="AQ411" s="1285"/>
      <c r="AR411" s="1285"/>
      <c r="AS411" s="1286"/>
      <c r="AT411" s="1287"/>
      <c r="AU411" s="1288"/>
      <c r="AV411" s="1289"/>
      <c r="AW411" s="1290"/>
      <c r="AX411" s="1291"/>
      <c r="AY411" s="1291"/>
      <c r="AZ411" s="1292"/>
      <c r="BA411" s="1293"/>
      <c r="BB411" s="1294"/>
      <c r="BC411" s="1295"/>
      <c r="BD411" s="1296">
        <f>BD410+PROD!L411-BA411</f>
        <v>0</v>
      </c>
      <c r="BE411" s="2132">
        <f>IF(SUM(AM411:AZ417)&gt;0,(SUM(AM411:AM417)*$AM$2+SUM(AN411:AN417)*$AN$2+SUM(AO411:AO417)*$AO$2+SUM(AP411:AP417)*$AP$2+SUM(AQ411:AQ417)*$AQ$2+SUM(AR411:AR417)*$AR$2+SUM(AS411:AS417)*$AS$2+SUM(AW411:AW417)*$AW$2+SUM(AX411:AX417)*$AX$2+SUM(AY411:AY417)*$AY$2+SUM(AZ411:AZ417)*$AZ$2+SUM(AT411:AT417)*$AT$2+SUM(AU411:AU417)*$AU$2+SUM(AV411:AV417)*$AV$2)/SUM(AM411:AZ417),0)</f>
        <v>0</v>
      </c>
      <c r="BF411" s="507" t="e">
        <f t="shared" si="223"/>
        <v>#VALUE!</v>
      </c>
      <c r="BG411" s="277">
        <f>IF(SUM(L411:L417)&gt;0,A411,IF(SUM(V411:V417)&gt;0,A411,BG404))</f>
        <v>0</v>
      </c>
      <c r="BH411" s="1018">
        <f t="shared" si="224"/>
        <v>0</v>
      </c>
    </row>
    <row r="412" spans="1:60" ht="15" customHeight="1" x14ac:dyDescent="0.3">
      <c r="A412" s="2033"/>
      <c r="B412" s="287" t="str">
        <f t="shared" si="225"/>
        <v/>
      </c>
      <c r="C412" s="288" t="str">
        <f t="shared" si="219"/>
        <v/>
      </c>
      <c r="D412" s="691"/>
      <c r="E412" s="692"/>
      <c r="F412" s="693"/>
      <c r="G412" s="694"/>
      <c r="H412" s="695"/>
      <c r="I412" s="289">
        <f>I411-SUM($D412:F412)</f>
        <v>0</v>
      </c>
      <c r="J412" s="1234" t="str">
        <f>$J$6</f>
        <v>% Sel Sem :</v>
      </c>
      <c r="K412" s="1231">
        <f>IF(PROD!$K$2&gt;0,SUM(E411:E417)/PROD!$K$2,0)</f>
        <v>0</v>
      </c>
      <c r="L412" s="1246"/>
      <c r="M412" s="291">
        <f t="shared" si="238"/>
        <v>0</v>
      </c>
      <c r="N412" s="292" t="str">
        <f>$N$6</f>
        <v xml:space="preserve">H. Ave Alojada : </v>
      </c>
      <c r="O412" s="293">
        <f>IF(AND(PROD!$K$2&gt;0,O411&gt;0),SUM(L$5:L417)/PROD!$K$2,0)</f>
        <v>0</v>
      </c>
      <c r="P412" s="293">
        <f>IFERROR(LOOKUP($A411,TP!$A$6:$A$108,GSh!$AJ$6:$AJ$108),0)</f>
        <v>0</v>
      </c>
      <c r="Q412" s="294">
        <f>IF(AND(P412&gt;0,O412&gt;0),O412-P412,0)</f>
        <v>0</v>
      </c>
      <c r="R412" s="699"/>
      <c r="S412" s="762"/>
      <c r="T412" s="765">
        <f t="shared" si="230"/>
        <v>0</v>
      </c>
      <c r="U412" s="700"/>
      <c r="V412" s="701"/>
      <c r="W412" s="701"/>
      <c r="X412" s="295">
        <f t="shared" si="227"/>
        <v>0</v>
      </c>
      <c r="Y412" s="296">
        <f>IF(AA412&gt;0,V412,AE411/IF(Iniciar!$C$25="B X 40 K",40,IF(Iniciar!$C$25="B X 50 K",50,1))*I412/1000)</f>
        <v>0</v>
      </c>
      <c r="Z412" s="296">
        <f t="shared" si="228"/>
        <v>0</v>
      </c>
      <c r="AA412" s="297">
        <f t="shared" si="239"/>
        <v>0</v>
      </c>
      <c r="AB412" s="297">
        <f t="shared" si="220"/>
        <v>0</v>
      </c>
      <c r="AC412" s="1267" t="str">
        <f>$AC$6</f>
        <v>Gr. Ave Sem :</v>
      </c>
      <c r="AD412" s="284">
        <f>AD411*7</f>
        <v>0</v>
      </c>
      <c r="AE412" s="284">
        <f>AE411*7</f>
        <v>0</v>
      </c>
      <c r="AF412" s="285">
        <f>IF(AND(AE412&gt;0,AD412&gt;0),(AD412/AE412-1)*100,0)</f>
        <v>0</v>
      </c>
      <c r="AG412" s="1199" t="str">
        <f>PROD!$AG$6</f>
        <v>Gr X H Acm</v>
      </c>
      <c r="AH412" s="298">
        <f>IF(SUM(PROD!L411:L417)&gt;0,IF(PROD!$AG$5="Gr X H",SUM(PROD!V$5:V417)*PROD!$A$1/SUM(PROD!L$5:L417),IF($AG411="Conv Kg/Doc",(SUM(PROD!V$5:V417)*PROD!$A$1/1000)/(SUM(PROD!L$5:L417)/12),IF(PROD!$O413&gt;0,SUM(PROD!V$5:V417)*PROD!$A$1/(SUM(PROD!L$5:L417)*LOOKUP(PROD!A411,TP!$A$6:$A$108,GSh!$BB$6:$BB$108)),0))),0)</f>
        <v>0</v>
      </c>
      <c r="AI412" s="298">
        <f>IF(PROD!P411&gt;0,IF($AG411="Gr X H",PROD!AE411/PROD!P411*100,IF($AG411="Conv Kg/Doc",PROD!AE411/PROD!P411*1.2,IF(PROD!$P412&gt;0,PROD!AE413/(PROD!P412*LOOKUP(PROD!$A411,TP!$A$6:$A$108,GSh!$BC$6:$BC$108)/1000),0))),0)</f>
        <v>0</v>
      </c>
      <c r="AJ412" s="328">
        <f t="shared" si="237"/>
        <v>0</v>
      </c>
      <c r="AK412" s="2027"/>
      <c r="AL412" s="1284">
        <f t="shared" si="222"/>
        <v>0</v>
      </c>
      <c r="AM412" s="1285"/>
      <c r="AN412" s="1285"/>
      <c r="AO412" s="1285"/>
      <c r="AP412" s="1285"/>
      <c r="AQ412" s="1285"/>
      <c r="AR412" s="1285"/>
      <c r="AS412" s="1286"/>
      <c r="AT412" s="1287"/>
      <c r="AU412" s="1288"/>
      <c r="AV412" s="1289"/>
      <c r="AW412" s="1290"/>
      <c r="AX412" s="1291"/>
      <c r="AY412" s="1291"/>
      <c r="AZ412" s="1292"/>
      <c r="BA412" s="1293"/>
      <c r="BB412" s="1294"/>
      <c r="BC412" s="1295"/>
      <c r="BD412" s="1296">
        <f>BD411+PROD!L412-BA412</f>
        <v>0</v>
      </c>
      <c r="BE412" s="2133"/>
      <c r="BF412" s="507" t="e">
        <f t="shared" si="223"/>
        <v>#VALUE!</v>
      </c>
      <c r="BG412" s="329"/>
      <c r="BH412" s="1018">
        <f t="shared" si="224"/>
        <v>0</v>
      </c>
    </row>
    <row r="413" spans="1:60" ht="15" customHeight="1" x14ac:dyDescent="0.3">
      <c r="A413" s="2033"/>
      <c r="B413" s="287" t="str">
        <f t="shared" si="225"/>
        <v/>
      </c>
      <c r="C413" s="288" t="str">
        <f t="shared" si="219"/>
        <v/>
      </c>
      <c r="D413" s="691"/>
      <c r="E413" s="692"/>
      <c r="F413" s="693"/>
      <c r="G413" s="694"/>
      <c r="H413" s="695"/>
      <c r="I413" s="289">
        <f>I412-SUM($D413:F413)</f>
        <v>0</v>
      </c>
      <c r="J413" s="1235" t="str">
        <f>$J$7</f>
        <v>% Mort/Sel Sem Tab :</v>
      </c>
      <c r="K413" s="1236">
        <f>K416-K409</f>
        <v>0</v>
      </c>
      <c r="L413" s="1246"/>
      <c r="M413" s="291">
        <f t="shared" si="238"/>
        <v>0</v>
      </c>
      <c r="N413" s="304" t="str">
        <f>$N$7</f>
        <v xml:space="preserve">Peso Huevo (Gr) : </v>
      </c>
      <c r="O413" s="305">
        <f>LOOKUP($A411,'Pr-Sem'!$A$6:$A$108,'Pr-Sem'!$Z$6:$Z$108)</f>
        <v>0</v>
      </c>
      <c r="P413" s="305">
        <f>IFERROR(LOOKUP($A411,TP!$A$6:$A$108,GSh!$AZ$6:$AZ$108),0)</f>
        <v>0</v>
      </c>
      <c r="Q413" s="306">
        <f>IF(AND(P413&gt;0,O413&gt;0),O413-P413,0)</f>
        <v>0</v>
      </c>
      <c r="R413" s="699"/>
      <c r="S413" s="762"/>
      <c r="T413" s="765">
        <f t="shared" si="230"/>
        <v>0</v>
      </c>
      <c r="U413" s="700"/>
      <c r="V413" s="701"/>
      <c r="W413" s="701"/>
      <c r="X413" s="295">
        <f t="shared" si="227"/>
        <v>0</v>
      </c>
      <c r="Y413" s="296">
        <f>IF(AA413&gt;0,V413,AE411/IF(Iniciar!$C$25="B X 40 K",40,IF(Iniciar!$C$25="B X 50 K",50,1))*I413/1000)</f>
        <v>0</v>
      </c>
      <c r="Z413" s="296">
        <f t="shared" si="228"/>
        <v>0</v>
      </c>
      <c r="AA413" s="297">
        <f t="shared" si="239"/>
        <v>0</v>
      </c>
      <c r="AB413" s="297">
        <f t="shared" si="220"/>
        <v>0</v>
      </c>
      <c r="AC413" s="1268" t="str">
        <f>$AC$7</f>
        <v>Kg Ave Acu :</v>
      </c>
      <c r="AD413" s="308">
        <f>IF(OR(SUM(L411:L417)&gt;0,SUM(V411:V417)&gt;0),AD412/1000+AD406,0)</f>
        <v>0</v>
      </c>
      <c r="AE413" s="309">
        <f>AE412/1000+AE406</f>
        <v>0</v>
      </c>
      <c r="AF413" s="310">
        <f>IF(AND(AE413&gt;0,AD413&gt;0),(AD413/AE413-1)*100,0)</f>
        <v>0</v>
      </c>
      <c r="AG413" s="311" t="str">
        <f>PROD!$AG$7</f>
        <v xml:space="preserve">Masa Sem H (Gr) : </v>
      </c>
      <c r="AH413" s="312">
        <f>PROD!O411/100*7*PROD!O413</f>
        <v>0</v>
      </c>
      <c r="AI413" s="312">
        <f>PROD!P411/100*7*PROD!P413</f>
        <v>0</v>
      </c>
      <c r="AJ413" s="313">
        <f t="shared" si="237"/>
        <v>0</v>
      </c>
      <c r="AK413" s="2027"/>
      <c r="AL413" s="1284">
        <f t="shared" si="222"/>
        <v>0</v>
      </c>
      <c r="AM413" s="1285"/>
      <c r="AN413" s="1285"/>
      <c r="AO413" s="1285"/>
      <c r="AP413" s="1285"/>
      <c r="AQ413" s="1285"/>
      <c r="AR413" s="1285"/>
      <c r="AS413" s="1286"/>
      <c r="AT413" s="1287"/>
      <c r="AU413" s="1288"/>
      <c r="AV413" s="1289"/>
      <c r="AW413" s="1290"/>
      <c r="AX413" s="1291"/>
      <c r="AY413" s="1291"/>
      <c r="AZ413" s="1292"/>
      <c r="BA413" s="1293"/>
      <c r="BB413" s="1294"/>
      <c r="BC413" s="1295"/>
      <c r="BD413" s="1296">
        <f>BD412+PROD!L413-BA413</f>
        <v>0</v>
      </c>
      <c r="BE413" s="2133"/>
      <c r="BF413" s="507" t="e">
        <f t="shared" si="223"/>
        <v>#VALUE!</v>
      </c>
      <c r="BG413" s="329"/>
      <c r="BH413" s="1018">
        <f t="shared" si="224"/>
        <v>0</v>
      </c>
    </row>
    <row r="414" spans="1:60" ht="15" customHeight="1" x14ac:dyDescent="0.3">
      <c r="A414" s="2033"/>
      <c r="B414" s="287" t="str">
        <f t="shared" si="225"/>
        <v/>
      </c>
      <c r="C414" s="288" t="str">
        <f t="shared" si="219"/>
        <v/>
      </c>
      <c r="D414" s="691"/>
      <c r="E414" s="692"/>
      <c r="F414" s="693"/>
      <c r="G414" s="694"/>
      <c r="H414" s="695"/>
      <c r="I414" s="289">
        <f>I413-SUM($D414:F414)</f>
        <v>0</v>
      </c>
      <c r="J414" s="1234" t="str">
        <f>$J$8</f>
        <v>% Mort Acm :</v>
      </c>
      <c r="K414" s="1231">
        <f>IF(PROD!$K$2&gt;0,SUM(D$5:D417)/PROD!$K$2,0)</f>
        <v>0</v>
      </c>
      <c r="L414" s="1246"/>
      <c r="M414" s="291">
        <f t="shared" si="238"/>
        <v>0</v>
      </c>
      <c r="N414" s="314" t="str">
        <f>N$8</f>
        <v xml:space="preserve">Peso Ave (Gr) : </v>
      </c>
      <c r="O414" s="315">
        <f>LOOKUP($A411,GSh!$BV$6:$BV$108,GSh!$BJ$6:$BJ$108)</f>
        <v>0</v>
      </c>
      <c r="P414" s="315">
        <f>IFERROR(LOOKUP($A411,TP!$A$6:$A$108,GSh!$BK$6:$BK$108),0)</f>
        <v>0</v>
      </c>
      <c r="Q414" s="316">
        <f>IF(AND(P414&gt;0,O414&gt;0),(O414/P414-1)*100,0)</f>
        <v>0</v>
      </c>
      <c r="R414" s="699"/>
      <c r="S414" s="762"/>
      <c r="T414" s="765">
        <f t="shared" si="230"/>
        <v>0</v>
      </c>
      <c r="U414" s="700"/>
      <c r="V414" s="701"/>
      <c r="W414" s="701"/>
      <c r="X414" s="295">
        <f t="shared" si="227"/>
        <v>0</v>
      </c>
      <c r="Y414" s="296">
        <f>IF(AA414&gt;0,V414,AE411/IF(Iniciar!$C$25="B X 40 K",40,IF(Iniciar!$C$25="B X 50 K",50,1))*I414/1000)</f>
        <v>0</v>
      </c>
      <c r="Z414" s="296">
        <f t="shared" si="228"/>
        <v>0</v>
      </c>
      <c r="AA414" s="297">
        <f t="shared" si="239"/>
        <v>0</v>
      </c>
      <c r="AB414" s="297">
        <f t="shared" si="220"/>
        <v>0</v>
      </c>
      <c r="AC414" s="541" t="str">
        <f>$AC$8</f>
        <v xml:space="preserve">Ton. Lote Acu : </v>
      </c>
      <c r="AD414" s="544">
        <f>SUM($V$5:$V417)*$A$1/1000000</f>
        <v>0</v>
      </c>
      <c r="AE414" s="543">
        <f>AE407+(AE411/1000000*7*(I411+I417)/2)</f>
        <v>0</v>
      </c>
      <c r="AF414" s="542">
        <f>IF(AND(AE414&gt;0,AD414&gt;0),(AD414/AE414-1)*100,0)</f>
        <v>0</v>
      </c>
      <c r="AG414" s="317" t="str">
        <f>PROD!$AG$8</f>
        <v xml:space="preserve">Masa Ac A. A (Kg) : </v>
      </c>
      <c r="AH414" s="318">
        <f>IF(PROD!$K$2&gt;0,SUM(PROD!L$5:L417)*LOOKUP(PROD!$A411,TP!$A$6:$A$108,GSh!$BB$6:$BB$108)/1000/PROD!$K$2,0)</f>
        <v>0</v>
      </c>
      <c r="AI414" s="318">
        <f>IFERROR(PROD!P412*LOOKUP(PROD!$A411,TP!$A$6:$A$108,GSh!$BC$6:$BC$108)/1000,0)</f>
        <v>0</v>
      </c>
      <c r="AJ414" s="330">
        <f t="shared" si="237"/>
        <v>0</v>
      </c>
      <c r="AK414" s="2027"/>
      <c r="AL414" s="1284">
        <f t="shared" si="222"/>
        <v>0</v>
      </c>
      <c r="AM414" s="1285"/>
      <c r="AN414" s="1285"/>
      <c r="AO414" s="1285"/>
      <c r="AP414" s="1285"/>
      <c r="AQ414" s="1285"/>
      <c r="AR414" s="1285"/>
      <c r="AS414" s="1286"/>
      <c r="AT414" s="1287"/>
      <c r="AU414" s="1288"/>
      <c r="AV414" s="1289"/>
      <c r="AW414" s="1290"/>
      <c r="AX414" s="1291"/>
      <c r="AY414" s="1291"/>
      <c r="AZ414" s="1292"/>
      <c r="BA414" s="1293"/>
      <c r="BB414" s="1294"/>
      <c r="BC414" s="1295"/>
      <c r="BD414" s="1296">
        <f>BD413+PROD!L414-BA414</f>
        <v>0</v>
      </c>
      <c r="BE414" s="2133"/>
      <c r="BF414" s="507" t="e">
        <f t="shared" si="223"/>
        <v>#VALUE!</v>
      </c>
      <c r="BG414" s="329"/>
      <c r="BH414" s="1018">
        <f t="shared" si="224"/>
        <v>0</v>
      </c>
    </row>
    <row r="415" spans="1:60" ht="15" customHeight="1" x14ac:dyDescent="0.3">
      <c r="A415" s="2033"/>
      <c r="B415" s="287" t="str">
        <f t="shared" si="225"/>
        <v/>
      </c>
      <c r="C415" s="288" t="str">
        <f t="shared" si="219"/>
        <v/>
      </c>
      <c r="D415" s="691"/>
      <c r="E415" s="692"/>
      <c r="F415" s="693"/>
      <c r="G415" s="694"/>
      <c r="H415" s="695"/>
      <c r="I415" s="289">
        <f>I414-SUM($D415:F415)</f>
        <v>0</v>
      </c>
      <c r="J415" s="1234" t="str">
        <f>$J$9</f>
        <v>% Sel Acm :</v>
      </c>
      <c r="K415" s="1231">
        <f>IF(PROD!$K$2&gt;0,SUM(E$5:E417)/PROD!$K$2,0)</f>
        <v>0</v>
      </c>
      <c r="L415" s="1246"/>
      <c r="M415" s="291">
        <f t="shared" si="238"/>
        <v>0</v>
      </c>
      <c r="N415" s="292" t="str">
        <f>$N$9</f>
        <v xml:space="preserve">Uniformidad (10% -) : </v>
      </c>
      <c r="O415" s="320">
        <f>LOOKUP($A411,'Pr-Sem'!$A$6:$A$108,'Pr-Sem'!$AH$6:$AH$108)</f>
        <v>0</v>
      </c>
      <c r="P415" s="320">
        <v>5</v>
      </c>
      <c r="Q415" s="321">
        <f>IF(AND(P415&gt;0,O415&gt;0),(1-O415/P415)*100,0)</f>
        <v>0</v>
      </c>
      <c r="R415" s="699"/>
      <c r="S415" s="762"/>
      <c r="T415" s="765">
        <f t="shared" si="230"/>
        <v>0</v>
      </c>
      <c r="U415" s="700"/>
      <c r="V415" s="701"/>
      <c r="W415" s="701"/>
      <c r="X415" s="295">
        <f t="shared" si="227"/>
        <v>0</v>
      </c>
      <c r="Y415" s="296">
        <f>IF(AA415&gt;0,V415,AE411/IF(Iniciar!$C$25="B X 40 K",40,IF(Iniciar!$C$25="B X 50 K",50,1))*I415/1000)</f>
        <v>0</v>
      </c>
      <c r="Z415" s="296">
        <f t="shared" si="228"/>
        <v>0</v>
      </c>
      <c r="AA415" s="297">
        <f t="shared" si="239"/>
        <v>0</v>
      </c>
      <c r="AB415" s="297">
        <f t="shared" si="220"/>
        <v>0</v>
      </c>
      <c r="AC415" s="2035" t="str">
        <f>$AC$9</f>
        <v xml:space="preserve">Total Litros Sem: </v>
      </c>
      <c r="AD415" s="2036"/>
      <c r="AE415" s="2050">
        <f>SUM(R411:R417)</f>
        <v>0</v>
      </c>
      <c r="AF415" s="2051"/>
      <c r="AG415" s="554" t="str">
        <f>$AG$9</f>
        <v xml:space="preserve">Indicador Eficiencia : </v>
      </c>
      <c r="AH415" s="555">
        <f>IF(AND(AE415&gt;0,O412&gt;0,O413&gt;0,SUM(L411:L417)&gt;0),(PROD!AH414/O412)*K417*100/(AE415/(SUM(L411:L417)*O413/1000)),0)</f>
        <v>0</v>
      </c>
      <c r="AI415" s="555">
        <f>IF(AND(P412&gt;0,PROD!AI413&gt;0),(PROD!AI414/P412)*(1-K416)*100/(AE412/PROD!AI413),0)</f>
        <v>0</v>
      </c>
      <c r="AJ415" s="331">
        <f t="shared" si="237"/>
        <v>0</v>
      </c>
      <c r="AK415" s="2027"/>
      <c r="AL415" s="1284">
        <f t="shared" si="222"/>
        <v>0</v>
      </c>
      <c r="AM415" s="1285"/>
      <c r="AN415" s="1285"/>
      <c r="AO415" s="1285"/>
      <c r="AP415" s="1285"/>
      <c r="AQ415" s="1285"/>
      <c r="AR415" s="1285"/>
      <c r="AS415" s="1286"/>
      <c r="AT415" s="1287"/>
      <c r="AU415" s="1288"/>
      <c r="AV415" s="1289"/>
      <c r="AW415" s="1290"/>
      <c r="AX415" s="1291"/>
      <c r="AY415" s="1291"/>
      <c r="AZ415" s="1292"/>
      <c r="BA415" s="1293"/>
      <c r="BB415" s="1294"/>
      <c r="BC415" s="1295"/>
      <c r="BD415" s="1296">
        <f>BD414+PROD!L415-BA415</f>
        <v>0</v>
      </c>
      <c r="BE415" s="2133"/>
      <c r="BF415" s="507" t="e">
        <f t="shared" si="223"/>
        <v>#VALUE!</v>
      </c>
      <c r="BG415" s="329"/>
      <c r="BH415" s="1018">
        <f t="shared" si="224"/>
        <v>0</v>
      </c>
    </row>
    <row r="416" spans="1:60" ht="15" customHeight="1" x14ac:dyDescent="0.3">
      <c r="A416" s="2033"/>
      <c r="B416" s="287" t="str">
        <f t="shared" si="225"/>
        <v/>
      </c>
      <c r="C416" s="288" t="str">
        <f t="shared" si="219"/>
        <v/>
      </c>
      <c r="D416" s="691"/>
      <c r="E416" s="692"/>
      <c r="F416" s="693"/>
      <c r="G416" s="694"/>
      <c r="H416" s="695"/>
      <c r="I416" s="289">
        <f>I415-SUM($D416:F416)</f>
        <v>0</v>
      </c>
      <c r="J416" s="1237" t="str">
        <f>$J$10</f>
        <v>% Mort/Sel Acm Tab :</v>
      </c>
      <c r="K416" s="1238">
        <f>IFERROR(LOOKUP($A411,TP!$A$6:$A$108,GSh!$AR$6:$AR$108)/100,0)</f>
        <v>0</v>
      </c>
      <c r="L416" s="1246"/>
      <c r="M416" s="291">
        <f t="shared" si="238"/>
        <v>0</v>
      </c>
      <c r="N416" s="292" t="str">
        <f>$N$10</f>
        <v xml:space="preserve">Uniformidad (C. Lote) : </v>
      </c>
      <c r="O416" s="320">
        <f>LOOKUP($A411,'Pr-Sem'!$A$6:$A$108,'Pr-Sem'!$AG$6:$AG$108)</f>
        <v>0</v>
      </c>
      <c r="P416" s="320">
        <v>90</v>
      </c>
      <c r="Q416" s="321">
        <f>IF(AND(P416&gt;0,O416&gt;0),(O416/P416-1)*100,0)</f>
        <v>0</v>
      </c>
      <c r="R416" s="699"/>
      <c r="S416" s="762"/>
      <c r="T416" s="765">
        <f t="shared" si="230"/>
        <v>0</v>
      </c>
      <c r="U416" s="700"/>
      <c r="V416" s="701"/>
      <c r="W416" s="701"/>
      <c r="X416" s="295">
        <f t="shared" si="227"/>
        <v>0</v>
      </c>
      <c r="Y416" s="296">
        <f>IF(AA416&gt;0,V416,AE411/IF(Iniciar!$C$25="B X 40 K",40,IF(Iniciar!$C$25="B X 50 K",50,1))*I416/1000)</f>
        <v>0</v>
      </c>
      <c r="Z416" s="296">
        <f t="shared" si="228"/>
        <v>0</v>
      </c>
      <c r="AA416" s="297">
        <f t="shared" si="239"/>
        <v>0</v>
      </c>
      <c r="AB416" s="297">
        <f t="shared" si="220"/>
        <v>0</v>
      </c>
      <c r="AC416" s="2037" t="str">
        <f>$AC$10</f>
        <v xml:space="preserve">Cons ml /ave día: </v>
      </c>
      <c r="AD416" s="2038"/>
      <c r="AE416" s="2056">
        <f>IFERROR(SUMPRODUCT(AB411:AB417,I411:I417)/SUM(I411:I417),0)</f>
        <v>0</v>
      </c>
      <c r="AF416" s="2057"/>
      <c r="AG416" s="311" t="str">
        <f>CONCATENATE("Costo ",Iniciar!$C$25," : ")</f>
        <v xml:space="preserve">Costo Kilos : </v>
      </c>
      <c r="AH416" s="2043">
        <f>IFERROR(SUMPRODUCT(T411:T417,V411:V417)/SUMIF(T411:T417,"&gt;0",V411:V417),0)</f>
        <v>0</v>
      </c>
      <c r="AI416" s="2043"/>
      <c r="AJ416" s="313"/>
      <c r="AK416" s="2027"/>
      <c r="AL416" s="1284">
        <f t="shared" si="222"/>
        <v>0</v>
      </c>
      <c r="AM416" s="1285"/>
      <c r="AN416" s="1285"/>
      <c r="AO416" s="1285"/>
      <c r="AP416" s="1285"/>
      <c r="AQ416" s="1285"/>
      <c r="AR416" s="1285"/>
      <c r="AS416" s="1286"/>
      <c r="AT416" s="1287"/>
      <c r="AU416" s="1288"/>
      <c r="AV416" s="1289"/>
      <c r="AW416" s="1290"/>
      <c r="AX416" s="1291"/>
      <c r="AY416" s="1291"/>
      <c r="AZ416" s="1292"/>
      <c r="BA416" s="1293"/>
      <c r="BB416" s="1294"/>
      <c r="BC416" s="1295"/>
      <c r="BD416" s="1296">
        <f>BD415+PROD!L416-BA416</f>
        <v>0</v>
      </c>
      <c r="BE416" s="2133"/>
      <c r="BF416" s="507" t="e">
        <f t="shared" si="223"/>
        <v>#VALUE!</v>
      </c>
      <c r="BG416" s="329"/>
      <c r="BH416" s="1018">
        <f t="shared" si="224"/>
        <v>0</v>
      </c>
    </row>
    <row r="417" spans="1:60" ht="15" customHeight="1" x14ac:dyDescent="0.3">
      <c r="A417" s="2034"/>
      <c r="B417" s="287" t="str">
        <f t="shared" si="225"/>
        <v/>
      </c>
      <c r="C417" s="288" t="str">
        <f t="shared" si="219"/>
        <v/>
      </c>
      <c r="D417" s="691"/>
      <c r="E417" s="692"/>
      <c r="F417" s="693"/>
      <c r="G417" s="694"/>
      <c r="H417" s="695"/>
      <c r="I417" s="289">
        <f>I416-SUM($D417:F417)</f>
        <v>0</v>
      </c>
      <c r="J417" s="1239" t="str">
        <f>$J$11</f>
        <v>% Viabilidad :</v>
      </c>
      <c r="K417" s="1240">
        <f>IF(OR(SUM(L411:L417)&gt;0,SUM(V411:V417)&gt;0),1-(K414+K415),0)</f>
        <v>0</v>
      </c>
      <c r="L417" s="1247"/>
      <c r="M417" s="1248">
        <f>IF(I417&gt;0,(L417/IF(SUM(L411:L416)&gt;0,1,7))/I417,0)</f>
        <v>0</v>
      </c>
      <c r="N417" s="1249" t="str">
        <f>$N$11</f>
        <v xml:space="preserve">Uniformidad (10% +) : </v>
      </c>
      <c r="O417" s="1250">
        <f>IF(O415&gt;0,IF(O416&gt;0,100-SUM(O415:O416),0),0)</f>
        <v>0</v>
      </c>
      <c r="P417" s="1251">
        <f>100-SUM(P415:P416)</f>
        <v>5</v>
      </c>
      <c r="Q417" s="1252">
        <f>IF(AND(P417&gt;0,O417&gt;0),(O417/P417-1)*100,0)</f>
        <v>0</v>
      </c>
      <c r="R417" s="699"/>
      <c r="S417" s="762"/>
      <c r="T417" s="765">
        <f t="shared" si="230"/>
        <v>0</v>
      </c>
      <c r="U417" s="700"/>
      <c r="V417" s="701"/>
      <c r="W417" s="701"/>
      <c r="X417" s="295">
        <f t="shared" si="227"/>
        <v>0</v>
      </c>
      <c r="Y417" s="296">
        <f>IF(AA417&gt;0,V417,AE411/IF(Iniciar!$C$25="B X 40 K",40,IF(Iniciar!$C$25="B X 50 K",50,1))*I417/1000)</f>
        <v>0</v>
      </c>
      <c r="Z417" s="296">
        <f t="shared" si="228"/>
        <v>0</v>
      </c>
      <c r="AA417" s="297">
        <f>IF(I417&gt;0,(V417/IF(SUM(V411:V416)&gt;0,1,7))*$A$1/I417,0)</f>
        <v>0</v>
      </c>
      <c r="AB417" s="297">
        <f t="shared" si="220"/>
        <v>0</v>
      </c>
      <c r="AC417" s="2039" t="str">
        <f>$AC$11</f>
        <v xml:space="preserve">Relación Agua /Alimto: </v>
      </c>
      <c r="AD417" s="2040"/>
      <c r="AE417" s="2058">
        <f>IFERROR(AE416/AD411,0)</f>
        <v>0</v>
      </c>
      <c r="AF417" s="2059"/>
      <c r="AG417" s="1269" t="s">
        <v>237</v>
      </c>
      <c r="AH417" s="1270">
        <f>IF(SUM(L411:L417)&gt;0,AH416*SUM(V411:V417)/SUM(L411:L417),0)</f>
        <v>0</v>
      </c>
      <c r="AI417" s="1270">
        <f>IF(AND($A$1&gt;0,P411&gt;0),AH416/$A$1*(AE411/P411)*100,0)</f>
        <v>0</v>
      </c>
      <c r="AJ417" s="1271">
        <f t="shared" ref="AJ417:AJ422" si="240">IF(AND(AI417&gt;0,AH417&gt;0),(AH417/AI417-1)*100,0)</f>
        <v>0</v>
      </c>
      <c r="AK417" s="2028"/>
      <c r="AL417" s="1284">
        <f t="shared" si="222"/>
        <v>0</v>
      </c>
      <c r="AM417" s="1285"/>
      <c r="AN417" s="1285"/>
      <c r="AO417" s="1285"/>
      <c r="AP417" s="1285"/>
      <c r="AQ417" s="1285"/>
      <c r="AR417" s="1285"/>
      <c r="AS417" s="1286"/>
      <c r="AT417" s="1287"/>
      <c r="AU417" s="1288"/>
      <c r="AV417" s="1289"/>
      <c r="AW417" s="1290"/>
      <c r="AX417" s="1291"/>
      <c r="AY417" s="1291"/>
      <c r="AZ417" s="1292"/>
      <c r="BA417" s="1293"/>
      <c r="BB417" s="1294"/>
      <c r="BC417" s="1295"/>
      <c r="BD417" s="1296">
        <f>BD416+PROD!L417-BA417</f>
        <v>0</v>
      </c>
      <c r="BE417" s="2134"/>
      <c r="BF417" s="507" t="e">
        <f t="shared" si="223"/>
        <v>#VALUE!</v>
      </c>
      <c r="BG417" s="329"/>
      <c r="BH417" s="1018">
        <f t="shared" si="224"/>
        <v>0</v>
      </c>
    </row>
    <row r="418" spans="1:60" ht="15" customHeight="1" x14ac:dyDescent="0.3">
      <c r="A418" s="2032">
        <f>A411+1</f>
        <v>77</v>
      </c>
      <c r="B418" s="287" t="str">
        <f t="shared" si="225"/>
        <v/>
      </c>
      <c r="C418" s="288" t="str">
        <f t="shared" si="219"/>
        <v/>
      </c>
      <c r="D418" s="691"/>
      <c r="E418" s="692"/>
      <c r="F418" s="693"/>
      <c r="G418" s="694"/>
      <c r="H418" s="695"/>
      <c r="I418" s="289">
        <f>I417-SUM($D418:F418)</f>
        <v>0</v>
      </c>
      <c r="J418" s="1232" t="str">
        <f>$J$5</f>
        <v>% Mort Sem :</v>
      </c>
      <c r="K418" s="1233">
        <f>IF(PROD!$K$2&gt;0,SUM(D418:D424)/PROD!$K$2,0)</f>
        <v>0</v>
      </c>
      <c r="L418" s="1241"/>
      <c r="M418" s="1242">
        <f t="shared" ref="M418:M423" si="241">IF(I418&gt;0,L418/I418,0)</f>
        <v>0</v>
      </c>
      <c r="N418" s="1243" t="str">
        <f>$N$5</f>
        <v xml:space="preserve">% Pdn prom semana : </v>
      </c>
      <c r="O418" s="1244">
        <f>IF(SUM(L418:L423)&gt;0,100*SUMPRODUCT(M418:M424,I418:I424)/SUMIF(L418:L424,"&gt;0",I418:I424),IF(L424&gt;0,100*L424/7/I424,0))</f>
        <v>0</v>
      </c>
      <c r="P418" s="1244">
        <f>IFERROR(LOOKUP($A418,TP!$A$6:$A$108,GSh!$AE$6:$AE$108),0)</f>
        <v>0</v>
      </c>
      <c r="Q418" s="1245">
        <f>IF(AND(P418&gt;0,O418&gt;0),O418-P418,0)</f>
        <v>0</v>
      </c>
      <c r="R418" s="699"/>
      <c r="S418" s="762"/>
      <c r="T418" s="765">
        <f t="shared" si="230"/>
        <v>0</v>
      </c>
      <c r="U418" s="700"/>
      <c r="V418" s="701"/>
      <c r="W418" s="701"/>
      <c r="X418" s="295">
        <f t="shared" si="227"/>
        <v>0</v>
      </c>
      <c r="Y418" s="296">
        <f>IF(AA418&gt;0,V418,AE418/IF(Iniciar!$C$25="B X 40 K",40,IF(Iniciar!$C$25="B X 50 K",50,1))*I418/1000)</f>
        <v>0</v>
      </c>
      <c r="Z418" s="296">
        <f t="shared" si="228"/>
        <v>0</v>
      </c>
      <c r="AA418" s="297">
        <f t="shared" ref="AA418:AA423" si="242">IF(I418&gt;0,V418*$A$1/I418,0)</f>
        <v>0</v>
      </c>
      <c r="AB418" s="297">
        <f t="shared" si="220"/>
        <v>0</v>
      </c>
      <c r="AC418" s="1261" t="str">
        <f>$AC$5</f>
        <v>Gr. Ave Dia :</v>
      </c>
      <c r="AD418" s="1262">
        <f>IF(SUMIF(V418:V424,"&gt;0")&gt;0,SUMPRODUCT(AA418:AA424,I418:I424)/SUMIF(AA418:AA424,"&gt;0",I418:I424),0)</f>
        <v>0</v>
      </c>
      <c r="AE418" s="1262">
        <f>IFERROR(LOOKUP($A418,TP!$A$6:$A$108,GSh!$AU$6:$AU$108),0)</f>
        <v>0</v>
      </c>
      <c r="AF418" s="1263">
        <f>IF(AND(AE418&gt;0,AD418&gt;0),(AD418/AE418-1)*100,0)</f>
        <v>0</v>
      </c>
      <c r="AG418" s="1264" t="str">
        <f>PROD!$AG$5</f>
        <v>Gr X H</v>
      </c>
      <c r="AH418" s="1265">
        <f>IF(PROD!O418&gt;0,IF($AG418="Gr X H",PROD!AD418/PROD!O418*100,IF($AG418="Conv Kg/Doc",PROD!AD418/PROD!O418*1.2,IF(PROD!$O420&gt;0,PROD!AD418/(PROD!O418*PROD!$O420)*100,0))),0)</f>
        <v>0</v>
      </c>
      <c r="AI418" s="1265">
        <f>IF(PROD!P418&gt;0,IF($AG418="Gr X H",PROD!AE418/PROD!P418*100,IF($AG418="Conv Kg/Doc",PROD!AE418/PROD!P418*1.2,IF(PROD!$P420&gt;0,PROD!AE418/(PROD!P418*PROD!$P420)*100,0))),0)</f>
        <v>0</v>
      </c>
      <c r="AJ418" s="1266">
        <f t="shared" si="240"/>
        <v>0</v>
      </c>
      <c r="AK418" s="2026"/>
      <c r="AL418" s="1284">
        <f t="shared" si="222"/>
        <v>0</v>
      </c>
      <c r="AM418" s="1285"/>
      <c r="AN418" s="1285"/>
      <c r="AO418" s="1285"/>
      <c r="AP418" s="1285"/>
      <c r="AQ418" s="1285"/>
      <c r="AR418" s="1285"/>
      <c r="AS418" s="1286"/>
      <c r="AT418" s="1287"/>
      <c r="AU418" s="1288"/>
      <c r="AV418" s="1289"/>
      <c r="AW418" s="1290"/>
      <c r="AX418" s="1291"/>
      <c r="AY418" s="1291"/>
      <c r="AZ418" s="1292"/>
      <c r="BA418" s="1293"/>
      <c r="BB418" s="1294"/>
      <c r="BC418" s="1295"/>
      <c r="BD418" s="1296">
        <f>BD417+PROD!L418-BA418</f>
        <v>0</v>
      </c>
      <c r="BE418" s="2132">
        <f>IF(SUM(AM418:AZ424)&gt;0,(SUM(AM418:AM424)*$AM$2+SUM(AN418:AN424)*$AN$2+SUM(AO418:AO424)*$AO$2+SUM(AP418:AP424)*$AP$2+SUM(AQ418:AQ424)*$AQ$2+SUM(AR418:AR424)*$AR$2+SUM(AS418:AS424)*$AS$2+SUM(AW418:AW424)*$AW$2+SUM(AX418:AX424)*$AX$2+SUM(AY418:AY424)*$AY$2+SUM(AZ418:AZ424)*$AZ$2+SUM(AT418:AT424)*$AT$2+SUM(AU418:AU424)*$AU$2+SUM(AV418:AV424)*$AV$2)/SUM(AM418:AZ424),0)</f>
        <v>0</v>
      </c>
      <c r="BF418" s="507" t="e">
        <f t="shared" si="223"/>
        <v>#VALUE!</v>
      </c>
      <c r="BG418" s="277">
        <f>IF(SUM(L418:L424)&gt;0,A418,IF(SUM(V418:V424)&gt;0,A418,BG411))</f>
        <v>0</v>
      </c>
      <c r="BH418" s="1018">
        <f t="shared" si="224"/>
        <v>0</v>
      </c>
    </row>
    <row r="419" spans="1:60" ht="15" customHeight="1" x14ac:dyDescent="0.3">
      <c r="A419" s="2033"/>
      <c r="B419" s="287" t="str">
        <f t="shared" si="225"/>
        <v/>
      </c>
      <c r="C419" s="288" t="str">
        <f t="shared" si="219"/>
        <v/>
      </c>
      <c r="D419" s="691"/>
      <c r="E419" s="692"/>
      <c r="F419" s="693"/>
      <c r="G419" s="694"/>
      <c r="H419" s="695"/>
      <c r="I419" s="289">
        <f>I418-SUM($D419:F419)</f>
        <v>0</v>
      </c>
      <c r="J419" s="1234" t="str">
        <f>$J$6</f>
        <v>% Sel Sem :</v>
      </c>
      <c r="K419" s="1231">
        <f>IF(PROD!$K$2&gt;0,SUM(E418:E424)/PROD!$K$2,0)</f>
        <v>0</v>
      </c>
      <c r="L419" s="1246"/>
      <c r="M419" s="291">
        <f t="shared" si="241"/>
        <v>0</v>
      </c>
      <c r="N419" s="292" t="str">
        <f>$N$6</f>
        <v xml:space="preserve">H. Ave Alojada : </v>
      </c>
      <c r="O419" s="293">
        <f>IF(AND(PROD!$K$2&gt;0,O418&gt;0),SUM(L$5:L424)/PROD!$K$2,0)</f>
        <v>0</v>
      </c>
      <c r="P419" s="293">
        <f>IFERROR(LOOKUP($A418,TP!$A$6:$A$108,GSh!$AJ$6:$AJ$108),0)</f>
        <v>0</v>
      </c>
      <c r="Q419" s="294">
        <f>IF(AND(P419&gt;0,O419&gt;0),O419-P419,0)</f>
        <v>0</v>
      </c>
      <c r="R419" s="699"/>
      <c r="S419" s="762"/>
      <c r="T419" s="765">
        <f t="shared" si="230"/>
        <v>0</v>
      </c>
      <c r="U419" s="700"/>
      <c r="V419" s="701"/>
      <c r="W419" s="701"/>
      <c r="X419" s="295">
        <f t="shared" si="227"/>
        <v>0</v>
      </c>
      <c r="Y419" s="296">
        <f>IF(AA419&gt;0,V419,AE418/IF(Iniciar!$C$25="B X 40 K",40,IF(Iniciar!$C$25="B X 50 K",50,1))*I419/1000)</f>
        <v>0</v>
      </c>
      <c r="Z419" s="296">
        <f t="shared" si="228"/>
        <v>0</v>
      </c>
      <c r="AA419" s="297">
        <f t="shared" si="242"/>
        <v>0</v>
      </c>
      <c r="AB419" s="297">
        <f t="shared" si="220"/>
        <v>0</v>
      </c>
      <c r="AC419" s="1267" t="str">
        <f>$AC$6</f>
        <v>Gr. Ave Sem :</v>
      </c>
      <c r="AD419" s="284">
        <f>AD418*7</f>
        <v>0</v>
      </c>
      <c r="AE419" s="284">
        <f>AE418*7</f>
        <v>0</v>
      </c>
      <c r="AF419" s="285">
        <f>IF(AND(AE419&gt;0,AD419&gt;0),(AD419/AE419-1)*100,0)</f>
        <v>0</v>
      </c>
      <c r="AG419" s="1199" t="str">
        <f>PROD!$AG$6</f>
        <v>Gr X H Acm</v>
      </c>
      <c r="AH419" s="298">
        <f>IF(SUM(PROD!L418:L424)&gt;0,IF(PROD!$AG$5="Gr X H",SUM(PROD!V$5:V424)*PROD!$A$1/SUM(PROD!L$5:L424),IF($AG418="Conv Kg/Doc",(SUM(PROD!V$5:V424)*PROD!$A$1/1000)/(SUM(PROD!L$5:L424)/12),IF(PROD!$O420&gt;0,SUM(PROD!V$5:V424)*PROD!$A$1/(SUM(PROD!L$5:L424)*LOOKUP(PROD!A418,TP!$A$6:$A$108,GSh!$BB$6:$BB$108)),0))),0)</f>
        <v>0</v>
      </c>
      <c r="AI419" s="298">
        <f>IF(PROD!P418&gt;0,IF($AG418="Gr X H",PROD!AE418/PROD!P418*100,IF($AG418="Conv Kg/Doc",PROD!AE418/PROD!P418*1.2,IF(PROD!$P419&gt;0,PROD!AE420/(PROD!P419*LOOKUP(PROD!$A418,TP!$A$6:$A$108,GSh!$BC$6:$BC$108)/1000),0))),0)</f>
        <v>0</v>
      </c>
      <c r="AJ419" s="328">
        <f t="shared" si="240"/>
        <v>0</v>
      </c>
      <c r="AK419" s="2027"/>
      <c r="AL419" s="1284">
        <f t="shared" si="222"/>
        <v>0</v>
      </c>
      <c r="AM419" s="1285"/>
      <c r="AN419" s="1285"/>
      <c r="AO419" s="1285"/>
      <c r="AP419" s="1285"/>
      <c r="AQ419" s="1285"/>
      <c r="AR419" s="1285"/>
      <c r="AS419" s="1286"/>
      <c r="AT419" s="1287"/>
      <c r="AU419" s="1288"/>
      <c r="AV419" s="1289"/>
      <c r="AW419" s="1290"/>
      <c r="AX419" s="1291"/>
      <c r="AY419" s="1291"/>
      <c r="AZ419" s="1292"/>
      <c r="BA419" s="1293"/>
      <c r="BB419" s="1294"/>
      <c r="BC419" s="1295"/>
      <c r="BD419" s="1296">
        <f>BD418+PROD!L419-BA419</f>
        <v>0</v>
      </c>
      <c r="BE419" s="2133"/>
      <c r="BF419" s="507" t="e">
        <f t="shared" si="223"/>
        <v>#VALUE!</v>
      </c>
      <c r="BG419" s="329"/>
      <c r="BH419" s="1018">
        <f t="shared" si="224"/>
        <v>0</v>
      </c>
    </row>
    <row r="420" spans="1:60" ht="15" customHeight="1" x14ac:dyDescent="0.3">
      <c r="A420" s="2033"/>
      <c r="B420" s="287" t="str">
        <f t="shared" si="225"/>
        <v/>
      </c>
      <c r="C420" s="288" t="str">
        <f t="shared" si="219"/>
        <v/>
      </c>
      <c r="D420" s="691"/>
      <c r="E420" s="692"/>
      <c r="F420" s="693"/>
      <c r="G420" s="694"/>
      <c r="H420" s="695"/>
      <c r="I420" s="289">
        <f>I419-SUM($D420:F420)</f>
        <v>0</v>
      </c>
      <c r="J420" s="1235" t="str">
        <f>$J$7</f>
        <v>% Mort/Sel Sem Tab :</v>
      </c>
      <c r="K420" s="1236">
        <f>K423-K416</f>
        <v>0</v>
      </c>
      <c r="L420" s="1246"/>
      <c r="M420" s="291">
        <f t="shared" si="241"/>
        <v>0</v>
      </c>
      <c r="N420" s="304" t="str">
        <f>$N$7</f>
        <v xml:space="preserve">Peso Huevo (Gr) : </v>
      </c>
      <c r="O420" s="305">
        <f>LOOKUP($A418,'Pr-Sem'!$A$6:$A$108,'Pr-Sem'!$Z$6:$Z$108)</f>
        <v>0</v>
      </c>
      <c r="P420" s="305">
        <f>IFERROR(LOOKUP($A418,TP!$A$6:$A$108,GSh!$AZ$6:$AZ$108),0)</f>
        <v>0</v>
      </c>
      <c r="Q420" s="306">
        <f>IF(AND(P420&gt;0,O420&gt;0),O420-P420,0)</f>
        <v>0</v>
      </c>
      <c r="R420" s="699"/>
      <c r="S420" s="762"/>
      <c r="T420" s="765">
        <f t="shared" si="230"/>
        <v>0</v>
      </c>
      <c r="U420" s="700"/>
      <c r="V420" s="701"/>
      <c r="W420" s="701"/>
      <c r="X420" s="295">
        <f t="shared" si="227"/>
        <v>0</v>
      </c>
      <c r="Y420" s="296">
        <f>IF(AA420&gt;0,V420,AE418/IF(Iniciar!$C$25="B X 40 K",40,IF(Iniciar!$C$25="B X 50 K",50,1))*I420/1000)</f>
        <v>0</v>
      </c>
      <c r="Z420" s="296">
        <f t="shared" si="228"/>
        <v>0</v>
      </c>
      <c r="AA420" s="297">
        <f t="shared" si="242"/>
        <v>0</v>
      </c>
      <c r="AB420" s="297">
        <f t="shared" si="220"/>
        <v>0</v>
      </c>
      <c r="AC420" s="1268" t="str">
        <f>$AC$7</f>
        <v>Kg Ave Acu :</v>
      </c>
      <c r="AD420" s="308">
        <f>IF(OR(SUM(L418:L424)&gt;0,SUM(V418:V424)&gt;0),AD419/1000+AD413,0)</f>
        <v>0</v>
      </c>
      <c r="AE420" s="309">
        <f>AE419/1000+AE413</f>
        <v>0</v>
      </c>
      <c r="AF420" s="310">
        <f>IF(AND(AE420&gt;0,AD420&gt;0),(AD420/AE420-1)*100,0)</f>
        <v>0</v>
      </c>
      <c r="AG420" s="311" t="str">
        <f>PROD!$AG$7</f>
        <v xml:space="preserve">Masa Sem H (Gr) : </v>
      </c>
      <c r="AH420" s="312">
        <f>PROD!O418/100*7*PROD!O420</f>
        <v>0</v>
      </c>
      <c r="AI420" s="312">
        <f>PROD!P418/100*7*PROD!P420</f>
        <v>0</v>
      </c>
      <c r="AJ420" s="313">
        <f t="shared" si="240"/>
        <v>0</v>
      </c>
      <c r="AK420" s="2027"/>
      <c r="AL420" s="1284">
        <f t="shared" si="222"/>
        <v>0</v>
      </c>
      <c r="AM420" s="1285"/>
      <c r="AN420" s="1285"/>
      <c r="AO420" s="1285"/>
      <c r="AP420" s="1285"/>
      <c r="AQ420" s="1285"/>
      <c r="AR420" s="1285"/>
      <c r="AS420" s="1286"/>
      <c r="AT420" s="1287"/>
      <c r="AU420" s="1288"/>
      <c r="AV420" s="1289"/>
      <c r="AW420" s="1290"/>
      <c r="AX420" s="1291"/>
      <c r="AY420" s="1291"/>
      <c r="AZ420" s="1292"/>
      <c r="BA420" s="1293"/>
      <c r="BB420" s="1294"/>
      <c r="BC420" s="1295"/>
      <c r="BD420" s="1296">
        <f>BD419+PROD!L420-BA420</f>
        <v>0</v>
      </c>
      <c r="BE420" s="2133"/>
      <c r="BF420" s="507" t="e">
        <f t="shared" si="223"/>
        <v>#VALUE!</v>
      </c>
      <c r="BG420" s="329"/>
      <c r="BH420" s="1018">
        <f t="shared" si="224"/>
        <v>0</v>
      </c>
    </row>
    <row r="421" spans="1:60" ht="15" customHeight="1" x14ac:dyDescent="0.3">
      <c r="A421" s="2033"/>
      <c r="B421" s="287" t="str">
        <f t="shared" si="225"/>
        <v/>
      </c>
      <c r="C421" s="288" t="str">
        <f t="shared" si="219"/>
        <v/>
      </c>
      <c r="D421" s="691"/>
      <c r="E421" s="692"/>
      <c r="F421" s="693"/>
      <c r="G421" s="694"/>
      <c r="H421" s="695"/>
      <c r="I421" s="289">
        <f>I420-SUM($D421:F421)</f>
        <v>0</v>
      </c>
      <c r="J421" s="1234" t="str">
        <f>$J$8</f>
        <v>% Mort Acm :</v>
      </c>
      <c r="K421" s="1231">
        <f>IF(PROD!$K$2&gt;0,SUM(D$5:D424)/PROD!$K$2,0)</f>
        <v>0</v>
      </c>
      <c r="L421" s="1246"/>
      <c r="M421" s="291">
        <f t="shared" si="241"/>
        <v>0</v>
      </c>
      <c r="N421" s="314" t="str">
        <f>N$8</f>
        <v xml:space="preserve">Peso Ave (Gr) : </v>
      </c>
      <c r="O421" s="315">
        <f>LOOKUP($A418,GSh!$BV$6:$BV$108,GSh!$BJ$6:$BJ$108)</f>
        <v>0</v>
      </c>
      <c r="P421" s="315">
        <f>IFERROR(LOOKUP($A418,TP!$A$6:$A$108,GSh!$BK$6:$BK$108),0)</f>
        <v>0</v>
      </c>
      <c r="Q421" s="316">
        <f>IF(AND(P421&gt;0,O421&gt;0),(O421/P421-1)*100,0)</f>
        <v>0</v>
      </c>
      <c r="R421" s="699"/>
      <c r="S421" s="762"/>
      <c r="T421" s="765">
        <f t="shared" si="230"/>
        <v>0</v>
      </c>
      <c r="U421" s="700"/>
      <c r="V421" s="701"/>
      <c r="W421" s="701"/>
      <c r="X421" s="295">
        <f t="shared" si="227"/>
        <v>0</v>
      </c>
      <c r="Y421" s="296">
        <f>IF(AA421&gt;0,V421,AE418/IF(Iniciar!$C$25="B X 40 K",40,IF(Iniciar!$C$25="B X 50 K",50,1))*I421/1000)</f>
        <v>0</v>
      </c>
      <c r="Z421" s="296">
        <f t="shared" si="228"/>
        <v>0</v>
      </c>
      <c r="AA421" s="297">
        <f t="shared" si="242"/>
        <v>0</v>
      </c>
      <c r="AB421" s="297">
        <f t="shared" si="220"/>
        <v>0</v>
      </c>
      <c r="AC421" s="541" t="str">
        <f>$AC$8</f>
        <v xml:space="preserve">Ton. Lote Acu : </v>
      </c>
      <c r="AD421" s="544">
        <f>SUM($V$5:$V424)*$A$1/1000000</f>
        <v>0</v>
      </c>
      <c r="AE421" s="543">
        <f>AE414+(AE418/1000000*7*(I418+I424)/2)</f>
        <v>0</v>
      </c>
      <c r="AF421" s="542">
        <f>IF(AND(AE421&gt;0,AD421&gt;0),(AD421/AE421-1)*100,0)</f>
        <v>0</v>
      </c>
      <c r="AG421" s="317" t="str">
        <f>PROD!$AG$8</f>
        <v xml:space="preserve">Masa Ac A. A (Kg) : </v>
      </c>
      <c r="AH421" s="318">
        <f>IF(PROD!$K$2&gt;0,SUM(PROD!L$5:L424)*LOOKUP(PROD!$A418,TP!$A$6:$A$108,GSh!$BB$6:$BB$108)/1000/PROD!$K$2,0)</f>
        <v>0</v>
      </c>
      <c r="AI421" s="318">
        <f>IFERROR(PROD!P419*LOOKUP(PROD!$A418,TP!$A$6:$A$108,GSh!$BC$6:$BC$108)/1000,0)</f>
        <v>0</v>
      </c>
      <c r="AJ421" s="330">
        <f t="shared" si="240"/>
        <v>0</v>
      </c>
      <c r="AK421" s="2027"/>
      <c r="AL421" s="1284">
        <f t="shared" si="222"/>
        <v>0</v>
      </c>
      <c r="AM421" s="1285"/>
      <c r="AN421" s="1285"/>
      <c r="AO421" s="1285"/>
      <c r="AP421" s="1285"/>
      <c r="AQ421" s="1285"/>
      <c r="AR421" s="1285"/>
      <c r="AS421" s="1286"/>
      <c r="AT421" s="1287"/>
      <c r="AU421" s="1288"/>
      <c r="AV421" s="1289"/>
      <c r="AW421" s="1290"/>
      <c r="AX421" s="1291"/>
      <c r="AY421" s="1291"/>
      <c r="AZ421" s="1292"/>
      <c r="BA421" s="1293"/>
      <c r="BB421" s="1294"/>
      <c r="BC421" s="1295"/>
      <c r="BD421" s="1296">
        <f>BD420+PROD!L421-BA421</f>
        <v>0</v>
      </c>
      <c r="BE421" s="2133"/>
      <c r="BF421" s="507" t="e">
        <f t="shared" si="223"/>
        <v>#VALUE!</v>
      </c>
      <c r="BG421" s="329"/>
      <c r="BH421" s="1018">
        <f t="shared" si="224"/>
        <v>0</v>
      </c>
    </row>
    <row r="422" spans="1:60" ht="15" customHeight="1" x14ac:dyDescent="0.3">
      <c r="A422" s="2033"/>
      <c r="B422" s="287" t="str">
        <f t="shared" si="225"/>
        <v/>
      </c>
      <c r="C422" s="288" t="str">
        <f t="shared" si="219"/>
        <v/>
      </c>
      <c r="D422" s="691"/>
      <c r="E422" s="692"/>
      <c r="F422" s="693"/>
      <c r="G422" s="694"/>
      <c r="H422" s="695"/>
      <c r="I422" s="289">
        <f>I421-SUM($D422:F422)</f>
        <v>0</v>
      </c>
      <c r="J422" s="1234" t="str">
        <f>$J$9</f>
        <v>% Sel Acm :</v>
      </c>
      <c r="K422" s="1231">
        <f>IF(PROD!$K$2&gt;0,SUM(E$5:E424)/PROD!$K$2,0)</f>
        <v>0</v>
      </c>
      <c r="L422" s="1246"/>
      <c r="M422" s="291">
        <f t="shared" si="241"/>
        <v>0</v>
      </c>
      <c r="N422" s="292" t="str">
        <f>$N$9</f>
        <v xml:space="preserve">Uniformidad (10% -) : </v>
      </c>
      <c r="O422" s="320">
        <f>LOOKUP($A418,'Pr-Sem'!$A$6:$A$108,'Pr-Sem'!$AH$6:$AH$108)</f>
        <v>0</v>
      </c>
      <c r="P422" s="320">
        <v>5</v>
      </c>
      <c r="Q422" s="321">
        <f>IF(AND(P422&gt;0,O422&gt;0),(1-O422/P422)*100,0)</f>
        <v>0</v>
      </c>
      <c r="R422" s="699"/>
      <c r="S422" s="762"/>
      <c r="T422" s="765">
        <f t="shared" si="230"/>
        <v>0</v>
      </c>
      <c r="U422" s="700"/>
      <c r="V422" s="701"/>
      <c r="W422" s="701"/>
      <c r="X422" s="295">
        <f t="shared" si="227"/>
        <v>0</v>
      </c>
      <c r="Y422" s="296">
        <f>IF(AA422&gt;0,V422,AE418/IF(Iniciar!$C$25="B X 40 K",40,IF(Iniciar!$C$25="B X 50 K",50,1))*I422/1000)</f>
        <v>0</v>
      </c>
      <c r="Z422" s="296">
        <f t="shared" si="228"/>
        <v>0</v>
      </c>
      <c r="AA422" s="297">
        <f t="shared" si="242"/>
        <v>0</v>
      </c>
      <c r="AB422" s="297">
        <f t="shared" si="220"/>
        <v>0</v>
      </c>
      <c r="AC422" s="2035" t="str">
        <f>$AC$9</f>
        <v xml:space="preserve">Total Litros Sem: </v>
      </c>
      <c r="AD422" s="2036"/>
      <c r="AE422" s="2050">
        <f>SUM(R418:R424)</f>
        <v>0</v>
      </c>
      <c r="AF422" s="2051"/>
      <c r="AG422" s="554" t="str">
        <f>$AG$9</f>
        <v xml:space="preserve">Indicador Eficiencia : </v>
      </c>
      <c r="AH422" s="555">
        <f>IF(AND(AE422&gt;0,O419&gt;0,O420&gt;0,SUM(L418:L424)&gt;0),(PROD!AH421/O419)*K424*100/(AE422/(SUM(L418:L424)*O420/1000)),0)</f>
        <v>0</v>
      </c>
      <c r="AI422" s="555">
        <f>IF(AND(P419&gt;0,PROD!AI420&gt;0),(PROD!AI421/P419)*(1-K423)*100/(AE419/PROD!AI420),0)</f>
        <v>0</v>
      </c>
      <c r="AJ422" s="331">
        <f t="shared" si="240"/>
        <v>0</v>
      </c>
      <c r="AK422" s="2027"/>
      <c r="AL422" s="1284">
        <f t="shared" si="222"/>
        <v>0</v>
      </c>
      <c r="AM422" s="1285"/>
      <c r="AN422" s="1285"/>
      <c r="AO422" s="1285"/>
      <c r="AP422" s="1285"/>
      <c r="AQ422" s="1285"/>
      <c r="AR422" s="1285"/>
      <c r="AS422" s="1286"/>
      <c r="AT422" s="1287"/>
      <c r="AU422" s="1288"/>
      <c r="AV422" s="1289"/>
      <c r="AW422" s="1290"/>
      <c r="AX422" s="1291"/>
      <c r="AY422" s="1291"/>
      <c r="AZ422" s="1292"/>
      <c r="BA422" s="1293"/>
      <c r="BB422" s="1294"/>
      <c r="BC422" s="1295"/>
      <c r="BD422" s="1296">
        <f>BD421+PROD!L422-BA422</f>
        <v>0</v>
      </c>
      <c r="BE422" s="2133"/>
      <c r="BF422" s="507" t="e">
        <f t="shared" si="223"/>
        <v>#VALUE!</v>
      </c>
      <c r="BG422" s="329"/>
      <c r="BH422" s="1018">
        <f t="shared" si="224"/>
        <v>0</v>
      </c>
    </row>
    <row r="423" spans="1:60" ht="15" customHeight="1" x14ac:dyDescent="0.3">
      <c r="A423" s="2033"/>
      <c r="B423" s="287" t="str">
        <f t="shared" si="225"/>
        <v/>
      </c>
      <c r="C423" s="288" t="str">
        <f t="shared" si="219"/>
        <v/>
      </c>
      <c r="D423" s="691"/>
      <c r="E423" s="692"/>
      <c r="F423" s="693"/>
      <c r="G423" s="694"/>
      <c r="H423" s="695"/>
      <c r="I423" s="289">
        <f>I422-SUM($D423:F423)</f>
        <v>0</v>
      </c>
      <c r="J423" s="1237" t="str">
        <f>$J$10</f>
        <v>% Mort/Sel Acm Tab :</v>
      </c>
      <c r="K423" s="1238">
        <f>IFERROR(LOOKUP($A418,TP!$A$6:$A$108,GSh!$AR$6:$AR$108)/100,0)</f>
        <v>0</v>
      </c>
      <c r="L423" s="1246"/>
      <c r="M423" s="291">
        <f t="shared" si="241"/>
        <v>0</v>
      </c>
      <c r="N423" s="292" t="str">
        <f>$N$10</f>
        <v xml:space="preserve">Uniformidad (C. Lote) : </v>
      </c>
      <c r="O423" s="320">
        <f>LOOKUP($A418,'Pr-Sem'!$A$6:$A$108,'Pr-Sem'!$AG$6:$AG$108)</f>
        <v>0</v>
      </c>
      <c r="P423" s="320">
        <v>90</v>
      </c>
      <c r="Q423" s="321">
        <f>IF(AND(P423&gt;0,O423&gt;0),(O423/P423-1)*100,0)</f>
        <v>0</v>
      </c>
      <c r="R423" s="699"/>
      <c r="S423" s="762"/>
      <c r="T423" s="765">
        <f t="shared" si="230"/>
        <v>0</v>
      </c>
      <c r="U423" s="700"/>
      <c r="V423" s="701"/>
      <c r="W423" s="701"/>
      <c r="X423" s="295">
        <f t="shared" si="227"/>
        <v>0</v>
      </c>
      <c r="Y423" s="296">
        <f>IF(AA423&gt;0,V423,AE418/IF(Iniciar!$C$25="B X 40 K",40,IF(Iniciar!$C$25="B X 50 K",50,1))*I423/1000)</f>
        <v>0</v>
      </c>
      <c r="Z423" s="296">
        <f t="shared" si="228"/>
        <v>0</v>
      </c>
      <c r="AA423" s="297">
        <f t="shared" si="242"/>
        <v>0</v>
      </c>
      <c r="AB423" s="297">
        <f t="shared" si="220"/>
        <v>0</v>
      </c>
      <c r="AC423" s="2037" t="str">
        <f>$AC$10</f>
        <v xml:space="preserve">Cons ml /ave día: </v>
      </c>
      <c r="AD423" s="2038"/>
      <c r="AE423" s="2056">
        <f>IFERROR(SUMPRODUCT(AB418:AB424,I418:I424)/SUM(I418:I424),0)</f>
        <v>0</v>
      </c>
      <c r="AF423" s="2057"/>
      <c r="AG423" s="311" t="str">
        <f>CONCATENATE("Costo ",Iniciar!$C$25," : ")</f>
        <v xml:space="preserve">Costo Kilos : </v>
      </c>
      <c r="AH423" s="2043">
        <f>IFERROR(SUMPRODUCT(T418:T424,V418:V424)/SUMIF(T418:T424,"&gt;0",V418:V424),0)</f>
        <v>0</v>
      </c>
      <c r="AI423" s="2043"/>
      <c r="AJ423" s="313"/>
      <c r="AK423" s="2027"/>
      <c r="AL423" s="1284">
        <f t="shared" si="222"/>
        <v>0</v>
      </c>
      <c r="AM423" s="1285"/>
      <c r="AN423" s="1285"/>
      <c r="AO423" s="1285"/>
      <c r="AP423" s="1285"/>
      <c r="AQ423" s="1285"/>
      <c r="AR423" s="1285"/>
      <c r="AS423" s="1286"/>
      <c r="AT423" s="1287"/>
      <c r="AU423" s="1288"/>
      <c r="AV423" s="1289"/>
      <c r="AW423" s="1290"/>
      <c r="AX423" s="1291"/>
      <c r="AY423" s="1291"/>
      <c r="AZ423" s="1292"/>
      <c r="BA423" s="1293"/>
      <c r="BB423" s="1294"/>
      <c r="BC423" s="1295"/>
      <c r="BD423" s="1296">
        <f>BD422+PROD!L423-BA423</f>
        <v>0</v>
      </c>
      <c r="BE423" s="2133"/>
      <c r="BF423" s="507" t="e">
        <f t="shared" si="223"/>
        <v>#VALUE!</v>
      </c>
      <c r="BG423" s="329"/>
      <c r="BH423" s="1018">
        <f t="shared" si="224"/>
        <v>0</v>
      </c>
    </row>
    <row r="424" spans="1:60" ht="15" customHeight="1" x14ac:dyDescent="0.3">
      <c r="A424" s="2034"/>
      <c r="B424" s="287" t="str">
        <f t="shared" si="225"/>
        <v/>
      </c>
      <c r="C424" s="288" t="str">
        <f t="shared" si="219"/>
        <v/>
      </c>
      <c r="D424" s="691"/>
      <c r="E424" s="692"/>
      <c r="F424" s="693"/>
      <c r="G424" s="694"/>
      <c r="H424" s="695"/>
      <c r="I424" s="289">
        <f>I423-SUM($D424:F424)</f>
        <v>0</v>
      </c>
      <c r="J424" s="1239" t="str">
        <f>$J$11</f>
        <v>% Viabilidad :</v>
      </c>
      <c r="K424" s="1240">
        <f>IF(OR(SUM(L418:L424)&gt;0,SUM(V418:V424)&gt;0),1-(K421+K422),0)</f>
        <v>0</v>
      </c>
      <c r="L424" s="1247"/>
      <c r="M424" s="1248">
        <f>IF(I424&gt;0,(L424/IF(SUM(L418:L423)&gt;0,1,7))/I424,0)</f>
        <v>0</v>
      </c>
      <c r="N424" s="1249" t="str">
        <f>$N$11</f>
        <v xml:space="preserve">Uniformidad (10% +) : </v>
      </c>
      <c r="O424" s="1250">
        <f>IF(O422&gt;0,IF(O423&gt;0,100-SUM(O422:O423),0),0)</f>
        <v>0</v>
      </c>
      <c r="P424" s="1251">
        <f>100-SUM(P422:P423)</f>
        <v>5</v>
      </c>
      <c r="Q424" s="1252">
        <f>IF(AND(P424&gt;0,O424&gt;0),(O424/P424-1)*100,0)</f>
        <v>0</v>
      </c>
      <c r="R424" s="699"/>
      <c r="S424" s="762"/>
      <c r="T424" s="765">
        <f t="shared" si="230"/>
        <v>0</v>
      </c>
      <c r="U424" s="700"/>
      <c r="V424" s="701"/>
      <c r="W424" s="701"/>
      <c r="X424" s="295">
        <f t="shared" si="227"/>
        <v>0</v>
      </c>
      <c r="Y424" s="296">
        <f>IF(AA424&gt;0,V424,AE418/IF(Iniciar!$C$25="B X 40 K",40,IF(Iniciar!$C$25="B X 50 K",50,1))*I424/1000)</f>
        <v>0</v>
      </c>
      <c r="Z424" s="296">
        <f t="shared" si="228"/>
        <v>0</v>
      </c>
      <c r="AA424" s="297">
        <f>IF(I424&gt;0,(V424/IF(SUM(V418:V423)&gt;0,1,7))*$A$1/I424,0)</f>
        <v>0</v>
      </c>
      <c r="AB424" s="297">
        <f t="shared" si="220"/>
        <v>0</v>
      </c>
      <c r="AC424" s="2039" t="str">
        <f>$AC$11</f>
        <v xml:space="preserve">Relación Agua /Alimto: </v>
      </c>
      <c r="AD424" s="2040"/>
      <c r="AE424" s="2058">
        <f>IFERROR(AE423/AD418,0)</f>
        <v>0</v>
      </c>
      <c r="AF424" s="2059"/>
      <c r="AG424" s="1269" t="s">
        <v>237</v>
      </c>
      <c r="AH424" s="1270">
        <f>IF(SUM(L418:L424)&gt;0,AH423*SUM(V418:V424)/SUM(L418:L424),0)</f>
        <v>0</v>
      </c>
      <c r="AI424" s="1270">
        <f>IF(AND($A$1&gt;0,P418&gt;0),AH423/$A$1*(AE418/P418)*100,0)</f>
        <v>0</v>
      </c>
      <c r="AJ424" s="1271">
        <f t="shared" ref="AJ424:AJ429" si="243">IF(AND(AI424&gt;0,AH424&gt;0),(AH424/AI424-1)*100,0)</f>
        <v>0</v>
      </c>
      <c r="AK424" s="2028"/>
      <c r="AL424" s="1284">
        <f t="shared" si="222"/>
        <v>0</v>
      </c>
      <c r="AM424" s="1285"/>
      <c r="AN424" s="1285"/>
      <c r="AO424" s="1285"/>
      <c r="AP424" s="1285"/>
      <c r="AQ424" s="1285"/>
      <c r="AR424" s="1285"/>
      <c r="AS424" s="1286"/>
      <c r="AT424" s="1287"/>
      <c r="AU424" s="1288"/>
      <c r="AV424" s="1289"/>
      <c r="AW424" s="1290"/>
      <c r="AX424" s="1291"/>
      <c r="AY424" s="1291"/>
      <c r="AZ424" s="1292"/>
      <c r="BA424" s="1293"/>
      <c r="BB424" s="1294"/>
      <c r="BC424" s="1295"/>
      <c r="BD424" s="1296">
        <f>BD423+PROD!L424-BA424</f>
        <v>0</v>
      </c>
      <c r="BE424" s="2134"/>
      <c r="BF424" s="507" t="e">
        <f t="shared" si="223"/>
        <v>#VALUE!</v>
      </c>
      <c r="BG424" s="329"/>
      <c r="BH424" s="1018">
        <f t="shared" si="224"/>
        <v>0</v>
      </c>
    </row>
    <row r="425" spans="1:60" ht="15" customHeight="1" x14ac:dyDescent="0.3">
      <c r="A425" s="2032">
        <f>A418+1</f>
        <v>78</v>
      </c>
      <c r="B425" s="287" t="str">
        <f t="shared" si="225"/>
        <v/>
      </c>
      <c r="C425" s="288" t="str">
        <f t="shared" si="219"/>
        <v/>
      </c>
      <c r="D425" s="691"/>
      <c r="E425" s="692"/>
      <c r="F425" s="693"/>
      <c r="G425" s="694"/>
      <c r="H425" s="695"/>
      <c r="I425" s="289">
        <f>I424-SUM($D425:F425)</f>
        <v>0</v>
      </c>
      <c r="J425" s="1232" t="str">
        <f>$J$5</f>
        <v>% Mort Sem :</v>
      </c>
      <c r="K425" s="1233">
        <f>IF(PROD!$K$2&gt;0,SUM(D425:D431)/PROD!$K$2,0)</f>
        <v>0</v>
      </c>
      <c r="L425" s="1241"/>
      <c r="M425" s="1242">
        <f t="shared" ref="M425:M430" si="244">IF(I425&gt;0,L425/I425,0)</f>
        <v>0</v>
      </c>
      <c r="N425" s="1243" t="str">
        <f>$N$5</f>
        <v xml:space="preserve">% Pdn prom semana : </v>
      </c>
      <c r="O425" s="1244">
        <f>IF(SUM(L425:L430)&gt;0,100*SUMPRODUCT(M425:M431,I425:I431)/SUMIF(L425:L431,"&gt;0",I425:I431),IF(L431&gt;0,100*L431/7/I431,0))</f>
        <v>0</v>
      </c>
      <c r="P425" s="1244">
        <f>IFERROR(LOOKUP($A425,TP!$A$6:$A$108,GSh!$AE$6:$AE$108),0)</f>
        <v>0</v>
      </c>
      <c r="Q425" s="1245">
        <f>IF(AND(P425&gt;0,O425&gt;0),O425-P425,0)</f>
        <v>0</v>
      </c>
      <c r="R425" s="699"/>
      <c r="S425" s="762"/>
      <c r="T425" s="765">
        <f t="shared" si="230"/>
        <v>0</v>
      </c>
      <c r="U425" s="700"/>
      <c r="V425" s="701"/>
      <c r="W425" s="701"/>
      <c r="X425" s="295">
        <f t="shared" si="227"/>
        <v>0</v>
      </c>
      <c r="Y425" s="296">
        <f>IF(AA425&gt;0,V425,AE425/IF(Iniciar!$C$25="B X 40 K",40,IF(Iniciar!$C$25="B X 50 K",50,1))*I425/1000)</f>
        <v>0</v>
      </c>
      <c r="Z425" s="296">
        <f t="shared" si="228"/>
        <v>0</v>
      </c>
      <c r="AA425" s="297">
        <f t="shared" ref="AA425:AA430" si="245">IF(I425&gt;0,V425*$A$1/I425,0)</f>
        <v>0</v>
      </c>
      <c r="AB425" s="297">
        <f t="shared" si="220"/>
        <v>0</v>
      </c>
      <c r="AC425" s="1261" t="str">
        <f>$AC$5</f>
        <v>Gr. Ave Dia :</v>
      </c>
      <c r="AD425" s="1262">
        <f>IF(SUMIF(V425:V431,"&gt;0")&gt;0,SUMPRODUCT(AA425:AA431,I425:I431)/SUMIF(AA425:AA431,"&gt;0",I425:I431),0)</f>
        <v>0</v>
      </c>
      <c r="AE425" s="1262">
        <f>IFERROR(LOOKUP($A425,TP!$A$6:$A$108,GSh!$AU$6:$AU$108),0)</f>
        <v>0</v>
      </c>
      <c r="AF425" s="1263">
        <f>IF(AND(AE425&gt;0,AD425&gt;0),(AD425/AE425-1)*100,0)</f>
        <v>0</v>
      </c>
      <c r="AG425" s="1264" t="str">
        <f>PROD!$AG$5</f>
        <v>Gr X H</v>
      </c>
      <c r="AH425" s="1265">
        <f>IF(PROD!O425&gt;0,IF($AG425="Gr X H",PROD!AD425/PROD!O425*100,IF($AG425="Conv Kg/Doc",PROD!AD425/PROD!O425*1.2,IF(PROD!$O427&gt;0,PROD!AD425/(PROD!O425*PROD!$O427)*100,0))),0)</f>
        <v>0</v>
      </c>
      <c r="AI425" s="1265">
        <f>IF(PROD!P425&gt;0,IF($AG425="Gr X H",PROD!AE425/PROD!P425*100,IF($AG425="Conv Kg/Doc",PROD!AE425/PROD!P425*1.2,IF(PROD!$P427&gt;0,PROD!AE425/(PROD!P425*PROD!$P427)*100,0))),0)</f>
        <v>0</v>
      </c>
      <c r="AJ425" s="1266">
        <f t="shared" si="243"/>
        <v>0</v>
      </c>
      <c r="AK425" s="2026"/>
      <c r="AL425" s="1284">
        <f t="shared" si="222"/>
        <v>0</v>
      </c>
      <c r="AM425" s="1285"/>
      <c r="AN425" s="1285"/>
      <c r="AO425" s="1285"/>
      <c r="AP425" s="1285"/>
      <c r="AQ425" s="1285"/>
      <c r="AR425" s="1285"/>
      <c r="AS425" s="1286"/>
      <c r="AT425" s="1287"/>
      <c r="AU425" s="1288"/>
      <c r="AV425" s="1289"/>
      <c r="AW425" s="1290"/>
      <c r="AX425" s="1291"/>
      <c r="AY425" s="1291"/>
      <c r="AZ425" s="1292"/>
      <c r="BA425" s="1293"/>
      <c r="BB425" s="1294"/>
      <c r="BC425" s="1295"/>
      <c r="BD425" s="1296">
        <f>BD424+PROD!L425-BA425</f>
        <v>0</v>
      </c>
      <c r="BE425" s="2132">
        <f>IF(SUM(AM425:AZ431)&gt;0,(SUM(AM425:AM431)*$AM$2+SUM(AN425:AN431)*$AN$2+SUM(AO425:AO431)*$AO$2+SUM(AP425:AP431)*$AP$2+SUM(AQ425:AQ431)*$AQ$2+SUM(AR425:AR431)*$AR$2+SUM(AS425:AS431)*$AS$2+SUM(AW425:AW431)*$AW$2+SUM(AX425:AX431)*$AX$2+SUM(AY425:AY431)*$AY$2+SUM(AZ425:AZ431)*$AZ$2+SUM(AT425:AT431)*$AT$2+SUM(AU425:AU431)*$AU$2+SUM(AV425:AV431)*$AV$2)/SUM(AM425:AZ431),0)</f>
        <v>0</v>
      </c>
      <c r="BF425" s="507" t="e">
        <f t="shared" si="223"/>
        <v>#VALUE!</v>
      </c>
      <c r="BG425" s="277">
        <f>IF(SUM(L425:L431)&gt;0,A425,IF(SUM(V425:V431)&gt;0,A425,BG418))</f>
        <v>0</v>
      </c>
      <c r="BH425" s="1018">
        <f t="shared" si="224"/>
        <v>0</v>
      </c>
    </row>
    <row r="426" spans="1:60" ht="15" customHeight="1" x14ac:dyDescent="0.3">
      <c r="A426" s="2033"/>
      <c r="B426" s="287" t="str">
        <f t="shared" si="225"/>
        <v/>
      </c>
      <c r="C426" s="288" t="str">
        <f t="shared" si="219"/>
        <v/>
      </c>
      <c r="D426" s="691"/>
      <c r="E426" s="692"/>
      <c r="F426" s="693"/>
      <c r="G426" s="694"/>
      <c r="H426" s="695"/>
      <c r="I426" s="289">
        <f>I425-SUM($D426:F426)</f>
        <v>0</v>
      </c>
      <c r="J426" s="1234" t="str">
        <f>$J$6</f>
        <v>% Sel Sem :</v>
      </c>
      <c r="K426" s="1231">
        <f>IF(PROD!$K$2&gt;0,SUM(E425:E431)/PROD!$K$2,0)</f>
        <v>0</v>
      </c>
      <c r="L426" s="1246"/>
      <c r="M426" s="291">
        <f t="shared" si="244"/>
        <v>0</v>
      </c>
      <c r="N426" s="292" t="str">
        <f>$N$6</f>
        <v xml:space="preserve">H. Ave Alojada : </v>
      </c>
      <c r="O426" s="293">
        <f>IF(AND(PROD!$K$2&gt;0,O425&gt;0),SUM(L$5:L431)/PROD!$K$2,0)</f>
        <v>0</v>
      </c>
      <c r="P426" s="293">
        <f>IFERROR(LOOKUP($A425,TP!$A$6:$A$108,GSh!$AJ$6:$AJ$108),0)</f>
        <v>0</v>
      </c>
      <c r="Q426" s="294">
        <f>IF(AND(P426&gt;0,O426&gt;0),O426-P426,0)</f>
        <v>0</v>
      </c>
      <c r="R426" s="699"/>
      <c r="S426" s="762"/>
      <c r="T426" s="765">
        <f t="shared" si="230"/>
        <v>0</v>
      </c>
      <c r="U426" s="700"/>
      <c r="V426" s="701"/>
      <c r="W426" s="701"/>
      <c r="X426" s="295">
        <f t="shared" si="227"/>
        <v>0</v>
      </c>
      <c r="Y426" s="296">
        <f>IF(AA426&gt;0,V426,AE425/IF(Iniciar!$C$25="B X 40 K",40,IF(Iniciar!$C$25="B X 50 K",50,1))*I426/1000)</f>
        <v>0</v>
      </c>
      <c r="Z426" s="296">
        <f t="shared" si="228"/>
        <v>0</v>
      </c>
      <c r="AA426" s="297">
        <f t="shared" si="245"/>
        <v>0</v>
      </c>
      <c r="AB426" s="297">
        <f t="shared" si="220"/>
        <v>0</v>
      </c>
      <c r="AC426" s="1267" t="str">
        <f>$AC$6</f>
        <v>Gr. Ave Sem :</v>
      </c>
      <c r="AD426" s="284">
        <f>AD425*7</f>
        <v>0</v>
      </c>
      <c r="AE426" s="284">
        <f>AE425*7</f>
        <v>0</v>
      </c>
      <c r="AF426" s="285">
        <f>IF(AND(AE426&gt;0,AD426&gt;0),(AD426/AE426-1)*100,0)</f>
        <v>0</v>
      </c>
      <c r="AG426" s="1199" t="str">
        <f>PROD!$AG$6</f>
        <v>Gr X H Acm</v>
      </c>
      <c r="AH426" s="298">
        <f>IF(SUM(PROD!L425:L431)&gt;0,IF(PROD!$AG$5="Gr X H",SUM(PROD!V$5:V431)*PROD!$A$1/SUM(PROD!L$5:L431),IF($AG425="Conv Kg/Doc",(SUM(PROD!V$5:V431)*PROD!$A$1/1000)/(SUM(PROD!L$5:L431)/12),IF(PROD!$O427&gt;0,SUM(PROD!V$5:V431)*PROD!$A$1/(SUM(PROD!L$5:L431)*LOOKUP(PROD!A425,TP!$A$6:$A$108,GSh!$BB$6:$BB$108)),0))),0)</f>
        <v>0</v>
      </c>
      <c r="AI426" s="298">
        <f>IF(PROD!P425&gt;0,IF($AG425="Gr X H",PROD!AE425/PROD!P425*100,IF($AG425="Conv Kg/Doc",PROD!AE425/PROD!P425*1.2,IF(PROD!$P426&gt;0,PROD!AE427/(PROD!P426*LOOKUP(PROD!$A425,TP!$A$6:$A$108,GSh!$BC$6:$BC$108)/1000),0))),0)</f>
        <v>0</v>
      </c>
      <c r="AJ426" s="328">
        <f t="shared" si="243"/>
        <v>0</v>
      </c>
      <c r="AK426" s="2027"/>
      <c r="AL426" s="1284">
        <f t="shared" si="222"/>
        <v>0</v>
      </c>
      <c r="AM426" s="1285"/>
      <c r="AN426" s="1285"/>
      <c r="AO426" s="1285"/>
      <c r="AP426" s="1285"/>
      <c r="AQ426" s="1285"/>
      <c r="AR426" s="1285"/>
      <c r="AS426" s="1286"/>
      <c r="AT426" s="1287"/>
      <c r="AU426" s="1288"/>
      <c r="AV426" s="1289"/>
      <c r="AW426" s="1290"/>
      <c r="AX426" s="1291"/>
      <c r="AY426" s="1291"/>
      <c r="AZ426" s="1292"/>
      <c r="BA426" s="1293"/>
      <c r="BB426" s="1294"/>
      <c r="BC426" s="1295"/>
      <c r="BD426" s="1296">
        <f>BD425+PROD!L426-BA426</f>
        <v>0</v>
      </c>
      <c r="BE426" s="2133"/>
      <c r="BF426" s="507" t="e">
        <f t="shared" si="223"/>
        <v>#VALUE!</v>
      </c>
      <c r="BG426" s="329"/>
      <c r="BH426" s="1018">
        <f t="shared" si="224"/>
        <v>0</v>
      </c>
    </row>
    <row r="427" spans="1:60" ht="15" customHeight="1" x14ac:dyDescent="0.3">
      <c r="A427" s="2033"/>
      <c r="B427" s="287" t="str">
        <f t="shared" si="225"/>
        <v/>
      </c>
      <c r="C427" s="288" t="str">
        <f t="shared" si="219"/>
        <v/>
      </c>
      <c r="D427" s="691"/>
      <c r="E427" s="692"/>
      <c r="F427" s="693"/>
      <c r="G427" s="694"/>
      <c r="H427" s="695"/>
      <c r="I427" s="289">
        <f>I426-SUM($D427:F427)</f>
        <v>0</v>
      </c>
      <c r="J427" s="1235" t="str">
        <f>$J$7</f>
        <v>% Mort/Sel Sem Tab :</v>
      </c>
      <c r="K427" s="1236">
        <f>K430-K423</f>
        <v>0</v>
      </c>
      <c r="L427" s="1246"/>
      <c r="M427" s="291">
        <f t="shared" si="244"/>
        <v>0</v>
      </c>
      <c r="N427" s="304" t="str">
        <f>$N$7</f>
        <v xml:space="preserve">Peso Huevo (Gr) : </v>
      </c>
      <c r="O427" s="305">
        <f>LOOKUP($A425,'Pr-Sem'!$A$6:$A$108,'Pr-Sem'!$Z$6:$Z$108)</f>
        <v>0</v>
      </c>
      <c r="P427" s="305">
        <f>IFERROR(LOOKUP($A425,TP!$A$6:$A$108,GSh!$AZ$6:$AZ$108),0)</f>
        <v>0</v>
      </c>
      <c r="Q427" s="306">
        <f>IF(AND(P427&gt;0,O427&gt;0),O427-P427,0)</f>
        <v>0</v>
      </c>
      <c r="R427" s="699"/>
      <c r="S427" s="762"/>
      <c r="T427" s="765">
        <f t="shared" si="230"/>
        <v>0</v>
      </c>
      <c r="U427" s="700"/>
      <c r="V427" s="701"/>
      <c r="W427" s="701"/>
      <c r="X427" s="295">
        <f t="shared" si="227"/>
        <v>0</v>
      </c>
      <c r="Y427" s="296">
        <f>IF(AA427&gt;0,V427,AE425/IF(Iniciar!$C$25="B X 40 K",40,IF(Iniciar!$C$25="B X 50 K",50,1))*I427/1000)</f>
        <v>0</v>
      </c>
      <c r="Z427" s="296">
        <f t="shared" si="228"/>
        <v>0</v>
      </c>
      <c r="AA427" s="297">
        <f t="shared" si="245"/>
        <v>0</v>
      </c>
      <c r="AB427" s="297">
        <f t="shared" si="220"/>
        <v>0</v>
      </c>
      <c r="AC427" s="1268" t="str">
        <f>$AC$7</f>
        <v>Kg Ave Acu :</v>
      </c>
      <c r="AD427" s="308">
        <f>IF(OR(SUM(L425:L431)&gt;0,SUM(V425:V431)&gt;0),AD426/1000+AD420,0)</f>
        <v>0</v>
      </c>
      <c r="AE427" s="309">
        <f>AE426/1000+AE420</f>
        <v>0</v>
      </c>
      <c r="AF427" s="310">
        <f>IF(AND(AE427&gt;0,AD427&gt;0),(AD427/AE427-1)*100,0)</f>
        <v>0</v>
      </c>
      <c r="AG427" s="311" t="str">
        <f>PROD!$AG$7</f>
        <v xml:space="preserve">Masa Sem H (Gr) : </v>
      </c>
      <c r="AH427" s="312">
        <f>PROD!O425/100*7*PROD!O427</f>
        <v>0</v>
      </c>
      <c r="AI427" s="312">
        <f>PROD!P425/100*7*PROD!P427</f>
        <v>0</v>
      </c>
      <c r="AJ427" s="313">
        <f t="shared" si="243"/>
        <v>0</v>
      </c>
      <c r="AK427" s="2027"/>
      <c r="AL427" s="1284">
        <f t="shared" si="222"/>
        <v>0</v>
      </c>
      <c r="AM427" s="1285"/>
      <c r="AN427" s="1285"/>
      <c r="AO427" s="1285"/>
      <c r="AP427" s="1285"/>
      <c r="AQ427" s="1285"/>
      <c r="AR427" s="1285"/>
      <c r="AS427" s="1286"/>
      <c r="AT427" s="1287"/>
      <c r="AU427" s="1288"/>
      <c r="AV427" s="1289"/>
      <c r="AW427" s="1290"/>
      <c r="AX427" s="1291"/>
      <c r="AY427" s="1291"/>
      <c r="AZ427" s="1292"/>
      <c r="BA427" s="1293"/>
      <c r="BB427" s="1294"/>
      <c r="BC427" s="1295"/>
      <c r="BD427" s="1296">
        <f>BD426+PROD!L427-BA427</f>
        <v>0</v>
      </c>
      <c r="BE427" s="2133"/>
      <c r="BF427" s="507" t="e">
        <f t="shared" si="223"/>
        <v>#VALUE!</v>
      </c>
      <c r="BG427" s="329"/>
      <c r="BH427" s="1018">
        <f t="shared" si="224"/>
        <v>0</v>
      </c>
    </row>
    <row r="428" spans="1:60" ht="15" customHeight="1" x14ac:dyDescent="0.3">
      <c r="A428" s="2033"/>
      <c r="B428" s="287" t="str">
        <f t="shared" si="225"/>
        <v/>
      </c>
      <c r="C428" s="288" t="str">
        <f t="shared" si="219"/>
        <v/>
      </c>
      <c r="D428" s="691"/>
      <c r="E428" s="692"/>
      <c r="F428" s="693"/>
      <c r="G428" s="694"/>
      <c r="H428" s="695"/>
      <c r="I428" s="289">
        <f>I427-SUM($D428:F428)</f>
        <v>0</v>
      </c>
      <c r="J428" s="1234" t="str">
        <f>$J$8</f>
        <v>% Mort Acm :</v>
      </c>
      <c r="K428" s="1231">
        <f>IF(PROD!$K$2&gt;0,SUM(D$5:D431)/PROD!$K$2,0)</f>
        <v>0</v>
      </c>
      <c r="L428" s="1246"/>
      <c r="M428" s="291">
        <f t="shared" si="244"/>
        <v>0</v>
      </c>
      <c r="N428" s="314" t="str">
        <f>N$8</f>
        <v xml:space="preserve">Peso Ave (Gr) : </v>
      </c>
      <c r="O428" s="315">
        <f>LOOKUP($A425,GSh!$BV$6:$BV$108,GSh!$BJ$6:$BJ$108)</f>
        <v>0</v>
      </c>
      <c r="P428" s="315">
        <f>IFERROR(LOOKUP($A425,TP!$A$6:$A$108,GSh!$BK$6:$BK$108),0)</f>
        <v>0</v>
      </c>
      <c r="Q428" s="316">
        <f>IF(AND(P428&gt;0,O428&gt;0),(O428/P428-1)*100,0)</f>
        <v>0</v>
      </c>
      <c r="R428" s="699"/>
      <c r="S428" s="762"/>
      <c r="T428" s="765">
        <f t="shared" si="230"/>
        <v>0</v>
      </c>
      <c r="U428" s="700"/>
      <c r="V428" s="701"/>
      <c r="W428" s="701"/>
      <c r="X428" s="295">
        <f t="shared" si="227"/>
        <v>0</v>
      </c>
      <c r="Y428" s="296">
        <f>IF(AA428&gt;0,V428,AE425/IF(Iniciar!$C$25="B X 40 K",40,IF(Iniciar!$C$25="B X 50 K",50,1))*I428/1000)</f>
        <v>0</v>
      </c>
      <c r="Z428" s="296">
        <f t="shared" si="228"/>
        <v>0</v>
      </c>
      <c r="AA428" s="297">
        <f t="shared" si="245"/>
        <v>0</v>
      </c>
      <c r="AB428" s="297">
        <f t="shared" si="220"/>
        <v>0</v>
      </c>
      <c r="AC428" s="541" t="str">
        <f>$AC$8</f>
        <v xml:space="preserve">Ton. Lote Acu : </v>
      </c>
      <c r="AD428" s="544">
        <f>SUM($V$5:$V431)*$A$1/1000000</f>
        <v>0</v>
      </c>
      <c r="AE428" s="543">
        <f>AE421+(AE425/1000000*7*(I425+I431)/2)</f>
        <v>0</v>
      </c>
      <c r="AF428" s="542">
        <f>IF(AND(AE428&gt;0,AD428&gt;0),(AD428/AE428-1)*100,0)</f>
        <v>0</v>
      </c>
      <c r="AG428" s="317" t="str">
        <f>PROD!$AG$8</f>
        <v xml:space="preserve">Masa Ac A. A (Kg) : </v>
      </c>
      <c r="AH428" s="318">
        <f>IF(PROD!$K$2&gt;0,SUM(PROD!L$5:L431)*LOOKUP(PROD!$A425,TP!$A$6:$A$108,GSh!$BB$6:$BB$108)/1000/PROD!$K$2,0)</f>
        <v>0</v>
      </c>
      <c r="AI428" s="318">
        <f>IFERROR(PROD!P426*LOOKUP(PROD!$A425,TP!$A$6:$A$108,GSh!$BC$6:$BC$108)/1000,0)</f>
        <v>0</v>
      </c>
      <c r="AJ428" s="330">
        <f t="shared" si="243"/>
        <v>0</v>
      </c>
      <c r="AK428" s="2027"/>
      <c r="AL428" s="1284">
        <f t="shared" si="222"/>
        <v>0</v>
      </c>
      <c r="AM428" s="1285"/>
      <c r="AN428" s="1285"/>
      <c r="AO428" s="1285"/>
      <c r="AP428" s="1285"/>
      <c r="AQ428" s="1285"/>
      <c r="AR428" s="1285"/>
      <c r="AS428" s="1286"/>
      <c r="AT428" s="1287"/>
      <c r="AU428" s="1288"/>
      <c r="AV428" s="1289"/>
      <c r="AW428" s="1290"/>
      <c r="AX428" s="1291"/>
      <c r="AY428" s="1291"/>
      <c r="AZ428" s="1292"/>
      <c r="BA428" s="1293"/>
      <c r="BB428" s="1294"/>
      <c r="BC428" s="1295"/>
      <c r="BD428" s="1296">
        <f>BD427+PROD!L428-BA428</f>
        <v>0</v>
      </c>
      <c r="BE428" s="2133"/>
      <c r="BF428" s="507" t="e">
        <f t="shared" si="223"/>
        <v>#VALUE!</v>
      </c>
      <c r="BG428" s="329"/>
      <c r="BH428" s="1018">
        <f t="shared" si="224"/>
        <v>0</v>
      </c>
    </row>
    <row r="429" spans="1:60" ht="15" customHeight="1" x14ac:dyDescent="0.3">
      <c r="A429" s="2033"/>
      <c r="B429" s="287" t="str">
        <f t="shared" si="225"/>
        <v/>
      </c>
      <c r="C429" s="288" t="str">
        <f t="shared" si="219"/>
        <v/>
      </c>
      <c r="D429" s="691"/>
      <c r="E429" s="692"/>
      <c r="F429" s="693"/>
      <c r="G429" s="694"/>
      <c r="H429" s="695"/>
      <c r="I429" s="289">
        <f>I428-SUM($D429:F429)</f>
        <v>0</v>
      </c>
      <c r="J429" s="1234" t="str">
        <f>$J$9</f>
        <v>% Sel Acm :</v>
      </c>
      <c r="K429" s="1231">
        <f>IF(PROD!$K$2&gt;0,SUM(E$5:E431)/PROD!$K$2,0)</f>
        <v>0</v>
      </c>
      <c r="L429" s="1246"/>
      <c r="M429" s="291">
        <f t="shared" si="244"/>
        <v>0</v>
      </c>
      <c r="N429" s="292" t="str">
        <f>$N$9</f>
        <v xml:space="preserve">Uniformidad (10% -) : </v>
      </c>
      <c r="O429" s="320">
        <f>LOOKUP($A425,'Pr-Sem'!$A$6:$A$108,'Pr-Sem'!$AH$6:$AH$108)</f>
        <v>0</v>
      </c>
      <c r="P429" s="320">
        <v>5</v>
      </c>
      <c r="Q429" s="321">
        <f>IF(AND(P429&gt;0,O429&gt;0),(1-O429/P429)*100,0)</f>
        <v>0</v>
      </c>
      <c r="R429" s="699"/>
      <c r="S429" s="762"/>
      <c r="T429" s="765">
        <f t="shared" si="230"/>
        <v>0</v>
      </c>
      <c r="U429" s="700"/>
      <c r="V429" s="701"/>
      <c r="W429" s="701"/>
      <c r="X429" s="295">
        <f t="shared" si="227"/>
        <v>0</v>
      </c>
      <c r="Y429" s="296">
        <f>IF(AA429&gt;0,V429,AE425/IF(Iniciar!$C$25="B X 40 K",40,IF(Iniciar!$C$25="B X 50 K",50,1))*I429/1000)</f>
        <v>0</v>
      </c>
      <c r="Z429" s="296">
        <f t="shared" si="228"/>
        <v>0</v>
      </c>
      <c r="AA429" s="297">
        <f t="shared" si="245"/>
        <v>0</v>
      </c>
      <c r="AB429" s="297">
        <f t="shared" si="220"/>
        <v>0</v>
      </c>
      <c r="AC429" s="2035" t="str">
        <f>$AC$9</f>
        <v xml:space="preserve">Total Litros Sem: </v>
      </c>
      <c r="AD429" s="2036"/>
      <c r="AE429" s="2050">
        <f>SUM(R425:R431)</f>
        <v>0</v>
      </c>
      <c r="AF429" s="2051"/>
      <c r="AG429" s="554" t="str">
        <f>$AG$9</f>
        <v xml:space="preserve">Indicador Eficiencia : </v>
      </c>
      <c r="AH429" s="555">
        <f>IF(AND(AE429&gt;0,O426&gt;0,O427&gt;0,SUM(L425:L431)&gt;0),(PROD!AH428/O426)*K431*100/(AE429/(SUM(L425:L431)*O427/1000)),0)</f>
        <v>0</v>
      </c>
      <c r="AI429" s="555">
        <f>IF(AND(P426&gt;0,PROD!AI427&gt;0),(PROD!AI428/P426)*(1-K430)*100/(AE426/PROD!AI427),0)</f>
        <v>0</v>
      </c>
      <c r="AJ429" s="331">
        <f t="shared" si="243"/>
        <v>0</v>
      </c>
      <c r="AK429" s="2027"/>
      <c r="AL429" s="1284">
        <f t="shared" si="222"/>
        <v>0</v>
      </c>
      <c r="AM429" s="1285"/>
      <c r="AN429" s="1285"/>
      <c r="AO429" s="1285"/>
      <c r="AP429" s="1285"/>
      <c r="AQ429" s="1285"/>
      <c r="AR429" s="1285"/>
      <c r="AS429" s="1286"/>
      <c r="AT429" s="1287"/>
      <c r="AU429" s="1288"/>
      <c r="AV429" s="1289"/>
      <c r="AW429" s="1290"/>
      <c r="AX429" s="1291"/>
      <c r="AY429" s="1291"/>
      <c r="AZ429" s="1292"/>
      <c r="BA429" s="1293"/>
      <c r="BB429" s="1294"/>
      <c r="BC429" s="1295"/>
      <c r="BD429" s="1296">
        <f>BD428+PROD!L429-BA429</f>
        <v>0</v>
      </c>
      <c r="BE429" s="2133"/>
      <c r="BF429" s="507" t="e">
        <f t="shared" si="223"/>
        <v>#VALUE!</v>
      </c>
      <c r="BG429" s="329"/>
      <c r="BH429" s="1018">
        <f t="shared" si="224"/>
        <v>0</v>
      </c>
    </row>
    <row r="430" spans="1:60" ht="15" customHeight="1" x14ac:dyDescent="0.3">
      <c r="A430" s="2033"/>
      <c r="B430" s="287" t="str">
        <f t="shared" si="225"/>
        <v/>
      </c>
      <c r="C430" s="288" t="str">
        <f t="shared" si="219"/>
        <v/>
      </c>
      <c r="D430" s="691"/>
      <c r="E430" s="692"/>
      <c r="F430" s="693"/>
      <c r="G430" s="694"/>
      <c r="H430" s="695"/>
      <c r="I430" s="289">
        <f>I429-SUM($D430:F430)</f>
        <v>0</v>
      </c>
      <c r="J430" s="1237" t="str">
        <f>$J$10</f>
        <v>% Mort/Sel Acm Tab :</v>
      </c>
      <c r="K430" s="1238">
        <f>IFERROR(LOOKUP($A425,TP!$A$6:$A$108,GSh!$AR$6:$AR$108)/100,0)</f>
        <v>0</v>
      </c>
      <c r="L430" s="1246"/>
      <c r="M430" s="291">
        <f t="shared" si="244"/>
        <v>0</v>
      </c>
      <c r="N430" s="292" t="str">
        <f>$N$10</f>
        <v xml:space="preserve">Uniformidad (C. Lote) : </v>
      </c>
      <c r="O430" s="320">
        <f>LOOKUP($A425,'Pr-Sem'!$A$6:$A$108,'Pr-Sem'!$AG$6:$AG$108)</f>
        <v>0</v>
      </c>
      <c r="P430" s="320">
        <v>90</v>
      </c>
      <c r="Q430" s="321">
        <f>IF(AND(P430&gt;0,O430&gt;0),(O430/P430-1)*100,0)</f>
        <v>0</v>
      </c>
      <c r="R430" s="699"/>
      <c r="S430" s="762"/>
      <c r="T430" s="765">
        <f t="shared" si="230"/>
        <v>0</v>
      </c>
      <c r="U430" s="700"/>
      <c r="V430" s="701"/>
      <c r="W430" s="701"/>
      <c r="X430" s="295">
        <f t="shared" si="227"/>
        <v>0</v>
      </c>
      <c r="Y430" s="296">
        <f>IF(AA430&gt;0,V430,AE425/IF(Iniciar!$C$25="B X 40 K",40,IF(Iniciar!$C$25="B X 50 K",50,1))*I430/1000)</f>
        <v>0</v>
      </c>
      <c r="Z430" s="296">
        <f t="shared" si="228"/>
        <v>0</v>
      </c>
      <c r="AA430" s="297">
        <f t="shared" si="245"/>
        <v>0</v>
      </c>
      <c r="AB430" s="297">
        <f t="shared" si="220"/>
        <v>0</v>
      </c>
      <c r="AC430" s="2037" t="str">
        <f>$AC$10</f>
        <v xml:space="preserve">Cons ml /ave día: </v>
      </c>
      <c r="AD430" s="2038"/>
      <c r="AE430" s="2056">
        <f>IFERROR(SUMPRODUCT(AB425:AB431,I425:I431)/SUM(I425:I431),0)</f>
        <v>0</v>
      </c>
      <c r="AF430" s="2057"/>
      <c r="AG430" s="311" t="str">
        <f>CONCATENATE("Costo ",Iniciar!$C$25," : ")</f>
        <v xml:space="preserve">Costo Kilos : </v>
      </c>
      <c r="AH430" s="2043">
        <f>IFERROR(SUMPRODUCT(T425:T431,V425:V431)/SUMIF(T425:T431,"&gt;0",V425:V431),0)</f>
        <v>0</v>
      </c>
      <c r="AI430" s="2043"/>
      <c r="AJ430" s="313"/>
      <c r="AK430" s="2027"/>
      <c r="AL430" s="1284">
        <f t="shared" si="222"/>
        <v>0</v>
      </c>
      <c r="AM430" s="1285"/>
      <c r="AN430" s="1285"/>
      <c r="AO430" s="1285"/>
      <c r="AP430" s="1285"/>
      <c r="AQ430" s="1285"/>
      <c r="AR430" s="1285"/>
      <c r="AS430" s="1286"/>
      <c r="AT430" s="1287"/>
      <c r="AU430" s="1288"/>
      <c r="AV430" s="1289"/>
      <c r="AW430" s="1290"/>
      <c r="AX430" s="1291"/>
      <c r="AY430" s="1291"/>
      <c r="AZ430" s="1292"/>
      <c r="BA430" s="1293"/>
      <c r="BB430" s="1294"/>
      <c r="BC430" s="1295"/>
      <c r="BD430" s="1296">
        <f>BD429+PROD!L430-BA430</f>
        <v>0</v>
      </c>
      <c r="BE430" s="2133"/>
      <c r="BF430" s="507" t="e">
        <f t="shared" si="223"/>
        <v>#VALUE!</v>
      </c>
      <c r="BG430" s="329"/>
      <c r="BH430" s="1018">
        <f t="shared" si="224"/>
        <v>0</v>
      </c>
    </row>
    <row r="431" spans="1:60" ht="15" customHeight="1" x14ac:dyDescent="0.3">
      <c r="A431" s="2034"/>
      <c r="B431" s="287" t="str">
        <f t="shared" si="225"/>
        <v/>
      </c>
      <c r="C431" s="288" t="str">
        <f t="shared" si="219"/>
        <v/>
      </c>
      <c r="D431" s="691"/>
      <c r="E431" s="692"/>
      <c r="F431" s="693"/>
      <c r="G431" s="694"/>
      <c r="H431" s="695"/>
      <c r="I431" s="289">
        <f>I430-SUM($D431:F431)</f>
        <v>0</v>
      </c>
      <c r="J431" s="1239" t="str">
        <f>$J$11</f>
        <v>% Viabilidad :</v>
      </c>
      <c r="K431" s="1240">
        <f>IF(OR(SUM(L425:L431)&gt;0,SUM(V425:V431)&gt;0),1-(K428+K429),0)</f>
        <v>0</v>
      </c>
      <c r="L431" s="1247"/>
      <c r="M431" s="1248">
        <f>IF(I431&gt;0,(L431/IF(SUM(L425:L430)&gt;0,1,7))/I431,0)</f>
        <v>0</v>
      </c>
      <c r="N431" s="1249" t="str">
        <f>$N$11</f>
        <v xml:space="preserve">Uniformidad (10% +) : </v>
      </c>
      <c r="O431" s="1250">
        <f>IF(O429&gt;0,IF(O430&gt;0,100-SUM(O429:O430),0),0)</f>
        <v>0</v>
      </c>
      <c r="P431" s="1251">
        <f>100-SUM(P429:P430)</f>
        <v>5</v>
      </c>
      <c r="Q431" s="1252">
        <f>IF(AND(P431&gt;0,O431&gt;0),(O431/P431-1)*100,0)</f>
        <v>0</v>
      </c>
      <c r="R431" s="699"/>
      <c r="S431" s="762"/>
      <c r="T431" s="765">
        <f t="shared" si="230"/>
        <v>0</v>
      </c>
      <c r="U431" s="700"/>
      <c r="V431" s="701"/>
      <c r="W431" s="701"/>
      <c r="X431" s="295">
        <f t="shared" si="227"/>
        <v>0</v>
      </c>
      <c r="Y431" s="296">
        <f>IF(AA431&gt;0,V431,AE425/IF(Iniciar!$C$25="B X 40 K",40,IF(Iniciar!$C$25="B X 50 K",50,1))*I431/1000)</f>
        <v>0</v>
      </c>
      <c r="Z431" s="296">
        <f t="shared" si="228"/>
        <v>0</v>
      </c>
      <c r="AA431" s="297">
        <f>IF(I431&gt;0,(V431/IF(SUM(V425:V430)&gt;0,1,7))*$A$1/I431,0)</f>
        <v>0</v>
      </c>
      <c r="AB431" s="297">
        <f t="shared" si="220"/>
        <v>0</v>
      </c>
      <c r="AC431" s="2039" t="str">
        <f>$AC$11</f>
        <v xml:space="preserve">Relación Agua /Alimto: </v>
      </c>
      <c r="AD431" s="2040"/>
      <c r="AE431" s="2058">
        <f>IFERROR(AE430/AD425,0)</f>
        <v>0</v>
      </c>
      <c r="AF431" s="2059"/>
      <c r="AG431" s="1269" t="s">
        <v>237</v>
      </c>
      <c r="AH431" s="1270">
        <f>IF(SUM(L425:L431)&gt;0,AH430*SUM(V425:V431)/SUM(L425:L431),0)</f>
        <v>0</v>
      </c>
      <c r="AI431" s="1270">
        <f>IF(AND($A$1&gt;0,P425&gt;0),AH430/$A$1*(AE425/P425)*100,0)</f>
        <v>0</v>
      </c>
      <c r="AJ431" s="1271">
        <f t="shared" ref="AJ431:AJ436" si="246">IF(AND(AI431&gt;0,AH431&gt;0),(AH431/AI431-1)*100,0)</f>
        <v>0</v>
      </c>
      <c r="AK431" s="2028"/>
      <c r="AL431" s="1284">
        <f t="shared" si="222"/>
        <v>0</v>
      </c>
      <c r="AM431" s="1285"/>
      <c r="AN431" s="1285"/>
      <c r="AO431" s="1285"/>
      <c r="AP431" s="1285"/>
      <c r="AQ431" s="1285"/>
      <c r="AR431" s="1285"/>
      <c r="AS431" s="1286"/>
      <c r="AT431" s="1287"/>
      <c r="AU431" s="1288"/>
      <c r="AV431" s="1289"/>
      <c r="AW431" s="1290"/>
      <c r="AX431" s="1291"/>
      <c r="AY431" s="1291"/>
      <c r="AZ431" s="1292"/>
      <c r="BA431" s="1293"/>
      <c r="BB431" s="1294"/>
      <c r="BC431" s="1295"/>
      <c r="BD431" s="1296">
        <f>BD430+PROD!L431-BA431</f>
        <v>0</v>
      </c>
      <c r="BE431" s="2134"/>
      <c r="BF431" s="507" t="e">
        <f t="shared" si="223"/>
        <v>#VALUE!</v>
      </c>
      <c r="BG431" s="329"/>
      <c r="BH431" s="1018">
        <f t="shared" si="224"/>
        <v>0</v>
      </c>
    </row>
    <row r="432" spans="1:60" ht="15" customHeight="1" x14ac:dyDescent="0.3">
      <c r="A432" s="2032">
        <f>A425+1</f>
        <v>79</v>
      </c>
      <c r="B432" s="287" t="str">
        <f t="shared" si="225"/>
        <v/>
      </c>
      <c r="C432" s="288" t="str">
        <f t="shared" si="219"/>
        <v/>
      </c>
      <c r="D432" s="691"/>
      <c r="E432" s="692"/>
      <c r="F432" s="693"/>
      <c r="G432" s="694"/>
      <c r="H432" s="695"/>
      <c r="I432" s="289">
        <f>I431-SUM($D432:F432)</f>
        <v>0</v>
      </c>
      <c r="J432" s="1232" t="str">
        <f>$J$5</f>
        <v>% Mort Sem :</v>
      </c>
      <c r="K432" s="1233">
        <f>IF(PROD!$K$2&gt;0,SUM(D432:D438)/PROD!$K$2,0)</f>
        <v>0</v>
      </c>
      <c r="L432" s="1241"/>
      <c r="M432" s="1242">
        <f t="shared" ref="M432:M437" si="247">IF(I432&gt;0,L432/I432,0)</f>
        <v>0</v>
      </c>
      <c r="N432" s="1243" t="str">
        <f>$N$5</f>
        <v xml:space="preserve">% Pdn prom semana : </v>
      </c>
      <c r="O432" s="1244">
        <f>IF(SUM(L432:L437)&gt;0,100*SUMPRODUCT(M432:M438,I432:I438)/SUMIF(L432:L438,"&gt;0",I432:I438),IF(L438&gt;0,100*L438/7/I438,0))</f>
        <v>0</v>
      </c>
      <c r="P432" s="1244">
        <f>IFERROR(LOOKUP($A432,TP!$A$6:$A$108,GSh!$AE$6:$AE$108),0)</f>
        <v>0</v>
      </c>
      <c r="Q432" s="1245">
        <f>IF(AND(P432&gt;0,O432&gt;0),O432-P432,0)</f>
        <v>0</v>
      </c>
      <c r="R432" s="699"/>
      <c r="S432" s="762"/>
      <c r="T432" s="765">
        <f t="shared" si="230"/>
        <v>0</v>
      </c>
      <c r="U432" s="700"/>
      <c r="V432" s="701"/>
      <c r="W432" s="701"/>
      <c r="X432" s="295">
        <f t="shared" si="227"/>
        <v>0</v>
      </c>
      <c r="Y432" s="296">
        <f>IF(AA432&gt;0,V432,AE432/IF(Iniciar!$C$25="B X 40 K",40,IF(Iniciar!$C$25="B X 50 K",50,1))*I432/1000)</f>
        <v>0</v>
      </c>
      <c r="Z432" s="296">
        <f t="shared" si="228"/>
        <v>0</v>
      </c>
      <c r="AA432" s="297">
        <f t="shared" ref="AA432:AA437" si="248">IF(I432&gt;0,V432*$A$1/I432,0)</f>
        <v>0</v>
      </c>
      <c r="AB432" s="297">
        <f t="shared" si="220"/>
        <v>0</v>
      </c>
      <c r="AC432" s="1261" t="str">
        <f>$AC$5</f>
        <v>Gr. Ave Dia :</v>
      </c>
      <c r="AD432" s="1262">
        <f>IF(SUMIF(V432:V438,"&gt;0")&gt;0,SUMPRODUCT(AA432:AA438,I432:I438)/SUMIF(AA432:AA438,"&gt;0",I432:I438),0)</f>
        <v>0</v>
      </c>
      <c r="AE432" s="1262">
        <f>IFERROR(LOOKUP($A432,TP!$A$6:$A$108,GSh!$AU$6:$AU$108),0)</f>
        <v>0</v>
      </c>
      <c r="AF432" s="1263">
        <f>IF(AND(AE432&gt;0,AD432&gt;0),(AD432/AE432-1)*100,0)</f>
        <v>0</v>
      </c>
      <c r="AG432" s="1264" t="str">
        <f>PROD!$AG$5</f>
        <v>Gr X H</v>
      </c>
      <c r="AH432" s="1265">
        <f>IF(PROD!O432&gt;0,IF($AG432="Gr X H",PROD!AD432/PROD!O432*100,IF($AG432="Conv Kg/Doc",PROD!AD432/PROD!O432*1.2,IF(PROD!$O434&gt;0,PROD!AD432/(PROD!O432*PROD!$O434)*100,0))),0)</f>
        <v>0</v>
      </c>
      <c r="AI432" s="1265">
        <f>IF(PROD!P432&gt;0,IF($AG432="Gr X H",PROD!AE432/PROD!P432*100,IF($AG432="Conv Kg/Doc",PROD!AE432/PROD!P432*1.2,IF(PROD!$P434&gt;0,PROD!AE432/(PROD!P432*PROD!$P434)*100,0))),0)</f>
        <v>0</v>
      </c>
      <c r="AJ432" s="1266">
        <f t="shared" si="246"/>
        <v>0</v>
      </c>
      <c r="AK432" s="2026"/>
      <c r="AL432" s="1284">
        <f t="shared" si="222"/>
        <v>0</v>
      </c>
      <c r="AM432" s="1285"/>
      <c r="AN432" s="1285"/>
      <c r="AO432" s="1285"/>
      <c r="AP432" s="1285"/>
      <c r="AQ432" s="1285"/>
      <c r="AR432" s="1285"/>
      <c r="AS432" s="1286"/>
      <c r="AT432" s="1287"/>
      <c r="AU432" s="1288"/>
      <c r="AV432" s="1289"/>
      <c r="AW432" s="1290"/>
      <c r="AX432" s="1291"/>
      <c r="AY432" s="1291"/>
      <c r="AZ432" s="1292"/>
      <c r="BA432" s="1293"/>
      <c r="BB432" s="1294"/>
      <c r="BC432" s="1295"/>
      <c r="BD432" s="1296">
        <f>BD431+PROD!L432-BA432</f>
        <v>0</v>
      </c>
      <c r="BE432" s="2132">
        <f>IF(SUM(AM432:AZ438)&gt;0,(SUM(AM432:AM438)*$AM$2+SUM(AN432:AN438)*$AN$2+SUM(AO432:AO438)*$AO$2+SUM(AP432:AP438)*$AP$2+SUM(AQ432:AQ438)*$AQ$2+SUM(AR432:AR438)*$AR$2+SUM(AS432:AS438)*$AS$2+SUM(AW432:AW438)*$AW$2+SUM(AX432:AX438)*$AX$2+SUM(AY432:AY438)*$AY$2+SUM(AZ432:AZ438)*$AZ$2+SUM(AT432:AT438)*$AT$2+SUM(AU432:AU438)*$AU$2+SUM(AV432:AV438)*$AV$2)/SUM(AM432:AZ438),0)</f>
        <v>0</v>
      </c>
      <c r="BF432" s="507" t="e">
        <f t="shared" si="223"/>
        <v>#VALUE!</v>
      </c>
      <c r="BG432" s="277">
        <f>IF(SUM(L432:L438)&gt;0,A432,IF(SUM(V432:V438)&gt;0,A432,BG425))</f>
        <v>0</v>
      </c>
      <c r="BH432" s="1018">
        <f t="shared" si="224"/>
        <v>0</v>
      </c>
    </row>
    <row r="433" spans="1:60" ht="15" customHeight="1" x14ac:dyDescent="0.3">
      <c r="A433" s="2033"/>
      <c r="B433" s="287" t="str">
        <f t="shared" si="225"/>
        <v/>
      </c>
      <c r="C433" s="288" t="str">
        <f t="shared" si="219"/>
        <v/>
      </c>
      <c r="D433" s="691"/>
      <c r="E433" s="692"/>
      <c r="F433" s="693"/>
      <c r="G433" s="694"/>
      <c r="H433" s="695"/>
      <c r="I433" s="289">
        <f>I432-SUM($D433:F433)</f>
        <v>0</v>
      </c>
      <c r="J433" s="1234" t="str">
        <f>$J$6</f>
        <v>% Sel Sem :</v>
      </c>
      <c r="K433" s="1231">
        <f>IF(PROD!$K$2&gt;0,SUM(E432:E438)/PROD!$K$2,0)</f>
        <v>0</v>
      </c>
      <c r="L433" s="1246"/>
      <c r="M433" s="291">
        <f t="shared" si="247"/>
        <v>0</v>
      </c>
      <c r="N433" s="292" t="str">
        <f>$N$6</f>
        <v xml:space="preserve">H. Ave Alojada : </v>
      </c>
      <c r="O433" s="293">
        <f>IF(AND(PROD!$K$2&gt;0,O432&gt;0),SUM(L$5:L438)/PROD!$K$2,0)</f>
        <v>0</v>
      </c>
      <c r="P433" s="293">
        <f>IFERROR(LOOKUP($A432,TP!$A$6:$A$108,GSh!$AJ$6:$AJ$108),0)</f>
        <v>0</v>
      </c>
      <c r="Q433" s="294">
        <f>IF(AND(P433&gt;0,O433&gt;0),O433-P433,0)</f>
        <v>0</v>
      </c>
      <c r="R433" s="699"/>
      <c r="S433" s="762"/>
      <c r="T433" s="765">
        <f t="shared" si="230"/>
        <v>0</v>
      </c>
      <c r="U433" s="700"/>
      <c r="V433" s="701"/>
      <c r="W433" s="701"/>
      <c r="X433" s="295">
        <f t="shared" si="227"/>
        <v>0</v>
      </c>
      <c r="Y433" s="296">
        <f>IF(AA433&gt;0,V433,AE432/IF(Iniciar!$C$25="B X 40 K",40,IF(Iniciar!$C$25="B X 50 K",50,1))*I433/1000)</f>
        <v>0</v>
      </c>
      <c r="Z433" s="296">
        <f t="shared" si="228"/>
        <v>0</v>
      </c>
      <c r="AA433" s="297">
        <f t="shared" si="248"/>
        <v>0</v>
      </c>
      <c r="AB433" s="297">
        <f t="shared" si="220"/>
        <v>0</v>
      </c>
      <c r="AC433" s="1267" t="str">
        <f>$AC$6</f>
        <v>Gr. Ave Sem :</v>
      </c>
      <c r="AD433" s="284">
        <f>AD432*7</f>
        <v>0</v>
      </c>
      <c r="AE433" s="284">
        <f>AE432*7</f>
        <v>0</v>
      </c>
      <c r="AF433" s="285">
        <f>IF(AND(AE433&gt;0,AD433&gt;0),(AD433/AE433-1)*100,0)</f>
        <v>0</v>
      </c>
      <c r="AG433" s="1199" t="str">
        <f>PROD!$AG$6</f>
        <v>Gr X H Acm</v>
      </c>
      <c r="AH433" s="298">
        <f>IF(SUM(PROD!L432:L438)&gt;0,IF(PROD!$AG$5="Gr X H",SUM(PROD!V$5:V438)*PROD!$A$1/SUM(PROD!L$5:L438),IF($AG432="Conv Kg/Doc",(SUM(PROD!V$5:V438)*PROD!$A$1/1000)/(SUM(PROD!L$5:L438)/12),IF(PROD!$O434&gt;0,SUM(PROD!V$5:V438)*PROD!$A$1/(SUM(PROD!L$5:L438)*LOOKUP(PROD!A432,TP!$A$6:$A$108,GSh!$BB$6:$BB$108)),0))),0)</f>
        <v>0</v>
      </c>
      <c r="AI433" s="298">
        <f>IF(PROD!P432&gt;0,IF($AG432="Gr X H",PROD!AE432/PROD!P432*100,IF($AG432="Conv Kg/Doc",PROD!AE432/PROD!P432*1.2,IF(PROD!$P433&gt;0,PROD!AE434/(PROD!P433*LOOKUP(PROD!$A432,TP!$A$6:$A$108,GSh!$BC$6:$BC$108)/1000),0))),0)</f>
        <v>0</v>
      </c>
      <c r="AJ433" s="328">
        <f t="shared" si="246"/>
        <v>0</v>
      </c>
      <c r="AK433" s="2027"/>
      <c r="AL433" s="1284">
        <f t="shared" si="222"/>
        <v>0</v>
      </c>
      <c r="AM433" s="1285"/>
      <c r="AN433" s="1285"/>
      <c r="AO433" s="1285"/>
      <c r="AP433" s="1285"/>
      <c r="AQ433" s="1285"/>
      <c r="AR433" s="1285"/>
      <c r="AS433" s="1286"/>
      <c r="AT433" s="1287"/>
      <c r="AU433" s="1288"/>
      <c r="AV433" s="1289"/>
      <c r="AW433" s="1290"/>
      <c r="AX433" s="1291"/>
      <c r="AY433" s="1291"/>
      <c r="AZ433" s="1292"/>
      <c r="BA433" s="1293"/>
      <c r="BB433" s="1294"/>
      <c r="BC433" s="1295"/>
      <c r="BD433" s="1296">
        <f>BD432+PROD!L433-BA433</f>
        <v>0</v>
      </c>
      <c r="BE433" s="2133"/>
      <c r="BF433" s="507" t="e">
        <f t="shared" si="223"/>
        <v>#VALUE!</v>
      </c>
      <c r="BG433" s="329"/>
      <c r="BH433" s="1018">
        <f t="shared" si="224"/>
        <v>0</v>
      </c>
    </row>
    <row r="434" spans="1:60" ht="15" customHeight="1" x14ac:dyDescent="0.3">
      <c r="A434" s="2033"/>
      <c r="B434" s="287" t="str">
        <f t="shared" si="225"/>
        <v/>
      </c>
      <c r="C434" s="288" t="str">
        <f t="shared" si="219"/>
        <v/>
      </c>
      <c r="D434" s="691"/>
      <c r="E434" s="692"/>
      <c r="F434" s="693"/>
      <c r="G434" s="694"/>
      <c r="H434" s="695"/>
      <c r="I434" s="289">
        <f>I433-SUM($D434:F434)</f>
        <v>0</v>
      </c>
      <c r="J434" s="1235" t="str">
        <f>$J$7</f>
        <v>% Mort/Sel Sem Tab :</v>
      </c>
      <c r="K434" s="1236">
        <f>K437-K430</f>
        <v>0</v>
      </c>
      <c r="L434" s="1246"/>
      <c r="M434" s="291">
        <f t="shared" si="247"/>
        <v>0</v>
      </c>
      <c r="N434" s="304" t="str">
        <f>$N$7</f>
        <v xml:space="preserve">Peso Huevo (Gr) : </v>
      </c>
      <c r="O434" s="305">
        <f>LOOKUP($A432,'Pr-Sem'!$A$6:$A$108,'Pr-Sem'!$Z$6:$Z$108)</f>
        <v>0</v>
      </c>
      <c r="P434" s="305">
        <f>IFERROR(LOOKUP($A432,TP!$A$6:$A$108,GSh!$AZ$6:$AZ$108),0)</f>
        <v>0</v>
      </c>
      <c r="Q434" s="306">
        <f>IF(AND(P434&gt;0,O434&gt;0),O434-P434,0)</f>
        <v>0</v>
      </c>
      <c r="R434" s="699"/>
      <c r="S434" s="762"/>
      <c r="T434" s="765">
        <f t="shared" si="230"/>
        <v>0</v>
      </c>
      <c r="U434" s="700"/>
      <c r="V434" s="701"/>
      <c r="W434" s="701"/>
      <c r="X434" s="295">
        <f t="shared" si="227"/>
        <v>0</v>
      </c>
      <c r="Y434" s="296">
        <f>IF(AA434&gt;0,V434,AE432/IF(Iniciar!$C$25="B X 40 K",40,IF(Iniciar!$C$25="B X 50 K",50,1))*I434/1000)</f>
        <v>0</v>
      </c>
      <c r="Z434" s="296">
        <f t="shared" si="228"/>
        <v>0</v>
      </c>
      <c r="AA434" s="297">
        <f t="shared" si="248"/>
        <v>0</v>
      </c>
      <c r="AB434" s="297">
        <f t="shared" si="220"/>
        <v>0</v>
      </c>
      <c r="AC434" s="1268" t="str">
        <f>$AC$7</f>
        <v>Kg Ave Acu :</v>
      </c>
      <c r="AD434" s="308">
        <f>IF(OR(SUM(L432:L438)&gt;0,SUM(V432:V438)&gt;0),AD433/1000+AD427,0)</f>
        <v>0</v>
      </c>
      <c r="AE434" s="309">
        <f>AE433/1000+AE427</f>
        <v>0</v>
      </c>
      <c r="AF434" s="310">
        <f>IF(AND(AE434&gt;0,AD434&gt;0),(AD434/AE434-1)*100,0)</f>
        <v>0</v>
      </c>
      <c r="AG434" s="311" t="str">
        <f>PROD!$AG$7</f>
        <v xml:space="preserve">Masa Sem H (Gr) : </v>
      </c>
      <c r="AH434" s="312">
        <f>PROD!O432/100*7*PROD!O434</f>
        <v>0</v>
      </c>
      <c r="AI434" s="312">
        <f>PROD!P432/100*7*PROD!P434</f>
        <v>0</v>
      </c>
      <c r="AJ434" s="313">
        <f t="shared" si="246"/>
        <v>0</v>
      </c>
      <c r="AK434" s="2027"/>
      <c r="AL434" s="1284">
        <f t="shared" si="222"/>
        <v>0</v>
      </c>
      <c r="AM434" s="1285"/>
      <c r="AN434" s="1285"/>
      <c r="AO434" s="1285"/>
      <c r="AP434" s="1285"/>
      <c r="AQ434" s="1285"/>
      <c r="AR434" s="1285"/>
      <c r="AS434" s="1286"/>
      <c r="AT434" s="1287"/>
      <c r="AU434" s="1288"/>
      <c r="AV434" s="1289"/>
      <c r="AW434" s="1290"/>
      <c r="AX434" s="1291"/>
      <c r="AY434" s="1291"/>
      <c r="AZ434" s="1292"/>
      <c r="BA434" s="1293"/>
      <c r="BB434" s="1294"/>
      <c r="BC434" s="1295"/>
      <c r="BD434" s="1296">
        <f>BD433+PROD!L434-BA434</f>
        <v>0</v>
      </c>
      <c r="BE434" s="2133"/>
      <c r="BF434" s="507" t="e">
        <f t="shared" si="223"/>
        <v>#VALUE!</v>
      </c>
      <c r="BG434" s="329"/>
      <c r="BH434" s="1018">
        <f t="shared" si="224"/>
        <v>0</v>
      </c>
    </row>
    <row r="435" spans="1:60" ht="15" customHeight="1" x14ac:dyDescent="0.3">
      <c r="A435" s="2033"/>
      <c r="B435" s="287" t="str">
        <f t="shared" si="225"/>
        <v/>
      </c>
      <c r="C435" s="288" t="str">
        <f t="shared" si="219"/>
        <v/>
      </c>
      <c r="D435" s="691"/>
      <c r="E435" s="692"/>
      <c r="F435" s="693"/>
      <c r="G435" s="694"/>
      <c r="H435" s="695"/>
      <c r="I435" s="289">
        <f>I434-SUM($D435:F435)</f>
        <v>0</v>
      </c>
      <c r="J435" s="1234" t="str">
        <f>$J$8</f>
        <v>% Mort Acm :</v>
      </c>
      <c r="K435" s="1231">
        <f>IF(PROD!$K$2&gt;0,SUM(D$5:D438)/PROD!$K$2,0)</f>
        <v>0</v>
      </c>
      <c r="L435" s="1246"/>
      <c r="M435" s="291">
        <f t="shared" si="247"/>
        <v>0</v>
      </c>
      <c r="N435" s="314" t="str">
        <f>N$8</f>
        <v xml:space="preserve">Peso Ave (Gr) : </v>
      </c>
      <c r="O435" s="315">
        <f>LOOKUP($A432,GSh!$BV$6:$BV$108,GSh!$BJ$6:$BJ$108)</f>
        <v>0</v>
      </c>
      <c r="P435" s="315">
        <f>IFERROR(LOOKUP($A432,TP!$A$6:$A$108,GSh!$BK$6:$BK$108),0)</f>
        <v>0</v>
      </c>
      <c r="Q435" s="316">
        <f>IF(AND(P435&gt;0,O435&gt;0),(O435/P435-1)*100,0)</f>
        <v>0</v>
      </c>
      <c r="R435" s="699"/>
      <c r="S435" s="762"/>
      <c r="T435" s="765">
        <f t="shared" si="230"/>
        <v>0</v>
      </c>
      <c r="U435" s="700"/>
      <c r="V435" s="701"/>
      <c r="W435" s="701"/>
      <c r="X435" s="295">
        <f t="shared" si="227"/>
        <v>0</v>
      </c>
      <c r="Y435" s="296">
        <f>IF(AA435&gt;0,V435,AE432/IF(Iniciar!$C$25="B X 40 K",40,IF(Iniciar!$C$25="B X 50 K",50,1))*I435/1000)</f>
        <v>0</v>
      </c>
      <c r="Z435" s="296">
        <f t="shared" si="228"/>
        <v>0</v>
      </c>
      <c r="AA435" s="297">
        <f t="shared" si="248"/>
        <v>0</v>
      </c>
      <c r="AB435" s="297">
        <f t="shared" si="220"/>
        <v>0</v>
      </c>
      <c r="AC435" s="541" t="str">
        <f>$AC$8</f>
        <v xml:space="preserve">Ton. Lote Acu : </v>
      </c>
      <c r="AD435" s="544">
        <f>SUM($V$5:$V438)*$A$1/1000000</f>
        <v>0</v>
      </c>
      <c r="AE435" s="543">
        <f>AE428+(AE432/1000000*7*(I432+I438)/2)</f>
        <v>0</v>
      </c>
      <c r="AF435" s="542">
        <f>IF(AND(AE435&gt;0,AD435&gt;0),(AD435/AE435-1)*100,0)</f>
        <v>0</v>
      </c>
      <c r="AG435" s="317" t="str">
        <f>PROD!$AG$8</f>
        <v xml:space="preserve">Masa Ac A. A (Kg) : </v>
      </c>
      <c r="AH435" s="318">
        <f>IF(PROD!$K$2&gt;0,SUM(PROD!L$5:L438)*LOOKUP(PROD!$A432,TP!$A$6:$A$108,GSh!$BB$6:$BB$108)/1000/PROD!$K$2,0)</f>
        <v>0</v>
      </c>
      <c r="AI435" s="318">
        <f>IFERROR(PROD!P433*LOOKUP(PROD!$A432,TP!$A$6:$A$108,GSh!$BC$6:$BC$108)/1000,0)</f>
        <v>0</v>
      </c>
      <c r="AJ435" s="330">
        <f t="shared" si="246"/>
        <v>0</v>
      </c>
      <c r="AK435" s="2027"/>
      <c r="AL435" s="1284">
        <f t="shared" si="222"/>
        <v>0</v>
      </c>
      <c r="AM435" s="1285"/>
      <c r="AN435" s="1285"/>
      <c r="AO435" s="1285"/>
      <c r="AP435" s="1285"/>
      <c r="AQ435" s="1285"/>
      <c r="AR435" s="1285"/>
      <c r="AS435" s="1286"/>
      <c r="AT435" s="1287"/>
      <c r="AU435" s="1288"/>
      <c r="AV435" s="1289"/>
      <c r="AW435" s="1290"/>
      <c r="AX435" s="1291"/>
      <c r="AY435" s="1291"/>
      <c r="AZ435" s="1292"/>
      <c r="BA435" s="1293"/>
      <c r="BB435" s="1294"/>
      <c r="BC435" s="1295"/>
      <c r="BD435" s="1296">
        <f>BD434+PROD!L435-BA435</f>
        <v>0</v>
      </c>
      <c r="BE435" s="2133"/>
      <c r="BF435" s="507" t="e">
        <f t="shared" si="223"/>
        <v>#VALUE!</v>
      </c>
      <c r="BG435" s="329"/>
      <c r="BH435" s="1018">
        <f t="shared" si="224"/>
        <v>0</v>
      </c>
    </row>
    <row r="436" spans="1:60" ht="15" customHeight="1" x14ac:dyDescent="0.3">
      <c r="A436" s="2033"/>
      <c r="B436" s="287" t="str">
        <f t="shared" si="225"/>
        <v/>
      </c>
      <c r="C436" s="288" t="str">
        <f t="shared" si="219"/>
        <v/>
      </c>
      <c r="D436" s="691"/>
      <c r="E436" s="692"/>
      <c r="F436" s="693"/>
      <c r="G436" s="694"/>
      <c r="H436" s="695"/>
      <c r="I436" s="289">
        <f>I435-SUM($D436:F436)</f>
        <v>0</v>
      </c>
      <c r="J436" s="1234" t="str">
        <f>$J$9</f>
        <v>% Sel Acm :</v>
      </c>
      <c r="K436" s="1231">
        <f>IF(PROD!$K$2&gt;0,SUM(E$5:E438)/PROD!$K$2,0)</f>
        <v>0</v>
      </c>
      <c r="L436" s="1246"/>
      <c r="M436" s="291">
        <f t="shared" si="247"/>
        <v>0</v>
      </c>
      <c r="N436" s="292" t="str">
        <f>$N$9</f>
        <v xml:space="preserve">Uniformidad (10% -) : </v>
      </c>
      <c r="O436" s="320">
        <f>LOOKUP($A432,'Pr-Sem'!$A$6:$A$108,'Pr-Sem'!$AH$6:$AH$108)</f>
        <v>0</v>
      </c>
      <c r="P436" s="320">
        <v>5</v>
      </c>
      <c r="Q436" s="321">
        <f>IF(AND(P436&gt;0,O436&gt;0),(1-O436/P436)*100,0)</f>
        <v>0</v>
      </c>
      <c r="R436" s="699"/>
      <c r="S436" s="762"/>
      <c r="T436" s="765">
        <f t="shared" si="230"/>
        <v>0</v>
      </c>
      <c r="U436" s="700"/>
      <c r="V436" s="701"/>
      <c r="W436" s="701"/>
      <c r="X436" s="295">
        <f t="shared" si="227"/>
        <v>0</v>
      </c>
      <c r="Y436" s="296">
        <f>IF(AA436&gt;0,V436,AE432/IF(Iniciar!$C$25="B X 40 K",40,IF(Iniciar!$C$25="B X 50 K",50,1))*I436/1000)</f>
        <v>0</v>
      </c>
      <c r="Z436" s="296">
        <f t="shared" si="228"/>
        <v>0</v>
      </c>
      <c r="AA436" s="297">
        <f t="shared" si="248"/>
        <v>0</v>
      </c>
      <c r="AB436" s="297">
        <f t="shared" si="220"/>
        <v>0</v>
      </c>
      <c r="AC436" s="2035" t="str">
        <f>$AC$9</f>
        <v xml:space="preserve">Total Litros Sem: </v>
      </c>
      <c r="AD436" s="2036"/>
      <c r="AE436" s="2050">
        <f>SUM(R432:R438)</f>
        <v>0</v>
      </c>
      <c r="AF436" s="2051"/>
      <c r="AG436" s="554" t="str">
        <f>$AG$9</f>
        <v xml:space="preserve">Indicador Eficiencia : </v>
      </c>
      <c r="AH436" s="555">
        <f>IF(AND(AE436&gt;0,O433&gt;0,O434&gt;0,SUM(L432:L438)&gt;0),(PROD!AH435/O433)*K438*100/(AE436/(SUM(L432:L438)*O434/1000)),0)</f>
        <v>0</v>
      </c>
      <c r="AI436" s="555">
        <f>IF(AND(P433&gt;0,PROD!AI434&gt;0),(PROD!AI435/P433)*(1-K437)*100/(AE433/PROD!AI434),0)</f>
        <v>0</v>
      </c>
      <c r="AJ436" s="331">
        <f t="shared" si="246"/>
        <v>0</v>
      </c>
      <c r="AK436" s="2027"/>
      <c r="AL436" s="1284">
        <f t="shared" si="222"/>
        <v>0</v>
      </c>
      <c r="AM436" s="1285"/>
      <c r="AN436" s="1285"/>
      <c r="AO436" s="1285"/>
      <c r="AP436" s="1285"/>
      <c r="AQ436" s="1285"/>
      <c r="AR436" s="1285"/>
      <c r="AS436" s="1286"/>
      <c r="AT436" s="1287"/>
      <c r="AU436" s="1288"/>
      <c r="AV436" s="1289"/>
      <c r="AW436" s="1290"/>
      <c r="AX436" s="1291"/>
      <c r="AY436" s="1291"/>
      <c r="AZ436" s="1292"/>
      <c r="BA436" s="1293"/>
      <c r="BB436" s="1294"/>
      <c r="BC436" s="1295"/>
      <c r="BD436" s="1296">
        <f>BD435+PROD!L436-BA436</f>
        <v>0</v>
      </c>
      <c r="BE436" s="2133"/>
      <c r="BF436" s="507" t="e">
        <f t="shared" si="223"/>
        <v>#VALUE!</v>
      </c>
      <c r="BG436" s="329"/>
      <c r="BH436" s="1018">
        <f t="shared" si="224"/>
        <v>0</v>
      </c>
    </row>
    <row r="437" spans="1:60" ht="15" customHeight="1" x14ac:dyDescent="0.3">
      <c r="A437" s="2033"/>
      <c r="B437" s="287" t="str">
        <f t="shared" si="225"/>
        <v/>
      </c>
      <c r="C437" s="288" t="str">
        <f t="shared" si="219"/>
        <v/>
      </c>
      <c r="D437" s="691"/>
      <c r="E437" s="692"/>
      <c r="F437" s="693"/>
      <c r="G437" s="694"/>
      <c r="H437" s="695"/>
      <c r="I437" s="289">
        <f>I436-SUM($D437:F437)</f>
        <v>0</v>
      </c>
      <c r="J437" s="1237" t="str">
        <f>$J$10</f>
        <v>% Mort/Sel Acm Tab :</v>
      </c>
      <c r="K437" s="1238">
        <f>IFERROR(LOOKUP($A432,TP!$A$6:$A$108,GSh!$AR$6:$AR$108)/100,0)</f>
        <v>0</v>
      </c>
      <c r="L437" s="1246"/>
      <c r="M437" s="291">
        <f t="shared" si="247"/>
        <v>0</v>
      </c>
      <c r="N437" s="292" t="str">
        <f>$N$10</f>
        <v xml:space="preserve">Uniformidad (C. Lote) : </v>
      </c>
      <c r="O437" s="320">
        <f>LOOKUP($A432,'Pr-Sem'!$A$6:$A$108,'Pr-Sem'!$AG$6:$AG$108)</f>
        <v>0</v>
      </c>
      <c r="P437" s="320">
        <v>90</v>
      </c>
      <c r="Q437" s="321">
        <f>IF(AND(P437&gt;0,O437&gt;0),(O437/P437-1)*100,0)</f>
        <v>0</v>
      </c>
      <c r="R437" s="699"/>
      <c r="S437" s="762"/>
      <c r="T437" s="765">
        <f t="shared" si="230"/>
        <v>0</v>
      </c>
      <c r="U437" s="700"/>
      <c r="V437" s="701"/>
      <c r="W437" s="701"/>
      <c r="X437" s="295">
        <f t="shared" si="227"/>
        <v>0</v>
      </c>
      <c r="Y437" s="296">
        <f>IF(AA437&gt;0,V437,AE432/IF(Iniciar!$C$25="B X 40 K",40,IF(Iniciar!$C$25="B X 50 K",50,1))*I437/1000)</f>
        <v>0</v>
      </c>
      <c r="Z437" s="296">
        <f t="shared" si="228"/>
        <v>0</v>
      </c>
      <c r="AA437" s="297">
        <f t="shared" si="248"/>
        <v>0</v>
      </c>
      <c r="AB437" s="297">
        <f t="shared" si="220"/>
        <v>0</v>
      </c>
      <c r="AC437" s="2037" t="str">
        <f>$AC$10</f>
        <v xml:space="preserve">Cons ml /ave día: </v>
      </c>
      <c r="AD437" s="2038"/>
      <c r="AE437" s="2056">
        <f>IFERROR(SUMPRODUCT(AB432:AB438,I432:I438)/SUM(I432:I438),0)</f>
        <v>0</v>
      </c>
      <c r="AF437" s="2057"/>
      <c r="AG437" s="311" t="str">
        <f>CONCATENATE("Costo ",Iniciar!$C$25," : ")</f>
        <v xml:space="preserve">Costo Kilos : </v>
      </c>
      <c r="AH437" s="2043">
        <f>IFERROR(SUMPRODUCT(T432:T438,V432:V438)/SUMIF(T432:T438,"&gt;0",V432:V438),0)</f>
        <v>0</v>
      </c>
      <c r="AI437" s="2043"/>
      <c r="AJ437" s="313"/>
      <c r="AK437" s="2027"/>
      <c r="AL437" s="1284">
        <f t="shared" si="222"/>
        <v>0</v>
      </c>
      <c r="AM437" s="1285"/>
      <c r="AN437" s="1285"/>
      <c r="AO437" s="1285"/>
      <c r="AP437" s="1285"/>
      <c r="AQ437" s="1285"/>
      <c r="AR437" s="1285"/>
      <c r="AS437" s="1286"/>
      <c r="AT437" s="1287"/>
      <c r="AU437" s="1288"/>
      <c r="AV437" s="1289"/>
      <c r="AW437" s="1290"/>
      <c r="AX437" s="1291"/>
      <c r="AY437" s="1291"/>
      <c r="AZ437" s="1292"/>
      <c r="BA437" s="1293"/>
      <c r="BB437" s="1294"/>
      <c r="BC437" s="1295"/>
      <c r="BD437" s="1296">
        <f>BD436+PROD!L437-BA437</f>
        <v>0</v>
      </c>
      <c r="BE437" s="2133"/>
      <c r="BF437" s="507" t="e">
        <f t="shared" si="223"/>
        <v>#VALUE!</v>
      </c>
      <c r="BG437" s="329"/>
      <c r="BH437" s="1018">
        <f t="shared" si="224"/>
        <v>0</v>
      </c>
    </row>
    <row r="438" spans="1:60" ht="15" customHeight="1" x14ac:dyDescent="0.3">
      <c r="A438" s="2034"/>
      <c r="B438" s="287" t="str">
        <f t="shared" si="225"/>
        <v/>
      </c>
      <c r="C438" s="288" t="str">
        <f t="shared" si="219"/>
        <v/>
      </c>
      <c r="D438" s="691"/>
      <c r="E438" s="692"/>
      <c r="F438" s="693"/>
      <c r="G438" s="694"/>
      <c r="H438" s="695"/>
      <c r="I438" s="289">
        <f>I437-SUM($D438:F438)</f>
        <v>0</v>
      </c>
      <c r="J438" s="1239" t="str">
        <f>$J$11</f>
        <v>% Viabilidad :</v>
      </c>
      <c r="K438" s="1240">
        <f>IF(OR(SUM(L432:L438)&gt;0,SUM(V432:V438)&gt;0),1-(K435+K436),0)</f>
        <v>0</v>
      </c>
      <c r="L438" s="1247"/>
      <c r="M438" s="1248">
        <f>IF(I438&gt;0,(L438/IF(SUM(L432:L437)&gt;0,1,7))/I438,0)</f>
        <v>0</v>
      </c>
      <c r="N438" s="1249" t="str">
        <f>$N$11</f>
        <v xml:space="preserve">Uniformidad (10% +) : </v>
      </c>
      <c r="O438" s="1250">
        <f>IF(O436&gt;0,IF(O437&gt;0,100-SUM(O436:O437),0),0)</f>
        <v>0</v>
      </c>
      <c r="P438" s="1251">
        <f>100-SUM(P436:P437)</f>
        <v>5</v>
      </c>
      <c r="Q438" s="1252">
        <f>IF(AND(P438&gt;0,O438&gt;0),(O438/P438-1)*100,0)</f>
        <v>0</v>
      </c>
      <c r="R438" s="699"/>
      <c r="S438" s="762"/>
      <c r="T438" s="765">
        <f t="shared" si="230"/>
        <v>0</v>
      </c>
      <c r="U438" s="700"/>
      <c r="V438" s="701"/>
      <c r="W438" s="701"/>
      <c r="X438" s="295">
        <f t="shared" si="227"/>
        <v>0</v>
      </c>
      <c r="Y438" s="296">
        <f>IF(AA438&gt;0,V438,AE432/IF(Iniciar!$C$25="B X 40 K",40,IF(Iniciar!$C$25="B X 50 K",50,1))*I438/1000)</f>
        <v>0</v>
      </c>
      <c r="Z438" s="296">
        <f t="shared" si="228"/>
        <v>0</v>
      </c>
      <c r="AA438" s="297">
        <f>IF(I438&gt;0,(V438/IF(SUM(V432:V437)&gt;0,1,7))*$A$1/I438,0)</f>
        <v>0</v>
      </c>
      <c r="AB438" s="297">
        <f t="shared" si="220"/>
        <v>0</v>
      </c>
      <c r="AC438" s="2039" t="str">
        <f>$AC$11</f>
        <v xml:space="preserve">Relación Agua /Alimto: </v>
      </c>
      <c r="AD438" s="2040"/>
      <c r="AE438" s="2058">
        <f>IFERROR(AE437/AD432,0)</f>
        <v>0</v>
      </c>
      <c r="AF438" s="2059"/>
      <c r="AG438" s="1269" t="s">
        <v>237</v>
      </c>
      <c r="AH438" s="1270">
        <f>IF(SUM(L432:L438)&gt;0,AH437*SUM(V432:V438)/SUM(L432:L438),0)</f>
        <v>0</v>
      </c>
      <c r="AI438" s="1270">
        <f>IF(AND($A$1&gt;0,P432&gt;0),AH437/$A$1*(AE432/P432)*100,0)</f>
        <v>0</v>
      </c>
      <c r="AJ438" s="1271">
        <f t="shared" ref="AJ438:AJ443" si="249">IF(AND(AI438&gt;0,AH438&gt;0),(AH438/AI438-1)*100,0)</f>
        <v>0</v>
      </c>
      <c r="AK438" s="2028"/>
      <c r="AL438" s="1284">
        <f t="shared" si="222"/>
        <v>0</v>
      </c>
      <c r="AM438" s="1285"/>
      <c r="AN438" s="1285"/>
      <c r="AO438" s="1285"/>
      <c r="AP438" s="1285"/>
      <c r="AQ438" s="1285"/>
      <c r="AR438" s="1285"/>
      <c r="AS438" s="1286"/>
      <c r="AT438" s="1287"/>
      <c r="AU438" s="1288"/>
      <c r="AV438" s="1289"/>
      <c r="AW438" s="1290"/>
      <c r="AX438" s="1291"/>
      <c r="AY438" s="1291"/>
      <c r="AZ438" s="1292"/>
      <c r="BA438" s="1293"/>
      <c r="BB438" s="1294"/>
      <c r="BC438" s="1295"/>
      <c r="BD438" s="1296">
        <f>BD437+PROD!L438-BA438</f>
        <v>0</v>
      </c>
      <c r="BE438" s="2134"/>
      <c r="BF438" s="507" t="e">
        <f t="shared" si="223"/>
        <v>#VALUE!</v>
      </c>
      <c r="BG438" s="329"/>
      <c r="BH438" s="1018">
        <f t="shared" si="224"/>
        <v>0</v>
      </c>
    </row>
    <row r="439" spans="1:60" ht="15" customHeight="1" x14ac:dyDescent="0.3">
      <c r="A439" s="2032">
        <f>A432+1</f>
        <v>80</v>
      </c>
      <c r="B439" s="287" t="str">
        <f t="shared" si="225"/>
        <v/>
      </c>
      <c r="C439" s="288" t="str">
        <f t="shared" si="219"/>
        <v/>
      </c>
      <c r="D439" s="691"/>
      <c r="E439" s="692"/>
      <c r="F439" s="693"/>
      <c r="G439" s="694"/>
      <c r="H439" s="695"/>
      <c r="I439" s="289">
        <f>I438-SUM($D439:F439)</f>
        <v>0</v>
      </c>
      <c r="J439" s="1232" t="str">
        <f>$J$5</f>
        <v>% Mort Sem :</v>
      </c>
      <c r="K439" s="1233">
        <f>IF(PROD!$K$2&gt;0,SUM(D439:D445)/PROD!$K$2,0)</f>
        <v>0</v>
      </c>
      <c r="L439" s="1241"/>
      <c r="M439" s="1242">
        <f t="shared" ref="M439:M444" si="250">IF(I439&gt;0,L439/I439,0)</f>
        <v>0</v>
      </c>
      <c r="N439" s="1243" t="str">
        <f>$N$5</f>
        <v xml:space="preserve">% Pdn prom semana : </v>
      </c>
      <c r="O439" s="1244">
        <f>IF(SUM(L439:L444)&gt;0,100*SUMPRODUCT(M439:M445,I439:I445)/SUMIF(L439:L445,"&gt;0",I439:I445),IF(L445&gt;0,100*L445/7/I445,0))</f>
        <v>0</v>
      </c>
      <c r="P439" s="1244">
        <f>IFERROR(LOOKUP($A439,TP!$A$6:$A$108,GSh!$AE$6:$AE$108),0)</f>
        <v>0</v>
      </c>
      <c r="Q439" s="1245">
        <f>IF(AND(P439&gt;0,O439&gt;0),O439-P439,0)</f>
        <v>0</v>
      </c>
      <c r="R439" s="699"/>
      <c r="S439" s="762"/>
      <c r="T439" s="765">
        <f t="shared" si="230"/>
        <v>0</v>
      </c>
      <c r="U439" s="700"/>
      <c r="V439" s="701"/>
      <c r="W439" s="701"/>
      <c r="X439" s="295">
        <f t="shared" si="227"/>
        <v>0</v>
      </c>
      <c r="Y439" s="296">
        <f>IF(AA439&gt;0,V439,AE439/IF(Iniciar!$C$25="B X 40 K",40,IF(Iniciar!$C$25="B X 50 K",50,1))*I439/1000)</f>
        <v>0</v>
      </c>
      <c r="Z439" s="296">
        <f t="shared" si="228"/>
        <v>0</v>
      </c>
      <c r="AA439" s="297">
        <f t="shared" ref="AA439:AA444" si="251">IF(I439&gt;0,V439*$A$1/I439,0)</f>
        <v>0</v>
      </c>
      <c r="AB439" s="297">
        <f t="shared" si="220"/>
        <v>0</v>
      </c>
      <c r="AC439" s="1261" t="str">
        <f>$AC$5</f>
        <v>Gr. Ave Dia :</v>
      </c>
      <c r="AD439" s="1262">
        <f>IF(SUMIF(V439:V445,"&gt;0")&gt;0,SUMPRODUCT(AA439:AA445,I439:I445)/SUMIF(AA439:AA445,"&gt;0",I439:I445),0)</f>
        <v>0</v>
      </c>
      <c r="AE439" s="1262">
        <f>IFERROR(LOOKUP($A439,TP!$A$6:$A$108,GSh!$AU$6:$AU$108),0)</f>
        <v>0</v>
      </c>
      <c r="AF439" s="1263">
        <f>IF(AND(AE439&gt;0,AD439&gt;0),(AD439/AE439-1)*100,0)</f>
        <v>0</v>
      </c>
      <c r="AG439" s="1264" t="str">
        <f>PROD!$AG$5</f>
        <v>Gr X H</v>
      </c>
      <c r="AH439" s="1265">
        <f>IF(PROD!O439&gt;0,IF($AG439="Gr X H",PROD!AD439/PROD!O439*100,IF($AG439="Conv Kg/Doc",PROD!AD439/PROD!O439*1.2,IF(PROD!$O441&gt;0,PROD!AD439/(PROD!O439*PROD!$O441)*100,0))),0)</f>
        <v>0</v>
      </c>
      <c r="AI439" s="1265">
        <f>IF(PROD!P439&gt;0,IF($AG439="Gr X H",PROD!AE439/PROD!P439*100,IF($AG439="Conv Kg/Doc",PROD!AE439/PROD!P439*1.2,IF(PROD!$P441&gt;0,PROD!AE439/(PROD!P439*PROD!$P441)*100,0))),0)</f>
        <v>0</v>
      </c>
      <c r="AJ439" s="1266">
        <f t="shared" si="249"/>
        <v>0</v>
      </c>
      <c r="AK439" s="2026"/>
      <c r="AL439" s="1284">
        <f t="shared" si="222"/>
        <v>0</v>
      </c>
      <c r="AM439" s="1285"/>
      <c r="AN439" s="1285"/>
      <c r="AO439" s="1285"/>
      <c r="AP439" s="1285"/>
      <c r="AQ439" s="1285"/>
      <c r="AR439" s="1285"/>
      <c r="AS439" s="1286"/>
      <c r="AT439" s="1287"/>
      <c r="AU439" s="1288"/>
      <c r="AV439" s="1289"/>
      <c r="AW439" s="1290"/>
      <c r="AX439" s="1291"/>
      <c r="AY439" s="1291"/>
      <c r="AZ439" s="1292"/>
      <c r="BA439" s="1293"/>
      <c r="BB439" s="1294"/>
      <c r="BC439" s="1295"/>
      <c r="BD439" s="1296">
        <f>BD438+PROD!L439-BA439</f>
        <v>0</v>
      </c>
      <c r="BE439" s="2132">
        <f>IF(SUM(AM439:AZ445)&gt;0,(SUM(AM439:AM445)*$AM$2+SUM(AN439:AN445)*$AN$2+SUM(AO439:AO445)*$AO$2+SUM(AP439:AP445)*$AP$2+SUM(AQ439:AQ445)*$AQ$2+SUM(AR439:AR445)*$AR$2+SUM(AS439:AS445)*$AS$2+SUM(AW439:AW445)*$AW$2+SUM(AX439:AX445)*$AX$2+SUM(AY439:AY445)*$AY$2+SUM(AZ439:AZ445)*$AZ$2+SUM(AT439:AT445)*$AT$2+SUM(AU439:AU445)*$AU$2+SUM(AV439:AV445)*$AV$2)/SUM(AM439:AZ445),0)</f>
        <v>0</v>
      </c>
      <c r="BF439" s="507" t="e">
        <f t="shared" si="223"/>
        <v>#VALUE!</v>
      </c>
      <c r="BG439" s="277">
        <f>IF(SUM(L439:L445)&gt;0,A439,IF(SUM(V439:V445)&gt;0,A439,BG432))</f>
        <v>0</v>
      </c>
      <c r="BH439" s="1018">
        <f t="shared" si="224"/>
        <v>0</v>
      </c>
    </row>
    <row r="440" spans="1:60" ht="15" customHeight="1" x14ac:dyDescent="0.3">
      <c r="A440" s="2033"/>
      <c r="B440" s="287" t="str">
        <f t="shared" si="225"/>
        <v/>
      </c>
      <c r="C440" s="288" t="str">
        <f t="shared" si="219"/>
        <v/>
      </c>
      <c r="D440" s="691"/>
      <c r="E440" s="692"/>
      <c r="F440" s="693"/>
      <c r="G440" s="694"/>
      <c r="H440" s="695"/>
      <c r="I440" s="289">
        <f>I439-SUM($D440:F440)</f>
        <v>0</v>
      </c>
      <c r="J440" s="1234" t="str">
        <f>$J$6</f>
        <v>% Sel Sem :</v>
      </c>
      <c r="K440" s="1231">
        <f>IF(PROD!$K$2&gt;0,SUM(E439:E445)/PROD!$K$2,0)</f>
        <v>0</v>
      </c>
      <c r="L440" s="1246"/>
      <c r="M440" s="291">
        <f t="shared" si="250"/>
        <v>0</v>
      </c>
      <c r="N440" s="292" t="str">
        <f>$N$6</f>
        <v xml:space="preserve">H. Ave Alojada : </v>
      </c>
      <c r="O440" s="293">
        <f>IF(AND(PROD!$K$2&gt;0,O439&gt;0),SUM(L$5:L445)/PROD!$K$2,0)</f>
        <v>0</v>
      </c>
      <c r="P440" s="293">
        <f>IFERROR(LOOKUP($A439,TP!$A$6:$A$108,GSh!$AJ$6:$AJ$108),0)</f>
        <v>0</v>
      </c>
      <c r="Q440" s="294">
        <f>IF(AND(P440&gt;0,O440&gt;0),O440-P440,0)</f>
        <v>0</v>
      </c>
      <c r="R440" s="699"/>
      <c r="S440" s="762"/>
      <c r="T440" s="765">
        <f t="shared" si="230"/>
        <v>0</v>
      </c>
      <c r="U440" s="700"/>
      <c r="V440" s="701"/>
      <c r="W440" s="701"/>
      <c r="X440" s="295">
        <f t="shared" si="227"/>
        <v>0</v>
      </c>
      <c r="Y440" s="296">
        <f>IF(AA440&gt;0,V440,AE439/IF(Iniciar!$C$25="B X 40 K",40,IF(Iniciar!$C$25="B X 50 K",50,1))*I440/1000)</f>
        <v>0</v>
      </c>
      <c r="Z440" s="296">
        <f t="shared" si="228"/>
        <v>0</v>
      </c>
      <c r="AA440" s="297">
        <f t="shared" si="251"/>
        <v>0</v>
      </c>
      <c r="AB440" s="297">
        <f t="shared" si="220"/>
        <v>0</v>
      </c>
      <c r="AC440" s="1267" t="str">
        <f>$AC$6</f>
        <v>Gr. Ave Sem :</v>
      </c>
      <c r="AD440" s="284">
        <f>AD439*7</f>
        <v>0</v>
      </c>
      <c r="AE440" s="284">
        <f>AE439*7</f>
        <v>0</v>
      </c>
      <c r="AF440" s="285">
        <f>IF(AND(AE440&gt;0,AD440&gt;0),(AD440/AE440-1)*100,0)</f>
        <v>0</v>
      </c>
      <c r="AG440" s="1199" t="str">
        <f>PROD!$AG$6</f>
        <v>Gr X H Acm</v>
      </c>
      <c r="AH440" s="298">
        <f>IF(SUM(PROD!L439:L445)&gt;0,IF(PROD!$AG$5="Gr X H",SUM(PROD!V$5:V445)*PROD!$A$1/SUM(PROD!L$5:L445),IF($AG439="Conv Kg/Doc",(SUM(PROD!V$5:V445)*PROD!$A$1/1000)/(SUM(PROD!L$5:L445)/12),IF(PROD!$O441&gt;0,SUM(PROD!V$5:V445)*PROD!$A$1/(SUM(PROD!L$5:L445)*LOOKUP(PROD!A439,TP!$A$6:$A$108,GSh!$BB$6:$BB$108)),0))),0)</f>
        <v>0</v>
      </c>
      <c r="AI440" s="298">
        <f>IF(PROD!P439&gt;0,IF($AG439="Gr X H",PROD!AE439/PROD!P439*100,IF($AG439="Conv Kg/Doc",PROD!AE439/PROD!P439*1.2,IF(PROD!$P440&gt;0,PROD!AE441/(PROD!P440*LOOKUP(PROD!$A439,TP!$A$6:$A$108,GSh!$BC$6:$BC$108)/1000),0))),0)</f>
        <v>0</v>
      </c>
      <c r="AJ440" s="328">
        <f t="shared" si="249"/>
        <v>0</v>
      </c>
      <c r="AK440" s="2027"/>
      <c r="AL440" s="1284">
        <f t="shared" si="222"/>
        <v>0</v>
      </c>
      <c r="AM440" s="1285"/>
      <c r="AN440" s="1285"/>
      <c r="AO440" s="1285"/>
      <c r="AP440" s="1285"/>
      <c r="AQ440" s="1285"/>
      <c r="AR440" s="1285"/>
      <c r="AS440" s="1286"/>
      <c r="AT440" s="1287"/>
      <c r="AU440" s="1288"/>
      <c r="AV440" s="1289"/>
      <c r="AW440" s="1290"/>
      <c r="AX440" s="1291"/>
      <c r="AY440" s="1291"/>
      <c r="AZ440" s="1292"/>
      <c r="BA440" s="1293"/>
      <c r="BB440" s="1294"/>
      <c r="BC440" s="1295"/>
      <c r="BD440" s="1296">
        <f>BD439+PROD!L440-BA440</f>
        <v>0</v>
      </c>
      <c r="BE440" s="2133"/>
      <c r="BF440" s="507" t="e">
        <f t="shared" si="223"/>
        <v>#VALUE!</v>
      </c>
      <c r="BG440" s="329"/>
      <c r="BH440" s="1018">
        <f t="shared" si="224"/>
        <v>0</v>
      </c>
    </row>
    <row r="441" spans="1:60" ht="15" customHeight="1" x14ac:dyDescent="0.3">
      <c r="A441" s="2033"/>
      <c r="B441" s="287" t="str">
        <f t="shared" si="225"/>
        <v/>
      </c>
      <c r="C441" s="288" t="str">
        <f t="shared" si="219"/>
        <v/>
      </c>
      <c r="D441" s="691"/>
      <c r="E441" s="692"/>
      <c r="F441" s="693"/>
      <c r="G441" s="694"/>
      <c r="H441" s="695"/>
      <c r="I441" s="289">
        <f>I440-SUM($D441:F441)</f>
        <v>0</v>
      </c>
      <c r="J441" s="1235" t="str">
        <f>$J$7</f>
        <v>% Mort/Sel Sem Tab :</v>
      </c>
      <c r="K441" s="1236">
        <f>K444-K437</f>
        <v>0</v>
      </c>
      <c r="L441" s="1246"/>
      <c r="M441" s="291">
        <f t="shared" si="250"/>
        <v>0</v>
      </c>
      <c r="N441" s="304" t="str">
        <f>$N$7</f>
        <v xml:space="preserve">Peso Huevo (Gr) : </v>
      </c>
      <c r="O441" s="305">
        <f>LOOKUP($A439,'Pr-Sem'!$A$6:$A$108,'Pr-Sem'!$Z$6:$Z$108)</f>
        <v>0</v>
      </c>
      <c r="P441" s="305">
        <f>IFERROR(LOOKUP($A439,TP!$A$6:$A$108,GSh!$AZ$6:$AZ$108),0)</f>
        <v>0</v>
      </c>
      <c r="Q441" s="306">
        <f>IF(AND(P441&gt;0,O441&gt;0),O441-P441,0)</f>
        <v>0</v>
      </c>
      <c r="R441" s="699"/>
      <c r="S441" s="762"/>
      <c r="T441" s="765">
        <f t="shared" si="230"/>
        <v>0</v>
      </c>
      <c r="U441" s="700"/>
      <c r="V441" s="701"/>
      <c r="W441" s="701"/>
      <c r="X441" s="295">
        <f t="shared" si="227"/>
        <v>0</v>
      </c>
      <c r="Y441" s="296">
        <f>IF(AA441&gt;0,V441,AE439/IF(Iniciar!$C$25="B X 40 K",40,IF(Iniciar!$C$25="B X 50 K",50,1))*I441/1000)</f>
        <v>0</v>
      </c>
      <c r="Z441" s="296">
        <f t="shared" si="228"/>
        <v>0</v>
      </c>
      <c r="AA441" s="297">
        <f t="shared" si="251"/>
        <v>0</v>
      </c>
      <c r="AB441" s="297">
        <f t="shared" si="220"/>
        <v>0</v>
      </c>
      <c r="AC441" s="1268" t="str">
        <f>$AC$7</f>
        <v>Kg Ave Acu :</v>
      </c>
      <c r="AD441" s="308">
        <f>IF(OR(SUM(L439:L445)&gt;0,SUM(V439:V445)&gt;0),AD440/1000+AD434,0)</f>
        <v>0</v>
      </c>
      <c r="AE441" s="309">
        <f>AE440/1000+AE434</f>
        <v>0</v>
      </c>
      <c r="AF441" s="310">
        <f>IF(AND(AE441&gt;0,AD441&gt;0),(AD441/AE441-1)*100,0)</f>
        <v>0</v>
      </c>
      <c r="AG441" s="311" t="str">
        <f>PROD!$AG$7</f>
        <v xml:space="preserve">Masa Sem H (Gr) : </v>
      </c>
      <c r="AH441" s="312">
        <f>PROD!O439/100*7*PROD!O441</f>
        <v>0</v>
      </c>
      <c r="AI441" s="312">
        <f>PROD!P439/100*7*PROD!P441</f>
        <v>0</v>
      </c>
      <c r="AJ441" s="313">
        <f t="shared" si="249"/>
        <v>0</v>
      </c>
      <c r="AK441" s="2027"/>
      <c r="AL441" s="1284">
        <f t="shared" si="222"/>
        <v>0</v>
      </c>
      <c r="AM441" s="1285"/>
      <c r="AN441" s="1285"/>
      <c r="AO441" s="1285"/>
      <c r="AP441" s="1285"/>
      <c r="AQ441" s="1285"/>
      <c r="AR441" s="1285"/>
      <c r="AS441" s="1286"/>
      <c r="AT441" s="1287"/>
      <c r="AU441" s="1288"/>
      <c r="AV441" s="1289"/>
      <c r="AW441" s="1290"/>
      <c r="AX441" s="1291"/>
      <c r="AY441" s="1291"/>
      <c r="AZ441" s="1292"/>
      <c r="BA441" s="1293"/>
      <c r="BB441" s="1294"/>
      <c r="BC441" s="1295"/>
      <c r="BD441" s="1296">
        <f>BD440+PROD!L441-BA441</f>
        <v>0</v>
      </c>
      <c r="BE441" s="2133"/>
      <c r="BF441" s="507" t="e">
        <f t="shared" si="223"/>
        <v>#VALUE!</v>
      </c>
      <c r="BG441" s="329"/>
      <c r="BH441" s="1018">
        <f t="shared" si="224"/>
        <v>0</v>
      </c>
    </row>
    <row r="442" spans="1:60" ht="15" customHeight="1" x14ac:dyDescent="0.3">
      <c r="A442" s="2033"/>
      <c r="B442" s="287" t="str">
        <f t="shared" si="225"/>
        <v/>
      </c>
      <c r="C442" s="288" t="str">
        <f t="shared" si="219"/>
        <v/>
      </c>
      <c r="D442" s="691"/>
      <c r="E442" s="692"/>
      <c r="F442" s="693"/>
      <c r="G442" s="694"/>
      <c r="H442" s="695"/>
      <c r="I442" s="289">
        <f>I441-SUM($D442:F442)</f>
        <v>0</v>
      </c>
      <c r="J442" s="1234" t="str">
        <f>$J$8</f>
        <v>% Mort Acm :</v>
      </c>
      <c r="K442" s="1231">
        <f>IF(PROD!$K$2&gt;0,SUM(D$5:D445)/PROD!$K$2,0)</f>
        <v>0</v>
      </c>
      <c r="L442" s="1246"/>
      <c r="M442" s="291">
        <f t="shared" si="250"/>
        <v>0</v>
      </c>
      <c r="N442" s="314" t="str">
        <f>N$8</f>
        <v xml:space="preserve">Peso Ave (Gr) : </v>
      </c>
      <c r="O442" s="315">
        <f>LOOKUP($A439,GSh!$BV$6:$BV$108,GSh!$BJ$6:$BJ$108)</f>
        <v>0</v>
      </c>
      <c r="P442" s="315">
        <f>IFERROR(LOOKUP($A439,TP!$A$6:$A$108,GSh!$BK$6:$BK$108),0)</f>
        <v>0</v>
      </c>
      <c r="Q442" s="316">
        <f>IF(AND(P442&gt;0,O442&gt;0),(O442/P442-1)*100,0)</f>
        <v>0</v>
      </c>
      <c r="R442" s="699"/>
      <c r="S442" s="762"/>
      <c r="T442" s="765">
        <f t="shared" si="230"/>
        <v>0</v>
      </c>
      <c r="U442" s="700"/>
      <c r="V442" s="701"/>
      <c r="W442" s="701"/>
      <c r="X442" s="295">
        <f t="shared" si="227"/>
        <v>0</v>
      </c>
      <c r="Y442" s="296">
        <f>IF(AA442&gt;0,V442,AE439/IF(Iniciar!$C$25="B X 40 K",40,IF(Iniciar!$C$25="B X 50 K",50,1))*I442/1000)</f>
        <v>0</v>
      </c>
      <c r="Z442" s="296">
        <f t="shared" si="228"/>
        <v>0</v>
      </c>
      <c r="AA442" s="297">
        <f t="shared" si="251"/>
        <v>0</v>
      </c>
      <c r="AB442" s="297">
        <f t="shared" si="220"/>
        <v>0</v>
      </c>
      <c r="AC442" s="541" t="str">
        <f>$AC$8</f>
        <v xml:space="preserve">Ton. Lote Acu : </v>
      </c>
      <c r="AD442" s="544">
        <f>SUM($V$5:$V445)*$A$1/1000000</f>
        <v>0</v>
      </c>
      <c r="AE442" s="543">
        <f>AE435+(AE439/1000000*7*(I439+I445)/2)</f>
        <v>0</v>
      </c>
      <c r="AF442" s="542">
        <f>IF(AND(AE442&gt;0,AD442&gt;0),(AD442/AE442-1)*100,0)</f>
        <v>0</v>
      </c>
      <c r="AG442" s="317" t="str">
        <f>PROD!$AG$8</f>
        <v xml:space="preserve">Masa Ac A. A (Kg) : </v>
      </c>
      <c r="AH442" s="318">
        <f>IF(PROD!$K$2&gt;0,SUM(PROD!L$5:L445)*LOOKUP(PROD!$A439,TP!$A$6:$A$108,GSh!$BB$6:$BB$108)/1000/PROD!$K$2,0)</f>
        <v>0</v>
      </c>
      <c r="AI442" s="318">
        <f>IFERROR(PROD!P440*LOOKUP(PROD!$A439,TP!$A$6:$A$108,GSh!$BC$6:$BC$108)/1000,0)</f>
        <v>0</v>
      </c>
      <c r="AJ442" s="330">
        <f t="shared" si="249"/>
        <v>0</v>
      </c>
      <c r="AK442" s="2027"/>
      <c r="AL442" s="1284">
        <f t="shared" si="222"/>
        <v>0</v>
      </c>
      <c r="AM442" s="1285"/>
      <c r="AN442" s="1285"/>
      <c r="AO442" s="1285"/>
      <c r="AP442" s="1285"/>
      <c r="AQ442" s="1285"/>
      <c r="AR442" s="1285"/>
      <c r="AS442" s="1286"/>
      <c r="AT442" s="1287"/>
      <c r="AU442" s="1288"/>
      <c r="AV442" s="1289"/>
      <c r="AW442" s="1290"/>
      <c r="AX442" s="1291"/>
      <c r="AY442" s="1291"/>
      <c r="AZ442" s="1292"/>
      <c r="BA442" s="1293"/>
      <c r="BB442" s="1294"/>
      <c r="BC442" s="1295"/>
      <c r="BD442" s="1296">
        <f>BD441+PROD!L442-BA442</f>
        <v>0</v>
      </c>
      <c r="BE442" s="2133"/>
      <c r="BF442" s="507" t="e">
        <f t="shared" si="223"/>
        <v>#VALUE!</v>
      </c>
      <c r="BG442" s="329"/>
      <c r="BH442" s="1018">
        <f t="shared" si="224"/>
        <v>0</v>
      </c>
    </row>
    <row r="443" spans="1:60" ht="15" customHeight="1" x14ac:dyDescent="0.3">
      <c r="A443" s="2033"/>
      <c r="B443" s="287" t="str">
        <f t="shared" si="225"/>
        <v/>
      </c>
      <c r="C443" s="288" t="str">
        <f t="shared" si="219"/>
        <v/>
      </c>
      <c r="D443" s="691"/>
      <c r="E443" s="692"/>
      <c r="F443" s="693"/>
      <c r="G443" s="694"/>
      <c r="H443" s="695"/>
      <c r="I443" s="289">
        <f>I442-SUM($D443:F443)</f>
        <v>0</v>
      </c>
      <c r="J443" s="1234" t="str">
        <f>$J$9</f>
        <v>% Sel Acm :</v>
      </c>
      <c r="K443" s="1231">
        <f>IF(PROD!$K$2&gt;0,SUM(E$5:E445)/PROD!$K$2,0)</f>
        <v>0</v>
      </c>
      <c r="L443" s="1246"/>
      <c r="M443" s="291">
        <f t="shared" si="250"/>
        <v>0</v>
      </c>
      <c r="N443" s="292" t="str">
        <f>$N$9</f>
        <v xml:space="preserve">Uniformidad (10% -) : </v>
      </c>
      <c r="O443" s="320">
        <f>LOOKUP($A439,'Pr-Sem'!$A$6:$A$108,'Pr-Sem'!$AH$6:$AH$108)</f>
        <v>0</v>
      </c>
      <c r="P443" s="320">
        <v>5</v>
      </c>
      <c r="Q443" s="321">
        <f>IF(AND(P443&gt;0,O443&gt;0),(1-O443/P443)*100,0)</f>
        <v>0</v>
      </c>
      <c r="R443" s="699"/>
      <c r="S443" s="762"/>
      <c r="T443" s="765">
        <f t="shared" si="230"/>
        <v>0</v>
      </c>
      <c r="U443" s="700"/>
      <c r="V443" s="701"/>
      <c r="W443" s="701"/>
      <c r="X443" s="295">
        <f t="shared" si="227"/>
        <v>0</v>
      </c>
      <c r="Y443" s="296">
        <f>IF(AA443&gt;0,V443,AE439/IF(Iniciar!$C$25="B X 40 K",40,IF(Iniciar!$C$25="B X 50 K",50,1))*I443/1000)</f>
        <v>0</v>
      </c>
      <c r="Z443" s="296">
        <f t="shared" si="228"/>
        <v>0</v>
      </c>
      <c r="AA443" s="297">
        <f t="shared" si="251"/>
        <v>0</v>
      </c>
      <c r="AB443" s="297">
        <f t="shared" si="220"/>
        <v>0</v>
      </c>
      <c r="AC443" s="2035" t="str">
        <f>$AC$9</f>
        <v xml:space="preserve">Total Litros Sem: </v>
      </c>
      <c r="AD443" s="2036"/>
      <c r="AE443" s="2050">
        <f>SUM(R439:R445)</f>
        <v>0</v>
      </c>
      <c r="AF443" s="2051"/>
      <c r="AG443" s="554" t="str">
        <f>$AG$9</f>
        <v xml:space="preserve">Indicador Eficiencia : </v>
      </c>
      <c r="AH443" s="555">
        <f>IF(AND(AE443&gt;0,O440&gt;0,O441&gt;0,SUM(L439:L445)&gt;0),(PROD!AH442/O440)*K445*100/(AE443/(SUM(L439:L445)*O441/1000)),0)</f>
        <v>0</v>
      </c>
      <c r="AI443" s="555">
        <f>IF(AND(P440&gt;0,PROD!AI441&gt;0),(PROD!AI442/P440)*(1-K444)*100/(AE440/PROD!AI441),0)</f>
        <v>0</v>
      </c>
      <c r="AJ443" s="331">
        <f t="shared" si="249"/>
        <v>0</v>
      </c>
      <c r="AK443" s="2027"/>
      <c r="AL443" s="1284">
        <f t="shared" si="222"/>
        <v>0</v>
      </c>
      <c r="AM443" s="1285"/>
      <c r="AN443" s="1285"/>
      <c r="AO443" s="1285"/>
      <c r="AP443" s="1285"/>
      <c r="AQ443" s="1285"/>
      <c r="AR443" s="1285"/>
      <c r="AS443" s="1286"/>
      <c r="AT443" s="1287"/>
      <c r="AU443" s="1288"/>
      <c r="AV443" s="1289"/>
      <c r="AW443" s="1290"/>
      <c r="AX443" s="1291"/>
      <c r="AY443" s="1291"/>
      <c r="AZ443" s="1292"/>
      <c r="BA443" s="1293"/>
      <c r="BB443" s="1294"/>
      <c r="BC443" s="1295"/>
      <c r="BD443" s="1296">
        <f>BD442+PROD!L443-BA443</f>
        <v>0</v>
      </c>
      <c r="BE443" s="2133"/>
      <c r="BF443" s="507" t="e">
        <f t="shared" si="223"/>
        <v>#VALUE!</v>
      </c>
      <c r="BG443" s="329"/>
      <c r="BH443" s="1018">
        <f t="shared" si="224"/>
        <v>0</v>
      </c>
    </row>
    <row r="444" spans="1:60" ht="15" customHeight="1" x14ac:dyDescent="0.3">
      <c r="A444" s="2033"/>
      <c r="B444" s="287" t="str">
        <f t="shared" si="225"/>
        <v/>
      </c>
      <c r="C444" s="288" t="str">
        <f t="shared" si="219"/>
        <v/>
      </c>
      <c r="D444" s="691"/>
      <c r="E444" s="692"/>
      <c r="F444" s="693"/>
      <c r="G444" s="694"/>
      <c r="H444" s="695"/>
      <c r="I444" s="289">
        <f>I443-SUM($D444:F444)</f>
        <v>0</v>
      </c>
      <c r="J444" s="1237" t="str">
        <f>$J$10</f>
        <v>% Mort/Sel Acm Tab :</v>
      </c>
      <c r="K444" s="1238">
        <f>IFERROR(LOOKUP($A439,TP!$A$6:$A$108,GSh!$AR$6:$AR$108)/100,0)</f>
        <v>0</v>
      </c>
      <c r="L444" s="1246"/>
      <c r="M444" s="291">
        <f t="shared" si="250"/>
        <v>0</v>
      </c>
      <c r="N444" s="292" t="str">
        <f>$N$10</f>
        <v xml:space="preserve">Uniformidad (C. Lote) : </v>
      </c>
      <c r="O444" s="320">
        <f>LOOKUP($A439,'Pr-Sem'!$A$6:$A$108,'Pr-Sem'!$AG$6:$AG$108)</f>
        <v>0</v>
      </c>
      <c r="P444" s="320">
        <v>90</v>
      </c>
      <c r="Q444" s="321">
        <f>IF(AND(P444&gt;0,O444&gt;0),(O444/P444-1)*100,0)</f>
        <v>0</v>
      </c>
      <c r="R444" s="699"/>
      <c r="S444" s="762"/>
      <c r="T444" s="765">
        <f t="shared" si="230"/>
        <v>0</v>
      </c>
      <c r="U444" s="700"/>
      <c r="V444" s="701"/>
      <c r="W444" s="701"/>
      <c r="X444" s="295">
        <f t="shared" si="227"/>
        <v>0</v>
      </c>
      <c r="Y444" s="296">
        <f>IF(AA444&gt;0,V444,AE439/IF(Iniciar!$C$25="B X 40 K",40,IF(Iniciar!$C$25="B X 50 K",50,1))*I444/1000)</f>
        <v>0</v>
      </c>
      <c r="Z444" s="296">
        <f t="shared" si="228"/>
        <v>0</v>
      </c>
      <c r="AA444" s="297">
        <f t="shared" si="251"/>
        <v>0</v>
      </c>
      <c r="AB444" s="297">
        <f t="shared" si="220"/>
        <v>0</v>
      </c>
      <c r="AC444" s="2037" t="str">
        <f>$AC$10</f>
        <v xml:space="preserve">Cons ml /ave día: </v>
      </c>
      <c r="AD444" s="2038"/>
      <c r="AE444" s="2056">
        <f>IFERROR(SUMPRODUCT(AB439:AB445,I439:I445)/SUM(I439:I445),0)</f>
        <v>0</v>
      </c>
      <c r="AF444" s="2057"/>
      <c r="AG444" s="311" t="str">
        <f>CONCATENATE("Costo ",Iniciar!$C$25," : ")</f>
        <v xml:space="preserve">Costo Kilos : </v>
      </c>
      <c r="AH444" s="2043">
        <f>IFERROR(SUMPRODUCT(T439:T445,V439:V445)/SUMIF(T439:T445,"&gt;0",V439:V445),0)</f>
        <v>0</v>
      </c>
      <c r="AI444" s="2043"/>
      <c r="AJ444" s="313"/>
      <c r="AK444" s="2027"/>
      <c r="AL444" s="1284">
        <f t="shared" si="222"/>
        <v>0</v>
      </c>
      <c r="AM444" s="1285"/>
      <c r="AN444" s="1285"/>
      <c r="AO444" s="1285"/>
      <c r="AP444" s="1285"/>
      <c r="AQ444" s="1285"/>
      <c r="AR444" s="1285"/>
      <c r="AS444" s="1286"/>
      <c r="AT444" s="1287"/>
      <c r="AU444" s="1288"/>
      <c r="AV444" s="1289"/>
      <c r="AW444" s="1290"/>
      <c r="AX444" s="1291"/>
      <c r="AY444" s="1291"/>
      <c r="AZ444" s="1292"/>
      <c r="BA444" s="1293"/>
      <c r="BB444" s="1294"/>
      <c r="BC444" s="1295"/>
      <c r="BD444" s="1296">
        <f>BD443+PROD!L444-BA444</f>
        <v>0</v>
      </c>
      <c r="BE444" s="2133"/>
      <c r="BF444" s="507" t="e">
        <f t="shared" si="223"/>
        <v>#VALUE!</v>
      </c>
      <c r="BG444" s="329"/>
      <c r="BH444" s="1018">
        <f t="shared" si="224"/>
        <v>0</v>
      </c>
    </row>
    <row r="445" spans="1:60" ht="15" customHeight="1" x14ac:dyDescent="0.3">
      <c r="A445" s="2034"/>
      <c r="B445" s="287" t="str">
        <f t="shared" si="225"/>
        <v/>
      </c>
      <c r="C445" s="288" t="str">
        <f t="shared" si="219"/>
        <v/>
      </c>
      <c r="D445" s="691"/>
      <c r="E445" s="692"/>
      <c r="F445" s="693"/>
      <c r="G445" s="694"/>
      <c r="H445" s="695"/>
      <c r="I445" s="289">
        <f>I444-SUM($D445:F445)</f>
        <v>0</v>
      </c>
      <c r="J445" s="1239" t="str">
        <f>$J$11</f>
        <v>% Viabilidad :</v>
      </c>
      <c r="K445" s="1240">
        <f>IF(OR(SUM(L439:L445)&gt;0,SUM(V439:V445)&gt;0),1-(K442+K443),0)</f>
        <v>0</v>
      </c>
      <c r="L445" s="1247"/>
      <c r="M445" s="1248">
        <f>IF(I445&gt;0,(L445/IF(SUM(L439:L444)&gt;0,1,7))/I445,0)</f>
        <v>0</v>
      </c>
      <c r="N445" s="1249" t="str">
        <f>$N$11</f>
        <v xml:space="preserve">Uniformidad (10% +) : </v>
      </c>
      <c r="O445" s="1250">
        <f>IF(O443&gt;0,IF(O444&gt;0,100-SUM(O443:O444),0),0)</f>
        <v>0</v>
      </c>
      <c r="P445" s="1251">
        <f>100-SUM(P443:P444)</f>
        <v>5</v>
      </c>
      <c r="Q445" s="1252">
        <f>IF(AND(P445&gt;0,O445&gt;0),(O445/P445-1)*100,0)</f>
        <v>0</v>
      </c>
      <c r="R445" s="699"/>
      <c r="S445" s="762"/>
      <c r="T445" s="765">
        <f t="shared" si="230"/>
        <v>0</v>
      </c>
      <c r="U445" s="700"/>
      <c r="V445" s="701"/>
      <c r="W445" s="701"/>
      <c r="X445" s="295">
        <f t="shared" si="227"/>
        <v>0</v>
      </c>
      <c r="Y445" s="296">
        <f>IF(AA445&gt;0,V445,AE439/IF(Iniciar!$C$25="B X 40 K",40,IF(Iniciar!$C$25="B X 50 K",50,1))*I445/1000)</f>
        <v>0</v>
      </c>
      <c r="Z445" s="296">
        <f t="shared" si="228"/>
        <v>0</v>
      </c>
      <c r="AA445" s="297">
        <f>IF(I445&gt;0,(V445/IF(SUM(V439:V444)&gt;0,1,7))*$A$1/I445,0)</f>
        <v>0</v>
      </c>
      <c r="AB445" s="297">
        <f t="shared" si="220"/>
        <v>0</v>
      </c>
      <c r="AC445" s="2039" t="str">
        <f>$AC$11</f>
        <v xml:space="preserve">Relación Agua /Alimto: </v>
      </c>
      <c r="AD445" s="2040"/>
      <c r="AE445" s="2058">
        <f>IFERROR(AE444/AD439,0)</f>
        <v>0</v>
      </c>
      <c r="AF445" s="2059"/>
      <c r="AG445" s="1269" t="s">
        <v>237</v>
      </c>
      <c r="AH445" s="1270">
        <f>IF(SUM(L439:L445)&gt;0,AH444*SUM(V439:V445)/SUM(L439:L445),0)</f>
        <v>0</v>
      </c>
      <c r="AI445" s="1270">
        <f>IF(AND($A$1&gt;0,P439&gt;0),AH444/$A$1*(AE439/P439)*100,0)</f>
        <v>0</v>
      </c>
      <c r="AJ445" s="1271">
        <f t="shared" ref="AJ445:AJ450" si="252">IF(AND(AI445&gt;0,AH445&gt;0),(AH445/AI445-1)*100,0)</f>
        <v>0</v>
      </c>
      <c r="AK445" s="2028"/>
      <c r="AL445" s="1284">
        <f t="shared" si="222"/>
        <v>0</v>
      </c>
      <c r="AM445" s="1285"/>
      <c r="AN445" s="1285"/>
      <c r="AO445" s="1285"/>
      <c r="AP445" s="1285"/>
      <c r="AQ445" s="1285"/>
      <c r="AR445" s="1285"/>
      <c r="AS445" s="1286"/>
      <c r="AT445" s="1287"/>
      <c r="AU445" s="1288"/>
      <c r="AV445" s="1289"/>
      <c r="AW445" s="1290"/>
      <c r="AX445" s="1291"/>
      <c r="AY445" s="1291"/>
      <c r="AZ445" s="1292"/>
      <c r="BA445" s="1293"/>
      <c r="BB445" s="1294"/>
      <c r="BC445" s="1295"/>
      <c r="BD445" s="1296">
        <f>BD444+PROD!L445-BA445</f>
        <v>0</v>
      </c>
      <c r="BE445" s="2134"/>
      <c r="BF445" s="507" t="e">
        <f t="shared" si="223"/>
        <v>#VALUE!</v>
      </c>
      <c r="BG445" s="329"/>
      <c r="BH445" s="1018">
        <f t="shared" si="224"/>
        <v>0</v>
      </c>
    </row>
    <row r="446" spans="1:60" ht="15" customHeight="1" x14ac:dyDescent="0.3">
      <c r="A446" s="2032">
        <f>A439+1</f>
        <v>81</v>
      </c>
      <c r="B446" s="287" t="str">
        <f t="shared" si="225"/>
        <v/>
      </c>
      <c r="C446" s="288" t="str">
        <f t="shared" si="219"/>
        <v/>
      </c>
      <c r="D446" s="691"/>
      <c r="E446" s="692"/>
      <c r="F446" s="693"/>
      <c r="G446" s="694"/>
      <c r="H446" s="695"/>
      <c r="I446" s="289">
        <f>I445-SUM($D446:F446)</f>
        <v>0</v>
      </c>
      <c r="J446" s="1232" t="str">
        <f>$J$5</f>
        <v>% Mort Sem :</v>
      </c>
      <c r="K446" s="1233">
        <f>IF(PROD!$K$2&gt;0,SUM(D446:D452)/PROD!$K$2,0)</f>
        <v>0</v>
      </c>
      <c r="L446" s="1241"/>
      <c r="M446" s="1242">
        <f t="shared" ref="M446:M451" si="253">IF(I446&gt;0,L446/I446,0)</f>
        <v>0</v>
      </c>
      <c r="N446" s="1243" t="str">
        <f>$N$5</f>
        <v xml:space="preserve">% Pdn prom semana : </v>
      </c>
      <c r="O446" s="1244">
        <f>IF(SUM(L446:L451)&gt;0,100*SUMPRODUCT(M446:M452,I446:I452)/SUMIF(L446:L452,"&gt;0",I446:I452),IF(L452&gt;0,100*L452/7/I452,0))</f>
        <v>0</v>
      </c>
      <c r="P446" s="1244">
        <f>IFERROR(LOOKUP($A446,TP!$A$6:$A$108,GSh!$AE$6:$AE$108),0)</f>
        <v>0</v>
      </c>
      <c r="Q446" s="1245">
        <f>IF(AND(P446&gt;0,O446&gt;0),O446-P446,0)</f>
        <v>0</v>
      </c>
      <c r="R446" s="699"/>
      <c r="S446" s="762"/>
      <c r="T446" s="765">
        <f t="shared" si="230"/>
        <v>0</v>
      </c>
      <c r="U446" s="700"/>
      <c r="V446" s="701"/>
      <c r="W446" s="701"/>
      <c r="X446" s="295">
        <f t="shared" si="227"/>
        <v>0</v>
      </c>
      <c r="Y446" s="296">
        <f>IF(AA446&gt;0,V446,AE446/IF(Iniciar!$C$25="B X 40 K",40,IF(Iniciar!$C$25="B X 50 K",50,1))*I446/1000)</f>
        <v>0</v>
      </c>
      <c r="Z446" s="296">
        <f t="shared" si="228"/>
        <v>0</v>
      </c>
      <c r="AA446" s="297">
        <f t="shared" ref="AA446:AA451" si="254">IF(I446&gt;0,V446*$A$1/I446,0)</f>
        <v>0</v>
      </c>
      <c r="AB446" s="297">
        <f t="shared" si="220"/>
        <v>0</v>
      </c>
      <c r="AC446" s="1261" t="str">
        <f>$AC$5</f>
        <v>Gr. Ave Dia :</v>
      </c>
      <c r="AD446" s="1262">
        <f>IF(SUMIF(V446:V452,"&gt;0")&gt;0,SUMPRODUCT(AA446:AA452,I446:I452)/SUMIF(AA446:AA452,"&gt;0",I446:I452),0)</f>
        <v>0</v>
      </c>
      <c r="AE446" s="1262">
        <f>IFERROR(LOOKUP($A446,TP!$A$6:$A$108,GSh!$AU$6:$AU$108),0)</f>
        <v>0</v>
      </c>
      <c r="AF446" s="1263">
        <f>IF(AND(AE446&gt;0,AD446&gt;0),(AD446/AE446-1)*100,0)</f>
        <v>0</v>
      </c>
      <c r="AG446" s="1264" t="str">
        <f>PROD!$AG$5</f>
        <v>Gr X H</v>
      </c>
      <c r="AH446" s="1265">
        <f>IF(PROD!O446&gt;0,IF($AG446="Gr X H",PROD!AD446/PROD!O446*100,IF($AG446="Conv Kg/Doc",PROD!AD446/PROD!O446*1.2,IF(PROD!$O448&gt;0,PROD!AD446/(PROD!O446*PROD!$O448)*100,0))),0)</f>
        <v>0</v>
      </c>
      <c r="AI446" s="1265">
        <f>IF(PROD!P446&gt;0,IF($AG446="Gr X H",PROD!AE446/PROD!P446*100,IF($AG446="Conv Kg/Doc",PROD!AE446/PROD!P446*1.2,IF(PROD!$P448&gt;0,PROD!AE446/(PROD!P446*PROD!$P448)*100,0))),0)</f>
        <v>0</v>
      </c>
      <c r="AJ446" s="1266">
        <f t="shared" si="252"/>
        <v>0</v>
      </c>
      <c r="AK446" s="2026"/>
      <c r="AL446" s="1284">
        <f t="shared" si="222"/>
        <v>0</v>
      </c>
      <c r="AM446" s="1285"/>
      <c r="AN446" s="1285"/>
      <c r="AO446" s="1285"/>
      <c r="AP446" s="1285"/>
      <c r="AQ446" s="1285"/>
      <c r="AR446" s="1285"/>
      <c r="AS446" s="1286"/>
      <c r="AT446" s="1287"/>
      <c r="AU446" s="1288"/>
      <c r="AV446" s="1289"/>
      <c r="AW446" s="1290"/>
      <c r="AX446" s="1291"/>
      <c r="AY446" s="1291"/>
      <c r="AZ446" s="1292"/>
      <c r="BA446" s="1293"/>
      <c r="BB446" s="1294"/>
      <c r="BC446" s="1295"/>
      <c r="BD446" s="1296">
        <f>BD445+PROD!L446-BA446</f>
        <v>0</v>
      </c>
      <c r="BE446" s="2132">
        <f>IF(SUM(AM446:AZ452)&gt;0,(SUM(AM446:AM452)*$AM$2+SUM(AN446:AN452)*$AN$2+SUM(AO446:AO452)*$AO$2+SUM(AP446:AP452)*$AP$2+SUM(AQ446:AQ452)*$AQ$2+SUM(AR446:AR452)*$AR$2+SUM(AS446:AS452)*$AS$2+SUM(AW446:AW452)*$AW$2+SUM(AX446:AX452)*$AX$2+SUM(AY446:AY452)*$AY$2+SUM(AZ446:AZ452)*$AZ$2+SUM(AT446:AT452)*$AT$2+SUM(AU446:AU452)*$AU$2+SUM(AV446:AV452)*$AV$2)/SUM(AM446:AZ452),0)</f>
        <v>0</v>
      </c>
      <c r="BF446" s="507" t="e">
        <f t="shared" si="223"/>
        <v>#VALUE!</v>
      </c>
      <c r="BG446" s="277">
        <f>IF(SUM(L446:L452)&gt;0,A446,IF(SUM(V446:V452)&gt;0,A446,BG439))</f>
        <v>0</v>
      </c>
      <c r="BH446" s="1018">
        <f t="shared" si="224"/>
        <v>0</v>
      </c>
    </row>
    <row r="447" spans="1:60" ht="15" customHeight="1" x14ac:dyDescent="0.3">
      <c r="A447" s="2033"/>
      <c r="B447" s="287" t="str">
        <f t="shared" si="225"/>
        <v/>
      </c>
      <c r="C447" s="288" t="str">
        <f t="shared" si="219"/>
        <v/>
      </c>
      <c r="D447" s="691"/>
      <c r="E447" s="692"/>
      <c r="F447" s="693"/>
      <c r="G447" s="694"/>
      <c r="H447" s="695"/>
      <c r="I447" s="289">
        <f>I446-SUM($D447:F447)</f>
        <v>0</v>
      </c>
      <c r="J447" s="1234" t="str">
        <f>$J$6</f>
        <v>% Sel Sem :</v>
      </c>
      <c r="K447" s="1231">
        <f>IF(PROD!$K$2&gt;0,SUM(E446:E452)/PROD!$K$2,0)</f>
        <v>0</v>
      </c>
      <c r="L447" s="1246"/>
      <c r="M447" s="291">
        <f t="shared" si="253"/>
        <v>0</v>
      </c>
      <c r="N447" s="292" t="str">
        <f>$N$6</f>
        <v xml:space="preserve">H. Ave Alojada : </v>
      </c>
      <c r="O447" s="293">
        <f>IF(AND(PROD!$K$2&gt;0,O446&gt;0),SUM(L$5:L452)/PROD!$K$2,0)</f>
        <v>0</v>
      </c>
      <c r="P447" s="293">
        <f>IFERROR(LOOKUP($A446,TP!$A$6:$A$108,GSh!$AJ$6:$AJ$108),0)</f>
        <v>0</v>
      </c>
      <c r="Q447" s="294">
        <f>IF(AND(P447&gt;0,O447&gt;0),O447-P447,0)</f>
        <v>0</v>
      </c>
      <c r="R447" s="699"/>
      <c r="S447" s="762"/>
      <c r="T447" s="765">
        <f t="shared" si="230"/>
        <v>0</v>
      </c>
      <c r="U447" s="700"/>
      <c r="V447" s="701"/>
      <c r="W447" s="701"/>
      <c r="X447" s="295">
        <f t="shared" si="227"/>
        <v>0</v>
      </c>
      <c r="Y447" s="296">
        <f>IF(AA447&gt;0,V447,AE446/IF(Iniciar!$C$25="B X 40 K",40,IF(Iniciar!$C$25="B X 50 K",50,1))*I447/1000)</f>
        <v>0</v>
      </c>
      <c r="Z447" s="296">
        <f t="shared" si="228"/>
        <v>0</v>
      </c>
      <c r="AA447" s="297">
        <f t="shared" si="254"/>
        <v>0</v>
      </c>
      <c r="AB447" s="297">
        <f t="shared" si="220"/>
        <v>0</v>
      </c>
      <c r="AC447" s="1267" t="str">
        <f>$AC$6</f>
        <v>Gr. Ave Sem :</v>
      </c>
      <c r="AD447" s="284">
        <f>AD446*7</f>
        <v>0</v>
      </c>
      <c r="AE447" s="284">
        <f>AE446*7</f>
        <v>0</v>
      </c>
      <c r="AF447" s="285">
        <f>IF(AND(AE447&gt;0,AD447&gt;0),(AD447/AE447-1)*100,0)</f>
        <v>0</v>
      </c>
      <c r="AG447" s="1199" t="str">
        <f>PROD!$AG$6</f>
        <v>Gr X H Acm</v>
      </c>
      <c r="AH447" s="298">
        <f>IF(SUM(PROD!L446:L452)&gt;0,IF(PROD!$AG$5="Gr X H",SUM(PROD!V$5:V452)*PROD!$A$1/SUM(PROD!L$5:L452),IF($AG446="Conv Kg/Doc",(SUM(PROD!V$5:V452)*PROD!$A$1/1000)/(SUM(PROD!L$5:L452)/12),IF(PROD!$O448&gt;0,SUM(PROD!V$5:V452)*PROD!$A$1/(SUM(PROD!L$5:L452)*LOOKUP(PROD!A446,TP!$A$6:$A$108,GSh!$BB$6:$BB$108)),0))),0)</f>
        <v>0</v>
      </c>
      <c r="AI447" s="298">
        <f>IF(PROD!P446&gt;0,IF($AG446="Gr X H",PROD!AE446/PROD!P446*100,IF($AG446="Conv Kg/Doc",PROD!AE446/PROD!P446*1.2,IF(PROD!$P447&gt;0,PROD!AE448/(PROD!P447*LOOKUP(PROD!$A446,TP!$A$6:$A$108,GSh!$BC$6:$BC$108)/1000),0))),0)</f>
        <v>0</v>
      </c>
      <c r="AJ447" s="328">
        <f t="shared" si="252"/>
        <v>0</v>
      </c>
      <c r="AK447" s="2027"/>
      <c r="AL447" s="1284">
        <f t="shared" si="222"/>
        <v>0</v>
      </c>
      <c r="AM447" s="1285"/>
      <c r="AN447" s="1285"/>
      <c r="AO447" s="1285"/>
      <c r="AP447" s="1285"/>
      <c r="AQ447" s="1285"/>
      <c r="AR447" s="1285"/>
      <c r="AS447" s="1286"/>
      <c r="AT447" s="1287"/>
      <c r="AU447" s="1288"/>
      <c r="AV447" s="1289"/>
      <c r="AW447" s="1290"/>
      <c r="AX447" s="1291"/>
      <c r="AY447" s="1291"/>
      <c r="AZ447" s="1292"/>
      <c r="BA447" s="1293"/>
      <c r="BB447" s="1294"/>
      <c r="BC447" s="1295"/>
      <c r="BD447" s="1296">
        <f>BD446+PROD!L447-BA447</f>
        <v>0</v>
      </c>
      <c r="BE447" s="2133"/>
      <c r="BF447" s="507" t="e">
        <f t="shared" si="223"/>
        <v>#VALUE!</v>
      </c>
      <c r="BG447" s="329"/>
      <c r="BH447" s="1018">
        <f t="shared" si="224"/>
        <v>0</v>
      </c>
    </row>
    <row r="448" spans="1:60" ht="15" customHeight="1" x14ac:dyDescent="0.3">
      <c r="A448" s="2033"/>
      <c r="B448" s="287" t="str">
        <f t="shared" si="225"/>
        <v/>
      </c>
      <c r="C448" s="288" t="str">
        <f t="shared" si="219"/>
        <v/>
      </c>
      <c r="D448" s="691"/>
      <c r="E448" s="692"/>
      <c r="F448" s="693"/>
      <c r="G448" s="694"/>
      <c r="H448" s="695"/>
      <c r="I448" s="289">
        <f>I447-SUM($D448:F448)</f>
        <v>0</v>
      </c>
      <c r="J448" s="1235" t="str">
        <f>$J$7</f>
        <v>% Mort/Sel Sem Tab :</v>
      </c>
      <c r="K448" s="1236">
        <f>K451-K444</f>
        <v>0</v>
      </c>
      <c r="L448" s="1246"/>
      <c r="M448" s="291">
        <f t="shared" si="253"/>
        <v>0</v>
      </c>
      <c r="N448" s="304" t="str">
        <f>$N$7</f>
        <v xml:space="preserve">Peso Huevo (Gr) : </v>
      </c>
      <c r="O448" s="305">
        <f>LOOKUP($A446,'Pr-Sem'!$A$6:$A$108,'Pr-Sem'!$Z$6:$Z$108)</f>
        <v>0</v>
      </c>
      <c r="P448" s="305">
        <f>IFERROR(LOOKUP($A446,TP!$A$6:$A$108,GSh!$AZ$6:$AZ$108),0)</f>
        <v>0</v>
      </c>
      <c r="Q448" s="306">
        <f>IF(AND(P448&gt;0,O448&gt;0),O448-P448,0)</f>
        <v>0</v>
      </c>
      <c r="R448" s="699"/>
      <c r="S448" s="762"/>
      <c r="T448" s="765">
        <f t="shared" si="230"/>
        <v>0</v>
      </c>
      <c r="U448" s="700"/>
      <c r="V448" s="701"/>
      <c r="W448" s="701"/>
      <c r="X448" s="295">
        <f t="shared" si="227"/>
        <v>0</v>
      </c>
      <c r="Y448" s="296">
        <f>IF(AA448&gt;0,V448,AE446/IF(Iniciar!$C$25="B X 40 K",40,IF(Iniciar!$C$25="B X 50 K",50,1))*I448/1000)</f>
        <v>0</v>
      </c>
      <c r="Z448" s="296">
        <f t="shared" si="228"/>
        <v>0</v>
      </c>
      <c r="AA448" s="297">
        <f t="shared" si="254"/>
        <v>0</v>
      </c>
      <c r="AB448" s="297">
        <f t="shared" si="220"/>
        <v>0</v>
      </c>
      <c r="AC448" s="1268" t="str">
        <f>$AC$7</f>
        <v>Kg Ave Acu :</v>
      </c>
      <c r="AD448" s="308">
        <f>IF(OR(SUM(L446:L452)&gt;0,SUM(V446:V452)&gt;0),AD447/1000+AD441,0)</f>
        <v>0</v>
      </c>
      <c r="AE448" s="309">
        <f>AE447/1000+AE441</f>
        <v>0</v>
      </c>
      <c r="AF448" s="310">
        <f>IF(AND(AE448&gt;0,AD448&gt;0),(AD448/AE448-1)*100,0)</f>
        <v>0</v>
      </c>
      <c r="AG448" s="311" t="str">
        <f>PROD!$AG$7</f>
        <v xml:space="preserve">Masa Sem H (Gr) : </v>
      </c>
      <c r="AH448" s="312">
        <f>PROD!O446/100*7*PROD!O448</f>
        <v>0</v>
      </c>
      <c r="AI448" s="312">
        <f>PROD!P446/100*7*PROD!P448</f>
        <v>0</v>
      </c>
      <c r="AJ448" s="313">
        <f t="shared" si="252"/>
        <v>0</v>
      </c>
      <c r="AK448" s="2027"/>
      <c r="AL448" s="1284">
        <f t="shared" si="222"/>
        <v>0</v>
      </c>
      <c r="AM448" s="1285"/>
      <c r="AN448" s="1285"/>
      <c r="AO448" s="1285"/>
      <c r="AP448" s="1285"/>
      <c r="AQ448" s="1285"/>
      <c r="AR448" s="1285"/>
      <c r="AS448" s="1286"/>
      <c r="AT448" s="1287"/>
      <c r="AU448" s="1288"/>
      <c r="AV448" s="1289"/>
      <c r="AW448" s="1290"/>
      <c r="AX448" s="1291"/>
      <c r="AY448" s="1291"/>
      <c r="AZ448" s="1292"/>
      <c r="BA448" s="1293"/>
      <c r="BB448" s="1294"/>
      <c r="BC448" s="1295"/>
      <c r="BD448" s="1296">
        <f>BD447+PROD!L448-BA448</f>
        <v>0</v>
      </c>
      <c r="BE448" s="2133"/>
      <c r="BF448" s="507" t="e">
        <f t="shared" si="223"/>
        <v>#VALUE!</v>
      </c>
      <c r="BG448" s="329"/>
      <c r="BH448" s="1018">
        <f t="shared" si="224"/>
        <v>0</v>
      </c>
    </row>
    <row r="449" spans="1:60" ht="15" customHeight="1" x14ac:dyDescent="0.3">
      <c r="A449" s="2033"/>
      <c r="B449" s="287" t="str">
        <f t="shared" si="225"/>
        <v/>
      </c>
      <c r="C449" s="288" t="str">
        <f t="shared" si="219"/>
        <v/>
      </c>
      <c r="D449" s="691"/>
      <c r="E449" s="692"/>
      <c r="F449" s="693"/>
      <c r="G449" s="694"/>
      <c r="H449" s="695"/>
      <c r="I449" s="289">
        <f>I448-SUM($D449:F449)</f>
        <v>0</v>
      </c>
      <c r="J449" s="1234" t="str">
        <f>$J$8</f>
        <v>% Mort Acm :</v>
      </c>
      <c r="K449" s="1231">
        <f>IF(PROD!$K$2&gt;0,SUM(D$5:D452)/PROD!$K$2,0)</f>
        <v>0</v>
      </c>
      <c r="L449" s="1246"/>
      <c r="M449" s="291">
        <f t="shared" si="253"/>
        <v>0</v>
      </c>
      <c r="N449" s="314" t="str">
        <f>N$8</f>
        <v xml:space="preserve">Peso Ave (Gr) : </v>
      </c>
      <c r="O449" s="315">
        <f>LOOKUP($A446,GSh!$BV$6:$BV$108,GSh!$BJ$6:$BJ$108)</f>
        <v>0</v>
      </c>
      <c r="P449" s="315">
        <f>IFERROR(LOOKUP($A446,TP!$A$6:$A$108,GSh!$BK$6:$BK$108),0)</f>
        <v>0</v>
      </c>
      <c r="Q449" s="316">
        <f>IF(AND(P449&gt;0,O449&gt;0),(O449/P449-1)*100,0)</f>
        <v>0</v>
      </c>
      <c r="R449" s="699"/>
      <c r="S449" s="762"/>
      <c r="T449" s="765">
        <f t="shared" si="230"/>
        <v>0</v>
      </c>
      <c r="U449" s="700"/>
      <c r="V449" s="701"/>
      <c r="W449" s="701"/>
      <c r="X449" s="295">
        <f t="shared" si="227"/>
        <v>0</v>
      </c>
      <c r="Y449" s="296">
        <f>IF(AA449&gt;0,V449,AE446/IF(Iniciar!$C$25="B X 40 K",40,IF(Iniciar!$C$25="B X 50 K",50,1))*I449/1000)</f>
        <v>0</v>
      </c>
      <c r="Z449" s="296">
        <f t="shared" si="228"/>
        <v>0</v>
      </c>
      <c r="AA449" s="297">
        <f t="shared" si="254"/>
        <v>0</v>
      </c>
      <c r="AB449" s="297">
        <f t="shared" si="220"/>
        <v>0</v>
      </c>
      <c r="AC449" s="541" t="str">
        <f>$AC$8</f>
        <v xml:space="preserve">Ton. Lote Acu : </v>
      </c>
      <c r="AD449" s="544">
        <f>SUM($V$5:$V452)*$A$1/1000000</f>
        <v>0</v>
      </c>
      <c r="AE449" s="543">
        <f>AE442+(AE446/1000000*7*(I446+I452)/2)</f>
        <v>0</v>
      </c>
      <c r="AF449" s="542">
        <f>IF(AND(AE449&gt;0,AD449&gt;0),(AD449/AE449-1)*100,0)</f>
        <v>0</v>
      </c>
      <c r="AG449" s="317" t="str">
        <f>PROD!$AG$8</f>
        <v xml:space="preserve">Masa Ac A. A (Kg) : </v>
      </c>
      <c r="AH449" s="318">
        <f>IF(PROD!$K$2&gt;0,SUM(PROD!L$5:L452)*LOOKUP(PROD!$A446,TP!$A$6:$A$108,GSh!$BB$6:$BB$108)/1000/PROD!$K$2,0)</f>
        <v>0</v>
      </c>
      <c r="AI449" s="318">
        <f>IFERROR(PROD!P447*LOOKUP(PROD!$A446,TP!$A$6:$A$108,GSh!$BC$6:$BC$108)/1000,0)</f>
        <v>0</v>
      </c>
      <c r="AJ449" s="330">
        <f t="shared" si="252"/>
        <v>0</v>
      </c>
      <c r="AK449" s="2027"/>
      <c r="AL449" s="1284">
        <f t="shared" si="222"/>
        <v>0</v>
      </c>
      <c r="AM449" s="1285"/>
      <c r="AN449" s="1285"/>
      <c r="AO449" s="1285"/>
      <c r="AP449" s="1285"/>
      <c r="AQ449" s="1285"/>
      <c r="AR449" s="1285"/>
      <c r="AS449" s="1286"/>
      <c r="AT449" s="1287"/>
      <c r="AU449" s="1288"/>
      <c r="AV449" s="1289"/>
      <c r="AW449" s="1290"/>
      <c r="AX449" s="1291"/>
      <c r="AY449" s="1291"/>
      <c r="AZ449" s="1292"/>
      <c r="BA449" s="1293"/>
      <c r="BB449" s="1294"/>
      <c r="BC449" s="1295"/>
      <c r="BD449" s="1296">
        <f>BD448+PROD!L449-BA449</f>
        <v>0</v>
      </c>
      <c r="BE449" s="2133"/>
      <c r="BF449" s="507" t="e">
        <f t="shared" si="223"/>
        <v>#VALUE!</v>
      </c>
      <c r="BG449" s="329"/>
      <c r="BH449" s="1018">
        <f t="shared" si="224"/>
        <v>0</v>
      </c>
    </row>
    <row r="450" spans="1:60" ht="15" customHeight="1" x14ac:dyDescent="0.3">
      <c r="A450" s="2033"/>
      <c r="B450" s="287" t="str">
        <f t="shared" si="225"/>
        <v/>
      </c>
      <c r="C450" s="288" t="str">
        <f t="shared" si="219"/>
        <v/>
      </c>
      <c r="D450" s="691"/>
      <c r="E450" s="692"/>
      <c r="F450" s="693"/>
      <c r="G450" s="694"/>
      <c r="H450" s="695"/>
      <c r="I450" s="289">
        <f>I449-SUM($D450:F450)</f>
        <v>0</v>
      </c>
      <c r="J450" s="1234" t="str">
        <f>$J$9</f>
        <v>% Sel Acm :</v>
      </c>
      <c r="K450" s="1231">
        <f>IF(PROD!$K$2&gt;0,SUM(E$5:E452)/PROD!$K$2,0)</f>
        <v>0</v>
      </c>
      <c r="L450" s="1246"/>
      <c r="M450" s="291">
        <f t="shared" si="253"/>
        <v>0</v>
      </c>
      <c r="N450" s="292" t="str">
        <f>$N$9</f>
        <v xml:space="preserve">Uniformidad (10% -) : </v>
      </c>
      <c r="O450" s="320">
        <f>LOOKUP($A446,'Pr-Sem'!$A$6:$A$108,'Pr-Sem'!$AH$6:$AH$108)</f>
        <v>0</v>
      </c>
      <c r="P450" s="320">
        <v>5</v>
      </c>
      <c r="Q450" s="321">
        <f>IF(AND(P450&gt;0,O450&gt;0),(1-O450/P450)*100,0)</f>
        <v>0</v>
      </c>
      <c r="R450" s="699"/>
      <c r="S450" s="762"/>
      <c r="T450" s="765">
        <f t="shared" si="230"/>
        <v>0</v>
      </c>
      <c r="U450" s="700"/>
      <c r="V450" s="701"/>
      <c r="W450" s="701"/>
      <c r="X450" s="295">
        <f t="shared" si="227"/>
        <v>0</v>
      </c>
      <c r="Y450" s="296">
        <f>IF(AA450&gt;0,V450,AE446/IF(Iniciar!$C$25="B X 40 K",40,IF(Iniciar!$C$25="B X 50 K",50,1))*I450/1000)</f>
        <v>0</v>
      </c>
      <c r="Z450" s="296">
        <f t="shared" si="228"/>
        <v>0</v>
      </c>
      <c r="AA450" s="297">
        <f t="shared" si="254"/>
        <v>0</v>
      </c>
      <c r="AB450" s="297">
        <f t="shared" si="220"/>
        <v>0</v>
      </c>
      <c r="AC450" s="2035" t="str">
        <f>$AC$9</f>
        <v xml:space="preserve">Total Litros Sem: </v>
      </c>
      <c r="AD450" s="2036"/>
      <c r="AE450" s="2050">
        <f>SUM(R446:R452)</f>
        <v>0</v>
      </c>
      <c r="AF450" s="2051"/>
      <c r="AG450" s="554" t="str">
        <f>$AG$9</f>
        <v xml:space="preserve">Indicador Eficiencia : </v>
      </c>
      <c r="AH450" s="555">
        <f>IF(AND(AE450&gt;0,O447&gt;0,O448&gt;0,SUM(L446:L452)&gt;0),(PROD!AH449/O447)*K452*100/(AE450/(SUM(L446:L452)*O448/1000)),0)</f>
        <v>0</v>
      </c>
      <c r="AI450" s="555">
        <f>IF(AND(P447&gt;0,PROD!AI448&gt;0),(PROD!AI449/P447)*(1-K451)*100/(AE447/PROD!AI448),0)</f>
        <v>0</v>
      </c>
      <c r="AJ450" s="331">
        <f t="shared" si="252"/>
        <v>0</v>
      </c>
      <c r="AK450" s="2027"/>
      <c r="AL450" s="1284">
        <f t="shared" si="222"/>
        <v>0</v>
      </c>
      <c r="AM450" s="1285"/>
      <c r="AN450" s="1285"/>
      <c r="AO450" s="1285"/>
      <c r="AP450" s="1285"/>
      <c r="AQ450" s="1285"/>
      <c r="AR450" s="1285"/>
      <c r="AS450" s="1286"/>
      <c r="AT450" s="1287"/>
      <c r="AU450" s="1288"/>
      <c r="AV450" s="1289"/>
      <c r="AW450" s="1290"/>
      <c r="AX450" s="1291"/>
      <c r="AY450" s="1291"/>
      <c r="AZ450" s="1292"/>
      <c r="BA450" s="1293"/>
      <c r="BB450" s="1294"/>
      <c r="BC450" s="1295"/>
      <c r="BD450" s="1296">
        <f>BD449+PROD!L450-BA450</f>
        <v>0</v>
      </c>
      <c r="BE450" s="2133"/>
      <c r="BF450" s="507" t="e">
        <f t="shared" si="223"/>
        <v>#VALUE!</v>
      </c>
      <c r="BG450" s="329"/>
      <c r="BH450" s="1018">
        <f t="shared" si="224"/>
        <v>0</v>
      </c>
    </row>
    <row r="451" spans="1:60" ht="15" customHeight="1" x14ac:dyDescent="0.3">
      <c r="A451" s="2033"/>
      <c r="B451" s="287" t="str">
        <f t="shared" si="225"/>
        <v/>
      </c>
      <c r="C451" s="288" t="str">
        <f t="shared" si="219"/>
        <v/>
      </c>
      <c r="D451" s="691"/>
      <c r="E451" s="692"/>
      <c r="F451" s="693"/>
      <c r="G451" s="694"/>
      <c r="H451" s="695"/>
      <c r="I451" s="289">
        <f>I450-SUM($D451:F451)</f>
        <v>0</v>
      </c>
      <c r="J451" s="1237" t="str">
        <f>$J$10</f>
        <v>% Mort/Sel Acm Tab :</v>
      </c>
      <c r="K451" s="1238">
        <f>IFERROR(LOOKUP($A446,TP!$A$6:$A$108,GSh!$AR$6:$AR$108)/100,0)</f>
        <v>0</v>
      </c>
      <c r="L451" s="1246"/>
      <c r="M451" s="291">
        <f t="shared" si="253"/>
        <v>0</v>
      </c>
      <c r="N451" s="292" t="str">
        <f>$N$10</f>
        <v xml:space="preserve">Uniformidad (C. Lote) : </v>
      </c>
      <c r="O451" s="320">
        <f>LOOKUP($A446,'Pr-Sem'!$A$6:$A$108,'Pr-Sem'!$AG$6:$AG$108)</f>
        <v>0</v>
      </c>
      <c r="P451" s="320">
        <v>90</v>
      </c>
      <c r="Q451" s="321">
        <f>IF(AND(P451&gt;0,O451&gt;0),(O451/P451-1)*100,0)</f>
        <v>0</v>
      </c>
      <c r="R451" s="699"/>
      <c r="S451" s="762"/>
      <c r="T451" s="765">
        <f t="shared" si="230"/>
        <v>0</v>
      </c>
      <c r="U451" s="700"/>
      <c r="V451" s="701"/>
      <c r="W451" s="701"/>
      <c r="X451" s="295">
        <f t="shared" si="227"/>
        <v>0</v>
      </c>
      <c r="Y451" s="296">
        <f>IF(AA451&gt;0,V451,AE446/IF(Iniciar!$C$25="B X 40 K",40,IF(Iniciar!$C$25="B X 50 K",50,1))*I451/1000)</f>
        <v>0</v>
      </c>
      <c r="Z451" s="296">
        <f t="shared" si="228"/>
        <v>0</v>
      </c>
      <c r="AA451" s="297">
        <f t="shared" si="254"/>
        <v>0</v>
      </c>
      <c r="AB451" s="297">
        <f t="shared" si="220"/>
        <v>0</v>
      </c>
      <c r="AC451" s="2037" t="str">
        <f>$AC$10</f>
        <v xml:space="preserve">Cons ml /ave día: </v>
      </c>
      <c r="AD451" s="2038"/>
      <c r="AE451" s="2056">
        <f>IFERROR(SUMPRODUCT(AB446:AB452,I446:I452)/SUM(I446:I452),0)</f>
        <v>0</v>
      </c>
      <c r="AF451" s="2057"/>
      <c r="AG451" s="311" t="str">
        <f>CONCATENATE("Costo ",Iniciar!$C$25," : ")</f>
        <v xml:space="preserve">Costo Kilos : </v>
      </c>
      <c r="AH451" s="2043">
        <f>IFERROR(SUMPRODUCT(T446:T452,V446:V452)/SUMIF(T446:T452,"&gt;0",V446:V452),0)</f>
        <v>0</v>
      </c>
      <c r="AI451" s="2043"/>
      <c r="AJ451" s="313"/>
      <c r="AK451" s="2027"/>
      <c r="AL451" s="1284">
        <f t="shared" si="222"/>
        <v>0</v>
      </c>
      <c r="AM451" s="1285"/>
      <c r="AN451" s="1285"/>
      <c r="AO451" s="1285"/>
      <c r="AP451" s="1285"/>
      <c r="AQ451" s="1285"/>
      <c r="AR451" s="1285"/>
      <c r="AS451" s="1286"/>
      <c r="AT451" s="1287"/>
      <c r="AU451" s="1288"/>
      <c r="AV451" s="1289"/>
      <c r="AW451" s="1290"/>
      <c r="AX451" s="1291"/>
      <c r="AY451" s="1291"/>
      <c r="AZ451" s="1292"/>
      <c r="BA451" s="1293"/>
      <c r="BB451" s="1294"/>
      <c r="BC451" s="1295"/>
      <c r="BD451" s="1296">
        <f>BD450+PROD!L451-BA451</f>
        <v>0</v>
      </c>
      <c r="BE451" s="2133"/>
      <c r="BF451" s="507" t="e">
        <f t="shared" si="223"/>
        <v>#VALUE!</v>
      </c>
      <c r="BG451" s="329"/>
      <c r="BH451" s="1018">
        <f t="shared" si="224"/>
        <v>0</v>
      </c>
    </row>
    <row r="452" spans="1:60" ht="15" customHeight="1" x14ac:dyDescent="0.3">
      <c r="A452" s="2034"/>
      <c r="B452" s="287" t="str">
        <f t="shared" si="225"/>
        <v/>
      </c>
      <c r="C452" s="288" t="str">
        <f t="shared" si="219"/>
        <v/>
      </c>
      <c r="D452" s="691"/>
      <c r="E452" s="692"/>
      <c r="F452" s="693"/>
      <c r="G452" s="694"/>
      <c r="H452" s="695"/>
      <c r="I452" s="289">
        <f>I451-SUM($D452:F452)</f>
        <v>0</v>
      </c>
      <c r="J452" s="1239" t="str">
        <f>$J$11</f>
        <v>% Viabilidad :</v>
      </c>
      <c r="K452" s="1240">
        <f>IF(OR(SUM(L446:L452)&gt;0,SUM(V446:V452)&gt;0),1-(K449+K450),0)</f>
        <v>0</v>
      </c>
      <c r="L452" s="1247"/>
      <c r="M452" s="1248">
        <f>IF(I452&gt;0,(L452/IF(SUM(L446:L451)&gt;0,1,7))/I452,0)</f>
        <v>0</v>
      </c>
      <c r="N452" s="1249" t="str">
        <f>$N$11</f>
        <v xml:space="preserve">Uniformidad (10% +) : </v>
      </c>
      <c r="O452" s="1250">
        <f>IF(O450&gt;0,IF(O451&gt;0,100-SUM(O450:O451),0),0)</f>
        <v>0</v>
      </c>
      <c r="P452" s="1251">
        <f>100-SUM(P450:P451)</f>
        <v>5</v>
      </c>
      <c r="Q452" s="1252">
        <f>IF(AND(P452&gt;0,O452&gt;0),(O452/P452-1)*100,0)</f>
        <v>0</v>
      </c>
      <c r="R452" s="699"/>
      <c r="S452" s="762"/>
      <c r="T452" s="765">
        <f t="shared" si="230"/>
        <v>0</v>
      </c>
      <c r="U452" s="700"/>
      <c r="V452" s="701"/>
      <c r="W452" s="701"/>
      <c r="X452" s="295">
        <f t="shared" si="227"/>
        <v>0</v>
      </c>
      <c r="Y452" s="296">
        <f>IF(AA452&gt;0,V452,AE446/IF(Iniciar!$C$25="B X 40 K",40,IF(Iniciar!$C$25="B X 50 K",50,1))*I452/1000)</f>
        <v>0</v>
      </c>
      <c r="Z452" s="296">
        <f t="shared" si="228"/>
        <v>0</v>
      </c>
      <c r="AA452" s="297">
        <f>IF(I452&gt;0,(V452/IF(SUM(V446:V451)&gt;0,1,7))*$A$1/I452,0)</f>
        <v>0</v>
      </c>
      <c r="AB452" s="297">
        <f t="shared" si="220"/>
        <v>0</v>
      </c>
      <c r="AC452" s="2039" t="str">
        <f>$AC$11</f>
        <v xml:space="preserve">Relación Agua /Alimto: </v>
      </c>
      <c r="AD452" s="2040"/>
      <c r="AE452" s="2058">
        <f>IFERROR(AE451/AD446,0)</f>
        <v>0</v>
      </c>
      <c r="AF452" s="2059"/>
      <c r="AG452" s="1269" t="s">
        <v>237</v>
      </c>
      <c r="AH452" s="1270">
        <f>IF(SUM(L446:L452)&gt;0,AH451*SUM(V446:V452)/SUM(L446:L452),0)</f>
        <v>0</v>
      </c>
      <c r="AI452" s="1270">
        <f>IF(AND($A$1&gt;0,P446&gt;0),AH451/$A$1*(AE446/P446)*100,0)</f>
        <v>0</v>
      </c>
      <c r="AJ452" s="1271">
        <f t="shared" ref="AJ452:AJ457" si="255">IF(AND(AI452&gt;0,AH452&gt;0),(AH452/AI452-1)*100,0)</f>
        <v>0</v>
      </c>
      <c r="AK452" s="2028"/>
      <c r="AL452" s="1284">
        <f t="shared" si="222"/>
        <v>0</v>
      </c>
      <c r="AM452" s="1285"/>
      <c r="AN452" s="1285"/>
      <c r="AO452" s="1285"/>
      <c r="AP452" s="1285"/>
      <c r="AQ452" s="1285"/>
      <c r="AR452" s="1285"/>
      <c r="AS452" s="1286"/>
      <c r="AT452" s="1287"/>
      <c r="AU452" s="1288"/>
      <c r="AV452" s="1289"/>
      <c r="AW452" s="1290"/>
      <c r="AX452" s="1291"/>
      <c r="AY452" s="1291"/>
      <c r="AZ452" s="1292"/>
      <c r="BA452" s="1293"/>
      <c r="BB452" s="1294"/>
      <c r="BC452" s="1295"/>
      <c r="BD452" s="1296">
        <f>BD451+PROD!L452-BA452</f>
        <v>0</v>
      </c>
      <c r="BE452" s="2134"/>
      <c r="BF452" s="507" t="e">
        <f t="shared" si="223"/>
        <v>#VALUE!</v>
      </c>
      <c r="BG452" s="329"/>
      <c r="BH452" s="1018">
        <f t="shared" si="224"/>
        <v>0</v>
      </c>
    </row>
    <row r="453" spans="1:60" ht="15" customHeight="1" x14ac:dyDescent="0.3">
      <c r="A453" s="2032">
        <f>A446+1</f>
        <v>82</v>
      </c>
      <c r="B453" s="287" t="str">
        <f t="shared" si="225"/>
        <v/>
      </c>
      <c r="C453" s="288" t="str">
        <f t="shared" ref="C453:C516" si="256">IF(B453="","",(B453-Fnac+1)/7)</f>
        <v/>
      </c>
      <c r="D453" s="691"/>
      <c r="E453" s="692"/>
      <c r="F453" s="693"/>
      <c r="G453" s="694"/>
      <c r="H453" s="695"/>
      <c r="I453" s="289">
        <f>I452-SUM($D453:F453)</f>
        <v>0</v>
      </c>
      <c r="J453" s="1232" t="str">
        <f>$J$5</f>
        <v>% Mort Sem :</v>
      </c>
      <c r="K453" s="1233">
        <f>IF(PROD!$K$2&gt;0,SUM(D453:D459)/PROD!$K$2,0)</f>
        <v>0</v>
      </c>
      <c r="L453" s="1241"/>
      <c r="M453" s="1242">
        <f t="shared" ref="M453:M458" si="257">IF(I453&gt;0,L453/I453,0)</f>
        <v>0</v>
      </c>
      <c r="N453" s="1243" t="str">
        <f>$N$5</f>
        <v xml:space="preserve">% Pdn prom semana : </v>
      </c>
      <c r="O453" s="1244">
        <f>IF(SUM(L453:L458)&gt;0,100*SUMPRODUCT(M453:M459,I453:I459)/SUMIF(L453:L459,"&gt;0",I453:I459),IF(L459&gt;0,100*L459/7/I459,0))</f>
        <v>0</v>
      </c>
      <c r="P453" s="1244">
        <f>IFERROR(LOOKUP($A453,TP!$A$6:$A$108,GSh!$AE$6:$AE$108),0)</f>
        <v>0</v>
      </c>
      <c r="Q453" s="1245">
        <f>IF(AND(P453&gt;0,O453&gt;0),O453-P453,0)</f>
        <v>0</v>
      </c>
      <c r="R453" s="699"/>
      <c r="S453" s="762"/>
      <c r="T453" s="765">
        <f t="shared" si="230"/>
        <v>0</v>
      </c>
      <c r="U453" s="700"/>
      <c r="V453" s="701"/>
      <c r="W453" s="701"/>
      <c r="X453" s="295">
        <f t="shared" si="227"/>
        <v>0</v>
      </c>
      <c r="Y453" s="296">
        <f>IF(AA453&gt;0,V453,AE453/IF(Iniciar!$C$25="B X 40 K",40,IF(Iniciar!$C$25="B X 50 K",50,1))*I453/1000)</f>
        <v>0</v>
      </c>
      <c r="Z453" s="296">
        <f t="shared" si="228"/>
        <v>0</v>
      </c>
      <c r="AA453" s="297">
        <f t="shared" ref="AA453:AA458" si="258">IF(I453&gt;0,V453*$A$1/I453,0)</f>
        <v>0</v>
      </c>
      <c r="AB453" s="297">
        <f t="shared" ref="AB453:AB516" si="259">IFERROR(R453*1000/I453,0)</f>
        <v>0</v>
      </c>
      <c r="AC453" s="1261" t="str">
        <f>$AC$5</f>
        <v>Gr. Ave Dia :</v>
      </c>
      <c r="AD453" s="1262">
        <f>IF(SUMIF(V453:V459,"&gt;0")&gt;0,SUMPRODUCT(AA453:AA459,I453:I459)/SUMIF(AA453:AA459,"&gt;0",I453:I459),0)</f>
        <v>0</v>
      </c>
      <c r="AE453" s="1262">
        <f>IFERROR(LOOKUP($A453,TP!$A$6:$A$108,GSh!$AU$6:$AU$108),0)</f>
        <v>0</v>
      </c>
      <c r="AF453" s="1263">
        <f>IF(AND(AE453&gt;0,AD453&gt;0),(AD453/AE453-1)*100,0)</f>
        <v>0</v>
      </c>
      <c r="AG453" s="1264" t="str">
        <f>PROD!$AG$5</f>
        <v>Gr X H</v>
      </c>
      <c r="AH453" s="1265">
        <f>IF(PROD!O453&gt;0,IF($AG453="Gr X H",PROD!AD453/PROD!O453*100,IF($AG453="Conv Kg/Doc",PROD!AD453/PROD!O453*1.2,IF(PROD!$O455&gt;0,PROD!AD453/(PROD!O453*PROD!$O455)*100,0))),0)</f>
        <v>0</v>
      </c>
      <c r="AI453" s="1265">
        <f>IF(PROD!P453&gt;0,IF($AG453="Gr X H",PROD!AE453/PROD!P453*100,IF($AG453="Conv Kg/Doc",PROD!AE453/PROD!P453*1.2,IF(PROD!$P455&gt;0,PROD!AE453/(PROD!P453*PROD!$P455)*100,0))),0)</f>
        <v>0</v>
      </c>
      <c r="AJ453" s="1266">
        <f t="shared" si="255"/>
        <v>0</v>
      </c>
      <c r="AK453" s="2026"/>
      <c r="AL453" s="1284">
        <f t="shared" ref="AL453:AL516" si="260">L453-SUM(AM453:AS453)-SUM(AW453:AZ453)-SUM(AT453:AV453)</f>
        <v>0</v>
      </c>
      <c r="AM453" s="1285"/>
      <c r="AN453" s="1285"/>
      <c r="AO453" s="1285"/>
      <c r="AP453" s="1285"/>
      <c r="AQ453" s="1285"/>
      <c r="AR453" s="1285"/>
      <c r="AS453" s="1286"/>
      <c r="AT453" s="1287"/>
      <c r="AU453" s="1288"/>
      <c r="AV453" s="1289"/>
      <c r="AW453" s="1290"/>
      <c r="AX453" s="1291"/>
      <c r="AY453" s="1291"/>
      <c r="AZ453" s="1292"/>
      <c r="BA453" s="1293"/>
      <c r="BB453" s="1294"/>
      <c r="BC453" s="1295"/>
      <c r="BD453" s="1296">
        <f>BD452+PROD!L453-BA453</f>
        <v>0</v>
      </c>
      <c r="BE453" s="2132">
        <f>IF(SUM(AM453:AZ459)&gt;0,(SUM(AM453:AM459)*$AM$2+SUM(AN453:AN459)*$AN$2+SUM(AO453:AO459)*$AO$2+SUM(AP453:AP459)*$AP$2+SUM(AQ453:AQ459)*$AQ$2+SUM(AR453:AR459)*$AR$2+SUM(AS453:AS459)*$AS$2+SUM(AW453:AW459)*$AW$2+SUM(AX453:AX459)*$AX$2+SUM(AY453:AY459)*$AY$2+SUM(AZ453:AZ459)*$AZ$2+SUM(AT453:AT459)*$AT$2+SUM(AU453:AU459)*$AU$2+SUM(AV453:AV459)*$AV$2)/SUM(AM453:AZ459),0)</f>
        <v>0</v>
      </c>
      <c r="BF453" s="507" t="e">
        <f t="shared" ref="BF453:BF516" si="261">INT((B453-Fnac)/7)+1</f>
        <v>#VALUE!</v>
      </c>
      <c r="BG453" s="277">
        <f>IF(SUM(L453:L459)&gt;0,A453,IF(SUM(V453:V459)&gt;0,A453,BG446))</f>
        <v>0</v>
      </c>
      <c r="BH453" s="1018">
        <f t="shared" ref="BH453:BH516" si="262">T453*V453</f>
        <v>0</v>
      </c>
    </row>
    <row r="454" spans="1:60" ht="15" customHeight="1" x14ac:dyDescent="0.3">
      <c r="A454" s="2033"/>
      <c r="B454" s="287" t="str">
        <f t="shared" ref="B454:B517" si="263">IF(B453="","",B453+1)</f>
        <v/>
      </c>
      <c r="C454" s="288" t="str">
        <f t="shared" si="256"/>
        <v/>
      </c>
      <c r="D454" s="691"/>
      <c r="E454" s="692"/>
      <c r="F454" s="693"/>
      <c r="G454" s="694"/>
      <c r="H454" s="695"/>
      <c r="I454" s="289">
        <f>I453-SUM($D454:F454)</f>
        <v>0</v>
      </c>
      <c r="J454" s="1234" t="str">
        <f>$J$6</f>
        <v>% Sel Sem :</v>
      </c>
      <c r="K454" s="1231">
        <f>IF(PROD!$K$2&gt;0,SUM(E453:E459)/PROD!$K$2,0)</f>
        <v>0</v>
      </c>
      <c r="L454" s="1246"/>
      <c r="M454" s="291">
        <f t="shared" si="257"/>
        <v>0</v>
      </c>
      <c r="N454" s="292" t="str">
        <f>$N$6</f>
        <v xml:space="preserve">H. Ave Alojada : </v>
      </c>
      <c r="O454" s="293">
        <f>IF(AND(PROD!$K$2&gt;0,O453&gt;0),SUM(L$5:L459)/PROD!$K$2,0)</f>
        <v>0</v>
      </c>
      <c r="P454" s="293">
        <f>IFERROR(LOOKUP($A453,TP!$A$6:$A$108,GSh!$AJ$6:$AJ$108),0)</f>
        <v>0</v>
      </c>
      <c r="Q454" s="294">
        <f>IF(AND(P454&gt;0,O454&gt;0),O454-P454,0)</f>
        <v>0</v>
      </c>
      <c r="R454" s="699"/>
      <c r="S454" s="762"/>
      <c r="T454" s="765">
        <f t="shared" si="230"/>
        <v>0</v>
      </c>
      <c r="U454" s="700"/>
      <c r="V454" s="701"/>
      <c r="W454" s="701"/>
      <c r="X454" s="295">
        <f t="shared" ref="X454:X517" si="264">X453+U454-V454-W454</f>
        <v>0</v>
      </c>
      <c r="Y454" s="296">
        <f>IF(AA454&gt;0,V454,AE453/IF(Iniciar!$C$25="B X 40 K",40,IF(Iniciar!$C$25="B X 50 K",50,1))*I454/1000)</f>
        <v>0</v>
      </c>
      <c r="Z454" s="296">
        <f t="shared" ref="Z454:Z517" si="265">Z453+U454-Y454-W454</f>
        <v>0</v>
      </c>
      <c r="AA454" s="297">
        <f t="shared" si="258"/>
        <v>0</v>
      </c>
      <c r="AB454" s="297">
        <f t="shared" si="259"/>
        <v>0</v>
      </c>
      <c r="AC454" s="1267" t="str">
        <f>$AC$6</f>
        <v>Gr. Ave Sem :</v>
      </c>
      <c r="AD454" s="284">
        <f>AD453*7</f>
        <v>0</v>
      </c>
      <c r="AE454" s="284">
        <f>AE453*7</f>
        <v>0</v>
      </c>
      <c r="AF454" s="285">
        <f>IF(AND(AE454&gt;0,AD454&gt;0),(AD454/AE454-1)*100,0)</f>
        <v>0</v>
      </c>
      <c r="AG454" s="1199" t="str">
        <f>PROD!$AG$6</f>
        <v>Gr X H Acm</v>
      </c>
      <c r="AH454" s="298">
        <f>IF(SUM(PROD!L453:L459)&gt;0,IF(PROD!$AG$5="Gr X H",SUM(PROD!V$5:V459)*PROD!$A$1/SUM(PROD!L$5:L459),IF($AG453="Conv Kg/Doc",(SUM(PROD!V$5:V459)*PROD!$A$1/1000)/(SUM(PROD!L$5:L459)/12),IF(PROD!$O455&gt;0,SUM(PROD!V$5:V459)*PROD!$A$1/(SUM(PROD!L$5:L459)*LOOKUP(PROD!A453,TP!$A$6:$A$108,GSh!$BB$6:$BB$108)),0))),0)</f>
        <v>0</v>
      </c>
      <c r="AI454" s="298">
        <f>IF(PROD!P453&gt;0,IF($AG453="Gr X H",PROD!AE453/PROD!P453*100,IF($AG453="Conv Kg/Doc",PROD!AE453/PROD!P453*1.2,IF(PROD!$P454&gt;0,PROD!AE455/(PROD!P454*LOOKUP(PROD!$A453,TP!$A$6:$A$108,GSh!$BC$6:$BC$108)/1000),0))),0)</f>
        <v>0</v>
      </c>
      <c r="AJ454" s="328">
        <f t="shared" si="255"/>
        <v>0</v>
      </c>
      <c r="AK454" s="2027"/>
      <c r="AL454" s="1284">
        <f t="shared" si="260"/>
        <v>0</v>
      </c>
      <c r="AM454" s="1285"/>
      <c r="AN454" s="1285"/>
      <c r="AO454" s="1285"/>
      <c r="AP454" s="1285"/>
      <c r="AQ454" s="1285"/>
      <c r="AR454" s="1285"/>
      <c r="AS454" s="1286"/>
      <c r="AT454" s="1287"/>
      <c r="AU454" s="1288"/>
      <c r="AV454" s="1289"/>
      <c r="AW454" s="1290"/>
      <c r="AX454" s="1291"/>
      <c r="AY454" s="1291"/>
      <c r="AZ454" s="1292"/>
      <c r="BA454" s="1293"/>
      <c r="BB454" s="1294"/>
      <c r="BC454" s="1295"/>
      <c r="BD454" s="1296">
        <f>BD453+PROD!L454-BA454</f>
        <v>0</v>
      </c>
      <c r="BE454" s="2133"/>
      <c r="BF454" s="507" t="e">
        <f t="shared" si="261"/>
        <v>#VALUE!</v>
      </c>
      <c r="BG454" s="329"/>
      <c r="BH454" s="1018">
        <f t="shared" si="262"/>
        <v>0</v>
      </c>
    </row>
    <row r="455" spans="1:60" ht="15" customHeight="1" x14ac:dyDescent="0.3">
      <c r="A455" s="2033"/>
      <c r="B455" s="287" t="str">
        <f t="shared" si="263"/>
        <v/>
      </c>
      <c r="C455" s="288" t="str">
        <f t="shared" si="256"/>
        <v/>
      </c>
      <c r="D455" s="691"/>
      <c r="E455" s="692"/>
      <c r="F455" s="693"/>
      <c r="G455" s="694"/>
      <c r="H455" s="695"/>
      <c r="I455" s="289">
        <f>I454-SUM($D455:F455)</f>
        <v>0</v>
      </c>
      <c r="J455" s="1235" t="str">
        <f>$J$7</f>
        <v>% Mort/Sel Sem Tab :</v>
      </c>
      <c r="K455" s="1236">
        <f>K458-K451</f>
        <v>0</v>
      </c>
      <c r="L455" s="1246"/>
      <c r="M455" s="291">
        <f t="shared" si="257"/>
        <v>0</v>
      </c>
      <c r="N455" s="304" t="str">
        <f>$N$7</f>
        <v xml:space="preserve">Peso Huevo (Gr) : </v>
      </c>
      <c r="O455" s="305">
        <f>LOOKUP($A453,'Pr-Sem'!$A$6:$A$108,'Pr-Sem'!$Z$6:$Z$108)</f>
        <v>0</v>
      </c>
      <c r="P455" s="305">
        <f>IFERROR(LOOKUP($A453,TP!$A$6:$A$108,GSh!$AZ$6:$AZ$108),0)</f>
        <v>0</v>
      </c>
      <c r="Q455" s="306">
        <f>IF(AND(P455&gt;0,O455&gt;0),O455-P455,0)</f>
        <v>0</v>
      </c>
      <c r="R455" s="699"/>
      <c r="S455" s="762"/>
      <c r="T455" s="765">
        <f t="shared" si="230"/>
        <v>0</v>
      </c>
      <c r="U455" s="700"/>
      <c r="V455" s="701"/>
      <c r="W455" s="701"/>
      <c r="X455" s="295">
        <f t="shared" si="264"/>
        <v>0</v>
      </c>
      <c r="Y455" s="296">
        <f>IF(AA455&gt;0,V455,AE453/IF(Iniciar!$C$25="B X 40 K",40,IF(Iniciar!$C$25="B X 50 K",50,1))*I455/1000)</f>
        <v>0</v>
      </c>
      <c r="Z455" s="296">
        <f t="shared" si="265"/>
        <v>0</v>
      </c>
      <c r="AA455" s="297">
        <f t="shared" si="258"/>
        <v>0</v>
      </c>
      <c r="AB455" s="297">
        <f t="shared" si="259"/>
        <v>0</v>
      </c>
      <c r="AC455" s="1268" t="str">
        <f>$AC$7</f>
        <v>Kg Ave Acu :</v>
      </c>
      <c r="AD455" s="308">
        <f>IF(OR(SUM(L453:L459)&gt;0,SUM(V453:V459)&gt;0),AD454/1000+AD448,0)</f>
        <v>0</v>
      </c>
      <c r="AE455" s="309">
        <f>AE454/1000+AE448</f>
        <v>0</v>
      </c>
      <c r="AF455" s="310">
        <f>IF(AND(AE455&gt;0,AD455&gt;0),(AD455/AE455-1)*100,0)</f>
        <v>0</v>
      </c>
      <c r="AG455" s="311" t="str">
        <f>PROD!$AG$7</f>
        <v xml:space="preserve">Masa Sem H (Gr) : </v>
      </c>
      <c r="AH455" s="312">
        <f>PROD!O453/100*7*PROD!O455</f>
        <v>0</v>
      </c>
      <c r="AI455" s="312">
        <f>PROD!P453/100*7*PROD!P455</f>
        <v>0</v>
      </c>
      <c r="AJ455" s="313">
        <f t="shared" si="255"/>
        <v>0</v>
      </c>
      <c r="AK455" s="2027"/>
      <c r="AL455" s="1284">
        <f t="shared" si="260"/>
        <v>0</v>
      </c>
      <c r="AM455" s="1285"/>
      <c r="AN455" s="1285"/>
      <c r="AO455" s="1285"/>
      <c r="AP455" s="1285"/>
      <c r="AQ455" s="1285"/>
      <c r="AR455" s="1285"/>
      <c r="AS455" s="1286"/>
      <c r="AT455" s="1287"/>
      <c r="AU455" s="1288"/>
      <c r="AV455" s="1289"/>
      <c r="AW455" s="1290"/>
      <c r="AX455" s="1291"/>
      <c r="AY455" s="1291"/>
      <c r="AZ455" s="1292"/>
      <c r="BA455" s="1293"/>
      <c r="BB455" s="1294"/>
      <c r="BC455" s="1295"/>
      <c r="BD455" s="1296">
        <f>BD454+PROD!L455-BA455</f>
        <v>0</v>
      </c>
      <c r="BE455" s="2133"/>
      <c r="BF455" s="507" t="e">
        <f t="shared" si="261"/>
        <v>#VALUE!</v>
      </c>
      <c r="BG455" s="329"/>
      <c r="BH455" s="1018">
        <f t="shared" si="262"/>
        <v>0</v>
      </c>
    </row>
    <row r="456" spans="1:60" ht="15" customHeight="1" x14ac:dyDescent="0.3">
      <c r="A456" s="2033"/>
      <c r="B456" s="287" t="str">
        <f t="shared" si="263"/>
        <v/>
      </c>
      <c r="C456" s="288" t="str">
        <f t="shared" si="256"/>
        <v/>
      </c>
      <c r="D456" s="691"/>
      <c r="E456" s="692"/>
      <c r="F456" s="693"/>
      <c r="G456" s="694"/>
      <c r="H456" s="695"/>
      <c r="I456" s="289">
        <f>I455-SUM($D456:F456)</f>
        <v>0</v>
      </c>
      <c r="J456" s="1234" t="str">
        <f>$J$8</f>
        <v>% Mort Acm :</v>
      </c>
      <c r="K456" s="1231">
        <f>IF(PROD!$K$2&gt;0,SUM(D$5:D459)/PROD!$K$2,0)</f>
        <v>0</v>
      </c>
      <c r="L456" s="1246"/>
      <c r="M456" s="291">
        <f t="shared" si="257"/>
        <v>0</v>
      </c>
      <c r="N456" s="314" t="str">
        <f>N$8</f>
        <v xml:space="preserve">Peso Ave (Gr) : </v>
      </c>
      <c r="O456" s="315">
        <f>LOOKUP($A453,GSh!$BV$6:$BV$108,GSh!$BJ$6:$BJ$108)</f>
        <v>0</v>
      </c>
      <c r="P456" s="315">
        <f>IFERROR(LOOKUP($A453,TP!$A$6:$A$108,GSh!$BK$6:$BK$108),0)</f>
        <v>0</v>
      </c>
      <c r="Q456" s="316">
        <f>IF(AND(P456&gt;0,O456&gt;0),(O456/P456-1)*100,0)</f>
        <v>0</v>
      </c>
      <c r="R456" s="699"/>
      <c r="S456" s="762"/>
      <c r="T456" s="765">
        <f t="shared" si="230"/>
        <v>0</v>
      </c>
      <c r="U456" s="700"/>
      <c r="V456" s="701"/>
      <c r="W456" s="701"/>
      <c r="X456" s="295">
        <f t="shared" si="264"/>
        <v>0</v>
      </c>
      <c r="Y456" s="296">
        <f>IF(AA456&gt;0,V456,AE453/IF(Iniciar!$C$25="B X 40 K",40,IF(Iniciar!$C$25="B X 50 K",50,1))*I456/1000)</f>
        <v>0</v>
      </c>
      <c r="Z456" s="296">
        <f t="shared" si="265"/>
        <v>0</v>
      </c>
      <c r="AA456" s="297">
        <f t="shared" si="258"/>
        <v>0</v>
      </c>
      <c r="AB456" s="297">
        <f t="shared" si="259"/>
        <v>0</v>
      </c>
      <c r="AC456" s="541" t="str">
        <f>$AC$8</f>
        <v xml:space="preserve">Ton. Lote Acu : </v>
      </c>
      <c r="AD456" s="544">
        <f>SUM($V$5:$V459)*$A$1/1000000</f>
        <v>0</v>
      </c>
      <c r="AE456" s="543">
        <f>AE449+(AE453/1000000*7*(I453+I459)/2)</f>
        <v>0</v>
      </c>
      <c r="AF456" s="542">
        <f>IF(AND(AE456&gt;0,AD456&gt;0),(AD456/AE456-1)*100,0)</f>
        <v>0</v>
      </c>
      <c r="AG456" s="317" t="str">
        <f>PROD!$AG$8</f>
        <v xml:space="preserve">Masa Ac A. A (Kg) : </v>
      </c>
      <c r="AH456" s="318">
        <f>IF(PROD!$K$2&gt;0,SUM(PROD!L$5:L459)*LOOKUP(PROD!$A453,TP!$A$6:$A$108,GSh!$BB$6:$BB$108)/1000/PROD!$K$2,0)</f>
        <v>0</v>
      </c>
      <c r="AI456" s="318">
        <f>IFERROR(PROD!P454*LOOKUP(PROD!$A453,TP!$A$6:$A$108,GSh!$BC$6:$BC$108)/1000,0)</f>
        <v>0</v>
      </c>
      <c r="AJ456" s="330">
        <f t="shared" si="255"/>
        <v>0</v>
      </c>
      <c r="AK456" s="2027"/>
      <c r="AL456" s="1284">
        <f t="shared" si="260"/>
        <v>0</v>
      </c>
      <c r="AM456" s="1285"/>
      <c r="AN456" s="1285"/>
      <c r="AO456" s="1285"/>
      <c r="AP456" s="1285"/>
      <c r="AQ456" s="1285"/>
      <c r="AR456" s="1285"/>
      <c r="AS456" s="1286"/>
      <c r="AT456" s="1287"/>
      <c r="AU456" s="1288"/>
      <c r="AV456" s="1289"/>
      <c r="AW456" s="1290"/>
      <c r="AX456" s="1291"/>
      <c r="AY456" s="1291"/>
      <c r="AZ456" s="1292"/>
      <c r="BA456" s="1293"/>
      <c r="BB456" s="1294"/>
      <c r="BC456" s="1295"/>
      <c r="BD456" s="1296">
        <f>BD455+PROD!L456-BA456</f>
        <v>0</v>
      </c>
      <c r="BE456" s="2133"/>
      <c r="BF456" s="507" t="e">
        <f t="shared" si="261"/>
        <v>#VALUE!</v>
      </c>
      <c r="BG456" s="329"/>
      <c r="BH456" s="1018">
        <f t="shared" si="262"/>
        <v>0</v>
      </c>
    </row>
    <row r="457" spans="1:60" ht="15" customHeight="1" x14ac:dyDescent="0.3">
      <c r="A457" s="2033"/>
      <c r="B457" s="287" t="str">
        <f t="shared" si="263"/>
        <v/>
      </c>
      <c r="C457" s="288" t="str">
        <f t="shared" si="256"/>
        <v/>
      </c>
      <c r="D457" s="691"/>
      <c r="E457" s="692"/>
      <c r="F457" s="693"/>
      <c r="G457" s="694"/>
      <c r="H457" s="695"/>
      <c r="I457" s="289">
        <f>I456-SUM($D457:F457)</f>
        <v>0</v>
      </c>
      <c r="J457" s="1234" t="str">
        <f>$J$9</f>
        <v>% Sel Acm :</v>
      </c>
      <c r="K457" s="1231">
        <f>IF(PROD!$K$2&gt;0,SUM(E$5:E459)/PROD!$K$2,0)</f>
        <v>0</v>
      </c>
      <c r="L457" s="1246"/>
      <c r="M457" s="291">
        <f t="shared" si="257"/>
        <v>0</v>
      </c>
      <c r="N457" s="292" t="str">
        <f>$N$9</f>
        <v xml:space="preserve">Uniformidad (10% -) : </v>
      </c>
      <c r="O457" s="320">
        <f>LOOKUP($A453,'Pr-Sem'!$A$6:$A$108,'Pr-Sem'!$AH$6:$AH$108)</f>
        <v>0</v>
      </c>
      <c r="P457" s="320">
        <v>5</v>
      </c>
      <c r="Q457" s="321">
        <f>IF(AND(P457&gt;0,O457&gt;0),(1-O457/P457)*100,0)</f>
        <v>0</v>
      </c>
      <c r="R457" s="699"/>
      <c r="S457" s="762"/>
      <c r="T457" s="765">
        <f t="shared" si="230"/>
        <v>0</v>
      </c>
      <c r="U457" s="700"/>
      <c r="V457" s="701"/>
      <c r="W457" s="701"/>
      <c r="X457" s="295">
        <f t="shared" si="264"/>
        <v>0</v>
      </c>
      <c r="Y457" s="296">
        <f>IF(AA457&gt;0,V457,AE453/IF(Iniciar!$C$25="B X 40 K",40,IF(Iniciar!$C$25="B X 50 K",50,1))*I457/1000)</f>
        <v>0</v>
      </c>
      <c r="Z457" s="296">
        <f t="shared" si="265"/>
        <v>0</v>
      </c>
      <c r="AA457" s="297">
        <f t="shared" si="258"/>
        <v>0</v>
      </c>
      <c r="AB457" s="297">
        <f t="shared" si="259"/>
        <v>0</v>
      </c>
      <c r="AC457" s="2035" t="str">
        <f>$AC$9</f>
        <v xml:space="preserve">Total Litros Sem: </v>
      </c>
      <c r="AD457" s="2036"/>
      <c r="AE457" s="2050">
        <f>SUM(R453:R459)</f>
        <v>0</v>
      </c>
      <c r="AF457" s="2051"/>
      <c r="AG457" s="554" t="str">
        <f>$AG$9</f>
        <v xml:space="preserve">Indicador Eficiencia : </v>
      </c>
      <c r="AH457" s="555">
        <f>IF(AND(AE457&gt;0,O454&gt;0,O455&gt;0,SUM(L453:L459)&gt;0),(PROD!AH456/O454)*K459*100/(AE457/(SUM(L453:L459)*O455/1000)),0)</f>
        <v>0</v>
      </c>
      <c r="AI457" s="555">
        <f>IF(AND(P454&gt;0,PROD!AI455&gt;0),(PROD!AI456/P454)*(1-K458)*100/(AE454/PROD!AI455),0)</f>
        <v>0</v>
      </c>
      <c r="AJ457" s="331">
        <f t="shared" si="255"/>
        <v>0</v>
      </c>
      <c r="AK457" s="2027"/>
      <c r="AL457" s="1284">
        <f t="shared" si="260"/>
        <v>0</v>
      </c>
      <c r="AM457" s="1285"/>
      <c r="AN457" s="1285"/>
      <c r="AO457" s="1285"/>
      <c r="AP457" s="1285"/>
      <c r="AQ457" s="1285"/>
      <c r="AR457" s="1285"/>
      <c r="AS457" s="1286"/>
      <c r="AT457" s="1287"/>
      <c r="AU457" s="1288"/>
      <c r="AV457" s="1289"/>
      <c r="AW457" s="1290"/>
      <c r="AX457" s="1291"/>
      <c r="AY457" s="1291"/>
      <c r="AZ457" s="1292"/>
      <c r="BA457" s="1293"/>
      <c r="BB457" s="1294"/>
      <c r="BC457" s="1295"/>
      <c r="BD457" s="1296">
        <f>BD456+PROD!L457-BA457</f>
        <v>0</v>
      </c>
      <c r="BE457" s="2133"/>
      <c r="BF457" s="507" t="e">
        <f t="shared" si="261"/>
        <v>#VALUE!</v>
      </c>
      <c r="BG457" s="329"/>
      <c r="BH457" s="1018">
        <f t="shared" si="262"/>
        <v>0</v>
      </c>
    </row>
    <row r="458" spans="1:60" ht="15" customHeight="1" x14ac:dyDescent="0.3">
      <c r="A458" s="2033"/>
      <c r="B458" s="287" t="str">
        <f t="shared" si="263"/>
        <v/>
      </c>
      <c r="C458" s="288" t="str">
        <f t="shared" si="256"/>
        <v/>
      </c>
      <c r="D458" s="691"/>
      <c r="E458" s="692"/>
      <c r="F458" s="693"/>
      <c r="G458" s="694"/>
      <c r="H458" s="695"/>
      <c r="I458" s="289">
        <f>I457-SUM($D458:F458)</f>
        <v>0</v>
      </c>
      <c r="J458" s="1237" t="str">
        <f>$J$10</f>
        <v>% Mort/Sel Acm Tab :</v>
      </c>
      <c r="K458" s="1238">
        <f>IFERROR(LOOKUP($A453,TP!$A$6:$A$108,GSh!$AR$6:$AR$108)/100,0)</f>
        <v>0</v>
      </c>
      <c r="L458" s="1246"/>
      <c r="M458" s="291">
        <f t="shared" si="257"/>
        <v>0</v>
      </c>
      <c r="N458" s="292" t="str">
        <f>$N$10</f>
        <v xml:space="preserve">Uniformidad (C. Lote) : </v>
      </c>
      <c r="O458" s="320">
        <f>LOOKUP($A453,'Pr-Sem'!$A$6:$A$108,'Pr-Sem'!$AG$6:$AG$108)</f>
        <v>0</v>
      </c>
      <c r="P458" s="320">
        <v>90</v>
      </c>
      <c r="Q458" s="321">
        <f>IF(AND(P458&gt;0,O458&gt;0),(O458/P458-1)*100,0)</f>
        <v>0</v>
      </c>
      <c r="R458" s="699"/>
      <c r="S458" s="762"/>
      <c r="T458" s="765">
        <f t="shared" si="230"/>
        <v>0</v>
      </c>
      <c r="U458" s="700"/>
      <c r="V458" s="701"/>
      <c r="W458" s="701"/>
      <c r="X458" s="295">
        <f t="shared" si="264"/>
        <v>0</v>
      </c>
      <c r="Y458" s="296">
        <f>IF(AA458&gt;0,V458,AE453/IF(Iniciar!$C$25="B X 40 K",40,IF(Iniciar!$C$25="B X 50 K",50,1))*I458/1000)</f>
        <v>0</v>
      </c>
      <c r="Z458" s="296">
        <f t="shared" si="265"/>
        <v>0</v>
      </c>
      <c r="AA458" s="297">
        <f t="shared" si="258"/>
        <v>0</v>
      </c>
      <c r="AB458" s="297">
        <f t="shared" si="259"/>
        <v>0</v>
      </c>
      <c r="AC458" s="2037" t="str">
        <f>$AC$10</f>
        <v xml:space="preserve">Cons ml /ave día: </v>
      </c>
      <c r="AD458" s="2038"/>
      <c r="AE458" s="2056">
        <f>IFERROR(SUMPRODUCT(AB453:AB459,I453:I459)/SUM(I453:I459),0)</f>
        <v>0</v>
      </c>
      <c r="AF458" s="2057"/>
      <c r="AG458" s="311" t="str">
        <f>CONCATENATE("Costo ",Iniciar!$C$25," : ")</f>
        <v xml:space="preserve">Costo Kilos : </v>
      </c>
      <c r="AH458" s="2043">
        <f>IFERROR(SUMPRODUCT(T453:T459,V453:V459)/SUMIF(T453:T459,"&gt;0",V453:V459),0)</f>
        <v>0</v>
      </c>
      <c r="AI458" s="2043"/>
      <c r="AJ458" s="313"/>
      <c r="AK458" s="2027"/>
      <c r="AL458" s="1284">
        <f t="shared" si="260"/>
        <v>0</v>
      </c>
      <c r="AM458" s="1285"/>
      <c r="AN458" s="1285"/>
      <c r="AO458" s="1285"/>
      <c r="AP458" s="1285"/>
      <c r="AQ458" s="1285"/>
      <c r="AR458" s="1285"/>
      <c r="AS458" s="1286"/>
      <c r="AT458" s="1287"/>
      <c r="AU458" s="1288"/>
      <c r="AV458" s="1289"/>
      <c r="AW458" s="1290"/>
      <c r="AX458" s="1291"/>
      <c r="AY458" s="1291"/>
      <c r="AZ458" s="1292"/>
      <c r="BA458" s="1293"/>
      <c r="BB458" s="1294"/>
      <c r="BC458" s="1295"/>
      <c r="BD458" s="1296">
        <f>BD457+PROD!L458-BA458</f>
        <v>0</v>
      </c>
      <c r="BE458" s="2133"/>
      <c r="BF458" s="507" t="e">
        <f t="shared" si="261"/>
        <v>#VALUE!</v>
      </c>
      <c r="BG458" s="329"/>
      <c r="BH458" s="1018">
        <f t="shared" si="262"/>
        <v>0</v>
      </c>
    </row>
    <row r="459" spans="1:60" ht="15" customHeight="1" x14ac:dyDescent="0.3">
      <c r="A459" s="2034"/>
      <c r="B459" s="287" t="str">
        <f t="shared" si="263"/>
        <v/>
      </c>
      <c r="C459" s="288" t="str">
        <f t="shared" si="256"/>
        <v/>
      </c>
      <c r="D459" s="691"/>
      <c r="E459" s="692"/>
      <c r="F459" s="693"/>
      <c r="G459" s="694"/>
      <c r="H459" s="695"/>
      <c r="I459" s="289">
        <f>I458-SUM($D459:F459)</f>
        <v>0</v>
      </c>
      <c r="J459" s="1239" t="str">
        <f>$J$11</f>
        <v>% Viabilidad :</v>
      </c>
      <c r="K459" s="1240">
        <f>IF(OR(SUM(L453:L459)&gt;0,SUM(V453:V459)&gt;0),1-(K456+K457),0)</f>
        <v>0</v>
      </c>
      <c r="L459" s="1247"/>
      <c r="M459" s="1248">
        <f>IF(I459&gt;0,(L459/IF(SUM(L453:L458)&gt;0,1,7))/I459,0)</f>
        <v>0</v>
      </c>
      <c r="N459" s="1249" t="str">
        <f>$N$11</f>
        <v xml:space="preserve">Uniformidad (10% +) : </v>
      </c>
      <c r="O459" s="1250">
        <f>IF(O457&gt;0,IF(O458&gt;0,100-SUM(O457:O458),0),0)</f>
        <v>0</v>
      </c>
      <c r="P459" s="1251">
        <f>100-SUM(P457:P458)</f>
        <v>5</v>
      </c>
      <c r="Q459" s="1252">
        <f>IF(AND(P459&gt;0,O459&gt;0),(O459/P459-1)*100,0)</f>
        <v>0</v>
      </c>
      <c r="R459" s="699"/>
      <c r="S459" s="762"/>
      <c r="T459" s="765">
        <f t="shared" si="230"/>
        <v>0</v>
      </c>
      <c r="U459" s="700"/>
      <c r="V459" s="701"/>
      <c r="W459" s="701"/>
      <c r="X459" s="295">
        <f t="shared" si="264"/>
        <v>0</v>
      </c>
      <c r="Y459" s="296">
        <f>IF(AA459&gt;0,V459,AE453/IF(Iniciar!$C$25="B X 40 K",40,IF(Iniciar!$C$25="B X 50 K",50,1))*I459/1000)</f>
        <v>0</v>
      </c>
      <c r="Z459" s="296">
        <f t="shared" si="265"/>
        <v>0</v>
      </c>
      <c r="AA459" s="297">
        <f>IF(I459&gt;0,(V459/IF(SUM(V453:V458)&gt;0,1,7))*$A$1/I459,0)</f>
        <v>0</v>
      </c>
      <c r="AB459" s="297">
        <f t="shared" si="259"/>
        <v>0</v>
      </c>
      <c r="AC459" s="2039" t="str">
        <f>$AC$11</f>
        <v xml:space="preserve">Relación Agua /Alimto: </v>
      </c>
      <c r="AD459" s="2040"/>
      <c r="AE459" s="2058">
        <f>IFERROR(AE458/AD453,0)</f>
        <v>0</v>
      </c>
      <c r="AF459" s="2059"/>
      <c r="AG459" s="1269" t="s">
        <v>237</v>
      </c>
      <c r="AH459" s="1270">
        <f>IF(SUM(L453:L459)&gt;0,AH458*SUM(V453:V459)/SUM(L453:L459),0)</f>
        <v>0</v>
      </c>
      <c r="AI459" s="1270">
        <f>IF(AND($A$1&gt;0,P453&gt;0),AH458/$A$1*(AE453/P453)*100,0)</f>
        <v>0</v>
      </c>
      <c r="AJ459" s="1271">
        <f t="shared" ref="AJ459:AJ464" si="266">IF(AND(AI459&gt;0,AH459&gt;0),(AH459/AI459-1)*100,0)</f>
        <v>0</v>
      </c>
      <c r="AK459" s="2028"/>
      <c r="AL459" s="1284">
        <f t="shared" si="260"/>
        <v>0</v>
      </c>
      <c r="AM459" s="1285"/>
      <c r="AN459" s="1285"/>
      <c r="AO459" s="1285"/>
      <c r="AP459" s="1285"/>
      <c r="AQ459" s="1285"/>
      <c r="AR459" s="1285"/>
      <c r="AS459" s="1286"/>
      <c r="AT459" s="1287"/>
      <c r="AU459" s="1288"/>
      <c r="AV459" s="1289"/>
      <c r="AW459" s="1290"/>
      <c r="AX459" s="1291"/>
      <c r="AY459" s="1291"/>
      <c r="AZ459" s="1292"/>
      <c r="BA459" s="1293"/>
      <c r="BB459" s="1294"/>
      <c r="BC459" s="1295"/>
      <c r="BD459" s="1296">
        <f>BD458+PROD!L459-BA459</f>
        <v>0</v>
      </c>
      <c r="BE459" s="2134"/>
      <c r="BF459" s="507" t="e">
        <f t="shared" si="261"/>
        <v>#VALUE!</v>
      </c>
      <c r="BG459" s="329"/>
      <c r="BH459" s="1018">
        <f t="shared" si="262"/>
        <v>0</v>
      </c>
    </row>
    <row r="460" spans="1:60" ht="15" customHeight="1" x14ac:dyDescent="0.3">
      <c r="A460" s="2032">
        <f>A453+1</f>
        <v>83</v>
      </c>
      <c r="B460" s="287" t="str">
        <f t="shared" si="263"/>
        <v/>
      </c>
      <c r="C460" s="288" t="str">
        <f t="shared" si="256"/>
        <v/>
      </c>
      <c r="D460" s="691"/>
      <c r="E460" s="692"/>
      <c r="F460" s="693"/>
      <c r="G460" s="694"/>
      <c r="H460" s="695"/>
      <c r="I460" s="289">
        <f>I459-SUM($D460:F460)</f>
        <v>0</v>
      </c>
      <c r="J460" s="1232" t="str">
        <f>$J$5</f>
        <v>% Mort Sem :</v>
      </c>
      <c r="K460" s="1233">
        <f>IF(PROD!$K$2&gt;0,SUM(D460:D466)/PROD!$K$2,0)</f>
        <v>0</v>
      </c>
      <c r="L460" s="1241"/>
      <c r="M460" s="1242">
        <f t="shared" ref="M460:M465" si="267">IF(I460&gt;0,L460/I460,0)</f>
        <v>0</v>
      </c>
      <c r="N460" s="1243" t="str">
        <f>$N$5</f>
        <v xml:space="preserve">% Pdn prom semana : </v>
      </c>
      <c r="O460" s="1244">
        <f>IF(SUM(L460:L465)&gt;0,100*SUMPRODUCT(M460:M466,I460:I466)/SUMIF(L460:L466,"&gt;0",I460:I466),IF(L466&gt;0,100*L466/7/I466,0))</f>
        <v>0</v>
      </c>
      <c r="P460" s="1244">
        <f>IFERROR(LOOKUP($A460,TP!$A$6:$A$108,GSh!$AE$6:$AE$108),0)</f>
        <v>0</v>
      </c>
      <c r="Q460" s="1245">
        <f>IF(AND(P460&gt;0,O460&gt;0),O460-P460,0)</f>
        <v>0</v>
      </c>
      <c r="R460" s="699"/>
      <c r="S460" s="762"/>
      <c r="T460" s="765">
        <f t="shared" ref="T460:T523" si="268">T459</f>
        <v>0</v>
      </c>
      <c r="U460" s="700"/>
      <c r="V460" s="701"/>
      <c r="W460" s="701"/>
      <c r="X460" s="295">
        <f t="shared" si="264"/>
        <v>0</v>
      </c>
      <c r="Y460" s="296">
        <f>IF(AA460&gt;0,V460,AE460/IF(Iniciar!$C$25="B X 40 K",40,IF(Iniciar!$C$25="B X 50 K",50,1))*I460/1000)</f>
        <v>0</v>
      </c>
      <c r="Z460" s="296">
        <f t="shared" si="265"/>
        <v>0</v>
      </c>
      <c r="AA460" s="297">
        <f t="shared" ref="AA460:AA465" si="269">IF(I460&gt;0,V460*$A$1/I460,0)</f>
        <v>0</v>
      </c>
      <c r="AB460" s="297">
        <f t="shared" si="259"/>
        <v>0</v>
      </c>
      <c r="AC460" s="1261" t="str">
        <f>$AC$5</f>
        <v>Gr. Ave Dia :</v>
      </c>
      <c r="AD460" s="1262">
        <f>IF(SUMIF(V460:V466,"&gt;0")&gt;0,SUMPRODUCT(AA460:AA466,I460:I466)/SUMIF(AA460:AA466,"&gt;0",I460:I466),0)</f>
        <v>0</v>
      </c>
      <c r="AE460" s="1262">
        <f>IFERROR(LOOKUP($A460,TP!$A$6:$A$108,GSh!$AU$6:$AU$108),0)</f>
        <v>0</v>
      </c>
      <c r="AF460" s="1263">
        <f>IF(AND(AE460&gt;0,AD460&gt;0),(AD460/AE460-1)*100,0)</f>
        <v>0</v>
      </c>
      <c r="AG460" s="1264" t="str">
        <f>PROD!$AG$5</f>
        <v>Gr X H</v>
      </c>
      <c r="AH460" s="1265">
        <f>IF(PROD!O460&gt;0,IF($AG460="Gr X H",PROD!AD460/PROD!O460*100,IF($AG460="Conv Kg/Doc",PROD!AD460/PROD!O460*1.2,IF(PROD!$O462&gt;0,PROD!AD460/(PROD!O460*PROD!$O462)*100,0))),0)</f>
        <v>0</v>
      </c>
      <c r="AI460" s="1265">
        <f>IF(PROD!P460&gt;0,IF($AG460="Gr X H",PROD!AE460/PROD!P460*100,IF($AG460="Conv Kg/Doc",PROD!AE460/PROD!P460*1.2,IF(PROD!$P462&gt;0,PROD!AE460/(PROD!P460*PROD!$P462)*100,0))),0)</f>
        <v>0</v>
      </c>
      <c r="AJ460" s="1266">
        <f t="shared" si="266"/>
        <v>0</v>
      </c>
      <c r="AK460" s="2026"/>
      <c r="AL460" s="1284">
        <f t="shared" si="260"/>
        <v>0</v>
      </c>
      <c r="AM460" s="1285"/>
      <c r="AN460" s="1285"/>
      <c r="AO460" s="1285"/>
      <c r="AP460" s="1285"/>
      <c r="AQ460" s="1285"/>
      <c r="AR460" s="1285"/>
      <c r="AS460" s="1286"/>
      <c r="AT460" s="1287"/>
      <c r="AU460" s="1288"/>
      <c r="AV460" s="1289"/>
      <c r="AW460" s="1290"/>
      <c r="AX460" s="1291"/>
      <c r="AY460" s="1291"/>
      <c r="AZ460" s="1292"/>
      <c r="BA460" s="1293"/>
      <c r="BB460" s="1294"/>
      <c r="BC460" s="1295"/>
      <c r="BD460" s="1296">
        <f>BD459+PROD!L460-BA460</f>
        <v>0</v>
      </c>
      <c r="BE460" s="2132">
        <f>IF(SUM(AM460:AZ466)&gt;0,(SUM(AM460:AM466)*$AM$2+SUM(AN460:AN466)*$AN$2+SUM(AO460:AO466)*$AO$2+SUM(AP460:AP466)*$AP$2+SUM(AQ460:AQ466)*$AQ$2+SUM(AR460:AR466)*$AR$2+SUM(AS460:AS466)*$AS$2+SUM(AW460:AW466)*$AW$2+SUM(AX460:AX466)*$AX$2+SUM(AY460:AY466)*$AY$2+SUM(AZ460:AZ466)*$AZ$2+SUM(AT460:AT466)*$AT$2+SUM(AU460:AU466)*$AU$2+SUM(AV460:AV466)*$AV$2)/SUM(AM460:AZ466),0)</f>
        <v>0</v>
      </c>
      <c r="BF460" s="507" t="e">
        <f t="shared" si="261"/>
        <v>#VALUE!</v>
      </c>
      <c r="BG460" s="277">
        <f>IF(SUM(L460:L466)&gt;0,A460,IF(SUM(V460:V466)&gt;0,A460,BG453))</f>
        <v>0</v>
      </c>
      <c r="BH460" s="1018">
        <f t="shared" si="262"/>
        <v>0</v>
      </c>
    </row>
    <row r="461" spans="1:60" ht="15" customHeight="1" x14ac:dyDescent="0.3">
      <c r="A461" s="2033"/>
      <c r="B461" s="287" t="str">
        <f t="shared" si="263"/>
        <v/>
      </c>
      <c r="C461" s="288" t="str">
        <f t="shared" si="256"/>
        <v/>
      </c>
      <c r="D461" s="691"/>
      <c r="E461" s="692"/>
      <c r="F461" s="693"/>
      <c r="G461" s="694"/>
      <c r="H461" s="695"/>
      <c r="I461" s="289">
        <f>I460-SUM($D461:F461)</f>
        <v>0</v>
      </c>
      <c r="J461" s="1234" t="str">
        <f>$J$6</f>
        <v>% Sel Sem :</v>
      </c>
      <c r="K461" s="1231">
        <f>IF(PROD!$K$2&gt;0,SUM(E460:E466)/PROD!$K$2,0)</f>
        <v>0</v>
      </c>
      <c r="L461" s="1246"/>
      <c r="M461" s="291">
        <f t="shared" si="267"/>
        <v>0</v>
      </c>
      <c r="N461" s="292" t="str">
        <f>$N$6</f>
        <v xml:space="preserve">H. Ave Alojada : </v>
      </c>
      <c r="O461" s="293">
        <f>IF(AND(PROD!$K$2&gt;0,O460&gt;0),SUM(L$5:L466)/PROD!$K$2,0)</f>
        <v>0</v>
      </c>
      <c r="P461" s="293">
        <f>IFERROR(LOOKUP($A460,TP!$A$6:$A$108,GSh!$AJ$6:$AJ$108),0)</f>
        <v>0</v>
      </c>
      <c r="Q461" s="294">
        <f>IF(AND(P461&gt;0,O461&gt;0),O461-P461,0)</f>
        <v>0</v>
      </c>
      <c r="R461" s="699"/>
      <c r="S461" s="762"/>
      <c r="T461" s="765">
        <f t="shared" si="268"/>
        <v>0</v>
      </c>
      <c r="U461" s="700"/>
      <c r="V461" s="701"/>
      <c r="W461" s="701"/>
      <c r="X461" s="295">
        <f t="shared" si="264"/>
        <v>0</v>
      </c>
      <c r="Y461" s="296">
        <f>IF(AA461&gt;0,V461,AE460/IF(Iniciar!$C$25="B X 40 K",40,IF(Iniciar!$C$25="B X 50 K",50,1))*I461/1000)</f>
        <v>0</v>
      </c>
      <c r="Z461" s="296">
        <f t="shared" si="265"/>
        <v>0</v>
      </c>
      <c r="AA461" s="297">
        <f t="shared" si="269"/>
        <v>0</v>
      </c>
      <c r="AB461" s="297">
        <f t="shared" si="259"/>
        <v>0</v>
      </c>
      <c r="AC461" s="1267" t="str">
        <f>$AC$6</f>
        <v>Gr. Ave Sem :</v>
      </c>
      <c r="AD461" s="284">
        <f>AD460*7</f>
        <v>0</v>
      </c>
      <c r="AE461" s="284">
        <f>AE460*7</f>
        <v>0</v>
      </c>
      <c r="AF461" s="285">
        <f>IF(AND(AE461&gt;0,AD461&gt;0),(AD461/AE461-1)*100,0)</f>
        <v>0</v>
      </c>
      <c r="AG461" s="1199" t="str">
        <f>PROD!$AG$6</f>
        <v>Gr X H Acm</v>
      </c>
      <c r="AH461" s="298">
        <f>IF(SUM(PROD!L460:L466)&gt;0,IF(PROD!$AG$5="Gr X H",SUM(PROD!V$5:V466)*PROD!$A$1/SUM(PROD!L$5:L466),IF($AG460="Conv Kg/Doc",(SUM(PROD!V$5:V466)*PROD!$A$1/1000)/(SUM(PROD!L$5:L466)/12),IF(PROD!$O462&gt;0,SUM(PROD!V$5:V466)*PROD!$A$1/(SUM(PROD!L$5:L466)*LOOKUP(PROD!A460,TP!$A$6:$A$108,GSh!$BB$6:$BB$108)),0))),0)</f>
        <v>0</v>
      </c>
      <c r="AI461" s="298">
        <f>IF(PROD!P460&gt;0,IF($AG460="Gr X H",PROD!AE460/PROD!P460*100,IF($AG460="Conv Kg/Doc",PROD!AE460/PROD!P460*1.2,IF(PROD!$P461&gt;0,PROD!AE462/(PROD!P461*LOOKUP(PROD!$A460,TP!$A$6:$A$108,GSh!$BC$6:$BC$108)/1000),0))),0)</f>
        <v>0</v>
      </c>
      <c r="AJ461" s="328">
        <f t="shared" si="266"/>
        <v>0</v>
      </c>
      <c r="AK461" s="2027"/>
      <c r="AL461" s="1284">
        <f t="shared" si="260"/>
        <v>0</v>
      </c>
      <c r="AM461" s="1285"/>
      <c r="AN461" s="1285"/>
      <c r="AO461" s="1285"/>
      <c r="AP461" s="1285"/>
      <c r="AQ461" s="1285"/>
      <c r="AR461" s="1285"/>
      <c r="AS461" s="1286"/>
      <c r="AT461" s="1287"/>
      <c r="AU461" s="1288"/>
      <c r="AV461" s="1289"/>
      <c r="AW461" s="1290"/>
      <c r="AX461" s="1291"/>
      <c r="AY461" s="1291"/>
      <c r="AZ461" s="1292"/>
      <c r="BA461" s="1293"/>
      <c r="BB461" s="1294"/>
      <c r="BC461" s="1295"/>
      <c r="BD461" s="1296">
        <f>BD460+PROD!L461-BA461</f>
        <v>0</v>
      </c>
      <c r="BE461" s="2133"/>
      <c r="BF461" s="507" t="e">
        <f t="shared" si="261"/>
        <v>#VALUE!</v>
      </c>
      <c r="BG461" s="329"/>
      <c r="BH461" s="1018">
        <f t="shared" si="262"/>
        <v>0</v>
      </c>
    </row>
    <row r="462" spans="1:60" ht="15" customHeight="1" x14ac:dyDescent="0.3">
      <c r="A462" s="2033"/>
      <c r="B462" s="287" t="str">
        <f t="shared" si="263"/>
        <v/>
      </c>
      <c r="C462" s="288" t="str">
        <f t="shared" si="256"/>
        <v/>
      </c>
      <c r="D462" s="691"/>
      <c r="E462" s="692"/>
      <c r="F462" s="693"/>
      <c r="G462" s="694"/>
      <c r="H462" s="695"/>
      <c r="I462" s="289">
        <f>I461-SUM($D462:F462)</f>
        <v>0</v>
      </c>
      <c r="J462" s="1235" t="str">
        <f>$J$7</f>
        <v>% Mort/Sel Sem Tab :</v>
      </c>
      <c r="K462" s="1236">
        <f>K465-K458</f>
        <v>0</v>
      </c>
      <c r="L462" s="1246"/>
      <c r="M462" s="291">
        <f t="shared" si="267"/>
        <v>0</v>
      </c>
      <c r="N462" s="304" t="str">
        <f>$N$7</f>
        <v xml:space="preserve">Peso Huevo (Gr) : </v>
      </c>
      <c r="O462" s="305">
        <f>LOOKUP($A460,'Pr-Sem'!$A$6:$A$108,'Pr-Sem'!$Z$6:$Z$108)</f>
        <v>0</v>
      </c>
      <c r="P462" s="305">
        <f>IFERROR(LOOKUP($A460,TP!$A$6:$A$108,GSh!$AZ$6:$AZ$108),0)</f>
        <v>0</v>
      </c>
      <c r="Q462" s="306">
        <f>IF(AND(P462&gt;0,O462&gt;0),O462-P462,0)</f>
        <v>0</v>
      </c>
      <c r="R462" s="699"/>
      <c r="S462" s="762"/>
      <c r="T462" s="765">
        <f t="shared" si="268"/>
        <v>0</v>
      </c>
      <c r="U462" s="700"/>
      <c r="V462" s="701"/>
      <c r="W462" s="701"/>
      <c r="X462" s="295">
        <f t="shared" si="264"/>
        <v>0</v>
      </c>
      <c r="Y462" s="296">
        <f>IF(AA462&gt;0,V462,AE460/IF(Iniciar!$C$25="B X 40 K",40,IF(Iniciar!$C$25="B X 50 K",50,1))*I462/1000)</f>
        <v>0</v>
      </c>
      <c r="Z462" s="296">
        <f t="shared" si="265"/>
        <v>0</v>
      </c>
      <c r="AA462" s="297">
        <f t="shared" si="269"/>
        <v>0</v>
      </c>
      <c r="AB462" s="297">
        <f t="shared" si="259"/>
        <v>0</v>
      </c>
      <c r="AC462" s="1268" t="str">
        <f>$AC$7</f>
        <v>Kg Ave Acu :</v>
      </c>
      <c r="AD462" s="308">
        <f>IF(OR(SUM(L460:L466)&gt;0,SUM(V460:V466)&gt;0),AD461/1000+AD455,0)</f>
        <v>0</v>
      </c>
      <c r="AE462" s="309">
        <f>AE461/1000+AE455</f>
        <v>0</v>
      </c>
      <c r="AF462" s="310">
        <f>IF(AND(AE462&gt;0,AD462&gt;0),(AD462/AE462-1)*100,0)</f>
        <v>0</v>
      </c>
      <c r="AG462" s="311" t="str">
        <f>PROD!$AG$7</f>
        <v xml:space="preserve">Masa Sem H (Gr) : </v>
      </c>
      <c r="AH462" s="312">
        <f>PROD!O460/100*7*PROD!O462</f>
        <v>0</v>
      </c>
      <c r="AI462" s="312">
        <f>PROD!P460/100*7*PROD!P462</f>
        <v>0</v>
      </c>
      <c r="AJ462" s="313">
        <f t="shared" si="266"/>
        <v>0</v>
      </c>
      <c r="AK462" s="2027"/>
      <c r="AL462" s="1284">
        <f t="shared" si="260"/>
        <v>0</v>
      </c>
      <c r="AM462" s="1285"/>
      <c r="AN462" s="1285"/>
      <c r="AO462" s="1285"/>
      <c r="AP462" s="1285"/>
      <c r="AQ462" s="1285"/>
      <c r="AR462" s="1285"/>
      <c r="AS462" s="1286"/>
      <c r="AT462" s="1287"/>
      <c r="AU462" s="1288"/>
      <c r="AV462" s="1289"/>
      <c r="AW462" s="1290"/>
      <c r="AX462" s="1291"/>
      <c r="AY462" s="1291"/>
      <c r="AZ462" s="1292"/>
      <c r="BA462" s="1293"/>
      <c r="BB462" s="1294"/>
      <c r="BC462" s="1295"/>
      <c r="BD462" s="1296">
        <f>BD461+PROD!L462-BA462</f>
        <v>0</v>
      </c>
      <c r="BE462" s="2133"/>
      <c r="BF462" s="507" t="e">
        <f t="shared" si="261"/>
        <v>#VALUE!</v>
      </c>
      <c r="BG462" s="329"/>
      <c r="BH462" s="1018">
        <f t="shared" si="262"/>
        <v>0</v>
      </c>
    </row>
    <row r="463" spans="1:60" ht="15" customHeight="1" x14ac:dyDescent="0.3">
      <c r="A463" s="2033"/>
      <c r="B463" s="287" t="str">
        <f t="shared" si="263"/>
        <v/>
      </c>
      <c r="C463" s="288" t="str">
        <f t="shared" si="256"/>
        <v/>
      </c>
      <c r="D463" s="691"/>
      <c r="E463" s="692"/>
      <c r="F463" s="693"/>
      <c r="G463" s="694"/>
      <c r="H463" s="695"/>
      <c r="I463" s="289">
        <f>I462-SUM($D463:F463)</f>
        <v>0</v>
      </c>
      <c r="J463" s="1234" t="str">
        <f>$J$8</f>
        <v>% Mort Acm :</v>
      </c>
      <c r="K463" s="1231">
        <f>IF(PROD!$K$2&gt;0,SUM(D$5:D466)/PROD!$K$2,0)</f>
        <v>0</v>
      </c>
      <c r="L463" s="1246"/>
      <c r="M463" s="291">
        <f t="shared" si="267"/>
        <v>0</v>
      </c>
      <c r="N463" s="314" t="str">
        <f>N$8</f>
        <v xml:space="preserve">Peso Ave (Gr) : </v>
      </c>
      <c r="O463" s="315">
        <f>LOOKUP($A460,GSh!$BV$6:$BV$108,GSh!$BJ$6:$BJ$108)</f>
        <v>0</v>
      </c>
      <c r="P463" s="315">
        <f>IFERROR(LOOKUP($A460,TP!$A$6:$A$108,GSh!$BK$6:$BK$108),0)</f>
        <v>0</v>
      </c>
      <c r="Q463" s="316">
        <f>IF(AND(P463&gt;0,O463&gt;0),(O463/P463-1)*100,0)</f>
        <v>0</v>
      </c>
      <c r="R463" s="699"/>
      <c r="S463" s="762"/>
      <c r="T463" s="765">
        <f t="shared" si="268"/>
        <v>0</v>
      </c>
      <c r="U463" s="700"/>
      <c r="V463" s="701"/>
      <c r="W463" s="701"/>
      <c r="X463" s="295">
        <f t="shared" si="264"/>
        <v>0</v>
      </c>
      <c r="Y463" s="296">
        <f>IF(AA463&gt;0,V463,AE460/IF(Iniciar!$C$25="B X 40 K",40,IF(Iniciar!$C$25="B X 50 K",50,1))*I463/1000)</f>
        <v>0</v>
      </c>
      <c r="Z463" s="296">
        <f t="shared" si="265"/>
        <v>0</v>
      </c>
      <c r="AA463" s="297">
        <f t="shared" si="269"/>
        <v>0</v>
      </c>
      <c r="AB463" s="297">
        <f t="shared" si="259"/>
        <v>0</v>
      </c>
      <c r="AC463" s="541" t="str">
        <f>$AC$8</f>
        <v xml:space="preserve">Ton. Lote Acu : </v>
      </c>
      <c r="AD463" s="544">
        <f>SUM($V$5:$V466)*$A$1/1000000</f>
        <v>0</v>
      </c>
      <c r="AE463" s="543">
        <f>AE456+(AE460/1000000*7*(I460+I466)/2)</f>
        <v>0</v>
      </c>
      <c r="AF463" s="542">
        <f>IF(AND(AE463&gt;0,AD463&gt;0),(AD463/AE463-1)*100,0)</f>
        <v>0</v>
      </c>
      <c r="AG463" s="317" t="str">
        <f>PROD!$AG$8</f>
        <v xml:space="preserve">Masa Ac A. A (Kg) : </v>
      </c>
      <c r="AH463" s="318">
        <f>IF(PROD!$K$2&gt;0,SUM(PROD!L$5:L466)*LOOKUP(PROD!$A460,TP!$A$6:$A$108,GSh!$BB$6:$BB$108)/1000/PROD!$K$2,0)</f>
        <v>0</v>
      </c>
      <c r="AI463" s="318">
        <f>IFERROR(PROD!P461*LOOKUP(PROD!$A460,TP!$A$6:$A$108,GSh!$BC$6:$BC$108)/1000,0)</f>
        <v>0</v>
      </c>
      <c r="AJ463" s="330">
        <f t="shared" si="266"/>
        <v>0</v>
      </c>
      <c r="AK463" s="2027"/>
      <c r="AL463" s="1284">
        <f t="shared" si="260"/>
        <v>0</v>
      </c>
      <c r="AM463" s="1285"/>
      <c r="AN463" s="1285"/>
      <c r="AO463" s="1285"/>
      <c r="AP463" s="1285"/>
      <c r="AQ463" s="1285"/>
      <c r="AR463" s="1285"/>
      <c r="AS463" s="1286"/>
      <c r="AT463" s="1287"/>
      <c r="AU463" s="1288"/>
      <c r="AV463" s="1289"/>
      <c r="AW463" s="1290"/>
      <c r="AX463" s="1291"/>
      <c r="AY463" s="1291"/>
      <c r="AZ463" s="1292"/>
      <c r="BA463" s="1293"/>
      <c r="BB463" s="1294"/>
      <c r="BC463" s="1295"/>
      <c r="BD463" s="1296">
        <f>BD462+PROD!L463-BA463</f>
        <v>0</v>
      </c>
      <c r="BE463" s="2133"/>
      <c r="BF463" s="507" t="e">
        <f t="shared" si="261"/>
        <v>#VALUE!</v>
      </c>
      <c r="BG463" s="329"/>
      <c r="BH463" s="1018">
        <f t="shared" si="262"/>
        <v>0</v>
      </c>
    </row>
    <row r="464" spans="1:60" ht="15" customHeight="1" x14ac:dyDescent="0.3">
      <c r="A464" s="2033"/>
      <c r="B464" s="287" t="str">
        <f t="shared" si="263"/>
        <v/>
      </c>
      <c r="C464" s="288" t="str">
        <f t="shared" si="256"/>
        <v/>
      </c>
      <c r="D464" s="691"/>
      <c r="E464" s="692"/>
      <c r="F464" s="693"/>
      <c r="G464" s="694"/>
      <c r="H464" s="695"/>
      <c r="I464" s="289">
        <f>I463-SUM($D464:F464)</f>
        <v>0</v>
      </c>
      <c r="J464" s="1234" t="str">
        <f>$J$9</f>
        <v>% Sel Acm :</v>
      </c>
      <c r="K464" s="1231">
        <f>IF(PROD!$K$2&gt;0,SUM(E$5:E466)/PROD!$K$2,0)</f>
        <v>0</v>
      </c>
      <c r="L464" s="1246"/>
      <c r="M464" s="291">
        <f t="shared" si="267"/>
        <v>0</v>
      </c>
      <c r="N464" s="292" t="str">
        <f>$N$9</f>
        <v xml:space="preserve">Uniformidad (10% -) : </v>
      </c>
      <c r="O464" s="320">
        <f>LOOKUP($A460,'Pr-Sem'!$A$6:$A$108,'Pr-Sem'!$AH$6:$AH$108)</f>
        <v>0</v>
      </c>
      <c r="P464" s="320">
        <v>5</v>
      </c>
      <c r="Q464" s="321">
        <f>IF(AND(P464&gt;0,O464&gt;0),(1-O464/P464)*100,0)</f>
        <v>0</v>
      </c>
      <c r="R464" s="699"/>
      <c r="S464" s="762"/>
      <c r="T464" s="765">
        <f t="shared" si="268"/>
        <v>0</v>
      </c>
      <c r="U464" s="700"/>
      <c r="V464" s="701"/>
      <c r="W464" s="701"/>
      <c r="X464" s="295">
        <f t="shared" si="264"/>
        <v>0</v>
      </c>
      <c r="Y464" s="296">
        <f>IF(AA464&gt;0,V464,AE460/IF(Iniciar!$C$25="B X 40 K",40,IF(Iniciar!$C$25="B X 50 K",50,1))*I464/1000)</f>
        <v>0</v>
      </c>
      <c r="Z464" s="296">
        <f t="shared" si="265"/>
        <v>0</v>
      </c>
      <c r="AA464" s="297">
        <f t="shared" si="269"/>
        <v>0</v>
      </c>
      <c r="AB464" s="297">
        <f t="shared" si="259"/>
        <v>0</v>
      </c>
      <c r="AC464" s="2035" t="str">
        <f>$AC$9</f>
        <v xml:space="preserve">Total Litros Sem: </v>
      </c>
      <c r="AD464" s="2036"/>
      <c r="AE464" s="2050">
        <f>SUM(R460:R466)</f>
        <v>0</v>
      </c>
      <c r="AF464" s="2051"/>
      <c r="AG464" s="554" t="str">
        <f>$AG$9</f>
        <v xml:space="preserve">Indicador Eficiencia : </v>
      </c>
      <c r="AH464" s="555">
        <f>IF(AND(AE464&gt;0,O461&gt;0,O462&gt;0,SUM(L460:L466)&gt;0),(PROD!AH463/O461)*K466*100/(AE464/(SUM(L460:L466)*O462/1000)),0)</f>
        <v>0</v>
      </c>
      <c r="AI464" s="555">
        <f>IF(AND(P461&gt;0,PROD!AI462&gt;0),(PROD!AI463/P461)*(1-K465)*100/(AE461/PROD!AI462),0)</f>
        <v>0</v>
      </c>
      <c r="AJ464" s="331">
        <f t="shared" si="266"/>
        <v>0</v>
      </c>
      <c r="AK464" s="2027"/>
      <c r="AL464" s="1284">
        <f t="shared" si="260"/>
        <v>0</v>
      </c>
      <c r="AM464" s="1285"/>
      <c r="AN464" s="1285"/>
      <c r="AO464" s="1285"/>
      <c r="AP464" s="1285"/>
      <c r="AQ464" s="1285"/>
      <c r="AR464" s="1285"/>
      <c r="AS464" s="1286"/>
      <c r="AT464" s="1287"/>
      <c r="AU464" s="1288"/>
      <c r="AV464" s="1289"/>
      <c r="AW464" s="1290"/>
      <c r="AX464" s="1291"/>
      <c r="AY464" s="1291"/>
      <c r="AZ464" s="1292"/>
      <c r="BA464" s="1293"/>
      <c r="BB464" s="1294"/>
      <c r="BC464" s="1295"/>
      <c r="BD464" s="1296">
        <f>BD463+PROD!L464-BA464</f>
        <v>0</v>
      </c>
      <c r="BE464" s="2133"/>
      <c r="BF464" s="507" t="e">
        <f t="shared" si="261"/>
        <v>#VALUE!</v>
      </c>
      <c r="BG464" s="329"/>
      <c r="BH464" s="1018">
        <f t="shared" si="262"/>
        <v>0</v>
      </c>
    </row>
    <row r="465" spans="1:60" ht="15" customHeight="1" x14ac:dyDescent="0.3">
      <c r="A465" s="2033"/>
      <c r="B465" s="287" t="str">
        <f t="shared" si="263"/>
        <v/>
      </c>
      <c r="C465" s="288" t="str">
        <f t="shared" si="256"/>
        <v/>
      </c>
      <c r="D465" s="691"/>
      <c r="E465" s="692"/>
      <c r="F465" s="693"/>
      <c r="G465" s="694"/>
      <c r="H465" s="695"/>
      <c r="I465" s="289">
        <f>I464-SUM($D465:F465)</f>
        <v>0</v>
      </c>
      <c r="J465" s="1237" t="str">
        <f>$J$10</f>
        <v>% Mort/Sel Acm Tab :</v>
      </c>
      <c r="K465" s="1238">
        <f>IFERROR(LOOKUP($A460,TP!$A$6:$A$108,GSh!$AR$6:$AR$108)/100,0)</f>
        <v>0</v>
      </c>
      <c r="L465" s="1246"/>
      <c r="M465" s="291">
        <f t="shared" si="267"/>
        <v>0</v>
      </c>
      <c r="N465" s="292" t="str">
        <f>$N$10</f>
        <v xml:space="preserve">Uniformidad (C. Lote) : </v>
      </c>
      <c r="O465" s="320">
        <f>LOOKUP($A460,'Pr-Sem'!$A$6:$A$108,'Pr-Sem'!$AG$6:$AG$108)</f>
        <v>0</v>
      </c>
      <c r="P465" s="320">
        <v>90</v>
      </c>
      <c r="Q465" s="321">
        <f>IF(AND(P465&gt;0,O465&gt;0),(O465/P465-1)*100,0)</f>
        <v>0</v>
      </c>
      <c r="R465" s="699"/>
      <c r="S465" s="762"/>
      <c r="T465" s="765">
        <f t="shared" si="268"/>
        <v>0</v>
      </c>
      <c r="U465" s="700"/>
      <c r="V465" s="701"/>
      <c r="W465" s="701"/>
      <c r="X465" s="295">
        <f t="shared" si="264"/>
        <v>0</v>
      </c>
      <c r="Y465" s="296">
        <f>IF(AA465&gt;0,V465,AE460/IF(Iniciar!$C$25="B X 40 K",40,IF(Iniciar!$C$25="B X 50 K",50,1))*I465/1000)</f>
        <v>0</v>
      </c>
      <c r="Z465" s="296">
        <f t="shared" si="265"/>
        <v>0</v>
      </c>
      <c r="AA465" s="297">
        <f t="shared" si="269"/>
        <v>0</v>
      </c>
      <c r="AB465" s="297">
        <f t="shared" si="259"/>
        <v>0</v>
      </c>
      <c r="AC465" s="2037" t="str">
        <f>$AC$10</f>
        <v xml:space="preserve">Cons ml /ave día: </v>
      </c>
      <c r="AD465" s="2038"/>
      <c r="AE465" s="2056">
        <f>IFERROR(SUMPRODUCT(AB460:AB466,I460:I466)/SUM(I460:I466),0)</f>
        <v>0</v>
      </c>
      <c r="AF465" s="2057"/>
      <c r="AG465" s="311" t="str">
        <f>CONCATENATE("Costo ",Iniciar!$C$25," : ")</f>
        <v xml:space="preserve">Costo Kilos : </v>
      </c>
      <c r="AH465" s="2043">
        <f>IFERROR(SUMPRODUCT(T460:T466,V460:V466)/SUMIF(T460:T466,"&gt;0",V460:V466),0)</f>
        <v>0</v>
      </c>
      <c r="AI465" s="2043"/>
      <c r="AJ465" s="313"/>
      <c r="AK465" s="2027"/>
      <c r="AL465" s="1284">
        <f t="shared" si="260"/>
        <v>0</v>
      </c>
      <c r="AM465" s="1285"/>
      <c r="AN465" s="1285"/>
      <c r="AO465" s="1285"/>
      <c r="AP465" s="1285"/>
      <c r="AQ465" s="1285"/>
      <c r="AR465" s="1285"/>
      <c r="AS465" s="1286"/>
      <c r="AT465" s="1287"/>
      <c r="AU465" s="1288"/>
      <c r="AV465" s="1289"/>
      <c r="AW465" s="1290"/>
      <c r="AX465" s="1291"/>
      <c r="AY465" s="1291"/>
      <c r="AZ465" s="1292"/>
      <c r="BA465" s="1293"/>
      <c r="BB465" s="1294"/>
      <c r="BC465" s="1295"/>
      <c r="BD465" s="1296">
        <f>BD464+PROD!L465-BA465</f>
        <v>0</v>
      </c>
      <c r="BE465" s="2133"/>
      <c r="BF465" s="507" t="e">
        <f t="shared" si="261"/>
        <v>#VALUE!</v>
      </c>
      <c r="BG465" s="329"/>
      <c r="BH465" s="1018">
        <f t="shared" si="262"/>
        <v>0</v>
      </c>
    </row>
    <row r="466" spans="1:60" ht="15" customHeight="1" x14ac:dyDescent="0.3">
      <c r="A466" s="2034"/>
      <c r="B466" s="287" t="str">
        <f t="shared" si="263"/>
        <v/>
      </c>
      <c r="C466" s="288" t="str">
        <f t="shared" si="256"/>
        <v/>
      </c>
      <c r="D466" s="691"/>
      <c r="E466" s="692"/>
      <c r="F466" s="693"/>
      <c r="G466" s="694"/>
      <c r="H466" s="695"/>
      <c r="I466" s="289">
        <f>I465-SUM($D466:F466)</f>
        <v>0</v>
      </c>
      <c r="J466" s="1239" t="str">
        <f>$J$11</f>
        <v>% Viabilidad :</v>
      </c>
      <c r="K466" s="1240">
        <f>IF(OR(SUM(L460:L466)&gt;0,SUM(V460:V466)&gt;0),1-(K463+K464),0)</f>
        <v>0</v>
      </c>
      <c r="L466" s="1247"/>
      <c r="M466" s="1248">
        <f>IF(I466&gt;0,(L466/IF(SUM(L460:L465)&gt;0,1,7))/I466,0)</f>
        <v>0</v>
      </c>
      <c r="N466" s="1249" t="str">
        <f>$N$11</f>
        <v xml:space="preserve">Uniformidad (10% +) : </v>
      </c>
      <c r="O466" s="1250">
        <f>IF(O464&gt;0,IF(O465&gt;0,100-SUM(O464:O465),0),0)</f>
        <v>0</v>
      </c>
      <c r="P466" s="1251">
        <f>100-SUM(P464:P465)</f>
        <v>5</v>
      </c>
      <c r="Q466" s="1252">
        <f>IF(AND(P466&gt;0,O466&gt;0),(O466/P466-1)*100,0)</f>
        <v>0</v>
      </c>
      <c r="R466" s="699"/>
      <c r="S466" s="762"/>
      <c r="T466" s="765">
        <f t="shared" si="268"/>
        <v>0</v>
      </c>
      <c r="U466" s="700"/>
      <c r="V466" s="701"/>
      <c r="W466" s="701"/>
      <c r="X466" s="295">
        <f t="shared" si="264"/>
        <v>0</v>
      </c>
      <c r="Y466" s="296">
        <f>IF(AA466&gt;0,V466,AE460/IF(Iniciar!$C$25="B X 40 K",40,IF(Iniciar!$C$25="B X 50 K",50,1))*I466/1000)</f>
        <v>0</v>
      </c>
      <c r="Z466" s="296">
        <f t="shared" si="265"/>
        <v>0</v>
      </c>
      <c r="AA466" s="297">
        <f>IF(I466&gt;0,(V466/IF(SUM(V460:V465)&gt;0,1,7))*$A$1/I466,0)</f>
        <v>0</v>
      </c>
      <c r="AB466" s="297">
        <f t="shared" si="259"/>
        <v>0</v>
      </c>
      <c r="AC466" s="2039" t="str">
        <f>$AC$11</f>
        <v xml:space="preserve">Relación Agua /Alimto: </v>
      </c>
      <c r="AD466" s="2040"/>
      <c r="AE466" s="2058">
        <f>IFERROR(AE465/AD460,0)</f>
        <v>0</v>
      </c>
      <c r="AF466" s="2059"/>
      <c r="AG466" s="1269" t="s">
        <v>237</v>
      </c>
      <c r="AH466" s="1270">
        <f>IF(SUM(L460:L466)&gt;0,AH465*SUM(V460:V466)/SUM(L460:L466),0)</f>
        <v>0</v>
      </c>
      <c r="AI466" s="1270">
        <f>IF(AND($A$1&gt;0,P460&gt;0),AH465/$A$1*(AE460/P460)*100,0)</f>
        <v>0</v>
      </c>
      <c r="AJ466" s="1271">
        <f t="shared" ref="AJ466:AJ471" si="270">IF(AND(AI466&gt;0,AH466&gt;0),(AH466/AI466-1)*100,0)</f>
        <v>0</v>
      </c>
      <c r="AK466" s="2028"/>
      <c r="AL466" s="1284">
        <f t="shared" si="260"/>
        <v>0</v>
      </c>
      <c r="AM466" s="1285"/>
      <c r="AN466" s="1285"/>
      <c r="AO466" s="1285"/>
      <c r="AP466" s="1285"/>
      <c r="AQ466" s="1285"/>
      <c r="AR466" s="1285"/>
      <c r="AS466" s="1286"/>
      <c r="AT466" s="1287"/>
      <c r="AU466" s="1288"/>
      <c r="AV466" s="1289"/>
      <c r="AW466" s="1290"/>
      <c r="AX466" s="1291"/>
      <c r="AY466" s="1291"/>
      <c r="AZ466" s="1292"/>
      <c r="BA466" s="1293"/>
      <c r="BB466" s="1294"/>
      <c r="BC466" s="1295"/>
      <c r="BD466" s="1296">
        <f>BD465+PROD!L466-BA466</f>
        <v>0</v>
      </c>
      <c r="BE466" s="2134"/>
      <c r="BF466" s="507" t="e">
        <f t="shared" si="261"/>
        <v>#VALUE!</v>
      </c>
      <c r="BG466" s="329"/>
      <c r="BH466" s="1018">
        <f t="shared" si="262"/>
        <v>0</v>
      </c>
    </row>
    <row r="467" spans="1:60" ht="15" customHeight="1" x14ac:dyDescent="0.3">
      <c r="A467" s="2032">
        <f>A460+1</f>
        <v>84</v>
      </c>
      <c r="B467" s="287" t="str">
        <f t="shared" si="263"/>
        <v/>
      </c>
      <c r="C467" s="288" t="str">
        <f t="shared" si="256"/>
        <v/>
      </c>
      <c r="D467" s="691"/>
      <c r="E467" s="692"/>
      <c r="F467" s="693"/>
      <c r="G467" s="694"/>
      <c r="H467" s="695"/>
      <c r="I467" s="289">
        <f>I466-SUM($D467:F467)</f>
        <v>0</v>
      </c>
      <c r="J467" s="1232" t="str">
        <f>$J$5</f>
        <v>% Mort Sem :</v>
      </c>
      <c r="K467" s="1233">
        <f>IF(PROD!$K$2&gt;0,SUM(D467:D473)/PROD!$K$2,0)</f>
        <v>0</v>
      </c>
      <c r="L467" s="1241"/>
      <c r="M467" s="1242">
        <f t="shared" ref="M467:M472" si="271">IF(I467&gt;0,L467/I467,0)</f>
        <v>0</v>
      </c>
      <c r="N467" s="1243" t="str">
        <f>$N$5</f>
        <v xml:space="preserve">% Pdn prom semana : </v>
      </c>
      <c r="O467" s="1244">
        <f>IF(SUM(L467:L472)&gt;0,100*SUMPRODUCT(M467:M473,I467:I473)/SUMIF(L467:L473,"&gt;0",I467:I473),IF(L473&gt;0,100*L473/7/I473,0))</f>
        <v>0</v>
      </c>
      <c r="P467" s="1244">
        <f>IFERROR(LOOKUP($A467,TP!$A$6:$A$108,GSh!$AE$6:$AE$108),0)</f>
        <v>0</v>
      </c>
      <c r="Q467" s="1245">
        <f>IF(AND(P467&gt;0,O467&gt;0),O467-P467,0)</f>
        <v>0</v>
      </c>
      <c r="R467" s="699"/>
      <c r="S467" s="762"/>
      <c r="T467" s="765">
        <f t="shared" si="268"/>
        <v>0</v>
      </c>
      <c r="U467" s="700"/>
      <c r="V467" s="701"/>
      <c r="W467" s="701"/>
      <c r="X467" s="295">
        <f t="shared" si="264"/>
        <v>0</v>
      </c>
      <c r="Y467" s="296">
        <f>IF(AA467&gt;0,V467,AE467/IF(Iniciar!$C$25="B X 40 K",40,IF(Iniciar!$C$25="B X 50 K",50,1))*I467/1000)</f>
        <v>0</v>
      </c>
      <c r="Z467" s="296">
        <f t="shared" si="265"/>
        <v>0</v>
      </c>
      <c r="AA467" s="297">
        <f t="shared" ref="AA467:AA472" si="272">IF(I467&gt;0,V467*$A$1/I467,0)</f>
        <v>0</v>
      </c>
      <c r="AB467" s="297">
        <f t="shared" si="259"/>
        <v>0</v>
      </c>
      <c r="AC467" s="1261" t="str">
        <f>$AC$5</f>
        <v>Gr. Ave Dia :</v>
      </c>
      <c r="AD467" s="1262">
        <f>IF(SUMIF(V467:V473,"&gt;0")&gt;0,SUMPRODUCT(AA467:AA473,I467:I473)/SUMIF(AA467:AA473,"&gt;0",I467:I473),0)</f>
        <v>0</v>
      </c>
      <c r="AE467" s="1262">
        <f>IFERROR(LOOKUP($A467,TP!$A$6:$A$108,GSh!$AU$6:$AU$108),0)</f>
        <v>0</v>
      </c>
      <c r="AF467" s="1263">
        <f>IF(AND(AE467&gt;0,AD467&gt;0),(AD467/AE467-1)*100,0)</f>
        <v>0</v>
      </c>
      <c r="AG467" s="1264" t="str">
        <f>PROD!$AG$5</f>
        <v>Gr X H</v>
      </c>
      <c r="AH467" s="1265">
        <f>IF(PROD!O467&gt;0,IF($AG467="Gr X H",PROD!AD467/PROD!O467*100,IF($AG467="Conv Kg/Doc",PROD!AD467/PROD!O467*1.2,IF(PROD!$O469&gt;0,PROD!AD467/(PROD!O467*PROD!$O469)*100,0))),0)</f>
        <v>0</v>
      </c>
      <c r="AI467" s="1265">
        <f>IF(PROD!P467&gt;0,IF($AG467="Gr X H",PROD!AE467/PROD!P467*100,IF($AG467="Conv Kg/Doc",PROD!AE467/PROD!P467*1.2,IF(PROD!$P469&gt;0,PROD!AE467/(PROD!P467*PROD!$P469)*100,0))),0)</f>
        <v>0</v>
      </c>
      <c r="AJ467" s="1266">
        <f t="shared" si="270"/>
        <v>0</v>
      </c>
      <c r="AK467" s="2026"/>
      <c r="AL467" s="1284">
        <f t="shared" si="260"/>
        <v>0</v>
      </c>
      <c r="AM467" s="1285"/>
      <c r="AN467" s="1285"/>
      <c r="AO467" s="1285"/>
      <c r="AP467" s="1285"/>
      <c r="AQ467" s="1285"/>
      <c r="AR467" s="1285"/>
      <c r="AS467" s="1286"/>
      <c r="AT467" s="1287"/>
      <c r="AU467" s="1288"/>
      <c r="AV467" s="1289"/>
      <c r="AW467" s="1290"/>
      <c r="AX467" s="1291"/>
      <c r="AY467" s="1291"/>
      <c r="AZ467" s="1292"/>
      <c r="BA467" s="1293"/>
      <c r="BB467" s="1294"/>
      <c r="BC467" s="1295"/>
      <c r="BD467" s="1296">
        <f>BD466+PROD!L467-BA467</f>
        <v>0</v>
      </c>
      <c r="BE467" s="2132">
        <f>IF(SUM(AM467:AZ473)&gt;0,(SUM(AM467:AM473)*$AM$2+SUM(AN467:AN473)*$AN$2+SUM(AO467:AO473)*$AO$2+SUM(AP467:AP473)*$AP$2+SUM(AQ467:AQ473)*$AQ$2+SUM(AR467:AR473)*$AR$2+SUM(AS467:AS473)*$AS$2+SUM(AW467:AW473)*$AW$2+SUM(AX467:AX473)*$AX$2+SUM(AY467:AY473)*$AY$2+SUM(AZ467:AZ473)*$AZ$2+SUM(AT467:AT473)*$AT$2+SUM(AU467:AU473)*$AU$2+SUM(AV467:AV473)*$AV$2)/SUM(AM467:AZ473),0)</f>
        <v>0</v>
      </c>
      <c r="BF467" s="507" t="e">
        <f t="shared" si="261"/>
        <v>#VALUE!</v>
      </c>
      <c r="BG467" s="277">
        <f>IF(SUM(L467:L473)&gt;0,A467,IF(SUM(V467:V473)&gt;0,A467,BG460))</f>
        <v>0</v>
      </c>
      <c r="BH467" s="1018">
        <f t="shared" si="262"/>
        <v>0</v>
      </c>
    </row>
    <row r="468" spans="1:60" ht="15" customHeight="1" x14ac:dyDescent="0.3">
      <c r="A468" s="2033"/>
      <c r="B468" s="287" t="str">
        <f t="shared" si="263"/>
        <v/>
      </c>
      <c r="C468" s="288" t="str">
        <f t="shared" si="256"/>
        <v/>
      </c>
      <c r="D468" s="691"/>
      <c r="E468" s="692"/>
      <c r="F468" s="693"/>
      <c r="G468" s="694"/>
      <c r="H468" s="695"/>
      <c r="I468" s="289">
        <f>I467-SUM($D468:F468)</f>
        <v>0</v>
      </c>
      <c r="J468" s="1234" t="str">
        <f>$J$6</f>
        <v>% Sel Sem :</v>
      </c>
      <c r="K468" s="1231">
        <f>IF(PROD!$K$2&gt;0,SUM(E467:E473)/PROD!$K$2,0)</f>
        <v>0</v>
      </c>
      <c r="L468" s="1246"/>
      <c r="M468" s="291">
        <f t="shared" si="271"/>
        <v>0</v>
      </c>
      <c r="N468" s="292" t="str">
        <f>$N$6</f>
        <v xml:space="preserve">H. Ave Alojada : </v>
      </c>
      <c r="O468" s="293">
        <f>IF(AND(PROD!$K$2&gt;0,O467&gt;0),SUM(L$5:L473)/PROD!$K$2,0)</f>
        <v>0</v>
      </c>
      <c r="P468" s="293">
        <f>IFERROR(LOOKUP($A467,TP!$A$6:$A$108,GSh!$AJ$6:$AJ$108),0)</f>
        <v>0</v>
      </c>
      <c r="Q468" s="294">
        <f>IF(AND(P468&gt;0,O468&gt;0),O468-P468,0)</f>
        <v>0</v>
      </c>
      <c r="R468" s="699"/>
      <c r="S468" s="762"/>
      <c r="T468" s="765">
        <f t="shared" si="268"/>
        <v>0</v>
      </c>
      <c r="U468" s="700"/>
      <c r="V468" s="701"/>
      <c r="W468" s="701"/>
      <c r="X468" s="295">
        <f t="shared" si="264"/>
        <v>0</v>
      </c>
      <c r="Y468" s="296">
        <f>IF(AA468&gt;0,V468,AE467/IF(Iniciar!$C$25="B X 40 K",40,IF(Iniciar!$C$25="B X 50 K",50,1))*I468/1000)</f>
        <v>0</v>
      </c>
      <c r="Z468" s="296">
        <f t="shared" si="265"/>
        <v>0</v>
      </c>
      <c r="AA468" s="297">
        <f t="shared" si="272"/>
        <v>0</v>
      </c>
      <c r="AB468" s="297">
        <f t="shared" si="259"/>
        <v>0</v>
      </c>
      <c r="AC468" s="1267" t="str">
        <f>$AC$6</f>
        <v>Gr. Ave Sem :</v>
      </c>
      <c r="AD468" s="284">
        <f>AD467*7</f>
        <v>0</v>
      </c>
      <c r="AE468" s="284">
        <f>AE467*7</f>
        <v>0</v>
      </c>
      <c r="AF468" s="285">
        <f>IF(AND(AE468&gt;0,AD468&gt;0),(AD468/AE468-1)*100,0)</f>
        <v>0</v>
      </c>
      <c r="AG468" s="1199" t="str">
        <f>PROD!$AG$6</f>
        <v>Gr X H Acm</v>
      </c>
      <c r="AH468" s="298">
        <f>IF(SUM(PROD!L467:L473)&gt;0,IF(PROD!$AG$5="Gr X H",SUM(PROD!V$5:V473)*PROD!$A$1/SUM(PROD!L$5:L473),IF($AG467="Conv Kg/Doc",(SUM(PROD!V$5:V473)*PROD!$A$1/1000)/(SUM(PROD!L$5:L473)/12),IF(PROD!$O469&gt;0,SUM(PROD!V$5:V473)*PROD!$A$1/(SUM(PROD!L$5:L473)*LOOKUP(PROD!A467,TP!$A$6:$A$108,GSh!$BB$6:$BB$108)),0))),0)</f>
        <v>0</v>
      </c>
      <c r="AI468" s="298">
        <f>IF(PROD!P467&gt;0,IF($AG467="Gr X H",PROD!AE467/PROD!P467*100,IF($AG467="Conv Kg/Doc",PROD!AE467/PROD!P467*1.2,IF(PROD!$P468&gt;0,PROD!AE469/(PROD!P468*LOOKUP(PROD!$A467,TP!$A$6:$A$108,GSh!$BC$6:$BC$108)/1000),0))),0)</f>
        <v>0</v>
      </c>
      <c r="AJ468" s="328">
        <f t="shared" si="270"/>
        <v>0</v>
      </c>
      <c r="AK468" s="2027"/>
      <c r="AL468" s="1284">
        <f t="shared" si="260"/>
        <v>0</v>
      </c>
      <c r="AM468" s="1285"/>
      <c r="AN468" s="1285"/>
      <c r="AO468" s="1285"/>
      <c r="AP468" s="1285"/>
      <c r="AQ468" s="1285"/>
      <c r="AR468" s="1285"/>
      <c r="AS468" s="1286"/>
      <c r="AT468" s="1287"/>
      <c r="AU468" s="1288"/>
      <c r="AV468" s="1289"/>
      <c r="AW468" s="1290"/>
      <c r="AX468" s="1291"/>
      <c r="AY468" s="1291"/>
      <c r="AZ468" s="1292"/>
      <c r="BA468" s="1293"/>
      <c r="BB468" s="1294"/>
      <c r="BC468" s="1295"/>
      <c r="BD468" s="1296">
        <f>BD467+PROD!L468-BA468</f>
        <v>0</v>
      </c>
      <c r="BE468" s="2133"/>
      <c r="BF468" s="507" t="e">
        <f t="shared" si="261"/>
        <v>#VALUE!</v>
      </c>
      <c r="BG468" s="329"/>
      <c r="BH468" s="1018">
        <f t="shared" si="262"/>
        <v>0</v>
      </c>
    </row>
    <row r="469" spans="1:60" ht="15" customHeight="1" x14ac:dyDescent="0.3">
      <c r="A469" s="2033"/>
      <c r="B469" s="287" t="str">
        <f t="shared" si="263"/>
        <v/>
      </c>
      <c r="C469" s="288" t="str">
        <f t="shared" si="256"/>
        <v/>
      </c>
      <c r="D469" s="691"/>
      <c r="E469" s="692"/>
      <c r="F469" s="693"/>
      <c r="G469" s="694"/>
      <c r="H469" s="695"/>
      <c r="I469" s="289">
        <f>I468-SUM($D469:F469)</f>
        <v>0</v>
      </c>
      <c r="J469" s="1235" t="str">
        <f>$J$7</f>
        <v>% Mort/Sel Sem Tab :</v>
      </c>
      <c r="K469" s="1236">
        <f>K472-K465</f>
        <v>0</v>
      </c>
      <c r="L469" s="1246"/>
      <c r="M469" s="291">
        <f t="shared" si="271"/>
        <v>0</v>
      </c>
      <c r="N469" s="304" t="str">
        <f>$N$7</f>
        <v xml:space="preserve">Peso Huevo (Gr) : </v>
      </c>
      <c r="O469" s="305">
        <f>LOOKUP($A467,'Pr-Sem'!$A$6:$A$108,'Pr-Sem'!$Z$6:$Z$108)</f>
        <v>0</v>
      </c>
      <c r="P469" s="305">
        <f>IFERROR(LOOKUP($A467,TP!$A$6:$A$108,GSh!$AZ$6:$AZ$108),0)</f>
        <v>0</v>
      </c>
      <c r="Q469" s="306">
        <f>IF(AND(P469&gt;0,O469&gt;0),O469-P469,0)</f>
        <v>0</v>
      </c>
      <c r="R469" s="699"/>
      <c r="S469" s="762"/>
      <c r="T469" s="765">
        <f t="shared" si="268"/>
        <v>0</v>
      </c>
      <c r="U469" s="700"/>
      <c r="V469" s="701"/>
      <c r="W469" s="701"/>
      <c r="X469" s="295">
        <f t="shared" si="264"/>
        <v>0</v>
      </c>
      <c r="Y469" s="296">
        <f>IF(AA469&gt;0,V469,AE467/IF(Iniciar!$C$25="B X 40 K",40,IF(Iniciar!$C$25="B X 50 K",50,1))*I469/1000)</f>
        <v>0</v>
      </c>
      <c r="Z469" s="296">
        <f t="shared" si="265"/>
        <v>0</v>
      </c>
      <c r="AA469" s="297">
        <f t="shared" si="272"/>
        <v>0</v>
      </c>
      <c r="AB469" s="297">
        <f t="shared" si="259"/>
        <v>0</v>
      </c>
      <c r="AC469" s="1268" t="str">
        <f>$AC$7</f>
        <v>Kg Ave Acu :</v>
      </c>
      <c r="AD469" s="308">
        <f>IF(OR(SUM(L467:L473)&gt;0,SUM(V467:V473)&gt;0),AD468/1000+AD462,0)</f>
        <v>0</v>
      </c>
      <c r="AE469" s="309">
        <f>AE468/1000+AE462</f>
        <v>0</v>
      </c>
      <c r="AF469" s="310">
        <f>IF(AND(AE469&gt;0,AD469&gt;0),(AD469/AE469-1)*100,0)</f>
        <v>0</v>
      </c>
      <c r="AG469" s="311" t="str">
        <f>PROD!$AG$7</f>
        <v xml:space="preserve">Masa Sem H (Gr) : </v>
      </c>
      <c r="AH469" s="312">
        <f>PROD!O467/100*7*PROD!O469</f>
        <v>0</v>
      </c>
      <c r="AI469" s="312">
        <f>PROD!P467/100*7*PROD!P469</f>
        <v>0</v>
      </c>
      <c r="AJ469" s="313">
        <f t="shared" si="270"/>
        <v>0</v>
      </c>
      <c r="AK469" s="2027"/>
      <c r="AL469" s="1284">
        <f t="shared" si="260"/>
        <v>0</v>
      </c>
      <c r="AM469" s="1285"/>
      <c r="AN469" s="1285"/>
      <c r="AO469" s="1285"/>
      <c r="AP469" s="1285"/>
      <c r="AQ469" s="1285"/>
      <c r="AR469" s="1285"/>
      <c r="AS469" s="1286"/>
      <c r="AT469" s="1287"/>
      <c r="AU469" s="1288"/>
      <c r="AV469" s="1289"/>
      <c r="AW469" s="1290"/>
      <c r="AX469" s="1291"/>
      <c r="AY469" s="1291"/>
      <c r="AZ469" s="1292"/>
      <c r="BA469" s="1293"/>
      <c r="BB469" s="1294"/>
      <c r="BC469" s="1295"/>
      <c r="BD469" s="1296">
        <f>BD468+PROD!L469-BA469</f>
        <v>0</v>
      </c>
      <c r="BE469" s="2133"/>
      <c r="BF469" s="507" t="e">
        <f t="shared" si="261"/>
        <v>#VALUE!</v>
      </c>
      <c r="BG469" s="329"/>
      <c r="BH469" s="1018">
        <f t="shared" si="262"/>
        <v>0</v>
      </c>
    </row>
    <row r="470" spans="1:60" ht="15" customHeight="1" x14ac:dyDescent="0.3">
      <c r="A470" s="2033"/>
      <c r="B470" s="287" t="str">
        <f t="shared" si="263"/>
        <v/>
      </c>
      <c r="C470" s="288" t="str">
        <f t="shared" si="256"/>
        <v/>
      </c>
      <c r="D470" s="691"/>
      <c r="E470" s="692"/>
      <c r="F470" s="693"/>
      <c r="G470" s="694"/>
      <c r="H470" s="695"/>
      <c r="I470" s="289">
        <f>I469-SUM($D470:F470)</f>
        <v>0</v>
      </c>
      <c r="J470" s="1234" t="str">
        <f>$J$8</f>
        <v>% Mort Acm :</v>
      </c>
      <c r="K470" s="1231">
        <f>IF(PROD!$K$2&gt;0,SUM(D$5:D473)/PROD!$K$2,0)</f>
        <v>0</v>
      </c>
      <c r="L470" s="1246"/>
      <c r="M470" s="291">
        <f t="shared" si="271"/>
        <v>0</v>
      </c>
      <c r="N470" s="314" t="str">
        <f>N$8</f>
        <v xml:space="preserve">Peso Ave (Gr) : </v>
      </c>
      <c r="O470" s="315">
        <f>LOOKUP($A467,GSh!$BV$6:$BV$108,GSh!$BJ$6:$BJ$108)</f>
        <v>0</v>
      </c>
      <c r="P470" s="315">
        <f>IFERROR(LOOKUP($A467,TP!$A$6:$A$108,GSh!$BK$6:$BK$108),0)</f>
        <v>0</v>
      </c>
      <c r="Q470" s="316">
        <f>IF(AND(P470&gt;0,O470&gt;0),(O470/P470-1)*100,0)</f>
        <v>0</v>
      </c>
      <c r="R470" s="699"/>
      <c r="S470" s="762"/>
      <c r="T470" s="765">
        <f t="shared" si="268"/>
        <v>0</v>
      </c>
      <c r="U470" s="700"/>
      <c r="V470" s="701"/>
      <c r="W470" s="701"/>
      <c r="X470" s="295">
        <f t="shared" si="264"/>
        <v>0</v>
      </c>
      <c r="Y470" s="296">
        <f>IF(AA470&gt;0,V470,AE467/IF(Iniciar!$C$25="B X 40 K",40,IF(Iniciar!$C$25="B X 50 K",50,1))*I470/1000)</f>
        <v>0</v>
      </c>
      <c r="Z470" s="296">
        <f t="shared" si="265"/>
        <v>0</v>
      </c>
      <c r="AA470" s="297">
        <f t="shared" si="272"/>
        <v>0</v>
      </c>
      <c r="AB470" s="297">
        <f t="shared" si="259"/>
        <v>0</v>
      </c>
      <c r="AC470" s="541" t="str">
        <f>$AC$8</f>
        <v xml:space="preserve">Ton. Lote Acu : </v>
      </c>
      <c r="AD470" s="544">
        <f>SUM($V$5:$V473)*$A$1/1000000</f>
        <v>0</v>
      </c>
      <c r="AE470" s="543">
        <f>AE463+(AE467/1000000*7*(I467+I473)/2)</f>
        <v>0</v>
      </c>
      <c r="AF470" s="542">
        <f>IF(AND(AE470&gt;0,AD470&gt;0),(AD470/AE470-1)*100,0)</f>
        <v>0</v>
      </c>
      <c r="AG470" s="317" t="str">
        <f>PROD!$AG$8</f>
        <v xml:space="preserve">Masa Ac A. A (Kg) : </v>
      </c>
      <c r="AH470" s="318">
        <f>IF(PROD!$K$2&gt;0,SUM(PROD!L$5:L473)*LOOKUP(PROD!$A467,TP!$A$6:$A$108,GSh!$BB$6:$BB$108)/1000/PROD!$K$2,0)</f>
        <v>0</v>
      </c>
      <c r="AI470" s="318">
        <f>IFERROR(PROD!P468*LOOKUP(PROD!$A467,TP!$A$6:$A$108,GSh!$BC$6:$BC$108)/1000,0)</f>
        <v>0</v>
      </c>
      <c r="AJ470" s="330">
        <f t="shared" si="270"/>
        <v>0</v>
      </c>
      <c r="AK470" s="2027"/>
      <c r="AL470" s="1284">
        <f t="shared" si="260"/>
        <v>0</v>
      </c>
      <c r="AM470" s="1285"/>
      <c r="AN470" s="1285"/>
      <c r="AO470" s="1285"/>
      <c r="AP470" s="1285"/>
      <c r="AQ470" s="1285"/>
      <c r="AR470" s="1285"/>
      <c r="AS470" s="1286"/>
      <c r="AT470" s="1287"/>
      <c r="AU470" s="1288"/>
      <c r="AV470" s="1289"/>
      <c r="AW470" s="1290"/>
      <c r="AX470" s="1291"/>
      <c r="AY470" s="1291"/>
      <c r="AZ470" s="1292"/>
      <c r="BA470" s="1293"/>
      <c r="BB470" s="1294"/>
      <c r="BC470" s="1295"/>
      <c r="BD470" s="1296">
        <f>BD469+PROD!L470-BA470</f>
        <v>0</v>
      </c>
      <c r="BE470" s="2133"/>
      <c r="BF470" s="507" t="e">
        <f t="shared" si="261"/>
        <v>#VALUE!</v>
      </c>
      <c r="BG470" s="329"/>
      <c r="BH470" s="1018">
        <f t="shared" si="262"/>
        <v>0</v>
      </c>
    </row>
    <row r="471" spans="1:60" ht="15" customHeight="1" x14ac:dyDescent="0.3">
      <c r="A471" s="2033"/>
      <c r="B471" s="287" t="str">
        <f t="shared" si="263"/>
        <v/>
      </c>
      <c r="C471" s="288" t="str">
        <f t="shared" si="256"/>
        <v/>
      </c>
      <c r="D471" s="691"/>
      <c r="E471" s="692"/>
      <c r="F471" s="693"/>
      <c r="G471" s="694"/>
      <c r="H471" s="695"/>
      <c r="I471" s="289">
        <f>I470-SUM($D471:F471)</f>
        <v>0</v>
      </c>
      <c r="J471" s="1234" t="str">
        <f>$J$9</f>
        <v>% Sel Acm :</v>
      </c>
      <c r="K471" s="1231">
        <f>IF(PROD!$K$2&gt;0,SUM(E$5:E473)/PROD!$K$2,0)</f>
        <v>0</v>
      </c>
      <c r="L471" s="1246"/>
      <c r="M471" s="291">
        <f t="shared" si="271"/>
        <v>0</v>
      </c>
      <c r="N471" s="292" t="str">
        <f>$N$9</f>
        <v xml:space="preserve">Uniformidad (10% -) : </v>
      </c>
      <c r="O471" s="320">
        <f>LOOKUP($A467,'Pr-Sem'!$A$6:$A$108,'Pr-Sem'!$AH$6:$AH$108)</f>
        <v>0</v>
      </c>
      <c r="P471" s="320">
        <v>5</v>
      </c>
      <c r="Q471" s="321">
        <f>IF(AND(P471&gt;0,O471&gt;0),(1-O471/P471)*100,0)</f>
        <v>0</v>
      </c>
      <c r="R471" s="699"/>
      <c r="S471" s="762"/>
      <c r="T471" s="765">
        <f t="shared" si="268"/>
        <v>0</v>
      </c>
      <c r="U471" s="700"/>
      <c r="V471" s="701"/>
      <c r="W471" s="701"/>
      <c r="X471" s="295">
        <f t="shared" si="264"/>
        <v>0</v>
      </c>
      <c r="Y471" s="296">
        <f>IF(AA471&gt;0,V471,AE467/IF(Iniciar!$C$25="B X 40 K",40,IF(Iniciar!$C$25="B X 50 K",50,1))*I471/1000)</f>
        <v>0</v>
      </c>
      <c r="Z471" s="296">
        <f t="shared" si="265"/>
        <v>0</v>
      </c>
      <c r="AA471" s="297">
        <f t="shared" si="272"/>
        <v>0</v>
      </c>
      <c r="AB471" s="297">
        <f t="shared" si="259"/>
        <v>0</v>
      </c>
      <c r="AC471" s="2035" t="str">
        <f>$AC$9</f>
        <v xml:space="preserve">Total Litros Sem: </v>
      </c>
      <c r="AD471" s="2036"/>
      <c r="AE471" s="2050">
        <f>SUM(R467:R473)</f>
        <v>0</v>
      </c>
      <c r="AF471" s="2051"/>
      <c r="AG471" s="554" t="str">
        <f>$AG$9</f>
        <v xml:space="preserve">Indicador Eficiencia : </v>
      </c>
      <c r="AH471" s="555">
        <f>IF(AND(AE471&gt;0,O468&gt;0,O469&gt;0,SUM(L467:L473)&gt;0),(PROD!AH470/O468)*K473*100/(AE471/(SUM(L467:L473)*O469/1000)),0)</f>
        <v>0</v>
      </c>
      <c r="AI471" s="555">
        <f>IF(AND(P468&gt;0,PROD!AI469&gt;0),(PROD!AI470/P468)*(1-K472)*100/(AE468/PROD!AI469),0)</f>
        <v>0</v>
      </c>
      <c r="AJ471" s="331">
        <f t="shared" si="270"/>
        <v>0</v>
      </c>
      <c r="AK471" s="2027"/>
      <c r="AL471" s="1284">
        <f t="shared" si="260"/>
        <v>0</v>
      </c>
      <c r="AM471" s="1285"/>
      <c r="AN471" s="1285"/>
      <c r="AO471" s="1285"/>
      <c r="AP471" s="1285"/>
      <c r="AQ471" s="1285"/>
      <c r="AR471" s="1285"/>
      <c r="AS471" s="1286"/>
      <c r="AT471" s="1287"/>
      <c r="AU471" s="1288"/>
      <c r="AV471" s="1289"/>
      <c r="AW471" s="1290"/>
      <c r="AX471" s="1291"/>
      <c r="AY471" s="1291"/>
      <c r="AZ471" s="1292"/>
      <c r="BA471" s="1293"/>
      <c r="BB471" s="1294"/>
      <c r="BC471" s="1295"/>
      <c r="BD471" s="1296">
        <f>BD470+PROD!L471-BA471</f>
        <v>0</v>
      </c>
      <c r="BE471" s="2133"/>
      <c r="BF471" s="507" t="e">
        <f t="shared" si="261"/>
        <v>#VALUE!</v>
      </c>
      <c r="BG471" s="329"/>
      <c r="BH471" s="1018">
        <f t="shared" si="262"/>
        <v>0</v>
      </c>
    </row>
    <row r="472" spans="1:60" ht="15" customHeight="1" x14ac:dyDescent="0.3">
      <c r="A472" s="2033"/>
      <c r="B472" s="287" t="str">
        <f t="shared" si="263"/>
        <v/>
      </c>
      <c r="C472" s="288" t="str">
        <f t="shared" si="256"/>
        <v/>
      </c>
      <c r="D472" s="691"/>
      <c r="E472" s="692"/>
      <c r="F472" s="693"/>
      <c r="G472" s="694"/>
      <c r="H472" s="695"/>
      <c r="I472" s="289">
        <f>I471-SUM($D472:F472)</f>
        <v>0</v>
      </c>
      <c r="J472" s="1237" t="str">
        <f>$J$10</f>
        <v>% Mort/Sel Acm Tab :</v>
      </c>
      <c r="K472" s="1238">
        <f>IFERROR(LOOKUP($A467,TP!$A$6:$A$108,GSh!$AR$6:$AR$108)/100,0)</f>
        <v>0</v>
      </c>
      <c r="L472" s="1246"/>
      <c r="M472" s="291">
        <f t="shared" si="271"/>
        <v>0</v>
      </c>
      <c r="N472" s="292" t="str">
        <f>$N$10</f>
        <v xml:space="preserve">Uniformidad (C. Lote) : </v>
      </c>
      <c r="O472" s="320">
        <f>LOOKUP($A467,'Pr-Sem'!$A$6:$A$108,'Pr-Sem'!$AG$6:$AG$108)</f>
        <v>0</v>
      </c>
      <c r="P472" s="320">
        <v>90</v>
      </c>
      <c r="Q472" s="321">
        <f>IF(AND(P472&gt;0,O472&gt;0),(O472/P472-1)*100,0)</f>
        <v>0</v>
      </c>
      <c r="R472" s="699"/>
      <c r="S472" s="762"/>
      <c r="T472" s="765">
        <f t="shared" si="268"/>
        <v>0</v>
      </c>
      <c r="U472" s="700"/>
      <c r="V472" s="701"/>
      <c r="W472" s="701"/>
      <c r="X472" s="295">
        <f t="shared" si="264"/>
        <v>0</v>
      </c>
      <c r="Y472" s="296">
        <f>IF(AA472&gt;0,V472,AE467/IF(Iniciar!$C$25="B X 40 K",40,IF(Iniciar!$C$25="B X 50 K",50,1))*I472/1000)</f>
        <v>0</v>
      </c>
      <c r="Z472" s="296">
        <f t="shared" si="265"/>
        <v>0</v>
      </c>
      <c r="AA472" s="297">
        <f t="shared" si="272"/>
        <v>0</v>
      </c>
      <c r="AB472" s="297">
        <f t="shared" si="259"/>
        <v>0</v>
      </c>
      <c r="AC472" s="2037" t="str">
        <f>$AC$10</f>
        <v xml:space="preserve">Cons ml /ave día: </v>
      </c>
      <c r="AD472" s="2038"/>
      <c r="AE472" s="2056">
        <f>IFERROR(SUMPRODUCT(AB467:AB473,I467:I473)/SUM(I467:I473),0)</f>
        <v>0</v>
      </c>
      <c r="AF472" s="2057"/>
      <c r="AG472" s="311" t="str">
        <f>CONCATENATE("Costo ",Iniciar!$C$25," : ")</f>
        <v xml:space="preserve">Costo Kilos : </v>
      </c>
      <c r="AH472" s="2043">
        <f>IFERROR(SUMPRODUCT(T467:T473,V467:V473)/SUMIF(T467:T473,"&gt;0",V467:V473),0)</f>
        <v>0</v>
      </c>
      <c r="AI472" s="2043"/>
      <c r="AJ472" s="313"/>
      <c r="AK472" s="2027"/>
      <c r="AL472" s="1284">
        <f t="shared" si="260"/>
        <v>0</v>
      </c>
      <c r="AM472" s="1285"/>
      <c r="AN472" s="1285"/>
      <c r="AO472" s="1285"/>
      <c r="AP472" s="1285"/>
      <c r="AQ472" s="1285"/>
      <c r="AR472" s="1285"/>
      <c r="AS472" s="1286"/>
      <c r="AT472" s="1287"/>
      <c r="AU472" s="1288"/>
      <c r="AV472" s="1289"/>
      <c r="AW472" s="1290"/>
      <c r="AX472" s="1291"/>
      <c r="AY472" s="1291"/>
      <c r="AZ472" s="1292"/>
      <c r="BA472" s="1293"/>
      <c r="BB472" s="1294"/>
      <c r="BC472" s="1295"/>
      <c r="BD472" s="1296">
        <f>BD471+PROD!L472-BA472</f>
        <v>0</v>
      </c>
      <c r="BE472" s="2133"/>
      <c r="BF472" s="507" t="e">
        <f t="shared" si="261"/>
        <v>#VALUE!</v>
      </c>
      <c r="BG472" s="329"/>
      <c r="BH472" s="1018">
        <f t="shared" si="262"/>
        <v>0</v>
      </c>
    </row>
    <row r="473" spans="1:60" ht="15" customHeight="1" x14ac:dyDescent="0.3">
      <c r="A473" s="2034"/>
      <c r="B473" s="287" t="str">
        <f t="shared" si="263"/>
        <v/>
      </c>
      <c r="C473" s="288" t="str">
        <f t="shared" si="256"/>
        <v/>
      </c>
      <c r="D473" s="691"/>
      <c r="E473" s="692"/>
      <c r="F473" s="693"/>
      <c r="G473" s="694"/>
      <c r="H473" s="695"/>
      <c r="I473" s="289">
        <f>I472-SUM($D473:F473)</f>
        <v>0</v>
      </c>
      <c r="J473" s="1239" t="str">
        <f>$J$11</f>
        <v>% Viabilidad :</v>
      </c>
      <c r="K473" s="1240">
        <f>IF(OR(SUM(L467:L473)&gt;0,SUM(V467:V473)&gt;0),1-(K470+K471),0)</f>
        <v>0</v>
      </c>
      <c r="L473" s="1247"/>
      <c r="M473" s="1248">
        <f>IF(I473&gt;0,(L473/IF(SUM(L467:L472)&gt;0,1,7))/I473,0)</f>
        <v>0</v>
      </c>
      <c r="N473" s="1249" t="str">
        <f>$N$11</f>
        <v xml:space="preserve">Uniformidad (10% +) : </v>
      </c>
      <c r="O473" s="1250">
        <f>IF(O471&gt;0,IF(O472&gt;0,100-SUM(O471:O472),0),0)</f>
        <v>0</v>
      </c>
      <c r="P473" s="1251">
        <f>100-SUM(P471:P472)</f>
        <v>5</v>
      </c>
      <c r="Q473" s="1252">
        <f>IF(AND(P473&gt;0,O473&gt;0),(O473/P473-1)*100,0)</f>
        <v>0</v>
      </c>
      <c r="R473" s="699"/>
      <c r="S473" s="762"/>
      <c r="T473" s="765">
        <f t="shared" si="268"/>
        <v>0</v>
      </c>
      <c r="U473" s="700"/>
      <c r="V473" s="701"/>
      <c r="W473" s="701"/>
      <c r="X473" s="295">
        <f t="shared" si="264"/>
        <v>0</v>
      </c>
      <c r="Y473" s="296">
        <f>IF(AA473&gt;0,V473,AE467/IF(Iniciar!$C$25="B X 40 K",40,IF(Iniciar!$C$25="B X 50 K",50,1))*I473/1000)</f>
        <v>0</v>
      </c>
      <c r="Z473" s="296">
        <f t="shared" si="265"/>
        <v>0</v>
      </c>
      <c r="AA473" s="297">
        <f>IF(I473&gt;0,(V473/IF(SUM(V467:V472)&gt;0,1,7))*$A$1/I473,0)</f>
        <v>0</v>
      </c>
      <c r="AB473" s="297">
        <f t="shared" si="259"/>
        <v>0</v>
      </c>
      <c r="AC473" s="2039" t="str">
        <f>$AC$11</f>
        <v xml:space="preserve">Relación Agua /Alimto: </v>
      </c>
      <c r="AD473" s="2040"/>
      <c r="AE473" s="2058">
        <f>IFERROR(AE472/AD467,0)</f>
        <v>0</v>
      </c>
      <c r="AF473" s="2059"/>
      <c r="AG473" s="1269" t="s">
        <v>237</v>
      </c>
      <c r="AH473" s="1270">
        <f>IF(SUM(L467:L473)&gt;0,AH472*SUM(V467:V473)/SUM(L467:L473),0)</f>
        <v>0</v>
      </c>
      <c r="AI473" s="1270">
        <f>IF(AND($A$1&gt;0,P467&gt;0),AH472/$A$1*(AE467/P467)*100,0)</f>
        <v>0</v>
      </c>
      <c r="AJ473" s="1271">
        <f t="shared" ref="AJ473:AJ478" si="273">IF(AND(AI473&gt;0,AH473&gt;0),(AH473/AI473-1)*100,0)</f>
        <v>0</v>
      </c>
      <c r="AK473" s="2028"/>
      <c r="AL473" s="1284">
        <f t="shared" si="260"/>
        <v>0</v>
      </c>
      <c r="AM473" s="1285"/>
      <c r="AN473" s="1285"/>
      <c r="AO473" s="1285"/>
      <c r="AP473" s="1285"/>
      <c r="AQ473" s="1285"/>
      <c r="AR473" s="1285"/>
      <c r="AS473" s="1286"/>
      <c r="AT473" s="1287"/>
      <c r="AU473" s="1288"/>
      <c r="AV473" s="1289"/>
      <c r="AW473" s="1290"/>
      <c r="AX473" s="1291"/>
      <c r="AY473" s="1291"/>
      <c r="AZ473" s="1292"/>
      <c r="BA473" s="1293"/>
      <c r="BB473" s="1294"/>
      <c r="BC473" s="1295"/>
      <c r="BD473" s="1296">
        <f>BD472+PROD!L473-BA473</f>
        <v>0</v>
      </c>
      <c r="BE473" s="2134"/>
      <c r="BF473" s="507" t="e">
        <f t="shared" si="261"/>
        <v>#VALUE!</v>
      </c>
      <c r="BG473" s="329"/>
      <c r="BH473" s="1018">
        <f t="shared" si="262"/>
        <v>0</v>
      </c>
    </row>
    <row r="474" spans="1:60" ht="15" customHeight="1" x14ac:dyDescent="0.3">
      <c r="A474" s="2032">
        <f>A467+1</f>
        <v>85</v>
      </c>
      <c r="B474" s="287" t="str">
        <f t="shared" si="263"/>
        <v/>
      </c>
      <c r="C474" s="288" t="str">
        <f t="shared" si="256"/>
        <v/>
      </c>
      <c r="D474" s="691"/>
      <c r="E474" s="692"/>
      <c r="F474" s="693"/>
      <c r="G474" s="694"/>
      <c r="H474" s="695"/>
      <c r="I474" s="289">
        <f>I473-SUM($D474:F474)</f>
        <v>0</v>
      </c>
      <c r="J474" s="1232" t="str">
        <f>$J$5</f>
        <v>% Mort Sem :</v>
      </c>
      <c r="K474" s="1233">
        <f>IF(PROD!$K$2&gt;0,SUM(D474:D480)/PROD!$K$2,0)</f>
        <v>0</v>
      </c>
      <c r="L474" s="1241"/>
      <c r="M474" s="1242">
        <f t="shared" ref="M474:M479" si="274">IF(I474&gt;0,L474/I474,0)</f>
        <v>0</v>
      </c>
      <c r="N474" s="1243" t="str">
        <f>$N$5</f>
        <v xml:space="preserve">% Pdn prom semana : </v>
      </c>
      <c r="O474" s="1244">
        <f>IF(SUM(L474:L479)&gt;0,100*SUMPRODUCT(M474:M480,I474:I480)/SUMIF(L474:L480,"&gt;0",I474:I480),IF(L480&gt;0,100*L480/7/I480,0))</f>
        <v>0</v>
      </c>
      <c r="P474" s="1244">
        <f>IFERROR(LOOKUP($A474,TP!$A$6:$A$108,GSh!$AE$6:$AE$108),0)</f>
        <v>0</v>
      </c>
      <c r="Q474" s="1245">
        <f>IF(AND(P474&gt;0,O474&gt;0),O474-P474,0)</f>
        <v>0</v>
      </c>
      <c r="R474" s="699"/>
      <c r="S474" s="762"/>
      <c r="T474" s="765">
        <f t="shared" si="268"/>
        <v>0</v>
      </c>
      <c r="U474" s="700"/>
      <c r="V474" s="701"/>
      <c r="W474" s="701"/>
      <c r="X474" s="295">
        <f t="shared" si="264"/>
        <v>0</v>
      </c>
      <c r="Y474" s="296">
        <f>IF(AA474&gt;0,V474,AE474/IF(Iniciar!$C$25="B X 40 K",40,IF(Iniciar!$C$25="B X 50 K",50,1))*I474/1000)</f>
        <v>0</v>
      </c>
      <c r="Z474" s="296">
        <f t="shared" si="265"/>
        <v>0</v>
      </c>
      <c r="AA474" s="297">
        <f t="shared" ref="AA474:AA479" si="275">IF(I474&gt;0,V474*$A$1/I474,0)</f>
        <v>0</v>
      </c>
      <c r="AB474" s="297">
        <f t="shared" si="259"/>
        <v>0</v>
      </c>
      <c r="AC474" s="1261" t="str">
        <f>$AC$5</f>
        <v>Gr. Ave Dia :</v>
      </c>
      <c r="AD474" s="1262">
        <f>IF(SUMIF(V474:V480,"&gt;0")&gt;0,SUMPRODUCT(AA474:AA480,I474:I480)/SUMIF(AA474:AA480,"&gt;0",I474:I480),0)</f>
        <v>0</v>
      </c>
      <c r="AE474" s="1262">
        <f>IFERROR(LOOKUP($A474,TP!$A$6:$A$108,GSh!$AU$6:$AU$108),0)</f>
        <v>0</v>
      </c>
      <c r="AF474" s="1263">
        <f>IF(AND(AE474&gt;0,AD474&gt;0),(AD474/AE474-1)*100,0)</f>
        <v>0</v>
      </c>
      <c r="AG474" s="1264" t="str">
        <f>PROD!$AG$5</f>
        <v>Gr X H</v>
      </c>
      <c r="AH474" s="1265">
        <f>IF(PROD!O474&gt;0,IF($AG474="Gr X H",PROD!AD474/PROD!O474*100,IF($AG474="Conv Kg/Doc",PROD!AD474/PROD!O474*1.2,IF(PROD!$O476&gt;0,PROD!AD474/(PROD!O474*PROD!$O476)*100,0))),0)</f>
        <v>0</v>
      </c>
      <c r="AI474" s="1265">
        <f>IF(PROD!P474&gt;0,IF($AG474="Gr X H",PROD!AE474/PROD!P474*100,IF($AG474="Conv Kg/Doc",PROD!AE474/PROD!P474*1.2,IF(PROD!$P476&gt;0,PROD!AE474/(PROD!P474*PROD!$P476)*100,0))),0)</f>
        <v>0</v>
      </c>
      <c r="AJ474" s="1266">
        <f t="shared" si="273"/>
        <v>0</v>
      </c>
      <c r="AK474" s="2026"/>
      <c r="AL474" s="1284">
        <f t="shared" si="260"/>
        <v>0</v>
      </c>
      <c r="AM474" s="1285"/>
      <c r="AN474" s="1285"/>
      <c r="AO474" s="1285"/>
      <c r="AP474" s="1285"/>
      <c r="AQ474" s="1285"/>
      <c r="AR474" s="1285"/>
      <c r="AS474" s="1286"/>
      <c r="AT474" s="1287"/>
      <c r="AU474" s="1288"/>
      <c r="AV474" s="1289"/>
      <c r="AW474" s="1290"/>
      <c r="AX474" s="1291"/>
      <c r="AY474" s="1291"/>
      <c r="AZ474" s="1292"/>
      <c r="BA474" s="1293"/>
      <c r="BB474" s="1294"/>
      <c r="BC474" s="1295"/>
      <c r="BD474" s="1296">
        <f>BD473+PROD!L474-BA474</f>
        <v>0</v>
      </c>
      <c r="BE474" s="2132">
        <f>IF(SUM(AM474:AZ480)&gt;0,(SUM(AM474:AM480)*$AM$2+SUM(AN474:AN480)*$AN$2+SUM(AO474:AO480)*$AO$2+SUM(AP474:AP480)*$AP$2+SUM(AQ474:AQ480)*$AQ$2+SUM(AR474:AR480)*$AR$2+SUM(AS474:AS480)*$AS$2+SUM(AW474:AW480)*$AW$2+SUM(AX474:AX480)*$AX$2+SUM(AY474:AY480)*$AY$2+SUM(AZ474:AZ480)*$AZ$2+SUM(AT474:AT480)*$AT$2+SUM(AU474:AU480)*$AU$2+SUM(AV474:AV480)*$AV$2)/SUM(AM474:AZ480),0)</f>
        <v>0</v>
      </c>
      <c r="BF474" s="507" t="e">
        <f t="shared" si="261"/>
        <v>#VALUE!</v>
      </c>
      <c r="BG474" s="277">
        <f>IF(SUM(L474:L480)&gt;0,A474,IF(SUM(V474:V480)&gt;0,A474,BG467))</f>
        <v>0</v>
      </c>
      <c r="BH474" s="1018">
        <f t="shared" si="262"/>
        <v>0</v>
      </c>
    </row>
    <row r="475" spans="1:60" ht="15" customHeight="1" x14ac:dyDescent="0.3">
      <c r="A475" s="2033"/>
      <c r="B475" s="287" t="str">
        <f t="shared" si="263"/>
        <v/>
      </c>
      <c r="C475" s="288" t="str">
        <f t="shared" si="256"/>
        <v/>
      </c>
      <c r="D475" s="691"/>
      <c r="E475" s="692"/>
      <c r="F475" s="693"/>
      <c r="G475" s="694"/>
      <c r="H475" s="695"/>
      <c r="I475" s="289">
        <f>I474-SUM($D475:F475)</f>
        <v>0</v>
      </c>
      <c r="J475" s="1234" t="str">
        <f>$J$6</f>
        <v>% Sel Sem :</v>
      </c>
      <c r="K475" s="1231">
        <f>IF(PROD!$K$2&gt;0,SUM(E474:E480)/PROD!$K$2,0)</f>
        <v>0</v>
      </c>
      <c r="L475" s="1246"/>
      <c r="M475" s="291">
        <f t="shared" si="274"/>
        <v>0</v>
      </c>
      <c r="N475" s="292" t="str">
        <f>$N$6</f>
        <v xml:space="preserve">H. Ave Alojada : </v>
      </c>
      <c r="O475" s="293">
        <f>IF(AND(PROD!$K$2&gt;0,O474&gt;0),SUM(L$5:L480)/PROD!$K$2,0)</f>
        <v>0</v>
      </c>
      <c r="P475" s="293">
        <f>IFERROR(LOOKUP($A474,TP!$A$6:$A$108,GSh!$AJ$6:$AJ$108),0)</f>
        <v>0</v>
      </c>
      <c r="Q475" s="294">
        <f>IF(AND(P475&gt;0,O475&gt;0),O475-P475,0)</f>
        <v>0</v>
      </c>
      <c r="R475" s="699"/>
      <c r="S475" s="762"/>
      <c r="T475" s="765">
        <f t="shared" si="268"/>
        <v>0</v>
      </c>
      <c r="U475" s="700"/>
      <c r="V475" s="701"/>
      <c r="W475" s="701"/>
      <c r="X475" s="295">
        <f t="shared" si="264"/>
        <v>0</v>
      </c>
      <c r="Y475" s="296">
        <f>IF(AA475&gt;0,V475,AE474/IF(Iniciar!$C$25="B X 40 K",40,IF(Iniciar!$C$25="B X 50 K",50,1))*I475/1000)</f>
        <v>0</v>
      </c>
      <c r="Z475" s="296">
        <f t="shared" si="265"/>
        <v>0</v>
      </c>
      <c r="AA475" s="297">
        <f t="shared" si="275"/>
        <v>0</v>
      </c>
      <c r="AB475" s="297">
        <f t="shared" si="259"/>
        <v>0</v>
      </c>
      <c r="AC475" s="1267" t="str">
        <f>$AC$6</f>
        <v>Gr. Ave Sem :</v>
      </c>
      <c r="AD475" s="284">
        <f>AD474*7</f>
        <v>0</v>
      </c>
      <c r="AE475" s="284">
        <f>AE474*7</f>
        <v>0</v>
      </c>
      <c r="AF475" s="285">
        <f>IF(AND(AE475&gt;0,AD475&gt;0),(AD475/AE475-1)*100,0)</f>
        <v>0</v>
      </c>
      <c r="AG475" s="1199" t="str">
        <f>PROD!$AG$6</f>
        <v>Gr X H Acm</v>
      </c>
      <c r="AH475" s="298">
        <f>IF(SUM(PROD!L474:L480)&gt;0,IF(PROD!$AG$5="Gr X H",SUM(PROD!V$5:V480)*PROD!$A$1/SUM(PROD!L$5:L480),IF($AG474="Conv Kg/Doc",(SUM(PROD!V$5:V480)*PROD!$A$1/1000)/(SUM(PROD!L$5:L480)/12),IF(PROD!$O476&gt;0,SUM(PROD!V$5:V480)*PROD!$A$1/(SUM(PROD!L$5:L480)*LOOKUP(PROD!A474,TP!$A$6:$A$108,GSh!$BB$6:$BB$108)),0))),0)</f>
        <v>0</v>
      </c>
      <c r="AI475" s="298">
        <f>IF(PROD!P474&gt;0,IF($AG474="Gr X H",PROD!AE474/PROD!P474*100,IF($AG474="Conv Kg/Doc",PROD!AE474/PROD!P474*1.2,IF(PROD!$P475&gt;0,PROD!AE476/(PROD!P475*LOOKUP(PROD!$A474,TP!$A$6:$A$108,GSh!$BC$6:$BC$108)/1000),0))),0)</f>
        <v>0</v>
      </c>
      <c r="AJ475" s="328">
        <f t="shared" si="273"/>
        <v>0</v>
      </c>
      <c r="AK475" s="2027"/>
      <c r="AL475" s="1284">
        <f t="shared" si="260"/>
        <v>0</v>
      </c>
      <c r="AM475" s="1285"/>
      <c r="AN475" s="1285"/>
      <c r="AO475" s="1285"/>
      <c r="AP475" s="1285"/>
      <c r="AQ475" s="1285"/>
      <c r="AR475" s="1285"/>
      <c r="AS475" s="1286"/>
      <c r="AT475" s="1287"/>
      <c r="AU475" s="1288"/>
      <c r="AV475" s="1289"/>
      <c r="AW475" s="1290"/>
      <c r="AX475" s="1291"/>
      <c r="AY475" s="1291"/>
      <c r="AZ475" s="1292"/>
      <c r="BA475" s="1293"/>
      <c r="BB475" s="1294"/>
      <c r="BC475" s="1295"/>
      <c r="BD475" s="1296">
        <f>BD474+PROD!L475-BA475</f>
        <v>0</v>
      </c>
      <c r="BE475" s="2133"/>
      <c r="BF475" s="507" t="e">
        <f t="shared" si="261"/>
        <v>#VALUE!</v>
      </c>
      <c r="BG475" s="329"/>
      <c r="BH475" s="1018">
        <f t="shared" si="262"/>
        <v>0</v>
      </c>
    </row>
    <row r="476" spans="1:60" ht="15" customHeight="1" x14ac:dyDescent="0.3">
      <c r="A476" s="2033"/>
      <c r="B476" s="287" t="str">
        <f t="shared" si="263"/>
        <v/>
      </c>
      <c r="C476" s="288" t="str">
        <f t="shared" si="256"/>
        <v/>
      </c>
      <c r="D476" s="691"/>
      <c r="E476" s="692"/>
      <c r="F476" s="693"/>
      <c r="G476" s="694"/>
      <c r="H476" s="695"/>
      <c r="I476" s="289">
        <f>I475-SUM($D476:F476)</f>
        <v>0</v>
      </c>
      <c r="J476" s="1235" t="str">
        <f>$J$7</f>
        <v>% Mort/Sel Sem Tab :</v>
      </c>
      <c r="K476" s="1236">
        <f>K479-K472</f>
        <v>0</v>
      </c>
      <c r="L476" s="1246"/>
      <c r="M476" s="291">
        <f t="shared" si="274"/>
        <v>0</v>
      </c>
      <c r="N476" s="304" t="str">
        <f>$N$7</f>
        <v xml:space="preserve">Peso Huevo (Gr) : </v>
      </c>
      <c r="O476" s="305">
        <f>LOOKUP($A474,'Pr-Sem'!$A$6:$A$108,'Pr-Sem'!$Z$6:$Z$108)</f>
        <v>0</v>
      </c>
      <c r="P476" s="305">
        <f>IFERROR(LOOKUP($A474,TP!$A$6:$A$108,GSh!$AZ$6:$AZ$108),0)</f>
        <v>0</v>
      </c>
      <c r="Q476" s="306">
        <f>IF(AND(P476&gt;0,O476&gt;0),O476-P476,0)</f>
        <v>0</v>
      </c>
      <c r="R476" s="699"/>
      <c r="S476" s="762"/>
      <c r="T476" s="765">
        <f t="shared" si="268"/>
        <v>0</v>
      </c>
      <c r="U476" s="700"/>
      <c r="V476" s="701"/>
      <c r="W476" s="701"/>
      <c r="X476" s="295">
        <f t="shared" si="264"/>
        <v>0</v>
      </c>
      <c r="Y476" s="296">
        <f>IF(AA476&gt;0,V476,AE474/IF(Iniciar!$C$25="B X 40 K",40,IF(Iniciar!$C$25="B X 50 K",50,1))*I476/1000)</f>
        <v>0</v>
      </c>
      <c r="Z476" s="296">
        <f t="shared" si="265"/>
        <v>0</v>
      </c>
      <c r="AA476" s="297">
        <f t="shared" si="275"/>
        <v>0</v>
      </c>
      <c r="AB476" s="297">
        <f t="shared" si="259"/>
        <v>0</v>
      </c>
      <c r="AC476" s="1268" t="str">
        <f>$AC$7</f>
        <v>Kg Ave Acu :</v>
      </c>
      <c r="AD476" s="308">
        <f>IF(OR(SUM(L474:L480)&gt;0,SUM(V474:V480)&gt;0),AD475/1000+AD469,0)</f>
        <v>0</v>
      </c>
      <c r="AE476" s="309">
        <f>AE475/1000+AE469</f>
        <v>0</v>
      </c>
      <c r="AF476" s="310">
        <f>IF(AND(AE476&gt;0,AD476&gt;0),(AD476/AE476-1)*100,0)</f>
        <v>0</v>
      </c>
      <c r="AG476" s="311" t="str">
        <f>PROD!$AG$7</f>
        <v xml:space="preserve">Masa Sem H (Gr) : </v>
      </c>
      <c r="AH476" s="312">
        <f>PROD!O474/100*7*PROD!O476</f>
        <v>0</v>
      </c>
      <c r="AI476" s="312">
        <f>PROD!P474/100*7*PROD!P476</f>
        <v>0</v>
      </c>
      <c r="AJ476" s="313">
        <f t="shared" si="273"/>
        <v>0</v>
      </c>
      <c r="AK476" s="2027"/>
      <c r="AL476" s="1284">
        <f t="shared" si="260"/>
        <v>0</v>
      </c>
      <c r="AM476" s="1285"/>
      <c r="AN476" s="1285"/>
      <c r="AO476" s="1285"/>
      <c r="AP476" s="1285"/>
      <c r="AQ476" s="1285"/>
      <c r="AR476" s="1285"/>
      <c r="AS476" s="1286"/>
      <c r="AT476" s="1287"/>
      <c r="AU476" s="1288"/>
      <c r="AV476" s="1289"/>
      <c r="AW476" s="1290"/>
      <c r="AX476" s="1291"/>
      <c r="AY476" s="1291"/>
      <c r="AZ476" s="1292"/>
      <c r="BA476" s="1293"/>
      <c r="BB476" s="1294"/>
      <c r="BC476" s="1295"/>
      <c r="BD476" s="1296">
        <f>BD475+PROD!L476-BA476</f>
        <v>0</v>
      </c>
      <c r="BE476" s="2133"/>
      <c r="BF476" s="507" t="e">
        <f t="shared" si="261"/>
        <v>#VALUE!</v>
      </c>
      <c r="BG476" s="329"/>
      <c r="BH476" s="1018">
        <f t="shared" si="262"/>
        <v>0</v>
      </c>
    </row>
    <row r="477" spans="1:60" ht="15" customHeight="1" x14ac:dyDescent="0.3">
      <c r="A477" s="2033"/>
      <c r="B477" s="287" t="str">
        <f t="shared" si="263"/>
        <v/>
      </c>
      <c r="C477" s="288" t="str">
        <f t="shared" si="256"/>
        <v/>
      </c>
      <c r="D477" s="691"/>
      <c r="E477" s="692"/>
      <c r="F477" s="693"/>
      <c r="G477" s="694"/>
      <c r="H477" s="695"/>
      <c r="I477" s="289">
        <f>I476-SUM($D477:F477)</f>
        <v>0</v>
      </c>
      <c r="J477" s="1234" t="str">
        <f>$J$8</f>
        <v>% Mort Acm :</v>
      </c>
      <c r="K477" s="1231">
        <f>IF(PROD!$K$2&gt;0,SUM(D$5:D480)/PROD!$K$2,0)</f>
        <v>0</v>
      </c>
      <c r="L477" s="1246"/>
      <c r="M477" s="291">
        <f t="shared" si="274"/>
        <v>0</v>
      </c>
      <c r="N477" s="314" t="str">
        <f>N$8</f>
        <v xml:space="preserve">Peso Ave (Gr) : </v>
      </c>
      <c r="O477" s="315">
        <f>LOOKUP($A474,GSh!$BV$6:$BV$108,GSh!$BJ$6:$BJ$108)</f>
        <v>0</v>
      </c>
      <c r="P477" s="315">
        <f>IFERROR(LOOKUP($A474,TP!$A$6:$A$108,GSh!$BK$6:$BK$108),0)</f>
        <v>0</v>
      </c>
      <c r="Q477" s="316">
        <f>IF(AND(P477&gt;0,O477&gt;0),(O477/P477-1)*100,0)</f>
        <v>0</v>
      </c>
      <c r="R477" s="699"/>
      <c r="S477" s="762"/>
      <c r="T477" s="765">
        <f t="shared" si="268"/>
        <v>0</v>
      </c>
      <c r="U477" s="700"/>
      <c r="V477" s="701"/>
      <c r="W477" s="701"/>
      <c r="X477" s="295">
        <f t="shared" si="264"/>
        <v>0</v>
      </c>
      <c r="Y477" s="296">
        <f>IF(AA477&gt;0,V477,AE474/IF(Iniciar!$C$25="B X 40 K",40,IF(Iniciar!$C$25="B X 50 K",50,1))*I477/1000)</f>
        <v>0</v>
      </c>
      <c r="Z477" s="296">
        <f t="shared" si="265"/>
        <v>0</v>
      </c>
      <c r="AA477" s="297">
        <f t="shared" si="275"/>
        <v>0</v>
      </c>
      <c r="AB477" s="297">
        <f t="shared" si="259"/>
        <v>0</v>
      </c>
      <c r="AC477" s="541" t="str">
        <f>$AC$8</f>
        <v xml:space="preserve">Ton. Lote Acu : </v>
      </c>
      <c r="AD477" s="544">
        <f>SUM($V$5:$V480)*$A$1/1000000</f>
        <v>0</v>
      </c>
      <c r="AE477" s="543">
        <f>AE470+(AE474/1000000*7*(I474+I480)/2)</f>
        <v>0</v>
      </c>
      <c r="AF477" s="542">
        <f>IF(AND(AE477&gt;0,AD477&gt;0),(AD477/AE477-1)*100,0)</f>
        <v>0</v>
      </c>
      <c r="AG477" s="317" t="str">
        <f>PROD!$AG$8</f>
        <v xml:space="preserve">Masa Ac A. A (Kg) : </v>
      </c>
      <c r="AH477" s="318">
        <f>IF(PROD!$K$2&gt;0,SUM(PROD!L$5:L480)*LOOKUP(PROD!$A474,TP!$A$6:$A$108,GSh!$BB$6:$BB$108)/1000/PROD!$K$2,0)</f>
        <v>0</v>
      </c>
      <c r="AI477" s="318">
        <f>IFERROR(PROD!P475*LOOKUP(PROD!$A474,TP!$A$6:$A$108,GSh!$BC$6:$BC$108)/1000,0)</f>
        <v>0</v>
      </c>
      <c r="AJ477" s="330">
        <f t="shared" si="273"/>
        <v>0</v>
      </c>
      <c r="AK477" s="2027"/>
      <c r="AL477" s="1284">
        <f t="shared" si="260"/>
        <v>0</v>
      </c>
      <c r="AM477" s="1285"/>
      <c r="AN477" s="1285"/>
      <c r="AO477" s="1285"/>
      <c r="AP477" s="1285"/>
      <c r="AQ477" s="1285"/>
      <c r="AR477" s="1285"/>
      <c r="AS477" s="1286"/>
      <c r="AT477" s="1287"/>
      <c r="AU477" s="1288"/>
      <c r="AV477" s="1289"/>
      <c r="AW477" s="1290"/>
      <c r="AX477" s="1291"/>
      <c r="AY477" s="1291"/>
      <c r="AZ477" s="1292"/>
      <c r="BA477" s="1293"/>
      <c r="BB477" s="1294"/>
      <c r="BC477" s="1295"/>
      <c r="BD477" s="1296">
        <f>BD476+PROD!L477-BA477</f>
        <v>0</v>
      </c>
      <c r="BE477" s="2133"/>
      <c r="BF477" s="507" t="e">
        <f t="shared" si="261"/>
        <v>#VALUE!</v>
      </c>
      <c r="BG477" s="329"/>
      <c r="BH477" s="1018">
        <f t="shared" si="262"/>
        <v>0</v>
      </c>
    </row>
    <row r="478" spans="1:60" ht="15" customHeight="1" x14ac:dyDescent="0.3">
      <c r="A478" s="2033"/>
      <c r="B478" s="287" t="str">
        <f t="shared" si="263"/>
        <v/>
      </c>
      <c r="C478" s="288" t="str">
        <f t="shared" si="256"/>
        <v/>
      </c>
      <c r="D478" s="691"/>
      <c r="E478" s="692"/>
      <c r="F478" s="693"/>
      <c r="G478" s="694"/>
      <c r="H478" s="695"/>
      <c r="I478" s="289">
        <f>I477-SUM($D478:F478)</f>
        <v>0</v>
      </c>
      <c r="J478" s="1234" t="str">
        <f>$J$9</f>
        <v>% Sel Acm :</v>
      </c>
      <c r="K478" s="1231">
        <f>IF(PROD!$K$2&gt;0,SUM(E$5:E480)/PROD!$K$2,0)</f>
        <v>0</v>
      </c>
      <c r="L478" s="1246"/>
      <c r="M478" s="291">
        <f t="shared" si="274"/>
        <v>0</v>
      </c>
      <c r="N478" s="292" t="str">
        <f>$N$9</f>
        <v xml:space="preserve">Uniformidad (10% -) : </v>
      </c>
      <c r="O478" s="320">
        <f>LOOKUP($A474,'Pr-Sem'!$A$6:$A$108,'Pr-Sem'!$AH$6:$AH$108)</f>
        <v>0</v>
      </c>
      <c r="P478" s="320">
        <v>5</v>
      </c>
      <c r="Q478" s="321">
        <f>IF(AND(P478&gt;0,O478&gt;0),(1-O478/P478)*100,0)</f>
        <v>0</v>
      </c>
      <c r="R478" s="699"/>
      <c r="S478" s="762"/>
      <c r="T478" s="765">
        <f t="shared" si="268"/>
        <v>0</v>
      </c>
      <c r="U478" s="700"/>
      <c r="V478" s="701"/>
      <c r="W478" s="701"/>
      <c r="X478" s="295">
        <f t="shared" si="264"/>
        <v>0</v>
      </c>
      <c r="Y478" s="296">
        <f>IF(AA478&gt;0,V478,AE474/IF(Iniciar!$C$25="B X 40 K",40,IF(Iniciar!$C$25="B X 50 K",50,1))*I478/1000)</f>
        <v>0</v>
      </c>
      <c r="Z478" s="296">
        <f t="shared" si="265"/>
        <v>0</v>
      </c>
      <c r="AA478" s="297">
        <f t="shared" si="275"/>
        <v>0</v>
      </c>
      <c r="AB478" s="297">
        <f t="shared" si="259"/>
        <v>0</v>
      </c>
      <c r="AC478" s="2035" t="str">
        <f>$AC$9</f>
        <v xml:space="preserve">Total Litros Sem: </v>
      </c>
      <c r="AD478" s="2036"/>
      <c r="AE478" s="2050">
        <f>SUM(R474:R480)</f>
        <v>0</v>
      </c>
      <c r="AF478" s="2051"/>
      <c r="AG478" s="554" t="str">
        <f>$AG$9</f>
        <v xml:space="preserve">Indicador Eficiencia : </v>
      </c>
      <c r="AH478" s="555">
        <f>IF(AND(AE478&gt;0,O475&gt;0,O476&gt;0,SUM(L474:L480)&gt;0),(PROD!AH477/O475)*K480*100/(AE478/(SUM(L474:L480)*O476/1000)),0)</f>
        <v>0</v>
      </c>
      <c r="AI478" s="555">
        <f>IF(AND(P475&gt;0,PROD!AI476&gt;0),(PROD!AI477/P475)*(1-K479)*100/(AE475/PROD!AI476),0)</f>
        <v>0</v>
      </c>
      <c r="AJ478" s="331">
        <f t="shared" si="273"/>
        <v>0</v>
      </c>
      <c r="AK478" s="2027"/>
      <c r="AL478" s="1284">
        <f t="shared" si="260"/>
        <v>0</v>
      </c>
      <c r="AM478" s="1285"/>
      <c r="AN478" s="1285"/>
      <c r="AO478" s="1285"/>
      <c r="AP478" s="1285"/>
      <c r="AQ478" s="1285"/>
      <c r="AR478" s="1285"/>
      <c r="AS478" s="1286"/>
      <c r="AT478" s="1287"/>
      <c r="AU478" s="1288"/>
      <c r="AV478" s="1289"/>
      <c r="AW478" s="1290"/>
      <c r="AX478" s="1291"/>
      <c r="AY478" s="1291"/>
      <c r="AZ478" s="1292"/>
      <c r="BA478" s="1293"/>
      <c r="BB478" s="1294"/>
      <c r="BC478" s="1295"/>
      <c r="BD478" s="1296">
        <f>BD477+PROD!L478-BA478</f>
        <v>0</v>
      </c>
      <c r="BE478" s="2133"/>
      <c r="BF478" s="507" t="e">
        <f t="shared" si="261"/>
        <v>#VALUE!</v>
      </c>
      <c r="BG478" s="329"/>
      <c r="BH478" s="1018">
        <f t="shared" si="262"/>
        <v>0</v>
      </c>
    </row>
    <row r="479" spans="1:60" ht="15" customHeight="1" x14ac:dyDescent="0.3">
      <c r="A479" s="2033"/>
      <c r="B479" s="287" t="str">
        <f t="shared" si="263"/>
        <v/>
      </c>
      <c r="C479" s="288" t="str">
        <f t="shared" si="256"/>
        <v/>
      </c>
      <c r="D479" s="691"/>
      <c r="E479" s="692"/>
      <c r="F479" s="693"/>
      <c r="G479" s="694"/>
      <c r="H479" s="695"/>
      <c r="I479" s="289">
        <f>I478-SUM($D479:F479)</f>
        <v>0</v>
      </c>
      <c r="J479" s="1237" t="str">
        <f>$J$10</f>
        <v>% Mort/Sel Acm Tab :</v>
      </c>
      <c r="K479" s="1238">
        <f>IFERROR(LOOKUP($A474,TP!$A$6:$A$108,GSh!$AR$6:$AR$108)/100,0)</f>
        <v>0</v>
      </c>
      <c r="L479" s="1246"/>
      <c r="M479" s="291">
        <f t="shared" si="274"/>
        <v>0</v>
      </c>
      <c r="N479" s="292" t="str">
        <f>$N$10</f>
        <v xml:space="preserve">Uniformidad (C. Lote) : </v>
      </c>
      <c r="O479" s="320">
        <f>LOOKUP($A474,'Pr-Sem'!$A$6:$A$108,'Pr-Sem'!$AG$6:$AG$108)</f>
        <v>0</v>
      </c>
      <c r="P479" s="320">
        <v>90</v>
      </c>
      <c r="Q479" s="321">
        <f>IF(AND(P479&gt;0,O479&gt;0),(O479/P479-1)*100,0)</f>
        <v>0</v>
      </c>
      <c r="R479" s="699"/>
      <c r="S479" s="762"/>
      <c r="T479" s="765">
        <f t="shared" si="268"/>
        <v>0</v>
      </c>
      <c r="U479" s="700"/>
      <c r="V479" s="701"/>
      <c r="W479" s="701"/>
      <c r="X479" s="295">
        <f t="shared" si="264"/>
        <v>0</v>
      </c>
      <c r="Y479" s="296">
        <f>IF(AA479&gt;0,V479,AE474/IF(Iniciar!$C$25="B X 40 K",40,IF(Iniciar!$C$25="B X 50 K",50,1))*I479/1000)</f>
        <v>0</v>
      </c>
      <c r="Z479" s="296">
        <f t="shared" si="265"/>
        <v>0</v>
      </c>
      <c r="AA479" s="297">
        <f t="shared" si="275"/>
        <v>0</v>
      </c>
      <c r="AB479" s="297">
        <f t="shared" si="259"/>
        <v>0</v>
      </c>
      <c r="AC479" s="2037" t="str">
        <f>$AC$10</f>
        <v xml:space="preserve">Cons ml /ave día: </v>
      </c>
      <c r="AD479" s="2038"/>
      <c r="AE479" s="2056">
        <f>IFERROR(SUMPRODUCT(AB474:AB480,I474:I480)/SUM(I474:I480),0)</f>
        <v>0</v>
      </c>
      <c r="AF479" s="2057"/>
      <c r="AG479" s="311" t="str">
        <f>CONCATENATE("Costo ",Iniciar!$C$25," : ")</f>
        <v xml:space="preserve">Costo Kilos : </v>
      </c>
      <c r="AH479" s="2043">
        <f>IFERROR(SUMPRODUCT(T474:T480,V474:V480)/SUMIF(T474:T480,"&gt;0",V474:V480),0)</f>
        <v>0</v>
      </c>
      <c r="AI479" s="2043"/>
      <c r="AJ479" s="313"/>
      <c r="AK479" s="2027"/>
      <c r="AL479" s="1284">
        <f t="shared" si="260"/>
        <v>0</v>
      </c>
      <c r="AM479" s="1285"/>
      <c r="AN479" s="1285"/>
      <c r="AO479" s="1285"/>
      <c r="AP479" s="1285"/>
      <c r="AQ479" s="1285"/>
      <c r="AR479" s="1285"/>
      <c r="AS479" s="1286"/>
      <c r="AT479" s="1287"/>
      <c r="AU479" s="1288"/>
      <c r="AV479" s="1289"/>
      <c r="AW479" s="1290"/>
      <c r="AX479" s="1291"/>
      <c r="AY479" s="1291"/>
      <c r="AZ479" s="1292"/>
      <c r="BA479" s="1293"/>
      <c r="BB479" s="1294"/>
      <c r="BC479" s="1295"/>
      <c r="BD479" s="1296">
        <f>BD478+PROD!L479-BA479</f>
        <v>0</v>
      </c>
      <c r="BE479" s="2133"/>
      <c r="BF479" s="507" t="e">
        <f t="shared" si="261"/>
        <v>#VALUE!</v>
      </c>
      <c r="BG479" s="329"/>
      <c r="BH479" s="1018">
        <f t="shared" si="262"/>
        <v>0</v>
      </c>
    </row>
    <row r="480" spans="1:60" ht="15" customHeight="1" x14ac:dyDescent="0.3">
      <c r="A480" s="2034"/>
      <c r="B480" s="287" t="str">
        <f t="shared" si="263"/>
        <v/>
      </c>
      <c r="C480" s="288" t="str">
        <f t="shared" si="256"/>
        <v/>
      </c>
      <c r="D480" s="691"/>
      <c r="E480" s="692"/>
      <c r="F480" s="693"/>
      <c r="G480" s="694"/>
      <c r="H480" s="695"/>
      <c r="I480" s="289">
        <f>I479-SUM($D480:F480)</f>
        <v>0</v>
      </c>
      <c r="J480" s="1239" t="str">
        <f>$J$11</f>
        <v>% Viabilidad :</v>
      </c>
      <c r="K480" s="1240">
        <f>IF(OR(SUM(L474:L480)&gt;0,SUM(V474:V480)&gt;0),1-(K477+K478),0)</f>
        <v>0</v>
      </c>
      <c r="L480" s="1247"/>
      <c r="M480" s="1248">
        <f>IF(I480&gt;0,(L480/IF(SUM(L474:L479)&gt;0,1,7))/I480,0)</f>
        <v>0</v>
      </c>
      <c r="N480" s="1249" t="str">
        <f>$N$11</f>
        <v xml:space="preserve">Uniformidad (10% +) : </v>
      </c>
      <c r="O480" s="1250">
        <f>IF(O478&gt;0,IF(O479&gt;0,100-SUM(O478:O479),0),0)</f>
        <v>0</v>
      </c>
      <c r="P480" s="1251">
        <f>100-SUM(P478:P479)</f>
        <v>5</v>
      </c>
      <c r="Q480" s="1252">
        <f>IF(AND(P480&gt;0,O480&gt;0),(O480/P480-1)*100,0)</f>
        <v>0</v>
      </c>
      <c r="R480" s="699"/>
      <c r="S480" s="762"/>
      <c r="T480" s="765">
        <f t="shared" si="268"/>
        <v>0</v>
      </c>
      <c r="U480" s="700"/>
      <c r="V480" s="701"/>
      <c r="W480" s="701"/>
      <c r="X480" s="295">
        <f t="shared" si="264"/>
        <v>0</v>
      </c>
      <c r="Y480" s="296">
        <f>IF(AA480&gt;0,V480,AE474/IF(Iniciar!$C$25="B X 40 K",40,IF(Iniciar!$C$25="B X 50 K",50,1))*I480/1000)</f>
        <v>0</v>
      </c>
      <c r="Z480" s="296">
        <f t="shared" si="265"/>
        <v>0</v>
      </c>
      <c r="AA480" s="297">
        <f>IF(I480&gt;0,(V480/IF(SUM(V474:V479)&gt;0,1,7))*$A$1/I480,0)</f>
        <v>0</v>
      </c>
      <c r="AB480" s="297">
        <f t="shared" si="259"/>
        <v>0</v>
      </c>
      <c r="AC480" s="2039" t="str">
        <f>$AC$11</f>
        <v xml:space="preserve">Relación Agua /Alimto: </v>
      </c>
      <c r="AD480" s="2040"/>
      <c r="AE480" s="2058">
        <f>IFERROR(AE479/AD474,0)</f>
        <v>0</v>
      </c>
      <c r="AF480" s="2059"/>
      <c r="AG480" s="1269" t="s">
        <v>237</v>
      </c>
      <c r="AH480" s="1270">
        <f>IF(SUM(L474:L480)&gt;0,AH479*SUM(V474:V480)/SUM(L474:L480),0)</f>
        <v>0</v>
      </c>
      <c r="AI480" s="1270">
        <f>IF(AND($A$1&gt;0,P474&gt;0),AH479/$A$1*(AE474/P474)*100,0)</f>
        <v>0</v>
      </c>
      <c r="AJ480" s="1271">
        <f t="shared" ref="AJ480:AJ485" si="276">IF(AND(AI480&gt;0,AH480&gt;0),(AH480/AI480-1)*100,0)</f>
        <v>0</v>
      </c>
      <c r="AK480" s="2028"/>
      <c r="AL480" s="1284">
        <f t="shared" si="260"/>
        <v>0</v>
      </c>
      <c r="AM480" s="1285"/>
      <c r="AN480" s="1285"/>
      <c r="AO480" s="1285"/>
      <c r="AP480" s="1285"/>
      <c r="AQ480" s="1285"/>
      <c r="AR480" s="1285"/>
      <c r="AS480" s="1286"/>
      <c r="AT480" s="1287"/>
      <c r="AU480" s="1288"/>
      <c r="AV480" s="1289"/>
      <c r="AW480" s="1290"/>
      <c r="AX480" s="1291"/>
      <c r="AY480" s="1291"/>
      <c r="AZ480" s="1292"/>
      <c r="BA480" s="1293"/>
      <c r="BB480" s="1294"/>
      <c r="BC480" s="1295"/>
      <c r="BD480" s="1296">
        <f>BD479+PROD!L480-BA480</f>
        <v>0</v>
      </c>
      <c r="BE480" s="2134"/>
      <c r="BF480" s="507" t="e">
        <f t="shared" si="261"/>
        <v>#VALUE!</v>
      </c>
      <c r="BG480" s="329"/>
      <c r="BH480" s="1018">
        <f t="shared" si="262"/>
        <v>0</v>
      </c>
    </row>
    <row r="481" spans="1:60" ht="15" customHeight="1" x14ac:dyDescent="0.3">
      <c r="A481" s="2032">
        <f>A474+1</f>
        <v>86</v>
      </c>
      <c r="B481" s="287" t="str">
        <f t="shared" si="263"/>
        <v/>
      </c>
      <c r="C481" s="288" t="str">
        <f t="shared" si="256"/>
        <v/>
      </c>
      <c r="D481" s="691"/>
      <c r="E481" s="692"/>
      <c r="F481" s="693"/>
      <c r="G481" s="694"/>
      <c r="H481" s="695"/>
      <c r="I481" s="289">
        <f>I480-SUM($D481:F481)</f>
        <v>0</v>
      </c>
      <c r="J481" s="1232" t="str">
        <f>$J$5</f>
        <v>% Mort Sem :</v>
      </c>
      <c r="K481" s="1233">
        <f>IF(PROD!$K$2&gt;0,SUM(D481:D487)/PROD!$K$2,0)</f>
        <v>0</v>
      </c>
      <c r="L481" s="1241"/>
      <c r="M481" s="1242">
        <f t="shared" ref="M481:M486" si="277">IF(I481&gt;0,L481/I481,0)</f>
        <v>0</v>
      </c>
      <c r="N481" s="1243" t="str">
        <f>$N$5</f>
        <v xml:space="preserve">% Pdn prom semana : </v>
      </c>
      <c r="O481" s="1244">
        <f>IF(SUM(L481:L486)&gt;0,100*SUMPRODUCT(M481:M487,I481:I487)/SUMIF(L481:L487,"&gt;0",I481:I487),IF(L487&gt;0,100*L487/7/I487,0))</f>
        <v>0</v>
      </c>
      <c r="P481" s="1244">
        <f>IFERROR(LOOKUP($A481,TP!$A$6:$A$108,GSh!$AE$6:$AE$108),0)</f>
        <v>0</v>
      </c>
      <c r="Q481" s="1245">
        <f>IF(AND(P481&gt;0,O481&gt;0),O481-P481,0)</f>
        <v>0</v>
      </c>
      <c r="R481" s="699"/>
      <c r="S481" s="762"/>
      <c r="T481" s="765">
        <f t="shared" si="268"/>
        <v>0</v>
      </c>
      <c r="U481" s="700"/>
      <c r="V481" s="701"/>
      <c r="W481" s="701"/>
      <c r="X481" s="295">
        <f t="shared" si="264"/>
        <v>0</v>
      </c>
      <c r="Y481" s="296">
        <f>IF(AA481&gt;0,V481,AE481/IF(Iniciar!$C$25="B X 40 K",40,IF(Iniciar!$C$25="B X 50 K",50,1))*I481/1000)</f>
        <v>0</v>
      </c>
      <c r="Z481" s="296">
        <f t="shared" si="265"/>
        <v>0</v>
      </c>
      <c r="AA481" s="297">
        <f t="shared" ref="AA481:AA486" si="278">IF(I481&gt;0,V481*$A$1/I481,0)</f>
        <v>0</v>
      </c>
      <c r="AB481" s="297">
        <f t="shared" si="259"/>
        <v>0</v>
      </c>
      <c r="AC481" s="1261" t="str">
        <f>$AC$5</f>
        <v>Gr. Ave Dia :</v>
      </c>
      <c r="AD481" s="1262">
        <f>IF(SUMIF(V481:V487,"&gt;0")&gt;0,SUMPRODUCT(AA481:AA487,I481:I487)/SUMIF(AA481:AA487,"&gt;0",I481:I487),0)</f>
        <v>0</v>
      </c>
      <c r="AE481" s="1262">
        <f>IFERROR(LOOKUP($A481,TP!$A$6:$A$108,GSh!$AU$6:$AU$108),0)</f>
        <v>0</v>
      </c>
      <c r="AF481" s="1263">
        <f>IF(AND(AE481&gt;0,AD481&gt;0),(AD481/AE481-1)*100,0)</f>
        <v>0</v>
      </c>
      <c r="AG481" s="1264" t="str">
        <f>PROD!$AG$5</f>
        <v>Gr X H</v>
      </c>
      <c r="AH481" s="1265">
        <f>IF(PROD!O481&gt;0,IF($AG481="Gr X H",PROD!AD481/PROD!O481*100,IF($AG481="Conv Kg/Doc",PROD!AD481/PROD!O481*1.2,IF(PROD!$O483&gt;0,PROD!AD481/(PROD!O481*PROD!$O483)*100,0))),0)</f>
        <v>0</v>
      </c>
      <c r="AI481" s="1265">
        <f>IF(PROD!P481&gt;0,IF($AG481="Gr X H",PROD!AE481/PROD!P481*100,IF($AG481="Conv Kg/Doc",PROD!AE481/PROD!P481*1.2,IF(PROD!$P483&gt;0,PROD!AE481/(PROD!P481*PROD!$P483)*100,0))),0)</f>
        <v>0</v>
      </c>
      <c r="AJ481" s="1266">
        <f t="shared" si="276"/>
        <v>0</v>
      </c>
      <c r="AK481" s="2026"/>
      <c r="AL481" s="1284">
        <f t="shared" si="260"/>
        <v>0</v>
      </c>
      <c r="AM481" s="1285"/>
      <c r="AN481" s="1285"/>
      <c r="AO481" s="1285"/>
      <c r="AP481" s="1285"/>
      <c r="AQ481" s="1285"/>
      <c r="AR481" s="1285"/>
      <c r="AS481" s="1286"/>
      <c r="AT481" s="1287"/>
      <c r="AU481" s="1288"/>
      <c r="AV481" s="1289"/>
      <c r="AW481" s="1290"/>
      <c r="AX481" s="1291"/>
      <c r="AY481" s="1291"/>
      <c r="AZ481" s="1292"/>
      <c r="BA481" s="1293"/>
      <c r="BB481" s="1294"/>
      <c r="BC481" s="1295"/>
      <c r="BD481" s="1296">
        <f>BD480+PROD!L481-BA481</f>
        <v>0</v>
      </c>
      <c r="BE481" s="2132">
        <f>IF(SUM(AM481:AZ487)&gt;0,(SUM(AM481:AM487)*$AM$2+SUM(AN481:AN487)*$AN$2+SUM(AO481:AO487)*$AO$2+SUM(AP481:AP487)*$AP$2+SUM(AQ481:AQ487)*$AQ$2+SUM(AR481:AR487)*$AR$2+SUM(AS481:AS487)*$AS$2+SUM(AW481:AW487)*$AW$2+SUM(AX481:AX487)*$AX$2+SUM(AY481:AY487)*$AY$2+SUM(AZ481:AZ487)*$AZ$2+SUM(AT481:AT487)*$AT$2+SUM(AU481:AU487)*$AU$2+SUM(AV481:AV487)*$AV$2)/SUM(AM481:AZ487),0)</f>
        <v>0</v>
      </c>
      <c r="BF481" s="507" t="e">
        <f t="shared" si="261"/>
        <v>#VALUE!</v>
      </c>
      <c r="BG481" s="277">
        <f>IF(SUM(L481:L487)&gt;0,A481,IF(SUM(V481:V487)&gt;0,A481,BG474))</f>
        <v>0</v>
      </c>
      <c r="BH481" s="1018">
        <f t="shared" si="262"/>
        <v>0</v>
      </c>
    </row>
    <row r="482" spans="1:60" ht="15" customHeight="1" x14ac:dyDescent="0.3">
      <c r="A482" s="2033"/>
      <c r="B482" s="287" t="str">
        <f t="shared" si="263"/>
        <v/>
      </c>
      <c r="C482" s="288" t="str">
        <f t="shared" si="256"/>
        <v/>
      </c>
      <c r="D482" s="691"/>
      <c r="E482" s="692"/>
      <c r="F482" s="693"/>
      <c r="G482" s="694"/>
      <c r="H482" s="695"/>
      <c r="I482" s="289">
        <f>I481-SUM($D482:F482)</f>
        <v>0</v>
      </c>
      <c r="J482" s="1234" t="str">
        <f>$J$6</f>
        <v>% Sel Sem :</v>
      </c>
      <c r="K482" s="1231">
        <f>IF(PROD!$K$2&gt;0,SUM(E481:E487)/PROD!$K$2,0)</f>
        <v>0</v>
      </c>
      <c r="L482" s="1246"/>
      <c r="M482" s="291">
        <f t="shared" si="277"/>
        <v>0</v>
      </c>
      <c r="N482" s="292" t="str">
        <f>$N$6</f>
        <v xml:space="preserve">H. Ave Alojada : </v>
      </c>
      <c r="O482" s="293">
        <f>IF(AND(PROD!$K$2&gt;0,O481&gt;0),SUM(L$5:L487)/PROD!$K$2,0)</f>
        <v>0</v>
      </c>
      <c r="P482" s="293">
        <f>IFERROR(LOOKUP($A481,TP!$A$6:$A$108,GSh!$AJ$6:$AJ$108),0)</f>
        <v>0</v>
      </c>
      <c r="Q482" s="294">
        <f>IF(AND(P482&gt;0,O482&gt;0),O482-P482,0)</f>
        <v>0</v>
      </c>
      <c r="R482" s="699"/>
      <c r="S482" s="762"/>
      <c r="T482" s="765">
        <f t="shared" si="268"/>
        <v>0</v>
      </c>
      <c r="U482" s="700"/>
      <c r="V482" s="701"/>
      <c r="W482" s="701"/>
      <c r="X482" s="295">
        <f t="shared" si="264"/>
        <v>0</v>
      </c>
      <c r="Y482" s="296">
        <f>IF(AA482&gt;0,V482,AE481/IF(Iniciar!$C$25="B X 40 K",40,IF(Iniciar!$C$25="B X 50 K",50,1))*I482/1000)</f>
        <v>0</v>
      </c>
      <c r="Z482" s="296">
        <f t="shared" si="265"/>
        <v>0</v>
      </c>
      <c r="AA482" s="297">
        <f t="shared" si="278"/>
        <v>0</v>
      </c>
      <c r="AB482" s="297">
        <f t="shared" si="259"/>
        <v>0</v>
      </c>
      <c r="AC482" s="1267" t="str">
        <f>$AC$6</f>
        <v>Gr. Ave Sem :</v>
      </c>
      <c r="AD482" s="284">
        <f>AD481*7</f>
        <v>0</v>
      </c>
      <c r="AE482" s="284">
        <f>AE481*7</f>
        <v>0</v>
      </c>
      <c r="AF482" s="285">
        <f>IF(AND(AE482&gt;0,AD482&gt;0),(AD482/AE482-1)*100,0)</f>
        <v>0</v>
      </c>
      <c r="AG482" s="1199" t="str">
        <f>PROD!$AG$6</f>
        <v>Gr X H Acm</v>
      </c>
      <c r="AH482" s="298">
        <f>IF(SUM(PROD!L481:L487)&gt;0,IF(PROD!$AG$5="Gr X H",SUM(PROD!V$5:V487)*PROD!$A$1/SUM(PROD!L$5:L487),IF($AG481="Conv Kg/Doc",(SUM(PROD!V$5:V487)*PROD!$A$1/1000)/(SUM(PROD!L$5:L487)/12),IF(PROD!$O483&gt;0,SUM(PROD!V$5:V487)*PROD!$A$1/(SUM(PROD!L$5:L487)*LOOKUP(PROD!A481,TP!$A$6:$A$108,GSh!$BB$6:$BB$108)),0))),0)</f>
        <v>0</v>
      </c>
      <c r="AI482" s="298">
        <f>IF(PROD!P481&gt;0,IF($AG481="Gr X H",PROD!AE481/PROD!P481*100,IF($AG481="Conv Kg/Doc",PROD!AE481/PROD!P481*1.2,IF(PROD!$P482&gt;0,PROD!AE483/(PROD!P482*LOOKUP(PROD!$A481,TP!$A$6:$A$108,GSh!$BC$6:$BC$108)/1000),0))),0)</f>
        <v>0</v>
      </c>
      <c r="AJ482" s="328">
        <f t="shared" si="276"/>
        <v>0</v>
      </c>
      <c r="AK482" s="2027"/>
      <c r="AL482" s="1284">
        <f t="shared" si="260"/>
        <v>0</v>
      </c>
      <c r="AM482" s="1285"/>
      <c r="AN482" s="1285"/>
      <c r="AO482" s="1285"/>
      <c r="AP482" s="1285"/>
      <c r="AQ482" s="1285"/>
      <c r="AR482" s="1285"/>
      <c r="AS482" s="1286"/>
      <c r="AT482" s="1287"/>
      <c r="AU482" s="1288"/>
      <c r="AV482" s="1289"/>
      <c r="AW482" s="1290"/>
      <c r="AX482" s="1291"/>
      <c r="AY482" s="1291"/>
      <c r="AZ482" s="1292"/>
      <c r="BA482" s="1293"/>
      <c r="BB482" s="1294"/>
      <c r="BC482" s="1295"/>
      <c r="BD482" s="1296">
        <f>BD481+PROD!L482-BA482</f>
        <v>0</v>
      </c>
      <c r="BE482" s="2133"/>
      <c r="BF482" s="507" t="e">
        <f t="shared" si="261"/>
        <v>#VALUE!</v>
      </c>
      <c r="BG482" s="329"/>
      <c r="BH482" s="1018">
        <f t="shared" si="262"/>
        <v>0</v>
      </c>
    </row>
    <row r="483" spans="1:60" ht="15" customHeight="1" x14ac:dyDescent="0.3">
      <c r="A483" s="2033"/>
      <c r="B483" s="287" t="str">
        <f t="shared" si="263"/>
        <v/>
      </c>
      <c r="C483" s="288" t="str">
        <f t="shared" si="256"/>
        <v/>
      </c>
      <c r="D483" s="691"/>
      <c r="E483" s="692"/>
      <c r="F483" s="693"/>
      <c r="G483" s="694"/>
      <c r="H483" s="695"/>
      <c r="I483" s="289">
        <f>I482-SUM($D483:F483)</f>
        <v>0</v>
      </c>
      <c r="J483" s="1235" t="str">
        <f>$J$7</f>
        <v>% Mort/Sel Sem Tab :</v>
      </c>
      <c r="K483" s="1236">
        <f>K486-K479</f>
        <v>0</v>
      </c>
      <c r="L483" s="1246"/>
      <c r="M483" s="291">
        <f t="shared" si="277"/>
        <v>0</v>
      </c>
      <c r="N483" s="304" t="str">
        <f>$N$7</f>
        <v xml:space="preserve">Peso Huevo (Gr) : </v>
      </c>
      <c r="O483" s="305">
        <f>LOOKUP($A481,'Pr-Sem'!$A$6:$A$108,'Pr-Sem'!$Z$6:$Z$108)</f>
        <v>0</v>
      </c>
      <c r="P483" s="305">
        <f>IFERROR(LOOKUP($A481,TP!$A$6:$A$108,GSh!$AZ$6:$AZ$108),0)</f>
        <v>0</v>
      </c>
      <c r="Q483" s="306">
        <f>IF(AND(P483&gt;0,O483&gt;0),O483-P483,0)</f>
        <v>0</v>
      </c>
      <c r="R483" s="699"/>
      <c r="S483" s="762"/>
      <c r="T483" s="765">
        <f t="shared" si="268"/>
        <v>0</v>
      </c>
      <c r="U483" s="700"/>
      <c r="V483" s="701"/>
      <c r="W483" s="701"/>
      <c r="X483" s="295">
        <f t="shared" si="264"/>
        <v>0</v>
      </c>
      <c r="Y483" s="296">
        <f>IF(AA483&gt;0,V483,AE481/IF(Iniciar!$C$25="B X 40 K",40,IF(Iniciar!$C$25="B X 50 K",50,1))*I483/1000)</f>
        <v>0</v>
      </c>
      <c r="Z483" s="296">
        <f t="shared" si="265"/>
        <v>0</v>
      </c>
      <c r="AA483" s="297">
        <f t="shared" si="278"/>
        <v>0</v>
      </c>
      <c r="AB483" s="297">
        <f t="shared" si="259"/>
        <v>0</v>
      </c>
      <c r="AC483" s="1268" t="str">
        <f>$AC$7</f>
        <v>Kg Ave Acu :</v>
      </c>
      <c r="AD483" s="308">
        <f>IF(OR(SUM(L481:L487)&gt;0,SUM(V481:V487)&gt;0),AD482/1000+AD476,0)</f>
        <v>0</v>
      </c>
      <c r="AE483" s="309">
        <f>AE482/1000+AE476</f>
        <v>0</v>
      </c>
      <c r="AF483" s="310">
        <f>IF(AND(AE483&gt;0,AD483&gt;0),(AD483/AE483-1)*100,0)</f>
        <v>0</v>
      </c>
      <c r="AG483" s="311" t="str">
        <f>PROD!$AG$7</f>
        <v xml:space="preserve">Masa Sem H (Gr) : </v>
      </c>
      <c r="AH483" s="312">
        <f>PROD!O481/100*7*PROD!O483</f>
        <v>0</v>
      </c>
      <c r="AI483" s="312">
        <f>PROD!P481/100*7*PROD!P483</f>
        <v>0</v>
      </c>
      <c r="AJ483" s="313">
        <f t="shared" si="276"/>
        <v>0</v>
      </c>
      <c r="AK483" s="2027"/>
      <c r="AL483" s="1284">
        <f t="shared" si="260"/>
        <v>0</v>
      </c>
      <c r="AM483" s="1285"/>
      <c r="AN483" s="1285"/>
      <c r="AO483" s="1285"/>
      <c r="AP483" s="1285"/>
      <c r="AQ483" s="1285"/>
      <c r="AR483" s="1285"/>
      <c r="AS483" s="1286"/>
      <c r="AT483" s="1287"/>
      <c r="AU483" s="1288"/>
      <c r="AV483" s="1289"/>
      <c r="AW483" s="1290"/>
      <c r="AX483" s="1291"/>
      <c r="AY483" s="1291"/>
      <c r="AZ483" s="1292"/>
      <c r="BA483" s="1293"/>
      <c r="BB483" s="1294"/>
      <c r="BC483" s="1295"/>
      <c r="BD483" s="1296">
        <f>BD482+PROD!L483-BA483</f>
        <v>0</v>
      </c>
      <c r="BE483" s="2133"/>
      <c r="BF483" s="507" t="e">
        <f t="shared" si="261"/>
        <v>#VALUE!</v>
      </c>
      <c r="BG483" s="329"/>
      <c r="BH483" s="1018">
        <f t="shared" si="262"/>
        <v>0</v>
      </c>
    </row>
    <row r="484" spans="1:60" ht="15" customHeight="1" x14ac:dyDescent="0.3">
      <c r="A484" s="2033"/>
      <c r="B484" s="287" t="str">
        <f t="shared" si="263"/>
        <v/>
      </c>
      <c r="C484" s="288" t="str">
        <f t="shared" si="256"/>
        <v/>
      </c>
      <c r="D484" s="691"/>
      <c r="E484" s="692"/>
      <c r="F484" s="693"/>
      <c r="G484" s="694"/>
      <c r="H484" s="695"/>
      <c r="I484" s="289">
        <f>I483-SUM($D484:F484)</f>
        <v>0</v>
      </c>
      <c r="J484" s="1234" t="str">
        <f>$J$8</f>
        <v>% Mort Acm :</v>
      </c>
      <c r="K484" s="1231">
        <f>IF(PROD!$K$2&gt;0,SUM(D$5:D487)/PROD!$K$2,0)</f>
        <v>0</v>
      </c>
      <c r="L484" s="1246"/>
      <c r="M484" s="291">
        <f t="shared" si="277"/>
        <v>0</v>
      </c>
      <c r="N484" s="314" t="str">
        <f>N$8</f>
        <v xml:space="preserve">Peso Ave (Gr) : </v>
      </c>
      <c r="O484" s="315">
        <f>LOOKUP($A481,GSh!$BV$6:$BV$108,GSh!$BJ$6:$BJ$108)</f>
        <v>0</v>
      </c>
      <c r="P484" s="315">
        <f>IFERROR(LOOKUP($A481,TP!$A$6:$A$108,GSh!$BK$6:$BK$108),0)</f>
        <v>0</v>
      </c>
      <c r="Q484" s="316">
        <f>IF(AND(P484&gt;0,O484&gt;0),(O484/P484-1)*100,0)</f>
        <v>0</v>
      </c>
      <c r="R484" s="699"/>
      <c r="S484" s="762"/>
      <c r="T484" s="765">
        <f t="shared" si="268"/>
        <v>0</v>
      </c>
      <c r="U484" s="700"/>
      <c r="V484" s="701"/>
      <c r="W484" s="701"/>
      <c r="X484" s="295">
        <f t="shared" si="264"/>
        <v>0</v>
      </c>
      <c r="Y484" s="296">
        <f>IF(AA484&gt;0,V484,AE481/IF(Iniciar!$C$25="B X 40 K",40,IF(Iniciar!$C$25="B X 50 K",50,1))*I484/1000)</f>
        <v>0</v>
      </c>
      <c r="Z484" s="296">
        <f t="shared" si="265"/>
        <v>0</v>
      </c>
      <c r="AA484" s="297">
        <f t="shared" si="278"/>
        <v>0</v>
      </c>
      <c r="AB484" s="297">
        <f t="shared" si="259"/>
        <v>0</v>
      </c>
      <c r="AC484" s="541" t="str">
        <f>$AC$8</f>
        <v xml:space="preserve">Ton. Lote Acu : </v>
      </c>
      <c r="AD484" s="544">
        <f>SUM($V$5:$V487)*$A$1/1000000</f>
        <v>0</v>
      </c>
      <c r="AE484" s="543">
        <f>AE477+(AE481/1000000*7*(I481+I487)/2)</f>
        <v>0</v>
      </c>
      <c r="AF484" s="542">
        <f>IF(AND(AE484&gt;0,AD484&gt;0),(AD484/AE484-1)*100,0)</f>
        <v>0</v>
      </c>
      <c r="AG484" s="317" t="str">
        <f>PROD!$AG$8</f>
        <v xml:space="preserve">Masa Ac A. A (Kg) : </v>
      </c>
      <c r="AH484" s="318">
        <f>IF(PROD!$K$2&gt;0,SUM(PROD!L$5:L487)*LOOKUP(PROD!$A481,TP!$A$6:$A$108,GSh!$BB$6:$BB$108)/1000/PROD!$K$2,0)</f>
        <v>0</v>
      </c>
      <c r="AI484" s="318">
        <f>IFERROR(PROD!P482*LOOKUP(PROD!$A481,TP!$A$6:$A$108,GSh!$BC$6:$BC$108)/1000,0)</f>
        <v>0</v>
      </c>
      <c r="AJ484" s="330">
        <f t="shared" si="276"/>
        <v>0</v>
      </c>
      <c r="AK484" s="2027"/>
      <c r="AL484" s="1284">
        <f t="shared" si="260"/>
        <v>0</v>
      </c>
      <c r="AM484" s="1285"/>
      <c r="AN484" s="1285"/>
      <c r="AO484" s="1285"/>
      <c r="AP484" s="1285"/>
      <c r="AQ484" s="1285"/>
      <c r="AR484" s="1285"/>
      <c r="AS484" s="1286"/>
      <c r="AT484" s="1287"/>
      <c r="AU484" s="1288"/>
      <c r="AV484" s="1289"/>
      <c r="AW484" s="1290"/>
      <c r="AX484" s="1291"/>
      <c r="AY484" s="1291"/>
      <c r="AZ484" s="1292"/>
      <c r="BA484" s="1293"/>
      <c r="BB484" s="1294"/>
      <c r="BC484" s="1295"/>
      <c r="BD484" s="1296">
        <f>BD483+PROD!L484-BA484</f>
        <v>0</v>
      </c>
      <c r="BE484" s="2133"/>
      <c r="BF484" s="507" t="e">
        <f t="shared" si="261"/>
        <v>#VALUE!</v>
      </c>
      <c r="BG484" s="329"/>
      <c r="BH484" s="1018">
        <f t="shared" si="262"/>
        <v>0</v>
      </c>
    </row>
    <row r="485" spans="1:60" ht="15" customHeight="1" x14ac:dyDescent="0.3">
      <c r="A485" s="2033"/>
      <c r="B485" s="287" t="str">
        <f t="shared" si="263"/>
        <v/>
      </c>
      <c r="C485" s="288" t="str">
        <f t="shared" si="256"/>
        <v/>
      </c>
      <c r="D485" s="691"/>
      <c r="E485" s="692"/>
      <c r="F485" s="693"/>
      <c r="G485" s="694"/>
      <c r="H485" s="695"/>
      <c r="I485" s="289">
        <f>I484-SUM($D485:F485)</f>
        <v>0</v>
      </c>
      <c r="J485" s="1234" t="str">
        <f>$J$9</f>
        <v>% Sel Acm :</v>
      </c>
      <c r="K485" s="1231">
        <f>IF(PROD!$K$2&gt;0,SUM(E$5:E487)/PROD!$K$2,0)</f>
        <v>0</v>
      </c>
      <c r="L485" s="1246"/>
      <c r="M485" s="291">
        <f t="shared" si="277"/>
        <v>0</v>
      </c>
      <c r="N485" s="292" t="str">
        <f>$N$9</f>
        <v xml:space="preserve">Uniformidad (10% -) : </v>
      </c>
      <c r="O485" s="320">
        <f>LOOKUP($A481,'Pr-Sem'!$A$6:$A$108,'Pr-Sem'!$AH$6:$AH$108)</f>
        <v>0</v>
      </c>
      <c r="P485" s="320">
        <v>5</v>
      </c>
      <c r="Q485" s="321">
        <f>IF(AND(P485&gt;0,O485&gt;0),(1-O485/P485)*100,0)</f>
        <v>0</v>
      </c>
      <c r="R485" s="699"/>
      <c r="S485" s="762"/>
      <c r="T485" s="765">
        <f t="shared" si="268"/>
        <v>0</v>
      </c>
      <c r="U485" s="700"/>
      <c r="V485" s="701"/>
      <c r="W485" s="701"/>
      <c r="X485" s="295">
        <f t="shared" si="264"/>
        <v>0</v>
      </c>
      <c r="Y485" s="296">
        <f>IF(AA485&gt;0,V485,AE481/IF(Iniciar!$C$25="B X 40 K",40,IF(Iniciar!$C$25="B X 50 K",50,1))*I485/1000)</f>
        <v>0</v>
      </c>
      <c r="Z485" s="296">
        <f t="shared" si="265"/>
        <v>0</v>
      </c>
      <c r="AA485" s="297">
        <f t="shared" si="278"/>
        <v>0</v>
      </c>
      <c r="AB485" s="297">
        <f t="shared" si="259"/>
        <v>0</v>
      </c>
      <c r="AC485" s="2035" t="str">
        <f>$AC$9</f>
        <v xml:space="preserve">Total Litros Sem: </v>
      </c>
      <c r="AD485" s="2036"/>
      <c r="AE485" s="2050">
        <f>SUM(R481:R487)</f>
        <v>0</v>
      </c>
      <c r="AF485" s="2051"/>
      <c r="AG485" s="554" t="str">
        <f>$AG$9</f>
        <v xml:space="preserve">Indicador Eficiencia : </v>
      </c>
      <c r="AH485" s="555">
        <f>IF(AND(AE485&gt;0,O482&gt;0,O483&gt;0,SUM(L481:L487)&gt;0),(PROD!AH484/O482)*K487*100/(AE485/(SUM(L481:L487)*O483/1000)),0)</f>
        <v>0</v>
      </c>
      <c r="AI485" s="555">
        <f>IF(AND(P482&gt;0,PROD!AI483&gt;0),(PROD!AI484/P482)*(1-K486)*100/(AE482/PROD!AI483),0)</f>
        <v>0</v>
      </c>
      <c r="AJ485" s="331">
        <f t="shared" si="276"/>
        <v>0</v>
      </c>
      <c r="AK485" s="2027"/>
      <c r="AL485" s="1284">
        <f t="shared" si="260"/>
        <v>0</v>
      </c>
      <c r="AM485" s="1285"/>
      <c r="AN485" s="1285"/>
      <c r="AO485" s="1285"/>
      <c r="AP485" s="1285"/>
      <c r="AQ485" s="1285"/>
      <c r="AR485" s="1285"/>
      <c r="AS485" s="1286"/>
      <c r="AT485" s="1287"/>
      <c r="AU485" s="1288"/>
      <c r="AV485" s="1289"/>
      <c r="AW485" s="1290"/>
      <c r="AX485" s="1291"/>
      <c r="AY485" s="1291"/>
      <c r="AZ485" s="1292"/>
      <c r="BA485" s="1293"/>
      <c r="BB485" s="1294"/>
      <c r="BC485" s="1295"/>
      <c r="BD485" s="1296">
        <f>BD484+PROD!L485-BA485</f>
        <v>0</v>
      </c>
      <c r="BE485" s="2133"/>
      <c r="BF485" s="507" t="e">
        <f t="shared" si="261"/>
        <v>#VALUE!</v>
      </c>
      <c r="BG485" s="329"/>
      <c r="BH485" s="1018">
        <f t="shared" si="262"/>
        <v>0</v>
      </c>
    </row>
    <row r="486" spans="1:60" ht="15" customHeight="1" x14ac:dyDescent="0.3">
      <c r="A486" s="2033"/>
      <c r="B486" s="287" t="str">
        <f t="shared" si="263"/>
        <v/>
      </c>
      <c r="C486" s="288" t="str">
        <f t="shared" si="256"/>
        <v/>
      </c>
      <c r="D486" s="691"/>
      <c r="E486" s="692"/>
      <c r="F486" s="693"/>
      <c r="G486" s="694"/>
      <c r="H486" s="695"/>
      <c r="I486" s="289">
        <f>I485-SUM($D486:F486)</f>
        <v>0</v>
      </c>
      <c r="J486" s="1237" t="str">
        <f>$J$10</f>
        <v>% Mort/Sel Acm Tab :</v>
      </c>
      <c r="K486" s="1238">
        <f>IFERROR(LOOKUP($A481,TP!$A$6:$A$108,GSh!$AR$6:$AR$108)/100,0)</f>
        <v>0</v>
      </c>
      <c r="L486" s="1246"/>
      <c r="M486" s="291">
        <f t="shared" si="277"/>
        <v>0</v>
      </c>
      <c r="N486" s="292" t="str">
        <f>$N$10</f>
        <v xml:space="preserve">Uniformidad (C. Lote) : </v>
      </c>
      <c r="O486" s="320">
        <f>LOOKUP($A481,'Pr-Sem'!$A$6:$A$108,'Pr-Sem'!$AG$6:$AG$108)</f>
        <v>0</v>
      </c>
      <c r="P486" s="320">
        <v>90</v>
      </c>
      <c r="Q486" s="321">
        <f>IF(AND(P486&gt;0,O486&gt;0),(O486/P486-1)*100,0)</f>
        <v>0</v>
      </c>
      <c r="R486" s="699"/>
      <c r="S486" s="762"/>
      <c r="T486" s="765">
        <f t="shared" si="268"/>
        <v>0</v>
      </c>
      <c r="U486" s="700"/>
      <c r="V486" s="701"/>
      <c r="W486" s="701"/>
      <c r="X486" s="295">
        <f t="shared" si="264"/>
        <v>0</v>
      </c>
      <c r="Y486" s="296">
        <f>IF(AA486&gt;0,V486,AE481/IF(Iniciar!$C$25="B X 40 K",40,IF(Iniciar!$C$25="B X 50 K",50,1))*I486/1000)</f>
        <v>0</v>
      </c>
      <c r="Z486" s="296">
        <f t="shared" si="265"/>
        <v>0</v>
      </c>
      <c r="AA486" s="297">
        <f t="shared" si="278"/>
        <v>0</v>
      </c>
      <c r="AB486" s="297">
        <f t="shared" si="259"/>
        <v>0</v>
      </c>
      <c r="AC486" s="2037" t="str">
        <f>$AC$10</f>
        <v xml:space="preserve">Cons ml /ave día: </v>
      </c>
      <c r="AD486" s="2038"/>
      <c r="AE486" s="2056">
        <f>IFERROR(SUMPRODUCT(AB481:AB487,I481:I487)/SUM(I481:I487),0)</f>
        <v>0</v>
      </c>
      <c r="AF486" s="2057"/>
      <c r="AG486" s="311" t="str">
        <f>CONCATENATE("Costo ",Iniciar!$C$25," : ")</f>
        <v xml:space="preserve">Costo Kilos : </v>
      </c>
      <c r="AH486" s="2043">
        <f>IFERROR(SUMPRODUCT(T481:T487,V481:V487)/SUMIF(T481:T487,"&gt;0",V481:V487),0)</f>
        <v>0</v>
      </c>
      <c r="AI486" s="2043"/>
      <c r="AJ486" s="313"/>
      <c r="AK486" s="2027"/>
      <c r="AL486" s="1284">
        <f t="shared" si="260"/>
        <v>0</v>
      </c>
      <c r="AM486" s="1285"/>
      <c r="AN486" s="1285"/>
      <c r="AO486" s="1285"/>
      <c r="AP486" s="1285"/>
      <c r="AQ486" s="1285"/>
      <c r="AR486" s="1285"/>
      <c r="AS486" s="1286"/>
      <c r="AT486" s="1287"/>
      <c r="AU486" s="1288"/>
      <c r="AV486" s="1289"/>
      <c r="AW486" s="1290"/>
      <c r="AX486" s="1291"/>
      <c r="AY486" s="1291"/>
      <c r="AZ486" s="1292"/>
      <c r="BA486" s="1293"/>
      <c r="BB486" s="1294"/>
      <c r="BC486" s="1295"/>
      <c r="BD486" s="1296">
        <f>BD485+PROD!L486-BA486</f>
        <v>0</v>
      </c>
      <c r="BE486" s="2133"/>
      <c r="BF486" s="507" t="e">
        <f t="shared" si="261"/>
        <v>#VALUE!</v>
      </c>
      <c r="BG486" s="329"/>
      <c r="BH486" s="1018">
        <f t="shared" si="262"/>
        <v>0</v>
      </c>
    </row>
    <row r="487" spans="1:60" ht="15" customHeight="1" x14ac:dyDescent="0.3">
      <c r="A487" s="2034"/>
      <c r="B487" s="287" t="str">
        <f t="shared" si="263"/>
        <v/>
      </c>
      <c r="C487" s="288" t="str">
        <f t="shared" si="256"/>
        <v/>
      </c>
      <c r="D487" s="691"/>
      <c r="E487" s="692"/>
      <c r="F487" s="693"/>
      <c r="G487" s="694"/>
      <c r="H487" s="695"/>
      <c r="I487" s="289">
        <f>I486-SUM($D487:F487)</f>
        <v>0</v>
      </c>
      <c r="J487" s="1239" t="str">
        <f>$J$11</f>
        <v>% Viabilidad :</v>
      </c>
      <c r="K487" s="1240">
        <f>IF(OR(SUM(L481:L487)&gt;0,SUM(V481:V487)&gt;0),1-(K484+K485),0)</f>
        <v>0</v>
      </c>
      <c r="L487" s="1247"/>
      <c r="M487" s="1248">
        <f>IF(I487&gt;0,(L487/IF(SUM(L481:L486)&gt;0,1,7))/I487,0)</f>
        <v>0</v>
      </c>
      <c r="N487" s="1249" t="str">
        <f>$N$11</f>
        <v xml:space="preserve">Uniformidad (10% +) : </v>
      </c>
      <c r="O487" s="1250">
        <f>IF(O485&gt;0,IF(O486&gt;0,100-SUM(O485:O486),0),0)</f>
        <v>0</v>
      </c>
      <c r="P487" s="1251">
        <f>100-SUM(P485:P486)</f>
        <v>5</v>
      </c>
      <c r="Q487" s="1252">
        <f>IF(AND(P487&gt;0,O487&gt;0),(O487/P487-1)*100,0)</f>
        <v>0</v>
      </c>
      <c r="R487" s="699"/>
      <c r="S487" s="762"/>
      <c r="T487" s="765">
        <f t="shared" si="268"/>
        <v>0</v>
      </c>
      <c r="U487" s="700"/>
      <c r="V487" s="701"/>
      <c r="W487" s="701"/>
      <c r="X487" s="295">
        <f t="shared" si="264"/>
        <v>0</v>
      </c>
      <c r="Y487" s="296">
        <f>IF(AA487&gt;0,V487,AE481/IF(Iniciar!$C$25="B X 40 K",40,IF(Iniciar!$C$25="B X 50 K",50,1))*I487/1000)</f>
        <v>0</v>
      </c>
      <c r="Z487" s="296">
        <f t="shared" si="265"/>
        <v>0</v>
      </c>
      <c r="AA487" s="297">
        <f>IF(I487&gt;0,(V487/IF(SUM(V481:V486)&gt;0,1,7))*$A$1/I487,0)</f>
        <v>0</v>
      </c>
      <c r="AB487" s="297">
        <f t="shared" si="259"/>
        <v>0</v>
      </c>
      <c r="AC487" s="2039" t="str">
        <f>$AC$11</f>
        <v xml:space="preserve">Relación Agua /Alimto: </v>
      </c>
      <c r="AD487" s="2040"/>
      <c r="AE487" s="2058">
        <f>IFERROR(AE486/AD481,0)</f>
        <v>0</v>
      </c>
      <c r="AF487" s="2059"/>
      <c r="AG487" s="1269" t="s">
        <v>237</v>
      </c>
      <c r="AH487" s="1270">
        <f>IF(SUM(L481:L487)&gt;0,AH486*SUM(V481:V487)/SUM(L481:L487),0)</f>
        <v>0</v>
      </c>
      <c r="AI487" s="1270">
        <f>IF(AND($A$1&gt;0,P481&gt;0),AH486/$A$1*(AE481/P481)*100,0)</f>
        <v>0</v>
      </c>
      <c r="AJ487" s="1271">
        <f t="shared" ref="AJ487:AJ492" si="279">IF(AND(AI487&gt;0,AH487&gt;0),(AH487/AI487-1)*100,0)</f>
        <v>0</v>
      </c>
      <c r="AK487" s="2028"/>
      <c r="AL487" s="1284">
        <f t="shared" si="260"/>
        <v>0</v>
      </c>
      <c r="AM487" s="1285"/>
      <c r="AN487" s="1285"/>
      <c r="AO487" s="1285"/>
      <c r="AP487" s="1285"/>
      <c r="AQ487" s="1285"/>
      <c r="AR487" s="1285"/>
      <c r="AS487" s="1286"/>
      <c r="AT487" s="1287"/>
      <c r="AU487" s="1288"/>
      <c r="AV487" s="1289"/>
      <c r="AW487" s="1290"/>
      <c r="AX487" s="1291"/>
      <c r="AY487" s="1291"/>
      <c r="AZ487" s="1292"/>
      <c r="BA487" s="1293"/>
      <c r="BB487" s="1294"/>
      <c r="BC487" s="1295"/>
      <c r="BD487" s="1296">
        <f>BD486+PROD!L487-BA487</f>
        <v>0</v>
      </c>
      <c r="BE487" s="2134"/>
      <c r="BF487" s="507" t="e">
        <f t="shared" si="261"/>
        <v>#VALUE!</v>
      </c>
      <c r="BG487" s="329"/>
      <c r="BH487" s="1018">
        <f t="shared" si="262"/>
        <v>0</v>
      </c>
    </row>
    <row r="488" spans="1:60" ht="15" customHeight="1" x14ac:dyDescent="0.3">
      <c r="A488" s="2032">
        <f>A481+1</f>
        <v>87</v>
      </c>
      <c r="B488" s="287" t="str">
        <f t="shared" si="263"/>
        <v/>
      </c>
      <c r="C488" s="288" t="str">
        <f t="shared" si="256"/>
        <v/>
      </c>
      <c r="D488" s="691"/>
      <c r="E488" s="692"/>
      <c r="F488" s="693"/>
      <c r="G488" s="694"/>
      <c r="H488" s="695"/>
      <c r="I488" s="289">
        <f>I487-SUM($D488:F488)</f>
        <v>0</v>
      </c>
      <c r="J488" s="1232" t="str">
        <f>$J$5</f>
        <v>% Mort Sem :</v>
      </c>
      <c r="K488" s="1233">
        <f>IF(PROD!$K$2&gt;0,SUM(D488:D494)/PROD!$K$2,0)</f>
        <v>0</v>
      </c>
      <c r="L488" s="1241"/>
      <c r="M488" s="1242">
        <f t="shared" ref="M488:M493" si="280">IF(I488&gt;0,L488/I488,0)</f>
        <v>0</v>
      </c>
      <c r="N488" s="1243" t="str">
        <f>$N$5</f>
        <v xml:space="preserve">% Pdn prom semana : </v>
      </c>
      <c r="O488" s="1244">
        <f>IF(SUM(L488:L493)&gt;0,100*SUMPRODUCT(M488:M494,I488:I494)/SUMIF(L488:L494,"&gt;0",I488:I494),IF(L494&gt;0,100*L494/7/I494,0))</f>
        <v>0</v>
      </c>
      <c r="P488" s="1244">
        <f>IFERROR(LOOKUP($A488,TP!$A$6:$A$108,GSh!$AE$6:$AE$108),0)</f>
        <v>0</v>
      </c>
      <c r="Q488" s="1245">
        <f>IF(AND(P488&gt;0,O488&gt;0),O488-P488,0)</f>
        <v>0</v>
      </c>
      <c r="R488" s="699"/>
      <c r="S488" s="762"/>
      <c r="T488" s="765">
        <f t="shared" si="268"/>
        <v>0</v>
      </c>
      <c r="U488" s="700"/>
      <c r="V488" s="701"/>
      <c r="W488" s="701"/>
      <c r="X488" s="295">
        <f t="shared" si="264"/>
        <v>0</v>
      </c>
      <c r="Y488" s="296">
        <f>IF(AA488&gt;0,V488,AE488/IF(Iniciar!$C$25="B X 40 K",40,IF(Iniciar!$C$25="B X 50 K",50,1))*I488/1000)</f>
        <v>0</v>
      </c>
      <c r="Z488" s="296">
        <f t="shared" si="265"/>
        <v>0</v>
      </c>
      <c r="AA488" s="297">
        <f t="shared" ref="AA488:AA493" si="281">IF(I488&gt;0,V488*$A$1/I488,0)</f>
        <v>0</v>
      </c>
      <c r="AB488" s="297">
        <f t="shared" si="259"/>
        <v>0</v>
      </c>
      <c r="AC488" s="1261" t="str">
        <f>$AC$5</f>
        <v>Gr. Ave Dia :</v>
      </c>
      <c r="AD488" s="1262">
        <f>IF(SUMIF(V488:V494,"&gt;0")&gt;0,SUMPRODUCT(AA488:AA494,I488:I494)/SUMIF(AA488:AA494,"&gt;0",I488:I494),0)</f>
        <v>0</v>
      </c>
      <c r="AE488" s="1262">
        <f>IFERROR(LOOKUP($A488,TP!$A$6:$A$108,GSh!$AU$6:$AU$108),0)</f>
        <v>0</v>
      </c>
      <c r="AF488" s="1263">
        <f>IF(AND(AE488&gt;0,AD488&gt;0),(AD488/AE488-1)*100,0)</f>
        <v>0</v>
      </c>
      <c r="AG488" s="1264" t="str">
        <f>PROD!$AG$5</f>
        <v>Gr X H</v>
      </c>
      <c r="AH488" s="1265">
        <f>IF(PROD!O488&gt;0,IF($AG488="Gr X H",PROD!AD488/PROD!O488*100,IF($AG488="Conv Kg/Doc",PROD!AD488/PROD!O488*1.2,IF(PROD!$O490&gt;0,PROD!AD488/(PROD!O488*PROD!$O490)*100,0))),0)</f>
        <v>0</v>
      </c>
      <c r="AI488" s="1265">
        <f>IF(PROD!P488&gt;0,IF($AG488="Gr X H",PROD!AE488/PROD!P488*100,IF($AG488="Conv Kg/Doc",PROD!AE488/PROD!P488*1.2,IF(PROD!$P490&gt;0,PROD!AE488/(PROD!P488*PROD!$P490)*100,0))),0)</f>
        <v>0</v>
      </c>
      <c r="AJ488" s="1266">
        <f t="shared" si="279"/>
        <v>0</v>
      </c>
      <c r="AK488" s="2026"/>
      <c r="AL488" s="1284">
        <f t="shared" si="260"/>
        <v>0</v>
      </c>
      <c r="AM488" s="1285"/>
      <c r="AN488" s="1285"/>
      <c r="AO488" s="1285"/>
      <c r="AP488" s="1285"/>
      <c r="AQ488" s="1285"/>
      <c r="AR488" s="1285"/>
      <c r="AS488" s="1286"/>
      <c r="AT488" s="1287"/>
      <c r="AU488" s="1288"/>
      <c r="AV488" s="1289"/>
      <c r="AW488" s="1290"/>
      <c r="AX488" s="1291"/>
      <c r="AY488" s="1291"/>
      <c r="AZ488" s="1292"/>
      <c r="BA488" s="1293"/>
      <c r="BB488" s="1294"/>
      <c r="BC488" s="1295"/>
      <c r="BD488" s="1296">
        <f>BD487+PROD!L488-BA488</f>
        <v>0</v>
      </c>
      <c r="BE488" s="2132">
        <f>IF(SUM(AM488:AZ494)&gt;0,(SUM(AM488:AM494)*$AM$2+SUM(AN488:AN494)*$AN$2+SUM(AO488:AO494)*$AO$2+SUM(AP488:AP494)*$AP$2+SUM(AQ488:AQ494)*$AQ$2+SUM(AR488:AR494)*$AR$2+SUM(AS488:AS494)*$AS$2+SUM(AW488:AW494)*$AW$2+SUM(AX488:AX494)*$AX$2+SUM(AY488:AY494)*$AY$2+SUM(AZ488:AZ494)*$AZ$2+SUM(AT488:AT494)*$AT$2+SUM(AU488:AU494)*$AU$2+SUM(AV488:AV494)*$AV$2)/SUM(AM488:AZ494),0)</f>
        <v>0</v>
      </c>
      <c r="BF488" s="507" t="e">
        <f t="shared" si="261"/>
        <v>#VALUE!</v>
      </c>
      <c r="BG488" s="277">
        <f>IF(SUM(L488:L494)&gt;0,A488,IF(SUM(V488:V494)&gt;0,A488,BG481))</f>
        <v>0</v>
      </c>
      <c r="BH488" s="1018">
        <f t="shared" si="262"/>
        <v>0</v>
      </c>
    </row>
    <row r="489" spans="1:60" ht="15" customHeight="1" x14ac:dyDescent="0.3">
      <c r="A489" s="2033"/>
      <c r="B489" s="287" t="str">
        <f t="shared" si="263"/>
        <v/>
      </c>
      <c r="C489" s="288" t="str">
        <f t="shared" si="256"/>
        <v/>
      </c>
      <c r="D489" s="691"/>
      <c r="E489" s="692"/>
      <c r="F489" s="693"/>
      <c r="G489" s="694"/>
      <c r="H489" s="695"/>
      <c r="I489" s="289">
        <f>I488-SUM($D489:F489)</f>
        <v>0</v>
      </c>
      <c r="J489" s="1234" t="str">
        <f>$J$6</f>
        <v>% Sel Sem :</v>
      </c>
      <c r="K489" s="1231">
        <f>IF(PROD!$K$2&gt;0,SUM(E488:E494)/PROD!$K$2,0)</f>
        <v>0</v>
      </c>
      <c r="L489" s="1246"/>
      <c r="M489" s="291">
        <f t="shared" si="280"/>
        <v>0</v>
      </c>
      <c r="N489" s="292" t="str">
        <f>$N$6</f>
        <v xml:space="preserve">H. Ave Alojada : </v>
      </c>
      <c r="O489" s="293">
        <f>IF(AND(PROD!$K$2&gt;0,O488&gt;0),SUM(L$5:L494)/PROD!$K$2,0)</f>
        <v>0</v>
      </c>
      <c r="P489" s="293">
        <f>IFERROR(LOOKUP($A488,TP!$A$6:$A$108,GSh!$AJ$6:$AJ$108),0)</f>
        <v>0</v>
      </c>
      <c r="Q489" s="294">
        <f>IF(AND(P489&gt;0,O489&gt;0),O489-P489,0)</f>
        <v>0</v>
      </c>
      <c r="R489" s="699"/>
      <c r="S489" s="762"/>
      <c r="T489" s="765">
        <f t="shared" si="268"/>
        <v>0</v>
      </c>
      <c r="U489" s="700"/>
      <c r="V489" s="701"/>
      <c r="W489" s="701"/>
      <c r="X489" s="295">
        <f t="shared" si="264"/>
        <v>0</v>
      </c>
      <c r="Y489" s="296">
        <f>IF(AA489&gt;0,V489,AE488/IF(Iniciar!$C$25="B X 40 K",40,IF(Iniciar!$C$25="B X 50 K",50,1))*I489/1000)</f>
        <v>0</v>
      </c>
      <c r="Z489" s="296">
        <f t="shared" si="265"/>
        <v>0</v>
      </c>
      <c r="AA489" s="297">
        <f t="shared" si="281"/>
        <v>0</v>
      </c>
      <c r="AB489" s="297">
        <f t="shared" si="259"/>
        <v>0</v>
      </c>
      <c r="AC489" s="1267" t="str">
        <f>$AC$6</f>
        <v>Gr. Ave Sem :</v>
      </c>
      <c r="AD489" s="284">
        <f>AD488*7</f>
        <v>0</v>
      </c>
      <c r="AE489" s="284">
        <f>AE488*7</f>
        <v>0</v>
      </c>
      <c r="AF489" s="285">
        <f>IF(AND(AE489&gt;0,AD489&gt;0),(AD489/AE489-1)*100,0)</f>
        <v>0</v>
      </c>
      <c r="AG489" s="1199" t="str">
        <f>PROD!$AG$6</f>
        <v>Gr X H Acm</v>
      </c>
      <c r="AH489" s="298">
        <f>IF(SUM(PROD!L488:L494)&gt;0,IF(PROD!$AG$5="Gr X H",SUM(PROD!V$5:V494)*PROD!$A$1/SUM(PROD!L$5:L494),IF($AG488="Conv Kg/Doc",(SUM(PROD!V$5:V494)*PROD!$A$1/1000)/(SUM(PROD!L$5:L494)/12),IF(PROD!$O490&gt;0,SUM(PROD!V$5:V494)*PROD!$A$1/(SUM(PROD!L$5:L494)*LOOKUP(PROD!A488,TP!$A$6:$A$108,GSh!$BB$6:$BB$108)),0))),0)</f>
        <v>0</v>
      </c>
      <c r="AI489" s="298">
        <f>IF(PROD!P488&gt;0,IF($AG488="Gr X H",PROD!AE488/PROD!P488*100,IF($AG488="Conv Kg/Doc",PROD!AE488/PROD!P488*1.2,IF(PROD!$P489&gt;0,PROD!AE490/(PROD!P489*LOOKUP(PROD!$A488,TP!$A$6:$A$108,GSh!$BC$6:$BC$108)/1000),0))),0)</f>
        <v>0</v>
      </c>
      <c r="AJ489" s="328">
        <f t="shared" si="279"/>
        <v>0</v>
      </c>
      <c r="AK489" s="2027"/>
      <c r="AL489" s="1284">
        <f t="shared" si="260"/>
        <v>0</v>
      </c>
      <c r="AM489" s="1285"/>
      <c r="AN489" s="1285"/>
      <c r="AO489" s="1285"/>
      <c r="AP489" s="1285"/>
      <c r="AQ489" s="1285"/>
      <c r="AR489" s="1285"/>
      <c r="AS489" s="1286"/>
      <c r="AT489" s="1287"/>
      <c r="AU489" s="1288"/>
      <c r="AV489" s="1289"/>
      <c r="AW489" s="1290"/>
      <c r="AX489" s="1291"/>
      <c r="AY489" s="1291"/>
      <c r="AZ489" s="1292"/>
      <c r="BA489" s="1293"/>
      <c r="BB489" s="1294"/>
      <c r="BC489" s="1295"/>
      <c r="BD489" s="1296">
        <f>BD488+PROD!L489-BA489</f>
        <v>0</v>
      </c>
      <c r="BE489" s="2133"/>
      <c r="BF489" s="507" t="e">
        <f t="shared" si="261"/>
        <v>#VALUE!</v>
      </c>
      <c r="BG489" s="329"/>
      <c r="BH489" s="1018">
        <f t="shared" si="262"/>
        <v>0</v>
      </c>
    </row>
    <row r="490" spans="1:60" ht="15" customHeight="1" x14ac:dyDescent="0.3">
      <c r="A490" s="2033"/>
      <c r="B490" s="287" t="str">
        <f t="shared" si="263"/>
        <v/>
      </c>
      <c r="C490" s="288" t="str">
        <f t="shared" si="256"/>
        <v/>
      </c>
      <c r="D490" s="691"/>
      <c r="E490" s="692"/>
      <c r="F490" s="693"/>
      <c r="G490" s="694"/>
      <c r="H490" s="695"/>
      <c r="I490" s="289">
        <f>I489-SUM($D490:F490)</f>
        <v>0</v>
      </c>
      <c r="J490" s="1235" t="str">
        <f>$J$7</f>
        <v>% Mort/Sel Sem Tab :</v>
      </c>
      <c r="K490" s="1236">
        <f>K493-K486</f>
        <v>0</v>
      </c>
      <c r="L490" s="1246"/>
      <c r="M490" s="291">
        <f t="shared" si="280"/>
        <v>0</v>
      </c>
      <c r="N490" s="304" t="str">
        <f>$N$7</f>
        <v xml:space="preserve">Peso Huevo (Gr) : </v>
      </c>
      <c r="O490" s="305">
        <f>LOOKUP($A488,'Pr-Sem'!$A$6:$A$108,'Pr-Sem'!$Z$6:$Z$108)</f>
        <v>0</v>
      </c>
      <c r="P490" s="305">
        <f>IFERROR(LOOKUP($A488,TP!$A$6:$A$108,GSh!$AZ$6:$AZ$108),0)</f>
        <v>0</v>
      </c>
      <c r="Q490" s="306">
        <f>IF(AND(P490&gt;0,O490&gt;0),O490-P490,0)</f>
        <v>0</v>
      </c>
      <c r="R490" s="699"/>
      <c r="S490" s="762"/>
      <c r="T490" s="765">
        <f t="shared" si="268"/>
        <v>0</v>
      </c>
      <c r="U490" s="700"/>
      <c r="V490" s="701"/>
      <c r="W490" s="701"/>
      <c r="X490" s="295">
        <f t="shared" si="264"/>
        <v>0</v>
      </c>
      <c r="Y490" s="296">
        <f>IF(AA490&gt;0,V490,AE488/IF(Iniciar!$C$25="B X 40 K",40,IF(Iniciar!$C$25="B X 50 K",50,1))*I490/1000)</f>
        <v>0</v>
      </c>
      <c r="Z490" s="296">
        <f t="shared" si="265"/>
        <v>0</v>
      </c>
      <c r="AA490" s="297">
        <f t="shared" si="281"/>
        <v>0</v>
      </c>
      <c r="AB490" s="297">
        <f t="shared" si="259"/>
        <v>0</v>
      </c>
      <c r="AC490" s="1268" t="str">
        <f>$AC$7</f>
        <v>Kg Ave Acu :</v>
      </c>
      <c r="AD490" s="308">
        <f>IF(OR(SUM(L488:L494)&gt;0,SUM(V488:V494)&gt;0),AD489/1000+AD483,0)</f>
        <v>0</v>
      </c>
      <c r="AE490" s="309">
        <f>AE489/1000+AE483</f>
        <v>0</v>
      </c>
      <c r="AF490" s="310">
        <f>IF(AND(AE490&gt;0,AD490&gt;0),(AD490/AE490-1)*100,0)</f>
        <v>0</v>
      </c>
      <c r="AG490" s="311" t="str">
        <f>PROD!$AG$7</f>
        <v xml:space="preserve">Masa Sem H (Gr) : </v>
      </c>
      <c r="AH490" s="312">
        <f>PROD!O488/100*7*PROD!O490</f>
        <v>0</v>
      </c>
      <c r="AI490" s="312">
        <f>PROD!P488/100*7*PROD!P490</f>
        <v>0</v>
      </c>
      <c r="AJ490" s="313">
        <f t="shared" si="279"/>
        <v>0</v>
      </c>
      <c r="AK490" s="2027"/>
      <c r="AL490" s="1284">
        <f t="shared" si="260"/>
        <v>0</v>
      </c>
      <c r="AM490" s="1285"/>
      <c r="AN490" s="1285"/>
      <c r="AO490" s="1285"/>
      <c r="AP490" s="1285"/>
      <c r="AQ490" s="1285"/>
      <c r="AR490" s="1285"/>
      <c r="AS490" s="1286"/>
      <c r="AT490" s="1287"/>
      <c r="AU490" s="1288"/>
      <c r="AV490" s="1289"/>
      <c r="AW490" s="1290"/>
      <c r="AX490" s="1291"/>
      <c r="AY490" s="1291"/>
      <c r="AZ490" s="1292"/>
      <c r="BA490" s="1293"/>
      <c r="BB490" s="1294"/>
      <c r="BC490" s="1295"/>
      <c r="BD490" s="1296">
        <f>BD489+PROD!L490-BA490</f>
        <v>0</v>
      </c>
      <c r="BE490" s="2133"/>
      <c r="BF490" s="507" t="e">
        <f t="shared" si="261"/>
        <v>#VALUE!</v>
      </c>
      <c r="BG490" s="329"/>
      <c r="BH490" s="1018">
        <f t="shared" si="262"/>
        <v>0</v>
      </c>
    </row>
    <row r="491" spans="1:60" ht="15" customHeight="1" x14ac:dyDescent="0.3">
      <c r="A491" s="2033"/>
      <c r="B491" s="287" t="str">
        <f t="shared" si="263"/>
        <v/>
      </c>
      <c r="C491" s="288" t="str">
        <f t="shared" si="256"/>
        <v/>
      </c>
      <c r="D491" s="691"/>
      <c r="E491" s="692"/>
      <c r="F491" s="693"/>
      <c r="G491" s="694"/>
      <c r="H491" s="695"/>
      <c r="I491" s="289">
        <f>I490-SUM($D491:F491)</f>
        <v>0</v>
      </c>
      <c r="J491" s="1234" t="str">
        <f>$J$8</f>
        <v>% Mort Acm :</v>
      </c>
      <c r="K491" s="1231">
        <f>IF(PROD!$K$2&gt;0,SUM(D$5:D494)/PROD!$K$2,0)</f>
        <v>0</v>
      </c>
      <c r="L491" s="1246"/>
      <c r="M491" s="291">
        <f t="shared" si="280"/>
        <v>0</v>
      </c>
      <c r="N491" s="314" t="str">
        <f>N$8</f>
        <v xml:space="preserve">Peso Ave (Gr) : </v>
      </c>
      <c r="O491" s="315">
        <f>LOOKUP($A488,GSh!$BV$6:$BV$108,GSh!$BJ$6:$BJ$108)</f>
        <v>0</v>
      </c>
      <c r="P491" s="315">
        <f>IFERROR(LOOKUP($A488,TP!$A$6:$A$108,GSh!$BK$6:$BK$108),0)</f>
        <v>0</v>
      </c>
      <c r="Q491" s="316">
        <f>IF(AND(P491&gt;0,O491&gt;0),(O491/P491-1)*100,0)</f>
        <v>0</v>
      </c>
      <c r="R491" s="699"/>
      <c r="S491" s="762"/>
      <c r="T491" s="765">
        <f t="shared" si="268"/>
        <v>0</v>
      </c>
      <c r="U491" s="700"/>
      <c r="V491" s="701"/>
      <c r="W491" s="701"/>
      <c r="X491" s="295">
        <f t="shared" si="264"/>
        <v>0</v>
      </c>
      <c r="Y491" s="296">
        <f>IF(AA491&gt;0,V491,AE488/IF(Iniciar!$C$25="B X 40 K",40,IF(Iniciar!$C$25="B X 50 K",50,1))*I491/1000)</f>
        <v>0</v>
      </c>
      <c r="Z491" s="296">
        <f t="shared" si="265"/>
        <v>0</v>
      </c>
      <c r="AA491" s="297">
        <f t="shared" si="281"/>
        <v>0</v>
      </c>
      <c r="AB491" s="297">
        <f t="shared" si="259"/>
        <v>0</v>
      </c>
      <c r="AC491" s="541" t="str">
        <f>$AC$8</f>
        <v xml:space="preserve">Ton. Lote Acu : </v>
      </c>
      <c r="AD491" s="544">
        <f>SUM($V$5:$V494)*$A$1/1000000</f>
        <v>0</v>
      </c>
      <c r="AE491" s="543">
        <f>AE484+(AE488/1000000*7*(I488+I494)/2)</f>
        <v>0</v>
      </c>
      <c r="AF491" s="542">
        <f>IF(AND(AE491&gt;0,AD491&gt;0),(AD491/AE491-1)*100,0)</f>
        <v>0</v>
      </c>
      <c r="AG491" s="317" t="str">
        <f>PROD!$AG$8</f>
        <v xml:space="preserve">Masa Ac A. A (Kg) : </v>
      </c>
      <c r="AH491" s="318">
        <f>IF(PROD!$K$2&gt;0,SUM(PROD!L$5:L494)*LOOKUP(PROD!$A488,TP!$A$6:$A$108,GSh!$BB$6:$BB$108)/1000/PROD!$K$2,0)</f>
        <v>0</v>
      </c>
      <c r="AI491" s="318">
        <f>IFERROR(PROD!P489*LOOKUP(PROD!$A488,TP!$A$6:$A$108,GSh!$BC$6:$BC$108)/1000,0)</f>
        <v>0</v>
      </c>
      <c r="AJ491" s="330">
        <f t="shared" si="279"/>
        <v>0</v>
      </c>
      <c r="AK491" s="2027"/>
      <c r="AL491" s="1284">
        <f t="shared" si="260"/>
        <v>0</v>
      </c>
      <c r="AM491" s="1285"/>
      <c r="AN491" s="1285"/>
      <c r="AO491" s="1285"/>
      <c r="AP491" s="1285"/>
      <c r="AQ491" s="1285"/>
      <c r="AR491" s="1285"/>
      <c r="AS491" s="1286"/>
      <c r="AT491" s="1287"/>
      <c r="AU491" s="1288"/>
      <c r="AV491" s="1289"/>
      <c r="AW491" s="1290"/>
      <c r="AX491" s="1291"/>
      <c r="AY491" s="1291"/>
      <c r="AZ491" s="1292"/>
      <c r="BA491" s="1293"/>
      <c r="BB491" s="1294"/>
      <c r="BC491" s="1295"/>
      <c r="BD491" s="1296">
        <f>BD490+PROD!L491-BA491</f>
        <v>0</v>
      </c>
      <c r="BE491" s="2133"/>
      <c r="BF491" s="507" t="e">
        <f t="shared" si="261"/>
        <v>#VALUE!</v>
      </c>
      <c r="BG491" s="329"/>
      <c r="BH491" s="1018">
        <f t="shared" si="262"/>
        <v>0</v>
      </c>
    </row>
    <row r="492" spans="1:60" ht="15" customHeight="1" x14ac:dyDescent="0.3">
      <c r="A492" s="2033"/>
      <c r="B492" s="287" t="str">
        <f t="shared" si="263"/>
        <v/>
      </c>
      <c r="C492" s="288" t="str">
        <f t="shared" si="256"/>
        <v/>
      </c>
      <c r="D492" s="691"/>
      <c r="E492" s="692"/>
      <c r="F492" s="693"/>
      <c r="G492" s="694"/>
      <c r="H492" s="695"/>
      <c r="I492" s="289">
        <f>I491-SUM($D492:F492)</f>
        <v>0</v>
      </c>
      <c r="J492" s="1234" t="str">
        <f>$J$9</f>
        <v>% Sel Acm :</v>
      </c>
      <c r="K492" s="1231">
        <f>IF(PROD!$K$2&gt;0,SUM(E$5:E494)/PROD!$K$2,0)</f>
        <v>0</v>
      </c>
      <c r="L492" s="1246"/>
      <c r="M492" s="291">
        <f t="shared" si="280"/>
        <v>0</v>
      </c>
      <c r="N492" s="292" t="str">
        <f>$N$9</f>
        <v xml:space="preserve">Uniformidad (10% -) : </v>
      </c>
      <c r="O492" s="320">
        <f>LOOKUP($A488,'Pr-Sem'!$A$6:$A$108,'Pr-Sem'!$AH$6:$AH$108)</f>
        <v>0</v>
      </c>
      <c r="P492" s="320">
        <v>5</v>
      </c>
      <c r="Q492" s="321">
        <f>IF(AND(P492&gt;0,O492&gt;0),(1-O492/P492)*100,0)</f>
        <v>0</v>
      </c>
      <c r="R492" s="699"/>
      <c r="S492" s="762"/>
      <c r="T492" s="765">
        <f t="shared" si="268"/>
        <v>0</v>
      </c>
      <c r="U492" s="700"/>
      <c r="V492" s="701"/>
      <c r="W492" s="701"/>
      <c r="X492" s="295">
        <f t="shared" si="264"/>
        <v>0</v>
      </c>
      <c r="Y492" s="296">
        <f>IF(AA492&gt;0,V492,AE488/IF(Iniciar!$C$25="B X 40 K",40,IF(Iniciar!$C$25="B X 50 K",50,1))*I492/1000)</f>
        <v>0</v>
      </c>
      <c r="Z492" s="296">
        <f t="shared" si="265"/>
        <v>0</v>
      </c>
      <c r="AA492" s="297">
        <f t="shared" si="281"/>
        <v>0</v>
      </c>
      <c r="AB492" s="297">
        <f t="shared" si="259"/>
        <v>0</v>
      </c>
      <c r="AC492" s="2035" t="str">
        <f>$AC$9</f>
        <v xml:space="preserve">Total Litros Sem: </v>
      </c>
      <c r="AD492" s="2036"/>
      <c r="AE492" s="2050">
        <f>SUM(R488:R494)</f>
        <v>0</v>
      </c>
      <c r="AF492" s="2051"/>
      <c r="AG492" s="554" t="str">
        <f>$AG$9</f>
        <v xml:space="preserve">Indicador Eficiencia : </v>
      </c>
      <c r="AH492" s="555">
        <f>IF(AND(AE492&gt;0,O489&gt;0,O490&gt;0,SUM(L488:L494)&gt;0),(PROD!AH491/O489)*K494*100/(AE492/(SUM(L488:L494)*O490/1000)),0)</f>
        <v>0</v>
      </c>
      <c r="AI492" s="555">
        <f>IF(AND(P489&gt;0,PROD!AI490&gt;0),(PROD!AI491/P489)*(1-K493)*100/(AE489/PROD!AI490),0)</f>
        <v>0</v>
      </c>
      <c r="AJ492" s="331">
        <f t="shared" si="279"/>
        <v>0</v>
      </c>
      <c r="AK492" s="2027"/>
      <c r="AL492" s="1284">
        <f t="shared" si="260"/>
        <v>0</v>
      </c>
      <c r="AM492" s="1285"/>
      <c r="AN492" s="1285"/>
      <c r="AO492" s="1285"/>
      <c r="AP492" s="1285"/>
      <c r="AQ492" s="1285"/>
      <c r="AR492" s="1285"/>
      <c r="AS492" s="1286"/>
      <c r="AT492" s="1287"/>
      <c r="AU492" s="1288"/>
      <c r="AV492" s="1289"/>
      <c r="AW492" s="1290"/>
      <c r="AX492" s="1291"/>
      <c r="AY492" s="1291"/>
      <c r="AZ492" s="1292"/>
      <c r="BA492" s="1293"/>
      <c r="BB492" s="1294"/>
      <c r="BC492" s="1295"/>
      <c r="BD492" s="1296">
        <f>BD491+PROD!L492-BA492</f>
        <v>0</v>
      </c>
      <c r="BE492" s="2133"/>
      <c r="BF492" s="507" t="e">
        <f t="shared" si="261"/>
        <v>#VALUE!</v>
      </c>
      <c r="BG492" s="329"/>
      <c r="BH492" s="1018">
        <f t="shared" si="262"/>
        <v>0</v>
      </c>
    </row>
    <row r="493" spans="1:60" ht="15" customHeight="1" x14ac:dyDescent="0.3">
      <c r="A493" s="2033"/>
      <c r="B493" s="287" t="str">
        <f t="shared" si="263"/>
        <v/>
      </c>
      <c r="C493" s="288" t="str">
        <f t="shared" si="256"/>
        <v/>
      </c>
      <c r="D493" s="691"/>
      <c r="E493" s="692"/>
      <c r="F493" s="693"/>
      <c r="G493" s="694"/>
      <c r="H493" s="695"/>
      <c r="I493" s="289">
        <f>I492-SUM($D493:F493)</f>
        <v>0</v>
      </c>
      <c r="J493" s="1237" t="str">
        <f>$J$10</f>
        <v>% Mort/Sel Acm Tab :</v>
      </c>
      <c r="K493" s="1238">
        <f>IFERROR(LOOKUP($A488,TP!$A$6:$A$108,GSh!$AR$6:$AR$108)/100,0)</f>
        <v>0</v>
      </c>
      <c r="L493" s="1246"/>
      <c r="M493" s="291">
        <f t="shared" si="280"/>
        <v>0</v>
      </c>
      <c r="N493" s="292" t="str">
        <f>$N$10</f>
        <v xml:space="preserve">Uniformidad (C. Lote) : </v>
      </c>
      <c r="O493" s="320">
        <f>LOOKUP($A488,'Pr-Sem'!$A$6:$A$108,'Pr-Sem'!$AG$6:$AG$108)</f>
        <v>0</v>
      </c>
      <c r="P493" s="320">
        <v>90</v>
      </c>
      <c r="Q493" s="321">
        <f>IF(AND(P493&gt;0,O493&gt;0),(O493/P493-1)*100,0)</f>
        <v>0</v>
      </c>
      <c r="R493" s="699"/>
      <c r="S493" s="762"/>
      <c r="T493" s="765">
        <f t="shared" si="268"/>
        <v>0</v>
      </c>
      <c r="U493" s="700"/>
      <c r="V493" s="701"/>
      <c r="W493" s="701"/>
      <c r="X493" s="295">
        <f t="shared" si="264"/>
        <v>0</v>
      </c>
      <c r="Y493" s="296">
        <f>IF(AA493&gt;0,V493,AE488/IF(Iniciar!$C$25="B X 40 K",40,IF(Iniciar!$C$25="B X 50 K",50,1))*I493/1000)</f>
        <v>0</v>
      </c>
      <c r="Z493" s="296">
        <f t="shared" si="265"/>
        <v>0</v>
      </c>
      <c r="AA493" s="297">
        <f t="shared" si="281"/>
        <v>0</v>
      </c>
      <c r="AB493" s="297">
        <f t="shared" si="259"/>
        <v>0</v>
      </c>
      <c r="AC493" s="2037" t="str">
        <f>$AC$10</f>
        <v xml:space="preserve">Cons ml /ave día: </v>
      </c>
      <c r="AD493" s="2038"/>
      <c r="AE493" s="2056">
        <f>IFERROR(SUMPRODUCT(AB488:AB494,I488:I494)/SUM(I488:I494),0)</f>
        <v>0</v>
      </c>
      <c r="AF493" s="2057"/>
      <c r="AG493" s="311" t="str">
        <f>CONCATENATE("Costo ",Iniciar!$C$25," : ")</f>
        <v xml:space="preserve">Costo Kilos : </v>
      </c>
      <c r="AH493" s="2043">
        <f>IFERROR(SUMPRODUCT(T488:T494,V488:V494)/SUMIF(T488:T494,"&gt;0",V488:V494),0)</f>
        <v>0</v>
      </c>
      <c r="AI493" s="2043"/>
      <c r="AJ493" s="313"/>
      <c r="AK493" s="2027"/>
      <c r="AL493" s="1284">
        <f t="shared" si="260"/>
        <v>0</v>
      </c>
      <c r="AM493" s="1285"/>
      <c r="AN493" s="1285"/>
      <c r="AO493" s="1285"/>
      <c r="AP493" s="1285"/>
      <c r="AQ493" s="1285"/>
      <c r="AR493" s="1285"/>
      <c r="AS493" s="1286"/>
      <c r="AT493" s="1287"/>
      <c r="AU493" s="1288"/>
      <c r="AV493" s="1289"/>
      <c r="AW493" s="1290"/>
      <c r="AX493" s="1291"/>
      <c r="AY493" s="1291"/>
      <c r="AZ493" s="1292"/>
      <c r="BA493" s="1293"/>
      <c r="BB493" s="1294"/>
      <c r="BC493" s="1295"/>
      <c r="BD493" s="1296">
        <f>BD492+PROD!L493-BA493</f>
        <v>0</v>
      </c>
      <c r="BE493" s="2133"/>
      <c r="BF493" s="507" t="e">
        <f t="shared" si="261"/>
        <v>#VALUE!</v>
      </c>
      <c r="BG493" s="329"/>
      <c r="BH493" s="1018">
        <f t="shared" si="262"/>
        <v>0</v>
      </c>
    </row>
    <row r="494" spans="1:60" ht="15" customHeight="1" x14ac:dyDescent="0.3">
      <c r="A494" s="2034"/>
      <c r="B494" s="287" t="str">
        <f t="shared" si="263"/>
        <v/>
      </c>
      <c r="C494" s="288" t="str">
        <f t="shared" si="256"/>
        <v/>
      </c>
      <c r="D494" s="691"/>
      <c r="E494" s="692"/>
      <c r="F494" s="693"/>
      <c r="G494" s="694"/>
      <c r="H494" s="695"/>
      <c r="I494" s="289">
        <f>I493-SUM($D494:F494)</f>
        <v>0</v>
      </c>
      <c r="J494" s="1239" t="str">
        <f>$J$11</f>
        <v>% Viabilidad :</v>
      </c>
      <c r="K494" s="1240">
        <f>IF(OR(SUM(L488:L494)&gt;0,SUM(V488:V494)&gt;0),1-(K491+K492),0)</f>
        <v>0</v>
      </c>
      <c r="L494" s="1247"/>
      <c r="M494" s="1248">
        <f>IF(I494&gt;0,(L494/IF(SUM(L488:L493)&gt;0,1,7))/I494,0)</f>
        <v>0</v>
      </c>
      <c r="N494" s="1249" t="str">
        <f>$N$11</f>
        <v xml:space="preserve">Uniformidad (10% +) : </v>
      </c>
      <c r="O494" s="1250">
        <f>IF(O492&gt;0,IF(O493&gt;0,100-SUM(O492:O493),0),0)</f>
        <v>0</v>
      </c>
      <c r="P494" s="1251">
        <f>100-SUM(P492:P493)</f>
        <v>5</v>
      </c>
      <c r="Q494" s="1252">
        <f>IF(AND(P494&gt;0,O494&gt;0),(O494/P494-1)*100,0)</f>
        <v>0</v>
      </c>
      <c r="R494" s="699"/>
      <c r="S494" s="762"/>
      <c r="T494" s="765">
        <f t="shared" si="268"/>
        <v>0</v>
      </c>
      <c r="U494" s="700"/>
      <c r="V494" s="701"/>
      <c r="W494" s="701"/>
      <c r="X494" s="295">
        <f t="shared" si="264"/>
        <v>0</v>
      </c>
      <c r="Y494" s="296">
        <f>IF(AA494&gt;0,V494,AE488/IF(Iniciar!$C$25="B X 40 K",40,IF(Iniciar!$C$25="B X 50 K",50,1))*I494/1000)</f>
        <v>0</v>
      </c>
      <c r="Z494" s="296">
        <f t="shared" si="265"/>
        <v>0</v>
      </c>
      <c r="AA494" s="297">
        <f>IF(I494&gt;0,(V494/IF(SUM(V488:V493)&gt;0,1,7))*$A$1/I494,0)</f>
        <v>0</v>
      </c>
      <c r="AB494" s="297">
        <f t="shared" si="259"/>
        <v>0</v>
      </c>
      <c r="AC494" s="2039" t="str">
        <f>$AC$11</f>
        <v xml:space="preserve">Relación Agua /Alimto: </v>
      </c>
      <c r="AD494" s="2040"/>
      <c r="AE494" s="2058">
        <f>IFERROR(AE493/AD488,0)</f>
        <v>0</v>
      </c>
      <c r="AF494" s="2059"/>
      <c r="AG494" s="1269" t="s">
        <v>237</v>
      </c>
      <c r="AH494" s="1270">
        <f>IF(SUM(L488:L494)&gt;0,AH493*SUM(V488:V494)/SUM(L488:L494),0)</f>
        <v>0</v>
      </c>
      <c r="AI494" s="1270">
        <f>IF(AND($A$1&gt;0,P488&gt;0),AH493/$A$1*(AE488/P488)*100,0)</f>
        <v>0</v>
      </c>
      <c r="AJ494" s="1271">
        <f t="shared" ref="AJ494:AJ499" si="282">IF(AND(AI494&gt;0,AH494&gt;0),(AH494/AI494-1)*100,0)</f>
        <v>0</v>
      </c>
      <c r="AK494" s="2028"/>
      <c r="AL494" s="1284">
        <f t="shared" si="260"/>
        <v>0</v>
      </c>
      <c r="AM494" s="1285"/>
      <c r="AN494" s="1285"/>
      <c r="AO494" s="1285"/>
      <c r="AP494" s="1285"/>
      <c r="AQ494" s="1285"/>
      <c r="AR494" s="1285"/>
      <c r="AS494" s="1286"/>
      <c r="AT494" s="1287"/>
      <c r="AU494" s="1288"/>
      <c r="AV494" s="1289"/>
      <c r="AW494" s="1290"/>
      <c r="AX494" s="1291"/>
      <c r="AY494" s="1291"/>
      <c r="AZ494" s="1292"/>
      <c r="BA494" s="1293"/>
      <c r="BB494" s="1294"/>
      <c r="BC494" s="1295"/>
      <c r="BD494" s="1296">
        <f>BD493+PROD!L494-BA494</f>
        <v>0</v>
      </c>
      <c r="BE494" s="2134"/>
      <c r="BF494" s="507" t="e">
        <f t="shared" si="261"/>
        <v>#VALUE!</v>
      </c>
      <c r="BG494" s="329"/>
      <c r="BH494" s="1018">
        <f t="shared" si="262"/>
        <v>0</v>
      </c>
    </row>
    <row r="495" spans="1:60" ht="15" customHeight="1" x14ac:dyDescent="0.3">
      <c r="A495" s="2032">
        <f>A488+1</f>
        <v>88</v>
      </c>
      <c r="B495" s="287" t="str">
        <f t="shared" si="263"/>
        <v/>
      </c>
      <c r="C495" s="288" t="str">
        <f t="shared" si="256"/>
        <v/>
      </c>
      <c r="D495" s="691"/>
      <c r="E495" s="692"/>
      <c r="F495" s="693"/>
      <c r="G495" s="694"/>
      <c r="H495" s="695"/>
      <c r="I495" s="289">
        <f>I494-SUM($D495:F495)</f>
        <v>0</v>
      </c>
      <c r="J495" s="1232" t="str">
        <f>$J$5</f>
        <v>% Mort Sem :</v>
      </c>
      <c r="K495" s="1233">
        <f>IF(PROD!$K$2&gt;0,SUM(D495:D501)/PROD!$K$2,0)</f>
        <v>0</v>
      </c>
      <c r="L495" s="1241"/>
      <c r="M495" s="1242">
        <f t="shared" ref="M495:M500" si="283">IF(I495&gt;0,L495/I495,0)</f>
        <v>0</v>
      </c>
      <c r="N495" s="1243" t="str">
        <f>$N$5</f>
        <v xml:space="preserve">% Pdn prom semana : </v>
      </c>
      <c r="O495" s="1244">
        <f>IF(SUM(L495:L500)&gt;0,100*SUMPRODUCT(M495:M501,I495:I501)/SUMIF(L495:L501,"&gt;0",I495:I501),IF(L501&gt;0,100*L501/7/I501,0))</f>
        <v>0</v>
      </c>
      <c r="P495" s="1244">
        <f>IFERROR(LOOKUP($A495,TP!$A$6:$A$108,GSh!$AE$6:$AE$108),0)</f>
        <v>0</v>
      </c>
      <c r="Q495" s="1245">
        <f>IF(AND(P495&gt;0,O495&gt;0),O495-P495,0)</f>
        <v>0</v>
      </c>
      <c r="R495" s="699"/>
      <c r="S495" s="762"/>
      <c r="T495" s="765">
        <f t="shared" si="268"/>
        <v>0</v>
      </c>
      <c r="U495" s="700"/>
      <c r="V495" s="701"/>
      <c r="W495" s="701"/>
      <c r="X495" s="295">
        <f t="shared" si="264"/>
        <v>0</v>
      </c>
      <c r="Y495" s="296">
        <f>IF(AA495&gt;0,V495,AE495/IF(Iniciar!$C$25="B X 40 K",40,IF(Iniciar!$C$25="B X 50 K",50,1))*I495/1000)</f>
        <v>0</v>
      </c>
      <c r="Z495" s="296">
        <f t="shared" si="265"/>
        <v>0</v>
      </c>
      <c r="AA495" s="297">
        <f t="shared" ref="AA495:AA500" si="284">IF(I495&gt;0,V495*$A$1/I495,0)</f>
        <v>0</v>
      </c>
      <c r="AB495" s="297">
        <f t="shared" si="259"/>
        <v>0</v>
      </c>
      <c r="AC495" s="1261" t="str">
        <f>$AC$5</f>
        <v>Gr. Ave Dia :</v>
      </c>
      <c r="AD495" s="1262">
        <f>IF(SUMIF(V495:V501,"&gt;0")&gt;0,SUMPRODUCT(AA495:AA501,I495:I501)/SUMIF(AA495:AA501,"&gt;0",I495:I501),0)</f>
        <v>0</v>
      </c>
      <c r="AE495" s="1262">
        <f>IFERROR(LOOKUP($A495,TP!$A$6:$A$108,GSh!$AU$6:$AU$108),0)</f>
        <v>0</v>
      </c>
      <c r="AF495" s="1263">
        <f>IF(AND(AE495&gt;0,AD495&gt;0),(AD495/AE495-1)*100,0)</f>
        <v>0</v>
      </c>
      <c r="AG495" s="1264" t="str">
        <f>PROD!$AG$5</f>
        <v>Gr X H</v>
      </c>
      <c r="AH495" s="1265">
        <f>IF(PROD!O495&gt;0,IF($AG495="Gr X H",PROD!AD495/PROD!O495*100,IF($AG495="Conv Kg/Doc",PROD!AD495/PROD!O495*1.2,IF(PROD!$O497&gt;0,PROD!AD495/(PROD!O495*PROD!$O497)*100,0))),0)</f>
        <v>0</v>
      </c>
      <c r="AI495" s="1265">
        <f>IF(PROD!P495&gt;0,IF($AG495="Gr X H",PROD!AE495/PROD!P495*100,IF($AG495="Conv Kg/Doc",PROD!AE495/PROD!P495*1.2,IF(PROD!$P497&gt;0,PROD!AE495/(PROD!P495*PROD!$P497)*100,0))),0)</f>
        <v>0</v>
      </c>
      <c r="AJ495" s="1266">
        <f t="shared" si="282"/>
        <v>0</v>
      </c>
      <c r="AK495" s="2026"/>
      <c r="AL495" s="1284">
        <f t="shared" si="260"/>
        <v>0</v>
      </c>
      <c r="AM495" s="1285"/>
      <c r="AN495" s="1285"/>
      <c r="AO495" s="1285"/>
      <c r="AP495" s="1285"/>
      <c r="AQ495" s="1285"/>
      <c r="AR495" s="1285"/>
      <c r="AS495" s="1286"/>
      <c r="AT495" s="1287"/>
      <c r="AU495" s="1288"/>
      <c r="AV495" s="1289"/>
      <c r="AW495" s="1290"/>
      <c r="AX495" s="1291"/>
      <c r="AY495" s="1291"/>
      <c r="AZ495" s="1292"/>
      <c r="BA495" s="1293"/>
      <c r="BB495" s="1294"/>
      <c r="BC495" s="1295"/>
      <c r="BD495" s="1296">
        <f>BD494+PROD!L495-BA495</f>
        <v>0</v>
      </c>
      <c r="BE495" s="2132">
        <f>IF(SUM(AM495:AZ501)&gt;0,(SUM(AM495:AM501)*$AM$2+SUM(AN495:AN501)*$AN$2+SUM(AO495:AO501)*$AO$2+SUM(AP495:AP501)*$AP$2+SUM(AQ495:AQ501)*$AQ$2+SUM(AR495:AR501)*$AR$2+SUM(AS495:AS501)*$AS$2+SUM(AW495:AW501)*$AW$2+SUM(AX495:AX501)*$AX$2+SUM(AY495:AY501)*$AY$2+SUM(AZ495:AZ501)*$AZ$2+SUM(AT495:AT501)*$AT$2+SUM(AU495:AU501)*$AU$2+SUM(AV495:AV501)*$AV$2)/SUM(AM495:AZ501),0)</f>
        <v>0</v>
      </c>
      <c r="BF495" s="507" t="e">
        <f t="shared" si="261"/>
        <v>#VALUE!</v>
      </c>
      <c r="BG495" s="277">
        <f>IF(SUM(L495:L501)&gt;0,A495,IF(SUM(V495:V501)&gt;0,A495,BG488))</f>
        <v>0</v>
      </c>
      <c r="BH495" s="1018">
        <f t="shared" si="262"/>
        <v>0</v>
      </c>
    </row>
    <row r="496" spans="1:60" ht="15" customHeight="1" x14ac:dyDescent="0.3">
      <c r="A496" s="2033"/>
      <c r="B496" s="287" t="str">
        <f t="shared" si="263"/>
        <v/>
      </c>
      <c r="C496" s="288" t="str">
        <f t="shared" si="256"/>
        <v/>
      </c>
      <c r="D496" s="691"/>
      <c r="E496" s="692"/>
      <c r="F496" s="693"/>
      <c r="G496" s="694"/>
      <c r="H496" s="695"/>
      <c r="I496" s="289">
        <f>I495-SUM($D496:F496)</f>
        <v>0</v>
      </c>
      <c r="J496" s="1234" t="str">
        <f>$J$6</f>
        <v>% Sel Sem :</v>
      </c>
      <c r="K496" s="1231">
        <f>IF(PROD!$K$2&gt;0,SUM(E495:E501)/PROD!$K$2,0)</f>
        <v>0</v>
      </c>
      <c r="L496" s="1246"/>
      <c r="M496" s="291">
        <f t="shared" si="283"/>
        <v>0</v>
      </c>
      <c r="N496" s="292" t="str">
        <f>$N$6</f>
        <v xml:space="preserve">H. Ave Alojada : </v>
      </c>
      <c r="O496" s="293">
        <f>IF(AND(PROD!$K$2&gt;0,O495&gt;0),SUM(L$5:L501)/PROD!$K$2,0)</f>
        <v>0</v>
      </c>
      <c r="P496" s="293">
        <f>IFERROR(LOOKUP($A495,TP!$A$6:$A$108,GSh!$AJ$6:$AJ$108),0)</f>
        <v>0</v>
      </c>
      <c r="Q496" s="294">
        <f>IF(AND(P496&gt;0,O496&gt;0),O496-P496,0)</f>
        <v>0</v>
      </c>
      <c r="R496" s="699"/>
      <c r="S496" s="762"/>
      <c r="T496" s="765">
        <f t="shared" si="268"/>
        <v>0</v>
      </c>
      <c r="U496" s="700"/>
      <c r="V496" s="701"/>
      <c r="W496" s="701"/>
      <c r="X496" s="295">
        <f t="shared" si="264"/>
        <v>0</v>
      </c>
      <c r="Y496" s="296">
        <f>IF(AA496&gt;0,V496,AE495/IF(Iniciar!$C$25="B X 40 K",40,IF(Iniciar!$C$25="B X 50 K",50,1))*I496/1000)</f>
        <v>0</v>
      </c>
      <c r="Z496" s="296">
        <f t="shared" si="265"/>
        <v>0</v>
      </c>
      <c r="AA496" s="297">
        <f t="shared" si="284"/>
        <v>0</v>
      </c>
      <c r="AB496" s="297">
        <f t="shared" si="259"/>
        <v>0</v>
      </c>
      <c r="AC496" s="1267" t="str">
        <f>$AC$6</f>
        <v>Gr. Ave Sem :</v>
      </c>
      <c r="AD496" s="284">
        <f>AD495*7</f>
        <v>0</v>
      </c>
      <c r="AE496" s="284">
        <f>AE495*7</f>
        <v>0</v>
      </c>
      <c r="AF496" s="285">
        <f>IF(AND(AE496&gt;0,AD496&gt;0),(AD496/AE496-1)*100,0)</f>
        <v>0</v>
      </c>
      <c r="AG496" s="1199" t="str">
        <f>PROD!$AG$6</f>
        <v>Gr X H Acm</v>
      </c>
      <c r="AH496" s="298">
        <f>IF(SUM(PROD!L495:L501)&gt;0,IF(PROD!$AG$5="Gr X H",SUM(PROD!V$5:V501)*PROD!$A$1/SUM(PROD!L$5:L501),IF($AG495="Conv Kg/Doc",(SUM(PROD!V$5:V501)*PROD!$A$1/1000)/(SUM(PROD!L$5:L501)/12),IF(PROD!$O497&gt;0,SUM(PROD!V$5:V501)*PROD!$A$1/(SUM(PROD!L$5:L501)*LOOKUP(PROD!A495,TP!$A$6:$A$108,GSh!$BB$6:$BB$108)),0))),0)</f>
        <v>0</v>
      </c>
      <c r="AI496" s="298">
        <f>IF(PROD!P495&gt;0,IF($AG495="Gr X H",PROD!AE495/PROD!P495*100,IF($AG495="Conv Kg/Doc",PROD!AE495/PROD!P495*1.2,IF(PROD!$P496&gt;0,PROD!AE497/(PROD!P496*LOOKUP(PROD!$A495,TP!$A$6:$A$108,GSh!$BC$6:$BC$108)/1000),0))),0)</f>
        <v>0</v>
      </c>
      <c r="AJ496" s="328">
        <f t="shared" si="282"/>
        <v>0</v>
      </c>
      <c r="AK496" s="2027"/>
      <c r="AL496" s="1284">
        <f t="shared" si="260"/>
        <v>0</v>
      </c>
      <c r="AM496" s="1285"/>
      <c r="AN496" s="1285"/>
      <c r="AO496" s="1285"/>
      <c r="AP496" s="1285"/>
      <c r="AQ496" s="1285"/>
      <c r="AR496" s="1285"/>
      <c r="AS496" s="1286"/>
      <c r="AT496" s="1287"/>
      <c r="AU496" s="1288"/>
      <c r="AV496" s="1289"/>
      <c r="AW496" s="1290"/>
      <c r="AX496" s="1291"/>
      <c r="AY496" s="1291"/>
      <c r="AZ496" s="1292"/>
      <c r="BA496" s="1293"/>
      <c r="BB496" s="1294"/>
      <c r="BC496" s="1295"/>
      <c r="BD496" s="1296">
        <f>BD495+PROD!L496-BA496</f>
        <v>0</v>
      </c>
      <c r="BE496" s="2133"/>
      <c r="BF496" s="507" t="e">
        <f t="shared" si="261"/>
        <v>#VALUE!</v>
      </c>
      <c r="BG496" s="329"/>
      <c r="BH496" s="1018">
        <f t="shared" si="262"/>
        <v>0</v>
      </c>
    </row>
    <row r="497" spans="1:60" ht="15" customHeight="1" x14ac:dyDescent="0.3">
      <c r="A497" s="2033"/>
      <c r="B497" s="287" t="str">
        <f t="shared" si="263"/>
        <v/>
      </c>
      <c r="C497" s="288" t="str">
        <f t="shared" si="256"/>
        <v/>
      </c>
      <c r="D497" s="691"/>
      <c r="E497" s="692"/>
      <c r="F497" s="693"/>
      <c r="G497" s="694"/>
      <c r="H497" s="695"/>
      <c r="I497" s="289">
        <f>I496-SUM($D497:F497)</f>
        <v>0</v>
      </c>
      <c r="J497" s="1235" t="str">
        <f>$J$7</f>
        <v>% Mort/Sel Sem Tab :</v>
      </c>
      <c r="K497" s="1236">
        <f>K500-K493</f>
        <v>0</v>
      </c>
      <c r="L497" s="1246"/>
      <c r="M497" s="291">
        <f t="shared" si="283"/>
        <v>0</v>
      </c>
      <c r="N497" s="304" t="str">
        <f>$N$7</f>
        <v xml:space="preserve">Peso Huevo (Gr) : </v>
      </c>
      <c r="O497" s="305">
        <f>LOOKUP($A495,'Pr-Sem'!$A$6:$A$108,'Pr-Sem'!$Z$6:$Z$108)</f>
        <v>0</v>
      </c>
      <c r="P497" s="305">
        <f>IFERROR(LOOKUP($A495,TP!$A$6:$A$108,GSh!$AZ$6:$AZ$108),0)</f>
        <v>0</v>
      </c>
      <c r="Q497" s="306">
        <f>IF(AND(P497&gt;0,O497&gt;0),O497-P497,0)</f>
        <v>0</v>
      </c>
      <c r="R497" s="699"/>
      <c r="S497" s="762"/>
      <c r="T497" s="765">
        <f t="shared" si="268"/>
        <v>0</v>
      </c>
      <c r="U497" s="700"/>
      <c r="V497" s="701"/>
      <c r="W497" s="701"/>
      <c r="X497" s="295">
        <f t="shared" si="264"/>
        <v>0</v>
      </c>
      <c r="Y497" s="296">
        <f>IF(AA497&gt;0,V497,AE495/IF(Iniciar!$C$25="B X 40 K",40,IF(Iniciar!$C$25="B X 50 K",50,1))*I497/1000)</f>
        <v>0</v>
      </c>
      <c r="Z497" s="296">
        <f t="shared" si="265"/>
        <v>0</v>
      </c>
      <c r="AA497" s="297">
        <f t="shared" si="284"/>
        <v>0</v>
      </c>
      <c r="AB497" s="297">
        <f t="shared" si="259"/>
        <v>0</v>
      </c>
      <c r="AC497" s="1268" t="str">
        <f>$AC$7</f>
        <v>Kg Ave Acu :</v>
      </c>
      <c r="AD497" s="308">
        <f>IF(OR(SUM(L495:L501)&gt;0,SUM(V495:V501)&gt;0),AD496/1000+AD490,0)</f>
        <v>0</v>
      </c>
      <c r="AE497" s="309">
        <f>AE496/1000+AE490</f>
        <v>0</v>
      </c>
      <c r="AF497" s="310">
        <f>IF(AND(AE497&gt;0,AD497&gt;0),(AD497/AE497-1)*100,0)</f>
        <v>0</v>
      </c>
      <c r="AG497" s="311" t="str">
        <f>PROD!$AG$7</f>
        <v xml:space="preserve">Masa Sem H (Gr) : </v>
      </c>
      <c r="AH497" s="312">
        <f>PROD!O495/100*7*PROD!O497</f>
        <v>0</v>
      </c>
      <c r="AI497" s="312">
        <f>PROD!P495/100*7*PROD!P497</f>
        <v>0</v>
      </c>
      <c r="AJ497" s="313">
        <f t="shared" si="282"/>
        <v>0</v>
      </c>
      <c r="AK497" s="2027"/>
      <c r="AL497" s="1284">
        <f t="shared" si="260"/>
        <v>0</v>
      </c>
      <c r="AM497" s="1285"/>
      <c r="AN497" s="1285"/>
      <c r="AO497" s="1285"/>
      <c r="AP497" s="1285"/>
      <c r="AQ497" s="1285"/>
      <c r="AR497" s="1285"/>
      <c r="AS497" s="1286"/>
      <c r="AT497" s="1287"/>
      <c r="AU497" s="1288"/>
      <c r="AV497" s="1289"/>
      <c r="AW497" s="1290"/>
      <c r="AX497" s="1291"/>
      <c r="AY497" s="1291"/>
      <c r="AZ497" s="1292"/>
      <c r="BA497" s="1293"/>
      <c r="BB497" s="1294"/>
      <c r="BC497" s="1295"/>
      <c r="BD497" s="1296">
        <f>BD496+PROD!L497-BA497</f>
        <v>0</v>
      </c>
      <c r="BE497" s="2133"/>
      <c r="BF497" s="507" t="e">
        <f t="shared" si="261"/>
        <v>#VALUE!</v>
      </c>
      <c r="BG497" s="329"/>
      <c r="BH497" s="1018">
        <f t="shared" si="262"/>
        <v>0</v>
      </c>
    </row>
    <row r="498" spans="1:60" ht="15" customHeight="1" x14ac:dyDescent="0.3">
      <c r="A498" s="2033"/>
      <c r="B498" s="287" t="str">
        <f t="shared" si="263"/>
        <v/>
      </c>
      <c r="C498" s="288" t="str">
        <f t="shared" si="256"/>
        <v/>
      </c>
      <c r="D498" s="691"/>
      <c r="E498" s="692"/>
      <c r="F498" s="693"/>
      <c r="G498" s="694"/>
      <c r="H498" s="695"/>
      <c r="I498" s="289">
        <f>I497-SUM($D498:F498)</f>
        <v>0</v>
      </c>
      <c r="J498" s="1234" t="str">
        <f>$J$8</f>
        <v>% Mort Acm :</v>
      </c>
      <c r="K498" s="1231">
        <f>IF(PROD!$K$2&gt;0,SUM(D$5:D501)/PROD!$K$2,0)</f>
        <v>0</v>
      </c>
      <c r="L498" s="1246"/>
      <c r="M498" s="291">
        <f t="shared" si="283"/>
        <v>0</v>
      </c>
      <c r="N498" s="314" t="str">
        <f>N$8</f>
        <v xml:space="preserve">Peso Ave (Gr) : </v>
      </c>
      <c r="O498" s="315">
        <f>LOOKUP($A495,GSh!$BV$6:$BV$108,GSh!$BJ$6:$BJ$108)</f>
        <v>0</v>
      </c>
      <c r="P498" s="315">
        <f>IFERROR(LOOKUP($A495,TP!$A$6:$A$108,GSh!$BK$6:$BK$108),0)</f>
        <v>0</v>
      </c>
      <c r="Q498" s="316">
        <f>IF(AND(P498&gt;0,O498&gt;0),(O498/P498-1)*100,0)</f>
        <v>0</v>
      </c>
      <c r="R498" s="699"/>
      <c r="S498" s="762"/>
      <c r="T498" s="765">
        <f t="shared" si="268"/>
        <v>0</v>
      </c>
      <c r="U498" s="700"/>
      <c r="V498" s="701"/>
      <c r="W498" s="701"/>
      <c r="X498" s="295">
        <f t="shared" si="264"/>
        <v>0</v>
      </c>
      <c r="Y498" s="296">
        <f>IF(AA498&gt;0,V498,AE495/IF(Iniciar!$C$25="B X 40 K",40,IF(Iniciar!$C$25="B X 50 K",50,1))*I498/1000)</f>
        <v>0</v>
      </c>
      <c r="Z498" s="296">
        <f t="shared" si="265"/>
        <v>0</v>
      </c>
      <c r="AA498" s="297">
        <f t="shared" si="284"/>
        <v>0</v>
      </c>
      <c r="AB498" s="297">
        <f t="shared" si="259"/>
        <v>0</v>
      </c>
      <c r="AC498" s="541" t="str">
        <f>$AC$8</f>
        <v xml:space="preserve">Ton. Lote Acu : </v>
      </c>
      <c r="AD498" s="544">
        <f>SUM($V$5:$V501)*$A$1/1000000</f>
        <v>0</v>
      </c>
      <c r="AE498" s="543">
        <f>AE491+(AE495/1000000*7*(I495+I501)/2)</f>
        <v>0</v>
      </c>
      <c r="AF498" s="542">
        <f>IF(AND(AE498&gt;0,AD498&gt;0),(AD498/AE498-1)*100,0)</f>
        <v>0</v>
      </c>
      <c r="AG498" s="317" t="str">
        <f>PROD!$AG$8</f>
        <v xml:space="preserve">Masa Ac A. A (Kg) : </v>
      </c>
      <c r="AH498" s="318">
        <f>IF(PROD!$K$2&gt;0,SUM(PROD!L$5:L501)*LOOKUP(PROD!$A495,TP!$A$6:$A$108,GSh!$BB$6:$BB$108)/1000/PROD!$K$2,0)</f>
        <v>0</v>
      </c>
      <c r="AI498" s="318">
        <f>IFERROR(PROD!P496*LOOKUP(PROD!$A495,TP!$A$6:$A$108,GSh!$BC$6:$BC$108)/1000,0)</f>
        <v>0</v>
      </c>
      <c r="AJ498" s="330">
        <f t="shared" si="282"/>
        <v>0</v>
      </c>
      <c r="AK498" s="2027"/>
      <c r="AL498" s="1284">
        <f t="shared" si="260"/>
        <v>0</v>
      </c>
      <c r="AM498" s="1285"/>
      <c r="AN498" s="1285"/>
      <c r="AO498" s="1285"/>
      <c r="AP498" s="1285"/>
      <c r="AQ498" s="1285"/>
      <c r="AR498" s="1285"/>
      <c r="AS498" s="1286"/>
      <c r="AT498" s="1287"/>
      <c r="AU498" s="1288"/>
      <c r="AV498" s="1289"/>
      <c r="AW498" s="1290"/>
      <c r="AX498" s="1291"/>
      <c r="AY498" s="1291"/>
      <c r="AZ498" s="1292"/>
      <c r="BA498" s="1293"/>
      <c r="BB498" s="1294"/>
      <c r="BC498" s="1295"/>
      <c r="BD498" s="1296">
        <f>BD497+PROD!L498-BA498</f>
        <v>0</v>
      </c>
      <c r="BE498" s="2133"/>
      <c r="BF498" s="507" t="e">
        <f t="shared" si="261"/>
        <v>#VALUE!</v>
      </c>
      <c r="BG498" s="329"/>
      <c r="BH498" s="1018">
        <f t="shared" si="262"/>
        <v>0</v>
      </c>
    </row>
    <row r="499" spans="1:60" ht="15" customHeight="1" x14ac:dyDescent="0.3">
      <c r="A499" s="2033"/>
      <c r="B499" s="287" t="str">
        <f t="shared" si="263"/>
        <v/>
      </c>
      <c r="C499" s="288" t="str">
        <f t="shared" si="256"/>
        <v/>
      </c>
      <c r="D499" s="691"/>
      <c r="E499" s="692"/>
      <c r="F499" s="693"/>
      <c r="G499" s="694"/>
      <c r="H499" s="695"/>
      <c r="I499" s="289">
        <f>I498-SUM($D499:F499)</f>
        <v>0</v>
      </c>
      <c r="J499" s="1234" t="str">
        <f>$J$9</f>
        <v>% Sel Acm :</v>
      </c>
      <c r="K499" s="1231">
        <f>IF(PROD!$K$2&gt;0,SUM(E$5:E501)/PROD!$K$2,0)</f>
        <v>0</v>
      </c>
      <c r="L499" s="1246"/>
      <c r="M499" s="291">
        <f t="shared" si="283"/>
        <v>0</v>
      </c>
      <c r="N499" s="292" t="str">
        <f>$N$9</f>
        <v xml:space="preserve">Uniformidad (10% -) : </v>
      </c>
      <c r="O499" s="320">
        <f>LOOKUP($A495,'Pr-Sem'!$A$6:$A$108,'Pr-Sem'!$AH$6:$AH$108)</f>
        <v>0</v>
      </c>
      <c r="P499" s="320">
        <v>5</v>
      </c>
      <c r="Q499" s="321">
        <f>IF(AND(P499&gt;0,O499&gt;0),(1-O499/P499)*100,0)</f>
        <v>0</v>
      </c>
      <c r="R499" s="699"/>
      <c r="S499" s="762"/>
      <c r="T499" s="765">
        <f t="shared" si="268"/>
        <v>0</v>
      </c>
      <c r="U499" s="700"/>
      <c r="V499" s="701"/>
      <c r="W499" s="701"/>
      <c r="X499" s="295">
        <f t="shared" si="264"/>
        <v>0</v>
      </c>
      <c r="Y499" s="296">
        <f>IF(AA499&gt;0,V499,AE495/IF(Iniciar!$C$25="B X 40 K",40,IF(Iniciar!$C$25="B X 50 K",50,1))*I499/1000)</f>
        <v>0</v>
      </c>
      <c r="Z499" s="296">
        <f t="shared" si="265"/>
        <v>0</v>
      </c>
      <c r="AA499" s="297">
        <f t="shared" si="284"/>
        <v>0</v>
      </c>
      <c r="AB499" s="297">
        <f t="shared" si="259"/>
        <v>0</v>
      </c>
      <c r="AC499" s="2035" t="str">
        <f>$AC$9</f>
        <v xml:space="preserve">Total Litros Sem: </v>
      </c>
      <c r="AD499" s="2036"/>
      <c r="AE499" s="2050">
        <f>SUM(R495:R501)</f>
        <v>0</v>
      </c>
      <c r="AF499" s="2051"/>
      <c r="AG499" s="554" t="str">
        <f>$AG$9</f>
        <v xml:space="preserve">Indicador Eficiencia : </v>
      </c>
      <c r="AH499" s="555">
        <f>IF(AND(AE499&gt;0,O496&gt;0,O497&gt;0,SUM(L495:L501)&gt;0),(PROD!AH498/O496)*K501*100/(AE499/(SUM(L495:L501)*O497/1000)),0)</f>
        <v>0</v>
      </c>
      <c r="AI499" s="555">
        <f>IF(AND(P496&gt;0,PROD!AI497&gt;0),(PROD!AI498/P496)*(1-K500)*100/(AE496/PROD!AI497),0)</f>
        <v>0</v>
      </c>
      <c r="AJ499" s="331">
        <f t="shared" si="282"/>
        <v>0</v>
      </c>
      <c r="AK499" s="2027"/>
      <c r="AL499" s="1284">
        <f t="shared" si="260"/>
        <v>0</v>
      </c>
      <c r="AM499" s="1285"/>
      <c r="AN499" s="1285"/>
      <c r="AO499" s="1285"/>
      <c r="AP499" s="1285"/>
      <c r="AQ499" s="1285"/>
      <c r="AR499" s="1285"/>
      <c r="AS499" s="1286"/>
      <c r="AT499" s="1287"/>
      <c r="AU499" s="1288"/>
      <c r="AV499" s="1289"/>
      <c r="AW499" s="1290"/>
      <c r="AX499" s="1291"/>
      <c r="AY499" s="1291"/>
      <c r="AZ499" s="1292"/>
      <c r="BA499" s="1293"/>
      <c r="BB499" s="1294"/>
      <c r="BC499" s="1295"/>
      <c r="BD499" s="1296">
        <f>BD498+PROD!L499-BA499</f>
        <v>0</v>
      </c>
      <c r="BE499" s="2133"/>
      <c r="BF499" s="507" t="e">
        <f t="shared" si="261"/>
        <v>#VALUE!</v>
      </c>
      <c r="BG499" s="329"/>
      <c r="BH499" s="1018">
        <f t="shared" si="262"/>
        <v>0</v>
      </c>
    </row>
    <row r="500" spans="1:60" ht="15" customHeight="1" x14ac:dyDescent="0.3">
      <c r="A500" s="2033"/>
      <c r="B500" s="287" t="str">
        <f t="shared" si="263"/>
        <v/>
      </c>
      <c r="C500" s="288" t="str">
        <f t="shared" si="256"/>
        <v/>
      </c>
      <c r="D500" s="691"/>
      <c r="E500" s="692"/>
      <c r="F500" s="693"/>
      <c r="G500" s="694"/>
      <c r="H500" s="695"/>
      <c r="I500" s="289">
        <f>I499-SUM($D500:F500)</f>
        <v>0</v>
      </c>
      <c r="J500" s="1237" t="str">
        <f>$J$10</f>
        <v>% Mort/Sel Acm Tab :</v>
      </c>
      <c r="K500" s="1238">
        <f>IFERROR(LOOKUP($A495,TP!$A$6:$A$108,GSh!$AR$6:$AR$108)/100,0)</f>
        <v>0</v>
      </c>
      <c r="L500" s="1246"/>
      <c r="M500" s="291">
        <f t="shared" si="283"/>
        <v>0</v>
      </c>
      <c r="N500" s="292" t="str">
        <f>$N$10</f>
        <v xml:space="preserve">Uniformidad (C. Lote) : </v>
      </c>
      <c r="O500" s="320">
        <f>LOOKUP($A495,'Pr-Sem'!$A$6:$A$108,'Pr-Sem'!$AG$6:$AG$108)</f>
        <v>0</v>
      </c>
      <c r="P500" s="320">
        <v>90</v>
      </c>
      <c r="Q500" s="321">
        <f>IF(AND(P500&gt;0,O500&gt;0),(O500/P500-1)*100,0)</f>
        <v>0</v>
      </c>
      <c r="R500" s="699"/>
      <c r="S500" s="762"/>
      <c r="T500" s="765">
        <f t="shared" si="268"/>
        <v>0</v>
      </c>
      <c r="U500" s="700"/>
      <c r="V500" s="701"/>
      <c r="W500" s="701"/>
      <c r="X500" s="295">
        <f t="shared" si="264"/>
        <v>0</v>
      </c>
      <c r="Y500" s="296">
        <f>IF(AA500&gt;0,V500,AE495/IF(Iniciar!$C$25="B X 40 K",40,IF(Iniciar!$C$25="B X 50 K",50,1))*I500/1000)</f>
        <v>0</v>
      </c>
      <c r="Z500" s="296">
        <f t="shared" si="265"/>
        <v>0</v>
      </c>
      <c r="AA500" s="297">
        <f t="shared" si="284"/>
        <v>0</v>
      </c>
      <c r="AB500" s="297">
        <f t="shared" si="259"/>
        <v>0</v>
      </c>
      <c r="AC500" s="2037" t="str">
        <f>$AC$10</f>
        <v xml:space="preserve">Cons ml /ave día: </v>
      </c>
      <c r="AD500" s="2038"/>
      <c r="AE500" s="2056">
        <f>IFERROR(SUMPRODUCT(AB495:AB501,I495:I501)/SUM(I495:I501),0)</f>
        <v>0</v>
      </c>
      <c r="AF500" s="2057"/>
      <c r="AG500" s="311" t="str">
        <f>CONCATENATE("Costo ",Iniciar!$C$25," : ")</f>
        <v xml:space="preserve">Costo Kilos : </v>
      </c>
      <c r="AH500" s="2043">
        <f>IFERROR(SUMPRODUCT(T495:T501,V495:V501)/SUMIF(T495:T501,"&gt;0",V495:V501),0)</f>
        <v>0</v>
      </c>
      <c r="AI500" s="2043"/>
      <c r="AJ500" s="313"/>
      <c r="AK500" s="2027"/>
      <c r="AL500" s="1284">
        <f t="shared" si="260"/>
        <v>0</v>
      </c>
      <c r="AM500" s="1285"/>
      <c r="AN500" s="1285"/>
      <c r="AO500" s="1285"/>
      <c r="AP500" s="1285"/>
      <c r="AQ500" s="1285"/>
      <c r="AR500" s="1285"/>
      <c r="AS500" s="1286"/>
      <c r="AT500" s="1287"/>
      <c r="AU500" s="1288"/>
      <c r="AV500" s="1289"/>
      <c r="AW500" s="1290"/>
      <c r="AX500" s="1291"/>
      <c r="AY500" s="1291"/>
      <c r="AZ500" s="1292"/>
      <c r="BA500" s="1293"/>
      <c r="BB500" s="1294"/>
      <c r="BC500" s="1295"/>
      <c r="BD500" s="1296">
        <f>BD499+PROD!L500-BA500</f>
        <v>0</v>
      </c>
      <c r="BE500" s="2133"/>
      <c r="BF500" s="507" t="e">
        <f t="shared" si="261"/>
        <v>#VALUE!</v>
      </c>
      <c r="BG500" s="329"/>
      <c r="BH500" s="1018">
        <f t="shared" si="262"/>
        <v>0</v>
      </c>
    </row>
    <row r="501" spans="1:60" ht="15" customHeight="1" x14ac:dyDescent="0.3">
      <c r="A501" s="2034"/>
      <c r="B501" s="287" t="str">
        <f t="shared" si="263"/>
        <v/>
      </c>
      <c r="C501" s="288" t="str">
        <f t="shared" si="256"/>
        <v/>
      </c>
      <c r="D501" s="691"/>
      <c r="E501" s="692"/>
      <c r="F501" s="693"/>
      <c r="G501" s="694"/>
      <c r="H501" s="695"/>
      <c r="I501" s="289">
        <f>I500-SUM($D501:F501)</f>
        <v>0</v>
      </c>
      <c r="J501" s="1239" t="str">
        <f>$J$11</f>
        <v>% Viabilidad :</v>
      </c>
      <c r="K501" s="1240">
        <f>IF(OR(SUM(L495:L501)&gt;0,SUM(V495:V501)&gt;0),1-(K498+K499),0)</f>
        <v>0</v>
      </c>
      <c r="L501" s="1247"/>
      <c r="M501" s="1248">
        <f>IF(I501&gt;0,(L501/IF(SUM(L495:L500)&gt;0,1,7))/I501,0)</f>
        <v>0</v>
      </c>
      <c r="N501" s="1249" t="str">
        <f>$N$11</f>
        <v xml:space="preserve">Uniformidad (10% +) : </v>
      </c>
      <c r="O501" s="1250">
        <f>IF(O499&gt;0,IF(O500&gt;0,100-SUM(O499:O500),0),0)</f>
        <v>0</v>
      </c>
      <c r="P501" s="1251">
        <f>100-SUM(P499:P500)</f>
        <v>5</v>
      </c>
      <c r="Q501" s="1252">
        <f>IF(AND(P501&gt;0,O501&gt;0),(O501/P501-1)*100,0)</f>
        <v>0</v>
      </c>
      <c r="R501" s="699"/>
      <c r="S501" s="762"/>
      <c r="T501" s="765">
        <f t="shared" si="268"/>
        <v>0</v>
      </c>
      <c r="U501" s="700"/>
      <c r="V501" s="701"/>
      <c r="W501" s="701"/>
      <c r="X501" s="295">
        <f t="shared" si="264"/>
        <v>0</v>
      </c>
      <c r="Y501" s="296">
        <f>IF(AA501&gt;0,V501,AE495/IF(Iniciar!$C$25="B X 40 K",40,IF(Iniciar!$C$25="B X 50 K",50,1))*I501/1000)</f>
        <v>0</v>
      </c>
      <c r="Z501" s="296">
        <f t="shared" si="265"/>
        <v>0</v>
      </c>
      <c r="AA501" s="297">
        <f>IF(I501&gt;0,(V501/IF(SUM(V495:V500)&gt;0,1,7))*$A$1/I501,0)</f>
        <v>0</v>
      </c>
      <c r="AB501" s="297">
        <f t="shared" si="259"/>
        <v>0</v>
      </c>
      <c r="AC501" s="2039" t="str">
        <f>$AC$11</f>
        <v xml:space="preserve">Relación Agua /Alimto: </v>
      </c>
      <c r="AD501" s="2040"/>
      <c r="AE501" s="2058">
        <f>IFERROR(AE500/AD495,0)</f>
        <v>0</v>
      </c>
      <c r="AF501" s="2059"/>
      <c r="AG501" s="1269" t="s">
        <v>237</v>
      </c>
      <c r="AH501" s="1270">
        <f>IF(SUM(L495:L501)&gt;0,AH500*SUM(V495:V501)/SUM(L495:L501),0)</f>
        <v>0</v>
      </c>
      <c r="AI501" s="1270">
        <f>IF(AND($A$1&gt;0,P495&gt;0),AH500/$A$1*(AE495/P495)*100,0)</f>
        <v>0</v>
      </c>
      <c r="AJ501" s="1271">
        <f t="shared" ref="AJ501:AJ506" si="285">IF(AND(AI501&gt;0,AH501&gt;0),(AH501/AI501-1)*100,0)</f>
        <v>0</v>
      </c>
      <c r="AK501" s="2028"/>
      <c r="AL501" s="1284">
        <f t="shared" si="260"/>
        <v>0</v>
      </c>
      <c r="AM501" s="1285"/>
      <c r="AN501" s="1285"/>
      <c r="AO501" s="1285"/>
      <c r="AP501" s="1285"/>
      <c r="AQ501" s="1285"/>
      <c r="AR501" s="1285"/>
      <c r="AS501" s="1286"/>
      <c r="AT501" s="1287"/>
      <c r="AU501" s="1288"/>
      <c r="AV501" s="1289"/>
      <c r="AW501" s="1290"/>
      <c r="AX501" s="1291"/>
      <c r="AY501" s="1291"/>
      <c r="AZ501" s="1292"/>
      <c r="BA501" s="1293"/>
      <c r="BB501" s="1294"/>
      <c r="BC501" s="1295"/>
      <c r="BD501" s="1296">
        <f>BD500+PROD!L501-BA501</f>
        <v>0</v>
      </c>
      <c r="BE501" s="2134"/>
      <c r="BF501" s="507" t="e">
        <f t="shared" si="261"/>
        <v>#VALUE!</v>
      </c>
      <c r="BG501" s="329"/>
      <c r="BH501" s="1018">
        <f t="shared" si="262"/>
        <v>0</v>
      </c>
    </row>
    <row r="502" spans="1:60" ht="15" customHeight="1" x14ac:dyDescent="0.3">
      <c r="A502" s="2032">
        <f>A495+1</f>
        <v>89</v>
      </c>
      <c r="B502" s="287" t="str">
        <f t="shared" si="263"/>
        <v/>
      </c>
      <c r="C502" s="288" t="str">
        <f t="shared" si="256"/>
        <v/>
      </c>
      <c r="D502" s="691"/>
      <c r="E502" s="692"/>
      <c r="F502" s="693"/>
      <c r="G502" s="694"/>
      <c r="H502" s="695"/>
      <c r="I502" s="289">
        <f>I501-SUM($D502:F502)</f>
        <v>0</v>
      </c>
      <c r="J502" s="1232" t="str">
        <f>$J$5</f>
        <v>% Mort Sem :</v>
      </c>
      <c r="K502" s="1233">
        <f>IF(PROD!$K$2&gt;0,SUM(D502:D508)/PROD!$K$2,0)</f>
        <v>0</v>
      </c>
      <c r="L502" s="1241"/>
      <c r="M502" s="1242">
        <f t="shared" ref="M502:M507" si="286">IF(I502&gt;0,L502/I502,0)</f>
        <v>0</v>
      </c>
      <c r="N502" s="1243" t="str">
        <f>$N$5</f>
        <v xml:space="preserve">% Pdn prom semana : </v>
      </c>
      <c r="O502" s="1244">
        <f>IF(SUM(L502:L507)&gt;0,100*SUMPRODUCT(M502:M508,I502:I508)/SUMIF(L502:L508,"&gt;0",I502:I508),IF(L508&gt;0,100*L508/7/I508,0))</f>
        <v>0</v>
      </c>
      <c r="P502" s="1244">
        <f>IFERROR(LOOKUP($A502,TP!$A$6:$A$108,GSh!$AE$6:$AE$108),0)</f>
        <v>0</v>
      </c>
      <c r="Q502" s="1245">
        <f>IF(AND(P502&gt;0,O502&gt;0),O502-P502,0)</f>
        <v>0</v>
      </c>
      <c r="R502" s="699"/>
      <c r="S502" s="762"/>
      <c r="T502" s="765">
        <f t="shared" si="268"/>
        <v>0</v>
      </c>
      <c r="U502" s="700"/>
      <c r="V502" s="701"/>
      <c r="W502" s="701"/>
      <c r="X502" s="295">
        <f t="shared" si="264"/>
        <v>0</v>
      </c>
      <c r="Y502" s="296">
        <f>IF(AA502&gt;0,V502,AE502/IF(Iniciar!$C$25="B X 40 K",40,IF(Iniciar!$C$25="B X 50 K",50,1))*I502/1000)</f>
        <v>0</v>
      </c>
      <c r="Z502" s="296">
        <f t="shared" si="265"/>
        <v>0</v>
      </c>
      <c r="AA502" s="297">
        <f t="shared" ref="AA502:AA507" si="287">IF(I502&gt;0,V502*$A$1/I502,0)</f>
        <v>0</v>
      </c>
      <c r="AB502" s="297">
        <f t="shared" si="259"/>
        <v>0</v>
      </c>
      <c r="AC502" s="1261" t="str">
        <f>$AC$5</f>
        <v>Gr. Ave Dia :</v>
      </c>
      <c r="AD502" s="1262">
        <f>IF(SUMIF(V502:V508,"&gt;0")&gt;0,SUMPRODUCT(AA502:AA508,I502:I508)/SUMIF(AA502:AA508,"&gt;0",I502:I508),0)</f>
        <v>0</v>
      </c>
      <c r="AE502" s="1262">
        <f>IFERROR(LOOKUP($A502,TP!$A$6:$A$108,GSh!$AU$6:$AU$108),0)</f>
        <v>0</v>
      </c>
      <c r="AF502" s="1263">
        <f>IF(AND(AE502&gt;0,AD502&gt;0),(AD502/AE502-1)*100,0)</f>
        <v>0</v>
      </c>
      <c r="AG502" s="1264" t="str">
        <f>PROD!$AG$5</f>
        <v>Gr X H</v>
      </c>
      <c r="AH502" s="1265">
        <f>IF(PROD!O502&gt;0,IF($AG502="Gr X H",PROD!AD502/PROD!O502*100,IF($AG502="Conv Kg/Doc",PROD!AD502/PROD!O502*1.2,IF(PROD!$O504&gt;0,PROD!AD502/(PROD!O502*PROD!$O504)*100,0))),0)</f>
        <v>0</v>
      </c>
      <c r="AI502" s="1265">
        <f>IF(PROD!P502&gt;0,IF($AG502="Gr X H",PROD!AE502/PROD!P502*100,IF($AG502="Conv Kg/Doc",PROD!AE502/PROD!P502*1.2,IF(PROD!$P504&gt;0,PROD!AE502/(PROD!P502*PROD!$P504)*100,0))),0)</f>
        <v>0</v>
      </c>
      <c r="AJ502" s="1266">
        <f t="shared" si="285"/>
        <v>0</v>
      </c>
      <c r="AK502" s="2026"/>
      <c r="AL502" s="1284">
        <f t="shared" si="260"/>
        <v>0</v>
      </c>
      <c r="AM502" s="1285"/>
      <c r="AN502" s="1285"/>
      <c r="AO502" s="1285"/>
      <c r="AP502" s="1285"/>
      <c r="AQ502" s="1285"/>
      <c r="AR502" s="1285"/>
      <c r="AS502" s="1286"/>
      <c r="AT502" s="1287"/>
      <c r="AU502" s="1288"/>
      <c r="AV502" s="1289"/>
      <c r="AW502" s="1290"/>
      <c r="AX502" s="1291"/>
      <c r="AY502" s="1291"/>
      <c r="AZ502" s="1292"/>
      <c r="BA502" s="1293"/>
      <c r="BB502" s="1294"/>
      <c r="BC502" s="1295"/>
      <c r="BD502" s="1296">
        <f>BD501+PROD!L502-BA502</f>
        <v>0</v>
      </c>
      <c r="BE502" s="2132">
        <f>IF(SUM(AM502:AZ508)&gt;0,(SUM(AM502:AM508)*$AM$2+SUM(AN502:AN508)*$AN$2+SUM(AO502:AO508)*$AO$2+SUM(AP502:AP508)*$AP$2+SUM(AQ502:AQ508)*$AQ$2+SUM(AR502:AR508)*$AR$2+SUM(AS502:AS508)*$AS$2+SUM(AW502:AW508)*$AW$2+SUM(AX502:AX508)*$AX$2+SUM(AY502:AY508)*$AY$2+SUM(AZ502:AZ508)*$AZ$2+SUM(AT502:AT508)*$AT$2+SUM(AU502:AU508)*$AU$2+SUM(AV502:AV508)*$AV$2)/SUM(AM502:AZ508),0)</f>
        <v>0</v>
      </c>
      <c r="BF502" s="507" t="e">
        <f t="shared" si="261"/>
        <v>#VALUE!</v>
      </c>
      <c r="BG502" s="277">
        <f>IF(SUM(L502:L508)&gt;0,A502,IF(SUM(V502:V508)&gt;0,A502,BG495))</f>
        <v>0</v>
      </c>
      <c r="BH502" s="1018">
        <f t="shared" si="262"/>
        <v>0</v>
      </c>
    </row>
    <row r="503" spans="1:60" ht="15" customHeight="1" x14ac:dyDescent="0.3">
      <c r="A503" s="2033"/>
      <c r="B503" s="287" t="str">
        <f t="shared" si="263"/>
        <v/>
      </c>
      <c r="C503" s="288" t="str">
        <f t="shared" si="256"/>
        <v/>
      </c>
      <c r="D503" s="691"/>
      <c r="E503" s="692"/>
      <c r="F503" s="693"/>
      <c r="G503" s="694"/>
      <c r="H503" s="695"/>
      <c r="I503" s="289">
        <f>I502-SUM($D503:F503)</f>
        <v>0</v>
      </c>
      <c r="J503" s="1234" t="str">
        <f>$J$6</f>
        <v>% Sel Sem :</v>
      </c>
      <c r="K503" s="1231">
        <f>IF(PROD!$K$2&gt;0,SUM(E502:E508)/PROD!$K$2,0)</f>
        <v>0</v>
      </c>
      <c r="L503" s="1246"/>
      <c r="M503" s="291">
        <f t="shared" si="286"/>
        <v>0</v>
      </c>
      <c r="N503" s="292" t="str">
        <f>$N$6</f>
        <v xml:space="preserve">H. Ave Alojada : </v>
      </c>
      <c r="O503" s="293">
        <f>IF(AND(PROD!$K$2&gt;0,O502&gt;0),SUM(L$5:L508)/PROD!$K$2,0)</f>
        <v>0</v>
      </c>
      <c r="P503" s="293">
        <f>IFERROR(LOOKUP($A502,TP!$A$6:$A$108,GSh!$AJ$6:$AJ$108),0)</f>
        <v>0</v>
      </c>
      <c r="Q503" s="294">
        <f>IF(AND(P503&gt;0,O503&gt;0),O503-P503,0)</f>
        <v>0</v>
      </c>
      <c r="R503" s="699"/>
      <c r="S503" s="762"/>
      <c r="T503" s="765">
        <f t="shared" si="268"/>
        <v>0</v>
      </c>
      <c r="U503" s="700"/>
      <c r="V503" s="701"/>
      <c r="W503" s="701"/>
      <c r="X503" s="295">
        <f t="shared" si="264"/>
        <v>0</v>
      </c>
      <c r="Y503" s="296">
        <f>IF(AA503&gt;0,V503,AE502/IF(Iniciar!$C$25="B X 40 K",40,IF(Iniciar!$C$25="B X 50 K",50,1))*I503/1000)</f>
        <v>0</v>
      </c>
      <c r="Z503" s="296">
        <f t="shared" si="265"/>
        <v>0</v>
      </c>
      <c r="AA503" s="297">
        <f t="shared" si="287"/>
        <v>0</v>
      </c>
      <c r="AB503" s="297">
        <f t="shared" si="259"/>
        <v>0</v>
      </c>
      <c r="AC503" s="1267" t="str">
        <f>$AC$6</f>
        <v>Gr. Ave Sem :</v>
      </c>
      <c r="AD503" s="284">
        <f>AD502*7</f>
        <v>0</v>
      </c>
      <c r="AE503" s="284">
        <f>AE502*7</f>
        <v>0</v>
      </c>
      <c r="AF503" s="285">
        <f>IF(AND(AE503&gt;0,AD503&gt;0),(AD503/AE503-1)*100,0)</f>
        <v>0</v>
      </c>
      <c r="AG503" s="1199" t="str">
        <f>PROD!$AG$6</f>
        <v>Gr X H Acm</v>
      </c>
      <c r="AH503" s="298">
        <f>IF(SUM(PROD!L502:L508)&gt;0,IF(PROD!$AG$5="Gr X H",SUM(PROD!V$5:V508)*PROD!$A$1/SUM(PROD!L$5:L508),IF($AG502="Conv Kg/Doc",(SUM(PROD!V$5:V508)*PROD!$A$1/1000)/(SUM(PROD!L$5:L508)/12),IF(PROD!$O504&gt;0,SUM(PROD!V$5:V508)*PROD!$A$1/(SUM(PROD!L$5:L508)*LOOKUP(PROD!A502,TP!$A$6:$A$108,GSh!$BB$6:$BB$108)),0))),0)</f>
        <v>0</v>
      </c>
      <c r="AI503" s="298">
        <f>IF(PROD!P502&gt;0,IF($AG502="Gr X H",PROD!AE502/PROD!P502*100,IF($AG502="Conv Kg/Doc",PROD!AE502/PROD!P502*1.2,IF(PROD!$P503&gt;0,PROD!AE504/(PROD!P503*LOOKUP(PROD!$A502,TP!$A$6:$A$108,GSh!$BC$6:$BC$108)/1000),0))),0)</f>
        <v>0</v>
      </c>
      <c r="AJ503" s="328">
        <f t="shared" si="285"/>
        <v>0</v>
      </c>
      <c r="AK503" s="2027"/>
      <c r="AL503" s="1284">
        <f t="shared" si="260"/>
        <v>0</v>
      </c>
      <c r="AM503" s="1285"/>
      <c r="AN503" s="1285"/>
      <c r="AO503" s="1285"/>
      <c r="AP503" s="1285"/>
      <c r="AQ503" s="1285"/>
      <c r="AR503" s="1285"/>
      <c r="AS503" s="1286"/>
      <c r="AT503" s="1287"/>
      <c r="AU503" s="1288"/>
      <c r="AV503" s="1289"/>
      <c r="AW503" s="1290"/>
      <c r="AX503" s="1291"/>
      <c r="AY503" s="1291"/>
      <c r="AZ503" s="1292"/>
      <c r="BA503" s="1293"/>
      <c r="BB503" s="1294"/>
      <c r="BC503" s="1295"/>
      <c r="BD503" s="1296">
        <f>BD502+PROD!L503-BA503</f>
        <v>0</v>
      </c>
      <c r="BE503" s="2133"/>
      <c r="BF503" s="507" t="e">
        <f t="shared" si="261"/>
        <v>#VALUE!</v>
      </c>
      <c r="BG503" s="329"/>
      <c r="BH503" s="1018">
        <f t="shared" si="262"/>
        <v>0</v>
      </c>
    </row>
    <row r="504" spans="1:60" ht="15" customHeight="1" x14ac:dyDescent="0.3">
      <c r="A504" s="2033"/>
      <c r="B504" s="287" t="str">
        <f t="shared" si="263"/>
        <v/>
      </c>
      <c r="C504" s="288" t="str">
        <f t="shared" si="256"/>
        <v/>
      </c>
      <c r="D504" s="691"/>
      <c r="E504" s="692"/>
      <c r="F504" s="693"/>
      <c r="G504" s="694"/>
      <c r="H504" s="695"/>
      <c r="I504" s="289">
        <f>I503-SUM($D504:F504)</f>
        <v>0</v>
      </c>
      <c r="J504" s="1235" t="str">
        <f>$J$7</f>
        <v>% Mort/Sel Sem Tab :</v>
      </c>
      <c r="K504" s="1236">
        <f>K507-K500</f>
        <v>0</v>
      </c>
      <c r="L504" s="1246"/>
      <c r="M504" s="291">
        <f t="shared" si="286"/>
        <v>0</v>
      </c>
      <c r="N504" s="304" t="str">
        <f>$N$7</f>
        <v xml:space="preserve">Peso Huevo (Gr) : </v>
      </c>
      <c r="O504" s="305">
        <f>LOOKUP($A502,'Pr-Sem'!$A$6:$A$108,'Pr-Sem'!$Z$6:$Z$108)</f>
        <v>0</v>
      </c>
      <c r="P504" s="305">
        <f>IFERROR(LOOKUP($A502,TP!$A$6:$A$108,GSh!$AZ$6:$AZ$108),0)</f>
        <v>0</v>
      </c>
      <c r="Q504" s="306">
        <f>IF(AND(P504&gt;0,O504&gt;0),O504-P504,0)</f>
        <v>0</v>
      </c>
      <c r="R504" s="699"/>
      <c r="S504" s="762"/>
      <c r="T504" s="765">
        <f t="shared" si="268"/>
        <v>0</v>
      </c>
      <c r="U504" s="700"/>
      <c r="V504" s="701"/>
      <c r="W504" s="701"/>
      <c r="X504" s="295">
        <f t="shared" si="264"/>
        <v>0</v>
      </c>
      <c r="Y504" s="296">
        <f>IF(AA504&gt;0,V504,AE502/IF(Iniciar!$C$25="B X 40 K",40,IF(Iniciar!$C$25="B X 50 K",50,1))*I504/1000)</f>
        <v>0</v>
      </c>
      <c r="Z504" s="296">
        <f t="shared" si="265"/>
        <v>0</v>
      </c>
      <c r="AA504" s="297">
        <f t="shared" si="287"/>
        <v>0</v>
      </c>
      <c r="AB504" s="297">
        <f t="shared" si="259"/>
        <v>0</v>
      </c>
      <c r="AC504" s="1268" t="str">
        <f>$AC$7</f>
        <v>Kg Ave Acu :</v>
      </c>
      <c r="AD504" s="308">
        <f>IF(OR(SUM(L502:L508)&gt;0,SUM(V502:V508)&gt;0),AD503/1000+AD497,0)</f>
        <v>0</v>
      </c>
      <c r="AE504" s="309">
        <f>AE503/1000+AE497</f>
        <v>0</v>
      </c>
      <c r="AF504" s="310">
        <f>IF(AND(AE504&gt;0,AD504&gt;0),(AD504/AE504-1)*100,0)</f>
        <v>0</v>
      </c>
      <c r="AG504" s="311" t="str">
        <f>PROD!$AG$7</f>
        <v xml:space="preserve">Masa Sem H (Gr) : </v>
      </c>
      <c r="AH504" s="312">
        <f>PROD!O502/100*7*PROD!O504</f>
        <v>0</v>
      </c>
      <c r="AI504" s="312">
        <f>PROD!P502/100*7*PROD!P504</f>
        <v>0</v>
      </c>
      <c r="AJ504" s="313">
        <f t="shared" si="285"/>
        <v>0</v>
      </c>
      <c r="AK504" s="2027"/>
      <c r="AL504" s="1284">
        <f t="shared" si="260"/>
        <v>0</v>
      </c>
      <c r="AM504" s="1285"/>
      <c r="AN504" s="1285"/>
      <c r="AO504" s="1285"/>
      <c r="AP504" s="1285"/>
      <c r="AQ504" s="1285"/>
      <c r="AR504" s="1285"/>
      <c r="AS504" s="1286"/>
      <c r="AT504" s="1287"/>
      <c r="AU504" s="1288"/>
      <c r="AV504" s="1289"/>
      <c r="AW504" s="1290"/>
      <c r="AX504" s="1291"/>
      <c r="AY504" s="1291"/>
      <c r="AZ504" s="1292"/>
      <c r="BA504" s="1293"/>
      <c r="BB504" s="1294"/>
      <c r="BC504" s="1295"/>
      <c r="BD504" s="1296">
        <f>BD503+PROD!L504-BA504</f>
        <v>0</v>
      </c>
      <c r="BE504" s="2133"/>
      <c r="BF504" s="507" t="e">
        <f t="shared" si="261"/>
        <v>#VALUE!</v>
      </c>
      <c r="BG504" s="329"/>
      <c r="BH504" s="1018">
        <f t="shared" si="262"/>
        <v>0</v>
      </c>
    </row>
    <row r="505" spans="1:60" ht="15" customHeight="1" x14ac:dyDescent="0.3">
      <c r="A505" s="2033"/>
      <c r="B505" s="287" t="str">
        <f t="shared" si="263"/>
        <v/>
      </c>
      <c r="C505" s="288" t="str">
        <f t="shared" si="256"/>
        <v/>
      </c>
      <c r="D505" s="691"/>
      <c r="E505" s="692"/>
      <c r="F505" s="693"/>
      <c r="G505" s="694"/>
      <c r="H505" s="695"/>
      <c r="I505" s="289">
        <f>I504-SUM($D505:F505)</f>
        <v>0</v>
      </c>
      <c r="J505" s="1234" t="str">
        <f>$J$8</f>
        <v>% Mort Acm :</v>
      </c>
      <c r="K505" s="1231">
        <f>IF(PROD!$K$2&gt;0,SUM(D$5:D508)/PROD!$K$2,0)</f>
        <v>0</v>
      </c>
      <c r="L505" s="1246"/>
      <c r="M505" s="291">
        <f t="shared" si="286"/>
        <v>0</v>
      </c>
      <c r="N505" s="314" t="str">
        <f>N$8</f>
        <v xml:space="preserve">Peso Ave (Gr) : </v>
      </c>
      <c r="O505" s="315">
        <f>LOOKUP($A502,GSh!$BV$6:$BV$108,GSh!$BJ$6:$BJ$108)</f>
        <v>0</v>
      </c>
      <c r="P505" s="315">
        <f>IFERROR(LOOKUP($A502,TP!$A$6:$A$108,GSh!$BK$6:$BK$108),0)</f>
        <v>0</v>
      </c>
      <c r="Q505" s="316">
        <f>IF(AND(P505&gt;0,O505&gt;0),(O505/P505-1)*100,0)</f>
        <v>0</v>
      </c>
      <c r="R505" s="699"/>
      <c r="S505" s="762"/>
      <c r="T505" s="765">
        <f t="shared" si="268"/>
        <v>0</v>
      </c>
      <c r="U505" s="700"/>
      <c r="V505" s="701"/>
      <c r="W505" s="701"/>
      <c r="X505" s="295">
        <f t="shared" si="264"/>
        <v>0</v>
      </c>
      <c r="Y505" s="296">
        <f>IF(AA505&gt;0,V505,AE502/IF(Iniciar!$C$25="B X 40 K",40,IF(Iniciar!$C$25="B X 50 K",50,1))*I505/1000)</f>
        <v>0</v>
      </c>
      <c r="Z505" s="296">
        <f t="shared" si="265"/>
        <v>0</v>
      </c>
      <c r="AA505" s="297">
        <f t="shared" si="287"/>
        <v>0</v>
      </c>
      <c r="AB505" s="297">
        <f t="shared" si="259"/>
        <v>0</v>
      </c>
      <c r="AC505" s="541" t="str">
        <f>$AC$8</f>
        <v xml:space="preserve">Ton. Lote Acu : </v>
      </c>
      <c r="AD505" s="544">
        <f>SUM($V$5:$V508)*$A$1/1000000</f>
        <v>0</v>
      </c>
      <c r="AE505" s="543">
        <f>AE498+(AE502/1000000*7*(I502+I508)/2)</f>
        <v>0</v>
      </c>
      <c r="AF505" s="542">
        <f>IF(AND(AE505&gt;0,AD505&gt;0),(AD505/AE505-1)*100,0)</f>
        <v>0</v>
      </c>
      <c r="AG505" s="317" t="str">
        <f>PROD!$AG$8</f>
        <v xml:space="preserve">Masa Ac A. A (Kg) : </v>
      </c>
      <c r="AH505" s="318">
        <f>IF(PROD!$K$2&gt;0,SUM(PROD!L$5:L508)*LOOKUP(PROD!$A502,TP!$A$6:$A$108,GSh!$BB$6:$BB$108)/1000/PROD!$K$2,0)</f>
        <v>0</v>
      </c>
      <c r="AI505" s="318">
        <f>IFERROR(PROD!P503*LOOKUP(PROD!$A502,TP!$A$6:$A$108,GSh!$BC$6:$BC$108)/1000,0)</f>
        <v>0</v>
      </c>
      <c r="AJ505" s="330">
        <f t="shared" si="285"/>
        <v>0</v>
      </c>
      <c r="AK505" s="2027"/>
      <c r="AL505" s="1284">
        <f t="shared" si="260"/>
        <v>0</v>
      </c>
      <c r="AM505" s="1285"/>
      <c r="AN505" s="1285"/>
      <c r="AO505" s="1285"/>
      <c r="AP505" s="1285"/>
      <c r="AQ505" s="1285"/>
      <c r="AR505" s="1285"/>
      <c r="AS505" s="1286"/>
      <c r="AT505" s="1287"/>
      <c r="AU505" s="1288"/>
      <c r="AV505" s="1289"/>
      <c r="AW505" s="1290"/>
      <c r="AX505" s="1291"/>
      <c r="AY505" s="1291"/>
      <c r="AZ505" s="1292"/>
      <c r="BA505" s="1293"/>
      <c r="BB505" s="1294"/>
      <c r="BC505" s="1295"/>
      <c r="BD505" s="1296">
        <f>BD504+PROD!L505-BA505</f>
        <v>0</v>
      </c>
      <c r="BE505" s="2133"/>
      <c r="BF505" s="507" t="e">
        <f t="shared" si="261"/>
        <v>#VALUE!</v>
      </c>
      <c r="BG505" s="329"/>
      <c r="BH505" s="1018">
        <f t="shared" si="262"/>
        <v>0</v>
      </c>
    </row>
    <row r="506" spans="1:60" ht="15" customHeight="1" x14ac:dyDescent="0.3">
      <c r="A506" s="2033"/>
      <c r="B506" s="287" t="str">
        <f t="shared" si="263"/>
        <v/>
      </c>
      <c r="C506" s="288" t="str">
        <f t="shared" si="256"/>
        <v/>
      </c>
      <c r="D506" s="691"/>
      <c r="E506" s="692"/>
      <c r="F506" s="693"/>
      <c r="G506" s="694"/>
      <c r="H506" s="695"/>
      <c r="I506" s="289">
        <f>I505-SUM($D506:F506)</f>
        <v>0</v>
      </c>
      <c r="J506" s="1234" t="str">
        <f>$J$9</f>
        <v>% Sel Acm :</v>
      </c>
      <c r="K506" s="1231">
        <f>IF(PROD!$K$2&gt;0,SUM(E$5:E508)/PROD!$K$2,0)</f>
        <v>0</v>
      </c>
      <c r="L506" s="1246"/>
      <c r="M506" s="291">
        <f t="shared" si="286"/>
        <v>0</v>
      </c>
      <c r="N506" s="292" t="str">
        <f>$N$9</f>
        <v xml:space="preserve">Uniformidad (10% -) : </v>
      </c>
      <c r="O506" s="320">
        <f>LOOKUP($A502,'Pr-Sem'!$A$6:$A$108,'Pr-Sem'!$AH$6:$AH$108)</f>
        <v>0</v>
      </c>
      <c r="P506" s="320">
        <v>5</v>
      </c>
      <c r="Q506" s="321">
        <f>IF(AND(P506&gt;0,O506&gt;0),(1-O506/P506)*100,0)</f>
        <v>0</v>
      </c>
      <c r="R506" s="699"/>
      <c r="S506" s="762"/>
      <c r="T506" s="765">
        <f t="shared" si="268"/>
        <v>0</v>
      </c>
      <c r="U506" s="700"/>
      <c r="V506" s="701"/>
      <c r="W506" s="701"/>
      <c r="X506" s="295">
        <f t="shared" si="264"/>
        <v>0</v>
      </c>
      <c r="Y506" s="296">
        <f>IF(AA506&gt;0,V506,AE502/IF(Iniciar!$C$25="B X 40 K",40,IF(Iniciar!$C$25="B X 50 K",50,1))*I506/1000)</f>
        <v>0</v>
      </c>
      <c r="Z506" s="296">
        <f t="shared" si="265"/>
        <v>0</v>
      </c>
      <c r="AA506" s="297">
        <f t="shared" si="287"/>
        <v>0</v>
      </c>
      <c r="AB506" s="297">
        <f t="shared" si="259"/>
        <v>0</v>
      </c>
      <c r="AC506" s="2035" t="str">
        <f>$AC$9</f>
        <v xml:space="preserve">Total Litros Sem: </v>
      </c>
      <c r="AD506" s="2036"/>
      <c r="AE506" s="2050">
        <f>SUM(R502:R508)</f>
        <v>0</v>
      </c>
      <c r="AF506" s="2051"/>
      <c r="AG506" s="554" t="str">
        <f>$AG$9</f>
        <v xml:space="preserve">Indicador Eficiencia : </v>
      </c>
      <c r="AH506" s="555">
        <f>IF(AND(AE506&gt;0,O503&gt;0,O504&gt;0,SUM(L502:L508)&gt;0),(PROD!AH505/O503)*K508*100/(AE506/(SUM(L502:L508)*O504/1000)),0)</f>
        <v>0</v>
      </c>
      <c r="AI506" s="555">
        <f>IF(AND(P503&gt;0,PROD!AI504&gt;0),(PROD!AI505/P503)*(1-K507)*100/(AE503/PROD!AI504),0)</f>
        <v>0</v>
      </c>
      <c r="AJ506" s="331">
        <f t="shared" si="285"/>
        <v>0</v>
      </c>
      <c r="AK506" s="2027"/>
      <c r="AL506" s="1284">
        <f t="shared" si="260"/>
        <v>0</v>
      </c>
      <c r="AM506" s="1285"/>
      <c r="AN506" s="1285"/>
      <c r="AO506" s="1285"/>
      <c r="AP506" s="1285"/>
      <c r="AQ506" s="1285"/>
      <c r="AR506" s="1285"/>
      <c r="AS506" s="1286"/>
      <c r="AT506" s="1287"/>
      <c r="AU506" s="1288"/>
      <c r="AV506" s="1289"/>
      <c r="AW506" s="1290"/>
      <c r="AX506" s="1291"/>
      <c r="AY506" s="1291"/>
      <c r="AZ506" s="1292"/>
      <c r="BA506" s="1293"/>
      <c r="BB506" s="1294"/>
      <c r="BC506" s="1295"/>
      <c r="BD506" s="1296">
        <f>BD505+PROD!L506-BA506</f>
        <v>0</v>
      </c>
      <c r="BE506" s="2133"/>
      <c r="BF506" s="507" t="e">
        <f t="shared" si="261"/>
        <v>#VALUE!</v>
      </c>
      <c r="BG506" s="329"/>
      <c r="BH506" s="1018">
        <f t="shared" si="262"/>
        <v>0</v>
      </c>
    </row>
    <row r="507" spans="1:60" ht="15" customHeight="1" x14ac:dyDescent="0.3">
      <c r="A507" s="2033"/>
      <c r="B507" s="287" t="str">
        <f t="shared" si="263"/>
        <v/>
      </c>
      <c r="C507" s="288" t="str">
        <f t="shared" si="256"/>
        <v/>
      </c>
      <c r="D507" s="691"/>
      <c r="E507" s="692"/>
      <c r="F507" s="693"/>
      <c r="G507" s="694"/>
      <c r="H507" s="695"/>
      <c r="I507" s="289">
        <f>I506-SUM($D507:F507)</f>
        <v>0</v>
      </c>
      <c r="J507" s="1237" t="str">
        <f>$J$10</f>
        <v>% Mort/Sel Acm Tab :</v>
      </c>
      <c r="K507" s="1238">
        <f>IFERROR(LOOKUP($A502,TP!$A$6:$A$108,GSh!$AR$6:$AR$108)/100,0)</f>
        <v>0</v>
      </c>
      <c r="L507" s="1246"/>
      <c r="M507" s="291">
        <f t="shared" si="286"/>
        <v>0</v>
      </c>
      <c r="N507" s="292" t="str">
        <f>$N$10</f>
        <v xml:space="preserve">Uniformidad (C. Lote) : </v>
      </c>
      <c r="O507" s="320">
        <f>LOOKUP($A502,'Pr-Sem'!$A$6:$A$108,'Pr-Sem'!$AG$6:$AG$108)</f>
        <v>0</v>
      </c>
      <c r="P507" s="320">
        <v>90</v>
      </c>
      <c r="Q507" s="321">
        <f>IF(AND(P507&gt;0,O507&gt;0),(O507/P507-1)*100,0)</f>
        <v>0</v>
      </c>
      <c r="R507" s="699"/>
      <c r="S507" s="762"/>
      <c r="T507" s="765">
        <f t="shared" si="268"/>
        <v>0</v>
      </c>
      <c r="U507" s="700"/>
      <c r="V507" s="701"/>
      <c r="W507" s="701"/>
      <c r="X507" s="295">
        <f t="shared" si="264"/>
        <v>0</v>
      </c>
      <c r="Y507" s="296">
        <f>IF(AA507&gt;0,V507,AE502/IF(Iniciar!$C$25="B X 40 K",40,IF(Iniciar!$C$25="B X 50 K",50,1))*I507/1000)</f>
        <v>0</v>
      </c>
      <c r="Z507" s="296">
        <f t="shared" si="265"/>
        <v>0</v>
      </c>
      <c r="AA507" s="297">
        <f t="shared" si="287"/>
        <v>0</v>
      </c>
      <c r="AB507" s="297">
        <f t="shared" si="259"/>
        <v>0</v>
      </c>
      <c r="AC507" s="2037" t="str">
        <f>$AC$10</f>
        <v xml:space="preserve">Cons ml /ave día: </v>
      </c>
      <c r="AD507" s="2038"/>
      <c r="AE507" s="2056">
        <f>IFERROR(SUMPRODUCT(AB502:AB508,I502:I508)/SUM(I502:I508),0)</f>
        <v>0</v>
      </c>
      <c r="AF507" s="2057"/>
      <c r="AG507" s="311" t="str">
        <f>CONCATENATE("Costo ",Iniciar!$C$25," : ")</f>
        <v xml:space="preserve">Costo Kilos : </v>
      </c>
      <c r="AH507" s="2043">
        <f>IFERROR(SUMPRODUCT(T502:T508,V502:V508)/SUMIF(T502:T508,"&gt;0",V502:V508),0)</f>
        <v>0</v>
      </c>
      <c r="AI507" s="2043"/>
      <c r="AJ507" s="313"/>
      <c r="AK507" s="2027"/>
      <c r="AL507" s="1284">
        <f t="shared" si="260"/>
        <v>0</v>
      </c>
      <c r="AM507" s="1285"/>
      <c r="AN507" s="1285"/>
      <c r="AO507" s="1285"/>
      <c r="AP507" s="1285"/>
      <c r="AQ507" s="1285"/>
      <c r="AR507" s="1285"/>
      <c r="AS507" s="1286"/>
      <c r="AT507" s="1287"/>
      <c r="AU507" s="1288"/>
      <c r="AV507" s="1289"/>
      <c r="AW507" s="1290"/>
      <c r="AX507" s="1291"/>
      <c r="AY507" s="1291"/>
      <c r="AZ507" s="1292"/>
      <c r="BA507" s="1293"/>
      <c r="BB507" s="1294"/>
      <c r="BC507" s="1295"/>
      <c r="BD507" s="1296">
        <f>BD506+PROD!L507-BA507</f>
        <v>0</v>
      </c>
      <c r="BE507" s="2133"/>
      <c r="BF507" s="507" t="e">
        <f t="shared" si="261"/>
        <v>#VALUE!</v>
      </c>
      <c r="BG507" s="329"/>
      <c r="BH507" s="1018">
        <f t="shared" si="262"/>
        <v>0</v>
      </c>
    </row>
    <row r="508" spans="1:60" ht="15" customHeight="1" x14ac:dyDescent="0.3">
      <c r="A508" s="2034"/>
      <c r="B508" s="287" t="str">
        <f t="shared" si="263"/>
        <v/>
      </c>
      <c r="C508" s="288" t="str">
        <f t="shared" si="256"/>
        <v/>
      </c>
      <c r="D508" s="691"/>
      <c r="E508" s="692"/>
      <c r="F508" s="693"/>
      <c r="G508" s="694"/>
      <c r="H508" s="695"/>
      <c r="I508" s="289">
        <f>I507-SUM($D508:F508)</f>
        <v>0</v>
      </c>
      <c r="J508" s="1239" t="str">
        <f>$J$11</f>
        <v>% Viabilidad :</v>
      </c>
      <c r="K508" s="1240">
        <f>IF(OR(SUM(L502:L508)&gt;0,SUM(V502:V508)&gt;0),1-(K505+K506),0)</f>
        <v>0</v>
      </c>
      <c r="L508" s="1247"/>
      <c r="M508" s="1248">
        <f>IF(I508&gt;0,(L508/IF(SUM(L502:L507)&gt;0,1,7))/I508,0)</f>
        <v>0</v>
      </c>
      <c r="N508" s="1249" t="str">
        <f>$N$11</f>
        <v xml:space="preserve">Uniformidad (10% +) : </v>
      </c>
      <c r="O508" s="1250">
        <f>IF(O506&gt;0,IF(O507&gt;0,100-SUM(O506:O507),0),0)</f>
        <v>0</v>
      </c>
      <c r="P508" s="1251">
        <f>100-SUM(P506:P507)</f>
        <v>5</v>
      </c>
      <c r="Q508" s="1252">
        <f>IF(AND(P508&gt;0,O508&gt;0),(O508/P508-1)*100,0)</f>
        <v>0</v>
      </c>
      <c r="R508" s="699"/>
      <c r="S508" s="762"/>
      <c r="T508" s="765">
        <f t="shared" si="268"/>
        <v>0</v>
      </c>
      <c r="U508" s="700"/>
      <c r="V508" s="701"/>
      <c r="W508" s="701"/>
      <c r="X508" s="295">
        <f t="shared" si="264"/>
        <v>0</v>
      </c>
      <c r="Y508" s="296">
        <f>IF(AA508&gt;0,V508,AE502/IF(Iniciar!$C$25="B X 40 K",40,IF(Iniciar!$C$25="B X 50 K",50,1))*I508/1000)</f>
        <v>0</v>
      </c>
      <c r="Z508" s="296">
        <f t="shared" si="265"/>
        <v>0</v>
      </c>
      <c r="AA508" s="297">
        <f>IF(I508&gt;0,(V508/IF(SUM(V502:V507)&gt;0,1,7))*$A$1/I508,0)</f>
        <v>0</v>
      </c>
      <c r="AB508" s="297">
        <f t="shared" si="259"/>
        <v>0</v>
      </c>
      <c r="AC508" s="2039" t="str">
        <f>$AC$11</f>
        <v xml:space="preserve">Relación Agua /Alimto: </v>
      </c>
      <c r="AD508" s="2040"/>
      <c r="AE508" s="2058">
        <f>IFERROR(AE507/AD502,0)</f>
        <v>0</v>
      </c>
      <c r="AF508" s="2059"/>
      <c r="AG508" s="1269" t="s">
        <v>237</v>
      </c>
      <c r="AH508" s="1270">
        <f>IF(SUM(L502:L508)&gt;0,AH507*SUM(V502:V508)/SUM(L502:L508),0)</f>
        <v>0</v>
      </c>
      <c r="AI508" s="1270">
        <f>IF(AND($A$1&gt;0,P502&gt;0),AH507/$A$1*(AE502/P502)*100,0)</f>
        <v>0</v>
      </c>
      <c r="AJ508" s="1271">
        <f t="shared" ref="AJ508:AJ513" si="288">IF(AND(AI508&gt;0,AH508&gt;0),(AH508/AI508-1)*100,0)</f>
        <v>0</v>
      </c>
      <c r="AK508" s="2028"/>
      <c r="AL508" s="1284">
        <f t="shared" si="260"/>
        <v>0</v>
      </c>
      <c r="AM508" s="1285"/>
      <c r="AN508" s="1285"/>
      <c r="AO508" s="1285"/>
      <c r="AP508" s="1285"/>
      <c r="AQ508" s="1285"/>
      <c r="AR508" s="1285"/>
      <c r="AS508" s="1286"/>
      <c r="AT508" s="1287"/>
      <c r="AU508" s="1288"/>
      <c r="AV508" s="1289"/>
      <c r="AW508" s="1290"/>
      <c r="AX508" s="1291"/>
      <c r="AY508" s="1291"/>
      <c r="AZ508" s="1292"/>
      <c r="BA508" s="1293"/>
      <c r="BB508" s="1294"/>
      <c r="BC508" s="1295"/>
      <c r="BD508" s="1296">
        <f>BD507+PROD!L508-BA508</f>
        <v>0</v>
      </c>
      <c r="BE508" s="2134"/>
      <c r="BF508" s="507" t="e">
        <f t="shared" si="261"/>
        <v>#VALUE!</v>
      </c>
      <c r="BG508" s="329"/>
      <c r="BH508" s="1018">
        <f t="shared" si="262"/>
        <v>0</v>
      </c>
    </row>
    <row r="509" spans="1:60" ht="15" customHeight="1" x14ac:dyDescent="0.3">
      <c r="A509" s="2032">
        <f>A502+1</f>
        <v>90</v>
      </c>
      <c r="B509" s="287" t="str">
        <f t="shared" si="263"/>
        <v/>
      </c>
      <c r="C509" s="288" t="str">
        <f t="shared" si="256"/>
        <v/>
      </c>
      <c r="D509" s="691"/>
      <c r="E509" s="692"/>
      <c r="F509" s="693"/>
      <c r="G509" s="694"/>
      <c r="H509" s="695"/>
      <c r="I509" s="289">
        <f>I508-SUM($D509:F509)</f>
        <v>0</v>
      </c>
      <c r="J509" s="1232" t="str">
        <f>$J$5</f>
        <v>% Mort Sem :</v>
      </c>
      <c r="K509" s="1233">
        <f>IF(PROD!$K$2&gt;0,SUM(D509:D515)/PROD!$K$2,0)</f>
        <v>0</v>
      </c>
      <c r="L509" s="1241"/>
      <c r="M509" s="1242">
        <f t="shared" ref="M509:M514" si="289">IF(I509&gt;0,L509/I509,0)</f>
        <v>0</v>
      </c>
      <c r="N509" s="1243" t="str">
        <f>$N$5</f>
        <v xml:space="preserve">% Pdn prom semana : </v>
      </c>
      <c r="O509" s="1244">
        <f>IF(SUM(L509:L514)&gt;0,100*SUMPRODUCT(M509:M515,I509:I515)/SUMIF(L509:L515,"&gt;0",I509:I515),IF(L515&gt;0,100*L515/7/I515,0))</f>
        <v>0</v>
      </c>
      <c r="P509" s="1244">
        <f>IFERROR(LOOKUP($A509,TP!$A$6:$A$108,GSh!$AE$6:$AE$108),0)</f>
        <v>0</v>
      </c>
      <c r="Q509" s="1245">
        <f>IF(AND(P509&gt;0,O509&gt;0),O509-P509,0)</f>
        <v>0</v>
      </c>
      <c r="R509" s="699"/>
      <c r="S509" s="762"/>
      <c r="T509" s="765">
        <f t="shared" si="268"/>
        <v>0</v>
      </c>
      <c r="U509" s="700"/>
      <c r="V509" s="701"/>
      <c r="W509" s="701"/>
      <c r="X509" s="295">
        <f t="shared" si="264"/>
        <v>0</v>
      </c>
      <c r="Y509" s="296">
        <f>IF(AA509&gt;0,V509,AE509/IF(Iniciar!$C$25="B X 40 K",40,IF(Iniciar!$C$25="B X 50 K",50,1))*I509/1000)</f>
        <v>0</v>
      </c>
      <c r="Z509" s="296">
        <f t="shared" si="265"/>
        <v>0</v>
      </c>
      <c r="AA509" s="297">
        <f t="shared" ref="AA509:AA514" si="290">IF(I509&gt;0,V509*$A$1/I509,0)</f>
        <v>0</v>
      </c>
      <c r="AB509" s="297">
        <f t="shared" si="259"/>
        <v>0</v>
      </c>
      <c r="AC509" s="1261" t="str">
        <f>$AC$5</f>
        <v>Gr. Ave Dia :</v>
      </c>
      <c r="AD509" s="1262">
        <f>IF(SUMIF(V509:V515,"&gt;0")&gt;0,SUMPRODUCT(AA509:AA515,I509:I515)/SUMIF(AA509:AA515,"&gt;0",I509:I515),0)</f>
        <v>0</v>
      </c>
      <c r="AE509" s="1262">
        <f>IFERROR(LOOKUP($A509,TP!$A$6:$A$108,GSh!$AU$6:$AU$108),0)</f>
        <v>0</v>
      </c>
      <c r="AF509" s="1263">
        <f>IF(AND(AE509&gt;0,AD509&gt;0),(AD509/AE509-1)*100,0)</f>
        <v>0</v>
      </c>
      <c r="AG509" s="1264" t="str">
        <f>PROD!$AG$5</f>
        <v>Gr X H</v>
      </c>
      <c r="AH509" s="1265">
        <f>IF(PROD!O509&gt;0,IF($AG509="Gr X H",PROD!AD509/PROD!O509*100,IF($AG509="Conv Kg/Doc",PROD!AD509/PROD!O509*1.2,IF(PROD!$O511&gt;0,PROD!AD509/(PROD!O509*PROD!$O511)*100,0))),0)</f>
        <v>0</v>
      </c>
      <c r="AI509" s="1265">
        <f>IF(PROD!P509&gt;0,IF($AG509="Gr X H",PROD!AE509/PROD!P509*100,IF($AG509="Conv Kg/Doc",PROD!AE509/PROD!P509*1.2,IF(PROD!$P511&gt;0,PROD!AE509/(PROD!P509*PROD!$P511)*100,0))),0)</f>
        <v>0</v>
      </c>
      <c r="AJ509" s="1266">
        <f t="shared" si="288"/>
        <v>0</v>
      </c>
      <c r="AK509" s="2026"/>
      <c r="AL509" s="1284">
        <f t="shared" si="260"/>
        <v>0</v>
      </c>
      <c r="AM509" s="1285"/>
      <c r="AN509" s="1285"/>
      <c r="AO509" s="1285"/>
      <c r="AP509" s="1285"/>
      <c r="AQ509" s="1285"/>
      <c r="AR509" s="1285"/>
      <c r="AS509" s="1286"/>
      <c r="AT509" s="1287"/>
      <c r="AU509" s="1288"/>
      <c r="AV509" s="1289"/>
      <c r="AW509" s="1290"/>
      <c r="AX509" s="1291"/>
      <c r="AY509" s="1291"/>
      <c r="AZ509" s="1292"/>
      <c r="BA509" s="1293"/>
      <c r="BB509" s="1294"/>
      <c r="BC509" s="1295"/>
      <c r="BD509" s="1296">
        <f>BD508+PROD!L509-BA509</f>
        <v>0</v>
      </c>
      <c r="BE509" s="2132">
        <f>IF(SUM(AM509:AZ515)&gt;0,(SUM(AM509:AM515)*$AM$2+SUM(AN509:AN515)*$AN$2+SUM(AO509:AO515)*$AO$2+SUM(AP509:AP515)*$AP$2+SUM(AQ509:AQ515)*$AQ$2+SUM(AR509:AR515)*$AR$2+SUM(AS509:AS515)*$AS$2+SUM(AW509:AW515)*$AW$2+SUM(AX509:AX515)*$AX$2+SUM(AY509:AY515)*$AY$2+SUM(AZ509:AZ515)*$AZ$2+SUM(AT509:AT515)*$AT$2+SUM(AU509:AU515)*$AU$2+SUM(AV509:AV515)*$AV$2)/SUM(AM509:AZ515),0)</f>
        <v>0</v>
      </c>
      <c r="BF509" s="507" t="e">
        <f t="shared" si="261"/>
        <v>#VALUE!</v>
      </c>
      <c r="BG509" s="277">
        <f>IF(SUM(L509:L515)&gt;0,A509,IF(SUM(V509:V515)&gt;0,A509,BG502))</f>
        <v>0</v>
      </c>
      <c r="BH509" s="1018">
        <f t="shared" si="262"/>
        <v>0</v>
      </c>
    </row>
    <row r="510" spans="1:60" ht="15" customHeight="1" x14ac:dyDescent="0.3">
      <c r="A510" s="2033"/>
      <c r="B510" s="287" t="str">
        <f t="shared" si="263"/>
        <v/>
      </c>
      <c r="C510" s="288" t="str">
        <f t="shared" si="256"/>
        <v/>
      </c>
      <c r="D510" s="691"/>
      <c r="E510" s="692"/>
      <c r="F510" s="693"/>
      <c r="G510" s="694"/>
      <c r="H510" s="695"/>
      <c r="I510" s="289">
        <f>I509-SUM($D510:F510)</f>
        <v>0</v>
      </c>
      <c r="J510" s="1234" t="str">
        <f>$J$6</f>
        <v>% Sel Sem :</v>
      </c>
      <c r="K510" s="1231">
        <f>IF(PROD!$K$2&gt;0,SUM(E509:E515)/PROD!$K$2,0)</f>
        <v>0</v>
      </c>
      <c r="L510" s="1246"/>
      <c r="M510" s="291">
        <f t="shared" si="289"/>
        <v>0</v>
      </c>
      <c r="N510" s="292" t="str">
        <f>$N$6</f>
        <v xml:space="preserve">H. Ave Alojada : </v>
      </c>
      <c r="O510" s="293">
        <f>IF(AND(PROD!$K$2&gt;0,O509&gt;0),SUM(L$5:L515)/PROD!$K$2,0)</f>
        <v>0</v>
      </c>
      <c r="P510" s="293">
        <f>IFERROR(LOOKUP($A509,TP!$A$6:$A$108,GSh!$AJ$6:$AJ$108),0)</f>
        <v>0</v>
      </c>
      <c r="Q510" s="294">
        <f>IF(AND(P510&gt;0,O510&gt;0),O510-P510,0)</f>
        <v>0</v>
      </c>
      <c r="R510" s="699"/>
      <c r="S510" s="762"/>
      <c r="T510" s="765">
        <f t="shared" si="268"/>
        <v>0</v>
      </c>
      <c r="U510" s="700"/>
      <c r="V510" s="701"/>
      <c r="W510" s="701"/>
      <c r="X510" s="295">
        <f t="shared" si="264"/>
        <v>0</v>
      </c>
      <c r="Y510" s="296">
        <f>IF(AA510&gt;0,V510,AE509/IF(Iniciar!$C$25="B X 40 K",40,IF(Iniciar!$C$25="B X 50 K",50,1))*I510/1000)</f>
        <v>0</v>
      </c>
      <c r="Z510" s="296">
        <f t="shared" si="265"/>
        <v>0</v>
      </c>
      <c r="AA510" s="297">
        <f t="shared" si="290"/>
        <v>0</v>
      </c>
      <c r="AB510" s="297">
        <f t="shared" si="259"/>
        <v>0</v>
      </c>
      <c r="AC510" s="1267" t="str">
        <f>$AC$6</f>
        <v>Gr. Ave Sem :</v>
      </c>
      <c r="AD510" s="284">
        <f>AD509*7</f>
        <v>0</v>
      </c>
      <c r="AE510" s="284">
        <f>AE509*7</f>
        <v>0</v>
      </c>
      <c r="AF510" s="285">
        <f>IF(AND(AE510&gt;0,AD510&gt;0),(AD510/AE510-1)*100,0)</f>
        <v>0</v>
      </c>
      <c r="AG510" s="1199" t="str">
        <f>PROD!$AG$6</f>
        <v>Gr X H Acm</v>
      </c>
      <c r="AH510" s="298">
        <f>IF(SUM(PROD!L509:L515)&gt;0,IF(PROD!$AG$5="Gr X H",SUM(PROD!V$5:V515)*PROD!$A$1/SUM(PROD!L$5:L515),IF($AG509="Conv Kg/Doc",(SUM(PROD!V$5:V515)*PROD!$A$1/1000)/(SUM(PROD!L$5:L515)/12),IF(PROD!$O511&gt;0,SUM(PROD!V$5:V515)*PROD!$A$1/(SUM(PROD!L$5:L515)*LOOKUP(PROD!A509,TP!$A$6:$A$108,GSh!$BB$6:$BB$108)),0))),0)</f>
        <v>0</v>
      </c>
      <c r="AI510" s="298">
        <f>IF(PROD!P509&gt;0,IF($AG509="Gr X H",PROD!AE509/PROD!P509*100,IF($AG509="Conv Kg/Doc",PROD!AE509/PROD!P509*1.2,IF(PROD!$P510&gt;0,PROD!AE511/(PROD!P510*LOOKUP(PROD!$A509,TP!$A$6:$A$108,GSh!$BC$6:$BC$108)/1000),0))),0)</f>
        <v>0</v>
      </c>
      <c r="AJ510" s="328">
        <f t="shared" si="288"/>
        <v>0</v>
      </c>
      <c r="AK510" s="2027"/>
      <c r="AL510" s="1284">
        <f t="shared" si="260"/>
        <v>0</v>
      </c>
      <c r="AM510" s="1285"/>
      <c r="AN510" s="1285"/>
      <c r="AO510" s="1285"/>
      <c r="AP510" s="1285"/>
      <c r="AQ510" s="1285"/>
      <c r="AR510" s="1285"/>
      <c r="AS510" s="1286"/>
      <c r="AT510" s="1287"/>
      <c r="AU510" s="1288"/>
      <c r="AV510" s="1289"/>
      <c r="AW510" s="1290"/>
      <c r="AX510" s="1291"/>
      <c r="AY510" s="1291"/>
      <c r="AZ510" s="1292"/>
      <c r="BA510" s="1293"/>
      <c r="BB510" s="1294"/>
      <c r="BC510" s="1295"/>
      <c r="BD510" s="1296">
        <f>BD509+PROD!L510-BA510</f>
        <v>0</v>
      </c>
      <c r="BE510" s="2133"/>
      <c r="BF510" s="507" t="e">
        <f t="shared" si="261"/>
        <v>#VALUE!</v>
      </c>
      <c r="BG510" s="329"/>
      <c r="BH510" s="1018">
        <f t="shared" si="262"/>
        <v>0</v>
      </c>
    </row>
    <row r="511" spans="1:60" ht="15" customHeight="1" x14ac:dyDescent="0.3">
      <c r="A511" s="2033"/>
      <c r="B511" s="287" t="str">
        <f t="shared" si="263"/>
        <v/>
      </c>
      <c r="C511" s="288" t="str">
        <f t="shared" si="256"/>
        <v/>
      </c>
      <c r="D511" s="691"/>
      <c r="E511" s="692"/>
      <c r="F511" s="693"/>
      <c r="G511" s="694"/>
      <c r="H511" s="695"/>
      <c r="I511" s="289">
        <f>I510-SUM($D511:F511)</f>
        <v>0</v>
      </c>
      <c r="J511" s="1235" t="str">
        <f>$J$7</f>
        <v>% Mort/Sel Sem Tab :</v>
      </c>
      <c r="K511" s="1236">
        <f>K514-K507</f>
        <v>0</v>
      </c>
      <c r="L511" s="1246"/>
      <c r="M511" s="291">
        <f t="shared" si="289"/>
        <v>0</v>
      </c>
      <c r="N511" s="304" t="str">
        <f>$N$7</f>
        <v xml:space="preserve">Peso Huevo (Gr) : </v>
      </c>
      <c r="O511" s="305">
        <f>LOOKUP($A509,'Pr-Sem'!$A$6:$A$108,'Pr-Sem'!$Z$6:$Z$108)</f>
        <v>0</v>
      </c>
      <c r="P511" s="305">
        <f>IFERROR(LOOKUP($A509,TP!$A$6:$A$108,GSh!$AZ$6:$AZ$108),0)</f>
        <v>0</v>
      </c>
      <c r="Q511" s="306">
        <f>IF(AND(P511&gt;0,O511&gt;0),O511-P511,0)</f>
        <v>0</v>
      </c>
      <c r="R511" s="699"/>
      <c r="S511" s="762"/>
      <c r="T511" s="765">
        <f t="shared" si="268"/>
        <v>0</v>
      </c>
      <c r="U511" s="700"/>
      <c r="V511" s="701"/>
      <c r="W511" s="701"/>
      <c r="X511" s="295">
        <f t="shared" si="264"/>
        <v>0</v>
      </c>
      <c r="Y511" s="296">
        <f>IF(AA511&gt;0,V511,AE509/IF(Iniciar!$C$25="B X 40 K",40,IF(Iniciar!$C$25="B X 50 K",50,1))*I511/1000)</f>
        <v>0</v>
      </c>
      <c r="Z511" s="296">
        <f t="shared" si="265"/>
        <v>0</v>
      </c>
      <c r="AA511" s="297">
        <f t="shared" si="290"/>
        <v>0</v>
      </c>
      <c r="AB511" s="297">
        <f t="shared" si="259"/>
        <v>0</v>
      </c>
      <c r="AC511" s="1268" t="str">
        <f>$AC$7</f>
        <v>Kg Ave Acu :</v>
      </c>
      <c r="AD511" s="308">
        <f>IF(OR(SUM(L509:L515)&gt;0,SUM(V509:V515)&gt;0),AD510/1000+AD504,0)</f>
        <v>0</v>
      </c>
      <c r="AE511" s="309">
        <f>AE510/1000+AE504</f>
        <v>0</v>
      </c>
      <c r="AF511" s="310">
        <f>IF(AND(AE511&gt;0,AD511&gt;0),(AD511/AE511-1)*100,0)</f>
        <v>0</v>
      </c>
      <c r="AG511" s="311" t="str">
        <f>PROD!$AG$7</f>
        <v xml:space="preserve">Masa Sem H (Gr) : </v>
      </c>
      <c r="AH511" s="312">
        <f>PROD!O509/100*7*PROD!O511</f>
        <v>0</v>
      </c>
      <c r="AI511" s="312">
        <f>PROD!P509/100*7*PROD!P511</f>
        <v>0</v>
      </c>
      <c r="AJ511" s="313">
        <f t="shared" si="288"/>
        <v>0</v>
      </c>
      <c r="AK511" s="2027"/>
      <c r="AL511" s="1284">
        <f t="shared" si="260"/>
        <v>0</v>
      </c>
      <c r="AM511" s="1285"/>
      <c r="AN511" s="1285"/>
      <c r="AO511" s="1285"/>
      <c r="AP511" s="1285"/>
      <c r="AQ511" s="1285"/>
      <c r="AR511" s="1285"/>
      <c r="AS511" s="1286"/>
      <c r="AT511" s="1287"/>
      <c r="AU511" s="1288"/>
      <c r="AV511" s="1289"/>
      <c r="AW511" s="1290"/>
      <c r="AX511" s="1291"/>
      <c r="AY511" s="1291"/>
      <c r="AZ511" s="1292"/>
      <c r="BA511" s="1293"/>
      <c r="BB511" s="1294"/>
      <c r="BC511" s="1295"/>
      <c r="BD511" s="1296">
        <f>BD510+PROD!L511-BA511</f>
        <v>0</v>
      </c>
      <c r="BE511" s="2133"/>
      <c r="BF511" s="507" t="e">
        <f t="shared" si="261"/>
        <v>#VALUE!</v>
      </c>
      <c r="BG511" s="329"/>
      <c r="BH511" s="1018">
        <f t="shared" si="262"/>
        <v>0</v>
      </c>
    </row>
    <row r="512" spans="1:60" ht="15" customHeight="1" x14ac:dyDescent="0.3">
      <c r="A512" s="2033"/>
      <c r="B512" s="287" t="str">
        <f t="shared" si="263"/>
        <v/>
      </c>
      <c r="C512" s="288" t="str">
        <f t="shared" si="256"/>
        <v/>
      </c>
      <c r="D512" s="691"/>
      <c r="E512" s="692"/>
      <c r="F512" s="693"/>
      <c r="G512" s="694"/>
      <c r="H512" s="695"/>
      <c r="I512" s="289">
        <f>I511-SUM($D512:F512)</f>
        <v>0</v>
      </c>
      <c r="J512" s="1234" t="str">
        <f>$J$8</f>
        <v>% Mort Acm :</v>
      </c>
      <c r="K512" s="1231">
        <f>IF(PROD!$K$2&gt;0,SUM(D$5:D515)/PROD!$K$2,0)</f>
        <v>0</v>
      </c>
      <c r="L512" s="1246"/>
      <c r="M512" s="291">
        <f t="shared" si="289"/>
        <v>0</v>
      </c>
      <c r="N512" s="314" t="str">
        <f>N$8</f>
        <v xml:space="preserve">Peso Ave (Gr) : </v>
      </c>
      <c r="O512" s="315">
        <f>LOOKUP($A509,GSh!$BV$6:$BV$108,GSh!$BJ$6:$BJ$108)</f>
        <v>0</v>
      </c>
      <c r="P512" s="315">
        <f>IFERROR(LOOKUP($A509,TP!$A$6:$A$108,GSh!$BK$6:$BK$108),0)</f>
        <v>0</v>
      </c>
      <c r="Q512" s="316">
        <f>IF(AND(P512&gt;0,O512&gt;0),(O512/P512-1)*100,0)</f>
        <v>0</v>
      </c>
      <c r="R512" s="699"/>
      <c r="S512" s="762"/>
      <c r="T512" s="765">
        <f t="shared" si="268"/>
        <v>0</v>
      </c>
      <c r="U512" s="700"/>
      <c r="V512" s="701"/>
      <c r="W512" s="701"/>
      <c r="X512" s="295">
        <f t="shared" si="264"/>
        <v>0</v>
      </c>
      <c r="Y512" s="296">
        <f>IF(AA512&gt;0,V512,AE509/IF(Iniciar!$C$25="B X 40 K",40,IF(Iniciar!$C$25="B X 50 K",50,1))*I512/1000)</f>
        <v>0</v>
      </c>
      <c r="Z512" s="296">
        <f t="shared" si="265"/>
        <v>0</v>
      </c>
      <c r="AA512" s="297">
        <f t="shared" si="290"/>
        <v>0</v>
      </c>
      <c r="AB512" s="297">
        <f t="shared" si="259"/>
        <v>0</v>
      </c>
      <c r="AC512" s="541" t="str">
        <f>$AC$8</f>
        <v xml:space="preserve">Ton. Lote Acu : </v>
      </c>
      <c r="AD512" s="544">
        <f>SUM($V$5:$V515)*$A$1/1000000</f>
        <v>0</v>
      </c>
      <c r="AE512" s="543">
        <f>AE505+(AE509/1000000*7*(I509+I515)/2)</f>
        <v>0</v>
      </c>
      <c r="AF512" s="542">
        <f>IF(AND(AE512&gt;0,AD512&gt;0),(AD512/AE512-1)*100,0)</f>
        <v>0</v>
      </c>
      <c r="AG512" s="317" t="str">
        <f>PROD!$AG$8</f>
        <v xml:space="preserve">Masa Ac A. A (Kg) : </v>
      </c>
      <c r="AH512" s="318">
        <f>IF(PROD!$K$2&gt;0,SUM(PROD!L$5:L515)*LOOKUP(PROD!$A509,TP!$A$6:$A$108,GSh!$BB$6:$BB$108)/1000/PROD!$K$2,0)</f>
        <v>0</v>
      </c>
      <c r="AI512" s="318">
        <f>IFERROR(PROD!P510*LOOKUP(PROD!$A509,TP!$A$6:$A$108,GSh!$BC$6:$BC$108)/1000,0)</f>
        <v>0</v>
      </c>
      <c r="AJ512" s="330">
        <f t="shared" si="288"/>
        <v>0</v>
      </c>
      <c r="AK512" s="2027"/>
      <c r="AL512" s="1284">
        <f t="shared" si="260"/>
        <v>0</v>
      </c>
      <c r="AM512" s="1285"/>
      <c r="AN512" s="1285"/>
      <c r="AO512" s="1285"/>
      <c r="AP512" s="1285"/>
      <c r="AQ512" s="1285"/>
      <c r="AR512" s="1285"/>
      <c r="AS512" s="1286"/>
      <c r="AT512" s="1287"/>
      <c r="AU512" s="1288"/>
      <c r="AV512" s="1289"/>
      <c r="AW512" s="1290"/>
      <c r="AX512" s="1291"/>
      <c r="AY512" s="1291"/>
      <c r="AZ512" s="1292"/>
      <c r="BA512" s="1293"/>
      <c r="BB512" s="1294"/>
      <c r="BC512" s="1295"/>
      <c r="BD512" s="1296">
        <f>BD511+PROD!L512-BA512</f>
        <v>0</v>
      </c>
      <c r="BE512" s="2133"/>
      <c r="BF512" s="507" t="e">
        <f t="shared" si="261"/>
        <v>#VALUE!</v>
      </c>
      <c r="BG512" s="329"/>
      <c r="BH512" s="1018">
        <f t="shared" si="262"/>
        <v>0</v>
      </c>
    </row>
    <row r="513" spans="1:60" ht="15" customHeight="1" x14ac:dyDescent="0.3">
      <c r="A513" s="2033"/>
      <c r="B513" s="287" t="str">
        <f t="shared" si="263"/>
        <v/>
      </c>
      <c r="C513" s="288" t="str">
        <f t="shared" si="256"/>
        <v/>
      </c>
      <c r="D513" s="691"/>
      <c r="E513" s="692"/>
      <c r="F513" s="693"/>
      <c r="G513" s="694"/>
      <c r="H513" s="695"/>
      <c r="I513" s="289">
        <f>I512-SUM($D513:F513)</f>
        <v>0</v>
      </c>
      <c r="J513" s="1234" t="str">
        <f>$J$9</f>
        <v>% Sel Acm :</v>
      </c>
      <c r="K513" s="1231">
        <f>IF(PROD!$K$2&gt;0,SUM(E$5:E515)/PROD!$K$2,0)</f>
        <v>0</v>
      </c>
      <c r="L513" s="1246"/>
      <c r="M513" s="291">
        <f t="shared" si="289"/>
        <v>0</v>
      </c>
      <c r="N513" s="292" t="str">
        <f>$N$9</f>
        <v xml:space="preserve">Uniformidad (10% -) : </v>
      </c>
      <c r="O513" s="320">
        <f>LOOKUP($A509,'Pr-Sem'!$A$6:$A$108,'Pr-Sem'!$AH$6:$AH$108)</f>
        <v>0</v>
      </c>
      <c r="P513" s="320">
        <v>5</v>
      </c>
      <c r="Q513" s="321">
        <f>IF(AND(P513&gt;0,O513&gt;0),(1-O513/P513)*100,0)</f>
        <v>0</v>
      </c>
      <c r="R513" s="699"/>
      <c r="S513" s="762"/>
      <c r="T513" s="765">
        <f t="shared" si="268"/>
        <v>0</v>
      </c>
      <c r="U513" s="700"/>
      <c r="V513" s="701"/>
      <c r="W513" s="701"/>
      <c r="X513" s="295">
        <f t="shared" si="264"/>
        <v>0</v>
      </c>
      <c r="Y513" s="296">
        <f>IF(AA513&gt;0,V513,AE509/IF(Iniciar!$C$25="B X 40 K",40,IF(Iniciar!$C$25="B X 50 K",50,1))*I513/1000)</f>
        <v>0</v>
      </c>
      <c r="Z513" s="296">
        <f t="shared" si="265"/>
        <v>0</v>
      </c>
      <c r="AA513" s="297">
        <f t="shared" si="290"/>
        <v>0</v>
      </c>
      <c r="AB513" s="297">
        <f t="shared" si="259"/>
        <v>0</v>
      </c>
      <c r="AC513" s="2035" t="str">
        <f>$AC$9</f>
        <v xml:space="preserve">Total Litros Sem: </v>
      </c>
      <c r="AD513" s="2036"/>
      <c r="AE513" s="2050">
        <f>SUM(R509:R515)</f>
        <v>0</v>
      </c>
      <c r="AF513" s="2051"/>
      <c r="AG513" s="554" t="str">
        <f>$AG$9</f>
        <v xml:space="preserve">Indicador Eficiencia : </v>
      </c>
      <c r="AH513" s="555">
        <f>IF(AND(AE513&gt;0,O510&gt;0,O511&gt;0,SUM(L509:L515)&gt;0),(PROD!AH512/O510)*K515*100/(AE513/(SUM(L509:L515)*O511/1000)),0)</f>
        <v>0</v>
      </c>
      <c r="AI513" s="555">
        <f>IF(AND(P510&gt;0,PROD!AI511&gt;0),(PROD!AI512/P510)*(1-K514)*100/(AE510/PROD!AI511),0)</f>
        <v>0</v>
      </c>
      <c r="AJ513" s="331">
        <f t="shared" si="288"/>
        <v>0</v>
      </c>
      <c r="AK513" s="2027"/>
      <c r="AL513" s="1284">
        <f t="shared" si="260"/>
        <v>0</v>
      </c>
      <c r="AM513" s="1285"/>
      <c r="AN513" s="1285"/>
      <c r="AO513" s="1285"/>
      <c r="AP513" s="1285"/>
      <c r="AQ513" s="1285"/>
      <c r="AR513" s="1285"/>
      <c r="AS513" s="1286"/>
      <c r="AT513" s="1287"/>
      <c r="AU513" s="1288"/>
      <c r="AV513" s="1289"/>
      <c r="AW513" s="1290"/>
      <c r="AX513" s="1291"/>
      <c r="AY513" s="1291"/>
      <c r="AZ513" s="1292"/>
      <c r="BA513" s="1293"/>
      <c r="BB513" s="1294"/>
      <c r="BC513" s="1295"/>
      <c r="BD513" s="1296">
        <f>BD512+PROD!L513-BA513</f>
        <v>0</v>
      </c>
      <c r="BE513" s="2133"/>
      <c r="BF513" s="507" t="e">
        <f t="shared" si="261"/>
        <v>#VALUE!</v>
      </c>
      <c r="BG513" s="329"/>
      <c r="BH513" s="1018">
        <f t="shared" si="262"/>
        <v>0</v>
      </c>
    </row>
    <row r="514" spans="1:60" ht="15" customHeight="1" x14ac:dyDescent="0.3">
      <c r="A514" s="2033"/>
      <c r="B514" s="287" t="str">
        <f t="shared" si="263"/>
        <v/>
      </c>
      <c r="C514" s="288" t="str">
        <f t="shared" si="256"/>
        <v/>
      </c>
      <c r="D514" s="691"/>
      <c r="E514" s="692"/>
      <c r="F514" s="693"/>
      <c r="G514" s="694"/>
      <c r="H514" s="695"/>
      <c r="I514" s="289">
        <f>I513-SUM($D514:F514)</f>
        <v>0</v>
      </c>
      <c r="J514" s="1237" t="str">
        <f>$J$10</f>
        <v>% Mort/Sel Acm Tab :</v>
      </c>
      <c r="K514" s="1238">
        <f>IFERROR(LOOKUP($A509,TP!$A$6:$A$108,GSh!$AR$6:$AR$108)/100,0)</f>
        <v>0</v>
      </c>
      <c r="L514" s="1246"/>
      <c r="M514" s="291">
        <f t="shared" si="289"/>
        <v>0</v>
      </c>
      <c r="N514" s="292" t="str">
        <f>$N$10</f>
        <v xml:space="preserve">Uniformidad (C. Lote) : </v>
      </c>
      <c r="O514" s="320">
        <f>LOOKUP($A509,'Pr-Sem'!$A$6:$A$108,'Pr-Sem'!$AG$6:$AG$108)</f>
        <v>0</v>
      </c>
      <c r="P514" s="320">
        <v>90</v>
      </c>
      <c r="Q514" s="321">
        <f>IF(AND(P514&gt;0,O514&gt;0),(O514/P514-1)*100,0)</f>
        <v>0</v>
      </c>
      <c r="R514" s="699"/>
      <c r="S514" s="762"/>
      <c r="T514" s="765">
        <f t="shared" si="268"/>
        <v>0</v>
      </c>
      <c r="U514" s="700"/>
      <c r="V514" s="701"/>
      <c r="W514" s="701"/>
      <c r="X514" s="295">
        <f t="shared" si="264"/>
        <v>0</v>
      </c>
      <c r="Y514" s="296">
        <f>IF(AA514&gt;0,V514,AE509/IF(Iniciar!$C$25="B X 40 K",40,IF(Iniciar!$C$25="B X 50 K",50,1))*I514/1000)</f>
        <v>0</v>
      </c>
      <c r="Z514" s="296">
        <f t="shared" si="265"/>
        <v>0</v>
      </c>
      <c r="AA514" s="297">
        <f t="shared" si="290"/>
        <v>0</v>
      </c>
      <c r="AB514" s="297">
        <f t="shared" si="259"/>
        <v>0</v>
      </c>
      <c r="AC514" s="2037" t="str">
        <f>$AC$10</f>
        <v xml:space="preserve">Cons ml /ave día: </v>
      </c>
      <c r="AD514" s="2038"/>
      <c r="AE514" s="2056">
        <f>IFERROR(SUMPRODUCT(AB509:AB515,I509:I515)/SUM(I509:I515),0)</f>
        <v>0</v>
      </c>
      <c r="AF514" s="2057"/>
      <c r="AG514" s="311" t="str">
        <f>CONCATENATE("Costo ",Iniciar!$C$25," : ")</f>
        <v xml:space="preserve">Costo Kilos : </v>
      </c>
      <c r="AH514" s="2043">
        <f>IFERROR(SUMPRODUCT(T509:T515,V509:V515)/SUMIF(T509:T515,"&gt;0",V509:V515),0)</f>
        <v>0</v>
      </c>
      <c r="AI514" s="2043"/>
      <c r="AJ514" s="313"/>
      <c r="AK514" s="2027"/>
      <c r="AL514" s="1284">
        <f t="shared" si="260"/>
        <v>0</v>
      </c>
      <c r="AM514" s="1285"/>
      <c r="AN514" s="1285"/>
      <c r="AO514" s="1285"/>
      <c r="AP514" s="1285"/>
      <c r="AQ514" s="1285"/>
      <c r="AR514" s="1285"/>
      <c r="AS514" s="1286"/>
      <c r="AT514" s="1287"/>
      <c r="AU514" s="1288"/>
      <c r="AV514" s="1289"/>
      <c r="AW514" s="1290"/>
      <c r="AX514" s="1291"/>
      <c r="AY514" s="1291"/>
      <c r="AZ514" s="1292"/>
      <c r="BA514" s="1293"/>
      <c r="BB514" s="1294"/>
      <c r="BC514" s="1295"/>
      <c r="BD514" s="1296">
        <f>BD513+PROD!L514-BA514</f>
        <v>0</v>
      </c>
      <c r="BE514" s="2133"/>
      <c r="BF514" s="507" t="e">
        <f t="shared" si="261"/>
        <v>#VALUE!</v>
      </c>
      <c r="BG514" s="329"/>
      <c r="BH514" s="1018">
        <f t="shared" si="262"/>
        <v>0</v>
      </c>
    </row>
    <row r="515" spans="1:60" ht="15" customHeight="1" x14ac:dyDescent="0.3">
      <c r="A515" s="2034"/>
      <c r="B515" s="287" t="str">
        <f t="shared" si="263"/>
        <v/>
      </c>
      <c r="C515" s="288" t="str">
        <f t="shared" si="256"/>
        <v/>
      </c>
      <c r="D515" s="691"/>
      <c r="E515" s="692"/>
      <c r="F515" s="693"/>
      <c r="G515" s="694"/>
      <c r="H515" s="695"/>
      <c r="I515" s="289">
        <f>I514-SUM($D515:F515)</f>
        <v>0</v>
      </c>
      <c r="J515" s="1239" t="str">
        <f>$J$11</f>
        <v>% Viabilidad :</v>
      </c>
      <c r="K515" s="1240">
        <f>IF(OR(SUM(L509:L515)&gt;0,SUM(V509:V515)&gt;0),1-(K512+K513),0)</f>
        <v>0</v>
      </c>
      <c r="L515" s="1247"/>
      <c r="M515" s="1248">
        <f>IF(I515&gt;0,(L515/IF(SUM(L509:L514)&gt;0,1,7))/I515,0)</f>
        <v>0</v>
      </c>
      <c r="N515" s="1249" t="str">
        <f>$N$11</f>
        <v xml:space="preserve">Uniformidad (10% +) : </v>
      </c>
      <c r="O515" s="1250">
        <f>IF(O513&gt;0,IF(O514&gt;0,100-SUM(O513:O514),0),0)</f>
        <v>0</v>
      </c>
      <c r="P515" s="1251">
        <f>100-SUM(P513:P514)</f>
        <v>5</v>
      </c>
      <c r="Q515" s="1252">
        <f>IF(AND(P515&gt;0,O515&gt;0),(O515/P515-1)*100,0)</f>
        <v>0</v>
      </c>
      <c r="R515" s="699"/>
      <c r="S515" s="762"/>
      <c r="T515" s="765">
        <f t="shared" si="268"/>
        <v>0</v>
      </c>
      <c r="U515" s="700"/>
      <c r="V515" s="701"/>
      <c r="W515" s="701"/>
      <c r="X515" s="295">
        <f t="shared" si="264"/>
        <v>0</v>
      </c>
      <c r="Y515" s="296">
        <f>IF(AA515&gt;0,V515,AE509/IF(Iniciar!$C$25="B X 40 K",40,IF(Iniciar!$C$25="B X 50 K",50,1))*I515/1000)</f>
        <v>0</v>
      </c>
      <c r="Z515" s="296">
        <f t="shared" si="265"/>
        <v>0</v>
      </c>
      <c r="AA515" s="297">
        <f>IF(I515&gt;0,(V515/IF(SUM(V509:V514)&gt;0,1,7))*$A$1/I515,0)</f>
        <v>0</v>
      </c>
      <c r="AB515" s="297">
        <f t="shared" si="259"/>
        <v>0</v>
      </c>
      <c r="AC515" s="2039" t="str">
        <f>$AC$11</f>
        <v xml:space="preserve">Relación Agua /Alimto: </v>
      </c>
      <c r="AD515" s="2040"/>
      <c r="AE515" s="2058">
        <f>IFERROR(AE514/AD509,0)</f>
        <v>0</v>
      </c>
      <c r="AF515" s="2059"/>
      <c r="AG515" s="1269" t="s">
        <v>237</v>
      </c>
      <c r="AH515" s="1270">
        <f>IF(SUM(L509:L515)&gt;0,AH514*SUM(V509:V515)/SUM(L509:L515),0)</f>
        <v>0</v>
      </c>
      <c r="AI515" s="1270">
        <f>IF(AND($A$1&gt;0,P509&gt;0),AH514/$A$1*(AE509/P509)*100,0)</f>
        <v>0</v>
      </c>
      <c r="AJ515" s="1271">
        <f t="shared" ref="AJ515:AJ520" si="291">IF(AND(AI515&gt;0,AH515&gt;0),(AH515/AI515-1)*100,0)</f>
        <v>0</v>
      </c>
      <c r="AK515" s="2028"/>
      <c r="AL515" s="1284">
        <f t="shared" si="260"/>
        <v>0</v>
      </c>
      <c r="AM515" s="1285"/>
      <c r="AN515" s="1285"/>
      <c r="AO515" s="1285"/>
      <c r="AP515" s="1285"/>
      <c r="AQ515" s="1285"/>
      <c r="AR515" s="1285"/>
      <c r="AS515" s="1286"/>
      <c r="AT515" s="1287"/>
      <c r="AU515" s="1288"/>
      <c r="AV515" s="1289"/>
      <c r="AW515" s="1290"/>
      <c r="AX515" s="1291"/>
      <c r="AY515" s="1291"/>
      <c r="AZ515" s="1292"/>
      <c r="BA515" s="1293"/>
      <c r="BB515" s="1294"/>
      <c r="BC515" s="1295"/>
      <c r="BD515" s="1296">
        <f>BD514+PROD!L515-BA515</f>
        <v>0</v>
      </c>
      <c r="BE515" s="2134"/>
      <c r="BF515" s="507" t="e">
        <f t="shared" si="261"/>
        <v>#VALUE!</v>
      </c>
      <c r="BG515" s="329"/>
      <c r="BH515" s="1018">
        <f t="shared" si="262"/>
        <v>0</v>
      </c>
    </row>
    <row r="516" spans="1:60" ht="15" customHeight="1" x14ac:dyDescent="0.3">
      <c r="A516" s="2032">
        <f>A509+1</f>
        <v>91</v>
      </c>
      <c r="B516" s="287" t="str">
        <f t="shared" si="263"/>
        <v/>
      </c>
      <c r="C516" s="288" t="str">
        <f t="shared" si="256"/>
        <v/>
      </c>
      <c r="D516" s="691"/>
      <c r="E516" s="692"/>
      <c r="F516" s="693"/>
      <c r="G516" s="694"/>
      <c r="H516" s="695"/>
      <c r="I516" s="289">
        <f>I515-SUM($D516:F516)</f>
        <v>0</v>
      </c>
      <c r="J516" s="1232" t="str">
        <f>$J$5</f>
        <v>% Mort Sem :</v>
      </c>
      <c r="K516" s="1233">
        <f>IF(PROD!$K$2&gt;0,SUM(D516:D522)/PROD!$K$2,0)</f>
        <v>0</v>
      </c>
      <c r="L516" s="1241"/>
      <c r="M516" s="1242">
        <f t="shared" ref="M516:M521" si="292">IF(I516&gt;0,L516/I516,0)</f>
        <v>0</v>
      </c>
      <c r="N516" s="1243" t="str">
        <f>$N$5</f>
        <v xml:space="preserve">% Pdn prom semana : </v>
      </c>
      <c r="O516" s="1244">
        <f>IF(SUM(L516:L521)&gt;0,100*SUMPRODUCT(M516:M522,I516:I522)/SUMIF(L516:L522,"&gt;0",I516:I522),IF(L522&gt;0,100*L522/7/I522,0))</f>
        <v>0</v>
      </c>
      <c r="P516" s="1244">
        <f>IFERROR(LOOKUP($A516,TP!$A$6:$A$108,GSh!$AE$6:$AE$108),0)</f>
        <v>0</v>
      </c>
      <c r="Q516" s="1245">
        <f>IF(AND(P516&gt;0,O516&gt;0),O516-P516,0)</f>
        <v>0</v>
      </c>
      <c r="R516" s="699"/>
      <c r="S516" s="762"/>
      <c r="T516" s="765">
        <f t="shared" si="268"/>
        <v>0</v>
      </c>
      <c r="U516" s="700"/>
      <c r="V516" s="701"/>
      <c r="W516" s="701"/>
      <c r="X516" s="295">
        <f t="shared" si="264"/>
        <v>0</v>
      </c>
      <c r="Y516" s="296">
        <f>IF(AA516&gt;0,V516,AE516/IF(Iniciar!$C$25="B X 40 K",40,IF(Iniciar!$C$25="B X 50 K",50,1))*I516/1000)</f>
        <v>0</v>
      </c>
      <c r="Z516" s="296">
        <f t="shared" si="265"/>
        <v>0</v>
      </c>
      <c r="AA516" s="297">
        <f t="shared" ref="AA516:AA521" si="293">IF(I516&gt;0,V516*$A$1/I516,0)</f>
        <v>0</v>
      </c>
      <c r="AB516" s="297">
        <f t="shared" si="259"/>
        <v>0</v>
      </c>
      <c r="AC516" s="1261" t="str">
        <f>$AC$5</f>
        <v>Gr. Ave Dia :</v>
      </c>
      <c r="AD516" s="1262">
        <f>IF(SUMIF(V516:V522,"&gt;0")&gt;0,SUMPRODUCT(AA516:AA522,I516:I522)/SUMIF(AA516:AA522,"&gt;0",I516:I522),0)</f>
        <v>0</v>
      </c>
      <c r="AE516" s="1262">
        <f>IFERROR(LOOKUP($A516,TP!$A$6:$A$108,GSh!$AU$6:$AU$108),0)</f>
        <v>0</v>
      </c>
      <c r="AF516" s="1263">
        <f>IF(AND(AE516&gt;0,AD516&gt;0),(AD516/AE516-1)*100,0)</f>
        <v>0</v>
      </c>
      <c r="AG516" s="1264" t="str">
        <f>PROD!$AG$5</f>
        <v>Gr X H</v>
      </c>
      <c r="AH516" s="1265">
        <f>IF(PROD!O516&gt;0,IF($AG516="Gr X H",PROD!AD516/PROD!O516*100,IF($AG516="Conv Kg/Doc",PROD!AD516/PROD!O516*1.2,IF(PROD!$O518&gt;0,PROD!AD516/(PROD!O516*PROD!$O518)*100,0))),0)</f>
        <v>0</v>
      </c>
      <c r="AI516" s="1265">
        <f>IF(PROD!P516&gt;0,IF($AG516="Gr X H",PROD!AE516/PROD!P516*100,IF($AG516="Conv Kg/Doc",PROD!AE516/PROD!P516*1.2,IF(PROD!$P518&gt;0,PROD!AE516/(PROD!P516*PROD!$P518)*100,0))),0)</f>
        <v>0</v>
      </c>
      <c r="AJ516" s="1266">
        <f t="shared" si="291"/>
        <v>0</v>
      </c>
      <c r="AK516" s="2026"/>
      <c r="AL516" s="1284">
        <f t="shared" si="260"/>
        <v>0</v>
      </c>
      <c r="AM516" s="1285"/>
      <c r="AN516" s="1285"/>
      <c r="AO516" s="1285"/>
      <c r="AP516" s="1285"/>
      <c r="AQ516" s="1285"/>
      <c r="AR516" s="1285"/>
      <c r="AS516" s="1286"/>
      <c r="AT516" s="1287"/>
      <c r="AU516" s="1288"/>
      <c r="AV516" s="1289"/>
      <c r="AW516" s="1290"/>
      <c r="AX516" s="1291"/>
      <c r="AY516" s="1291"/>
      <c r="AZ516" s="1292"/>
      <c r="BA516" s="1293"/>
      <c r="BB516" s="1294"/>
      <c r="BC516" s="1295"/>
      <c r="BD516" s="1296">
        <f>BD515+PROD!L516-BA516</f>
        <v>0</v>
      </c>
      <c r="BE516" s="2132">
        <f>IF(SUM(AM516:AZ522)&gt;0,(SUM(AM516:AM522)*$AM$2+SUM(AN516:AN522)*$AN$2+SUM(AO516:AO522)*$AO$2+SUM(AP516:AP522)*$AP$2+SUM(AQ516:AQ522)*$AQ$2+SUM(AR516:AR522)*$AR$2+SUM(AS516:AS522)*$AS$2+SUM(AW516:AW522)*$AW$2+SUM(AX516:AX522)*$AX$2+SUM(AY516:AY522)*$AY$2+SUM(AZ516:AZ522)*$AZ$2+SUM(AT516:AT522)*$AT$2+SUM(AU516:AU522)*$AU$2+SUM(AV516:AV522)*$AV$2)/SUM(AM516:AZ522),0)</f>
        <v>0</v>
      </c>
      <c r="BF516" s="507" t="e">
        <f t="shared" si="261"/>
        <v>#VALUE!</v>
      </c>
      <c r="BG516" s="277">
        <f>IF(SUM(L516:L522)&gt;0,A516,IF(SUM(V516:V522)&gt;0,A516,BG509))</f>
        <v>0</v>
      </c>
      <c r="BH516" s="1018">
        <f t="shared" si="262"/>
        <v>0</v>
      </c>
    </row>
    <row r="517" spans="1:60" ht="15" customHeight="1" x14ac:dyDescent="0.3">
      <c r="A517" s="2033"/>
      <c r="B517" s="287" t="str">
        <f t="shared" si="263"/>
        <v/>
      </c>
      <c r="C517" s="288" t="str">
        <f t="shared" ref="C517:C580" si="294">IF(B517="","",(B517-Fnac+1)/7)</f>
        <v/>
      </c>
      <c r="D517" s="691"/>
      <c r="E517" s="692"/>
      <c r="F517" s="693"/>
      <c r="G517" s="694"/>
      <c r="H517" s="695"/>
      <c r="I517" s="289">
        <f>I516-SUM($D517:F517)</f>
        <v>0</v>
      </c>
      <c r="J517" s="1234" t="str">
        <f>$J$6</f>
        <v>% Sel Sem :</v>
      </c>
      <c r="K517" s="1231">
        <f>IF(PROD!$K$2&gt;0,SUM(E516:E522)/PROD!$K$2,0)</f>
        <v>0</v>
      </c>
      <c r="L517" s="1246"/>
      <c r="M517" s="291">
        <f t="shared" si="292"/>
        <v>0</v>
      </c>
      <c r="N517" s="292" t="str">
        <f>$N$6</f>
        <v xml:space="preserve">H. Ave Alojada : </v>
      </c>
      <c r="O517" s="293">
        <f>IF(AND(PROD!$K$2&gt;0,O516&gt;0),SUM(L$5:L522)/PROD!$K$2,0)</f>
        <v>0</v>
      </c>
      <c r="P517" s="293">
        <f>IFERROR(LOOKUP($A516,TP!$A$6:$A$108,GSh!$AJ$6:$AJ$108),0)</f>
        <v>0</v>
      </c>
      <c r="Q517" s="294">
        <f>IF(AND(P517&gt;0,O517&gt;0),O517-P517,0)</f>
        <v>0</v>
      </c>
      <c r="R517" s="699"/>
      <c r="S517" s="762"/>
      <c r="T517" s="765">
        <f t="shared" si="268"/>
        <v>0</v>
      </c>
      <c r="U517" s="700"/>
      <c r="V517" s="701"/>
      <c r="W517" s="701"/>
      <c r="X517" s="295">
        <f t="shared" si="264"/>
        <v>0</v>
      </c>
      <c r="Y517" s="296">
        <f>IF(AA517&gt;0,V517,AE516/IF(Iniciar!$C$25="B X 40 K",40,IF(Iniciar!$C$25="B X 50 K",50,1))*I517/1000)</f>
        <v>0</v>
      </c>
      <c r="Z517" s="296">
        <f t="shared" si="265"/>
        <v>0</v>
      </c>
      <c r="AA517" s="297">
        <f t="shared" si="293"/>
        <v>0</v>
      </c>
      <c r="AB517" s="297">
        <f t="shared" ref="AB517:AB580" si="295">IFERROR(R517*1000/I517,0)</f>
        <v>0</v>
      </c>
      <c r="AC517" s="1267" t="str">
        <f>$AC$6</f>
        <v>Gr. Ave Sem :</v>
      </c>
      <c r="AD517" s="284">
        <f>AD516*7</f>
        <v>0</v>
      </c>
      <c r="AE517" s="284">
        <f>AE516*7</f>
        <v>0</v>
      </c>
      <c r="AF517" s="285">
        <f>IF(AND(AE517&gt;0,AD517&gt;0),(AD517/AE517-1)*100,0)</f>
        <v>0</v>
      </c>
      <c r="AG517" s="1199" t="str">
        <f>PROD!$AG$6</f>
        <v>Gr X H Acm</v>
      </c>
      <c r="AH517" s="298">
        <f>IF(SUM(PROD!L516:L522)&gt;0,IF(PROD!$AG$5="Gr X H",SUM(PROD!V$5:V522)*PROD!$A$1/SUM(PROD!L$5:L522),IF($AG516="Conv Kg/Doc",(SUM(PROD!V$5:V522)*PROD!$A$1/1000)/(SUM(PROD!L$5:L522)/12),IF(PROD!$O518&gt;0,SUM(PROD!V$5:V522)*PROD!$A$1/(SUM(PROD!L$5:L522)*LOOKUP(PROD!A516,TP!$A$6:$A$108,GSh!$BB$6:$BB$108)),0))),0)</f>
        <v>0</v>
      </c>
      <c r="AI517" s="298">
        <f>IF(PROD!P516&gt;0,IF($AG516="Gr X H",PROD!AE516/PROD!P516*100,IF($AG516="Conv Kg/Doc",PROD!AE516/PROD!P516*1.2,IF(PROD!$P517&gt;0,PROD!AE518/(PROD!P517*LOOKUP(PROD!$A516,TP!$A$6:$A$108,GSh!$BC$6:$BC$108)/1000),0))),0)</f>
        <v>0</v>
      </c>
      <c r="AJ517" s="328">
        <f t="shared" si="291"/>
        <v>0</v>
      </c>
      <c r="AK517" s="2027"/>
      <c r="AL517" s="1284">
        <f t="shared" ref="AL517:AL580" si="296">L517-SUM(AM517:AS517)-SUM(AW517:AZ517)-SUM(AT517:AV517)</f>
        <v>0</v>
      </c>
      <c r="AM517" s="1285"/>
      <c r="AN517" s="1285"/>
      <c r="AO517" s="1285"/>
      <c r="AP517" s="1285"/>
      <c r="AQ517" s="1285"/>
      <c r="AR517" s="1285"/>
      <c r="AS517" s="1286"/>
      <c r="AT517" s="1287"/>
      <c r="AU517" s="1288"/>
      <c r="AV517" s="1289"/>
      <c r="AW517" s="1290"/>
      <c r="AX517" s="1291"/>
      <c r="AY517" s="1291"/>
      <c r="AZ517" s="1292"/>
      <c r="BA517" s="1293"/>
      <c r="BB517" s="1294"/>
      <c r="BC517" s="1295"/>
      <c r="BD517" s="1296">
        <f>BD516+PROD!L517-BA517</f>
        <v>0</v>
      </c>
      <c r="BE517" s="2133"/>
      <c r="BF517" s="507" t="e">
        <f t="shared" ref="BF517:BF580" si="297">INT((B517-Fnac)/7)+1</f>
        <v>#VALUE!</v>
      </c>
      <c r="BG517" s="329"/>
      <c r="BH517" s="1018">
        <f t="shared" ref="BH517:BH580" si="298">T517*V517</f>
        <v>0</v>
      </c>
    </row>
    <row r="518" spans="1:60" ht="15" customHeight="1" x14ac:dyDescent="0.3">
      <c r="A518" s="2033"/>
      <c r="B518" s="287" t="str">
        <f t="shared" ref="B518:B581" si="299">IF(B517="","",B517+1)</f>
        <v/>
      </c>
      <c r="C518" s="288" t="str">
        <f t="shared" si="294"/>
        <v/>
      </c>
      <c r="D518" s="691"/>
      <c r="E518" s="692"/>
      <c r="F518" s="693"/>
      <c r="G518" s="694"/>
      <c r="H518" s="695"/>
      <c r="I518" s="289">
        <f>I517-SUM($D518:F518)</f>
        <v>0</v>
      </c>
      <c r="J518" s="1235" t="str">
        <f>$J$7</f>
        <v>% Mort/Sel Sem Tab :</v>
      </c>
      <c r="K518" s="1236">
        <f>K521-K514</f>
        <v>0</v>
      </c>
      <c r="L518" s="1246"/>
      <c r="M518" s="291">
        <f t="shared" si="292"/>
        <v>0</v>
      </c>
      <c r="N518" s="304" t="str">
        <f>$N$7</f>
        <v xml:space="preserve">Peso Huevo (Gr) : </v>
      </c>
      <c r="O518" s="305">
        <f>LOOKUP($A516,'Pr-Sem'!$A$6:$A$108,'Pr-Sem'!$Z$6:$Z$108)</f>
        <v>0</v>
      </c>
      <c r="P518" s="305">
        <f>IFERROR(LOOKUP($A516,TP!$A$6:$A$108,GSh!$AZ$6:$AZ$108),0)</f>
        <v>0</v>
      </c>
      <c r="Q518" s="306">
        <f>IF(AND(P518&gt;0,O518&gt;0),O518-P518,0)</f>
        <v>0</v>
      </c>
      <c r="R518" s="699"/>
      <c r="S518" s="762"/>
      <c r="T518" s="765">
        <f t="shared" si="268"/>
        <v>0</v>
      </c>
      <c r="U518" s="700"/>
      <c r="V518" s="701"/>
      <c r="W518" s="701"/>
      <c r="X518" s="295">
        <f t="shared" ref="X518:X581" si="300">X517+U518-V518-W518</f>
        <v>0</v>
      </c>
      <c r="Y518" s="296">
        <f>IF(AA518&gt;0,V518,AE516/IF(Iniciar!$C$25="B X 40 K",40,IF(Iniciar!$C$25="B X 50 K",50,1))*I518/1000)</f>
        <v>0</v>
      </c>
      <c r="Z518" s="296">
        <f t="shared" ref="Z518:Z581" si="301">Z517+U518-Y518-W518</f>
        <v>0</v>
      </c>
      <c r="AA518" s="297">
        <f t="shared" si="293"/>
        <v>0</v>
      </c>
      <c r="AB518" s="297">
        <f t="shared" si="295"/>
        <v>0</v>
      </c>
      <c r="AC518" s="1268" t="str">
        <f>$AC$7</f>
        <v>Kg Ave Acu :</v>
      </c>
      <c r="AD518" s="308">
        <f>IF(OR(SUM(L516:L522)&gt;0,SUM(V516:V522)&gt;0),AD517/1000+AD511,0)</f>
        <v>0</v>
      </c>
      <c r="AE518" s="309">
        <f>AE517/1000+AE511</f>
        <v>0</v>
      </c>
      <c r="AF518" s="310">
        <f>IF(AND(AE518&gt;0,AD518&gt;0),(AD518/AE518-1)*100,0)</f>
        <v>0</v>
      </c>
      <c r="AG518" s="311" t="str">
        <f>PROD!$AG$7</f>
        <v xml:space="preserve">Masa Sem H (Gr) : </v>
      </c>
      <c r="AH518" s="312">
        <f>PROD!O516/100*7*PROD!O518</f>
        <v>0</v>
      </c>
      <c r="AI518" s="312">
        <f>PROD!P516/100*7*PROD!P518</f>
        <v>0</v>
      </c>
      <c r="AJ518" s="313">
        <f t="shared" si="291"/>
        <v>0</v>
      </c>
      <c r="AK518" s="2027"/>
      <c r="AL518" s="1284">
        <f t="shared" si="296"/>
        <v>0</v>
      </c>
      <c r="AM518" s="1285"/>
      <c r="AN518" s="1285"/>
      <c r="AO518" s="1285"/>
      <c r="AP518" s="1285"/>
      <c r="AQ518" s="1285"/>
      <c r="AR518" s="1285"/>
      <c r="AS518" s="1286"/>
      <c r="AT518" s="1287"/>
      <c r="AU518" s="1288"/>
      <c r="AV518" s="1289"/>
      <c r="AW518" s="1290"/>
      <c r="AX518" s="1291"/>
      <c r="AY518" s="1291"/>
      <c r="AZ518" s="1292"/>
      <c r="BA518" s="1293"/>
      <c r="BB518" s="1294"/>
      <c r="BC518" s="1295"/>
      <c r="BD518" s="1296">
        <f>BD517+PROD!L518-BA518</f>
        <v>0</v>
      </c>
      <c r="BE518" s="2133"/>
      <c r="BF518" s="507" t="e">
        <f t="shared" si="297"/>
        <v>#VALUE!</v>
      </c>
      <c r="BG518" s="329"/>
      <c r="BH518" s="1018">
        <f t="shared" si="298"/>
        <v>0</v>
      </c>
    </row>
    <row r="519" spans="1:60" ht="15" customHeight="1" x14ac:dyDescent="0.3">
      <c r="A519" s="2033"/>
      <c r="B519" s="287" t="str">
        <f t="shared" si="299"/>
        <v/>
      </c>
      <c r="C519" s="288" t="str">
        <f t="shared" si="294"/>
        <v/>
      </c>
      <c r="D519" s="691"/>
      <c r="E519" s="692"/>
      <c r="F519" s="693"/>
      <c r="G519" s="694"/>
      <c r="H519" s="695"/>
      <c r="I519" s="289">
        <f>I518-SUM($D519:F519)</f>
        <v>0</v>
      </c>
      <c r="J519" s="1234" t="str">
        <f>$J$8</f>
        <v>% Mort Acm :</v>
      </c>
      <c r="K519" s="1231">
        <f>IF(PROD!$K$2&gt;0,SUM(D$5:D522)/PROD!$K$2,0)</f>
        <v>0</v>
      </c>
      <c r="L519" s="1246"/>
      <c r="M519" s="291">
        <f t="shared" si="292"/>
        <v>0</v>
      </c>
      <c r="N519" s="314" t="str">
        <f>N$8</f>
        <v xml:space="preserve">Peso Ave (Gr) : </v>
      </c>
      <c r="O519" s="315">
        <f>LOOKUP($A516,GSh!$BV$6:$BV$108,GSh!$BJ$6:$BJ$108)</f>
        <v>0</v>
      </c>
      <c r="P519" s="315">
        <f>IFERROR(LOOKUP($A516,TP!$A$6:$A$108,GSh!$BK$6:$BK$108),0)</f>
        <v>0</v>
      </c>
      <c r="Q519" s="316">
        <f>IF(AND(P519&gt;0,O519&gt;0),(O519/P519-1)*100,0)</f>
        <v>0</v>
      </c>
      <c r="R519" s="699"/>
      <c r="S519" s="762"/>
      <c r="T519" s="765">
        <f t="shared" si="268"/>
        <v>0</v>
      </c>
      <c r="U519" s="700"/>
      <c r="V519" s="701"/>
      <c r="W519" s="701"/>
      <c r="X519" s="295">
        <f t="shared" si="300"/>
        <v>0</v>
      </c>
      <c r="Y519" s="296">
        <f>IF(AA519&gt;0,V519,AE516/IF(Iniciar!$C$25="B X 40 K",40,IF(Iniciar!$C$25="B X 50 K",50,1))*I519/1000)</f>
        <v>0</v>
      </c>
      <c r="Z519" s="296">
        <f t="shared" si="301"/>
        <v>0</v>
      </c>
      <c r="AA519" s="297">
        <f t="shared" si="293"/>
        <v>0</v>
      </c>
      <c r="AB519" s="297">
        <f t="shared" si="295"/>
        <v>0</v>
      </c>
      <c r="AC519" s="541" t="str">
        <f>$AC$8</f>
        <v xml:space="preserve">Ton. Lote Acu : </v>
      </c>
      <c r="AD519" s="544">
        <f>SUM($V$5:$V522)*$A$1/1000000</f>
        <v>0</v>
      </c>
      <c r="AE519" s="543">
        <f>AE512+(AE516/1000000*7*(I516+I522)/2)</f>
        <v>0</v>
      </c>
      <c r="AF519" s="542">
        <f>IF(AND(AE519&gt;0,AD519&gt;0),(AD519/AE519-1)*100,0)</f>
        <v>0</v>
      </c>
      <c r="AG519" s="317" t="str">
        <f>PROD!$AG$8</f>
        <v xml:space="preserve">Masa Ac A. A (Kg) : </v>
      </c>
      <c r="AH519" s="318">
        <f>IF(PROD!$K$2&gt;0,SUM(PROD!L$5:L522)*LOOKUP(PROD!$A516,TP!$A$6:$A$108,GSh!$BB$6:$BB$108)/1000/PROD!$K$2,0)</f>
        <v>0</v>
      </c>
      <c r="AI519" s="318">
        <f>IFERROR(PROD!P517*LOOKUP(PROD!$A516,TP!$A$6:$A$108,GSh!$BC$6:$BC$108)/1000,0)</f>
        <v>0</v>
      </c>
      <c r="AJ519" s="330">
        <f t="shared" si="291"/>
        <v>0</v>
      </c>
      <c r="AK519" s="2027"/>
      <c r="AL519" s="1284">
        <f t="shared" si="296"/>
        <v>0</v>
      </c>
      <c r="AM519" s="1285"/>
      <c r="AN519" s="1285"/>
      <c r="AO519" s="1285"/>
      <c r="AP519" s="1285"/>
      <c r="AQ519" s="1285"/>
      <c r="AR519" s="1285"/>
      <c r="AS519" s="1286"/>
      <c r="AT519" s="1287"/>
      <c r="AU519" s="1288"/>
      <c r="AV519" s="1289"/>
      <c r="AW519" s="1290"/>
      <c r="AX519" s="1291"/>
      <c r="AY519" s="1291"/>
      <c r="AZ519" s="1292"/>
      <c r="BA519" s="1293"/>
      <c r="BB519" s="1294"/>
      <c r="BC519" s="1295"/>
      <c r="BD519" s="1296">
        <f>BD518+PROD!L519-BA519</f>
        <v>0</v>
      </c>
      <c r="BE519" s="2133"/>
      <c r="BF519" s="507" t="e">
        <f t="shared" si="297"/>
        <v>#VALUE!</v>
      </c>
      <c r="BG519" s="329"/>
      <c r="BH519" s="1018">
        <f t="shared" si="298"/>
        <v>0</v>
      </c>
    </row>
    <row r="520" spans="1:60" ht="15" customHeight="1" x14ac:dyDescent="0.3">
      <c r="A520" s="2033"/>
      <c r="B520" s="287" t="str">
        <f t="shared" si="299"/>
        <v/>
      </c>
      <c r="C520" s="288" t="str">
        <f t="shared" si="294"/>
        <v/>
      </c>
      <c r="D520" s="691"/>
      <c r="E520" s="692"/>
      <c r="F520" s="693"/>
      <c r="G520" s="694"/>
      <c r="H520" s="695"/>
      <c r="I520" s="289">
        <f>I519-SUM($D520:F520)</f>
        <v>0</v>
      </c>
      <c r="J520" s="1234" t="str">
        <f>$J$9</f>
        <v>% Sel Acm :</v>
      </c>
      <c r="K520" s="1231">
        <f>IF(PROD!$K$2&gt;0,SUM(E$5:E522)/PROD!$K$2,0)</f>
        <v>0</v>
      </c>
      <c r="L520" s="1246"/>
      <c r="M520" s="291">
        <f t="shared" si="292"/>
        <v>0</v>
      </c>
      <c r="N520" s="292" t="str">
        <f>$N$9</f>
        <v xml:space="preserve">Uniformidad (10% -) : </v>
      </c>
      <c r="O520" s="320">
        <f>LOOKUP($A516,'Pr-Sem'!$A$6:$A$108,'Pr-Sem'!$AH$6:$AH$108)</f>
        <v>0</v>
      </c>
      <c r="P520" s="320">
        <v>5</v>
      </c>
      <c r="Q520" s="321">
        <f>IF(AND(P520&gt;0,O520&gt;0),(1-O520/P520)*100,0)</f>
        <v>0</v>
      </c>
      <c r="R520" s="699"/>
      <c r="S520" s="762"/>
      <c r="T520" s="765">
        <f t="shared" si="268"/>
        <v>0</v>
      </c>
      <c r="U520" s="700"/>
      <c r="V520" s="701"/>
      <c r="W520" s="701"/>
      <c r="X520" s="295">
        <f t="shared" si="300"/>
        <v>0</v>
      </c>
      <c r="Y520" s="296">
        <f>IF(AA520&gt;0,V520,AE516/IF(Iniciar!$C$25="B X 40 K",40,IF(Iniciar!$C$25="B X 50 K",50,1))*I520/1000)</f>
        <v>0</v>
      </c>
      <c r="Z520" s="296">
        <f t="shared" si="301"/>
        <v>0</v>
      </c>
      <c r="AA520" s="297">
        <f t="shared" si="293"/>
        <v>0</v>
      </c>
      <c r="AB520" s="297">
        <f t="shared" si="295"/>
        <v>0</v>
      </c>
      <c r="AC520" s="2035" t="str">
        <f>$AC$9</f>
        <v xml:space="preserve">Total Litros Sem: </v>
      </c>
      <c r="AD520" s="2036"/>
      <c r="AE520" s="2050">
        <f>SUM(R516:R522)</f>
        <v>0</v>
      </c>
      <c r="AF520" s="2051"/>
      <c r="AG520" s="554" t="str">
        <f>$AG$9</f>
        <v xml:space="preserve">Indicador Eficiencia : </v>
      </c>
      <c r="AH520" s="555">
        <f>IF(AND(AE520&gt;0,O517&gt;0,O518&gt;0,SUM(L516:L522)&gt;0),(PROD!AH519/O517)*K522*100/(AE520/(SUM(L516:L522)*O518/1000)),0)</f>
        <v>0</v>
      </c>
      <c r="AI520" s="555">
        <f>IF(AND(P517&gt;0,PROD!AI518&gt;0),(PROD!AI519/P517)*(1-K521)*100/(AE517/PROD!AI518),0)</f>
        <v>0</v>
      </c>
      <c r="AJ520" s="331">
        <f t="shared" si="291"/>
        <v>0</v>
      </c>
      <c r="AK520" s="2027"/>
      <c r="AL520" s="1284">
        <f t="shared" si="296"/>
        <v>0</v>
      </c>
      <c r="AM520" s="1285"/>
      <c r="AN520" s="1285"/>
      <c r="AO520" s="1285"/>
      <c r="AP520" s="1285"/>
      <c r="AQ520" s="1285"/>
      <c r="AR520" s="1285"/>
      <c r="AS520" s="1286"/>
      <c r="AT520" s="1287"/>
      <c r="AU520" s="1288"/>
      <c r="AV520" s="1289"/>
      <c r="AW520" s="1290"/>
      <c r="AX520" s="1291"/>
      <c r="AY520" s="1291"/>
      <c r="AZ520" s="1292"/>
      <c r="BA520" s="1293"/>
      <c r="BB520" s="1294"/>
      <c r="BC520" s="1295"/>
      <c r="BD520" s="1296">
        <f>BD519+PROD!L520-BA520</f>
        <v>0</v>
      </c>
      <c r="BE520" s="2133"/>
      <c r="BF520" s="507" t="e">
        <f t="shared" si="297"/>
        <v>#VALUE!</v>
      </c>
      <c r="BG520" s="329"/>
      <c r="BH520" s="1018">
        <f t="shared" si="298"/>
        <v>0</v>
      </c>
    </row>
    <row r="521" spans="1:60" ht="15" customHeight="1" x14ac:dyDescent="0.3">
      <c r="A521" s="2033"/>
      <c r="B521" s="287" t="str">
        <f t="shared" si="299"/>
        <v/>
      </c>
      <c r="C521" s="288" t="str">
        <f t="shared" si="294"/>
        <v/>
      </c>
      <c r="D521" s="691"/>
      <c r="E521" s="692"/>
      <c r="F521" s="693"/>
      <c r="G521" s="694"/>
      <c r="H521" s="695"/>
      <c r="I521" s="289">
        <f>I520-SUM($D521:F521)</f>
        <v>0</v>
      </c>
      <c r="J521" s="1237" t="str">
        <f>$J$10</f>
        <v>% Mort/Sel Acm Tab :</v>
      </c>
      <c r="K521" s="1238">
        <f>IFERROR(LOOKUP($A516,TP!$A$6:$A$108,GSh!$AR$6:$AR$108)/100,0)</f>
        <v>0</v>
      </c>
      <c r="L521" s="1246"/>
      <c r="M521" s="291">
        <f t="shared" si="292"/>
        <v>0</v>
      </c>
      <c r="N521" s="292" t="str">
        <f>$N$10</f>
        <v xml:space="preserve">Uniformidad (C. Lote) : </v>
      </c>
      <c r="O521" s="320">
        <f>LOOKUP($A516,'Pr-Sem'!$A$6:$A$108,'Pr-Sem'!$AG$6:$AG$108)</f>
        <v>0</v>
      </c>
      <c r="P521" s="320">
        <v>90</v>
      </c>
      <c r="Q521" s="321">
        <f>IF(AND(P521&gt;0,O521&gt;0),(O521/P521-1)*100,0)</f>
        <v>0</v>
      </c>
      <c r="R521" s="699"/>
      <c r="S521" s="762"/>
      <c r="T521" s="765">
        <f t="shared" si="268"/>
        <v>0</v>
      </c>
      <c r="U521" s="700"/>
      <c r="V521" s="701"/>
      <c r="W521" s="701"/>
      <c r="X521" s="295">
        <f t="shared" si="300"/>
        <v>0</v>
      </c>
      <c r="Y521" s="296">
        <f>IF(AA521&gt;0,V521,AE516/IF(Iniciar!$C$25="B X 40 K",40,IF(Iniciar!$C$25="B X 50 K",50,1))*I521/1000)</f>
        <v>0</v>
      </c>
      <c r="Z521" s="296">
        <f t="shared" si="301"/>
        <v>0</v>
      </c>
      <c r="AA521" s="297">
        <f t="shared" si="293"/>
        <v>0</v>
      </c>
      <c r="AB521" s="297">
        <f t="shared" si="295"/>
        <v>0</v>
      </c>
      <c r="AC521" s="2037" t="str">
        <f>$AC$10</f>
        <v xml:space="preserve">Cons ml /ave día: </v>
      </c>
      <c r="AD521" s="2038"/>
      <c r="AE521" s="2056">
        <f>IFERROR(SUMPRODUCT(AB516:AB522,I516:I522)/SUM(I516:I522),0)</f>
        <v>0</v>
      </c>
      <c r="AF521" s="2057"/>
      <c r="AG521" s="311" t="str">
        <f>CONCATENATE("Costo ",Iniciar!$C$25," : ")</f>
        <v xml:space="preserve">Costo Kilos : </v>
      </c>
      <c r="AH521" s="2043">
        <f>IFERROR(SUMPRODUCT(T516:T522,V516:V522)/SUMIF(T516:T522,"&gt;0",V516:V522),0)</f>
        <v>0</v>
      </c>
      <c r="AI521" s="2043"/>
      <c r="AJ521" s="313"/>
      <c r="AK521" s="2027"/>
      <c r="AL521" s="1284">
        <f t="shared" si="296"/>
        <v>0</v>
      </c>
      <c r="AM521" s="1285"/>
      <c r="AN521" s="1285"/>
      <c r="AO521" s="1285"/>
      <c r="AP521" s="1285"/>
      <c r="AQ521" s="1285"/>
      <c r="AR521" s="1285"/>
      <c r="AS521" s="1286"/>
      <c r="AT521" s="1287"/>
      <c r="AU521" s="1288"/>
      <c r="AV521" s="1289"/>
      <c r="AW521" s="1290"/>
      <c r="AX521" s="1291"/>
      <c r="AY521" s="1291"/>
      <c r="AZ521" s="1292"/>
      <c r="BA521" s="1293"/>
      <c r="BB521" s="1294"/>
      <c r="BC521" s="1295"/>
      <c r="BD521" s="1296">
        <f>BD520+PROD!L521-BA521</f>
        <v>0</v>
      </c>
      <c r="BE521" s="2133"/>
      <c r="BF521" s="507" t="e">
        <f t="shared" si="297"/>
        <v>#VALUE!</v>
      </c>
      <c r="BG521" s="329"/>
      <c r="BH521" s="1018">
        <f t="shared" si="298"/>
        <v>0</v>
      </c>
    </row>
    <row r="522" spans="1:60" ht="15" customHeight="1" x14ac:dyDescent="0.3">
      <c r="A522" s="2034"/>
      <c r="B522" s="287" t="str">
        <f t="shared" si="299"/>
        <v/>
      </c>
      <c r="C522" s="288" t="str">
        <f t="shared" si="294"/>
        <v/>
      </c>
      <c r="D522" s="691"/>
      <c r="E522" s="692"/>
      <c r="F522" s="693"/>
      <c r="G522" s="694"/>
      <c r="H522" s="695"/>
      <c r="I522" s="289">
        <f>I521-SUM($D522:F522)</f>
        <v>0</v>
      </c>
      <c r="J522" s="1239" t="str">
        <f>$J$11</f>
        <v>% Viabilidad :</v>
      </c>
      <c r="K522" s="1240">
        <f>IF(OR(SUM(L516:L522)&gt;0,SUM(V516:V522)&gt;0),1-(K519+K520),0)</f>
        <v>0</v>
      </c>
      <c r="L522" s="1247"/>
      <c r="M522" s="1248">
        <f>IF(I522&gt;0,(L522/IF(SUM(L516:L521)&gt;0,1,7))/I522,0)</f>
        <v>0</v>
      </c>
      <c r="N522" s="1249" t="str">
        <f>$N$11</f>
        <v xml:space="preserve">Uniformidad (10% +) : </v>
      </c>
      <c r="O522" s="1250">
        <f>IF(O520&gt;0,IF(O521&gt;0,100-SUM(O520:O521),0),0)</f>
        <v>0</v>
      </c>
      <c r="P522" s="1251">
        <f>100-SUM(P520:P521)</f>
        <v>5</v>
      </c>
      <c r="Q522" s="1252">
        <f>IF(AND(P522&gt;0,O522&gt;0),(O522/P522-1)*100,0)</f>
        <v>0</v>
      </c>
      <c r="R522" s="699"/>
      <c r="S522" s="762"/>
      <c r="T522" s="765">
        <f t="shared" si="268"/>
        <v>0</v>
      </c>
      <c r="U522" s="700"/>
      <c r="V522" s="701"/>
      <c r="W522" s="701"/>
      <c r="X522" s="295">
        <f t="shared" si="300"/>
        <v>0</v>
      </c>
      <c r="Y522" s="296">
        <f>IF(AA522&gt;0,V522,AE516/IF(Iniciar!$C$25="B X 40 K",40,IF(Iniciar!$C$25="B X 50 K",50,1))*I522/1000)</f>
        <v>0</v>
      </c>
      <c r="Z522" s="296">
        <f t="shared" si="301"/>
        <v>0</v>
      </c>
      <c r="AA522" s="297">
        <f>IF(I522&gt;0,(V522/IF(SUM(V516:V521)&gt;0,1,7))*$A$1/I522,0)</f>
        <v>0</v>
      </c>
      <c r="AB522" s="297">
        <f t="shared" si="295"/>
        <v>0</v>
      </c>
      <c r="AC522" s="2039" t="str">
        <f>$AC$11</f>
        <v xml:space="preserve">Relación Agua /Alimto: </v>
      </c>
      <c r="AD522" s="2040"/>
      <c r="AE522" s="2058">
        <f>IFERROR(AE521/AD516,0)</f>
        <v>0</v>
      </c>
      <c r="AF522" s="2059"/>
      <c r="AG522" s="1269" t="s">
        <v>237</v>
      </c>
      <c r="AH522" s="1270">
        <f>IF(SUM(L516:L522)&gt;0,AH521*SUM(V516:V522)/SUM(L516:L522),0)</f>
        <v>0</v>
      </c>
      <c r="AI522" s="1270">
        <f>IF(AND($A$1&gt;0,P516&gt;0),AH521/$A$1*(AE516/P516)*100,0)</f>
        <v>0</v>
      </c>
      <c r="AJ522" s="1271">
        <f t="shared" ref="AJ522:AJ527" si="302">IF(AND(AI522&gt;0,AH522&gt;0),(AH522/AI522-1)*100,0)</f>
        <v>0</v>
      </c>
      <c r="AK522" s="2028"/>
      <c r="AL522" s="1284">
        <f t="shared" si="296"/>
        <v>0</v>
      </c>
      <c r="AM522" s="1285"/>
      <c r="AN522" s="1285"/>
      <c r="AO522" s="1285"/>
      <c r="AP522" s="1285"/>
      <c r="AQ522" s="1285"/>
      <c r="AR522" s="1285"/>
      <c r="AS522" s="1286"/>
      <c r="AT522" s="1287"/>
      <c r="AU522" s="1288"/>
      <c r="AV522" s="1289"/>
      <c r="AW522" s="1290"/>
      <c r="AX522" s="1291"/>
      <c r="AY522" s="1291"/>
      <c r="AZ522" s="1292"/>
      <c r="BA522" s="1293"/>
      <c r="BB522" s="1294"/>
      <c r="BC522" s="1295"/>
      <c r="BD522" s="1296">
        <f>BD521+PROD!L522-BA522</f>
        <v>0</v>
      </c>
      <c r="BE522" s="2134"/>
      <c r="BF522" s="507" t="e">
        <f t="shared" si="297"/>
        <v>#VALUE!</v>
      </c>
      <c r="BG522" s="329"/>
      <c r="BH522" s="1018">
        <f t="shared" si="298"/>
        <v>0</v>
      </c>
    </row>
    <row r="523" spans="1:60" ht="15" customHeight="1" x14ac:dyDescent="0.3">
      <c r="A523" s="2032">
        <f>A516+1</f>
        <v>92</v>
      </c>
      <c r="B523" s="287" t="str">
        <f t="shared" si="299"/>
        <v/>
      </c>
      <c r="C523" s="288" t="str">
        <f t="shared" si="294"/>
        <v/>
      </c>
      <c r="D523" s="691"/>
      <c r="E523" s="692"/>
      <c r="F523" s="693"/>
      <c r="G523" s="694"/>
      <c r="H523" s="695"/>
      <c r="I523" s="289">
        <f>I522-SUM($D523:F523)</f>
        <v>0</v>
      </c>
      <c r="J523" s="1232" t="str">
        <f>$J$5</f>
        <v>% Mort Sem :</v>
      </c>
      <c r="K523" s="1233">
        <f>IF(PROD!$K$2&gt;0,SUM(D523:D529)/PROD!$K$2,0)</f>
        <v>0</v>
      </c>
      <c r="L523" s="1241"/>
      <c r="M523" s="1242">
        <f t="shared" ref="M523:M528" si="303">IF(I523&gt;0,L523/I523,0)</f>
        <v>0</v>
      </c>
      <c r="N523" s="1243" t="str">
        <f>$N$5</f>
        <v xml:space="preserve">% Pdn prom semana : </v>
      </c>
      <c r="O523" s="1244">
        <f>IF(SUM(L523:L528)&gt;0,100*SUMPRODUCT(M523:M529,I523:I529)/SUMIF(L523:L529,"&gt;0",I523:I529),IF(L529&gt;0,100*L529/7/I529,0))</f>
        <v>0</v>
      </c>
      <c r="P523" s="1244">
        <f>IFERROR(LOOKUP($A523,TP!$A$6:$A$108,GSh!$AE$6:$AE$108),0)</f>
        <v>0</v>
      </c>
      <c r="Q523" s="1245">
        <f>IF(AND(P523&gt;0,O523&gt;0),O523-P523,0)</f>
        <v>0</v>
      </c>
      <c r="R523" s="699"/>
      <c r="S523" s="762"/>
      <c r="T523" s="765">
        <f t="shared" si="268"/>
        <v>0</v>
      </c>
      <c r="U523" s="700"/>
      <c r="V523" s="701"/>
      <c r="W523" s="701"/>
      <c r="X523" s="295">
        <f t="shared" si="300"/>
        <v>0</v>
      </c>
      <c r="Y523" s="296">
        <f>IF(AA523&gt;0,V523,AE523/IF(Iniciar!$C$25="B X 40 K",40,IF(Iniciar!$C$25="B X 50 K",50,1))*I523/1000)</f>
        <v>0</v>
      </c>
      <c r="Z523" s="296">
        <f t="shared" si="301"/>
        <v>0</v>
      </c>
      <c r="AA523" s="297">
        <f t="shared" ref="AA523:AA528" si="304">IF(I523&gt;0,V523*$A$1/I523,0)</f>
        <v>0</v>
      </c>
      <c r="AB523" s="297">
        <f t="shared" si="295"/>
        <v>0</v>
      </c>
      <c r="AC523" s="1261" t="str">
        <f>$AC$5</f>
        <v>Gr. Ave Dia :</v>
      </c>
      <c r="AD523" s="1262">
        <f>IF(SUMIF(V523:V529,"&gt;0")&gt;0,SUMPRODUCT(AA523:AA529,I523:I529)/SUMIF(AA523:AA529,"&gt;0",I523:I529),0)</f>
        <v>0</v>
      </c>
      <c r="AE523" s="1262">
        <f>IFERROR(LOOKUP($A523,TP!$A$6:$A$108,GSh!$AU$6:$AU$108),0)</f>
        <v>0</v>
      </c>
      <c r="AF523" s="1263">
        <f>IF(AND(AE523&gt;0,AD523&gt;0),(AD523/AE523-1)*100,0)</f>
        <v>0</v>
      </c>
      <c r="AG523" s="1264" t="str">
        <f>PROD!$AG$5</f>
        <v>Gr X H</v>
      </c>
      <c r="AH523" s="1265">
        <f>IF(PROD!O523&gt;0,IF($AG523="Gr X H",PROD!AD523/PROD!O523*100,IF($AG523="Conv Kg/Doc",PROD!AD523/PROD!O523*1.2,IF(PROD!$O525&gt;0,PROD!AD523/(PROD!O523*PROD!$O525)*100,0))),0)</f>
        <v>0</v>
      </c>
      <c r="AI523" s="1265">
        <f>IF(PROD!P523&gt;0,IF($AG523="Gr X H",PROD!AE523/PROD!P523*100,IF($AG523="Conv Kg/Doc",PROD!AE523/PROD!P523*1.2,IF(PROD!$P525&gt;0,PROD!AE523/(PROD!P523*PROD!$P525)*100,0))),0)</f>
        <v>0</v>
      </c>
      <c r="AJ523" s="1266">
        <f t="shared" si="302"/>
        <v>0</v>
      </c>
      <c r="AK523" s="2026"/>
      <c r="AL523" s="1284">
        <f t="shared" si="296"/>
        <v>0</v>
      </c>
      <c r="AM523" s="1285"/>
      <c r="AN523" s="1285"/>
      <c r="AO523" s="1285"/>
      <c r="AP523" s="1285"/>
      <c r="AQ523" s="1285"/>
      <c r="AR523" s="1285"/>
      <c r="AS523" s="1286"/>
      <c r="AT523" s="1287"/>
      <c r="AU523" s="1288"/>
      <c r="AV523" s="1289"/>
      <c r="AW523" s="1290"/>
      <c r="AX523" s="1291"/>
      <c r="AY523" s="1291"/>
      <c r="AZ523" s="1292"/>
      <c r="BA523" s="1293"/>
      <c r="BB523" s="1294"/>
      <c r="BC523" s="1295"/>
      <c r="BD523" s="1296">
        <f>BD522+PROD!L523-BA523</f>
        <v>0</v>
      </c>
      <c r="BE523" s="2132">
        <f>IF(SUM(AM523:AZ529)&gt;0,(SUM(AM523:AM529)*$AM$2+SUM(AN523:AN529)*$AN$2+SUM(AO523:AO529)*$AO$2+SUM(AP523:AP529)*$AP$2+SUM(AQ523:AQ529)*$AQ$2+SUM(AR523:AR529)*$AR$2+SUM(AS523:AS529)*$AS$2+SUM(AW523:AW529)*$AW$2+SUM(AX523:AX529)*$AX$2+SUM(AY523:AY529)*$AY$2+SUM(AZ523:AZ529)*$AZ$2+SUM(AT523:AT529)*$AT$2+SUM(AU523:AU529)*$AU$2+SUM(AV523:AV529)*$AV$2)/SUM(AM523:AZ529),0)</f>
        <v>0</v>
      </c>
      <c r="BF523" s="507" t="e">
        <f t="shared" si="297"/>
        <v>#VALUE!</v>
      </c>
      <c r="BG523" s="277">
        <f>IF(SUM(L523:L529)&gt;0,A523,IF(SUM(V523:V529)&gt;0,A523,BG516))</f>
        <v>0</v>
      </c>
      <c r="BH523" s="1018">
        <f t="shared" si="298"/>
        <v>0</v>
      </c>
    </row>
    <row r="524" spans="1:60" ht="15" customHeight="1" x14ac:dyDescent="0.3">
      <c r="A524" s="2033"/>
      <c r="B524" s="287" t="str">
        <f t="shared" si="299"/>
        <v/>
      </c>
      <c r="C524" s="288" t="str">
        <f t="shared" si="294"/>
        <v/>
      </c>
      <c r="D524" s="691"/>
      <c r="E524" s="692"/>
      <c r="F524" s="693"/>
      <c r="G524" s="694"/>
      <c r="H524" s="695"/>
      <c r="I524" s="289">
        <f>I523-SUM($D524:F524)</f>
        <v>0</v>
      </c>
      <c r="J524" s="1234" t="str">
        <f>$J$6</f>
        <v>% Sel Sem :</v>
      </c>
      <c r="K524" s="1231">
        <f>IF(PROD!$K$2&gt;0,SUM(E523:E529)/PROD!$K$2,0)</f>
        <v>0</v>
      </c>
      <c r="L524" s="1246"/>
      <c r="M524" s="291">
        <f t="shared" si="303"/>
        <v>0</v>
      </c>
      <c r="N524" s="292" t="str">
        <f>$N$6</f>
        <v xml:space="preserve">H. Ave Alojada : </v>
      </c>
      <c r="O524" s="293">
        <f>IF(AND(PROD!$K$2&gt;0,O523&gt;0),SUM(L$5:L529)/PROD!$K$2,0)</f>
        <v>0</v>
      </c>
      <c r="P524" s="293">
        <f>IFERROR(LOOKUP($A523,TP!$A$6:$A$108,GSh!$AJ$6:$AJ$108),0)</f>
        <v>0</v>
      </c>
      <c r="Q524" s="294">
        <f>IF(AND(P524&gt;0,O524&gt;0),O524-P524,0)</f>
        <v>0</v>
      </c>
      <c r="R524" s="699"/>
      <c r="S524" s="762"/>
      <c r="T524" s="765">
        <f t="shared" ref="T524:T587" si="305">T523</f>
        <v>0</v>
      </c>
      <c r="U524" s="700"/>
      <c r="V524" s="701"/>
      <c r="W524" s="701"/>
      <c r="X524" s="295">
        <f t="shared" si="300"/>
        <v>0</v>
      </c>
      <c r="Y524" s="296">
        <f>IF(AA524&gt;0,V524,AE523/IF(Iniciar!$C$25="B X 40 K",40,IF(Iniciar!$C$25="B X 50 K",50,1))*I524/1000)</f>
        <v>0</v>
      </c>
      <c r="Z524" s="296">
        <f t="shared" si="301"/>
        <v>0</v>
      </c>
      <c r="AA524" s="297">
        <f t="shared" si="304"/>
        <v>0</v>
      </c>
      <c r="AB524" s="297">
        <f t="shared" si="295"/>
        <v>0</v>
      </c>
      <c r="AC524" s="1267" t="str">
        <f>$AC$6</f>
        <v>Gr. Ave Sem :</v>
      </c>
      <c r="AD524" s="284">
        <f>AD523*7</f>
        <v>0</v>
      </c>
      <c r="AE524" s="284">
        <f>AE523*7</f>
        <v>0</v>
      </c>
      <c r="AF524" s="285">
        <f>IF(AND(AE524&gt;0,AD524&gt;0),(AD524/AE524-1)*100,0)</f>
        <v>0</v>
      </c>
      <c r="AG524" s="1199" t="str">
        <f>PROD!$AG$6</f>
        <v>Gr X H Acm</v>
      </c>
      <c r="AH524" s="298">
        <f>IF(SUM(PROD!L523:L529)&gt;0,IF(PROD!$AG$5="Gr X H",SUM(PROD!V$5:V529)*PROD!$A$1/SUM(PROD!L$5:L529),IF($AG523="Conv Kg/Doc",(SUM(PROD!V$5:V529)*PROD!$A$1/1000)/(SUM(PROD!L$5:L529)/12),IF(PROD!$O525&gt;0,SUM(PROD!V$5:V529)*PROD!$A$1/(SUM(PROD!L$5:L529)*LOOKUP(PROD!A523,TP!$A$6:$A$108,GSh!$BB$6:$BB$108)),0))),0)</f>
        <v>0</v>
      </c>
      <c r="AI524" s="298">
        <f>IF(PROD!P523&gt;0,IF($AG523="Gr X H",PROD!AE523/PROD!P523*100,IF($AG523="Conv Kg/Doc",PROD!AE523/PROD!P523*1.2,IF(PROD!$P524&gt;0,PROD!AE525/(PROD!P524*LOOKUP(PROD!$A523,TP!$A$6:$A$108,GSh!$BC$6:$BC$108)/1000),0))),0)</f>
        <v>0</v>
      </c>
      <c r="AJ524" s="328">
        <f t="shared" si="302"/>
        <v>0</v>
      </c>
      <c r="AK524" s="2027"/>
      <c r="AL524" s="1284">
        <f t="shared" si="296"/>
        <v>0</v>
      </c>
      <c r="AM524" s="1285"/>
      <c r="AN524" s="1285"/>
      <c r="AO524" s="1285"/>
      <c r="AP524" s="1285"/>
      <c r="AQ524" s="1285"/>
      <c r="AR524" s="1285"/>
      <c r="AS524" s="1286"/>
      <c r="AT524" s="1287"/>
      <c r="AU524" s="1288"/>
      <c r="AV524" s="1289"/>
      <c r="AW524" s="1290"/>
      <c r="AX524" s="1291"/>
      <c r="AY524" s="1291"/>
      <c r="AZ524" s="1292"/>
      <c r="BA524" s="1293"/>
      <c r="BB524" s="1294"/>
      <c r="BC524" s="1295"/>
      <c r="BD524" s="1296">
        <f>BD523+PROD!L524-BA524</f>
        <v>0</v>
      </c>
      <c r="BE524" s="2133"/>
      <c r="BF524" s="507" t="e">
        <f t="shared" si="297"/>
        <v>#VALUE!</v>
      </c>
      <c r="BG524" s="329"/>
      <c r="BH524" s="1018">
        <f t="shared" si="298"/>
        <v>0</v>
      </c>
    </row>
    <row r="525" spans="1:60" ht="15" customHeight="1" x14ac:dyDescent="0.3">
      <c r="A525" s="2033"/>
      <c r="B525" s="287" t="str">
        <f t="shared" si="299"/>
        <v/>
      </c>
      <c r="C525" s="288" t="str">
        <f t="shared" si="294"/>
        <v/>
      </c>
      <c r="D525" s="691"/>
      <c r="E525" s="692"/>
      <c r="F525" s="693"/>
      <c r="G525" s="694"/>
      <c r="H525" s="695"/>
      <c r="I525" s="289">
        <f>I524-SUM($D525:F525)</f>
        <v>0</v>
      </c>
      <c r="J525" s="1235" t="str">
        <f>$J$7</f>
        <v>% Mort/Sel Sem Tab :</v>
      </c>
      <c r="K525" s="1236">
        <f>K528-K521</f>
        <v>0</v>
      </c>
      <c r="L525" s="1246"/>
      <c r="M525" s="291">
        <f t="shared" si="303"/>
        <v>0</v>
      </c>
      <c r="N525" s="304" t="str">
        <f>$N$7</f>
        <v xml:space="preserve">Peso Huevo (Gr) : </v>
      </c>
      <c r="O525" s="305">
        <f>LOOKUP($A523,'Pr-Sem'!$A$6:$A$108,'Pr-Sem'!$Z$6:$Z$108)</f>
        <v>0</v>
      </c>
      <c r="P525" s="305">
        <f>IFERROR(LOOKUP($A523,TP!$A$6:$A$108,GSh!$AZ$6:$AZ$108),0)</f>
        <v>0</v>
      </c>
      <c r="Q525" s="306">
        <f>IF(AND(P525&gt;0,O525&gt;0),O525-P525,0)</f>
        <v>0</v>
      </c>
      <c r="R525" s="699"/>
      <c r="S525" s="762"/>
      <c r="T525" s="765">
        <f t="shared" si="305"/>
        <v>0</v>
      </c>
      <c r="U525" s="700"/>
      <c r="V525" s="701"/>
      <c r="W525" s="701"/>
      <c r="X525" s="295">
        <f t="shared" si="300"/>
        <v>0</v>
      </c>
      <c r="Y525" s="296">
        <f>IF(AA525&gt;0,V525,AE523/IF(Iniciar!$C$25="B X 40 K",40,IF(Iniciar!$C$25="B X 50 K",50,1))*I525/1000)</f>
        <v>0</v>
      </c>
      <c r="Z525" s="296">
        <f t="shared" si="301"/>
        <v>0</v>
      </c>
      <c r="AA525" s="297">
        <f t="shared" si="304"/>
        <v>0</v>
      </c>
      <c r="AB525" s="297">
        <f t="shared" si="295"/>
        <v>0</v>
      </c>
      <c r="AC525" s="1268" t="str">
        <f>$AC$7</f>
        <v>Kg Ave Acu :</v>
      </c>
      <c r="AD525" s="308">
        <f>IF(OR(SUM(L523:L529)&gt;0,SUM(V523:V529)&gt;0),AD524/1000+AD518,0)</f>
        <v>0</v>
      </c>
      <c r="AE525" s="309">
        <f>AE524/1000+AE518</f>
        <v>0</v>
      </c>
      <c r="AF525" s="310">
        <f>IF(AND(AE525&gt;0,AD525&gt;0),(AD525/AE525-1)*100,0)</f>
        <v>0</v>
      </c>
      <c r="AG525" s="311" t="str">
        <f>PROD!$AG$7</f>
        <v xml:space="preserve">Masa Sem H (Gr) : </v>
      </c>
      <c r="AH525" s="312">
        <f>PROD!O523/100*7*PROD!O525</f>
        <v>0</v>
      </c>
      <c r="AI525" s="312">
        <f>PROD!P523/100*7*PROD!P525</f>
        <v>0</v>
      </c>
      <c r="AJ525" s="313">
        <f t="shared" si="302"/>
        <v>0</v>
      </c>
      <c r="AK525" s="2027"/>
      <c r="AL525" s="1284">
        <f t="shared" si="296"/>
        <v>0</v>
      </c>
      <c r="AM525" s="1285"/>
      <c r="AN525" s="1285"/>
      <c r="AO525" s="1285"/>
      <c r="AP525" s="1285"/>
      <c r="AQ525" s="1285"/>
      <c r="AR525" s="1285"/>
      <c r="AS525" s="1286"/>
      <c r="AT525" s="1287"/>
      <c r="AU525" s="1288"/>
      <c r="AV525" s="1289"/>
      <c r="AW525" s="1290"/>
      <c r="AX525" s="1291"/>
      <c r="AY525" s="1291"/>
      <c r="AZ525" s="1292"/>
      <c r="BA525" s="1293"/>
      <c r="BB525" s="1294"/>
      <c r="BC525" s="1295"/>
      <c r="BD525" s="1296">
        <f>BD524+PROD!L525-BA525</f>
        <v>0</v>
      </c>
      <c r="BE525" s="2133"/>
      <c r="BF525" s="507" t="e">
        <f t="shared" si="297"/>
        <v>#VALUE!</v>
      </c>
      <c r="BG525" s="329"/>
      <c r="BH525" s="1018">
        <f t="shared" si="298"/>
        <v>0</v>
      </c>
    </row>
    <row r="526" spans="1:60" ht="15" customHeight="1" x14ac:dyDescent="0.3">
      <c r="A526" s="2033"/>
      <c r="B526" s="287" t="str">
        <f t="shared" si="299"/>
        <v/>
      </c>
      <c r="C526" s="288" t="str">
        <f t="shared" si="294"/>
        <v/>
      </c>
      <c r="D526" s="691"/>
      <c r="E526" s="692"/>
      <c r="F526" s="693"/>
      <c r="G526" s="694"/>
      <c r="H526" s="695"/>
      <c r="I526" s="289">
        <f>I525-SUM($D526:F526)</f>
        <v>0</v>
      </c>
      <c r="J526" s="1234" t="str">
        <f>$J$8</f>
        <v>% Mort Acm :</v>
      </c>
      <c r="K526" s="1231">
        <f>IF(PROD!$K$2&gt;0,SUM(D$5:D529)/PROD!$K$2,0)</f>
        <v>0</v>
      </c>
      <c r="L526" s="1246"/>
      <c r="M526" s="291">
        <f t="shared" si="303"/>
        <v>0</v>
      </c>
      <c r="N526" s="314" t="str">
        <f>N$8</f>
        <v xml:space="preserve">Peso Ave (Gr) : </v>
      </c>
      <c r="O526" s="315">
        <f>LOOKUP($A523,GSh!$BV$6:$BV$108,GSh!$BJ$6:$BJ$108)</f>
        <v>0</v>
      </c>
      <c r="P526" s="315">
        <f>IFERROR(LOOKUP($A523,TP!$A$6:$A$108,GSh!$BK$6:$BK$108),0)</f>
        <v>0</v>
      </c>
      <c r="Q526" s="316">
        <f>IF(AND(P526&gt;0,O526&gt;0),(O526/P526-1)*100,0)</f>
        <v>0</v>
      </c>
      <c r="R526" s="699"/>
      <c r="S526" s="762"/>
      <c r="T526" s="765">
        <f t="shared" si="305"/>
        <v>0</v>
      </c>
      <c r="U526" s="700"/>
      <c r="V526" s="701"/>
      <c r="W526" s="701"/>
      <c r="X526" s="295">
        <f t="shared" si="300"/>
        <v>0</v>
      </c>
      <c r="Y526" s="296">
        <f>IF(AA526&gt;0,V526,AE523/IF(Iniciar!$C$25="B X 40 K",40,IF(Iniciar!$C$25="B X 50 K",50,1))*I526/1000)</f>
        <v>0</v>
      </c>
      <c r="Z526" s="296">
        <f t="shared" si="301"/>
        <v>0</v>
      </c>
      <c r="AA526" s="297">
        <f t="shared" si="304"/>
        <v>0</v>
      </c>
      <c r="AB526" s="297">
        <f t="shared" si="295"/>
        <v>0</v>
      </c>
      <c r="AC526" s="541" t="str">
        <f>$AC$8</f>
        <v xml:space="preserve">Ton. Lote Acu : </v>
      </c>
      <c r="AD526" s="544">
        <f>SUM($V$5:$V529)*$A$1/1000000</f>
        <v>0</v>
      </c>
      <c r="AE526" s="543">
        <f>AE519+(AE523/1000000*7*(I523+I529)/2)</f>
        <v>0</v>
      </c>
      <c r="AF526" s="542">
        <f>IF(AND(AE526&gt;0,AD526&gt;0),(AD526/AE526-1)*100,0)</f>
        <v>0</v>
      </c>
      <c r="AG526" s="317" t="str">
        <f>PROD!$AG$8</f>
        <v xml:space="preserve">Masa Ac A. A (Kg) : </v>
      </c>
      <c r="AH526" s="318">
        <f>IF(PROD!$K$2&gt;0,SUM(PROD!L$5:L529)*LOOKUP(PROD!$A523,TP!$A$6:$A$108,GSh!$BB$6:$BB$108)/1000/PROD!$K$2,0)</f>
        <v>0</v>
      </c>
      <c r="AI526" s="318">
        <f>IFERROR(PROD!P524*LOOKUP(PROD!$A523,TP!$A$6:$A$108,GSh!$BC$6:$BC$108)/1000,0)</f>
        <v>0</v>
      </c>
      <c r="AJ526" s="330">
        <f t="shared" si="302"/>
        <v>0</v>
      </c>
      <c r="AK526" s="2027"/>
      <c r="AL526" s="1284">
        <f t="shared" si="296"/>
        <v>0</v>
      </c>
      <c r="AM526" s="1285"/>
      <c r="AN526" s="1285"/>
      <c r="AO526" s="1285"/>
      <c r="AP526" s="1285"/>
      <c r="AQ526" s="1285"/>
      <c r="AR526" s="1285"/>
      <c r="AS526" s="1286"/>
      <c r="AT526" s="1287"/>
      <c r="AU526" s="1288"/>
      <c r="AV526" s="1289"/>
      <c r="AW526" s="1290"/>
      <c r="AX526" s="1291"/>
      <c r="AY526" s="1291"/>
      <c r="AZ526" s="1292"/>
      <c r="BA526" s="1293"/>
      <c r="BB526" s="1294"/>
      <c r="BC526" s="1295"/>
      <c r="BD526" s="1296">
        <f>BD525+PROD!L526-BA526</f>
        <v>0</v>
      </c>
      <c r="BE526" s="2133"/>
      <c r="BF526" s="507" t="e">
        <f t="shared" si="297"/>
        <v>#VALUE!</v>
      </c>
      <c r="BG526" s="329"/>
      <c r="BH526" s="1018">
        <f t="shared" si="298"/>
        <v>0</v>
      </c>
    </row>
    <row r="527" spans="1:60" ht="15" customHeight="1" x14ac:dyDescent="0.3">
      <c r="A527" s="2033"/>
      <c r="B527" s="287" t="str">
        <f t="shared" si="299"/>
        <v/>
      </c>
      <c r="C527" s="288" t="str">
        <f t="shared" si="294"/>
        <v/>
      </c>
      <c r="D527" s="691"/>
      <c r="E527" s="692"/>
      <c r="F527" s="693"/>
      <c r="G527" s="694"/>
      <c r="H527" s="695"/>
      <c r="I527" s="289">
        <f>I526-SUM($D527:F527)</f>
        <v>0</v>
      </c>
      <c r="J527" s="1234" t="str">
        <f>$J$9</f>
        <v>% Sel Acm :</v>
      </c>
      <c r="K527" s="1231">
        <f>IF(PROD!$K$2&gt;0,SUM(E$5:E529)/PROD!$K$2,0)</f>
        <v>0</v>
      </c>
      <c r="L527" s="1246"/>
      <c r="M527" s="291">
        <f t="shared" si="303"/>
        <v>0</v>
      </c>
      <c r="N527" s="292" t="str">
        <f>$N$9</f>
        <v xml:space="preserve">Uniformidad (10% -) : </v>
      </c>
      <c r="O527" s="320">
        <f>LOOKUP($A523,'Pr-Sem'!$A$6:$A$108,'Pr-Sem'!$AH$6:$AH$108)</f>
        <v>0</v>
      </c>
      <c r="P527" s="320">
        <v>5</v>
      </c>
      <c r="Q527" s="321">
        <f>IF(AND(P527&gt;0,O527&gt;0),(1-O527/P527)*100,0)</f>
        <v>0</v>
      </c>
      <c r="R527" s="699"/>
      <c r="S527" s="762"/>
      <c r="T527" s="765">
        <f t="shared" si="305"/>
        <v>0</v>
      </c>
      <c r="U527" s="700"/>
      <c r="V527" s="701"/>
      <c r="W527" s="701"/>
      <c r="X527" s="295">
        <f t="shared" si="300"/>
        <v>0</v>
      </c>
      <c r="Y527" s="296">
        <f>IF(AA527&gt;0,V527,AE523/IF(Iniciar!$C$25="B X 40 K",40,IF(Iniciar!$C$25="B X 50 K",50,1))*I527/1000)</f>
        <v>0</v>
      </c>
      <c r="Z527" s="296">
        <f t="shared" si="301"/>
        <v>0</v>
      </c>
      <c r="AA527" s="297">
        <f t="shared" si="304"/>
        <v>0</v>
      </c>
      <c r="AB527" s="297">
        <f t="shared" si="295"/>
        <v>0</v>
      </c>
      <c r="AC527" s="2035" t="str">
        <f>$AC$9</f>
        <v xml:space="preserve">Total Litros Sem: </v>
      </c>
      <c r="AD527" s="2036"/>
      <c r="AE527" s="2050">
        <f>SUM(R523:R529)</f>
        <v>0</v>
      </c>
      <c r="AF527" s="2051"/>
      <c r="AG527" s="554" t="str">
        <f>$AG$9</f>
        <v xml:space="preserve">Indicador Eficiencia : </v>
      </c>
      <c r="AH527" s="555">
        <f>IF(AND(AE527&gt;0,O524&gt;0,O525&gt;0,SUM(L523:L529)&gt;0),(PROD!AH526/O524)*K529*100/(AE527/(SUM(L523:L529)*O525/1000)),0)</f>
        <v>0</v>
      </c>
      <c r="AI527" s="555">
        <f>IF(AND(P524&gt;0,PROD!AI525&gt;0),(PROD!AI526/P524)*(1-K528)*100/(AE524/PROD!AI525),0)</f>
        <v>0</v>
      </c>
      <c r="AJ527" s="331">
        <f t="shared" si="302"/>
        <v>0</v>
      </c>
      <c r="AK527" s="2027"/>
      <c r="AL527" s="1284">
        <f t="shared" si="296"/>
        <v>0</v>
      </c>
      <c r="AM527" s="1285"/>
      <c r="AN527" s="1285"/>
      <c r="AO527" s="1285"/>
      <c r="AP527" s="1285"/>
      <c r="AQ527" s="1285"/>
      <c r="AR527" s="1285"/>
      <c r="AS527" s="1286"/>
      <c r="AT527" s="1287"/>
      <c r="AU527" s="1288"/>
      <c r="AV527" s="1289"/>
      <c r="AW527" s="1290"/>
      <c r="AX527" s="1291"/>
      <c r="AY527" s="1291"/>
      <c r="AZ527" s="1292"/>
      <c r="BA527" s="1293"/>
      <c r="BB527" s="1294"/>
      <c r="BC527" s="1295"/>
      <c r="BD527" s="1296">
        <f>BD526+PROD!L527-BA527</f>
        <v>0</v>
      </c>
      <c r="BE527" s="2133"/>
      <c r="BF527" s="507" t="e">
        <f t="shared" si="297"/>
        <v>#VALUE!</v>
      </c>
      <c r="BG527" s="329"/>
      <c r="BH527" s="1018">
        <f t="shared" si="298"/>
        <v>0</v>
      </c>
    </row>
    <row r="528" spans="1:60" ht="15" customHeight="1" x14ac:dyDescent="0.3">
      <c r="A528" s="2033"/>
      <c r="B528" s="287" t="str">
        <f t="shared" si="299"/>
        <v/>
      </c>
      <c r="C528" s="288" t="str">
        <f t="shared" si="294"/>
        <v/>
      </c>
      <c r="D528" s="691"/>
      <c r="E528" s="692"/>
      <c r="F528" s="693"/>
      <c r="G528" s="694"/>
      <c r="H528" s="695"/>
      <c r="I528" s="289">
        <f>I527-SUM($D528:F528)</f>
        <v>0</v>
      </c>
      <c r="J528" s="1237" t="str">
        <f>$J$10</f>
        <v>% Mort/Sel Acm Tab :</v>
      </c>
      <c r="K528" s="1238">
        <f>IFERROR(LOOKUP($A523,TP!$A$6:$A$108,GSh!$AR$6:$AR$108)/100,0)</f>
        <v>0</v>
      </c>
      <c r="L528" s="1246"/>
      <c r="M528" s="291">
        <f t="shared" si="303"/>
        <v>0</v>
      </c>
      <c r="N528" s="292" t="str">
        <f>$N$10</f>
        <v xml:space="preserve">Uniformidad (C. Lote) : </v>
      </c>
      <c r="O528" s="320">
        <f>LOOKUP($A523,'Pr-Sem'!$A$6:$A$108,'Pr-Sem'!$AG$6:$AG$108)</f>
        <v>0</v>
      </c>
      <c r="P528" s="320">
        <v>90</v>
      </c>
      <c r="Q528" s="321">
        <f>IF(AND(P528&gt;0,O528&gt;0),(O528/P528-1)*100,0)</f>
        <v>0</v>
      </c>
      <c r="R528" s="699"/>
      <c r="S528" s="762"/>
      <c r="T528" s="765">
        <f t="shared" si="305"/>
        <v>0</v>
      </c>
      <c r="U528" s="700"/>
      <c r="V528" s="701"/>
      <c r="W528" s="701"/>
      <c r="X528" s="295">
        <f t="shared" si="300"/>
        <v>0</v>
      </c>
      <c r="Y528" s="296">
        <f>IF(AA528&gt;0,V528,AE523/IF(Iniciar!$C$25="B X 40 K",40,IF(Iniciar!$C$25="B X 50 K",50,1))*I528/1000)</f>
        <v>0</v>
      </c>
      <c r="Z528" s="296">
        <f t="shared" si="301"/>
        <v>0</v>
      </c>
      <c r="AA528" s="297">
        <f t="shared" si="304"/>
        <v>0</v>
      </c>
      <c r="AB528" s="297">
        <f t="shared" si="295"/>
        <v>0</v>
      </c>
      <c r="AC528" s="2037" t="str">
        <f>$AC$10</f>
        <v xml:space="preserve">Cons ml /ave día: </v>
      </c>
      <c r="AD528" s="2038"/>
      <c r="AE528" s="2056">
        <f>IFERROR(SUMPRODUCT(AB523:AB529,I523:I529)/SUM(I523:I529),0)</f>
        <v>0</v>
      </c>
      <c r="AF528" s="2057"/>
      <c r="AG528" s="311" t="str">
        <f>CONCATENATE("Costo ",Iniciar!$C$25," : ")</f>
        <v xml:space="preserve">Costo Kilos : </v>
      </c>
      <c r="AH528" s="2043">
        <f>IFERROR(SUMPRODUCT(T523:T529,V523:V529)/SUMIF(T523:T529,"&gt;0",V523:V529),0)</f>
        <v>0</v>
      </c>
      <c r="AI528" s="2043"/>
      <c r="AJ528" s="313"/>
      <c r="AK528" s="2027"/>
      <c r="AL528" s="1284">
        <f t="shared" si="296"/>
        <v>0</v>
      </c>
      <c r="AM528" s="1285"/>
      <c r="AN528" s="1285"/>
      <c r="AO528" s="1285"/>
      <c r="AP528" s="1285"/>
      <c r="AQ528" s="1285"/>
      <c r="AR528" s="1285"/>
      <c r="AS528" s="1286"/>
      <c r="AT528" s="1287"/>
      <c r="AU528" s="1288"/>
      <c r="AV528" s="1289"/>
      <c r="AW528" s="1290"/>
      <c r="AX528" s="1291"/>
      <c r="AY528" s="1291"/>
      <c r="AZ528" s="1292"/>
      <c r="BA528" s="1293"/>
      <c r="BB528" s="1294"/>
      <c r="BC528" s="1295"/>
      <c r="BD528" s="1296">
        <f>BD527+PROD!L528-BA528</f>
        <v>0</v>
      </c>
      <c r="BE528" s="2133"/>
      <c r="BF528" s="507" t="e">
        <f t="shared" si="297"/>
        <v>#VALUE!</v>
      </c>
      <c r="BG528" s="329"/>
      <c r="BH528" s="1018">
        <f t="shared" si="298"/>
        <v>0</v>
      </c>
    </row>
    <row r="529" spans="1:60" ht="15" customHeight="1" x14ac:dyDescent="0.3">
      <c r="A529" s="2034"/>
      <c r="B529" s="287" t="str">
        <f t="shared" si="299"/>
        <v/>
      </c>
      <c r="C529" s="288" t="str">
        <f t="shared" si="294"/>
        <v/>
      </c>
      <c r="D529" s="691"/>
      <c r="E529" s="692"/>
      <c r="F529" s="693"/>
      <c r="G529" s="694"/>
      <c r="H529" s="695"/>
      <c r="I529" s="289">
        <f>I528-SUM($D529:F529)</f>
        <v>0</v>
      </c>
      <c r="J529" s="1239" t="str">
        <f>$J$11</f>
        <v>% Viabilidad :</v>
      </c>
      <c r="K529" s="1240">
        <f>IF(OR(SUM(L523:L529)&gt;0,SUM(V523:V529)&gt;0),1-(K526+K527),0)</f>
        <v>0</v>
      </c>
      <c r="L529" s="1247"/>
      <c r="M529" s="1248">
        <f>IF(I529&gt;0,(L529/IF(SUM(L523:L528)&gt;0,1,7))/I529,0)</f>
        <v>0</v>
      </c>
      <c r="N529" s="1249" t="str">
        <f>$N$11</f>
        <v xml:space="preserve">Uniformidad (10% +) : </v>
      </c>
      <c r="O529" s="1250">
        <f>IF(O527&gt;0,IF(O528&gt;0,100-SUM(O527:O528),0),0)</f>
        <v>0</v>
      </c>
      <c r="P529" s="1251">
        <f>100-SUM(P527:P528)</f>
        <v>5</v>
      </c>
      <c r="Q529" s="1252">
        <f>IF(AND(P529&gt;0,O529&gt;0),(O529/P529-1)*100,0)</f>
        <v>0</v>
      </c>
      <c r="R529" s="699"/>
      <c r="S529" s="762"/>
      <c r="T529" s="765">
        <f t="shared" si="305"/>
        <v>0</v>
      </c>
      <c r="U529" s="700"/>
      <c r="V529" s="701"/>
      <c r="W529" s="701"/>
      <c r="X529" s="295">
        <f t="shared" si="300"/>
        <v>0</v>
      </c>
      <c r="Y529" s="296">
        <f>IF(AA529&gt;0,V529,AE523/IF(Iniciar!$C$25="B X 40 K",40,IF(Iniciar!$C$25="B X 50 K",50,1))*I529/1000)</f>
        <v>0</v>
      </c>
      <c r="Z529" s="296">
        <f t="shared" si="301"/>
        <v>0</v>
      </c>
      <c r="AA529" s="297">
        <f>IF(I529&gt;0,(V529/IF(SUM(V523:V528)&gt;0,1,7))*$A$1/I529,0)</f>
        <v>0</v>
      </c>
      <c r="AB529" s="297">
        <f t="shared" si="295"/>
        <v>0</v>
      </c>
      <c r="AC529" s="2039" t="str">
        <f>$AC$11</f>
        <v xml:space="preserve">Relación Agua /Alimto: </v>
      </c>
      <c r="AD529" s="2040"/>
      <c r="AE529" s="2058">
        <f>IFERROR(AE528/AD523,0)</f>
        <v>0</v>
      </c>
      <c r="AF529" s="2059"/>
      <c r="AG529" s="1269" t="s">
        <v>237</v>
      </c>
      <c r="AH529" s="1270">
        <f>IF(SUM(L523:L529)&gt;0,AH528*SUM(V523:V529)/SUM(L523:L529),0)</f>
        <v>0</v>
      </c>
      <c r="AI529" s="1270">
        <f>IF(AND($A$1&gt;0,P523&gt;0),AH528/$A$1*(AE523/P523)*100,0)</f>
        <v>0</v>
      </c>
      <c r="AJ529" s="1271">
        <f t="shared" ref="AJ529:AJ534" si="306">IF(AND(AI529&gt;0,AH529&gt;0),(AH529/AI529-1)*100,0)</f>
        <v>0</v>
      </c>
      <c r="AK529" s="2028"/>
      <c r="AL529" s="1284">
        <f t="shared" si="296"/>
        <v>0</v>
      </c>
      <c r="AM529" s="1285"/>
      <c r="AN529" s="1285"/>
      <c r="AO529" s="1285"/>
      <c r="AP529" s="1285"/>
      <c r="AQ529" s="1285"/>
      <c r="AR529" s="1285"/>
      <c r="AS529" s="1286"/>
      <c r="AT529" s="1287"/>
      <c r="AU529" s="1288"/>
      <c r="AV529" s="1289"/>
      <c r="AW529" s="1290"/>
      <c r="AX529" s="1291"/>
      <c r="AY529" s="1291"/>
      <c r="AZ529" s="1292"/>
      <c r="BA529" s="1293"/>
      <c r="BB529" s="1294"/>
      <c r="BC529" s="1295"/>
      <c r="BD529" s="1296">
        <f>BD528+PROD!L529-BA529</f>
        <v>0</v>
      </c>
      <c r="BE529" s="2134"/>
      <c r="BF529" s="507" t="e">
        <f t="shared" si="297"/>
        <v>#VALUE!</v>
      </c>
      <c r="BG529" s="329"/>
      <c r="BH529" s="1018">
        <f t="shared" si="298"/>
        <v>0</v>
      </c>
    </row>
    <row r="530" spans="1:60" ht="15" customHeight="1" x14ac:dyDescent="0.3">
      <c r="A530" s="2032">
        <f>A523+1</f>
        <v>93</v>
      </c>
      <c r="B530" s="287" t="str">
        <f t="shared" si="299"/>
        <v/>
      </c>
      <c r="C530" s="288" t="str">
        <f t="shared" si="294"/>
        <v/>
      </c>
      <c r="D530" s="691"/>
      <c r="E530" s="692"/>
      <c r="F530" s="693"/>
      <c r="G530" s="694"/>
      <c r="H530" s="695"/>
      <c r="I530" s="289">
        <f>I529-SUM($D530:F530)</f>
        <v>0</v>
      </c>
      <c r="J530" s="1232" t="str">
        <f>$J$5</f>
        <v>% Mort Sem :</v>
      </c>
      <c r="K530" s="1233">
        <f>IF(PROD!$K$2&gt;0,SUM(D530:D536)/PROD!$K$2,0)</f>
        <v>0</v>
      </c>
      <c r="L530" s="1241"/>
      <c r="M530" s="1242">
        <f t="shared" ref="M530:M535" si="307">IF(I530&gt;0,L530/I530,0)</f>
        <v>0</v>
      </c>
      <c r="N530" s="1243" t="str">
        <f>$N$5</f>
        <v xml:space="preserve">% Pdn prom semana : </v>
      </c>
      <c r="O530" s="1244">
        <f>IF(SUM(L530:L535)&gt;0,100*SUMPRODUCT(M530:M536,I530:I536)/SUMIF(L530:L536,"&gt;0",I530:I536),IF(L536&gt;0,100*L536/7/I536,0))</f>
        <v>0</v>
      </c>
      <c r="P530" s="1244">
        <f>IFERROR(LOOKUP($A530,TP!$A$6:$A$108,GSh!$AE$6:$AE$108),0)</f>
        <v>0</v>
      </c>
      <c r="Q530" s="1245">
        <f>IF(AND(P530&gt;0,O530&gt;0),O530-P530,0)</f>
        <v>0</v>
      </c>
      <c r="R530" s="699"/>
      <c r="S530" s="762"/>
      <c r="T530" s="765">
        <f t="shared" si="305"/>
        <v>0</v>
      </c>
      <c r="U530" s="700"/>
      <c r="V530" s="701"/>
      <c r="W530" s="701"/>
      <c r="X530" s="295">
        <f t="shared" si="300"/>
        <v>0</v>
      </c>
      <c r="Y530" s="296">
        <f>IF(AA530&gt;0,V530,AE530/IF(Iniciar!$C$25="B X 40 K",40,IF(Iniciar!$C$25="B X 50 K",50,1))*I530/1000)</f>
        <v>0</v>
      </c>
      <c r="Z530" s="296">
        <f t="shared" si="301"/>
        <v>0</v>
      </c>
      <c r="AA530" s="297">
        <f t="shared" ref="AA530:AA535" si="308">IF(I530&gt;0,V530*$A$1/I530,0)</f>
        <v>0</v>
      </c>
      <c r="AB530" s="297">
        <f t="shared" si="295"/>
        <v>0</v>
      </c>
      <c r="AC530" s="1261" t="str">
        <f>$AC$5</f>
        <v>Gr. Ave Dia :</v>
      </c>
      <c r="AD530" s="1262">
        <f>IF(SUMIF(V530:V536,"&gt;0")&gt;0,SUMPRODUCT(AA530:AA536,I530:I536)/SUMIF(AA530:AA536,"&gt;0",I530:I536),0)</f>
        <v>0</v>
      </c>
      <c r="AE530" s="1262">
        <f>IFERROR(LOOKUP($A530,TP!$A$6:$A$108,GSh!$AU$6:$AU$108),0)</f>
        <v>0</v>
      </c>
      <c r="AF530" s="1263">
        <f>IF(AND(AE530&gt;0,AD530&gt;0),(AD530/AE530-1)*100,0)</f>
        <v>0</v>
      </c>
      <c r="AG530" s="1264" t="str">
        <f>PROD!$AG$5</f>
        <v>Gr X H</v>
      </c>
      <c r="AH530" s="1265">
        <f>IF(PROD!O530&gt;0,IF($AG530="Gr X H",PROD!AD530/PROD!O530*100,IF($AG530="Conv Kg/Doc",PROD!AD530/PROD!O530*1.2,IF(PROD!$O532&gt;0,PROD!AD530/(PROD!O530*PROD!$O532)*100,0))),0)</f>
        <v>0</v>
      </c>
      <c r="AI530" s="1265">
        <f>IF(PROD!P530&gt;0,IF($AG530="Gr X H",PROD!AE530/PROD!P530*100,IF($AG530="Conv Kg/Doc",PROD!AE530/PROD!P530*1.2,IF(PROD!$P532&gt;0,PROD!AE530/(PROD!P530*PROD!$P532)*100,0))),0)</f>
        <v>0</v>
      </c>
      <c r="AJ530" s="1266">
        <f t="shared" si="306"/>
        <v>0</v>
      </c>
      <c r="AK530" s="2026"/>
      <c r="AL530" s="1284">
        <f t="shared" si="296"/>
        <v>0</v>
      </c>
      <c r="AM530" s="1285"/>
      <c r="AN530" s="1285"/>
      <c r="AO530" s="1285"/>
      <c r="AP530" s="1285"/>
      <c r="AQ530" s="1285"/>
      <c r="AR530" s="1285"/>
      <c r="AS530" s="1286"/>
      <c r="AT530" s="1287"/>
      <c r="AU530" s="1288"/>
      <c r="AV530" s="1289"/>
      <c r="AW530" s="1290"/>
      <c r="AX530" s="1291"/>
      <c r="AY530" s="1291"/>
      <c r="AZ530" s="1292"/>
      <c r="BA530" s="1293"/>
      <c r="BB530" s="1294"/>
      <c r="BC530" s="1295"/>
      <c r="BD530" s="1296">
        <f>BD529+PROD!L530-BA530</f>
        <v>0</v>
      </c>
      <c r="BE530" s="2132">
        <f>IF(SUM(AM530:AZ536)&gt;0,(SUM(AM530:AM536)*$AM$2+SUM(AN530:AN536)*$AN$2+SUM(AO530:AO536)*$AO$2+SUM(AP530:AP536)*$AP$2+SUM(AQ530:AQ536)*$AQ$2+SUM(AR530:AR536)*$AR$2+SUM(AS530:AS536)*$AS$2+SUM(AW530:AW536)*$AW$2+SUM(AX530:AX536)*$AX$2+SUM(AY530:AY536)*$AY$2+SUM(AZ530:AZ536)*$AZ$2+SUM(AT530:AT536)*$AT$2+SUM(AU530:AU536)*$AU$2+SUM(AV530:AV536)*$AV$2)/SUM(AM530:AZ536),0)</f>
        <v>0</v>
      </c>
      <c r="BF530" s="507" t="e">
        <f t="shared" si="297"/>
        <v>#VALUE!</v>
      </c>
      <c r="BG530" s="277">
        <f>IF(SUM(L530:L536)&gt;0,A530,IF(SUM(V530:V536)&gt;0,A530,BG523))</f>
        <v>0</v>
      </c>
      <c r="BH530" s="1018">
        <f t="shared" si="298"/>
        <v>0</v>
      </c>
    </row>
    <row r="531" spans="1:60" ht="15" customHeight="1" x14ac:dyDescent="0.3">
      <c r="A531" s="2033"/>
      <c r="B531" s="287" t="str">
        <f t="shared" si="299"/>
        <v/>
      </c>
      <c r="C531" s="288" t="str">
        <f t="shared" si="294"/>
        <v/>
      </c>
      <c r="D531" s="691"/>
      <c r="E531" s="692"/>
      <c r="F531" s="693"/>
      <c r="G531" s="694"/>
      <c r="H531" s="695"/>
      <c r="I531" s="289">
        <f>I530-SUM($D531:F531)</f>
        <v>0</v>
      </c>
      <c r="J531" s="1234" t="str">
        <f>$J$6</f>
        <v>% Sel Sem :</v>
      </c>
      <c r="K531" s="1231">
        <f>IF(PROD!$K$2&gt;0,SUM(E530:E536)/PROD!$K$2,0)</f>
        <v>0</v>
      </c>
      <c r="L531" s="1246"/>
      <c r="M531" s="291">
        <f t="shared" si="307"/>
        <v>0</v>
      </c>
      <c r="N531" s="292" t="str">
        <f>$N$6</f>
        <v xml:space="preserve">H. Ave Alojada : </v>
      </c>
      <c r="O531" s="293">
        <f>IF(AND(PROD!$K$2&gt;0,O530&gt;0),SUM(L$5:L536)/PROD!$K$2,0)</f>
        <v>0</v>
      </c>
      <c r="P531" s="293">
        <f>IFERROR(LOOKUP($A530,TP!$A$6:$A$108,GSh!$AJ$6:$AJ$108),0)</f>
        <v>0</v>
      </c>
      <c r="Q531" s="294">
        <f>IF(AND(P531&gt;0,O531&gt;0),O531-P531,0)</f>
        <v>0</v>
      </c>
      <c r="R531" s="699"/>
      <c r="S531" s="762"/>
      <c r="T531" s="765">
        <f t="shared" si="305"/>
        <v>0</v>
      </c>
      <c r="U531" s="700"/>
      <c r="V531" s="701"/>
      <c r="W531" s="701"/>
      <c r="X531" s="295">
        <f t="shared" si="300"/>
        <v>0</v>
      </c>
      <c r="Y531" s="296">
        <f>IF(AA531&gt;0,V531,AE530/IF(Iniciar!$C$25="B X 40 K",40,IF(Iniciar!$C$25="B X 50 K",50,1))*I531/1000)</f>
        <v>0</v>
      </c>
      <c r="Z531" s="296">
        <f t="shared" si="301"/>
        <v>0</v>
      </c>
      <c r="AA531" s="297">
        <f t="shared" si="308"/>
        <v>0</v>
      </c>
      <c r="AB531" s="297">
        <f t="shared" si="295"/>
        <v>0</v>
      </c>
      <c r="AC531" s="1267" t="str">
        <f>$AC$6</f>
        <v>Gr. Ave Sem :</v>
      </c>
      <c r="AD531" s="284">
        <f>AD530*7</f>
        <v>0</v>
      </c>
      <c r="AE531" s="284">
        <f>AE530*7</f>
        <v>0</v>
      </c>
      <c r="AF531" s="285">
        <f>IF(AND(AE531&gt;0,AD531&gt;0),(AD531/AE531-1)*100,0)</f>
        <v>0</v>
      </c>
      <c r="AG531" s="1199" t="str">
        <f>PROD!$AG$6</f>
        <v>Gr X H Acm</v>
      </c>
      <c r="AH531" s="298">
        <f>IF(SUM(PROD!L530:L536)&gt;0,IF(PROD!$AG$5="Gr X H",SUM(PROD!V$5:V536)*PROD!$A$1/SUM(PROD!L$5:L536),IF($AG530="Conv Kg/Doc",(SUM(PROD!V$5:V536)*PROD!$A$1/1000)/(SUM(PROD!L$5:L536)/12),IF(PROD!$O532&gt;0,SUM(PROD!V$5:V536)*PROD!$A$1/(SUM(PROD!L$5:L536)*LOOKUP(PROD!A530,TP!$A$6:$A$108,GSh!$BB$6:$BB$108)),0))),0)</f>
        <v>0</v>
      </c>
      <c r="AI531" s="298">
        <f>IF(PROD!P530&gt;0,IF($AG530="Gr X H",PROD!AE530/PROD!P530*100,IF($AG530="Conv Kg/Doc",PROD!AE530/PROD!P530*1.2,IF(PROD!$P531&gt;0,PROD!AE532/(PROD!P531*LOOKUP(PROD!$A530,TP!$A$6:$A$108,GSh!$BC$6:$BC$108)/1000),0))),0)</f>
        <v>0</v>
      </c>
      <c r="AJ531" s="328">
        <f t="shared" si="306"/>
        <v>0</v>
      </c>
      <c r="AK531" s="2027"/>
      <c r="AL531" s="1284">
        <f t="shared" si="296"/>
        <v>0</v>
      </c>
      <c r="AM531" s="1285"/>
      <c r="AN531" s="1285"/>
      <c r="AO531" s="1285"/>
      <c r="AP531" s="1285"/>
      <c r="AQ531" s="1285"/>
      <c r="AR531" s="1285"/>
      <c r="AS531" s="1286"/>
      <c r="AT531" s="1287"/>
      <c r="AU531" s="1288"/>
      <c r="AV531" s="1289"/>
      <c r="AW531" s="1290"/>
      <c r="AX531" s="1291"/>
      <c r="AY531" s="1291"/>
      <c r="AZ531" s="1292"/>
      <c r="BA531" s="1293"/>
      <c r="BB531" s="1294"/>
      <c r="BC531" s="1295"/>
      <c r="BD531" s="1296">
        <f>BD530+PROD!L531-BA531</f>
        <v>0</v>
      </c>
      <c r="BE531" s="2133"/>
      <c r="BF531" s="507" t="e">
        <f t="shared" si="297"/>
        <v>#VALUE!</v>
      </c>
      <c r="BG531" s="329"/>
      <c r="BH531" s="1018">
        <f t="shared" si="298"/>
        <v>0</v>
      </c>
    </row>
    <row r="532" spans="1:60" ht="15" customHeight="1" x14ac:dyDescent="0.3">
      <c r="A532" s="2033"/>
      <c r="B532" s="287" t="str">
        <f t="shared" si="299"/>
        <v/>
      </c>
      <c r="C532" s="288" t="str">
        <f t="shared" si="294"/>
        <v/>
      </c>
      <c r="D532" s="691"/>
      <c r="E532" s="692"/>
      <c r="F532" s="693"/>
      <c r="G532" s="694"/>
      <c r="H532" s="695"/>
      <c r="I532" s="289">
        <f>I531-SUM($D532:F532)</f>
        <v>0</v>
      </c>
      <c r="J532" s="1235" t="str">
        <f>$J$7</f>
        <v>% Mort/Sel Sem Tab :</v>
      </c>
      <c r="K532" s="1236">
        <f>K535-K528</f>
        <v>0</v>
      </c>
      <c r="L532" s="1246"/>
      <c r="M532" s="291">
        <f t="shared" si="307"/>
        <v>0</v>
      </c>
      <c r="N532" s="304" t="str">
        <f>$N$7</f>
        <v xml:space="preserve">Peso Huevo (Gr) : </v>
      </c>
      <c r="O532" s="305">
        <f>LOOKUP($A530,'Pr-Sem'!$A$6:$A$108,'Pr-Sem'!$Z$6:$Z$108)</f>
        <v>0</v>
      </c>
      <c r="P532" s="305">
        <f>IFERROR(LOOKUP($A530,TP!$A$6:$A$108,GSh!$AZ$6:$AZ$108),0)</f>
        <v>0</v>
      </c>
      <c r="Q532" s="306">
        <f>IF(AND(P532&gt;0,O532&gt;0),O532-P532,0)</f>
        <v>0</v>
      </c>
      <c r="R532" s="699"/>
      <c r="S532" s="762"/>
      <c r="T532" s="765">
        <f t="shared" si="305"/>
        <v>0</v>
      </c>
      <c r="U532" s="700"/>
      <c r="V532" s="701"/>
      <c r="W532" s="701"/>
      <c r="X532" s="295">
        <f t="shared" si="300"/>
        <v>0</v>
      </c>
      <c r="Y532" s="296">
        <f>IF(AA532&gt;0,V532,AE530/IF(Iniciar!$C$25="B X 40 K",40,IF(Iniciar!$C$25="B X 50 K",50,1))*I532/1000)</f>
        <v>0</v>
      </c>
      <c r="Z532" s="296">
        <f t="shared" si="301"/>
        <v>0</v>
      </c>
      <c r="AA532" s="297">
        <f t="shared" si="308"/>
        <v>0</v>
      </c>
      <c r="AB532" s="297">
        <f t="shared" si="295"/>
        <v>0</v>
      </c>
      <c r="AC532" s="1268" t="str">
        <f>$AC$7</f>
        <v>Kg Ave Acu :</v>
      </c>
      <c r="AD532" s="308">
        <f>IF(OR(SUM(L530:L536)&gt;0,SUM(V530:V536)&gt;0),AD531/1000+AD525,0)</f>
        <v>0</v>
      </c>
      <c r="AE532" s="309">
        <f>AE531/1000+AE525</f>
        <v>0</v>
      </c>
      <c r="AF532" s="310">
        <f>IF(AND(AE532&gt;0,AD532&gt;0),(AD532/AE532-1)*100,0)</f>
        <v>0</v>
      </c>
      <c r="AG532" s="311" t="str">
        <f>PROD!$AG$7</f>
        <v xml:space="preserve">Masa Sem H (Gr) : </v>
      </c>
      <c r="AH532" s="312">
        <f>PROD!O530/100*7*PROD!O532</f>
        <v>0</v>
      </c>
      <c r="AI532" s="312">
        <f>PROD!P530/100*7*PROD!P532</f>
        <v>0</v>
      </c>
      <c r="AJ532" s="313">
        <f t="shared" si="306"/>
        <v>0</v>
      </c>
      <c r="AK532" s="2027"/>
      <c r="AL532" s="1284">
        <f t="shared" si="296"/>
        <v>0</v>
      </c>
      <c r="AM532" s="1285"/>
      <c r="AN532" s="1285"/>
      <c r="AO532" s="1285"/>
      <c r="AP532" s="1285"/>
      <c r="AQ532" s="1285"/>
      <c r="AR532" s="1285"/>
      <c r="AS532" s="1286"/>
      <c r="AT532" s="1287"/>
      <c r="AU532" s="1288"/>
      <c r="AV532" s="1289"/>
      <c r="AW532" s="1290"/>
      <c r="AX532" s="1291"/>
      <c r="AY532" s="1291"/>
      <c r="AZ532" s="1292"/>
      <c r="BA532" s="1293"/>
      <c r="BB532" s="1294"/>
      <c r="BC532" s="1295"/>
      <c r="BD532" s="1296">
        <f>BD531+PROD!L532-BA532</f>
        <v>0</v>
      </c>
      <c r="BE532" s="2133"/>
      <c r="BF532" s="507" t="e">
        <f t="shared" si="297"/>
        <v>#VALUE!</v>
      </c>
      <c r="BG532" s="329"/>
      <c r="BH532" s="1018">
        <f t="shared" si="298"/>
        <v>0</v>
      </c>
    </row>
    <row r="533" spans="1:60" ht="15" customHeight="1" x14ac:dyDescent="0.3">
      <c r="A533" s="2033"/>
      <c r="B533" s="287" t="str">
        <f t="shared" si="299"/>
        <v/>
      </c>
      <c r="C533" s="288" t="str">
        <f t="shared" si="294"/>
        <v/>
      </c>
      <c r="D533" s="691"/>
      <c r="E533" s="692"/>
      <c r="F533" s="693"/>
      <c r="G533" s="694"/>
      <c r="H533" s="695"/>
      <c r="I533" s="289">
        <f>I532-SUM($D533:F533)</f>
        <v>0</v>
      </c>
      <c r="J533" s="1234" t="str">
        <f>$J$8</f>
        <v>% Mort Acm :</v>
      </c>
      <c r="K533" s="1231">
        <f>IF(PROD!$K$2&gt;0,SUM(D$5:D536)/PROD!$K$2,0)</f>
        <v>0</v>
      </c>
      <c r="L533" s="1246"/>
      <c r="M533" s="291">
        <f t="shared" si="307"/>
        <v>0</v>
      </c>
      <c r="N533" s="314" t="str">
        <f>N$8</f>
        <v xml:space="preserve">Peso Ave (Gr) : </v>
      </c>
      <c r="O533" s="315">
        <f>LOOKUP($A530,GSh!$BV$6:$BV$108,GSh!$BJ$6:$BJ$108)</f>
        <v>0</v>
      </c>
      <c r="P533" s="315">
        <f>IFERROR(LOOKUP($A530,TP!$A$6:$A$108,GSh!$BK$6:$BK$108),0)</f>
        <v>0</v>
      </c>
      <c r="Q533" s="316">
        <f>IF(AND(P533&gt;0,O533&gt;0),(O533/P533-1)*100,0)</f>
        <v>0</v>
      </c>
      <c r="R533" s="699"/>
      <c r="S533" s="762"/>
      <c r="T533" s="765">
        <f t="shared" si="305"/>
        <v>0</v>
      </c>
      <c r="U533" s="700"/>
      <c r="V533" s="701"/>
      <c r="W533" s="701"/>
      <c r="X533" s="295">
        <f t="shared" si="300"/>
        <v>0</v>
      </c>
      <c r="Y533" s="296">
        <f>IF(AA533&gt;0,V533,AE530/IF(Iniciar!$C$25="B X 40 K",40,IF(Iniciar!$C$25="B X 50 K",50,1))*I533/1000)</f>
        <v>0</v>
      </c>
      <c r="Z533" s="296">
        <f t="shared" si="301"/>
        <v>0</v>
      </c>
      <c r="AA533" s="297">
        <f t="shared" si="308"/>
        <v>0</v>
      </c>
      <c r="AB533" s="297">
        <f t="shared" si="295"/>
        <v>0</v>
      </c>
      <c r="AC533" s="541" t="str">
        <f>$AC$8</f>
        <v xml:space="preserve">Ton. Lote Acu : </v>
      </c>
      <c r="AD533" s="544">
        <f>SUM($V$5:$V536)*$A$1/1000000</f>
        <v>0</v>
      </c>
      <c r="AE533" s="543">
        <f>AE526+(AE530/1000000*7*(I530+I536)/2)</f>
        <v>0</v>
      </c>
      <c r="AF533" s="542">
        <f>IF(AND(AE533&gt;0,AD533&gt;0),(AD533/AE533-1)*100,0)</f>
        <v>0</v>
      </c>
      <c r="AG533" s="317" t="str">
        <f>PROD!$AG$8</f>
        <v xml:space="preserve">Masa Ac A. A (Kg) : </v>
      </c>
      <c r="AH533" s="318">
        <f>IF(PROD!$K$2&gt;0,SUM(PROD!L$5:L536)*LOOKUP(PROD!$A530,TP!$A$6:$A$108,GSh!$BB$6:$BB$108)/1000/PROD!$K$2,0)</f>
        <v>0</v>
      </c>
      <c r="AI533" s="318">
        <f>IFERROR(PROD!P531*LOOKUP(PROD!$A530,TP!$A$6:$A$108,GSh!$BC$6:$BC$108)/1000,0)</f>
        <v>0</v>
      </c>
      <c r="AJ533" s="330">
        <f t="shared" si="306"/>
        <v>0</v>
      </c>
      <c r="AK533" s="2027"/>
      <c r="AL533" s="1284">
        <f t="shared" si="296"/>
        <v>0</v>
      </c>
      <c r="AM533" s="1285"/>
      <c r="AN533" s="1285"/>
      <c r="AO533" s="1285"/>
      <c r="AP533" s="1285"/>
      <c r="AQ533" s="1285"/>
      <c r="AR533" s="1285"/>
      <c r="AS533" s="1286"/>
      <c r="AT533" s="1287"/>
      <c r="AU533" s="1288"/>
      <c r="AV533" s="1289"/>
      <c r="AW533" s="1290"/>
      <c r="AX533" s="1291"/>
      <c r="AY533" s="1291"/>
      <c r="AZ533" s="1292"/>
      <c r="BA533" s="1293"/>
      <c r="BB533" s="1294"/>
      <c r="BC533" s="1295"/>
      <c r="BD533" s="1296">
        <f>BD532+PROD!L533-BA533</f>
        <v>0</v>
      </c>
      <c r="BE533" s="2133"/>
      <c r="BF533" s="507" t="e">
        <f t="shared" si="297"/>
        <v>#VALUE!</v>
      </c>
      <c r="BG533" s="329"/>
      <c r="BH533" s="1018">
        <f t="shared" si="298"/>
        <v>0</v>
      </c>
    </row>
    <row r="534" spans="1:60" ht="15" customHeight="1" x14ac:dyDescent="0.3">
      <c r="A534" s="2033"/>
      <c r="B534" s="287" t="str">
        <f t="shared" si="299"/>
        <v/>
      </c>
      <c r="C534" s="288" t="str">
        <f t="shared" si="294"/>
        <v/>
      </c>
      <c r="D534" s="691"/>
      <c r="E534" s="692"/>
      <c r="F534" s="693"/>
      <c r="G534" s="694"/>
      <c r="H534" s="695"/>
      <c r="I534" s="289">
        <f>I533-SUM($D534:F534)</f>
        <v>0</v>
      </c>
      <c r="J534" s="1234" t="str">
        <f>$J$9</f>
        <v>% Sel Acm :</v>
      </c>
      <c r="K534" s="1231">
        <f>IF(PROD!$K$2&gt;0,SUM(E$5:E536)/PROD!$K$2,0)</f>
        <v>0</v>
      </c>
      <c r="L534" s="1246"/>
      <c r="M534" s="291">
        <f t="shared" si="307"/>
        <v>0</v>
      </c>
      <c r="N534" s="292" t="str">
        <f>$N$9</f>
        <v xml:space="preserve">Uniformidad (10% -) : </v>
      </c>
      <c r="O534" s="320">
        <f>LOOKUP($A530,'Pr-Sem'!$A$6:$A$108,'Pr-Sem'!$AH$6:$AH$108)</f>
        <v>0</v>
      </c>
      <c r="P534" s="320">
        <v>5</v>
      </c>
      <c r="Q534" s="321">
        <f>IF(AND(P534&gt;0,O534&gt;0),(1-O534/P534)*100,0)</f>
        <v>0</v>
      </c>
      <c r="R534" s="699"/>
      <c r="S534" s="762"/>
      <c r="T534" s="765">
        <f t="shared" si="305"/>
        <v>0</v>
      </c>
      <c r="U534" s="700"/>
      <c r="V534" s="701"/>
      <c r="W534" s="701"/>
      <c r="X534" s="295">
        <f t="shared" si="300"/>
        <v>0</v>
      </c>
      <c r="Y534" s="296">
        <f>IF(AA534&gt;0,V534,AE530/IF(Iniciar!$C$25="B X 40 K",40,IF(Iniciar!$C$25="B X 50 K",50,1))*I534/1000)</f>
        <v>0</v>
      </c>
      <c r="Z534" s="296">
        <f t="shared" si="301"/>
        <v>0</v>
      </c>
      <c r="AA534" s="297">
        <f t="shared" si="308"/>
        <v>0</v>
      </c>
      <c r="AB534" s="297">
        <f t="shared" si="295"/>
        <v>0</v>
      </c>
      <c r="AC534" s="2035" t="str">
        <f>$AC$9</f>
        <v xml:space="preserve">Total Litros Sem: </v>
      </c>
      <c r="AD534" s="2036"/>
      <c r="AE534" s="2050">
        <f>SUM(R530:R536)</f>
        <v>0</v>
      </c>
      <c r="AF534" s="2051"/>
      <c r="AG534" s="554" t="str">
        <f>$AG$9</f>
        <v xml:space="preserve">Indicador Eficiencia : </v>
      </c>
      <c r="AH534" s="555">
        <f>IF(AND(AE534&gt;0,O531&gt;0,O532&gt;0,SUM(L530:L536)&gt;0),(PROD!AH533/O531)*K536*100/(AE534/(SUM(L530:L536)*O532/1000)),0)</f>
        <v>0</v>
      </c>
      <c r="AI534" s="555">
        <f>IF(AND(P531&gt;0,PROD!AI532&gt;0),(PROD!AI533/P531)*(1-K535)*100/(AE531/PROD!AI532),0)</f>
        <v>0</v>
      </c>
      <c r="AJ534" s="331">
        <f t="shared" si="306"/>
        <v>0</v>
      </c>
      <c r="AK534" s="2027"/>
      <c r="AL534" s="1284">
        <f t="shared" si="296"/>
        <v>0</v>
      </c>
      <c r="AM534" s="1285"/>
      <c r="AN534" s="1285"/>
      <c r="AO534" s="1285"/>
      <c r="AP534" s="1285"/>
      <c r="AQ534" s="1285"/>
      <c r="AR534" s="1285"/>
      <c r="AS534" s="1286"/>
      <c r="AT534" s="1287"/>
      <c r="AU534" s="1288"/>
      <c r="AV534" s="1289"/>
      <c r="AW534" s="1290"/>
      <c r="AX534" s="1291"/>
      <c r="AY534" s="1291"/>
      <c r="AZ534" s="1292"/>
      <c r="BA534" s="1293"/>
      <c r="BB534" s="1294"/>
      <c r="BC534" s="1295"/>
      <c r="BD534" s="1296">
        <f>BD533+PROD!L534-BA534</f>
        <v>0</v>
      </c>
      <c r="BE534" s="2133"/>
      <c r="BF534" s="507" t="e">
        <f t="shared" si="297"/>
        <v>#VALUE!</v>
      </c>
      <c r="BG534" s="329"/>
      <c r="BH534" s="1018">
        <f t="shared" si="298"/>
        <v>0</v>
      </c>
    </row>
    <row r="535" spans="1:60" ht="15" customHeight="1" x14ac:dyDescent="0.3">
      <c r="A535" s="2033"/>
      <c r="B535" s="287" t="str">
        <f t="shared" si="299"/>
        <v/>
      </c>
      <c r="C535" s="288" t="str">
        <f t="shared" si="294"/>
        <v/>
      </c>
      <c r="D535" s="691"/>
      <c r="E535" s="692"/>
      <c r="F535" s="693"/>
      <c r="G535" s="694"/>
      <c r="H535" s="695"/>
      <c r="I535" s="289">
        <f>I534-SUM($D535:F535)</f>
        <v>0</v>
      </c>
      <c r="J535" s="1237" t="str">
        <f>$J$10</f>
        <v>% Mort/Sel Acm Tab :</v>
      </c>
      <c r="K535" s="1238">
        <f>IFERROR(LOOKUP($A530,TP!$A$6:$A$108,GSh!$AR$6:$AR$108)/100,0)</f>
        <v>0</v>
      </c>
      <c r="L535" s="1246"/>
      <c r="M535" s="291">
        <f t="shared" si="307"/>
        <v>0</v>
      </c>
      <c r="N535" s="292" t="str">
        <f>$N$10</f>
        <v xml:space="preserve">Uniformidad (C. Lote) : </v>
      </c>
      <c r="O535" s="320">
        <f>LOOKUP($A530,'Pr-Sem'!$A$6:$A$108,'Pr-Sem'!$AG$6:$AG$108)</f>
        <v>0</v>
      </c>
      <c r="P535" s="320">
        <v>90</v>
      </c>
      <c r="Q535" s="321">
        <f>IF(AND(P535&gt;0,O535&gt;0),(O535/P535-1)*100,0)</f>
        <v>0</v>
      </c>
      <c r="R535" s="699"/>
      <c r="S535" s="762"/>
      <c r="T535" s="765">
        <f t="shared" si="305"/>
        <v>0</v>
      </c>
      <c r="U535" s="700"/>
      <c r="V535" s="701"/>
      <c r="W535" s="701"/>
      <c r="X535" s="295">
        <f t="shared" si="300"/>
        <v>0</v>
      </c>
      <c r="Y535" s="296">
        <f>IF(AA535&gt;0,V535,AE530/IF(Iniciar!$C$25="B X 40 K",40,IF(Iniciar!$C$25="B X 50 K",50,1))*I535/1000)</f>
        <v>0</v>
      </c>
      <c r="Z535" s="296">
        <f t="shared" si="301"/>
        <v>0</v>
      </c>
      <c r="AA535" s="297">
        <f t="shared" si="308"/>
        <v>0</v>
      </c>
      <c r="AB535" s="297">
        <f t="shared" si="295"/>
        <v>0</v>
      </c>
      <c r="AC535" s="2037" t="str">
        <f>$AC$10</f>
        <v xml:space="preserve">Cons ml /ave día: </v>
      </c>
      <c r="AD535" s="2038"/>
      <c r="AE535" s="2056">
        <f>IFERROR(SUMPRODUCT(AB530:AB536,I530:I536)/SUM(I530:I536),0)</f>
        <v>0</v>
      </c>
      <c r="AF535" s="2057"/>
      <c r="AG535" s="311" t="str">
        <f>CONCATENATE("Costo ",Iniciar!$C$25," : ")</f>
        <v xml:space="preserve">Costo Kilos : </v>
      </c>
      <c r="AH535" s="2043">
        <f>IFERROR(SUMPRODUCT(T530:T536,V530:V536)/SUMIF(T530:T536,"&gt;0",V530:V536),0)</f>
        <v>0</v>
      </c>
      <c r="AI535" s="2043"/>
      <c r="AJ535" s="313"/>
      <c r="AK535" s="2027"/>
      <c r="AL535" s="1284">
        <f t="shared" si="296"/>
        <v>0</v>
      </c>
      <c r="AM535" s="1285"/>
      <c r="AN535" s="1285"/>
      <c r="AO535" s="1285"/>
      <c r="AP535" s="1285"/>
      <c r="AQ535" s="1285"/>
      <c r="AR535" s="1285"/>
      <c r="AS535" s="1286"/>
      <c r="AT535" s="1287"/>
      <c r="AU535" s="1288"/>
      <c r="AV535" s="1289"/>
      <c r="AW535" s="1290"/>
      <c r="AX535" s="1291"/>
      <c r="AY535" s="1291"/>
      <c r="AZ535" s="1292"/>
      <c r="BA535" s="1293"/>
      <c r="BB535" s="1294"/>
      <c r="BC535" s="1295"/>
      <c r="BD535" s="1296">
        <f>BD534+PROD!L535-BA535</f>
        <v>0</v>
      </c>
      <c r="BE535" s="2133"/>
      <c r="BF535" s="507" t="e">
        <f t="shared" si="297"/>
        <v>#VALUE!</v>
      </c>
      <c r="BG535" s="329"/>
      <c r="BH535" s="1018">
        <f t="shared" si="298"/>
        <v>0</v>
      </c>
    </row>
    <row r="536" spans="1:60" ht="15" customHeight="1" x14ac:dyDescent="0.3">
      <c r="A536" s="2034"/>
      <c r="B536" s="287" t="str">
        <f t="shared" si="299"/>
        <v/>
      </c>
      <c r="C536" s="288" t="str">
        <f t="shared" si="294"/>
        <v/>
      </c>
      <c r="D536" s="691"/>
      <c r="E536" s="692"/>
      <c r="F536" s="693"/>
      <c r="G536" s="694"/>
      <c r="H536" s="695"/>
      <c r="I536" s="289">
        <f>I535-SUM($D536:F536)</f>
        <v>0</v>
      </c>
      <c r="J536" s="1239" t="str">
        <f>$J$11</f>
        <v>% Viabilidad :</v>
      </c>
      <c r="K536" s="1240">
        <f>IF(OR(SUM(L530:L536)&gt;0,SUM(V530:V536)&gt;0),1-(K533+K534),0)</f>
        <v>0</v>
      </c>
      <c r="L536" s="1247"/>
      <c r="M536" s="1248">
        <f>IF(I536&gt;0,(L536/IF(SUM(L530:L535)&gt;0,1,7))/I536,0)</f>
        <v>0</v>
      </c>
      <c r="N536" s="1249" t="str">
        <f>$N$11</f>
        <v xml:space="preserve">Uniformidad (10% +) : </v>
      </c>
      <c r="O536" s="1250">
        <f>IF(O534&gt;0,IF(O535&gt;0,100-SUM(O534:O535),0),0)</f>
        <v>0</v>
      </c>
      <c r="P536" s="1251">
        <f>100-SUM(P534:P535)</f>
        <v>5</v>
      </c>
      <c r="Q536" s="1252">
        <f>IF(AND(P536&gt;0,O536&gt;0),(O536/P536-1)*100,0)</f>
        <v>0</v>
      </c>
      <c r="R536" s="699"/>
      <c r="S536" s="762"/>
      <c r="T536" s="765">
        <f t="shared" si="305"/>
        <v>0</v>
      </c>
      <c r="U536" s="700"/>
      <c r="V536" s="701"/>
      <c r="W536" s="701"/>
      <c r="X536" s="295">
        <f t="shared" si="300"/>
        <v>0</v>
      </c>
      <c r="Y536" s="296">
        <f>IF(AA536&gt;0,V536,AE530/IF(Iniciar!$C$25="B X 40 K",40,IF(Iniciar!$C$25="B X 50 K",50,1))*I536/1000)</f>
        <v>0</v>
      </c>
      <c r="Z536" s="296">
        <f t="shared" si="301"/>
        <v>0</v>
      </c>
      <c r="AA536" s="297">
        <f>IF(I536&gt;0,(V536/IF(SUM(V530:V535)&gt;0,1,7))*$A$1/I536,0)</f>
        <v>0</v>
      </c>
      <c r="AB536" s="297">
        <f t="shared" si="295"/>
        <v>0</v>
      </c>
      <c r="AC536" s="2039" t="str">
        <f>$AC$11</f>
        <v xml:space="preserve">Relación Agua /Alimto: </v>
      </c>
      <c r="AD536" s="2040"/>
      <c r="AE536" s="2058">
        <f>IFERROR(AE535/AD530,0)</f>
        <v>0</v>
      </c>
      <c r="AF536" s="2059"/>
      <c r="AG536" s="1269" t="s">
        <v>237</v>
      </c>
      <c r="AH536" s="1270">
        <f>IF(SUM(L530:L536)&gt;0,AH535*SUM(V530:V536)/SUM(L530:L536),0)</f>
        <v>0</v>
      </c>
      <c r="AI536" s="1270">
        <f>IF(AND($A$1&gt;0,P530&gt;0),AH535/$A$1*(AE530/P530)*100,0)</f>
        <v>0</v>
      </c>
      <c r="AJ536" s="1271">
        <f t="shared" ref="AJ536:AJ541" si="309">IF(AND(AI536&gt;0,AH536&gt;0),(AH536/AI536-1)*100,0)</f>
        <v>0</v>
      </c>
      <c r="AK536" s="2028"/>
      <c r="AL536" s="1284">
        <f t="shared" si="296"/>
        <v>0</v>
      </c>
      <c r="AM536" s="1285"/>
      <c r="AN536" s="1285"/>
      <c r="AO536" s="1285"/>
      <c r="AP536" s="1285"/>
      <c r="AQ536" s="1285"/>
      <c r="AR536" s="1285"/>
      <c r="AS536" s="1286"/>
      <c r="AT536" s="1287"/>
      <c r="AU536" s="1288"/>
      <c r="AV536" s="1289"/>
      <c r="AW536" s="1290"/>
      <c r="AX536" s="1291"/>
      <c r="AY536" s="1291"/>
      <c r="AZ536" s="1292"/>
      <c r="BA536" s="1293"/>
      <c r="BB536" s="1294"/>
      <c r="BC536" s="1295"/>
      <c r="BD536" s="1296">
        <f>BD535+PROD!L536-BA536</f>
        <v>0</v>
      </c>
      <c r="BE536" s="2134"/>
      <c r="BF536" s="507" t="e">
        <f t="shared" si="297"/>
        <v>#VALUE!</v>
      </c>
      <c r="BG536" s="329"/>
      <c r="BH536" s="1018">
        <f t="shared" si="298"/>
        <v>0</v>
      </c>
    </row>
    <row r="537" spans="1:60" ht="15" customHeight="1" x14ac:dyDescent="0.3">
      <c r="A537" s="2032">
        <f>A530+1</f>
        <v>94</v>
      </c>
      <c r="B537" s="287" t="str">
        <f t="shared" si="299"/>
        <v/>
      </c>
      <c r="C537" s="288" t="str">
        <f t="shared" si="294"/>
        <v/>
      </c>
      <c r="D537" s="691"/>
      <c r="E537" s="692"/>
      <c r="F537" s="693"/>
      <c r="G537" s="694"/>
      <c r="H537" s="695"/>
      <c r="I537" s="289">
        <f>I536-SUM($D537:F537)</f>
        <v>0</v>
      </c>
      <c r="J537" s="1232" t="str">
        <f>$J$5</f>
        <v>% Mort Sem :</v>
      </c>
      <c r="K537" s="1233">
        <f>IF(PROD!$K$2&gt;0,SUM(D537:D543)/PROD!$K$2,0)</f>
        <v>0</v>
      </c>
      <c r="L537" s="1241"/>
      <c r="M537" s="1242">
        <f t="shared" ref="M537:M542" si="310">IF(I537&gt;0,L537/I537,0)</f>
        <v>0</v>
      </c>
      <c r="N537" s="1243" t="str">
        <f>$N$5</f>
        <v xml:space="preserve">% Pdn prom semana : </v>
      </c>
      <c r="O537" s="1244">
        <f>IF(SUM(L537:L542)&gt;0,100*SUMPRODUCT(M537:M543,I537:I543)/SUMIF(L537:L543,"&gt;0",I537:I543),IF(L543&gt;0,100*L543/7/I543,0))</f>
        <v>0</v>
      </c>
      <c r="P537" s="1244">
        <f>IFERROR(LOOKUP($A537,TP!$A$6:$A$108,GSh!$AE$6:$AE$108),0)</f>
        <v>0</v>
      </c>
      <c r="Q537" s="1245">
        <f>IF(AND(P537&gt;0,O537&gt;0),O537-P537,0)</f>
        <v>0</v>
      </c>
      <c r="R537" s="699"/>
      <c r="S537" s="762"/>
      <c r="T537" s="765">
        <f t="shared" si="305"/>
        <v>0</v>
      </c>
      <c r="U537" s="700"/>
      <c r="V537" s="701"/>
      <c r="W537" s="701"/>
      <c r="X537" s="295">
        <f t="shared" si="300"/>
        <v>0</v>
      </c>
      <c r="Y537" s="296">
        <f>IF(AA537&gt;0,V537,AE537/IF(Iniciar!$C$25="B X 40 K",40,IF(Iniciar!$C$25="B X 50 K",50,1))*I537/1000)</f>
        <v>0</v>
      </c>
      <c r="Z537" s="296">
        <f t="shared" si="301"/>
        <v>0</v>
      </c>
      <c r="AA537" s="297">
        <f t="shared" ref="AA537:AA542" si="311">IF(I537&gt;0,V537*$A$1/I537,0)</f>
        <v>0</v>
      </c>
      <c r="AB537" s="297">
        <f t="shared" si="295"/>
        <v>0</v>
      </c>
      <c r="AC537" s="1261" t="str">
        <f>$AC$5</f>
        <v>Gr. Ave Dia :</v>
      </c>
      <c r="AD537" s="1262">
        <f>IF(SUMIF(V537:V543,"&gt;0")&gt;0,SUMPRODUCT(AA537:AA543,I537:I543)/SUMIF(AA537:AA543,"&gt;0",I537:I543),0)</f>
        <v>0</v>
      </c>
      <c r="AE537" s="1262">
        <f>IFERROR(LOOKUP($A537,TP!$A$6:$A$108,GSh!$AU$6:$AU$108),0)</f>
        <v>0</v>
      </c>
      <c r="AF537" s="1263">
        <f>IF(AND(AE537&gt;0,AD537&gt;0),(AD537/AE537-1)*100,0)</f>
        <v>0</v>
      </c>
      <c r="AG537" s="1264" t="str">
        <f>PROD!$AG$5</f>
        <v>Gr X H</v>
      </c>
      <c r="AH537" s="1265">
        <f>IF(PROD!O537&gt;0,IF($AG537="Gr X H",PROD!AD537/PROD!O537*100,IF($AG537="Conv Kg/Doc",PROD!AD537/PROD!O537*1.2,IF(PROD!$O539&gt;0,PROD!AD537/(PROD!O537*PROD!$O539)*100,0))),0)</f>
        <v>0</v>
      </c>
      <c r="AI537" s="1265">
        <f>IF(PROD!P537&gt;0,IF($AG537="Gr X H",PROD!AE537/PROD!P537*100,IF($AG537="Conv Kg/Doc",PROD!AE537/PROD!P537*1.2,IF(PROD!$P539&gt;0,PROD!AE537/(PROD!P537*PROD!$P539)*100,0))),0)</f>
        <v>0</v>
      </c>
      <c r="AJ537" s="1266">
        <f t="shared" si="309"/>
        <v>0</v>
      </c>
      <c r="AK537" s="2026"/>
      <c r="AL537" s="1284">
        <f t="shared" si="296"/>
        <v>0</v>
      </c>
      <c r="AM537" s="1285"/>
      <c r="AN537" s="1285"/>
      <c r="AO537" s="1285"/>
      <c r="AP537" s="1285"/>
      <c r="AQ537" s="1285"/>
      <c r="AR537" s="1285"/>
      <c r="AS537" s="1286"/>
      <c r="AT537" s="1287"/>
      <c r="AU537" s="1288"/>
      <c r="AV537" s="1289"/>
      <c r="AW537" s="1290"/>
      <c r="AX537" s="1291"/>
      <c r="AY537" s="1291"/>
      <c r="AZ537" s="1292"/>
      <c r="BA537" s="1293"/>
      <c r="BB537" s="1294"/>
      <c r="BC537" s="1295"/>
      <c r="BD537" s="1296">
        <f>BD536+PROD!L537-BA537</f>
        <v>0</v>
      </c>
      <c r="BE537" s="2132">
        <f>IF(SUM(AM537:AZ543)&gt;0,(SUM(AM537:AM543)*$AM$2+SUM(AN537:AN543)*$AN$2+SUM(AO537:AO543)*$AO$2+SUM(AP537:AP543)*$AP$2+SUM(AQ537:AQ543)*$AQ$2+SUM(AR537:AR543)*$AR$2+SUM(AS537:AS543)*$AS$2+SUM(AW537:AW543)*$AW$2+SUM(AX537:AX543)*$AX$2+SUM(AY537:AY543)*$AY$2+SUM(AZ537:AZ543)*$AZ$2+SUM(AT537:AT543)*$AT$2+SUM(AU537:AU543)*$AU$2+SUM(AV537:AV543)*$AV$2)/SUM(AM537:AZ543),0)</f>
        <v>0</v>
      </c>
      <c r="BF537" s="507" t="e">
        <f t="shared" si="297"/>
        <v>#VALUE!</v>
      </c>
      <c r="BG537" s="277">
        <f>IF(SUM(L537:L543)&gt;0,A537,IF(SUM(V537:V543)&gt;0,A537,BG530))</f>
        <v>0</v>
      </c>
      <c r="BH537" s="1018">
        <f t="shared" si="298"/>
        <v>0</v>
      </c>
    </row>
    <row r="538" spans="1:60" ht="15" customHeight="1" x14ac:dyDescent="0.3">
      <c r="A538" s="2033"/>
      <c r="B538" s="287" t="str">
        <f t="shared" si="299"/>
        <v/>
      </c>
      <c r="C538" s="288" t="str">
        <f t="shared" si="294"/>
        <v/>
      </c>
      <c r="D538" s="691"/>
      <c r="E538" s="692"/>
      <c r="F538" s="693"/>
      <c r="G538" s="694"/>
      <c r="H538" s="695"/>
      <c r="I538" s="289">
        <f>I537-SUM($D538:F538)</f>
        <v>0</v>
      </c>
      <c r="J538" s="1234" t="str">
        <f>$J$6</f>
        <v>% Sel Sem :</v>
      </c>
      <c r="K538" s="1231">
        <f>IF(PROD!$K$2&gt;0,SUM(E537:E543)/PROD!$K$2,0)</f>
        <v>0</v>
      </c>
      <c r="L538" s="1246"/>
      <c r="M538" s="291">
        <f t="shared" si="310"/>
        <v>0</v>
      </c>
      <c r="N538" s="292" t="str">
        <f>$N$6</f>
        <v xml:space="preserve">H. Ave Alojada : </v>
      </c>
      <c r="O538" s="293">
        <f>IF(AND(PROD!$K$2&gt;0,O537&gt;0),SUM(L$5:L543)/PROD!$K$2,0)</f>
        <v>0</v>
      </c>
      <c r="P538" s="293">
        <f>IFERROR(LOOKUP($A537,TP!$A$6:$A$108,GSh!$AJ$6:$AJ$108),0)</f>
        <v>0</v>
      </c>
      <c r="Q538" s="294">
        <f>IF(AND(P538&gt;0,O538&gt;0),O538-P538,0)</f>
        <v>0</v>
      </c>
      <c r="R538" s="699"/>
      <c r="S538" s="762"/>
      <c r="T538" s="765">
        <f t="shared" si="305"/>
        <v>0</v>
      </c>
      <c r="U538" s="700"/>
      <c r="V538" s="701"/>
      <c r="W538" s="701"/>
      <c r="X538" s="295">
        <f t="shared" si="300"/>
        <v>0</v>
      </c>
      <c r="Y538" s="296">
        <f>IF(AA538&gt;0,V538,AE537/IF(Iniciar!$C$25="B X 40 K",40,IF(Iniciar!$C$25="B X 50 K",50,1))*I538/1000)</f>
        <v>0</v>
      </c>
      <c r="Z538" s="296">
        <f t="shared" si="301"/>
        <v>0</v>
      </c>
      <c r="AA538" s="297">
        <f t="shared" si="311"/>
        <v>0</v>
      </c>
      <c r="AB538" s="297">
        <f t="shared" si="295"/>
        <v>0</v>
      </c>
      <c r="AC538" s="1267" t="str">
        <f>$AC$6</f>
        <v>Gr. Ave Sem :</v>
      </c>
      <c r="AD538" s="284">
        <f>AD537*7</f>
        <v>0</v>
      </c>
      <c r="AE538" s="284">
        <f>AE537*7</f>
        <v>0</v>
      </c>
      <c r="AF538" s="285">
        <f>IF(AND(AE538&gt;0,AD538&gt;0),(AD538/AE538-1)*100,0)</f>
        <v>0</v>
      </c>
      <c r="AG538" s="1199" t="str">
        <f>PROD!$AG$6</f>
        <v>Gr X H Acm</v>
      </c>
      <c r="AH538" s="298">
        <f>IF(SUM(PROD!L537:L543)&gt;0,IF(PROD!$AG$5="Gr X H",SUM(PROD!V$5:V543)*PROD!$A$1/SUM(PROD!L$5:L543),IF($AG537="Conv Kg/Doc",(SUM(PROD!V$5:V543)*PROD!$A$1/1000)/(SUM(PROD!L$5:L543)/12),IF(PROD!$O539&gt;0,SUM(PROD!V$5:V543)*PROD!$A$1/(SUM(PROD!L$5:L543)*LOOKUP(PROD!A537,TP!$A$6:$A$108,GSh!$BB$6:$BB$108)),0))),0)</f>
        <v>0</v>
      </c>
      <c r="AI538" s="298">
        <f>IF(PROD!P537&gt;0,IF($AG537="Gr X H",PROD!AE537/PROD!P537*100,IF($AG537="Conv Kg/Doc",PROD!AE537/PROD!P537*1.2,IF(PROD!$P538&gt;0,PROD!AE539/(PROD!P538*LOOKUP(PROD!$A537,TP!$A$6:$A$108,GSh!$BC$6:$BC$108)/1000),0))),0)</f>
        <v>0</v>
      </c>
      <c r="AJ538" s="328">
        <f t="shared" si="309"/>
        <v>0</v>
      </c>
      <c r="AK538" s="2027"/>
      <c r="AL538" s="1284">
        <f t="shared" si="296"/>
        <v>0</v>
      </c>
      <c r="AM538" s="1285"/>
      <c r="AN538" s="1285"/>
      <c r="AO538" s="1285"/>
      <c r="AP538" s="1285"/>
      <c r="AQ538" s="1285"/>
      <c r="AR538" s="1285"/>
      <c r="AS538" s="1286"/>
      <c r="AT538" s="1287"/>
      <c r="AU538" s="1288"/>
      <c r="AV538" s="1289"/>
      <c r="AW538" s="1290"/>
      <c r="AX538" s="1291"/>
      <c r="AY538" s="1291"/>
      <c r="AZ538" s="1292"/>
      <c r="BA538" s="1293"/>
      <c r="BB538" s="1294"/>
      <c r="BC538" s="1295"/>
      <c r="BD538" s="1296">
        <f>BD537+PROD!L538-BA538</f>
        <v>0</v>
      </c>
      <c r="BE538" s="2133"/>
      <c r="BF538" s="507" t="e">
        <f t="shared" si="297"/>
        <v>#VALUE!</v>
      </c>
      <c r="BG538" s="329"/>
      <c r="BH538" s="1018">
        <f t="shared" si="298"/>
        <v>0</v>
      </c>
    </row>
    <row r="539" spans="1:60" ht="15" customHeight="1" x14ac:dyDescent="0.3">
      <c r="A539" s="2033"/>
      <c r="B539" s="287" t="str">
        <f t="shared" si="299"/>
        <v/>
      </c>
      <c r="C539" s="288" t="str">
        <f t="shared" si="294"/>
        <v/>
      </c>
      <c r="D539" s="691"/>
      <c r="E539" s="692"/>
      <c r="F539" s="693"/>
      <c r="G539" s="694"/>
      <c r="H539" s="695"/>
      <c r="I539" s="289">
        <f>I538-SUM($D539:F539)</f>
        <v>0</v>
      </c>
      <c r="J539" s="1235" t="str">
        <f>$J$7</f>
        <v>% Mort/Sel Sem Tab :</v>
      </c>
      <c r="K539" s="1236">
        <f>K542-K535</f>
        <v>0</v>
      </c>
      <c r="L539" s="1246"/>
      <c r="M539" s="291">
        <f t="shared" si="310"/>
        <v>0</v>
      </c>
      <c r="N539" s="304" t="str">
        <f>$N$7</f>
        <v xml:space="preserve">Peso Huevo (Gr) : </v>
      </c>
      <c r="O539" s="305">
        <f>LOOKUP($A537,'Pr-Sem'!$A$6:$A$108,'Pr-Sem'!$Z$6:$Z$108)</f>
        <v>0</v>
      </c>
      <c r="P539" s="305">
        <f>IFERROR(LOOKUP($A537,TP!$A$6:$A$108,GSh!$AZ$6:$AZ$108),0)</f>
        <v>0</v>
      </c>
      <c r="Q539" s="306">
        <f>IF(AND(P539&gt;0,O539&gt;0),O539-P539,0)</f>
        <v>0</v>
      </c>
      <c r="R539" s="699"/>
      <c r="S539" s="762"/>
      <c r="T539" s="765">
        <f t="shared" si="305"/>
        <v>0</v>
      </c>
      <c r="U539" s="700"/>
      <c r="V539" s="701"/>
      <c r="W539" s="701"/>
      <c r="X539" s="295">
        <f t="shared" si="300"/>
        <v>0</v>
      </c>
      <c r="Y539" s="296">
        <f>IF(AA539&gt;0,V539,AE537/IF(Iniciar!$C$25="B X 40 K",40,IF(Iniciar!$C$25="B X 50 K",50,1))*I539/1000)</f>
        <v>0</v>
      </c>
      <c r="Z539" s="296">
        <f t="shared" si="301"/>
        <v>0</v>
      </c>
      <c r="AA539" s="297">
        <f t="shared" si="311"/>
        <v>0</v>
      </c>
      <c r="AB539" s="297">
        <f t="shared" si="295"/>
        <v>0</v>
      </c>
      <c r="AC539" s="1268" t="str">
        <f>$AC$7</f>
        <v>Kg Ave Acu :</v>
      </c>
      <c r="AD539" s="308">
        <f>IF(OR(SUM(L537:L543)&gt;0,SUM(V537:V543)&gt;0),AD538/1000+AD532,0)</f>
        <v>0</v>
      </c>
      <c r="AE539" s="309">
        <f>AE538/1000+AE532</f>
        <v>0</v>
      </c>
      <c r="AF539" s="310">
        <f>IF(AND(AE539&gt;0,AD539&gt;0),(AD539/AE539-1)*100,0)</f>
        <v>0</v>
      </c>
      <c r="AG539" s="311" t="str">
        <f>PROD!$AG$7</f>
        <v xml:space="preserve">Masa Sem H (Gr) : </v>
      </c>
      <c r="AH539" s="312">
        <f>PROD!O537/100*7*PROD!O539</f>
        <v>0</v>
      </c>
      <c r="AI539" s="312">
        <f>PROD!P537/100*7*PROD!P539</f>
        <v>0</v>
      </c>
      <c r="AJ539" s="313">
        <f t="shared" si="309"/>
        <v>0</v>
      </c>
      <c r="AK539" s="2027"/>
      <c r="AL539" s="1284">
        <f t="shared" si="296"/>
        <v>0</v>
      </c>
      <c r="AM539" s="1285"/>
      <c r="AN539" s="1285"/>
      <c r="AO539" s="1285"/>
      <c r="AP539" s="1285"/>
      <c r="AQ539" s="1285"/>
      <c r="AR539" s="1285"/>
      <c r="AS539" s="1286"/>
      <c r="AT539" s="1287"/>
      <c r="AU539" s="1288"/>
      <c r="AV539" s="1289"/>
      <c r="AW539" s="1290"/>
      <c r="AX539" s="1291"/>
      <c r="AY539" s="1291"/>
      <c r="AZ539" s="1292"/>
      <c r="BA539" s="1293"/>
      <c r="BB539" s="1294"/>
      <c r="BC539" s="1295"/>
      <c r="BD539" s="1296">
        <f>BD538+PROD!L539-BA539</f>
        <v>0</v>
      </c>
      <c r="BE539" s="2133"/>
      <c r="BF539" s="507" t="e">
        <f t="shared" si="297"/>
        <v>#VALUE!</v>
      </c>
      <c r="BG539" s="329"/>
      <c r="BH539" s="1018">
        <f t="shared" si="298"/>
        <v>0</v>
      </c>
    </row>
    <row r="540" spans="1:60" ht="15" customHeight="1" x14ac:dyDescent="0.3">
      <c r="A540" s="2033"/>
      <c r="B540" s="287" t="str">
        <f t="shared" si="299"/>
        <v/>
      </c>
      <c r="C540" s="288" t="str">
        <f t="shared" si="294"/>
        <v/>
      </c>
      <c r="D540" s="691"/>
      <c r="E540" s="692"/>
      <c r="F540" s="693"/>
      <c r="G540" s="694"/>
      <c r="H540" s="695"/>
      <c r="I540" s="289">
        <f>I539-SUM($D540:F540)</f>
        <v>0</v>
      </c>
      <c r="J540" s="1234" t="str">
        <f>$J$8</f>
        <v>% Mort Acm :</v>
      </c>
      <c r="K540" s="1231">
        <f>IF(PROD!$K$2&gt;0,SUM(D$5:D543)/PROD!$K$2,0)</f>
        <v>0</v>
      </c>
      <c r="L540" s="1246"/>
      <c r="M540" s="291">
        <f t="shared" si="310"/>
        <v>0</v>
      </c>
      <c r="N540" s="314" t="str">
        <f>N$8</f>
        <v xml:space="preserve">Peso Ave (Gr) : </v>
      </c>
      <c r="O540" s="315">
        <f>LOOKUP($A537,GSh!$BV$6:$BV$108,GSh!$BJ$6:$BJ$108)</f>
        <v>0</v>
      </c>
      <c r="P540" s="315">
        <f>IFERROR(LOOKUP($A537,TP!$A$6:$A$108,GSh!$BK$6:$BK$108),0)</f>
        <v>0</v>
      </c>
      <c r="Q540" s="316">
        <f>IF(AND(P540&gt;0,O540&gt;0),(O540/P540-1)*100,0)</f>
        <v>0</v>
      </c>
      <c r="R540" s="699"/>
      <c r="S540" s="762"/>
      <c r="T540" s="765">
        <f t="shared" si="305"/>
        <v>0</v>
      </c>
      <c r="U540" s="700"/>
      <c r="V540" s="701"/>
      <c r="W540" s="701"/>
      <c r="X540" s="295">
        <f t="shared" si="300"/>
        <v>0</v>
      </c>
      <c r="Y540" s="296">
        <f>IF(AA540&gt;0,V540,AE537/IF(Iniciar!$C$25="B X 40 K",40,IF(Iniciar!$C$25="B X 50 K",50,1))*I540/1000)</f>
        <v>0</v>
      </c>
      <c r="Z540" s="296">
        <f t="shared" si="301"/>
        <v>0</v>
      </c>
      <c r="AA540" s="297">
        <f t="shared" si="311"/>
        <v>0</v>
      </c>
      <c r="AB540" s="297">
        <f t="shared" si="295"/>
        <v>0</v>
      </c>
      <c r="AC540" s="541" t="str">
        <f>$AC$8</f>
        <v xml:space="preserve">Ton. Lote Acu : </v>
      </c>
      <c r="AD540" s="544">
        <f>SUM($V$5:$V543)*$A$1/1000000</f>
        <v>0</v>
      </c>
      <c r="AE540" s="543">
        <f>AE533+(AE537/1000000*7*(I537+I543)/2)</f>
        <v>0</v>
      </c>
      <c r="AF540" s="542">
        <f>IF(AND(AE540&gt;0,AD540&gt;0),(AD540/AE540-1)*100,0)</f>
        <v>0</v>
      </c>
      <c r="AG540" s="317" t="str">
        <f>PROD!$AG$8</f>
        <v xml:space="preserve">Masa Ac A. A (Kg) : </v>
      </c>
      <c r="AH540" s="318">
        <f>IF(PROD!$K$2&gt;0,SUM(PROD!L$5:L543)*LOOKUP(PROD!$A537,TP!$A$6:$A$108,GSh!$BB$6:$BB$108)/1000/PROD!$K$2,0)</f>
        <v>0</v>
      </c>
      <c r="AI540" s="318">
        <f>IFERROR(PROD!P538*LOOKUP(PROD!$A537,TP!$A$6:$A$108,GSh!$BC$6:$BC$108)/1000,0)</f>
        <v>0</v>
      </c>
      <c r="AJ540" s="330">
        <f t="shared" si="309"/>
        <v>0</v>
      </c>
      <c r="AK540" s="2027"/>
      <c r="AL540" s="1284">
        <f t="shared" si="296"/>
        <v>0</v>
      </c>
      <c r="AM540" s="1285"/>
      <c r="AN540" s="1285"/>
      <c r="AO540" s="1285"/>
      <c r="AP540" s="1285"/>
      <c r="AQ540" s="1285"/>
      <c r="AR540" s="1285"/>
      <c r="AS540" s="1286"/>
      <c r="AT540" s="1287"/>
      <c r="AU540" s="1288"/>
      <c r="AV540" s="1289"/>
      <c r="AW540" s="1290"/>
      <c r="AX540" s="1291"/>
      <c r="AY540" s="1291"/>
      <c r="AZ540" s="1292"/>
      <c r="BA540" s="1293"/>
      <c r="BB540" s="1294"/>
      <c r="BC540" s="1295"/>
      <c r="BD540" s="1296">
        <f>BD539+PROD!L540-BA540</f>
        <v>0</v>
      </c>
      <c r="BE540" s="2133"/>
      <c r="BF540" s="507" t="e">
        <f t="shared" si="297"/>
        <v>#VALUE!</v>
      </c>
      <c r="BG540" s="329"/>
      <c r="BH540" s="1018">
        <f t="shared" si="298"/>
        <v>0</v>
      </c>
    </row>
    <row r="541" spans="1:60" ht="15" customHeight="1" x14ac:dyDescent="0.3">
      <c r="A541" s="2033"/>
      <c r="B541" s="287" t="str">
        <f t="shared" si="299"/>
        <v/>
      </c>
      <c r="C541" s="288" t="str">
        <f t="shared" si="294"/>
        <v/>
      </c>
      <c r="D541" s="691"/>
      <c r="E541" s="692"/>
      <c r="F541" s="693"/>
      <c r="G541" s="694"/>
      <c r="H541" s="695"/>
      <c r="I541" s="289">
        <f>I540-SUM($D541:F541)</f>
        <v>0</v>
      </c>
      <c r="J541" s="1234" t="str">
        <f>$J$9</f>
        <v>% Sel Acm :</v>
      </c>
      <c r="K541" s="1231">
        <f>IF(PROD!$K$2&gt;0,SUM(E$5:E543)/PROD!$K$2,0)</f>
        <v>0</v>
      </c>
      <c r="L541" s="1246"/>
      <c r="M541" s="291">
        <f t="shared" si="310"/>
        <v>0</v>
      </c>
      <c r="N541" s="292" t="str">
        <f>$N$9</f>
        <v xml:space="preserve">Uniformidad (10% -) : </v>
      </c>
      <c r="O541" s="320">
        <f>LOOKUP($A537,'Pr-Sem'!$A$6:$A$108,'Pr-Sem'!$AH$6:$AH$108)</f>
        <v>0</v>
      </c>
      <c r="P541" s="320">
        <v>5</v>
      </c>
      <c r="Q541" s="321">
        <f>IF(AND(P541&gt;0,O541&gt;0),(1-O541/P541)*100,0)</f>
        <v>0</v>
      </c>
      <c r="R541" s="699"/>
      <c r="S541" s="762"/>
      <c r="T541" s="765">
        <f t="shared" si="305"/>
        <v>0</v>
      </c>
      <c r="U541" s="700"/>
      <c r="V541" s="701"/>
      <c r="W541" s="701"/>
      <c r="X541" s="295">
        <f t="shared" si="300"/>
        <v>0</v>
      </c>
      <c r="Y541" s="296">
        <f>IF(AA541&gt;0,V541,AE537/IF(Iniciar!$C$25="B X 40 K",40,IF(Iniciar!$C$25="B X 50 K",50,1))*I541/1000)</f>
        <v>0</v>
      </c>
      <c r="Z541" s="296">
        <f t="shared" si="301"/>
        <v>0</v>
      </c>
      <c r="AA541" s="297">
        <f t="shared" si="311"/>
        <v>0</v>
      </c>
      <c r="AB541" s="297">
        <f t="shared" si="295"/>
        <v>0</v>
      </c>
      <c r="AC541" s="2035" t="str">
        <f>$AC$9</f>
        <v xml:space="preserve">Total Litros Sem: </v>
      </c>
      <c r="AD541" s="2036"/>
      <c r="AE541" s="2050">
        <f>SUM(R537:R543)</f>
        <v>0</v>
      </c>
      <c r="AF541" s="2051"/>
      <c r="AG541" s="554" t="str">
        <f>$AG$9</f>
        <v xml:space="preserve">Indicador Eficiencia : </v>
      </c>
      <c r="AH541" s="555">
        <f>IF(AND(AE541&gt;0,O538&gt;0,O539&gt;0,SUM(L537:L543)&gt;0),(PROD!AH540/O538)*K543*100/(AE541/(SUM(L537:L543)*O539/1000)),0)</f>
        <v>0</v>
      </c>
      <c r="AI541" s="555">
        <f>IF(AND(P538&gt;0,PROD!AI539&gt;0),(PROD!AI540/P538)*(1-K542)*100/(AE538/PROD!AI539),0)</f>
        <v>0</v>
      </c>
      <c r="AJ541" s="331">
        <f t="shared" si="309"/>
        <v>0</v>
      </c>
      <c r="AK541" s="2027"/>
      <c r="AL541" s="1284">
        <f t="shared" si="296"/>
        <v>0</v>
      </c>
      <c r="AM541" s="1285"/>
      <c r="AN541" s="1285"/>
      <c r="AO541" s="1285"/>
      <c r="AP541" s="1285"/>
      <c r="AQ541" s="1285"/>
      <c r="AR541" s="1285"/>
      <c r="AS541" s="1286"/>
      <c r="AT541" s="1287"/>
      <c r="AU541" s="1288"/>
      <c r="AV541" s="1289"/>
      <c r="AW541" s="1290"/>
      <c r="AX541" s="1291"/>
      <c r="AY541" s="1291"/>
      <c r="AZ541" s="1292"/>
      <c r="BA541" s="1293"/>
      <c r="BB541" s="1294"/>
      <c r="BC541" s="1295"/>
      <c r="BD541" s="1296">
        <f>BD540+PROD!L541-BA541</f>
        <v>0</v>
      </c>
      <c r="BE541" s="2133"/>
      <c r="BF541" s="507" t="e">
        <f t="shared" si="297"/>
        <v>#VALUE!</v>
      </c>
      <c r="BG541" s="329"/>
      <c r="BH541" s="1018">
        <f t="shared" si="298"/>
        <v>0</v>
      </c>
    </row>
    <row r="542" spans="1:60" ht="15" customHeight="1" x14ac:dyDescent="0.3">
      <c r="A542" s="2033"/>
      <c r="B542" s="287" t="str">
        <f t="shared" si="299"/>
        <v/>
      </c>
      <c r="C542" s="288" t="str">
        <f t="shared" si="294"/>
        <v/>
      </c>
      <c r="D542" s="691"/>
      <c r="E542" s="692"/>
      <c r="F542" s="693"/>
      <c r="G542" s="694"/>
      <c r="H542" s="695"/>
      <c r="I542" s="289">
        <f>I541-SUM($D542:F542)</f>
        <v>0</v>
      </c>
      <c r="J542" s="1237" t="str">
        <f>$J$10</f>
        <v>% Mort/Sel Acm Tab :</v>
      </c>
      <c r="K542" s="1238">
        <f>IFERROR(LOOKUP($A537,TP!$A$6:$A$108,GSh!$AR$6:$AR$108)/100,0)</f>
        <v>0</v>
      </c>
      <c r="L542" s="1246"/>
      <c r="M542" s="291">
        <f t="shared" si="310"/>
        <v>0</v>
      </c>
      <c r="N542" s="292" t="str">
        <f>$N$10</f>
        <v xml:space="preserve">Uniformidad (C. Lote) : </v>
      </c>
      <c r="O542" s="320">
        <f>LOOKUP($A537,'Pr-Sem'!$A$6:$A$108,'Pr-Sem'!$AG$6:$AG$108)</f>
        <v>0</v>
      </c>
      <c r="P542" s="320">
        <v>90</v>
      </c>
      <c r="Q542" s="321">
        <f>IF(AND(P542&gt;0,O542&gt;0),(O542/P542-1)*100,0)</f>
        <v>0</v>
      </c>
      <c r="R542" s="699"/>
      <c r="S542" s="762"/>
      <c r="T542" s="765">
        <f t="shared" si="305"/>
        <v>0</v>
      </c>
      <c r="U542" s="700"/>
      <c r="V542" s="701"/>
      <c r="W542" s="701"/>
      <c r="X542" s="295">
        <f t="shared" si="300"/>
        <v>0</v>
      </c>
      <c r="Y542" s="296">
        <f>IF(AA542&gt;0,V542,AE537/IF(Iniciar!$C$25="B X 40 K",40,IF(Iniciar!$C$25="B X 50 K",50,1))*I542/1000)</f>
        <v>0</v>
      </c>
      <c r="Z542" s="296">
        <f t="shared" si="301"/>
        <v>0</v>
      </c>
      <c r="AA542" s="297">
        <f t="shared" si="311"/>
        <v>0</v>
      </c>
      <c r="AB542" s="297">
        <f t="shared" si="295"/>
        <v>0</v>
      </c>
      <c r="AC542" s="2037" t="str">
        <f>$AC$10</f>
        <v xml:space="preserve">Cons ml /ave día: </v>
      </c>
      <c r="AD542" s="2038"/>
      <c r="AE542" s="2056">
        <f>IFERROR(SUMPRODUCT(AB537:AB543,I537:I543)/SUM(I537:I543),0)</f>
        <v>0</v>
      </c>
      <c r="AF542" s="2057"/>
      <c r="AG542" s="311" t="str">
        <f>CONCATENATE("Costo ",Iniciar!$C$25," : ")</f>
        <v xml:space="preserve">Costo Kilos : </v>
      </c>
      <c r="AH542" s="2043">
        <f>IFERROR(SUMPRODUCT(T537:T543,V537:V543)/SUMIF(T537:T543,"&gt;0",V537:V543),0)</f>
        <v>0</v>
      </c>
      <c r="AI542" s="2043"/>
      <c r="AJ542" s="313"/>
      <c r="AK542" s="2027"/>
      <c r="AL542" s="1284">
        <f t="shared" si="296"/>
        <v>0</v>
      </c>
      <c r="AM542" s="1285"/>
      <c r="AN542" s="1285"/>
      <c r="AO542" s="1285"/>
      <c r="AP542" s="1285"/>
      <c r="AQ542" s="1285"/>
      <c r="AR542" s="1285"/>
      <c r="AS542" s="1286"/>
      <c r="AT542" s="1287"/>
      <c r="AU542" s="1288"/>
      <c r="AV542" s="1289"/>
      <c r="AW542" s="1290"/>
      <c r="AX542" s="1291"/>
      <c r="AY542" s="1291"/>
      <c r="AZ542" s="1292"/>
      <c r="BA542" s="1293"/>
      <c r="BB542" s="1294"/>
      <c r="BC542" s="1295"/>
      <c r="BD542" s="1296">
        <f>BD541+PROD!L542-BA542</f>
        <v>0</v>
      </c>
      <c r="BE542" s="2133"/>
      <c r="BF542" s="507" t="e">
        <f t="shared" si="297"/>
        <v>#VALUE!</v>
      </c>
      <c r="BG542" s="329"/>
      <c r="BH542" s="1018">
        <f t="shared" si="298"/>
        <v>0</v>
      </c>
    </row>
    <row r="543" spans="1:60" ht="15" customHeight="1" x14ac:dyDescent="0.3">
      <c r="A543" s="2034"/>
      <c r="B543" s="287" t="str">
        <f t="shared" si="299"/>
        <v/>
      </c>
      <c r="C543" s="288" t="str">
        <f t="shared" si="294"/>
        <v/>
      </c>
      <c r="D543" s="691"/>
      <c r="E543" s="692"/>
      <c r="F543" s="693"/>
      <c r="G543" s="694"/>
      <c r="H543" s="695"/>
      <c r="I543" s="289">
        <f>I542-SUM($D543:F543)</f>
        <v>0</v>
      </c>
      <c r="J543" s="1239" t="str">
        <f>$J$11</f>
        <v>% Viabilidad :</v>
      </c>
      <c r="K543" s="1240">
        <f>IF(OR(SUM(L537:L543)&gt;0,SUM(V537:V543)&gt;0),1-(K540+K541),0)</f>
        <v>0</v>
      </c>
      <c r="L543" s="1247"/>
      <c r="M543" s="1248">
        <f>IF(I543&gt;0,(L543/IF(SUM(L537:L542)&gt;0,1,7))/I543,0)</f>
        <v>0</v>
      </c>
      <c r="N543" s="1249" t="str">
        <f>$N$11</f>
        <v xml:space="preserve">Uniformidad (10% +) : </v>
      </c>
      <c r="O543" s="1250">
        <f>IF(O541&gt;0,IF(O542&gt;0,100-SUM(O541:O542),0),0)</f>
        <v>0</v>
      </c>
      <c r="P543" s="1251">
        <f>100-SUM(P541:P542)</f>
        <v>5</v>
      </c>
      <c r="Q543" s="1252">
        <f>IF(AND(P543&gt;0,O543&gt;0),(O543/P543-1)*100,0)</f>
        <v>0</v>
      </c>
      <c r="R543" s="699"/>
      <c r="S543" s="762"/>
      <c r="T543" s="765">
        <f t="shared" si="305"/>
        <v>0</v>
      </c>
      <c r="U543" s="700"/>
      <c r="V543" s="701"/>
      <c r="W543" s="701"/>
      <c r="X543" s="295">
        <f t="shared" si="300"/>
        <v>0</v>
      </c>
      <c r="Y543" s="296">
        <f>IF(AA543&gt;0,V543,AE537/IF(Iniciar!$C$25="B X 40 K",40,IF(Iniciar!$C$25="B X 50 K",50,1))*I543/1000)</f>
        <v>0</v>
      </c>
      <c r="Z543" s="296">
        <f t="shared" si="301"/>
        <v>0</v>
      </c>
      <c r="AA543" s="297">
        <f>IF(I543&gt;0,(V543/IF(SUM(V537:V542)&gt;0,1,7))*$A$1/I543,0)</f>
        <v>0</v>
      </c>
      <c r="AB543" s="297">
        <f t="shared" si="295"/>
        <v>0</v>
      </c>
      <c r="AC543" s="2039" t="str">
        <f>$AC$11</f>
        <v xml:space="preserve">Relación Agua /Alimto: </v>
      </c>
      <c r="AD543" s="2040"/>
      <c r="AE543" s="2058">
        <f>IFERROR(AE542/AD537,0)</f>
        <v>0</v>
      </c>
      <c r="AF543" s="2059"/>
      <c r="AG543" s="1269" t="s">
        <v>237</v>
      </c>
      <c r="AH543" s="1270">
        <f>IF(SUM(L537:L543)&gt;0,AH542*SUM(V537:V543)/SUM(L537:L543),0)</f>
        <v>0</v>
      </c>
      <c r="AI543" s="1270">
        <f>IF(AND($A$1&gt;0,P537&gt;0),AH542/$A$1*(AE537/P537)*100,0)</f>
        <v>0</v>
      </c>
      <c r="AJ543" s="1271">
        <f t="shared" ref="AJ543:AJ548" si="312">IF(AND(AI543&gt;0,AH543&gt;0),(AH543/AI543-1)*100,0)</f>
        <v>0</v>
      </c>
      <c r="AK543" s="2028"/>
      <c r="AL543" s="1284">
        <f t="shared" si="296"/>
        <v>0</v>
      </c>
      <c r="AM543" s="1285"/>
      <c r="AN543" s="1285"/>
      <c r="AO543" s="1285"/>
      <c r="AP543" s="1285"/>
      <c r="AQ543" s="1285"/>
      <c r="AR543" s="1285"/>
      <c r="AS543" s="1286"/>
      <c r="AT543" s="1287"/>
      <c r="AU543" s="1288"/>
      <c r="AV543" s="1289"/>
      <c r="AW543" s="1290"/>
      <c r="AX543" s="1291"/>
      <c r="AY543" s="1291"/>
      <c r="AZ543" s="1292"/>
      <c r="BA543" s="1293"/>
      <c r="BB543" s="1294"/>
      <c r="BC543" s="1295"/>
      <c r="BD543" s="1296">
        <f>BD542+PROD!L543-BA543</f>
        <v>0</v>
      </c>
      <c r="BE543" s="2134"/>
      <c r="BF543" s="507" t="e">
        <f t="shared" si="297"/>
        <v>#VALUE!</v>
      </c>
      <c r="BG543" s="329"/>
      <c r="BH543" s="1018">
        <f t="shared" si="298"/>
        <v>0</v>
      </c>
    </row>
    <row r="544" spans="1:60" ht="15" customHeight="1" x14ac:dyDescent="0.3">
      <c r="A544" s="2032">
        <f>A537+1</f>
        <v>95</v>
      </c>
      <c r="B544" s="287" t="str">
        <f t="shared" si="299"/>
        <v/>
      </c>
      <c r="C544" s="288" t="str">
        <f t="shared" si="294"/>
        <v/>
      </c>
      <c r="D544" s="691"/>
      <c r="E544" s="692"/>
      <c r="F544" s="693"/>
      <c r="G544" s="694"/>
      <c r="H544" s="695"/>
      <c r="I544" s="289">
        <f>I543-SUM($D544:F544)</f>
        <v>0</v>
      </c>
      <c r="J544" s="1232" t="str">
        <f>$J$5</f>
        <v>% Mort Sem :</v>
      </c>
      <c r="K544" s="1233">
        <f>IF(PROD!$K$2&gt;0,SUM(D544:D550)/PROD!$K$2,0)</f>
        <v>0</v>
      </c>
      <c r="L544" s="1241"/>
      <c r="M544" s="1242">
        <f t="shared" ref="M544:M549" si="313">IF(I544&gt;0,L544/I544,0)</f>
        <v>0</v>
      </c>
      <c r="N544" s="1243" t="str">
        <f>$N$5</f>
        <v xml:space="preserve">% Pdn prom semana : </v>
      </c>
      <c r="O544" s="1244">
        <f>IF(SUM(L544:L549)&gt;0,100*SUMPRODUCT(M544:M550,I544:I550)/SUMIF(L544:L550,"&gt;0",I544:I550),IF(L550&gt;0,100*L550/7/I550,0))</f>
        <v>0</v>
      </c>
      <c r="P544" s="1244">
        <f>IFERROR(LOOKUP($A544,TP!$A$6:$A$108,GSh!$AE$6:$AE$108),0)</f>
        <v>0</v>
      </c>
      <c r="Q544" s="1245">
        <f>IF(AND(P544&gt;0,O544&gt;0),O544-P544,0)</f>
        <v>0</v>
      </c>
      <c r="R544" s="699"/>
      <c r="S544" s="762"/>
      <c r="T544" s="765">
        <f t="shared" si="305"/>
        <v>0</v>
      </c>
      <c r="U544" s="700"/>
      <c r="V544" s="701"/>
      <c r="W544" s="701"/>
      <c r="X544" s="295">
        <f t="shared" si="300"/>
        <v>0</v>
      </c>
      <c r="Y544" s="296">
        <f>IF(AA544&gt;0,V544,AE544/IF(Iniciar!$C$25="B X 40 K",40,IF(Iniciar!$C$25="B X 50 K",50,1))*I544/1000)</f>
        <v>0</v>
      </c>
      <c r="Z544" s="296">
        <f t="shared" si="301"/>
        <v>0</v>
      </c>
      <c r="AA544" s="297">
        <f t="shared" ref="AA544:AA549" si="314">IF(I544&gt;0,V544*$A$1/I544,0)</f>
        <v>0</v>
      </c>
      <c r="AB544" s="297">
        <f t="shared" si="295"/>
        <v>0</v>
      </c>
      <c r="AC544" s="1261" t="str">
        <f>$AC$5</f>
        <v>Gr. Ave Dia :</v>
      </c>
      <c r="AD544" s="1262">
        <f>IF(SUMIF(V544:V550,"&gt;0")&gt;0,SUMPRODUCT(AA544:AA550,I544:I550)/SUMIF(AA544:AA550,"&gt;0",I544:I550),0)</f>
        <v>0</v>
      </c>
      <c r="AE544" s="1262">
        <f>IFERROR(LOOKUP($A544,TP!$A$6:$A$108,GSh!$AU$6:$AU$108),0)</f>
        <v>0</v>
      </c>
      <c r="AF544" s="1263">
        <f>IF(AND(AE544&gt;0,AD544&gt;0),(AD544/AE544-1)*100,0)</f>
        <v>0</v>
      </c>
      <c r="AG544" s="1264" t="str">
        <f>PROD!$AG$5</f>
        <v>Gr X H</v>
      </c>
      <c r="AH544" s="1265">
        <f>IF(PROD!O544&gt;0,IF($AG544="Gr X H",PROD!AD544/PROD!O544*100,IF($AG544="Conv Kg/Doc",PROD!AD544/PROD!O544*1.2,IF(PROD!$O546&gt;0,PROD!AD544/(PROD!O544*PROD!$O546)*100,0))),0)</f>
        <v>0</v>
      </c>
      <c r="AI544" s="1265">
        <f>IF(PROD!P544&gt;0,IF($AG544="Gr X H",PROD!AE544/PROD!P544*100,IF($AG544="Conv Kg/Doc",PROD!AE544/PROD!P544*1.2,IF(PROD!$P546&gt;0,PROD!AE544/(PROD!P544*PROD!$P546)*100,0))),0)</f>
        <v>0</v>
      </c>
      <c r="AJ544" s="1266">
        <f t="shared" si="312"/>
        <v>0</v>
      </c>
      <c r="AK544" s="2026"/>
      <c r="AL544" s="1284">
        <f t="shared" si="296"/>
        <v>0</v>
      </c>
      <c r="AM544" s="1285"/>
      <c r="AN544" s="1285"/>
      <c r="AO544" s="1285"/>
      <c r="AP544" s="1285"/>
      <c r="AQ544" s="1285"/>
      <c r="AR544" s="1285"/>
      <c r="AS544" s="1286"/>
      <c r="AT544" s="1287"/>
      <c r="AU544" s="1288"/>
      <c r="AV544" s="1289"/>
      <c r="AW544" s="1290"/>
      <c r="AX544" s="1291"/>
      <c r="AY544" s="1291"/>
      <c r="AZ544" s="1292"/>
      <c r="BA544" s="1293"/>
      <c r="BB544" s="1294"/>
      <c r="BC544" s="1295"/>
      <c r="BD544" s="1296">
        <f>BD543+PROD!L544-BA544</f>
        <v>0</v>
      </c>
      <c r="BE544" s="2132">
        <f>IF(SUM(AM544:AZ550)&gt;0,(SUM(AM544:AM550)*$AM$2+SUM(AN544:AN550)*$AN$2+SUM(AO544:AO550)*$AO$2+SUM(AP544:AP550)*$AP$2+SUM(AQ544:AQ550)*$AQ$2+SUM(AR544:AR550)*$AR$2+SUM(AS544:AS550)*$AS$2+SUM(AW544:AW550)*$AW$2+SUM(AX544:AX550)*$AX$2+SUM(AY544:AY550)*$AY$2+SUM(AZ544:AZ550)*$AZ$2+SUM(AT544:AT550)*$AT$2+SUM(AU544:AU550)*$AU$2+SUM(AV544:AV550)*$AV$2)/SUM(AM544:AZ550),0)</f>
        <v>0</v>
      </c>
      <c r="BF544" s="507" t="e">
        <f t="shared" si="297"/>
        <v>#VALUE!</v>
      </c>
      <c r="BG544" s="277">
        <f>IF(SUM(L544:L550)&gt;0,A544,IF(SUM(V544:V550)&gt;0,A544,BG537))</f>
        <v>0</v>
      </c>
      <c r="BH544" s="1018">
        <f t="shared" si="298"/>
        <v>0</v>
      </c>
    </row>
    <row r="545" spans="1:60" ht="15" customHeight="1" x14ac:dyDescent="0.3">
      <c r="A545" s="2033"/>
      <c r="B545" s="287" t="str">
        <f t="shared" si="299"/>
        <v/>
      </c>
      <c r="C545" s="288" t="str">
        <f t="shared" si="294"/>
        <v/>
      </c>
      <c r="D545" s="691"/>
      <c r="E545" s="692"/>
      <c r="F545" s="693"/>
      <c r="G545" s="694"/>
      <c r="H545" s="695"/>
      <c r="I545" s="289">
        <f>I544-SUM($D545:F545)</f>
        <v>0</v>
      </c>
      <c r="J545" s="1234" t="str">
        <f>$J$6</f>
        <v>% Sel Sem :</v>
      </c>
      <c r="K545" s="1231">
        <f>IF(PROD!$K$2&gt;0,SUM(E544:E550)/PROD!$K$2,0)</f>
        <v>0</v>
      </c>
      <c r="L545" s="1246"/>
      <c r="M545" s="291">
        <f t="shared" si="313"/>
        <v>0</v>
      </c>
      <c r="N545" s="292" t="str">
        <f>$N$6</f>
        <v xml:space="preserve">H. Ave Alojada : </v>
      </c>
      <c r="O545" s="293">
        <f>IF(AND(PROD!$K$2&gt;0,O544&gt;0),SUM(L$5:L550)/PROD!$K$2,0)</f>
        <v>0</v>
      </c>
      <c r="P545" s="293">
        <f>IFERROR(LOOKUP($A544,TP!$A$6:$A$108,GSh!$AJ$6:$AJ$108),0)</f>
        <v>0</v>
      </c>
      <c r="Q545" s="294">
        <f>IF(AND(P545&gt;0,O545&gt;0),O545-P545,0)</f>
        <v>0</v>
      </c>
      <c r="R545" s="699"/>
      <c r="S545" s="762"/>
      <c r="T545" s="765">
        <f t="shared" si="305"/>
        <v>0</v>
      </c>
      <c r="U545" s="700"/>
      <c r="V545" s="701"/>
      <c r="W545" s="701"/>
      <c r="X545" s="295">
        <f t="shared" si="300"/>
        <v>0</v>
      </c>
      <c r="Y545" s="296">
        <f>IF(AA545&gt;0,V545,AE544/IF(Iniciar!$C$25="B X 40 K",40,IF(Iniciar!$C$25="B X 50 K",50,1))*I545/1000)</f>
        <v>0</v>
      </c>
      <c r="Z545" s="296">
        <f t="shared" si="301"/>
        <v>0</v>
      </c>
      <c r="AA545" s="297">
        <f t="shared" si="314"/>
        <v>0</v>
      </c>
      <c r="AB545" s="297">
        <f t="shared" si="295"/>
        <v>0</v>
      </c>
      <c r="AC545" s="1267" t="str">
        <f>$AC$6</f>
        <v>Gr. Ave Sem :</v>
      </c>
      <c r="AD545" s="284">
        <f>AD544*7</f>
        <v>0</v>
      </c>
      <c r="AE545" s="284">
        <f>AE544*7</f>
        <v>0</v>
      </c>
      <c r="AF545" s="285">
        <f>IF(AND(AE545&gt;0,AD545&gt;0),(AD545/AE545-1)*100,0)</f>
        <v>0</v>
      </c>
      <c r="AG545" s="1199" t="str">
        <f>PROD!$AG$6</f>
        <v>Gr X H Acm</v>
      </c>
      <c r="AH545" s="298">
        <f>IF(SUM(PROD!L544:L550)&gt;0,IF(PROD!$AG$5="Gr X H",SUM(PROD!V$5:V550)*PROD!$A$1/SUM(PROD!L$5:L550),IF($AG544="Conv Kg/Doc",(SUM(PROD!V$5:V550)*PROD!$A$1/1000)/(SUM(PROD!L$5:L550)/12),IF(PROD!$O546&gt;0,SUM(PROD!V$5:V550)*PROD!$A$1/(SUM(PROD!L$5:L550)*LOOKUP(PROD!A544,TP!$A$6:$A$108,GSh!$BB$6:$BB$108)),0))),0)</f>
        <v>0</v>
      </c>
      <c r="AI545" s="298">
        <f>IF(PROD!P544&gt;0,IF($AG544="Gr X H",PROD!AE544/PROD!P544*100,IF($AG544="Conv Kg/Doc",PROD!AE544/PROD!P544*1.2,IF(PROD!$P545&gt;0,PROD!AE546/(PROD!P545*LOOKUP(PROD!$A544,TP!$A$6:$A$108,GSh!$BC$6:$BC$108)/1000),0))),0)</f>
        <v>0</v>
      </c>
      <c r="AJ545" s="328">
        <f t="shared" si="312"/>
        <v>0</v>
      </c>
      <c r="AK545" s="2027"/>
      <c r="AL545" s="1284">
        <f t="shared" si="296"/>
        <v>0</v>
      </c>
      <c r="AM545" s="1285"/>
      <c r="AN545" s="1285"/>
      <c r="AO545" s="1285"/>
      <c r="AP545" s="1285"/>
      <c r="AQ545" s="1285"/>
      <c r="AR545" s="1285"/>
      <c r="AS545" s="1286"/>
      <c r="AT545" s="1287"/>
      <c r="AU545" s="1288"/>
      <c r="AV545" s="1289"/>
      <c r="AW545" s="1290"/>
      <c r="AX545" s="1291"/>
      <c r="AY545" s="1291"/>
      <c r="AZ545" s="1292"/>
      <c r="BA545" s="1293"/>
      <c r="BB545" s="1294"/>
      <c r="BC545" s="1295"/>
      <c r="BD545" s="1296">
        <f>BD544+PROD!L545-BA545</f>
        <v>0</v>
      </c>
      <c r="BE545" s="2133"/>
      <c r="BF545" s="507" t="e">
        <f t="shared" si="297"/>
        <v>#VALUE!</v>
      </c>
      <c r="BG545" s="329"/>
      <c r="BH545" s="1018">
        <f t="shared" si="298"/>
        <v>0</v>
      </c>
    </row>
    <row r="546" spans="1:60" ht="15" customHeight="1" x14ac:dyDescent="0.3">
      <c r="A546" s="2033"/>
      <c r="B546" s="287" t="str">
        <f t="shared" si="299"/>
        <v/>
      </c>
      <c r="C546" s="288" t="str">
        <f t="shared" si="294"/>
        <v/>
      </c>
      <c r="D546" s="691"/>
      <c r="E546" s="692"/>
      <c r="F546" s="693"/>
      <c r="G546" s="694"/>
      <c r="H546" s="695"/>
      <c r="I546" s="289">
        <f>I545-SUM($D546:F546)</f>
        <v>0</v>
      </c>
      <c r="J546" s="1235" t="str">
        <f>$J$7</f>
        <v>% Mort/Sel Sem Tab :</v>
      </c>
      <c r="K546" s="1236">
        <f>K549-K542</f>
        <v>0</v>
      </c>
      <c r="L546" s="1246"/>
      <c r="M546" s="291">
        <f t="shared" si="313"/>
        <v>0</v>
      </c>
      <c r="N546" s="304" t="str">
        <f>$N$7</f>
        <v xml:space="preserve">Peso Huevo (Gr) : </v>
      </c>
      <c r="O546" s="305">
        <f>LOOKUP($A544,'Pr-Sem'!$A$6:$A$108,'Pr-Sem'!$Z$6:$Z$108)</f>
        <v>0</v>
      </c>
      <c r="P546" s="305">
        <f>IFERROR(LOOKUP($A544,TP!$A$6:$A$108,GSh!$AZ$6:$AZ$108),0)</f>
        <v>0</v>
      </c>
      <c r="Q546" s="306">
        <f>IF(AND(P546&gt;0,O546&gt;0),O546-P546,0)</f>
        <v>0</v>
      </c>
      <c r="R546" s="699"/>
      <c r="S546" s="762"/>
      <c r="T546" s="765">
        <f t="shared" si="305"/>
        <v>0</v>
      </c>
      <c r="U546" s="700"/>
      <c r="V546" s="701"/>
      <c r="W546" s="701"/>
      <c r="X546" s="295">
        <f t="shared" si="300"/>
        <v>0</v>
      </c>
      <c r="Y546" s="296">
        <f>IF(AA546&gt;0,V546,AE544/IF(Iniciar!$C$25="B X 40 K",40,IF(Iniciar!$C$25="B X 50 K",50,1))*I546/1000)</f>
        <v>0</v>
      </c>
      <c r="Z546" s="296">
        <f t="shared" si="301"/>
        <v>0</v>
      </c>
      <c r="AA546" s="297">
        <f t="shared" si="314"/>
        <v>0</v>
      </c>
      <c r="AB546" s="297">
        <f t="shared" si="295"/>
        <v>0</v>
      </c>
      <c r="AC546" s="1268" t="str">
        <f>$AC$7</f>
        <v>Kg Ave Acu :</v>
      </c>
      <c r="AD546" s="308">
        <f>IF(OR(SUM(L544:L550)&gt;0,SUM(V544:V550)&gt;0),AD545/1000+AD539,0)</f>
        <v>0</v>
      </c>
      <c r="AE546" s="309">
        <f>AE545/1000+AE539</f>
        <v>0</v>
      </c>
      <c r="AF546" s="310">
        <f>IF(AND(AE546&gt;0,AD546&gt;0),(AD546/AE546-1)*100,0)</f>
        <v>0</v>
      </c>
      <c r="AG546" s="311" t="str">
        <f>PROD!$AG$7</f>
        <v xml:space="preserve">Masa Sem H (Gr) : </v>
      </c>
      <c r="AH546" s="312">
        <f>PROD!O544/100*7*PROD!O546</f>
        <v>0</v>
      </c>
      <c r="AI546" s="312">
        <f>PROD!P544/100*7*PROD!P546</f>
        <v>0</v>
      </c>
      <c r="AJ546" s="313">
        <f t="shared" si="312"/>
        <v>0</v>
      </c>
      <c r="AK546" s="2027"/>
      <c r="AL546" s="1284">
        <f t="shared" si="296"/>
        <v>0</v>
      </c>
      <c r="AM546" s="1285"/>
      <c r="AN546" s="1285"/>
      <c r="AO546" s="1285"/>
      <c r="AP546" s="1285"/>
      <c r="AQ546" s="1285"/>
      <c r="AR546" s="1285"/>
      <c r="AS546" s="1286"/>
      <c r="AT546" s="1287"/>
      <c r="AU546" s="1288"/>
      <c r="AV546" s="1289"/>
      <c r="AW546" s="1290"/>
      <c r="AX546" s="1291"/>
      <c r="AY546" s="1291"/>
      <c r="AZ546" s="1292"/>
      <c r="BA546" s="1293"/>
      <c r="BB546" s="1294"/>
      <c r="BC546" s="1295"/>
      <c r="BD546" s="1296">
        <f>BD545+PROD!L546-BA546</f>
        <v>0</v>
      </c>
      <c r="BE546" s="2133"/>
      <c r="BF546" s="507" t="e">
        <f t="shared" si="297"/>
        <v>#VALUE!</v>
      </c>
      <c r="BG546" s="329"/>
      <c r="BH546" s="1018">
        <f t="shared" si="298"/>
        <v>0</v>
      </c>
    </row>
    <row r="547" spans="1:60" ht="15" customHeight="1" x14ac:dyDescent="0.3">
      <c r="A547" s="2033"/>
      <c r="B547" s="287" t="str">
        <f t="shared" si="299"/>
        <v/>
      </c>
      <c r="C547" s="288" t="str">
        <f t="shared" si="294"/>
        <v/>
      </c>
      <c r="D547" s="691"/>
      <c r="E547" s="692"/>
      <c r="F547" s="693"/>
      <c r="G547" s="694"/>
      <c r="H547" s="695"/>
      <c r="I547" s="289">
        <f>I546-SUM($D547:F547)</f>
        <v>0</v>
      </c>
      <c r="J547" s="1234" t="str">
        <f>$J$8</f>
        <v>% Mort Acm :</v>
      </c>
      <c r="K547" s="1231">
        <f>IF(PROD!$K$2&gt;0,SUM(D$5:D550)/PROD!$K$2,0)</f>
        <v>0</v>
      </c>
      <c r="L547" s="1246"/>
      <c r="M547" s="291">
        <f t="shared" si="313"/>
        <v>0</v>
      </c>
      <c r="N547" s="314" t="str">
        <f>N$8</f>
        <v xml:space="preserve">Peso Ave (Gr) : </v>
      </c>
      <c r="O547" s="315">
        <f>LOOKUP($A544,GSh!$BV$6:$BV$108,GSh!$BJ$6:$BJ$108)</f>
        <v>0</v>
      </c>
      <c r="P547" s="315">
        <f>IFERROR(LOOKUP($A544,TP!$A$6:$A$108,GSh!$BK$6:$BK$108),0)</f>
        <v>0</v>
      </c>
      <c r="Q547" s="316">
        <f>IF(AND(P547&gt;0,O547&gt;0),(O547/P547-1)*100,0)</f>
        <v>0</v>
      </c>
      <c r="R547" s="699"/>
      <c r="S547" s="762"/>
      <c r="T547" s="765">
        <f t="shared" si="305"/>
        <v>0</v>
      </c>
      <c r="U547" s="700"/>
      <c r="V547" s="701"/>
      <c r="W547" s="701"/>
      <c r="X547" s="295">
        <f t="shared" si="300"/>
        <v>0</v>
      </c>
      <c r="Y547" s="296">
        <f>IF(AA547&gt;0,V547,AE544/IF(Iniciar!$C$25="B X 40 K",40,IF(Iniciar!$C$25="B X 50 K",50,1))*I547/1000)</f>
        <v>0</v>
      </c>
      <c r="Z547" s="296">
        <f t="shared" si="301"/>
        <v>0</v>
      </c>
      <c r="AA547" s="297">
        <f t="shared" si="314"/>
        <v>0</v>
      </c>
      <c r="AB547" s="297">
        <f t="shared" si="295"/>
        <v>0</v>
      </c>
      <c r="AC547" s="541" t="str">
        <f>$AC$8</f>
        <v xml:space="preserve">Ton. Lote Acu : </v>
      </c>
      <c r="AD547" s="544">
        <f>SUM($V$5:$V550)*$A$1/1000000</f>
        <v>0</v>
      </c>
      <c r="AE547" s="543">
        <f>AE540+(AE544/1000000*7*(I544+I550)/2)</f>
        <v>0</v>
      </c>
      <c r="AF547" s="542">
        <f>IF(AND(AE547&gt;0,AD547&gt;0),(AD547/AE547-1)*100,0)</f>
        <v>0</v>
      </c>
      <c r="AG547" s="317" t="str">
        <f>PROD!$AG$8</f>
        <v xml:space="preserve">Masa Ac A. A (Kg) : </v>
      </c>
      <c r="AH547" s="318">
        <f>IF(PROD!$K$2&gt;0,SUM(PROD!L$5:L550)*LOOKUP(PROD!$A544,TP!$A$6:$A$108,GSh!$BB$6:$BB$108)/1000/PROD!$K$2,0)</f>
        <v>0</v>
      </c>
      <c r="AI547" s="318">
        <f>IFERROR(PROD!P545*LOOKUP(PROD!$A544,TP!$A$6:$A$108,GSh!$BC$6:$BC$108)/1000,0)</f>
        <v>0</v>
      </c>
      <c r="AJ547" s="330">
        <f t="shared" si="312"/>
        <v>0</v>
      </c>
      <c r="AK547" s="2027"/>
      <c r="AL547" s="1284">
        <f t="shared" si="296"/>
        <v>0</v>
      </c>
      <c r="AM547" s="1285"/>
      <c r="AN547" s="1285"/>
      <c r="AO547" s="1285"/>
      <c r="AP547" s="1285"/>
      <c r="AQ547" s="1285"/>
      <c r="AR547" s="1285"/>
      <c r="AS547" s="1286"/>
      <c r="AT547" s="1287"/>
      <c r="AU547" s="1288"/>
      <c r="AV547" s="1289"/>
      <c r="AW547" s="1290"/>
      <c r="AX547" s="1291"/>
      <c r="AY547" s="1291"/>
      <c r="AZ547" s="1292"/>
      <c r="BA547" s="1293"/>
      <c r="BB547" s="1294"/>
      <c r="BC547" s="1295"/>
      <c r="BD547" s="1296">
        <f>BD546+PROD!L547-BA547</f>
        <v>0</v>
      </c>
      <c r="BE547" s="2133"/>
      <c r="BF547" s="507" t="e">
        <f t="shared" si="297"/>
        <v>#VALUE!</v>
      </c>
      <c r="BG547" s="329"/>
      <c r="BH547" s="1018">
        <f t="shared" si="298"/>
        <v>0</v>
      </c>
    </row>
    <row r="548" spans="1:60" ht="15" customHeight="1" x14ac:dyDescent="0.3">
      <c r="A548" s="2033"/>
      <c r="B548" s="287" t="str">
        <f t="shared" si="299"/>
        <v/>
      </c>
      <c r="C548" s="288" t="str">
        <f t="shared" si="294"/>
        <v/>
      </c>
      <c r="D548" s="691"/>
      <c r="E548" s="692"/>
      <c r="F548" s="693"/>
      <c r="G548" s="694"/>
      <c r="H548" s="695"/>
      <c r="I548" s="289">
        <f>I547-SUM($D548:F548)</f>
        <v>0</v>
      </c>
      <c r="J548" s="1234" t="str">
        <f>$J$9</f>
        <v>% Sel Acm :</v>
      </c>
      <c r="K548" s="1231">
        <f>IF(PROD!$K$2&gt;0,SUM(E$5:E550)/PROD!$K$2,0)</f>
        <v>0</v>
      </c>
      <c r="L548" s="1246"/>
      <c r="M548" s="291">
        <f t="shared" si="313"/>
        <v>0</v>
      </c>
      <c r="N548" s="292" t="str">
        <f>$N$9</f>
        <v xml:space="preserve">Uniformidad (10% -) : </v>
      </c>
      <c r="O548" s="320">
        <f>LOOKUP($A544,'Pr-Sem'!$A$6:$A$108,'Pr-Sem'!$AH$6:$AH$108)</f>
        <v>0</v>
      </c>
      <c r="P548" s="320">
        <v>5</v>
      </c>
      <c r="Q548" s="321">
        <f>IF(AND(P548&gt;0,O548&gt;0),(1-O548/P548)*100,0)</f>
        <v>0</v>
      </c>
      <c r="R548" s="699"/>
      <c r="S548" s="762"/>
      <c r="T548" s="765">
        <f t="shared" si="305"/>
        <v>0</v>
      </c>
      <c r="U548" s="700"/>
      <c r="V548" s="701"/>
      <c r="W548" s="701"/>
      <c r="X548" s="295">
        <f t="shared" si="300"/>
        <v>0</v>
      </c>
      <c r="Y548" s="296">
        <f>IF(AA548&gt;0,V548,AE544/IF(Iniciar!$C$25="B X 40 K",40,IF(Iniciar!$C$25="B X 50 K",50,1))*I548/1000)</f>
        <v>0</v>
      </c>
      <c r="Z548" s="296">
        <f t="shared" si="301"/>
        <v>0</v>
      </c>
      <c r="AA548" s="297">
        <f t="shared" si="314"/>
        <v>0</v>
      </c>
      <c r="AB548" s="297">
        <f t="shared" si="295"/>
        <v>0</v>
      </c>
      <c r="AC548" s="2035" t="str">
        <f>$AC$9</f>
        <v xml:space="preserve">Total Litros Sem: </v>
      </c>
      <c r="AD548" s="2036"/>
      <c r="AE548" s="2050">
        <f>SUM(R544:R550)</f>
        <v>0</v>
      </c>
      <c r="AF548" s="2051"/>
      <c r="AG548" s="554" t="str">
        <f>$AG$9</f>
        <v xml:space="preserve">Indicador Eficiencia : </v>
      </c>
      <c r="AH548" s="555">
        <f>IF(AND(AE548&gt;0,O545&gt;0,O546&gt;0,SUM(L544:L550)&gt;0),(PROD!AH547/O545)*K550*100/(AE548/(SUM(L544:L550)*O546/1000)),0)</f>
        <v>0</v>
      </c>
      <c r="AI548" s="555">
        <f>IF(AND(P545&gt;0,PROD!AI546&gt;0),(PROD!AI547/P545)*(1-K549)*100/(AE545/PROD!AI546),0)</f>
        <v>0</v>
      </c>
      <c r="AJ548" s="331">
        <f t="shared" si="312"/>
        <v>0</v>
      </c>
      <c r="AK548" s="2027"/>
      <c r="AL548" s="1284">
        <f t="shared" si="296"/>
        <v>0</v>
      </c>
      <c r="AM548" s="1285"/>
      <c r="AN548" s="1285"/>
      <c r="AO548" s="1285"/>
      <c r="AP548" s="1285"/>
      <c r="AQ548" s="1285"/>
      <c r="AR548" s="1285"/>
      <c r="AS548" s="1286"/>
      <c r="AT548" s="1287"/>
      <c r="AU548" s="1288"/>
      <c r="AV548" s="1289"/>
      <c r="AW548" s="1290"/>
      <c r="AX548" s="1291"/>
      <c r="AY548" s="1291"/>
      <c r="AZ548" s="1292"/>
      <c r="BA548" s="1293"/>
      <c r="BB548" s="1294"/>
      <c r="BC548" s="1295"/>
      <c r="BD548" s="1296">
        <f>BD547+PROD!L548-BA548</f>
        <v>0</v>
      </c>
      <c r="BE548" s="2133"/>
      <c r="BF548" s="507" t="e">
        <f t="shared" si="297"/>
        <v>#VALUE!</v>
      </c>
      <c r="BG548" s="329"/>
      <c r="BH548" s="1018">
        <f t="shared" si="298"/>
        <v>0</v>
      </c>
    </row>
    <row r="549" spans="1:60" ht="15" customHeight="1" x14ac:dyDescent="0.3">
      <c r="A549" s="2033"/>
      <c r="B549" s="287" t="str">
        <f t="shared" si="299"/>
        <v/>
      </c>
      <c r="C549" s="288" t="str">
        <f t="shared" si="294"/>
        <v/>
      </c>
      <c r="D549" s="691"/>
      <c r="E549" s="692"/>
      <c r="F549" s="693"/>
      <c r="G549" s="694"/>
      <c r="H549" s="695"/>
      <c r="I549" s="289">
        <f>I548-SUM($D549:F549)</f>
        <v>0</v>
      </c>
      <c r="J549" s="1237" t="str">
        <f>$J$10</f>
        <v>% Mort/Sel Acm Tab :</v>
      </c>
      <c r="K549" s="1238">
        <f>IFERROR(LOOKUP($A544,TP!$A$6:$A$108,GSh!$AR$6:$AR$108)/100,0)</f>
        <v>0</v>
      </c>
      <c r="L549" s="1246"/>
      <c r="M549" s="291">
        <f t="shared" si="313"/>
        <v>0</v>
      </c>
      <c r="N549" s="292" t="str">
        <f>$N$10</f>
        <v xml:space="preserve">Uniformidad (C. Lote) : </v>
      </c>
      <c r="O549" s="320">
        <f>LOOKUP($A544,'Pr-Sem'!$A$6:$A$108,'Pr-Sem'!$AG$6:$AG$108)</f>
        <v>0</v>
      </c>
      <c r="P549" s="320">
        <v>90</v>
      </c>
      <c r="Q549" s="321">
        <f>IF(AND(P549&gt;0,O549&gt;0),(O549/P549-1)*100,0)</f>
        <v>0</v>
      </c>
      <c r="R549" s="699"/>
      <c r="S549" s="762"/>
      <c r="T549" s="765">
        <f t="shared" si="305"/>
        <v>0</v>
      </c>
      <c r="U549" s="700"/>
      <c r="V549" s="701"/>
      <c r="W549" s="701"/>
      <c r="X549" s="295">
        <f t="shared" si="300"/>
        <v>0</v>
      </c>
      <c r="Y549" s="296">
        <f>IF(AA549&gt;0,V549,AE544/IF(Iniciar!$C$25="B X 40 K",40,IF(Iniciar!$C$25="B X 50 K",50,1))*I549/1000)</f>
        <v>0</v>
      </c>
      <c r="Z549" s="296">
        <f t="shared" si="301"/>
        <v>0</v>
      </c>
      <c r="AA549" s="297">
        <f t="shared" si="314"/>
        <v>0</v>
      </c>
      <c r="AB549" s="297">
        <f t="shared" si="295"/>
        <v>0</v>
      </c>
      <c r="AC549" s="2037" t="str">
        <f>$AC$10</f>
        <v xml:space="preserve">Cons ml /ave día: </v>
      </c>
      <c r="AD549" s="2038"/>
      <c r="AE549" s="2056">
        <f>IFERROR(SUMPRODUCT(AB544:AB550,I544:I550)/SUM(I544:I550),0)</f>
        <v>0</v>
      </c>
      <c r="AF549" s="2057"/>
      <c r="AG549" s="311" t="str">
        <f>CONCATENATE("Costo ",Iniciar!$C$25," : ")</f>
        <v xml:space="preserve">Costo Kilos : </v>
      </c>
      <c r="AH549" s="2043">
        <f>IFERROR(SUMPRODUCT(T544:T550,V544:V550)/SUMIF(T544:T550,"&gt;0",V544:V550),0)</f>
        <v>0</v>
      </c>
      <c r="AI549" s="2043"/>
      <c r="AJ549" s="313"/>
      <c r="AK549" s="2027"/>
      <c r="AL549" s="1284">
        <f t="shared" si="296"/>
        <v>0</v>
      </c>
      <c r="AM549" s="1285"/>
      <c r="AN549" s="1285"/>
      <c r="AO549" s="1285"/>
      <c r="AP549" s="1285"/>
      <c r="AQ549" s="1285"/>
      <c r="AR549" s="1285"/>
      <c r="AS549" s="1286"/>
      <c r="AT549" s="1287"/>
      <c r="AU549" s="1288"/>
      <c r="AV549" s="1289"/>
      <c r="AW549" s="1290"/>
      <c r="AX549" s="1291"/>
      <c r="AY549" s="1291"/>
      <c r="AZ549" s="1292"/>
      <c r="BA549" s="1293"/>
      <c r="BB549" s="1294"/>
      <c r="BC549" s="1295"/>
      <c r="BD549" s="1296">
        <f>BD548+PROD!L549-BA549</f>
        <v>0</v>
      </c>
      <c r="BE549" s="2133"/>
      <c r="BF549" s="507" t="e">
        <f t="shared" si="297"/>
        <v>#VALUE!</v>
      </c>
      <c r="BG549" s="329"/>
      <c r="BH549" s="1018">
        <f t="shared" si="298"/>
        <v>0</v>
      </c>
    </row>
    <row r="550" spans="1:60" ht="15" customHeight="1" x14ac:dyDescent="0.3">
      <c r="A550" s="2034"/>
      <c r="B550" s="287" t="str">
        <f t="shared" si="299"/>
        <v/>
      </c>
      <c r="C550" s="288" t="str">
        <f t="shared" si="294"/>
        <v/>
      </c>
      <c r="D550" s="691"/>
      <c r="E550" s="692"/>
      <c r="F550" s="693"/>
      <c r="G550" s="694"/>
      <c r="H550" s="695"/>
      <c r="I550" s="289">
        <f>I549-SUM($D550:F550)</f>
        <v>0</v>
      </c>
      <c r="J550" s="1239" t="str">
        <f>$J$11</f>
        <v>% Viabilidad :</v>
      </c>
      <c r="K550" s="1240">
        <f>IF(OR(SUM(L544:L550)&gt;0,SUM(V544:V550)&gt;0),1-(K547+K548),0)</f>
        <v>0</v>
      </c>
      <c r="L550" s="1247"/>
      <c r="M550" s="1248">
        <f>IF(I550&gt;0,(L550/IF(SUM(L544:L549)&gt;0,1,7))/I550,0)</f>
        <v>0</v>
      </c>
      <c r="N550" s="1249" t="str">
        <f>$N$11</f>
        <v xml:space="preserve">Uniformidad (10% +) : </v>
      </c>
      <c r="O550" s="1250">
        <f>IF(O548&gt;0,IF(O549&gt;0,100-SUM(O548:O549),0),0)</f>
        <v>0</v>
      </c>
      <c r="P550" s="1251">
        <f>100-SUM(P548:P549)</f>
        <v>5</v>
      </c>
      <c r="Q550" s="1252">
        <f>IF(AND(P550&gt;0,O550&gt;0),(O550/P550-1)*100,0)</f>
        <v>0</v>
      </c>
      <c r="R550" s="699"/>
      <c r="S550" s="762"/>
      <c r="T550" s="765">
        <f t="shared" si="305"/>
        <v>0</v>
      </c>
      <c r="U550" s="700"/>
      <c r="V550" s="701"/>
      <c r="W550" s="701"/>
      <c r="X550" s="295">
        <f t="shared" si="300"/>
        <v>0</v>
      </c>
      <c r="Y550" s="296">
        <f>IF(AA550&gt;0,V550,AE544/IF(Iniciar!$C$25="B X 40 K",40,IF(Iniciar!$C$25="B X 50 K",50,1))*I550/1000)</f>
        <v>0</v>
      </c>
      <c r="Z550" s="296">
        <f t="shared" si="301"/>
        <v>0</v>
      </c>
      <c r="AA550" s="297">
        <f>IF(I550&gt;0,(V550/IF(SUM(V544:V549)&gt;0,1,7))*$A$1/I550,0)</f>
        <v>0</v>
      </c>
      <c r="AB550" s="297">
        <f t="shared" si="295"/>
        <v>0</v>
      </c>
      <c r="AC550" s="2039" t="str">
        <f>$AC$11</f>
        <v xml:space="preserve">Relación Agua /Alimto: </v>
      </c>
      <c r="AD550" s="2040"/>
      <c r="AE550" s="2058">
        <f>IFERROR(AE549/AD544,0)</f>
        <v>0</v>
      </c>
      <c r="AF550" s="2059"/>
      <c r="AG550" s="1269" t="s">
        <v>237</v>
      </c>
      <c r="AH550" s="1270">
        <f>IF(SUM(L544:L550)&gt;0,AH549*SUM(V544:V550)/SUM(L544:L550),0)</f>
        <v>0</v>
      </c>
      <c r="AI550" s="1270">
        <f>IF(AND($A$1&gt;0,P544&gt;0),AH549/$A$1*(AE544/P544)*100,0)</f>
        <v>0</v>
      </c>
      <c r="AJ550" s="1271">
        <f t="shared" ref="AJ550:AJ555" si="315">IF(AND(AI550&gt;0,AH550&gt;0),(AH550/AI550-1)*100,0)</f>
        <v>0</v>
      </c>
      <c r="AK550" s="2028"/>
      <c r="AL550" s="1284">
        <f t="shared" si="296"/>
        <v>0</v>
      </c>
      <c r="AM550" s="1285"/>
      <c r="AN550" s="1285"/>
      <c r="AO550" s="1285"/>
      <c r="AP550" s="1285"/>
      <c r="AQ550" s="1285"/>
      <c r="AR550" s="1285"/>
      <c r="AS550" s="1286"/>
      <c r="AT550" s="1287"/>
      <c r="AU550" s="1288"/>
      <c r="AV550" s="1289"/>
      <c r="AW550" s="1290"/>
      <c r="AX550" s="1291"/>
      <c r="AY550" s="1291"/>
      <c r="AZ550" s="1292"/>
      <c r="BA550" s="1293"/>
      <c r="BB550" s="1294"/>
      <c r="BC550" s="1295"/>
      <c r="BD550" s="1296">
        <f>BD549+PROD!L550-BA550</f>
        <v>0</v>
      </c>
      <c r="BE550" s="2134"/>
      <c r="BF550" s="507" t="e">
        <f t="shared" si="297"/>
        <v>#VALUE!</v>
      </c>
      <c r="BG550" s="329"/>
      <c r="BH550" s="1018">
        <f t="shared" si="298"/>
        <v>0</v>
      </c>
    </row>
    <row r="551" spans="1:60" ht="15" customHeight="1" x14ac:dyDescent="0.3">
      <c r="A551" s="2032">
        <f>A544+1</f>
        <v>96</v>
      </c>
      <c r="B551" s="287" t="str">
        <f t="shared" si="299"/>
        <v/>
      </c>
      <c r="C551" s="288" t="str">
        <f t="shared" si="294"/>
        <v/>
      </c>
      <c r="D551" s="691"/>
      <c r="E551" s="692"/>
      <c r="F551" s="693"/>
      <c r="G551" s="694"/>
      <c r="H551" s="695"/>
      <c r="I551" s="289">
        <f>I550-SUM($D551:F551)</f>
        <v>0</v>
      </c>
      <c r="J551" s="1232" t="str">
        <f>$J$5</f>
        <v>% Mort Sem :</v>
      </c>
      <c r="K551" s="1233">
        <f>IF(PROD!$K$2&gt;0,SUM(D551:D557)/PROD!$K$2,0)</f>
        <v>0</v>
      </c>
      <c r="L551" s="1241"/>
      <c r="M551" s="1242">
        <f t="shared" ref="M551:M556" si="316">IF(I551&gt;0,L551/I551,0)</f>
        <v>0</v>
      </c>
      <c r="N551" s="1243" t="str">
        <f>$N$5</f>
        <v xml:space="preserve">% Pdn prom semana : </v>
      </c>
      <c r="O551" s="1244">
        <f>IF(SUM(L551:L556)&gt;0,100*SUMPRODUCT(M551:M557,I551:I557)/SUMIF(L551:L557,"&gt;0",I551:I557),IF(L557&gt;0,100*L557/7/I557,0))</f>
        <v>0</v>
      </c>
      <c r="P551" s="1244">
        <f>IFERROR(LOOKUP($A551,TP!$A$6:$A$108,GSh!$AE$6:$AE$108),0)</f>
        <v>0</v>
      </c>
      <c r="Q551" s="1245">
        <f>IF(AND(P551&gt;0,O551&gt;0),O551-P551,0)</f>
        <v>0</v>
      </c>
      <c r="R551" s="699"/>
      <c r="S551" s="762"/>
      <c r="T551" s="765">
        <f t="shared" si="305"/>
        <v>0</v>
      </c>
      <c r="U551" s="700"/>
      <c r="V551" s="701"/>
      <c r="W551" s="701"/>
      <c r="X551" s="295">
        <f t="shared" si="300"/>
        <v>0</v>
      </c>
      <c r="Y551" s="296">
        <f>IF(AA551&gt;0,V551,AE551/IF(Iniciar!$C$25="B X 40 K",40,IF(Iniciar!$C$25="B X 50 K",50,1))*I551/1000)</f>
        <v>0</v>
      </c>
      <c r="Z551" s="296">
        <f t="shared" si="301"/>
        <v>0</v>
      </c>
      <c r="AA551" s="297">
        <f t="shared" ref="AA551:AA556" si="317">IF(I551&gt;0,V551*$A$1/I551,0)</f>
        <v>0</v>
      </c>
      <c r="AB551" s="297">
        <f t="shared" si="295"/>
        <v>0</v>
      </c>
      <c r="AC551" s="1261" t="str">
        <f>$AC$5</f>
        <v>Gr. Ave Dia :</v>
      </c>
      <c r="AD551" s="1262">
        <f>IF(SUMIF(V551:V557,"&gt;0")&gt;0,SUMPRODUCT(AA551:AA557,I551:I557)/SUMIF(AA551:AA557,"&gt;0",I551:I557),0)</f>
        <v>0</v>
      </c>
      <c r="AE551" s="1262">
        <f>IFERROR(LOOKUP($A551,TP!$A$6:$A$108,GSh!$AU$6:$AU$108),0)</f>
        <v>0</v>
      </c>
      <c r="AF551" s="1263">
        <f>IF(AND(AE551&gt;0,AD551&gt;0),(AD551/AE551-1)*100,0)</f>
        <v>0</v>
      </c>
      <c r="AG551" s="1264" t="str">
        <f>PROD!$AG$5</f>
        <v>Gr X H</v>
      </c>
      <c r="AH551" s="1265">
        <f>IF(PROD!O551&gt;0,IF($AG551="Gr X H",PROD!AD551/PROD!O551*100,IF($AG551="Conv Kg/Doc",PROD!AD551/PROD!O551*1.2,IF(PROD!$O553&gt;0,PROD!AD551/(PROD!O551*PROD!$O553)*100,0))),0)</f>
        <v>0</v>
      </c>
      <c r="AI551" s="1265">
        <f>IF(PROD!P551&gt;0,IF($AG551="Gr X H",PROD!AE551/PROD!P551*100,IF($AG551="Conv Kg/Doc",PROD!AE551/PROD!P551*1.2,IF(PROD!$P553&gt;0,PROD!AE551/(PROD!P551*PROD!$P553)*100,0))),0)</f>
        <v>0</v>
      </c>
      <c r="AJ551" s="1266">
        <f t="shared" si="315"/>
        <v>0</v>
      </c>
      <c r="AK551" s="2026"/>
      <c r="AL551" s="1284">
        <f t="shared" si="296"/>
        <v>0</v>
      </c>
      <c r="AM551" s="1285"/>
      <c r="AN551" s="1285"/>
      <c r="AO551" s="1285"/>
      <c r="AP551" s="1285"/>
      <c r="AQ551" s="1285"/>
      <c r="AR551" s="1285"/>
      <c r="AS551" s="1286"/>
      <c r="AT551" s="1287"/>
      <c r="AU551" s="1288"/>
      <c r="AV551" s="1289"/>
      <c r="AW551" s="1290"/>
      <c r="AX551" s="1291"/>
      <c r="AY551" s="1291"/>
      <c r="AZ551" s="1292"/>
      <c r="BA551" s="1293"/>
      <c r="BB551" s="1294"/>
      <c r="BC551" s="1295"/>
      <c r="BD551" s="1296">
        <f>BD550+PROD!L551-BA551</f>
        <v>0</v>
      </c>
      <c r="BE551" s="2132">
        <f>IF(SUM(AM551:AZ557)&gt;0,(SUM(AM551:AM557)*$AM$2+SUM(AN551:AN557)*$AN$2+SUM(AO551:AO557)*$AO$2+SUM(AP551:AP557)*$AP$2+SUM(AQ551:AQ557)*$AQ$2+SUM(AR551:AR557)*$AR$2+SUM(AS551:AS557)*$AS$2+SUM(AW551:AW557)*$AW$2+SUM(AX551:AX557)*$AX$2+SUM(AY551:AY557)*$AY$2+SUM(AZ551:AZ557)*$AZ$2+SUM(AT551:AT557)*$AT$2+SUM(AU551:AU557)*$AU$2+SUM(AV551:AV557)*$AV$2)/SUM(AM551:AZ557),0)</f>
        <v>0</v>
      </c>
      <c r="BF551" s="507" t="e">
        <f t="shared" si="297"/>
        <v>#VALUE!</v>
      </c>
      <c r="BG551" s="277">
        <f>IF(SUM(L551:L557)&gt;0,A551,IF(SUM(V551:V557)&gt;0,A551,BG544))</f>
        <v>0</v>
      </c>
      <c r="BH551" s="1018">
        <f t="shared" si="298"/>
        <v>0</v>
      </c>
    </row>
    <row r="552" spans="1:60" ht="15" customHeight="1" x14ac:dyDescent="0.3">
      <c r="A552" s="2033"/>
      <c r="B552" s="287" t="str">
        <f t="shared" si="299"/>
        <v/>
      </c>
      <c r="C552" s="288" t="str">
        <f t="shared" si="294"/>
        <v/>
      </c>
      <c r="D552" s="691"/>
      <c r="E552" s="692"/>
      <c r="F552" s="693"/>
      <c r="G552" s="694"/>
      <c r="H552" s="695"/>
      <c r="I552" s="289">
        <f>I551-SUM($D552:F552)</f>
        <v>0</v>
      </c>
      <c r="J552" s="1234" t="str">
        <f>$J$6</f>
        <v>% Sel Sem :</v>
      </c>
      <c r="K552" s="1231">
        <f>IF(PROD!$K$2&gt;0,SUM(E551:E557)/PROD!$K$2,0)</f>
        <v>0</v>
      </c>
      <c r="L552" s="1246"/>
      <c r="M552" s="291">
        <f t="shared" si="316"/>
        <v>0</v>
      </c>
      <c r="N552" s="292" t="str">
        <f>$N$6</f>
        <v xml:space="preserve">H. Ave Alojada : </v>
      </c>
      <c r="O552" s="293">
        <f>IF(AND(PROD!$K$2&gt;0,O551&gt;0),SUM(L$5:L557)/PROD!$K$2,0)</f>
        <v>0</v>
      </c>
      <c r="P552" s="293">
        <f>IFERROR(LOOKUP($A551,TP!$A$6:$A$108,GSh!$AJ$6:$AJ$108),0)</f>
        <v>0</v>
      </c>
      <c r="Q552" s="294">
        <f>IF(AND(P552&gt;0,O552&gt;0),O552-P552,0)</f>
        <v>0</v>
      </c>
      <c r="R552" s="699"/>
      <c r="S552" s="762"/>
      <c r="T552" s="765">
        <f t="shared" si="305"/>
        <v>0</v>
      </c>
      <c r="U552" s="700"/>
      <c r="V552" s="701"/>
      <c r="W552" s="701"/>
      <c r="X552" s="295">
        <f t="shared" si="300"/>
        <v>0</v>
      </c>
      <c r="Y552" s="296">
        <f>IF(AA552&gt;0,V552,AE551/IF(Iniciar!$C$25="B X 40 K",40,IF(Iniciar!$C$25="B X 50 K",50,1))*I552/1000)</f>
        <v>0</v>
      </c>
      <c r="Z552" s="296">
        <f t="shared" si="301"/>
        <v>0</v>
      </c>
      <c r="AA552" s="297">
        <f t="shared" si="317"/>
        <v>0</v>
      </c>
      <c r="AB552" s="297">
        <f t="shared" si="295"/>
        <v>0</v>
      </c>
      <c r="AC552" s="1267" t="str">
        <f>$AC$6</f>
        <v>Gr. Ave Sem :</v>
      </c>
      <c r="AD552" s="284">
        <f>AD551*7</f>
        <v>0</v>
      </c>
      <c r="AE552" s="284">
        <f>AE551*7</f>
        <v>0</v>
      </c>
      <c r="AF552" s="285">
        <f>IF(AND(AE552&gt;0,AD552&gt;0),(AD552/AE552-1)*100,0)</f>
        <v>0</v>
      </c>
      <c r="AG552" s="1199" t="str">
        <f>PROD!$AG$6</f>
        <v>Gr X H Acm</v>
      </c>
      <c r="AH552" s="298">
        <f>IF(SUM(PROD!L551:L557)&gt;0,IF(PROD!$AG$5="Gr X H",SUM(PROD!V$5:V557)*PROD!$A$1/SUM(PROD!L$5:L557),IF($AG551="Conv Kg/Doc",(SUM(PROD!V$5:V557)*PROD!$A$1/1000)/(SUM(PROD!L$5:L557)/12),IF(PROD!$O553&gt;0,SUM(PROD!V$5:V557)*PROD!$A$1/(SUM(PROD!L$5:L557)*LOOKUP(PROD!A551,TP!$A$6:$A$108,GSh!$BB$6:$BB$108)),0))),0)</f>
        <v>0</v>
      </c>
      <c r="AI552" s="298">
        <f>IF(PROD!P551&gt;0,IF($AG551="Gr X H",PROD!AE551/PROD!P551*100,IF($AG551="Conv Kg/Doc",PROD!AE551/PROD!P551*1.2,IF(PROD!$P552&gt;0,PROD!AE553/(PROD!P552*LOOKUP(PROD!$A551,TP!$A$6:$A$108,GSh!$BC$6:$BC$108)/1000),0))),0)</f>
        <v>0</v>
      </c>
      <c r="AJ552" s="328">
        <f t="shared" si="315"/>
        <v>0</v>
      </c>
      <c r="AK552" s="2027"/>
      <c r="AL552" s="1284">
        <f t="shared" si="296"/>
        <v>0</v>
      </c>
      <c r="AM552" s="1285"/>
      <c r="AN552" s="1285"/>
      <c r="AO552" s="1285"/>
      <c r="AP552" s="1285"/>
      <c r="AQ552" s="1285"/>
      <c r="AR552" s="1285"/>
      <c r="AS552" s="1286"/>
      <c r="AT552" s="1287"/>
      <c r="AU552" s="1288"/>
      <c r="AV552" s="1289"/>
      <c r="AW552" s="1290"/>
      <c r="AX552" s="1291"/>
      <c r="AY552" s="1291"/>
      <c r="AZ552" s="1292"/>
      <c r="BA552" s="1293"/>
      <c r="BB552" s="1294"/>
      <c r="BC552" s="1295"/>
      <c r="BD552" s="1296">
        <f>BD551+PROD!L552-BA552</f>
        <v>0</v>
      </c>
      <c r="BE552" s="2133"/>
      <c r="BF552" s="507" t="e">
        <f t="shared" si="297"/>
        <v>#VALUE!</v>
      </c>
      <c r="BG552" s="329"/>
      <c r="BH552" s="1018">
        <f t="shared" si="298"/>
        <v>0</v>
      </c>
    </row>
    <row r="553" spans="1:60" ht="15" customHeight="1" x14ac:dyDescent="0.3">
      <c r="A553" s="2033"/>
      <c r="B553" s="287" t="str">
        <f t="shared" si="299"/>
        <v/>
      </c>
      <c r="C553" s="288" t="str">
        <f t="shared" si="294"/>
        <v/>
      </c>
      <c r="D553" s="691"/>
      <c r="E553" s="692"/>
      <c r="F553" s="693"/>
      <c r="G553" s="694"/>
      <c r="H553" s="695"/>
      <c r="I553" s="289">
        <f>I552-SUM($D553:F553)</f>
        <v>0</v>
      </c>
      <c r="J553" s="1235" t="str">
        <f>$J$7</f>
        <v>% Mort/Sel Sem Tab :</v>
      </c>
      <c r="K553" s="1236">
        <f>K556-K549</f>
        <v>0</v>
      </c>
      <c r="L553" s="1246"/>
      <c r="M553" s="291">
        <f t="shared" si="316"/>
        <v>0</v>
      </c>
      <c r="N553" s="304" t="str">
        <f>$N$7</f>
        <v xml:space="preserve">Peso Huevo (Gr) : </v>
      </c>
      <c r="O553" s="305">
        <f>LOOKUP($A551,'Pr-Sem'!$A$6:$A$108,'Pr-Sem'!$Z$6:$Z$108)</f>
        <v>0</v>
      </c>
      <c r="P553" s="305">
        <f>IFERROR(LOOKUP($A551,TP!$A$6:$A$108,GSh!$AZ$6:$AZ$108),0)</f>
        <v>0</v>
      </c>
      <c r="Q553" s="306">
        <f>IF(AND(P553&gt;0,O553&gt;0),O553-P553,0)</f>
        <v>0</v>
      </c>
      <c r="R553" s="699"/>
      <c r="S553" s="762"/>
      <c r="T553" s="765">
        <f t="shared" si="305"/>
        <v>0</v>
      </c>
      <c r="U553" s="700"/>
      <c r="V553" s="701"/>
      <c r="W553" s="701"/>
      <c r="X553" s="295">
        <f t="shared" si="300"/>
        <v>0</v>
      </c>
      <c r="Y553" s="296">
        <f>IF(AA553&gt;0,V553,AE551/IF(Iniciar!$C$25="B X 40 K",40,IF(Iniciar!$C$25="B X 50 K",50,1))*I553/1000)</f>
        <v>0</v>
      </c>
      <c r="Z553" s="296">
        <f t="shared" si="301"/>
        <v>0</v>
      </c>
      <c r="AA553" s="297">
        <f t="shared" si="317"/>
        <v>0</v>
      </c>
      <c r="AB553" s="297">
        <f t="shared" si="295"/>
        <v>0</v>
      </c>
      <c r="AC553" s="1268" t="str">
        <f>$AC$7</f>
        <v>Kg Ave Acu :</v>
      </c>
      <c r="AD553" s="308">
        <f>IF(OR(SUM(L551:L557)&gt;0,SUM(V551:V557)&gt;0),AD552/1000+AD546,0)</f>
        <v>0</v>
      </c>
      <c r="AE553" s="309">
        <f>AE552/1000+AE546</f>
        <v>0</v>
      </c>
      <c r="AF553" s="310">
        <f>IF(AND(AE553&gt;0,AD553&gt;0),(AD553/AE553-1)*100,0)</f>
        <v>0</v>
      </c>
      <c r="AG553" s="311" t="str">
        <f>PROD!$AG$7</f>
        <v xml:space="preserve">Masa Sem H (Gr) : </v>
      </c>
      <c r="AH553" s="312">
        <f>PROD!O551/100*7*PROD!O553</f>
        <v>0</v>
      </c>
      <c r="AI553" s="312">
        <f>PROD!P551/100*7*PROD!P553</f>
        <v>0</v>
      </c>
      <c r="AJ553" s="313">
        <f t="shared" si="315"/>
        <v>0</v>
      </c>
      <c r="AK553" s="2027"/>
      <c r="AL553" s="1284">
        <f t="shared" si="296"/>
        <v>0</v>
      </c>
      <c r="AM553" s="1285"/>
      <c r="AN553" s="1285"/>
      <c r="AO553" s="1285"/>
      <c r="AP553" s="1285"/>
      <c r="AQ553" s="1285"/>
      <c r="AR553" s="1285"/>
      <c r="AS553" s="1286"/>
      <c r="AT553" s="1287"/>
      <c r="AU553" s="1288"/>
      <c r="AV553" s="1289"/>
      <c r="AW553" s="1290"/>
      <c r="AX553" s="1291"/>
      <c r="AY553" s="1291"/>
      <c r="AZ553" s="1292"/>
      <c r="BA553" s="1293"/>
      <c r="BB553" s="1294"/>
      <c r="BC553" s="1295"/>
      <c r="BD553" s="1296">
        <f>BD552+PROD!L553-BA553</f>
        <v>0</v>
      </c>
      <c r="BE553" s="2133"/>
      <c r="BF553" s="507" t="e">
        <f t="shared" si="297"/>
        <v>#VALUE!</v>
      </c>
      <c r="BG553" s="329"/>
      <c r="BH553" s="1018">
        <f t="shared" si="298"/>
        <v>0</v>
      </c>
    </row>
    <row r="554" spans="1:60" ht="15" customHeight="1" x14ac:dyDescent="0.3">
      <c r="A554" s="2033"/>
      <c r="B554" s="287" t="str">
        <f t="shared" si="299"/>
        <v/>
      </c>
      <c r="C554" s="288" t="str">
        <f t="shared" si="294"/>
        <v/>
      </c>
      <c r="D554" s="691"/>
      <c r="E554" s="692"/>
      <c r="F554" s="693"/>
      <c r="G554" s="694"/>
      <c r="H554" s="695"/>
      <c r="I554" s="289">
        <f>I553-SUM($D554:F554)</f>
        <v>0</v>
      </c>
      <c r="J554" s="1234" t="str">
        <f>$J$8</f>
        <v>% Mort Acm :</v>
      </c>
      <c r="K554" s="1231">
        <f>IF(PROD!$K$2&gt;0,SUM(D$5:D557)/PROD!$K$2,0)</f>
        <v>0</v>
      </c>
      <c r="L554" s="1246"/>
      <c r="M554" s="291">
        <f t="shared" si="316"/>
        <v>0</v>
      </c>
      <c r="N554" s="314" t="str">
        <f>N$8</f>
        <v xml:space="preserve">Peso Ave (Gr) : </v>
      </c>
      <c r="O554" s="315">
        <f>LOOKUP($A551,GSh!$BV$6:$BV$108,GSh!$BJ$6:$BJ$108)</f>
        <v>0</v>
      </c>
      <c r="P554" s="315">
        <f>IFERROR(LOOKUP($A551,TP!$A$6:$A$108,GSh!$BK$6:$BK$108),0)</f>
        <v>0</v>
      </c>
      <c r="Q554" s="316">
        <f>IF(AND(P554&gt;0,O554&gt;0),(O554/P554-1)*100,0)</f>
        <v>0</v>
      </c>
      <c r="R554" s="699"/>
      <c r="S554" s="762"/>
      <c r="T554" s="765">
        <f t="shared" si="305"/>
        <v>0</v>
      </c>
      <c r="U554" s="700"/>
      <c r="V554" s="701"/>
      <c r="W554" s="701"/>
      <c r="X554" s="295">
        <f t="shared" si="300"/>
        <v>0</v>
      </c>
      <c r="Y554" s="296">
        <f>IF(AA554&gt;0,V554,AE551/IF(Iniciar!$C$25="B X 40 K",40,IF(Iniciar!$C$25="B X 50 K",50,1))*I554/1000)</f>
        <v>0</v>
      </c>
      <c r="Z554" s="296">
        <f t="shared" si="301"/>
        <v>0</v>
      </c>
      <c r="AA554" s="297">
        <f t="shared" si="317"/>
        <v>0</v>
      </c>
      <c r="AB554" s="297">
        <f t="shared" si="295"/>
        <v>0</v>
      </c>
      <c r="AC554" s="541" t="str">
        <f>$AC$8</f>
        <v xml:space="preserve">Ton. Lote Acu : </v>
      </c>
      <c r="AD554" s="544">
        <f>SUM($V$5:$V557)*$A$1/1000000</f>
        <v>0</v>
      </c>
      <c r="AE554" s="543">
        <f>AE547+(AE551/1000000*7*(I551+I557)/2)</f>
        <v>0</v>
      </c>
      <c r="AF554" s="542">
        <f>IF(AND(AE554&gt;0,AD554&gt;0),(AD554/AE554-1)*100,0)</f>
        <v>0</v>
      </c>
      <c r="AG554" s="317" t="str">
        <f>PROD!$AG$8</f>
        <v xml:space="preserve">Masa Ac A. A (Kg) : </v>
      </c>
      <c r="AH554" s="318">
        <f>IF(PROD!$K$2&gt;0,SUM(PROD!L$5:L557)*LOOKUP(PROD!$A551,TP!$A$6:$A$108,GSh!$BB$6:$BB$108)/1000/PROD!$K$2,0)</f>
        <v>0</v>
      </c>
      <c r="AI554" s="318">
        <f>IFERROR(PROD!P552*LOOKUP(PROD!$A551,TP!$A$6:$A$108,GSh!$BC$6:$BC$108)/1000,0)</f>
        <v>0</v>
      </c>
      <c r="AJ554" s="330">
        <f t="shared" si="315"/>
        <v>0</v>
      </c>
      <c r="AK554" s="2027"/>
      <c r="AL554" s="1284">
        <f t="shared" si="296"/>
        <v>0</v>
      </c>
      <c r="AM554" s="1285"/>
      <c r="AN554" s="1285"/>
      <c r="AO554" s="1285"/>
      <c r="AP554" s="1285"/>
      <c r="AQ554" s="1285"/>
      <c r="AR554" s="1285"/>
      <c r="AS554" s="1286"/>
      <c r="AT554" s="1287"/>
      <c r="AU554" s="1288"/>
      <c r="AV554" s="1289"/>
      <c r="AW554" s="1290"/>
      <c r="AX554" s="1291"/>
      <c r="AY554" s="1291"/>
      <c r="AZ554" s="1292"/>
      <c r="BA554" s="1293"/>
      <c r="BB554" s="1294"/>
      <c r="BC554" s="1295"/>
      <c r="BD554" s="1296">
        <f>BD553+PROD!L554-BA554</f>
        <v>0</v>
      </c>
      <c r="BE554" s="2133"/>
      <c r="BF554" s="507" t="e">
        <f t="shared" si="297"/>
        <v>#VALUE!</v>
      </c>
      <c r="BG554" s="329"/>
      <c r="BH554" s="1018">
        <f t="shared" si="298"/>
        <v>0</v>
      </c>
    </row>
    <row r="555" spans="1:60" ht="15" customHeight="1" x14ac:dyDescent="0.3">
      <c r="A555" s="2033"/>
      <c r="B555" s="287" t="str">
        <f t="shared" si="299"/>
        <v/>
      </c>
      <c r="C555" s="288" t="str">
        <f t="shared" si="294"/>
        <v/>
      </c>
      <c r="D555" s="691"/>
      <c r="E555" s="692"/>
      <c r="F555" s="693"/>
      <c r="G555" s="694"/>
      <c r="H555" s="695"/>
      <c r="I555" s="289">
        <f>I554-SUM($D555:F555)</f>
        <v>0</v>
      </c>
      <c r="J555" s="1234" t="str">
        <f>$J$9</f>
        <v>% Sel Acm :</v>
      </c>
      <c r="K555" s="1231">
        <f>IF(PROD!$K$2&gt;0,SUM(E$5:E557)/PROD!$K$2,0)</f>
        <v>0</v>
      </c>
      <c r="L555" s="1246"/>
      <c r="M555" s="291">
        <f t="shared" si="316"/>
        <v>0</v>
      </c>
      <c r="N555" s="292" t="str">
        <f>$N$9</f>
        <v xml:space="preserve">Uniformidad (10% -) : </v>
      </c>
      <c r="O555" s="320">
        <f>LOOKUP($A551,'Pr-Sem'!$A$6:$A$108,'Pr-Sem'!$AH$6:$AH$108)</f>
        <v>0</v>
      </c>
      <c r="P555" s="320">
        <v>5</v>
      </c>
      <c r="Q555" s="321">
        <f>IF(AND(P555&gt;0,O555&gt;0),(1-O555/P555)*100,0)</f>
        <v>0</v>
      </c>
      <c r="R555" s="699"/>
      <c r="S555" s="762"/>
      <c r="T555" s="765">
        <f t="shared" si="305"/>
        <v>0</v>
      </c>
      <c r="U555" s="700"/>
      <c r="V555" s="701"/>
      <c r="W555" s="701"/>
      <c r="X555" s="295">
        <f t="shared" si="300"/>
        <v>0</v>
      </c>
      <c r="Y555" s="296">
        <f>IF(AA555&gt;0,V555,AE551/IF(Iniciar!$C$25="B X 40 K",40,IF(Iniciar!$C$25="B X 50 K",50,1))*I555/1000)</f>
        <v>0</v>
      </c>
      <c r="Z555" s="296">
        <f t="shared" si="301"/>
        <v>0</v>
      </c>
      <c r="AA555" s="297">
        <f t="shared" si="317"/>
        <v>0</v>
      </c>
      <c r="AB555" s="297">
        <f t="shared" si="295"/>
        <v>0</v>
      </c>
      <c r="AC555" s="2035" t="str">
        <f>$AC$9</f>
        <v xml:space="preserve">Total Litros Sem: </v>
      </c>
      <c r="AD555" s="2036"/>
      <c r="AE555" s="2050">
        <f>SUM(R551:R557)</f>
        <v>0</v>
      </c>
      <c r="AF555" s="2051"/>
      <c r="AG555" s="554" t="str">
        <f>$AG$9</f>
        <v xml:space="preserve">Indicador Eficiencia : </v>
      </c>
      <c r="AH555" s="555">
        <f>IF(AND(AE555&gt;0,O552&gt;0,O553&gt;0,SUM(L551:L557)&gt;0),(PROD!AH554/O552)*K557*100/(AE555/(SUM(L551:L557)*O553/1000)),0)</f>
        <v>0</v>
      </c>
      <c r="AI555" s="555">
        <f>IF(AND(P552&gt;0,PROD!AI553&gt;0),(PROD!AI554/P552)*(1-K556)*100/(AE552/PROD!AI553),0)</f>
        <v>0</v>
      </c>
      <c r="AJ555" s="331">
        <f t="shared" si="315"/>
        <v>0</v>
      </c>
      <c r="AK555" s="2027"/>
      <c r="AL555" s="1284">
        <f t="shared" si="296"/>
        <v>0</v>
      </c>
      <c r="AM555" s="1285"/>
      <c r="AN555" s="1285"/>
      <c r="AO555" s="1285"/>
      <c r="AP555" s="1285"/>
      <c r="AQ555" s="1285"/>
      <c r="AR555" s="1285"/>
      <c r="AS555" s="1286"/>
      <c r="AT555" s="1287"/>
      <c r="AU555" s="1288"/>
      <c r="AV555" s="1289"/>
      <c r="AW555" s="1290"/>
      <c r="AX555" s="1291"/>
      <c r="AY555" s="1291"/>
      <c r="AZ555" s="1292"/>
      <c r="BA555" s="1293"/>
      <c r="BB555" s="1294"/>
      <c r="BC555" s="1295"/>
      <c r="BD555" s="1296">
        <f>BD554+PROD!L555-BA555</f>
        <v>0</v>
      </c>
      <c r="BE555" s="2133"/>
      <c r="BF555" s="507" t="e">
        <f t="shared" si="297"/>
        <v>#VALUE!</v>
      </c>
      <c r="BG555" s="329"/>
      <c r="BH555" s="1018">
        <f t="shared" si="298"/>
        <v>0</v>
      </c>
    </row>
    <row r="556" spans="1:60" ht="15" customHeight="1" x14ac:dyDescent="0.3">
      <c r="A556" s="2033"/>
      <c r="B556" s="287" t="str">
        <f t="shared" si="299"/>
        <v/>
      </c>
      <c r="C556" s="288" t="str">
        <f t="shared" si="294"/>
        <v/>
      </c>
      <c r="D556" s="691"/>
      <c r="E556" s="692"/>
      <c r="F556" s="693"/>
      <c r="G556" s="694"/>
      <c r="H556" s="695"/>
      <c r="I556" s="289">
        <f>I555-SUM($D556:F556)</f>
        <v>0</v>
      </c>
      <c r="J556" s="1237" t="str">
        <f>$J$10</f>
        <v>% Mort/Sel Acm Tab :</v>
      </c>
      <c r="K556" s="1238">
        <f>IFERROR(LOOKUP($A551,TP!$A$6:$A$108,GSh!$AR$6:$AR$108)/100,0)</f>
        <v>0</v>
      </c>
      <c r="L556" s="1246"/>
      <c r="M556" s="291">
        <f t="shared" si="316"/>
        <v>0</v>
      </c>
      <c r="N556" s="292" t="str">
        <f>$N$10</f>
        <v xml:space="preserve">Uniformidad (C. Lote) : </v>
      </c>
      <c r="O556" s="320">
        <f>LOOKUP($A551,'Pr-Sem'!$A$6:$A$108,'Pr-Sem'!$AG$6:$AG$108)</f>
        <v>0</v>
      </c>
      <c r="P556" s="320">
        <v>90</v>
      </c>
      <c r="Q556" s="321">
        <f>IF(AND(P556&gt;0,O556&gt;0),(O556/P556-1)*100,0)</f>
        <v>0</v>
      </c>
      <c r="R556" s="699"/>
      <c r="S556" s="762"/>
      <c r="T556" s="765">
        <f t="shared" si="305"/>
        <v>0</v>
      </c>
      <c r="U556" s="700"/>
      <c r="V556" s="701"/>
      <c r="W556" s="701"/>
      <c r="X556" s="295">
        <f t="shared" si="300"/>
        <v>0</v>
      </c>
      <c r="Y556" s="296">
        <f>IF(AA556&gt;0,V556,AE551/IF(Iniciar!$C$25="B X 40 K",40,IF(Iniciar!$C$25="B X 50 K",50,1))*I556/1000)</f>
        <v>0</v>
      </c>
      <c r="Z556" s="296">
        <f t="shared" si="301"/>
        <v>0</v>
      </c>
      <c r="AA556" s="297">
        <f t="shared" si="317"/>
        <v>0</v>
      </c>
      <c r="AB556" s="297">
        <f t="shared" si="295"/>
        <v>0</v>
      </c>
      <c r="AC556" s="2037" t="str">
        <f>$AC$10</f>
        <v xml:space="preserve">Cons ml /ave día: </v>
      </c>
      <c r="AD556" s="2038"/>
      <c r="AE556" s="2056">
        <f>IFERROR(SUMPRODUCT(AB551:AB557,I551:I557)/SUM(I551:I557),0)</f>
        <v>0</v>
      </c>
      <c r="AF556" s="2057"/>
      <c r="AG556" s="311" t="str">
        <f>CONCATENATE("Costo ",Iniciar!$C$25," : ")</f>
        <v xml:space="preserve">Costo Kilos : </v>
      </c>
      <c r="AH556" s="2043">
        <f>IFERROR(SUMPRODUCT(T551:T557,V551:V557)/SUMIF(T551:T557,"&gt;0",V551:V557),0)</f>
        <v>0</v>
      </c>
      <c r="AI556" s="2043"/>
      <c r="AJ556" s="313"/>
      <c r="AK556" s="2027"/>
      <c r="AL556" s="1284">
        <f t="shared" si="296"/>
        <v>0</v>
      </c>
      <c r="AM556" s="1285"/>
      <c r="AN556" s="1285"/>
      <c r="AO556" s="1285"/>
      <c r="AP556" s="1285"/>
      <c r="AQ556" s="1285"/>
      <c r="AR556" s="1285"/>
      <c r="AS556" s="1286"/>
      <c r="AT556" s="1287"/>
      <c r="AU556" s="1288"/>
      <c r="AV556" s="1289"/>
      <c r="AW556" s="1290"/>
      <c r="AX556" s="1291"/>
      <c r="AY556" s="1291"/>
      <c r="AZ556" s="1292"/>
      <c r="BA556" s="1293"/>
      <c r="BB556" s="1294"/>
      <c r="BC556" s="1295"/>
      <c r="BD556" s="1296">
        <f>BD555+PROD!L556-BA556</f>
        <v>0</v>
      </c>
      <c r="BE556" s="2133"/>
      <c r="BF556" s="507" t="e">
        <f t="shared" si="297"/>
        <v>#VALUE!</v>
      </c>
      <c r="BG556" s="329"/>
      <c r="BH556" s="1018">
        <f t="shared" si="298"/>
        <v>0</v>
      </c>
    </row>
    <row r="557" spans="1:60" ht="15" customHeight="1" x14ac:dyDescent="0.3">
      <c r="A557" s="2034"/>
      <c r="B557" s="287" t="str">
        <f t="shared" si="299"/>
        <v/>
      </c>
      <c r="C557" s="288" t="str">
        <f t="shared" si="294"/>
        <v/>
      </c>
      <c r="D557" s="691"/>
      <c r="E557" s="692"/>
      <c r="F557" s="693"/>
      <c r="G557" s="694"/>
      <c r="H557" s="695"/>
      <c r="I557" s="289">
        <f>I556-SUM($D557:F557)</f>
        <v>0</v>
      </c>
      <c r="J557" s="1239" t="str">
        <f>$J$11</f>
        <v>% Viabilidad :</v>
      </c>
      <c r="K557" s="1240">
        <f>IF(OR(SUM(L551:L557)&gt;0,SUM(V551:V557)&gt;0),1-(K554+K555),0)</f>
        <v>0</v>
      </c>
      <c r="L557" s="1247"/>
      <c r="M557" s="1248">
        <f>IF(I557&gt;0,(L557/IF(SUM(L551:L556)&gt;0,1,7))/I557,0)</f>
        <v>0</v>
      </c>
      <c r="N557" s="1249" t="str">
        <f>$N$11</f>
        <v xml:space="preserve">Uniformidad (10% +) : </v>
      </c>
      <c r="O557" s="1250">
        <f>IF(O555&gt;0,IF(O556&gt;0,100-SUM(O555:O556),0),0)</f>
        <v>0</v>
      </c>
      <c r="P557" s="1251">
        <f>100-SUM(P555:P556)</f>
        <v>5</v>
      </c>
      <c r="Q557" s="1252">
        <f>IF(AND(P557&gt;0,O557&gt;0),(O557/P557-1)*100,0)</f>
        <v>0</v>
      </c>
      <c r="R557" s="699"/>
      <c r="S557" s="762"/>
      <c r="T557" s="765">
        <f t="shared" si="305"/>
        <v>0</v>
      </c>
      <c r="U557" s="700"/>
      <c r="V557" s="701"/>
      <c r="W557" s="701"/>
      <c r="X557" s="295">
        <f t="shared" si="300"/>
        <v>0</v>
      </c>
      <c r="Y557" s="296">
        <f>IF(AA557&gt;0,V557,AE551/IF(Iniciar!$C$25="B X 40 K",40,IF(Iniciar!$C$25="B X 50 K",50,1))*I557/1000)</f>
        <v>0</v>
      </c>
      <c r="Z557" s="296">
        <f t="shared" si="301"/>
        <v>0</v>
      </c>
      <c r="AA557" s="297">
        <f>IF(I557&gt;0,(V557/IF(SUM(V551:V556)&gt;0,1,7))*$A$1/I557,0)</f>
        <v>0</v>
      </c>
      <c r="AB557" s="297">
        <f t="shared" si="295"/>
        <v>0</v>
      </c>
      <c r="AC557" s="2039" t="str">
        <f>$AC$11</f>
        <v xml:space="preserve">Relación Agua /Alimto: </v>
      </c>
      <c r="AD557" s="2040"/>
      <c r="AE557" s="2058">
        <f>IFERROR(AE556/AD551,0)</f>
        <v>0</v>
      </c>
      <c r="AF557" s="2059"/>
      <c r="AG557" s="1269" t="s">
        <v>237</v>
      </c>
      <c r="AH557" s="1270">
        <f>IF(SUM(L551:L557)&gt;0,AH556*SUM(V551:V557)/SUM(L551:L557),0)</f>
        <v>0</v>
      </c>
      <c r="AI557" s="1270">
        <f>IF(AND($A$1&gt;0,P551&gt;0),AH556/$A$1*(AE551/P551)*100,0)</f>
        <v>0</v>
      </c>
      <c r="AJ557" s="1271">
        <f t="shared" ref="AJ557:AJ562" si="318">IF(AND(AI557&gt;0,AH557&gt;0),(AH557/AI557-1)*100,0)</f>
        <v>0</v>
      </c>
      <c r="AK557" s="2028"/>
      <c r="AL557" s="1284">
        <f t="shared" si="296"/>
        <v>0</v>
      </c>
      <c r="AM557" s="1285"/>
      <c r="AN557" s="1285"/>
      <c r="AO557" s="1285"/>
      <c r="AP557" s="1285"/>
      <c r="AQ557" s="1285"/>
      <c r="AR557" s="1285"/>
      <c r="AS557" s="1286"/>
      <c r="AT557" s="1287"/>
      <c r="AU557" s="1288"/>
      <c r="AV557" s="1289"/>
      <c r="AW557" s="1290"/>
      <c r="AX557" s="1291"/>
      <c r="AY557" s="1291"/>
      <c r="AZ557" s="1292"/>
      <c r="BA557" s="1293"/>
      <c r="BB557" s="1294"/>
      <c r="BC557" s="1295"/>
      <c r="BD557" s="1296">
        <f>BD556+PROD!L557-BA557</f>
        <v>0</v>
      </c>
      <c r="BE557" s="2134"/>
      <c r="BF557" s="507" t="e">
        <f t="shared" si="297"/>
        <v>#VALUE!</v>
      </c>
      <c r="BG557" s="329"/>
      <c r="BH557" s="1018">
        <f t="shared" si="298"/>
        <v>0</v>
      </c>
    </row>
    <row r="558" spans="1:60" ht="15" customHeight="1" x14ac:dyDescent="0.3">
      <c r="A558" s="2032">
        <f>A551+1</f>
        <v>97</v>
      </c>
      <c r="B558" s="287" t="str">
        <f t="shared" si="299"/>
        <v/>
      </c>
      <c r="C558" s="288" t="str">
        <f t="shared" si="294"/>
        <v/>
      </c>
      <c r="D558" s="691"/>
      <c r="E558" s="692"/>
      <c r="F558" s="693"/>
      <c r="G558" s="694"/>
      <c r="H558" s="695"/>
      <c r="I558" s="289">
        <f>I557-SUM($D558:F558)</f>
        <v>0</v>
      </c>
      <c r="J558" s="1232" t="str">
        <f>$J$5</f>
        <v>% Mort Sem :</v>
      </c>
      <c r="K558" s="1233">
        <f>IF(PROD!$K$2&gt;0,SUM(D558:D564)/PROD!$K$2,0)</f>
        <v>0</v>
      </c>
      <c r="L558" s="1241"/>
      <c r="M558" s="1242">
        <f t="shared" ref="M558:M563" si="319">IF(I558&gt;0,L558/I558,0)</f>
        <v>0</v>
      </c>
      <c r="N558" s="1243" t="str">
        <f>$N$5</f>
        <v xml:space="preserve">% Pdn prom semana : </v>
      </c>
      <c r="O558" s="1244">
        <f>IF(SUM(L558:L563)&gt;0,100*SUMPRODUCT(M558:M564,I558:I564)/SUMIF(L558:L564,"&gt;0",I558:I564),IF(L564&gt;0,100*L564/7/I564,0))</f>
        <v>0</v>
      </c>
      <c r="P558" s="1244">
        <f>IFERROR(LOOKUP($A558,TP!$A$6:$A$108,GSh!$AE$6:$AE$108),0)</f>
        <v>0</v>
      </c>
      <c r="Q558" s="1245">
        <f>IF(AND(P558&gt;0,O558&gt;0),O558-P558,0)</f>
        <v>0</v>
      </c>
      <c r="R558" s="699"/>
      <c r="S558" s="762"/>
      <c r="T558" s="765">
        <f t="shared" si="305"/>
        <v>0</v>
      </c>
      <c r="U558" s="700"/>
      <c r="V558" s="701"/>
      <c r="W558" s="701"/>
      <c r="X558" s="295">
        <f t="shared" si="300"/>
        <v>0</v>
      </c>
      <c r="Y558" s="296">
        <f>IF(AA558&gt;0,V558,AE558/IF(Iniciar!$C$25="B X 40 K",40,IF(Iniciar!$C$25="B X 50 K",50,1))*I558/1000)</f>
        <v>0</v>
      </c>
      <c r="Z558" s="296">
        <f t="shared" si="301"/>
        <v>0</v>
      </c>
      <c r="AA558" s="297">
        <f t="shared" ref="AA558:AA563" si="320">IF(I558&gt;0,V558*$A$1/I558,0)</f>
        <v>0</v>
      </c>
      <c r="AB558" s="297">
        <f t="shared" si="295"/>
        <v>0</v>
      </c>
      <c r="AC558" s="1261" t="str">
        <f>$AC$5</f>
        <v>Gr. Ave Dia :</v>
      </c>
      <c r="AD558" s="1262">
        <f>IF(SUMIF(V558:V564,"&gt;0")&gt;0,SUMPRODUCT(AA558:AA564,I558:I564)/SUMIF(AA558:AA564,"&gt;0",I558:I564),0)</f>
        <v>0</v>
      </c>
      <c r="AE558" s="1262">
        <f>IFERROR(LOOKUP($A558,TP!$A$6:$A$108,GSh!$AU$6:$AU$108),0)</f>
        <v>0</v>
      </c>
      <c r="AF558" s="1263">
        <f>IF(AND(AE558&gt;0,AD558&gt;0),(AD558/AE558-1)*100,0)</f>
        <v>0</v>
      </c>
      <c r="AG558" s="1264" t="str">
        <f>PROD!$AG$5</f>
        <v>Gr X H</v>
      </c>
      <c r="AH558" s="1265">
        <f>IF(PROD!O558&gt;0,IF($AG558="Gr X H",PROD!AD558/PROD!O558*100,IF($AG558="Conv Kg/Doc",PROD!AD558/PROD!O558*1.2,IF(PROD!$O560&gt;0,PROD!AD558/(PROD!O558*PROD!$O560)*100,0))),0)</f>
        <v>0</v>
      </c>
      <c r="AI558" s="1265">
        <f>IF(PROD!P558&gt;0,IF($AG558="Gr X H",PROD!AE558/PROD!P558*100,IF($AG558="Conv Kg/Doc",PROD!AE558/PROD!P558*1.2,IF(PROD!$P560&gt;0,PROD!AE558/(PROD!P558*PROD!$P560)*100,0))),0)</f>
        <v>0</v>
      </c>
      <c r="AJ558" s="1266">
        <f t="shared" si="318"/>
        <v>0</v>
      </c>
      <c r="AK558" s="2026"/>
      <c r="AL558" s="1284">
        <f t="shared" si="296"/>
        <v>0</v>
      </c>
      <c r="AM558" s="1285"/>
      <c r="AN558" s="1285"/>
      <c r="AO558" s="1285"/>
      <c r="AP558" s="1285"/>
      <c r="AQ558" s="1285"/>
      <c r="AR558" s="1285"/>
      <c r="AS558" s="1286"/>
      <c r="AT558" s="1287"/>
      <c r="AU558" s="1288"/>
      <c r="AV558" s="1289"/>
      <c r="AW558" s="1290"/>
      <c r="AX558" s="1291"/>
      <c r="AY558" s="1291"/>
      <c r="AZ558" s="1292"/>
      <c r="BA558" s="1293"/>
      <c r="BB558" s="1294"/>
      <c r="BC558" s="1295"/>
      <c r="BD558" s="1296">
        <f>BD557+PROD!L558-BA558</f>
        <v>0</v>
      </c>
      <c r="BE558" s="2132">
        <f>IF(SUM(AM558:AZ564)&gt;0,(SUM(AM558:AM564)*$AM$2+SUM(AN558:AN564)*$AN$2+SUM(AO558:AO564)*$AO$2+SUM(AP558:AP564)*$AP$2+SUM(AQ558:AQ564)*$AQ$2+SUM(AR558:AR564)*$AR$2+SUM(AS558:AS564)*$AS$2+SUM(AW558:AW564)*$AW$2+SUM(AX558:AX564)*$AX$2+SUM(AY558:AY564)*$AY$2+SUM(AZ558:AZ564)*$AZ$2+SUM(AT558:AT564)*$AT$2+SUM(AU558:AU564)*$AU$2+SUM(AV558:AV564)*$AV$2)/SUM(AM558:AZ564),0)</f>
        <v>0</v>
      </c>
      <c r="BF558" s="507" t="e">
        <f t="shared" si="297"/>
        <v>#VALUE!</v>
      </c>
      <c r="BG558" s="277">
        <f>IF(SUM(L558:L564)&gt;0,A558,IF(SUM(V558:V564)&gt;0,A558,BG551))</f>
        <v>0</v>
      </c>
      <c r="BH558" s="1018">
        <f t="shared" si="298"/>
        <v>0</v>
      </c>
    </row>
    <row r="559" spans="1:60" ht="15" customHeight="1" x14ac:dyDescent="0.3">
      <c r="A559" s="2033"/>
      <c r="B559" s="287" t="str">
        <f t="shared" si="299"/>
        <v/>
      </c>
      <c r="C559" s="288" t="str">
        <f t="shared" si="294"/>
        <v/>
      </c>
      <c r="D559" s="691"/>
      <c r="E559" s="692"/>
      <c r="F559" s="693"/>
      <c r="G559" s="694"/>
      <c r="H559" s="695"/>
      <c r="I559" s="289">
        <f>I558-SUM($D559:F559)</f>
        <v>0</v>
      </c>
      <c r="J559" s="1234" t="str">
        <f>$J$6</f>
        <v>% Sel Sem :</v>
      </c>
      <c r="K559" s="1231">
        <f>IF(PROD!$K$2&gt;0,SUM(E558:E564)/PROD!$K$2,0)</f>
        <v>0</v>
      </c>
      <c r="L559" s="1246"/>
      <c r="M559" s="291">
        <f t="shared" si="319"/>
        <v>0</v>
      </c>
      <c r="N559" s="292" t="str">
        <f>$N$6</f>
        <v xml:space="preserve">H. Ave Alojada : </v>
      </c>
      <c r="O559" s="293">
        <f>IF(AND(PROD!$K$2&gt;0,O558&gt;0),SUM(L$5:L564)/PROD!$K$2,0)</f>
        <v>0</v>
      </c>
      <c r="P559" s="293">
        <f>IFERROR(LOOKUP($A558,TP!$A$6:$A$108,GSh!$AJ$6:$AJ$108),0)</f>
        <v>0</v>
      </c>
      <c r="Q559" s="294">
        <f>IF(AND(P559&gt;0,O559&gt;0),O559-P559,0)</f>
        <v>0</v>
      </c>
      <c r="R559" s="699"/>
      <c r="S559" s="762"/>
      <c r="T559" s="765">
        <f t="shared" si="305"/>
        <v>0</v>
      </c>
      <c r="U559" s="700"/>
      <c r="V559" s="701"/>
      <c r="W559" s="701"/>
      <c r="X559" s="295">
        <f t="shared" si="300"/>
        <v>0</v>
      </c>
      <c r="Y559" s="296">
        <f>IF(AA559&gt;0,V559,AE558/IF(Iniciar!$C$25="B X 40 K",40,IF(Iniciar!$C$25="B X 50 K",50,1))*I559/1000)</f>
        <v>0</v>
      </c>
      <c r="Z559" s="296">
        <f t="shared" si="301"/>
        <v>0</v>
      </c>
      <c r="AA559" s="297">
        <f t="shared" si="320"/>
        <v>0</v>
      </c>
      <c r="AB559" s="297">
        <f t="shared" si="295"/>
        <v>0</v>
      </c>
      <c r="AC559" s="1267" t="str">
        <f>$AC$6</f>
        <v>Gr. Ave Sem :</v>
      </c>
      <c r="AD559" s="284">
        <f>AD558*7</f>
        <v>0</v>
      </c>
      <c r="AE559" s="284">
        <f>AE558*7</f>
        <v>0</v>
      </c>
      <c r="AF559" s="285">
        <f>IF(AND(AE559&gt;0,AD559&gt;0),(AD559/AE559-1)*100,0)</f>
        <v>0</v>
      </c>
      <c r="AG559" s="1199" t="str">
        <f>PROD!$AG$6</f>
        <v>Gr X H Acm</v>
      </c>
      <c r="AH559" s="298">
        <f>IF(SUM(PROD!L558:L564)&gt;0,IF(PROD!$AG$5="Gr X H",SUM(PROD!V$5:V564)*PROD!$A$1/SUM(PROD!L$5:L564),IF($AG558="Conv Kg/Doc",(SUM(PROD!V$5:V564)*PROD!$A$1/1000)/(SUM(PROD!L$5:L564)/12),IF(PROD!$O560&gt;0,SUM(PROD!V$5:V564)*PROD!$A$1/(SUM(PROD!L$5:L564)*LOOKUP(PROD!A558,TP!$A$6:$A$108,GSh!$BB$6:$BB$108)),0))),0)</f>
        <v>0</v>
      </c>
      <c r="AI559" s="298">
        <f>IF(PROD!P558&gt;0,IF($AG558="Gr X H",PROD!AE558/PROD!P558*100,IF($AG558="Conv Kg/Doc",PROD!AE558/PROD!P558*1.2,IF(PROD!$P559&gt;0,PROD!AE560/(PROD!P559*LOOKUP(PROD!$A558,TP!$A$6:$A$108,GSh!$BC$6:$BC$108)/1000),0))),0)</f>
        <v>0</v>
      </c>
      <c r="AJ559" s="328">
        <f t="shared" si="318"/>
        <v>0</v>
      </c>
      <c r="AK559" s="2027"/>
      <c r="AL559" s="1284">
        <f t="shared" si="296"/>
        <v>0</v>
      </c>
      <c r="AM559" s="1285"/>
      <c r="AN559" s="1285"/>
      <c r="AO559" s="1285"/>
      <c r="AP559" s="1285"/>
      <c r="AQ559" s="1285"/>
      <c r="AR559" s="1285"/>
      <c r="AS559" s="1286"/>
      <c r="AT559" s="1287"/>
      <c r="AU559" s="1288"/>
      <c r="AV559" s="1289"/>
      <c r="AW559" s="1290"/>
      <c r="AX559" s="1291"/>
      <c r="AY559" s="1291"/>
      <c r="AZ559" s="1292"/>
      <c r="BA559" s="1293"/>
      <c r="BB559" s="1294"/>
      <c r="BC559" s="1295"/>
      <c r="BD559" s="1296">
        <f>BD558+PROD!L559-BA559</f>
        <v>0</v>
      </c>
      <c r="BE559" s="2133"/>
      <c r="BF559" s="507" t="e">
        <f t="shared" si="297"/>
        <v>#VALUE!</v>
      </c>
      <c r="BG559" s="329"/>
      <c r="BH559" s="1018">
        <f t="shared" si="298"/>
        <v>0</v>
      </c>
    </row>
    <row r="560" spans="1:60" ht="15" customHeight="1" x14ac:dyDescent="0.3">
      <c r="A560" s="2033"/>
      <c r="B560" s="287" t="str">
        <f t="shared" si="299"/>
        <v/>
      </c>
      <c r="C560" s="288" t="str">
        <f t="shared" si="294"/>
        <v/>
      </c>
      <c r="D560" s="691"/>
      <c r="E560" s="692"/>
      <c r="F560" s="693"/>
      <c r="G560" s="694"/>
      <c r="H560" s="695"/>
      <c r="I560" s="289">
        <f>I559-SUM($D560:F560)</f>
        <v>0</v>
      </c>
      <c r="J560" s="1235" t="str">
        <f>$J$7</f>
        <v>% Mort/Sel Sem Tab :</v>
      </c>
      <c r="K560" s="1236">
        <f>K563-K556</f>
        <v>0</v>
      </c>
      <c r="L560" s="1246"/>
      <c r="M560" s="291">
        <f t="shared" si="319"/>
        <v>0</v>
      </c>
      <c r="N560" s="304" t="str">
        <f>$N$7</f>
        <v xml:space="preserve">Peso Huevo (Gr) : </v>
      </c>
      <c r="O560" s="305">
        <f>LOOKUP($A558,'Pr-Sem'!$A$6:$A$108,'Pr-Sem'!$Z$6:$Z$108)</f>
        <v>0</v>
      </c>
      <c r="P560" s="305">
        <f>IFERROR(LOOKUP($A558,TP!$A$6:$A$108,GSh!$AZ$6:$AZ$108),0)</f>
        <v>0</v>
      </c>
      <c r="Q560" s="306">
        <f>IF(AND(P560&gt;0,O560&gt;0),O560-P560,0)</f>
        <v>0</v>
      </c>
      <c r="R560" s="699"/>
      <c r="S560" s="762"/>
      <c r="T560" s="765">
        <f t="shared" si="305"/>
        <v>0</v>
      </c>
      <c r="U560" s="700"/>
      <c r="V560" s="701"/>
      <c r="W560" s="701"/>
      <c r="X560" s="295">
        <f t="shared" si="300"/>
        <v>0</v>
      </c>
      <c r="Y560" s="296">
        <f>IF(AA560&gt;0,V560,AE558/IF(Iniciar!$C$25="B X 40 K",40,IF(Iniciar!$C$25="B X 50 K",50,1))*I560/1000)</f>
        <v>0</v>
      </c>
      <c r="Z560" s="296">
        <f t="shared" si="301"/>
        <v>0</v>
      </c>
      <c r="AA560" s="297">
        <f t="shared" si="320"/>
        <v>0</v>
      </c>
      <c r="AB560" s="297">
        <f t="shared" si="295"/>
        <v>0</v>
      </c>
      <c r="AC560" s="1268" t="str">
        <f>$AC$7</f>
        <v>Kg Ave Acu :</v>
      </c>
      <c r="AD560" s="308">
        <f>IF(OR(SUM(L558:L564)&gt;0,SUM(V558:V564)&gt;0),AD559/1000+AD553,0)</f>
        <v>0</v>
      </c>
      <c r="AE560" s="309">
        <f>AE559/1000+AE553</f>
        <v>0</v>
      </c>
      <c r="AF560" s="310">
        <f>IF(AND(AE560&gt;0,AD560&gt;0),(AD560/AE560-1)*100,0)</f>
        <v>0</v>
      </c>
      <c r="AG560" s="311" t="str">
        <f>PROD!$AG$7</f>
        <v xml:space="preserve">Masa Sem H (Gr) : </v>
      </c>
      <c r="AH560" s="312">
        <f>PROD!O558/100*7*PROD!O560</f>
        <v>0</v>
      </c>
      <c r="AI560" s="312">
        <f>PROD!P558/100*7*PROD!P560</f>
        <v>0</v>
      </c>
      <c r="AJ560" s="313">
        <f t="shared" si="318"/>
        <v>0</v>
      </c>
      <c r="AK560" s="2027"/>
      <c r="AL560" s="1284">
        <f t="shared" si="296"/>
        <v>0</v>
      </c>
      <c r="AM560" s="1285"/>
      <c r="AN560" s="1285"/>
      <c r="AO560" s="1285"/>
      <c r="AP560" s="1285"/>
      <c r="AQ560" s="1285"/>
      <c r="AR560" s="1285"/>
      <c r="AS560" s="1286"/>
      <c r="AT560" s="1287"/>
      <c r="AU560" s="1288"/>
      <c r="AV560" s="1289"/>
      <c r="AW560" s="1290"/>
      <c r="AX560" s="1291"/>
      <c r="AY560" s="1291"/>
      <c r="AZ560" s="1292"/>
      <c r="BA560" s="1293"/>
      <c r="BB560" s="1294"/>
      <c r="BC560" s="1295"/>
      <c r="BD560" s="1296">
        <f>BD559+PROD!L560-BA560</f>
        <v>0</v>
      </c>
      <c r="BE560" s="2133"/>
      <c r="BF560" s="507" t="e">
        <f t="shared" si="297"/>
        <v>#VALUE!</v>
      </c>
      <c r="BG560" s="329"/>
      <c r="BH560" s="1018">
        <f t="shared" si="298"/>
        <v>0</v>
      </c>
    </row>
    <row r="561" spans="1:60" ht="15" customHeight="1" x14ac:dyDescent="0.3">
      <c r="A561" s="2033"/>
      <c r="B561" s="287" t="str">
        <f t="shared" si="299"/>
        <v/>
      </c>
      <c r="C561" s="288" t="str">
        <f t="shared" si="294"/>
        <v/>
      </c>
      <c r="D561" s="691"/>
      <c r="E561" s="692"/>
      <c r="F561" s="693"/>
      <c r="G561" s="694"/>
      <c r="H561" s="695"/>
      <c r="I561" s="289">
        <f>I560-SUM($D561:F561)</f>
        <v>0</v>
      </c>
      <c r="J561" s="1234" t="str">
        <f>$J$8</f>
        <v>% Mort Acm :</v>
      </c>
      <c r="K561" s="1231">
        <f>IF(PROD!$K$2&gt;0,SUM(D$5:D564)/PROD!$K$2,0)</f>
        <v>0</v>
      </c>
      <c r="L561" s="1246"/>
      <c r="M561" s="291">
        <f t="shared" si="319"/>
        <v>0</v>
      </c>
      <c r="N561" s="314" t="str">
        <f>N$8</f>
        <v xml:space="preserve">Peso Ave (Gr) : </v>
      </c>
      <c r="O561" s="315">
        <f>LOOKUP($A558,GSh!$BV$6:$BV$108,GSh!$BJ$6:$BJ$108)</f>
        <v>0</v>
      </c>
      <c r="P561" s="315">
        <f>IFERROR(LOOKUP($A558,TP!$A$6:$A$108,GSh!$BK$6:$BK$108),0)</f>
        <v>0</v>
      </c>
      <c r="Q561" s="316">
        <f>IF(AND(P561&gt;0,O561&gt;0),(O561/P561-1)*100,0)</f>
        <v>0</v>
      </c>
      <c r="R561" s="699"/>
      <c r="S561" s="762"/>
      <c r="T561" s="765">
        <f t="shared" si="305"/>
        <v>0</v>
      </c>
      <c r="U561" s="700"/>
      <c r="V561" s="701"/>
      <c r="W561" s="701"/>
      <c r="X561" s="295">
        <f t="shared" si="300"/>
        <v>0</v>
      </c>
      <c r="Y561" s="296">
        <f>IF(AA561&gt;0,V561,AE558/IF(Iniciar!$C$25="B X 40 K",40,IF(Iniciar!$C$25="B X 50 K",50,1))*I561/1000)</f>
        <v>0</v>
      </c>
      <c r="Z561" s="296">
        <f t="shared" si="301"/>
        <v>0</v>
      </c>
      <c r="AA561" s="297">
        <f t="shared" si="320"/>
        <v>0</v>
      </c>
      <c r="AB561" s="297">
        <f t="shared" si="295"/>
        <v>0</v>
      </c>
      <c r="AC561" s="541" t="str">
        <f>$AC$8</f>
        <v xml:space="preserve">Ton. Lote Acu : </v>
      </c>
      <c r="AD561" s="544">
        <f>SUM($V$5:$V564)*$A$1/1000000</f>
        <v>0</v>
      </c>
      <c r="AE561" s="543">
        <f>AE554+(AE558/1000000*7*(I558+I564)/2)</f>
        <v>0</v>
      </c>
      <c r="AF561" s="542">
        <f>IF(AND(AE561&gt;0,AD561&gt;0),(AD561/AE561-1)*100,0)</f>
        <v>0</v>
      </c>
      <c r="AG561" s="317" t="str">
        <f>PROD!$AG$8</f>
        <v xml:space="preserve">Masa Ac A. A (Kg) : </v>
      </c>
      <c r="AH561" s="318">
        <f>IF(PROD!$K$2&gt;0,SUM(PROD!L$5:L564)*LOOKUP(PROD!$A558,TP!$A$6:$A$108,GSh!$BB$6:$BB$108)/1000/PROD!$K$2,0)</f>
        <v>0</v>
      </c>
      <c r="AI561" s="318">
        <f>IFERROR(PROD!P559*LOOKUP(PROD!$A558,TP!$A$6:$A$108,GSh!$BC$6:$BC$108)/1000,0)</f>
        <v>0</v>
      </c>
      <c r="AJ561" s="330">
        <f t="shared" si="318"/>
        <v>0</v>
      </c>
      <c r="AK561" s="2027"/>
      <c r="AL561" s="1284">
        <f t="shared" si="296"/>
        <v>0</v>
      </c>
      <c r="AM561" s="1285"/>
      <c r="AN561" s="1285"/>
      <c r="AO561" s="1285"/>
      <c r="AP561" s="1285"/>
      <c r="AQ561" s="1285"/>
      <c r="AR561" s="1285"/>
      <c r="AS561" s="1286"/>
      <c r="AT561" s="1287"/>
      <c r="AU561" s="1288"/>
      <c r="AV561" s="1289"/>
      <c r="AW561" s="1290"/>
      <c r="AX561" s="1291"/>
      <c r="AY561" s="1291"/>
      <c r="AZ561" s="1292"/>
      <c r="BA561" s="1293"/>
      <c r="BB561" s="1294"/>
      <c r="BC561" s="1295"/>
      <c r="BD561" s="1296">
        <f>BD560+PROD!L561-BA561</f>
        <v>0</v>
      </c>
      <c r="BE561" s="2133"/>
      <c r="BF561" s="507" t="e">
        <f t="shared" si="297"/>
        <v>#VALUE!</v>
      </c>
      <c r="BG561" s="329"/>
      <c r="BH561" s="1018">
        <f t="shared" si="298"/>
        <v>0</v>
      </c>
    </row>
    <row r="562" spans="1:60" ht="15" customHeight="1" x14ac:dyDescent="0.3">
      <c r="A562" s="2033"/>
      <c r="B562" s="287" t="str">
        <f t="shared" si="299"/>
        <v/>
      </c>
      <c r="C562" s="288" t="str">
        <f t="shared" si="294"/>
        <v/>
      </c>
      <c r="D562" s="691"/>
      <c r="E562" s="692"/>
      <c r="F562" s="693"/>
      <c r="G562" s="694"/>
      <c r="H562" s="695"/>
      <c r="I562" s="289">
        <f>I561-SUM($D562:F562)</f>
        <v>0</v>
      </c>
      <c r="J562" s="1234" t="str">
        <f>$J$9</f>
        <v>% Sel Acm :</v>
      </c>
      <c r="K562" s="1231">
        <f>IF(PROD!$K$2&gt;0,SUM(E$5:E564)/PROD!$K$2,0)</f>
        <v>0</v>
      </c>
      <c r="L562" s="1246"/>
      <c r="M562" s="291">
        <f t="shared" si="319"/>
        <v>0</v>
      </c>
      <c r="N562" s="292" t="str">
        <f>$N$9</f>
        <v xml:space="preserve">Uniformidad (10% -) : </v>
      </c>
      <c r="O562" s="320">
        <f>LOOKUP($A558,'Pr-Sem'!$A$6:$A$108,'Pr-Sem'!$AH$6:$AH$108)</f>
        <v>0</v>
      </c>
      <c r="P562" s="320">
        <v>5</v>
      </c>
      <c r="Q562" s="321">
        <f>IF(AND(P562&gt;0,O562&gt;0),(1-O562/P562)*100,0)</f>
        <v>0</v>
      </c>
      <c r="R562" s="699"/>
      <c r="S562" s="762"/>
      <c r="T562" s="765">
        <f t="shared" si="305"/>
        <v>0</v>
      </c>
      <c r="U562" s="700"/>
      <c r="V562" s="701"/>
      <c r="W562" s="701"/>
      <c r="X562" s="295">
        <f t="shared" si="300"/>
        <v>0</v>
      </c>
      <c r="Y562" s="296">
        <f>IF(AA562&gt;0,V562,AE558/IF(Iniciar!$C$25="B X 40 K",40,IF(Iniciar!$C$25="B X 50 K",50,1))*I562/1000)</f>
        <v>0</v>
      </c>
      <c r="Z562" s="296">
        <f t="shared" si="301"/>
        <v>0</v>
      </c>
      <c r="AA562" s="297">
        <f t="shared" si="320"/>
        <v>0</v>
      </c>
      <c r="AB562" s="297">
        <f t="shared" si="295"/>
        <v>0</v>
      </c>
      <c r="AC562" s="2035" t="str">
        <f>$AC$9</f>
        <v xml:space="preserve">Total Litros Sem: </v>
      </c>
      <c r="AD562" s="2036"/>
      <c r="AE562" s="2050">
        <f>SUM(R558:R564)</f>
        <v>0</v>
      </c>
      <c r="AF562" s="2051"/>
      <c r="AG562" s="554" t="str">
        <f>$AG$9</f>
        <v xml:space="preserve">Indicador Eficiencia : </v>
      </c>
      <c r="AH562" s="555">
        <f>IF(AND(AE562&gt;0,O559&gt;0,O560&gt;0,SUM(L558:L564)&gt;0),(PROD!AH561/O559)*K564*100/(AE562/(SUM(L558:L564)*O560/1000)),0)</f>
        <v>0</v>
      </c>
      <c r="AI562" s="555">
        <f>IF(AND(P559&gt;0,PROD!AI560&gt;0),(PROD!AI561/P559)*(1-K563)*100/(AE559/PROD!AI560),0)</f>
        <v>0</v>
      </c>
      <c r="AJ562" s="331">
        <f t="shared" si="318"/>
        <v>0</v>
      </c>
      <c r="AK562" s="2027"/>
      <c r="AL562" s="1284">
        <f t="shared" si="296"/>
        <v>0</v>
      </c>
      <c r="AM562" s="1285"/>
      <c r="AN562" s="1285"/>
      <c r="AO562" s="1285"/>
      <c r="AP562" s="1285"/>
      <c r="AQ562" s="1285"/>
      <c r="AR562" s="1285"/>
      <c r="AS562" s="1286"/>
      <c r="AT562" s="1287"/>
      <c r="AU562" s="1288"/>
      <c r="AV562" s="1289"/>
      <c r="AW562" s="1290"/>
      <c r="AX562" s="1291"/>
      <c r="AY562" s="1291"/>
      <c r="AZ562" s="1292"/>
      <c r="BA562" s="1293"/>
      <c r="BB562" s="1294"/>
      <c r="BC562" s="1295"/>
      <c r="BD562" s="1296">
        <f>BD561+PROD!L562-BA562</f>
        <v>0</v>
      </c>
      <c r="BE562" s="2133"/>
      <c r="BF562" s="507" t="e">
        <f t="shared" si="297"/>
        <v>#VALUE!</v>
      </c>
      <c r="BG562" s="329"/>
      <c r="BH562" s="1018">
        <f t="shared" si="298"/>
        <v>0</v>
      </c>
    </row>
    <row r="563" spans="1:60" ht="15" customHeight="1" x14ac:dyDescent="0.3">
      <c r="A563" s="2033"/>
      <c r="B563" s="287" t="str">
        <f t="shared" si="299"/>
        <v/>
      </c>
      <c r="C563" s="288" t="str">
        <f t="shared" si="294"/>
        <v/>
      </c>
      <c r="D563" s="691"/>
      <c r="E563" s="692"/>
      <c r="F563" s="693"/>
      <c r="G563" s="694"/>
      <c r="H563" s="695"/>
      <c r="I563" s="289">
        <f>I562-SUM($D563:F563)</f>
        <v>0</v>
      </c>
      <c r="J563" s="1237" t="str">
        <f>$J$10</f>
        <v>% Mort/Sel Acm Tab :</v>
      </c>
      <c r="K563" s="1238">
        <f>IFERROR(LOOKUP($A558,TP!$A$6:$A$108,GSh!$AR$6:$AR$108)/100,0)</f>
        <v>0</v>
      </c>
      <c r="L563" s="1246"/>
      <c r="M563" s="291">
        <f t="shared" si="319"/>
        <v>0</v>
      </c>
      <c r="N563" s="292" t="str">
        <f>$N$10</f>
        <v xml:space="preserve">Uniformidad (C. Lote) : </v>
      </c>
      <c r="O563" s="320">
        <f>LOOKUP($A558,'Pr-Sem'!$A$6:$A$108,'Pr-Sem'!$AG$6:$AG$108)</f>
        <v>0</v>
      </c>
      <c r="P563" s="320">
        <v>90</v>
      </c>
      <c r="Q563" s="321">
        <f>IF(AND(P563&gt;0,O563&gt;0),(O563/P563-1)*100,0)</f>
        <v>0</v>
      </c>
      <c r="R563" s="699"/>
      <c r="S563" s="762"/>
      <c r="T563" s="765">
        <f t="shared" si="305"/>
        <v>0</v>
      </c>
      <c r="U563" s="700"/>
      <c r="V563" s="701"/>
      <c r="W563" s="701"/>
      <c r="X563" s="295">
        <f t="shared" si="300"/>
        <v>0</v>
      </c>
      <c r="Y563" s="296">
        <f>IF(AA563&gt;0,V563,AE558/IF(Iniciar!$C$25="B X 40 K",40,IF(Iniciar!$C$25="B X 50 K",50,1))*I563/1000)</f>
        <v>0</v>
      </c>
      <c r="Z563" s="296">
        <f t="shared" si="301"/>
        <v>0</v>
      </c>
      <c r="AA563" s="297">
        <f t="shared" si="320"/>
        <v>0</v>
      </c>
      <c r="AB563" s="297">
        <f t="shared" si="295"/>
        <v>0</v>
      </c>
      <c r="AC563" s="2037" t="str">
        <f>$AC$10</f>
        <v xml:space="preserve">Cons ml /ave día: </v>
      </c>
      <c r="AD563" s="2038"/>
      <c r="AE563" s="2056">
        <f>IFERROR(SUMPRODUCT(AB558:AB564,I558:I564)/SUM(I558:I564),0)</f>
        <v>0</v>
      </c>
      <c r="AF563" s="2057"/>
      <c r="AG563" s="311" t="str">
        <f>CONCATENATE("Costo ",Iniciar!$C$25," : ")</f>
        <v xml:space="preserve">Costo Kilos : </v>
      </c>
      <c r="AH563" s="2043">
        <f>IFERROR(SUMPRODUCT(T558:T564,V558:V564)/SUMIF(T558:T564,"&gt;0",V558:V564),0)</f>
        <v>0</v>
      </c>
      <c r="AI563" s="2043"/>
      <c r="AJ563" s="313"/>
      <c r="AK563" s="2027"/>
      <c r="AL563" s="1284">
        <f t="shared" si="296"/>
        <v>0</v>
      </c>
      <c r="AM563" s="1285"/>
      <c r="AN563" s="1285"/>
      <c r="AO563" s="1285"/>
      <c r="AP563" s="1285"/>
      <c r="AQ563" s="1285"/>
      <c r="AR563" s="1285"/>
      <c r="AS563" s="1286"/>
      <c r="AT563" s="1287"/>
      <c r="AU563" s="1288"/>
      <c r="AV563" s="1289"/>
      <c r="AW563" s="1290"/>
      <c r="AX563" s="1291"/>
      <c r="AY563" s="1291"/>
      <c r="AZ563" s="1292"/>
      <c r="BA563" s="1293"/>
      <c r="BB563" s="1294"/>
      <c r="BC563" s="1295"/>
      <c r="BD563" s="1296">
        <f>BD562+PROD!L563-BA563</f>
        <v>0</v>
      </c>
      <c r="BE563" s="2133"/>
      <c r="BF563" s="507" t="e">
        <f t="shared" si="297"/>
        <v>#VALUE!</v>
      </c>
      <c r="BG563" s="329"/>
      <c r="BH563" s="1018">
        <f t="shared" si="298"/>
        <v>0</v>
      </c>
    </row>
    <row r="564" spans="1:60" ht="15" customHeight="1" x14ac:dyDescent="0.3">
      <c r="A564" s="2034"/>
      <c r="B564" s="287" t="str">
        <f t="shared" si="299"/>
        <v/>
      </c>
      <c r="C564" s="288" t="str">
        <f t="shared" si="294"/>
        <v/>
      </c>
      <c r="D564" s="691"/>
      <c r="E564" s="692"/>
      <c r="F564" s="693"/>
      <c r="G564" s="694"/>
      <c r="H564" s="695"/>
      <c r="I564" s="289">
        <f>I563-SUM($D564:F564)</f>
        <v>0</v>
      </c>
      <c r="J564" s="1239" t="str">
        <f>$J$11</f>
        <v>% Viabilidad :</v>
      </c>
      <c r="K564" s="1240">
        <f>IF(OR(SUM(L558:L564)&gt;0,SUM(V558:V564)&gt;0),1-(K561+K562),0)</f>
        <v>0</v>
      </c>
      <c r="L564" s="1247"/>
      <c r="M564" s="1248">
        <f>IF(I564&gt;0,(L564/IF(SUM(L558:L563)&gt;0,1,7))/I564,0)</f>
        <v>0</v>
      </c>
      <c r="N564" s="1249" t="str">
        <f>$N$11</f>
        <v xml:space="preserve">Uniformidad (10% +) : </v>
      </c>
      <c r="O564" s="1250">
        <f>IF(O562&gt;0,IF(O563&gt;0,100-SUM(O562:O563),0),0)</f>
        <v>0</v>
      </c>
      <c r="P564" s="1251">
        <f>100-SUM(P562:P563)</f>
        <v>5</v>
      </c>
      <c r="Q564" s="1252">
        <f>IF(AND(P564&gt;0,O564&gt;0),(O564/P564-1)*100,0)</f>
        <v>0</v>
      </c>
      <c r="R564" s="699"/>
      <c r="S564" s="762"/>
      <c r="T564" s="765">
        <f t="shared" si="305"/>
        <v>0</v>
      </c>
      <c r="U564" s="700"/>
      <c r="V564" s="701"/>
      <c r="W564" s="701"/>
      <c r="X564" s="295">
        <f t="shared" si="300"/>
        <v>0</v>
      </c>
      <c r="Y564" s="296">
        <f>IF(AA564&gt;0,V564,AE558/IF(Iniciar!$C$25="B X 40 K",40,IF(Iniciar!$C$25="B X 50 K",50,1))*I564/1000)</f>
        <v>0</v>
      </c>
      <c r="Z564" s="296">
        <f t="shared" si="301"/>
        <v>0</v>
      </c>
      <c r="AA564" s="297">
        <f>IF(I564&gt;0,(V564/IF(SUM(V558:V563)&gt;0,1,7))*$A$1/I564,0)</f>
        <v>0</v>
      </c>
      <c r="AB564" s="297">
        <f t="shared" si="295"/>
        <v>0</v>
      </c>
      <c r="AC564" s="2039" t="str">
        <f>$AC$11</f>
        <v xml:space="preserve">Relación Agua /Alimto: </v>
      </c>
      <c r="AD564" s="2040"/>
      <c r="AE564" s="2058">
        <f>IFERROR(AE563/AD558,0)</f>
        <v>0</v>
      </c>
      <c r="AF564" s="2059"/>
      <c r="AG564" s="1269" t="s">
        <v>237</v>
      </c>
      <c r="AH564" s="1270">
        <f>IF(SUM(L558:L564)&gt;0,AH563*SUM(V558:V564)/SUM(L558:L564),0)</f>
        <v>0</v>
      </c>
      <c r="AI564" s="1270">
        <f>IF(AND($A$1&gt;0,P558&gt;0),AH563/$A$1*(AE558/P558)*100,0)</f>
        <v>0</v>
      </c>
      <c r="AJ564" s="1271">
        <f t="shared" ref="AJ564:AJ569" si="321">IF(AND(AI564&gt;0,AH564&gt;0),(AH564/AI564-1)*100,0)</f>
        <v>0</v>
      </c>
      <c r="AK564" s="2028"/>
      <c r="AL564" s="1284">
        <f t="shared" si="296"/>
        <v>0</v>
      </c>
      <c r="AM564" s="1285"/>
      <c r="AN564" s="1285"/>
      <c r="AO564" s="1285"/>
      <c r="AP564" s="1285"/>
      <c r="AQ564" s="1285"/>
      <c r="AR564" s="1285"/>
      <c r="AS564" s="1286"/>
      <c r="AT564" s="1287"/>
      <c r="AU564" s="1288"/>
      <c r="AV564" s="1289"/>
      <c r="AW564" s="1290"/>
      <c r="AX564" s="1291"/>
      <c r="AY564" s="1291"/>
      <c r="AZ564" s="1292"/>
      <c r="BA564" s="1293"/>
      <c r="BB564" s="1294"/>
      <c r="BC564" s="1295"/>
      <c r="BD564" s="1296">
        <f>BD563+PROD!L564-BA564</f>
        <v>0</v>
      </c>
      <c r="BE564" s="2134"/>
      <c r="BF564" s="507" t="e">
        <f t="shared" si="297"/>
        <v>#VALUE!</v>
      </c>
      <c r="BG564" s="329"/>
      <c r="BH564" s="1018">
        <f t="shared" si="298"/>
        <v>0</v>
      </c>
    </row>
    <row r="565" spans="1:60" ht="15" customHeight="1" x14ac:dyDescent="0.3">
      <c r="A565" s="2032">
        <f>A558+1</f>
        <v>98</v>
      </c>
      <c r="B565" s="287" t="str">
        <f t="shared" si="299"/>
        <v/>
      </c>
      <c r="C565" s="288" t="str">
        <f t="shared" si="294"/>
        <v/>
      </c>
      <c r="D565" s="691"/>
      <c r="E565" s="692"/>
      <c r="F565" s="693"/>
      <c r="G565" s="694"/>
      <c r="H565" s="695"/>
      <c r="I565" s="289">
        <f>I564-SUM($D565:F565)</f>
        <v>0</v>
      </c>
      <c r="J565" s="1232" t="str">
        <f>$J$5</f>
        <v>% Mort Sem :</v>
      </c>
      <c r="K565" s="1233">
        <f>IF(PROD!$K$2&gt;0,SUM(D565:D571)/PROD!$K$2,0)</f>
        <v>0</v>
      </c>
      <c r="L565" s="1241"/>
      <c r="M565" s="1242">
        <f t="shared" ref="M565:M570" si="322">IF(I565&gt;0,L565/I565,0)</f>
        <v>0</v>
      </c>
      <c r="N565" s="1243" t="str">
        <f>$N$5</f>
        <v xml:space="preserve">% Pdn prom semana : </v>
      </c>
      <c r="O565" s="1244">
        <f>IF(SUM(L565:L570)&gt;0,100*SUMPRODUCT(M565:M571,I565:I571)/SUMIF(L565:L571,"&gt;0",I565:I571),IF(L571&gt;0,100*L571/7/I571,0))</f>
        <v>0</v>
      </c>
      <c r="P565" s="1244">
        <f>IFERROR(LOOKUP($A565,TP!$A$6:$A$108,GSh!$AE$6:$AE$108),0)</f>
        <v>0</v>
      </c>
      <c r="Q565" s="1245">
        <f>IF(AND(P565&gt;0,O565&gt;0),O565-P565,0)</f>
        <v>0</v>
      </c>
      <c r="R565" s="699"/>
      <c r="S565" s="762"/>
      <c r="T565" s="765">
        <f t="shared" si="305"/>
        <v>0</v>
      </c>
      <c r="U565" s="700"/>
      <c r="V565" s="701"/>
      <c r="W565" s="701"/>
      <c r="X565" s="295">
        <f t="shared" si="300"/>
        <v>0</v>
      </c>
      <c r="Y565" s="296">
        <f>IF(AA565&gt;0,V565,AE565/IF(Iniciar!$C$25="B X 40 K",40,IF(Iniciar!$C$25="B X 50 K",50,1))*I565/1000)</f>
        <v>0</v>
      </c>
      <c r="Z565" s="296">
        <f t="shared" si="301"/>
        <v>0</v>
      </c>
      <c r="AA565" s="297">
        <f t="shared" ref="AA565:AA570" si="323">IF(I565&gt;0,V565*$A$1/I565,0)</f>
        <v>0</v>
      </c>
      <c r="AB565" s="297">
        <f t="shared" si="295"/>
        <v>0</v>
      </c>
      <c r="AC565" s="1261" t="str">
        <f>$AC$5</f>
        <v>Gr. Ave Dia :</v>
      </c>
      <c r="AD565" s="1262">
        <f>IF(SUMIF(V565:V571,"&gt;0")&gt;0,SUMPRODUCT(AA565:AA571,I565:I571)/SUMIF(AA565:AA571,"&gt;0",I565:I571),0)</f>
        <v>0</v>
      </c>
      <c r="AE565" s="1262">
        <f>IFERROR(LOOKUP($A565,TP!$A$6:$A$108,GSh!$AU$6:$AU$108),0)</f>
        <v>0</v>
      </c>
      <c r="AF565" s="1263">
        <f>IF(AND(AE565&gt;0,AD565&gt;0),(AD565/AE565-1)*100,0)</f>
        <v>0</v>
      </c>
      <c r="AG565" s="1264" t="str">
        <f>PROD!$AG$5</f>
        <v>Gr X H</v>
      </c>
      <c r="AH565" s="1265">
        <f>IF(PROD!O565&gt;0,IF($AG565="Gr X H",PROD!AD565/PROD!O565*100,IF($AG565="Conv Kg/Doc",PROD!AD565/PROD!O565*1.2,IF(PROD!$O567&gt;0,PROD!AD565/(PROD!O565*PROD!$O567)*100,0))),0)</f>
        <v>0</v>
      </c>
      <c r="AI565" s="1265">
        <f>IF(PROD!P565&gt;0,IF($AG565="Gr X H",PROD!AE565/PROD!P565*100,IF($AG565="Conv Kg/Doc",PROD!AE565/PROD!P565*1.2,IF(PROD!$P567&gt;0,PROD!AE565/(PROD!P565*PROD!$P567)*100,0))),0)</f>
        <v>0</v>
      </c>
      <c r="AJ565" s="1266">
        <f t="shared" si="321"/>
        <v>0</v>
      </c>
      <c r="AK565" s="2026"/>
      <c r="AL565" s="1284">
        <f t="shared" si="296"/>
        <v>0</v>
      </c>
      <c r="AM565" s="1285"/>
      <c r="AN565" s="1285"/>
      <c r="AO565" s="1285"/>
      <c r="AP565" s="1285"/>
      <c r="AQ565" s="1285"/>
      <c r="AR565" s="1285"/>
      <c r="AS565" s="1286"/>
      <c r="AT565" s="1287"/>
      <c r="AU565" s="1288"/>
      <c r="AV565" s="1289"/>
      <c r="AW565" s="1290"/>
      <c r="AX565" s="1291"/>
      <c r="AY565" s="1291"/>
      <c r="AZ565" s="1292"/>
      <c r="BA565" s="1293"/>
      <c r="BB565" s="1294"/>
      <c r="BC565" s="1295"/>
      <c r="BD565" s="1296">
        <f>BD564+PROD!L565-BA565</f>
        <v>0</v>
      </c>
      <c r="BE565" s="2132">
        <f>IF(SUM(AM565:AZ571)&gt;0,(SUM(AM565:AM571)*$AM$2+SUM(AN565:AN571)*$AN$2+SUM(AO565:AO571)*$AO$2+SUM(AP565:AP571)*$AP$2+SUM(AQ565:AQ571)*$AQ$2+SUM(AR565:AR571)*$AR$2+SUM(AS565:AS571)*$AS$2+SUM(AW565:AW571)*$AW$2+SUM(AX565:AX571)*$AX$2+SUM(AY565:AY571)*$AY$2+SUM(AZ565:AZ571)*$AZ$2+SUM(AT565:AT571)*$AT$2+SUM(AU565:AU571)*$AU$2+SUM(AV565:AV571)*$AV$2)/SUM(AM565:AZ571),0)</f>
        <v>0</v>
      </c>
      <c r="BF565" s="507" t="e">
        <f t="shared" si="297"/>
        <v>#VALUE!</v>
      </c>
      <c r="BG565" s="277">
        <f>IF(SUM(L565:L571)&gt;0,A565,IF(SUM(V565:V571)&gt;0,A565,BG558))</f>
        <v>0</v>
      </c>
      <c r="BH565" s="1018">
        <f t="shared" si="298"/>
        <v>0</v>
      </c>
    </row>
    <row r="566" spans="1:60" ht="15" customHeight="1" x14ac:dyDescent="0.3">
      <c r="A566" s="2033"/>
      <c r="B566" s="287" t="str">
        <f t="shared" si="299"/>
        <v/>
      </c>
      <c r="C566" s="288" t="str">
        <f t="shared" si="294"/>
        <v/>
      </c>
      <c r="D566" s="691"/>
      <c r="E566" s="692"/>
      <c r="F566" s="693"/>
      <c r="G566" s="694"/>
      <c r="H566" s="695"/>
      <c r="I566" s="289">
        <f>I565-SUM($D566:F566)</f>
        <v>0</v>
      </c>
      <c r="J566" s="1234" t="str">
        <f>$J$6</f>
        <v>% Sel Sem :</v>
      </c>
      <c r="K566" s="1231">
        <f>IF(PROD!$K$2&gt;0,SUM(E565:E571)/PROD!$K$2,0)</f>
        <v>0</v>
      </c>
      <c r="L566" s="1246"/>
      <c r="M566" s="291">
        <f t="shared" si="322"/>
        <v>0</v>
      </c>
      <c r="N566" s="292" t="str">
        <f>$N$6</f>
        <v xml:space="preserve">H. Ave Alojada : </v>
      </c>
      <c r="O566" s="293">
        <f>IF(AND(PROD!$K$2&gt;0,O565&gt;0),SUM(L$5:L571)/PROD!$K$2,0)</f>
        <v>0</v>
      </c>
      <c r="P566" s="293">
        <f>IFERROR(LOOKUP($A565,TP!$A$6:$A$108,GSh!$AJ$6:$AJ$108),0)</f>
        <v>0</v>
      </c>
      <c r="Q566" s="294">
        <f>IF(AND(P566&gt;0,O566&gt;0),O566-P566,0)</f>
        <v>0</v>
      </c>
      <c r="R566" s="699"/>
      <c r="S566" s="762"/>
      <c r="T566" s="765">
        <f t="shared" si="305"/>
        <v>0</v>
      </c>
      <c r="U566" s="700"/>
      <c r="V566" s="701"/>
      <c r="W566" s="701"/>
      <c r="X566" s="295">
        <f t="shared" si="300"/>
        <v>0</v>
      </c>
      <c r="Y566" s="296">
        <f>IF(AA566&gt;0,V566,AE565/IF(Iniciar!$C$25="B X 40 K",40,IF(Iniciar!$C$25="B X 50 K",50,1))*I566/1000)</f>
        <v>0</v>
      </c>
      <c r="Z566" s="296">
        <f t="shared" si="301"/>
        <v>0</v>
      </c>
      <c r="AA566" s="297">
        <f t="shared" si="323"/>
        <v>0</v>
      </c>
      <c r="AB566" s="297">
        <f t="shared" si="295"/>
        <v>0</v>
      </c>
      <c r="AC566" s="1267" t="str">
        <f>$AC$6</f>
        <v>Gr. Ave Sem :</v>
      </c>
      <c r="AD566" s="284">
        <f>AD565*7</f>
        <v>0</v>
      </c>
      <c r="AE566" s="284">
        <f>AE565*7</f>
        <v>0</v>
      </c>
      <c r="AF566" s="285">
        <f>IF(AND(AE566&gt;0,AD566&gt;0),(AD566/AE566-1)*100,0)</f>
        <v>0</v>
      </c>
      <c r="AG566" s="1199" t="str">
        <f>PROD!$AG$6</f>
        <v>Gr X H Acm</v>
      </c>
      <c r="AH566" s="298">
        <f>IF(SUM(PROD!L565:L571)&gt;0,IF(PROD!$AG$5="Gr X H",SUM(PROD!V$5:V571)*PROD!$A$1/SUM(PROD!L$5:L571),IF($AG565="Conv Kg/Doc",(SUM(PROD!V$5:V571)*PROD!$A$1/1000)/(SUM(PROD!L$5:L571)/12),IF(PROD!$O567&gt;0,SUM(PROD!V$5:V571)*PROD!$A$1/(SUM(PROD!L$5:L571)*LOOKUP(PROD!A565,TP!$A$6:$A$108,GSh!$BB$6:$BB$108)),0))),0)</f>
        <v>0</v>
      </c>
      <c r="AI566" s="298">
        <f>IF(PROD!P565&gt;0,IF($AG565="Gr X H",PROD!AE565/PROD!P565*100,IF($AG565="Conv Kg/Doc",PROD!AE565/PROD!P565*1.2,IF(PROD!$P566&gt;0,PROD!AE567/(PROD!P566*LOOKUP(PROD!$A565,TP!$A$6:$A$108,GSh!$BC$6:$BC$108)/1000),0))),0)</f>
        <v>0</v>
      </c>
      <c r="AJ566" s="328">
        <f t="shared" si="321"/>
        <v>0</v>
      </c>
      <c r="AK566" s="2027"/>
      <c r="AL566" s="1284">
        <f t="shared" si="296"/>
        <v>0</v>
      </c>
      <c r="AM566" s="1285"/>
      <c r="AN566" s="1285"/>
      <c r="AO566" s="1285"/>
      <c r="AP566" s="1285"/>
      <c r="AQ566" s="1285"/>
      <c r="AR566" s="1285"/>
      <c r="AS566" s="1286"/>
      <c r="AT566" s="1287"/>
      <c r="AU566" s="1288"/>
      <c r="AV566" s="1289"/>
      <c r="AW566" s="1290"/>
      <c r="AX566" s="1291"/>
      <c r="AY566" s="1291"/>
      <c r="AZ566" s="1292"/>
      <c r="BA566" s="1293"/>
      <c r="BB566" s="1294"/>
      <c r="BC566" s="1295"/>
      <c r="BD566" s="1296">
        <f>BD565+PROD!L566-BA566</f>
        <v>0</v>
      </c>
      <c r="BE566" s="2133"/>
      <c r="BF566" s="507" t="e">
        <f t="shared" si="297"/>
        <v>#VALUE!</v>
      </c>
      <c r="BG566" s="329"/>
      <c r="BH566" s="1018">
        <f t="shared" si="298"/>
        <v>0</v>
      </c>
    </row>
    <row r="567" spans="1:60" ht="15" customHeight="1" x14ac:dyDescent="0.3">
      <c r="A567" s="2033"/>
      <c r="B567" s="287" t="str">
        <f t="shared" si="299"/>
        <v/>
      </c>
      <c r="C567" s="288" t="str">
        <f t="shared" si="294"/>
        <v/>
      </c>
      <c r="D567" s="691"/>
      <c r="E567" s="692"/>
      <c r="F567" s="693"/>
      <c r="G567" s="694"/>
      <c r="H567" s="695"/>
      <c r="I567" s="289">
        <f>I566-SUM($D567:F567)</f>
        <v>0</v>
      </c>
      <c r="J567" s="1235" t="str">
        <f>$J$7</f>
        <v>% Mort/Sel Sem Tab :</v>
      </c>
      <c r="K567" s="1236">
        <f>K570-K563</f>
        <v>0</v>
      </c>
      <c r="L567" s="1246"/>
      <c r="M567" s="291">
        <f t="shared" si="322"/>
        <v>0</v>
      </c>
      <c r="N567" s="304" t="str">
        <f>$N$7</f>
        <v xml:space="preserve">Peso Huevo (Gr) : </v>
      </c>
      <c r="O567" s="305">
        <f>LOOKUP($A565,'Pr-Sem'!$A$6:$A$108,'Pr-Sem'!$Z$6:$Z$108)</f>
        <v>0</v>
      </c>
      <c r="P567" s="305">
        <f>IFERROR(LOOKUP($A565,TP!$A$6:$A$108,GSh!$AZ$6:$AZ$108),0)</f>
        <v>0</v>
      </c>
      <c r="Q567" s="306">
        <f>IF(AND(P567&gt;0,O567&gt;0),O567-P567,0)</f>
        <v>0</v>
      </c>
      <c r="R567" s="699"/>
      <c r="S567" s="762"/>
      <c r="T567" s="765">
        <f t="shared" si="305"/>
        <v>0</v>
      </c>
      <c r="U567" s="700"/>
      <c r="V567" s="701"/>
      <c r="W567" s="701"/>
      <c r="X567" s="295">
        <f t="shared" si="300"/>
        <v>0</v>
      </c>
      <c r="Y567" s="296">
        <f>IF(AA567&gt;0,V567,AE565/IF(Iniciar!$C$25="B X 40 K",40,IF(Iniciar!$C$25="B X 50 K",50,1))*I567/1000)</f>
        <v>0</v>
      </c>
      <c r="Z567" s="296">
        <f t="shared" si="301"/>
        <v>0</v>
      </c>
      <c r="AA567" s="297">
        <f t="shared" si="323"/>
        <v>0</v>
      </c>
      <c r="AB567" s="297">
        <f t="shared" si="295"/>
        <v>0</v>
      </c>
      <c r="AC567" s="1268" t="str">
        <f>$AC$7</f>
        <v>Kg Ave Acu :</v>
      </c>
      <c r="AD567" s="308">
        <f>IF(OR(SUM(L565:L571)&gt;0,SUM(V565:V571)&gt;0),AD566/1000+AD560,0)</f>
        <v>0</v>
      </c>
      <c r="AE567" s="309">
        <f>AE566/1000+AE560</f>
        <v>0</v>
      </c>
      <c r="AF567" s="310">
        <f>IF(AND(AE567&gt;0,AD567&gt;0),(AD567/AE567-1)*100,0)</f>
        <v>0</v>
      </c>
      <c r="AG567" s="311" t="str">
        <f>PROD!$AG$7</f>
        <v xml:space="preserve">Masa Sem H (Gr) : </v>
      </c>
      <c r="AH567" s="312">
        <f>PROD!O565/100*7*PROD!O567</f>
        <v>0</v>
      </c>
      <c r="AI567" s="312">
        <f>PROD!P565/100*7*PROD!P567</f>
        <v>0</v>
      </c>
      <c r="AJ567" s="313">
        <f t="shared" si="321"/>
        <v>0</v>
      </c>
      <c r="AK567" s="2027"/>
      <c r="AL567" s="1284">
        <f t="shared" si="296"/>
        <v>0</v>
      </c>
      <c r="AM567" s="1285"/>
      <c r="AN567" s="1285"/>
      <c r="AO567" s="1285"/>
      <c r="AP567" s="1285"/>
      <c r="AQ567" s="1285"/>
      <c r="AR567" s="1285"/>
      <c r="AS567" s="1286"/>
      <c r="AT567" s="1287"/>
      <c r="AU567" s="1288"/>
      <c r="AV567" s="1289"/>
      <c r="AW567" s="1290"/>
      <c r="AX567" s="1291"/>
      <c r="AY567" s="1291"/>
      <c r="AZ567" s="1292"/>
      <c r="BA567" s="1293"/>
      <c r="BB567" s="1294"/>
      <c r="BC567" s="1295"/>
      <c r="BD567" s="1296">
        <f>BD566+PROD!L567-BA567</f>
        <v>0</v>
      </c>
      <c r="BE567" s="2133"/>
      <c r="BF567" s="507" t="e">
        <f t="shared" si="297"/>
        <v>#VALUE!</v>
      </c>
      <c r="BG567" s="329"/>
      <c r="BH567" s="1018">
        <f t="shared" si="298"/>
        <v>0</v>
      </c>
    </row>
    <row r="568" spans="1:60" ht="15" customHeight="1" x14ac:dyDescent="0.3">
      <c r="A568" s="2033"/>
      <c r="B568" s="287" t="str">
        <f t="shared" si="299"/>
        <v/>
      </c>
      <c r="C568" s="288" t="str">
        <f t="shared" si="294"/>
        <v/>
      </c>
      <c r="D568" s="691"/>
      <c r="E568" s="692"/>
      <c r="F568" s="693"/>
      <c r="G568" s="694"/>
      <c r="H568" s="695"/>
      <c r="I568" s="289">
        <f>I567-SUM($D568:F568)</f>
        <v>0</v>
      </c>
      <c r="J568" s="1234" t="str">
        <f>$J$8</f>
        <v>% Mort Acm :</v>
      </c>
      <c r="K568" s="1231">
        <f>IF(PROD!$K$2&gt;0,SUM(D$5:D571)/PROD!$K$2,0)</f>
        <v>0</v>
      </c>
      <c r="L568" s="1246"/>
      <c r="M568" s="291">
        <f t="shared" si="322"/>
        <v>0</v>
      </c>
      <c r="N568" s="314" t="str">
        <f>N$8</f>
        <v xml:space="preserve">Peso Ave (Gr) : </v>
      </c>
      <c r="O568" s="315">
        <f>LOOKUP($A565,GSh!$BV$6:$BV$108,GSh!$BJ$6:$BJ$108)</f>
        <v>0</v>
      </c>
      <c r="P568" s="315">
        <f>IFERROR(LOOKUP($A565,TP!$A$6:$A$108,GSh!$BK$6:$BK$108),0)</f>
        <v>0</v>
      </c>
      <c r="Q568" s="316">
        <f>IF(AND(P568&gt;0,O568&gt;0),(O568/P568-1)*100,0)</f>
        <v>0</v>
      </c>
      <c r="R568" s="699"/>
      <c r="S568" s="762"/>
      <c r="T568" s="765">
        <f t="shared" si="305"/>
        <v>0</v>
      </c>
      <c r="U568" s="700"/>
      <c r="V568" s="701"/>
      <c r="W568" s="701"/>
      <c r="X568" s="295">
        <f t="shared" si="300"/>
        <v>0</v>
      </c>
      <c r="Y568" s="296">
        <f>IF(AA568&gt;0,V568,AE565/IF(Iniciar!$C$25="B X 40 K",40,IF(Iniciar!$C$25="B X 50 K",50,1))*I568/1000)</f>
        <v>0</v>
      </c>
      <c r="Z568" s="296">
        <f t="shared" si="301"/>
        <v>0</v>
      </c>
      <c r="AA568" s="297">
        <f t="shared" si="323"/>
        <v>0</v>
      </c>
      <c r="AB568" s="297">
        <f t="shared" si="295"/>
        <v>0</v>
      </c>
      <c r="AC568" s="541" t="str">
        <f>$AC$8</f>
        <v xml:space="preserve">Ton. Lote Acu : </v>
      </c>
      <c r="AD568" s="544">
        <f>SUM($V$5:$V571)*$A$1/1000000</f>
        <v>0</v>
      </c>
      <c r="AE568" s="543">
        <f>AE561+(AE565/1000000*7*(I565+I571)/2)</f>
        <v>0</v>
      </c>
      <c r="AF568" s="542">
        <f>IF(AND(AE568&gt;0,AD568&gt;0),(AD568/AE568-1)*100,0)</f>
        <v>0</v>
      </c>
      <c r="AG568" s="317" t="str">
        <f>PROD!$AG$8</f>
        <v xml:space="preserve">Masa Ac A. A (Kg) : </v>
      </c>
      <c r="AH568" s="318">
        <f>IF(PROD!$K$2&gt;0,SUM(PROD!L$5:L571)*LOOKUP(PROD!$A565,TP!$A$6:$A$108,GSh!$BB$6:$BB$108)/1000/PROD!$K$2,0)</f>
        <v>0</v>
      </c>
      <c r="AI568" s="318">
        <f>IFERROR(PROD!P566*LOOKUP(PROD!$A565,TP!$A$6:$A$108,GSh!$BC$6:$BC$108)/1000,0)</f>
        <v>0</v>
      </c>
      <c r="AJ568" s="330">
        <f t="shared" si="321"/>
        <v>0</v>
      </c>
      <c r="AK568" s="2027"/>
      <c r="AL568" s="1284">
        <f t="shared" si="296"/>
        <v>0</v>
      </c>
      <c r="AM568" s="1285"/>
      <c r="AN568" s="1285"/>
      <c r="AO568" s="1285"/>
      <c r="AP568" s="1285"/>
      <c r="AQ568" s="1285"/>
      <c r="AR568" s="1285"/>
      <c r="AS568" s="1286"/>
      <c r="AT568" s="1287"/>
      <c r="AU568" s="1288"/>
      <c r="AV568" s="1289"/>
      <c r="AW568" s="1290"/>
      <c r="AX568" s="1291"/>
      <c r="AY568" s="1291"/>
      <c r="AZ568" s="1292"/>
      <c r="BA568" s="1293"/>
      <c r="BB568" s="1294"/>
      <c r="BC568" s="1295"/>
      <c r="BD568" s="1296">
        <f>BD567+PROD!L568-BA568</f>
        <v>0</v>
      </c>
      <c r="BE568" s="2133"/>
      <c r="BF568" s="507" t="e">
        <f t="shared" si="297"/>
        <v>#VALUE!</v>
      </c>
      <c r="BG568" s="329"/>
      <c r="BH568" s="1018">
        <f t="shared" si="298"/>
        <v>0</v>
      </c>
    </row>
    <row r="569" spans="1:60" ht="15" customHeight="1" x14ac:dyDescent="0.3">
      <c r="A569" s="2033"/>
      <c r="B569" s="287" t="str">
        <f t="shared" si="299"/>
        <v/>
      </c>
      <c r="C569" s="288" t="str">
        <f t="shared" si="294"/>
        <v/>
      </c>
      <c r="D569" s="691"/>
      <c r="E569" s="692"/>
      <c r="F569" s="693"/>
      <c r="G569" s="694"/>
      <c r="H569" s="695"/>
      <c r="I569" s="289">
        <f>I568-SUM($D569:F569)</f>
        <v>0</v>
      </c>
      <c r="J569" s="1234" t="str">
        <f>$J$9</f>
        <v>% Sel Acm :</v>
      </c>
      <c r="K569" s="1231">
        <f>IF(PROD!$K$2&gt;0,SUM(E$5:E571)/PROD!$K$2,0)</f>
        <v>0</v>
      </c>
      <c r="L569" s="1246"/>
      <c r="M569" s="291">
        <f t="shared" si="322"/>
        <v>0</v>
      </c>
      <c r="N569" s="292" t="str">
        <f>$N$9</f>
        <v xml:space="preserve">Uniformidad (10% -) : </v>
      </c>
      <c r="O569" s="320">
        <f>LOOKUP($A565,'Pr-Sem'!$A$6:$A$108,'Pr-Sem'!$AH$6:$AH$108)</f>
        <v>0</v>
      </c>
      <c r="P569" s="320">
        <v>5</v>
      </c>
      <c r="Q569" s="321">
        <f>IF(AND(P569&gt;0,O569&gt;0),(1-O569/P569)*100,0)</f>
        <v>0</v>
      </c>
      <c r="R569" s="699"/>
      <c r="S569" s="762"/>
      <c r="T569" s="765">
        <f t="shared" si="305"/>
        <v>0</v>
      </c>
      <c r="U569" s="700"/>
      <c r="V569" s="701"/>
      <c r="W569" s="701"/>
      <c r="X569" s="295">
        <f t="shared" si="300"/>
        <v>0</v>
      </c>
      <c r="Y569" s="296">
        <f>IF(AA569&gt;0,V569,AE565/IF(Iniciar!$C$25="B X 40 K",40,IF(Iniciar!$C$25="B X 50 K",50,1))*I569/1000)</f>
        <v>0</v>
      </c>
      <c r="Z569" s="296">
        <f t="shared" si="301"/>
        <v>0</v>
      </c>
      <c r="AA569" s="297">
        <f t="shared" si="323"/>
        <v>0</v>
      </c>
      <c r="AB569" s="297">
        <f t="shared" si="295"/>
        <v>0</v>
      </c>
      <c r="AC569" s="2035" t="str">
        <f>$AC$9</f>
        <v xml:space="preserve">Total Litros Sem: </v>
      </c>
      <c r="AD569" s="2036"/>
      <c r="AE569" s="2050">
        <f>SUM(R565:R571)</f>
        <v>0</v>
      </c>
      <c r="AF569" s="2051"/>
      <c r="AG569" s="554" t="str">
        <f>$AG$9</f>
        <v xml:space="preserve">Indicador Eficiencia : </v>
      </c>
      <c r="AH569" s="555">
        <f>IF(AND(AE569&gt;0,O566&gt;0,O567&gt;0,SUM(L565:L571)&gt;0),(PROD!AH568/O566)*K571*100/(AE569/(SUM(L565:L571)*O567/1000)),0)</f>
        <v>0</v>
      </c>
      <c r="AI569" s="555">
        <f>IF(AND(P566&gt;0,PROD!AI567&gt;0),(PROD!AI568/P566)*(1-K570)*100/(AE566/PROD!AI567),0)</f>
        <v>0</v>
      </c>
      <c r="AJ569" s="331">
        <f t="shared" si="321"/>
        <v>0</v>
      </c>
      <c r="AK569" s="2027"/>
      <c r="AL569" s="1284">
        <f t="shared" si="296"/>
        <v>0</v>
      </c>
      <c r="AM569" s="1285"/>
      <c r="AN569" s="1285"/>
      <c r="AO569" s="1285"/>
      <c r="AP569" s="1285"/>
      <c r="AQ569" s="1285"/>
      <c r="AR569" s="1285"/>
      <c r="AS569" s="1286"/>
      <c r="AT569" s="1287"/>
      <c r="AU569" s="1288"/>
      <c r="AV569" s="1289"/>
      <c r="AW569" s="1290"/>
      <c r="AX569" s="1291"/>
      <c r="AY569" s="1291"/>
      <c r="AZ569" s="1292"/>
      <c r="BA569" s="1293"/>
      <c r="BB569" s="1294"/>
      <c r="BC569" s="1295"/>
      <c r="BD569" s="1296">
        <f>BD568+PROD!L569-BA569</f>
        <v>0</v>
      </c>
      <c r="BE569" s="2133"/>
      <c r="BF569" s="507" t="e">
        <f t="shared" si="297"/>
        <v>#VALUE!</v>
      </c>
      <c r="BG569" s="329"/>
      <c r="BH569" s="1018">
        <f t="shared" si="298"/>
        <v>0</v>
      </c>
    </row>
    <row r="570" spans="1:60" ht="15" customHeight="1" x14ac:dyDescent="0.3">
      <c r="A570" s="2033"/>
      <c r="B570" s="287" t="str">
        <f t="shared" si="299"/>
        <v/>
      </c>
      <c r="C570" s="288" t="str">
        <f t="shared" si="294"/>
        <v/>
      </c>
      <c r="D570" s="691"/>
      <c r="E570" s="692"/>
      <c r="F570" s="693"/>
      <c r="G570" s="694"/>
      <c r="H570" s="695"/>
      <c r="I570" s="289">
        <f>I569-SUM($D570:F570)</f>
        <v>0</v>
      </c>
      <c r="J570" s="1237" t="str">
        <f>$J$10</f>
        <v>% Mort/Sel Acm Tab :</v>
      </c>
      <c r="K570" s="1238">
        <f>IFERROR(LOOKUP($A565,TP!$A$6:$A$108,GSh!$AR$6:$AR$108)/100,0)</f>
        <v>0</v>
      </c>
      <c r="L570" s="1246"/>
      <c r="M570" s="291">
        <f t="shared" si="322"/>
        <v>0</v>
      </c>
      <c r="N570" s="292" t="str">
        <f>$N$10</f>
        <v xml:space="preserve">Uniformidad (C. Lote) : </v>
      </c>
      <c r="O570" s="320">
        <f>LOOKUP($A565,'Pr-Sem'!$A$6:$A$108,'Pr-Sem'!$AG$6:$AG$108)</f>
        <v>0</v>
      </c>
      <c r="P570" s="320">
        <v>90</v>
      </c>
      <c r="Q570" s="321">
        <f>IF(AND(P570&gt;0,O570&gt;0),(O570/P570-1)*100,0)</f>
        <v>0</v>
      </c>
      <c r="R570" s="699"/>
      <c r="S570" s="762"/>
      <c r="T570" s="765">
        <f t="shared" si="305"/>
        <v>0</v>
      </c>
      <c r="U570" s="700"/>
      <c r="V570" s="701"/>
      <c r="W570" s="701"/>
      <c r="X570" s="295">
        <f t="shared" si="300"/>
        <v>0</v>
      </c>
      <c r="Y570" s="296">
        <f>IF(AA570&gt;0,V570,AE565/IF(Iniciar!$C$25="B X 40 K",40,IF(Iniciar!$C$25="B X 50 K",50,1))*I570/1000)</f>
        <v>0</v>
      </c>
      <c r="Z570" s="296">
        <f t="shared" si="301"/>
        <v>0</v>
      </c>
      <c r="AA570" s="297">
        <f t="shared" si="323"/>
        <v>0</v>
      </c>
      <c r="AB570" s="297">
        <f t="shared" si="295"/>
        <v>0</v>
      </c>
      <c r="AC570" s="2037" t="str">
        <f>$AC$10</f>
        <v xml:space="preserve">Cons ml /ave día: </v>
      </c>
      <c r="AD570" s="2038"/>
      <c r="AE570" s="2056">
        <f>IFERROR(SUMPRODUCT(AB565:AB571,I565:I571)/SUM(I565:I571),0)</f>
        <v>0</v>
      </c>
      <c r="AF570" s="2057"/>
      <c r="AG570" s="311" t="str">
        <f>CONCATENATE("Costo ",Iniciar!$C$25," : ")</f>
        <v xml:space="preserve">Costo Kilos : </v>
      </c>
      <c r="AH570" s="2043">
        <f>IFERROR(SUMPRODUCT(T565:T571,V565:V571)/SUMIF(T565:T571,"&gt;0",V565:V571),0)</f>
        <v>0</v>
      </c>
      <c r="AI570" s="2043"/>
      <c r="AJ570" s="313"/>
      <c r="AK570" s="2027"/>
      <c r="AL570" s="1284">
        <f t="shared" si="296"/>
        <v>0</v>
      </c>
      <c r="AM570" s="1285"/>
      <c r="AN570" s="1285"/>
      <c r="AO570" s="1285"/>
      <c r="AP570" s="1285"/>
      <c r="AQ570" s="1285"/>
      <c r="AR570" s="1285"/>
      <c r="AS570" s="1286"/>
      <c r="AT570" s="1287"/>
      <c r="AU570" s="1288"/>
      <c r="AV570" s="1289"/>
      <c r="AW570" s="1290"/>
      <c r="AX570" s="1291"/>
      <c r="AY570" s="1291"/>
      <c r="AZ570" s="1292"/>
      <c r="BA570" s="1293"/>
      <c r="BB570" s="1294"/>
      <c r="BC570" s="1295"/>
      <c r="BD570" s="1296">
        <f>BD569+PROD!L570-BA570</f>
        <v>0</v>
      </c>
      <c r="BE570" s="2133"/>
      <c r="BF570" s="507" t="e">
        <f t="shared" si="297"/>
        <v>#VALUE!</v>
      </c>
      <c r="BG570" s="329"/>
      <c r="BH570" s="1018">
        <f t="shared" si="298"/>
        <v>0</v>
      </c>
    </row>
    <row r="571" spans="1:60" ht="15" customHeight="1" x14ac:dyDescent="0.3">
      <c r="A571" s="2034"/>
      <c r="B571" s="287" t="str">
        <f t="shared" si="299"/>
        <v/>
      </c>
      <c r="C571" s="288" t="str">
        <f t="shared" si="294"/>
        <v/>
      </c>
      <c r="D571" s="691"/>
      <c r="E571" s="692"/>
      <c r="F571" s="693"/>
      <c r="G571" s="694"/>
      <c r="H571" s="695"/>
      <c r="I571" s="289">
        <f>I570-SUM($D571:F571)</f>
        <v>0</v>
      </c>
      <c r="J571" s="1239" t="str">
        <f>$J$11</f>
        <v>% Viabilidad :</v>
      </c>
      <c r="K571" s="1240">
        <f>IF(OR(SUM(L565:L571)&gt;0,SUM(V565:V571)&gt;0),1-(K568+K569),0)</f>
        <v>0</v>
      </c>
      <c r="L571" s="1247"/>
      <c r="M571" s="1248">
        <f>IF(I571&gt;0,(L571/IF(SUM(L565:L570)&gt;0,1,7))/I571,0)</f>
        <v>0</v>
      </c>
      <c r="N571" s="1249" t="str">
        <f>$N$11</f>
        <v xml:space="preserve">Uniformidad (10% +) : </v>
      </c>
      <c r="O571" s="1250">
        <f>IF(O569&gt;0,IF(O570&gt;0,100-SUM(O569:O570),0),0)</f>
        <v>0</v>
      </c>
      <c r="P571" s="1251">
        <f>100-SUM(P569:P570)</f>
        <v>5</v>
      </c>
      <c r="Q571" s="1252">
        <f>IF(AND(P571&gt;0,O571&gt;0),(O571/P571-1)*100,0)</f>
        <v>0</v>
      </c>
      <c r="R571" s="699"/>
      <c r="S571" s="762"/>
      <c r="T571" s="765">
        <f t="shared" si="305"/>
        <v>0</v>
      </c>
      <c r="U571" s="700"/>
      <c r="V571" s="701"/>
      <c r="W571" s="701"/>
      <c r="X571" s="295">
        <f t="shared" si="300"/>
        <v>0</v>
      </c>
      <c r="Y571" s="296">
        <f>IF(AA571&gt;0,V571,AE565/IF(Iniciar!$C$25="B X 40 K",40,IF(Iniciar!$C$25="B X 50 K",50,1))*I571/1000)</f>
        <v>0</v>
      </c>
      <c r="Z571" s="296">
        <f t="shared" si="301"/>
        <v>0</v>
      </c>
      <c r="AA571" s="297">
        <f>IF(I571&gt;0,(V571/IF(SUM(V565:V570)&gt;0,1,7))*$A$1/I571,0)</f>
        <v>0</v>
      </c>
      <c r="AB571" s="297">
        <f t="shared" si="295"/>
        <v>0</v>
      </c>
      <c r="AC571" s="2039" t="str">
        <f>$AC$11</f>
        <v xml:space="preserve">Relación Agua /Alimto: </v>
      </c>
      <c r="AD571" s="2040"/>
      <c r="AE571" s="2058">
        <f>IFERROR(AE570/AD565,0)</f>
        <v>0</v>
      </c>
      <c r="AF571" s="2059"/>
      <c r="AG571" s="1269" t="s">
        <v>237</v>
      </c>
      <c r="AH571" s="1270">
        <f>IF(SUM(L565:L571)&gt;0,AH570*SUM(V565:V571)/SUM(L565:L571),0)</f>
        <v>0</v>
      </c>
      <c r="AI571" s="1270">
        <f>IF(AND($A$1&gt;0,P565&gt;0),AH570/$A$1*(AE565/P565)*100,0)</f>
        <v>0</v>
      </c>
      <c r="AJ571" s="1271">
        <f t="shared" ref="AJ571:AJ576" si="324">IF(AND(AI571&gt;0,AH571&gt;0),(AH571/AI571-1)*100,0)</f>
        <v>0</v>
      </c>
      <c r="AK571" s="2028"/>
      <c r="AL571" s="1284">
        <f t="shared" si="296"/>
        <v>0</v>
      </c>
      <c r="AM571" s="1285"/>
      <c r="AN571" s="1285"/>
      <c r="AO571" s="1285"/>
      <c r="AP571" s="1285"/>
      <c r="AQ571" s="1285"/>
      <c r="AR571" s="1285"/>
      <c r="AS571" s="1286"/>
      <c r="AT571" s="1287"/>
      <c r="AU571" s="1288"/>
      <c r="AV571" s="1289"/>
      <c r="AW571" s="1290"/>
      <c r="AX571" s="1291"/>
      <c r="AY571" s="1291"/>
      <c r="AZ571" s="1292"/>
      <c r="BA571" s="1293"/>
      <c r="BB571" s="1294"/>
      <c r="BC571" s="1295"/>
      <c r="BD571" s="1296">
        <f>BD570+PROD!L571-BA571</f>
        <v>0</v>
      </c>
      <c r="BE571" s="2134"/>
      <c r="BF571" s="507" t="e">
        <f t="shared" si="297"/>
        <v>#VALUE!</v>
      </c>
      <c r="BG571" s="329"/>
      <c r="BH571" s="1018">
        <f t="shared" si="298"/>
        <v>0</v>
      </c>
    </row>
    <row r="572" spans="1:60" ht="15" customHeight="1" x14ac:dyDescent="0.3">
      <c r="A572" s="2032">
        <f>A565+1</f>
        <v>99</v>
      </c>
      <c r="B572" s="287" t="str">
        <f t="shared" si="299"/>
        <v/>
      </c>
      <c r="C572" s="288" t="str">
        <f t="shared" si="294"/>
        <v/>
      </c>
      <c r="D572" s="691"/>
      <c r="E572" s="692"/>
      <c r="F572" s="693"/>
      <c r="G572" s="694"/>
      <c r="H572" s="695"/>
      <c r="I572" s="289">
        <f>I571-SUM($D572:F572)</f>
        <v>0</v>
      </c>
      <c r="J572" s="1232" t="str">
        <f>$J$5</f>
        <v>% Mort Sem :</v>
      </c>
      <c r="K572" s="1233">
        <f>IF(PROD!$K$2&gt;0,SUM(D572:D578)/PROD!$K$2,0)</f>
        <v>0</v>
      </c>
      <c r="L572" s="1241"/>
      <c r="M572" s="1242">
        <f t="shared" ref="M572:M577" si="325">IF(I572&gt;0,L572/I572,0)</f>
        <v>0</v>
      </c>
      <c r="N572" s="1243" t="str">
        <f>$N$5</f>
        <v xml:space="preserve">% Pdn prom semana : </v>
      </c>
      <c r="O572" s="1244">
        <f>IF(SUM(L572:L577)&gt;0,100*SUMPRODUCT(M572:M578,I572:I578)/SUMIF(L572:L578,"&gt;0",I572:I578),IF(L578&gt;0,100*L578/7/I578,0))</f>
        <v>0</v>
      </c>
      <c r="P572" s="1244">
        <f>IFERROR(LOOKUP($A572,TP!$A$6:$A$108,GSh!$AE$6:$AE$108),0)</f>
        <v>0</v>
      </c>
      <c r="Q572" s="1245">
        <f>IF(AND(P572&gt;0,O572&gt;0),O572-P572,0)</f>
        <v>0</v>
      </c>
      <c r="R572" s="699"/>
      <c r="S572" s="762"/>
      <c r="T572" s="765">
        <f t="shared" si="305"/>
        <v>0</v>
      </c>
      <c r="U572" s="700"/>
      <c r="V572" s="701"/>
      <c r="W572" s="701"/>
      <c r="X572" s="295">
        <f t="shared" si="300"/>
        <v>0</v>
      </c>
      <c r="Y572" s="296">
        <f>IF(AA572&gt;0,V572,AE572/IF(Iniciar!$C$25="B X 40 K",40,IF(Iniciar!$C$25="B X 50 K",50,1))*I572/1000)</f>
        <v>0</v>
      </c>
      <c r="Z572" s="296">
        <f t="shared" si="301"/>
        <v>0</v>
      </c>
      <c r="AA572" s="297">
        <f t="shared" ref="AA572:AA577" si="326">IF(I572&gt;0,V572*$A$1/I572,0)</f>
        <v>0</v>
      </c>
      <c r="AB572" s="297">
        <f t="shared" si="295"/>
        <v>0</v>
      </c>
      <c r="AC572" s="1261" t="str">
        <f>$AC$5</f>
        <v>Gr. Ave Dia :</v>
      </c>
      <c r="AD572" s="1262">
        <f>IF(SUMIF(V572:V578,"&gt;0")&gt;0,SUMPRODUCT(AA572:AA578,I572:I578)/SUMIF(AA572:AA578,"&gt;0",I572:I578),0)</f>
        <v>0</v>
      </c>
      <c r="AE572" s="1262">
        <f>IFERROR(LOOKUP($A572,TP!$A$6:$A$108,GSh!$AU$6:$AU$108),0)</f>
        <v>0</v>
      </c>
      <c r="AF572" s="1263">
        <f>IF(AND(AE572&gt;0,AD572&gt;0),(AD572/AE572-1)*100,0)</f>
        <v>0</v>
      </c>
      <c r="AG572" s="1264" t="str">
        <f>PROD!$AG$5</f>
        <v>Gr X H</v>
      </c>
      <c r="AH572" s="1265">
        <f>IF(PROD!O572&gt;0,IF($AG572="Gr X H",PROD!AD572/PROD!O572*100,IF($AG572="Conv Kg/Doc",PROD!AD572/PROD!O572*1.2,IF(PROD!$O574&gt;0,PROD!AD572/(PROD!O572*PROD!$O574)*100,0))),0)</f>
        <v>0</v>
      </c>
      <c r="AI572" s="1265">
        <f>IF(PROD!P572&gt;0,IF($AG572="Gr X H",PROD!AE572/PROD!P572*100,IF($AG572="Conv Kg/Doc",PROD!AE572/PROD!P572*1.2,IF(PROD!$P574&gt;0,PROD!AE572/(PROD!P572*PROD!$P574)*100,0))),0)</f>
        <v>0</v>
      </c>
      <c r="AJ572" s="1266">
        <f t="shared" si="324"/>
        <v>0</v>
      </c>
      <c r="AK572" s="2026"/>
      <c r="AL572" s="1284">
        <f t="shared" si="296"/>
        <v>0</v>
      </c>
      <c r="AM572" s="1285"/>
      <c r="AN572" s="1285"/>
      <c r="AO572" s="1285"/>
      <c r="AP572" s="1285"/>
      <c r="AQ572" s="1285"/>
      <c r="AR572" s="1285"/>
      <c r="AS572" s="1286"/>
      <c r="AT572" s="1287"/>
      <c r="AU572" s="1288"/>
      <c r="AV572" s="1289"/>
      <c r="AW572" s="1290"/>
      <c r="AX572" s="1291"/>
      <c r="AY572" s="1291"/>
      <c r="AZ572" s="1292"/>
      <c r="BA572" s="1293"/>
      <c r="BB572" s="1294"/>
      <c r="BC572" s="1295"/>
      <c r="BD572" s="1296">
        <f>BD571+PROD!L572-BA572</f>
        <v>0</v>
      </c>
      <c r="BE572" s="2132">
        <f>IF(SUM(AM572:AZ578)&gt;0,(SUM(AM572:AM578)*$AM$2+SUM(AN572:AN578)*$AN$2+SUM(AO572:AO578)*$AO$2+SUM(AP572:AP578)*$AP$2+SUM(AQ572:AQ578)*$AQ$2+SUM(AR572:AR578)*$AR$2+SUM(AS572:AS578)*$AS$2+SUM(AW572:AW578)*$AW$2+SUM(AX572:AX578)*$AX$2+SUM(AY572:AY578)*$AY$2+SUM(AZ572:AZ578)*$AZ$2+SUM(AT572:AT578)*$AT$2+SUM(AU572:AU578)*$AU$2+SUM(AV572:AV578)*$AV$2)/SUM(AM572:AZ578),0)</f>
        <v>0</v>
      </c>
      <c r="BF572" s="507" t="e">
        <f t="shared" si="297"/>
        <v>#VALUE!</v>
      </c>
      <c r="BG572" s="277">
        <f>IF(SUM(L572:L578)&gt;0,A572,IF(SUM(V572:V578)&gt;0,A572,BG565))</f>
        <v>0</v>
      </c>
      <c r="BH572" s="1018">
        <f t="shared" si="298"/>
        <v>0</v>
      </c>
    </row>
    <row r="573" spans="1:60" ht="15" customHeight="1" x14ac:dyDescent="0.3">
      <c r="A573" s="2033"/>
      <c r="B573" s="287" t="str">
        <f t="shared" si="299"/>
        <v/>
      </c>
      <c r="C573" s="288" t="str">
        <f t="shared" si="294"/>
        <v/>
      </c>
      <c r="D573" s="691"/>
      <c r="E573" s="692"/>
      <c r="F573" s="693"/>
      <c r="G573" s="694"/>
      <c r="H573" s="695"/>
      <c r="I573" s="289">
        <f>I572-SUM($D573:F573)</f>
        <v>0</v>
      </c>
      <c r="J573" s="1234" t="str">
        <f>$J$6</f>
        <v>% Sel Sem :</v>
      </c>
      <c r="K573" s="1231">
        <f>IF(PROD!$K$2&gt;0,SUM(E572:E578)/PROD!$K$2,0)</f>
        <v>0</v>
      </c>
      <c r="L573" s="1246"/>
      <c r="M573" s="291">
        <f t="shared" si="325"/>
        <v>0</v>
      </c>
      <c r="N573" s="292" t="str">
        <f>$N$6</f>
        <v xml:space="preserve">H. Ave Alojada : </v>
      </c>
      <c r="O573" s="293">
        <f>IF(AND(PROD!$K$2&gt;0,O572&gt;0),SUM(L$5:L578)/PROD!$K$2,0)</f>
        <v>0</v>
      </c>
      <c r="P573" s="293">
        <f>IFERROR(LOOKUP($A572,TP!$A$6:$A$108,GSh!$AJ$6:$AJ$108),0)</f>
        <v>0</v>
      </c>
      <c r="Q573" s="294">
        <f>IF(AND(P573&gt;0,O573&gt;0),O573-P573,0)</f>
        <v>0</v>
      </c>
      <c r="R573" s="699"/>
      <c r="S573" s="762"/>
      <c r="T573" s="765">
        <f t="shared" si="305"/>
        <v>0</v>
      </c>
      <c r="U573" s="700"/>
      <c r="V573" s="701"/>
      <c r="W573" s="701"/>
      <c r="X573" s="295">
        <f t="shared" si="300"/>
        <v>0</v>
      </c>
      <c r="Y573" s="296">
        <f>IF(AA573&gt;0,V573,AE572/IF(Iniciar!$C$25="B X 40 K",40,IF(Iniciar!$C$25="B X 50 K",50,1))*I573/1000)</f>
        <v>0</v>
      </c>
      <c r="Z573" s="296">
        <f t="shared" si="301"/>
        <v>0</v>
      </c>
      <c r="AA573" s="297">
        <f t="shared" si="326"/>
        <v>0</v>
      </c>
      <c r="AB573" s="297">
        <f t="shared" si="295"/>
        <v>0</v>
      </c>
      <c r="AC573" s="1267" t="str">
        <f>$AC$6</f>
        <v>Gr. Ave Sem :</v>
      </c>
      <c r="AD573" s="284">
        <f>AD572*7</f>
        <v>0</v>
      </c>
      <c r="AE573" s="284">
        <f>AE572*7</f>
        <v>0</v>
      </c>
      <c r="AF573" s="285">
        <f>IF(AND(AE573&gt;0,AD573&gt;0),(AD573/AE573-1)*100,0)</f>
        <v>0</v>
      </c>
      <c r="AG573" s="1199" t="str">
        <f>PROD!$AG$6</f>
        <v>Gr X H Acm</v>
      </c>
      <c r="AH573" s="298">
        <f>IF(SUM(PROD!L572:L578)&gt;0,IF(PROD!$AG$5="Gr X H",SUM(PROD!V$5:V578)*PROD!$A$1/SUM(PROD!L$5:L578),IF($AG572="Conv Kg/Doc",(SUM(PROD!V$5:V578)*PROD!$A$1/1000)/(SUM(PROD!L$5:L578)/12),IF(PROD!$O574&gt;0,SUM(PROD!V$5:V578)*PROD!$A$1/(SUM(PROD!L$5:L578)*LOOKUP(PROD!A572,TP!$A$6:$A$108,GSh!$BB$6:$BB$108)),0))),0)</f>
        <v>0</v>
      </c>
      <c r="AI573" s="298">
        <f>IF(PROD!P572&gt;0,IF($AG572="Gr X H",PROD!AE572/PROD!P572*100,IF($AG572="Conv Kg/Doc",PROD!AE572/PROD!P572*1.2,IF(PROD!$P573&gt;0,PROD!AE574/(PROD!P573*LOOKUP(PROD!$A572,TP!$A$6:$A$108,GSh!$BC$6:$BC$108)/1000),0))),0)</f>
        <v>0</v>
      </c>
      <c r="AJ573" s="328">
        <f t="shared" si="324"/>
        <v>0</v>
      </c>
      <c r="AK573" s="2027"/>
      <c r="AL573" s="1284">
        <f t="shared" si="296"/>
        <v>0</v>
      </c>
      <c r="AM573" s="1285"/>
      <c r="AN573" s="1285"/>
      <c r="AO573" s="1285"/>
      <c r="AP573" s="1285"/>
      <c r="AQ573" s="1285"/>
      <c r="AR573" s="1285"/>
      <c r="AS573" s="1286"/>
      <c r="AT573" s="1287"/>
      <c r="AU573" s="1288"/>
      <c r="AV573" s="1289"/>
      <c r="AW573" s="1290"/>
      <c r="AX573" s="1291"/>
      <c r="AY573" s="1291"/>
      <c r="AZ573" s="1292"/>
      <c r="BA573" s="1293"/>
      <c r="BB573" s="1294"/>
      <c r="BC573" s="1295"/>
      <c r="BD573" s="1296">
        <f>BD572+PROD!L573-BA573</f>
        <v>0</v>
      </c>
      <c r="BE573" s="2133"/>
      <c r="BF573" s="507" t="e">
        <f t="shared" si="297"/>
        <v>#VALUE!</v>
      </c>
      <c r="BG573" s="329"/>
      <c r="BH573" s="1018">
        <f t="shared" si="298"/>
        <v>0</v>
      </c>
    </row>
    <row r="574" spans="1:60" ht="15" customHeight="1" x14ac:dyDescent="0.3">
      <c r="A574" s="2033"/>
      <c r="B574" s="287" t="str">
        <f t="shared" si="299"/>
        <v/>
      </c>
      <c r="C574" s="288" t="str">
        <f t="shared" si="294"/>
        <v/>
      </c>
      <c r="D574" s="691"/>
      <c r="E574" s="692"/>
      <c r="F574" s="693"/>
      <c r="G574" s="694"/>
      <c r="H574" s="695"/>
      <c r="I574" s="289">
        <f>I573-SUM($D574:F574)</f>
        <v>0</v>
      </c>
      <c r="J574" s="1235" t="str">
        <f>$J$7</f>
        <v>% Mort/Sel Sem Tab :</v>
      </c>
      <c r="K574" s="1236">
        <f>K577-K570</f>
        <v>0</v>
      </c>
      <c r="L574" s="1246"/>
      <c r="M574" s="291">
        <f t="shared" si="325"/>
        <v>0</v>
      </c>
      <c r="N574" s="304" t="str">
        <f>$N$7</f>
        <v xml:space="preserve">Peso Huevo (Gr) : </v>
      </c>
      <c r="O574" s="305">
        <f>LOOKUP($A572,'Pr-Sem'!$A$6:$A$108,'Pr-Sem'!$Z$6:$Z$108)</f>
        <v>0</v>
      </c>
      <c r="P574" s="305">
        <f>IFERROR(LOOKUP($A572,TP!$A$6:$A$108,GSh!$AZ$6:$AZ$108),0)</f>
        <v>0</v>
      </c>
      <c r="Q574" s="306">
        <f>IF(AND(P574&gt;0,O574&gt;0),O574-P574,0)</f>
        <v>0</v>
      </c>
      <c r="R574" s="699"/>
      <c r="S574" s="762"/>
      <c r="T574" s="765">
        <f t="shared" si="305"/>
        <v>0</v>
      </c>
      <c r="U574" s="700"/>
      <c r="V574" s="701"/>
      <c r="W574" s="701"/>
      <c r="X574" s="295">
        <f t="shared" si="300"/>
        <v>0</v>
      </c>
      <c r="Y574" s="296">
        <f>IF(AA574&gt;0,V574,AE572/IF(Iniciar!$C$25="B X 40 K",40,IF(Iniciar!$C$25="B X 50 K",50,1))*I574/1000)</f>
        <v>0</v>
      </c>
      <c r="Z574" s="296">
        <f t="shared" si="301"/>
        <v>0</v>
      </c>
      <c r="AA574" s="297">
        <f t="shared" si="326"/>
        <v>0</v>
      </c>
      <c r="AB574" s="297">
        <f t="shared" si="295"/>
        <v>0</v>
      </c>
      <c r="AC574" s="1268" t="str">
        <f>$AC$7</f>
        <v>Kg Ave Acu :</v>
      </c>
      <c r="AD574" s="308">
        <f>IF(OR(SUM(L572:L578)&gt;0,SUM(V572:V578)&gt;0),AD573/1000+AD567,0)</f>
        <v>0</v>
      </c>
      <c r="AE574" s="309">
        <f>AE573/1000+AE567</f>
        <v>0</v>
      </c>
      <c r="AF574" s="310">
        <f>IF(AND(AE574&gt;0,AD574&gt;0),(AD574/AE574-1)*100,0)</f>
        <v>0</v>
      </c>
      <c r="AG574" s="311" t="str">
        <f>PROD!$AG$7</f>
        <v xml:space="preserve">Masa Sem H (Gr) : </v>
      </c>
      <c r="AH574" s="312">
        <f>PROD!O572/100*7*PROD!O574</f>
        <v>0</v>
      </c>
      <c r="AI574" s="312">
        <f>PROD!P572/100*7*PROD!P574</f>
        <v>0</v>
      </c>
      <c r="AJ574" s="313">
        <f t="shared" si="324"/>
        <v>0</v>
      </c>
      <c r="AK574" s="2027"/>
      <c r="AL574" s="1284">
        <f t="shared" si="296"/>
        <v>0</v>
      </c>
      <c r="AM574" s="1285"/>
      <c r="AN574" s="1285"/>
      <c r="AO574" s="1285"/>
      <c r="AP574" s="1285"/>
      <c r="AQ574" s="1285"/>
      <c r="AR574" s="1285"/>
      <c r="AS574" s="1286"/>
      <c r="AT574" s="1287"/>
      <c r="AU574" s="1288"/>
      <c r="AV574" s="1289"/>
      <c r="AW574" s="1290"/>
      <c r="AX574" s="1291"/>
      <c r="AY574" s="1291"/>
      <c r="AZ574" s="1292"/>
      <c r="BA574" s="1293"/>
      <c r="BB574" s="1294"/>
      <c r="BC574" s="1295"/>
      <c r="BD574" s="1296">
        <f>BD573+PROD!L574-BA574</f>
        <v>0</v>
      </c>
      <c r="BE574" s="2133"/>
      <c r="BF574" s="507" t="e">
        <f t="shared" si="297"/>
        <v>#VALUE!</v>
      </c>
      <c r="BG574" s="329"/>
      <c r="BH574" s="1018">
        <f t="shared" si="298"/>
        <v>0</v>
      </c>
    </row>
    <row r="575" spans="1:60" ht="15" customHeight="1" x14ac:dyDescent="0.3">
      <c r="A575" s="2033"/>
      <c r="B575" s="287" t="str">
        <f t="shared" si="299"/>
        <v/>
      </c>
      <c r="C575" s="288" t="str">
        <f t="shared" si="294"/>
        <v/>
      </c>
      <c r="D575" s="691"/>
      <c r="E575" s="692"/>
      <c r="F575" s="693"/>
      <c r="G575" s="694"/>
      <c r="H575" s="695"/>
      <c r="I575" s="289">
        <f>I574-SUM($D575:F575)</f>
        <v>0</v>
      </c>
      <c r="J575" s="1234" t="str">
        <f>$J$8</f>
        <v>% Mort Acm :</v>
      </c>
      <c r="K575" s="1231">
        <f>IF(PROD!$K$2&gt;0,SUM(D$5:D578)/PROD!$K$2,0)</f>
        <v>0</v>
      </c>
      <c r="L575" s="1246"/>
      <c r="M575" s="291">
        <f t="shared" si="325"/>
        <v>0</v>
      </c>
      <c r="N575" s="314" t="str">
        <f>N$8</f>
        <v xml:space="preserve">Peso Ave (Gr) : </v>
      </c>
      <c r="O575" s="315">
        <f>LOOKUP($A572,GSh!$BV$6:$BV$108,GSh!$BJ$6:$BJ$108)</f>
        <v>0</v>
      </c>
      <c r="P575" s="315">
        <f>IFERROR(LOOKUP($A572,TP!$A$6:$A$108,GSh!$BK$6:$BK$108),0)</f>
        <v>0</v>
      </c>
      <c r="Q575" s="316">
        <f>IF(AND(P575&gt;0,O575&gt;0),(O575/P575-1)*100,0)</f>
        <v>0</v>
      </c>
      <c r="R575" s="699"/>
      <c r="S575" s="762"/>
      <c r="T575" s="765">
        <f t="shared" si="305"/>
        <v>0</v>
      </c>
      <c r="U575" s="700"/>
      <c r="V575" s="701"/>
      <c r="W575" s="701"/>
      <c r="X575" s="295">
        <f t="shared" si="300"/>
        <v>0</v>
      </c>
      <c r="Y575" s="296">
        <f>IF(AA575&gt;0,V575,AE572/IF(Iniciar!$C$25="B X 40 K",40,IF(Iniciar!$C$25="B X 50 K",50,1))*I575/1000)</f>
        <v>0</v>
      </c>
      <c r="Z575" s="296">
        <f t="shared" si="301"/>
        <v>0</v>
      </c>
      <c r="AA575" s="297">
        <f t="shared" si="326"/>
        <v>0</v>
      </c>
      <c r="AB575" s="297">
        <f t="shared" si="295"/>
        <v>0</v>
      </c>
      <c r="AC575" s="541" t="str">
        <f>$AC$8</f>
        <v xml:space="preserve">Ton. Lote Acu : </v>
      </c>
      <c r="AD575" s="544">
        <f>SUM($V$5:$V578)*$A$1/1000000</f>
        <v>0</v>
      </c>
      <c r="AE575" s="543">
        <f>AE568+(AE572/1000000*7*(I572+I578)/2)</f>
        <v>0</v>
      </c>
      <c r="AF575" s="542">
        <f>IF(AND(AE575&gt;0,AD575&gt;0),(AD575/AE575-1)*100,0)</f>
        <v>0</v>
      </c>
      <c r="AG575" s="317" t="str">
        <f>PROD!$AG$8</f>
        <v xml:space="preserve">Masa Ac A. A (Kg) : </v>
      </c>
      <c r="AH575" s="318">
        <f>IF(PROD!$K$2&gt;0,SUM(PROD!L$5:L578)*LOOKUP(PROD!$A572,TP!$A$6:$A$108,GSh!$BB$6:$BB$108)/1000/PROD!$K$2,0)</f>
        <v>0</v>
      </c>
      <c r="AI575" s="318">
        <f>IFERROR(PROD!P573*LOOKUP(PROD!$A572,TP!$A$6:$A$108,GSh!$BC$6:$BC$108)/1000,0)</f>
        <v>0</v>
      </c>
      <c r="AJ575" s="330">
        <f t="shared" si="324"/>
        <v>0</v>
      </c>
      <c r="AK575" s="2027"/>
      <c r="AL575" s="1284">
        <f t="shared" si="296"/>
        <v>0</v>
      </c>
      <c r="AM575" s="1285"/>
      <c r="AN575" s="1285"/>
      <c r="AO575" s="1285"/>
      <c r="AP575" s="1285"/>
      <c r="AQ575" s="1285"/>
      <c r="AR575" s="1285"/>
      <c r="AS575" s="1286"/>
      <c r="AT575" s="1287"/>
      <c r="AU575" s="1288"/>
      <c r="AV575" s="1289"/>
      <c r="AW575" s="1290"/>
      <c r="AX575" s="1291"/>
      <c r="AY575" s="1291"/>
      <c r="AZ575" s="1292"/>
      <c r="BA575" s="1293"/>
      <c r="BB575" s="1294"/>
      <c r="BC575" s="1295"/>
      <c r="BD575" s="1296">
        <f>BD574+PROD!L575-BA575</f>
        <v>0</v>
      </c>
      <c r="BE575" s="2133"/>
      <c r="BF575" s="507" t="e">
        <f t="shared" si="297"/>
        <v>#VALUE!</v>
      </c>
      <c r="BG575" s="329"/>
      <c r="BH575" s="1018">
        <f t="shared" si="298"/>
        <v>0</v>
      </c>
    </row>
    <row r="576" spans="1:60" ht="15" customHeight="1" x14ac:dyDescent="0.3">
      <c r="A576" s="2033"/>
      <c r="B576" s="287" t="str">
        <f t="shared" si="299"/>
        <v/>
      </c>
      <c r="C576" s="288" t="str">
        <f t="shared" si="294"/>
        <v/>
      </c>
      <c r="D576" s="691"/>
      <c r="E576" s="692"/>
      <c r="F576" s="693"/>
      <c r="G576" s="694"/>
      <c r="H576" s="695"/>
      <c r="I576" s="289">
        <f>I575-SUM($D576:F576)</f>
        <v>0</v>
      </c>
      <c r="J576" s="1234" t="str">
        <f>$J$9</f>
        <v>% Sel Acm :</v>
      </c>
      <c r="K576" s="1231">
        <f>IF(PROD!$K$2&gt;0,SUM(E$5:E578)/PROD!$K$2,0)</f>
        <v>0</v>
      </c>
      <c r="L576" s="1246"/>
      <c r="M576" s="291">
        <f t="shared" si="325"/>
        <v>0</v>
      </c>
      <c r="N576" s="292" t="str">
        <f>$N$9</f>
        <v xml:space="preserve">Uniformidad (10% -) : </v>
      </c>
      <c r="O576" s="320">
        <f>LOOKUP($A572,'Pr-Sem'!$A$6:$A$108,'Pr-Sem'!$AH$6:$AH$108)</f>
        <v>0</v>
      </c>
      <c r="P576" s="320">
        <v>5</v>
      </c>
      <c r="Q576" s="321">
        <f>IF(AND(P576&gt;0,O576&gt;0),(1-O576/P576)*100,0)</f>
        <v>0</v>
      </c>
      <c r="R576" s="699"/>
      <c r="S576" s="762"/>
      <c r="T576" s="765">
        <f t="shared" si="305"/>
        <v>0</v>
      </c>
      <c r="U576" s="700"/>
      <c r="V576" s="701"/>
      <c r="W576" s="701"/>
      <c r="X576" s="295">
        <f t="shared" si="300"/>
        <v>0</v>
      </c>
      <c r="Y576" s="296">
        <f>IF(AA576&gt;0,V576,AE572/IF(Iniciar!$C$25="B X 40 K",40,IF(Iniciar!$C$25="B X 50 K",50,1))*I576/1000)</f>
        <v>0</v>
      </c>
      <c r="Z576" s="296">
        <f t="shared" si="301"/>
        <v>0</v>
      </c>
      <c r="AA576" s="297">
        <f t="shared" si="326"/>
        <v>0</v>
      </c>
      <c r="AB576" s="297">
        <f t="shared" si="295"/>
        <v>0</v>
      </c>
      <c r="AC576" s="2035" t="str">
        <f>$AC$9</f>
        <v xml:space="preserve">Total Litros Sem: </v>
      </c>
      <c r="AD576" s="2036"/>
      <c r="AE576" s="2050">
        <f>SUM(R572:R578)</f>
        <v>0</v>
      </c>
      <c r="AF576" s="2051"/>
      <c r="AG576" s="554" t="str">
        <f>$AG$9</f>
        <v xml:space="preserve">Indicador Eficiencia : </v>
      </c>
      <c r="AH576" s="555">
        <f>IF(AND(AE576&gt;0,O573&gt;0,O574&gt;0,SUM(L572:L578)&gt;0),(PROD!AH575/O573)*K578*100/(AE576/(SUM(L572:L578)*O574/1000)),0)</f>
        <v>0</v>
      </c>
      <c r="AI576" s="555">
        <f>IF(AND(P573&gt;0,PROD!AI574&gt;0),(PROD!AI575/P573)*(1-K577)*100/(AE573/PROD!AI574),0)</f>
        <v>0</v>
      </c>
      <c r="AJ576" s="331">
        <f t="shared" si="324"/>
        <v>0</v>
      </c>
      <c r="AK576" s="2027"/>
      <c r="AL576" s="1284">
        <f t="shared" si="296"/>
        <v>0</v>
      </c>
      <c r="AM576" s="1285"/>
      <c r="AN576" s="1285"/>
      <c r="AO576" s="1285"/>
      <c r="AP576" s="1285"/>
      <c r="AQ576" s="1285"/>
      <c r="AR576" s="1285"/>
      <c r="AS576" s="1286"/>
      <c r="AT576" s="1287"/>
      <c r="AU576" s="1288"/>
      <c r="AV576" s="1289"/>
      <c r="AW576" s="1290"/>
      <c r="AX576" s="1291"/>
      <c r="AY576" s="1291"/>
      <c r="AZ576" s="1292"/>
      <c r="BA576" s="1293"/>
      <c r="BB576" s="1294"/>
      <c r="BC576" s="1295"/>
      <c r="BD576" s="1296">
        <f>BD575+PROD!L576-BA576</f>
        <v>0</v>
      </c>
      <c r="BE576" s="2133"/>
      <c r="BF576" s="507" t="e">
        <f t="shared" si="297"/>
        <v>#VALUE!</v>
      </c>
      <c r="BG576" s="329"/>
      <c r="BH576" s="1018">
        <f t="shared" si="298"/>
        <v>0</v>
      </c>
    </row>
    <row r="577" spans="1:60" ht="15" customHeight="1" x14ac:dyDescent="0.3">
      <c r="A577" s="2033"/>
      <c r="B577" s="287" t="str">
        <f t="shared" si="299"/>
        <v/>
      </c>
      <c r="C577" s="288" t="str">
        <f t="shared" si="294"/>
        <v/>
      </c>
      <c r="D577" s="691"/>
      <c r="E577" s="692"/>
      <c r="F577" s="693"/>
      <c r="G577" s="694"/>
      <c r="H577" s="695"/>
      <c r="I577" s="289">
        <f>I576-SUM($D577:F577)</f>
        <v>0</v>
      </c>
      <c r="J577" s="1237" t="str">
        <f>$J$10</f>
        <v>% Mort/Sel Acm Tab :</v>
      </c>
      <c r="K577" s="1238">
        <f>IFERROR(LOOKUP($A572,TP!$A$6:$A$108,GSh!$AR$6:$AR$108)/100,0)</f>
        <v>0</v>
      </c>
      <c r="L577" s="1246"/>
      <c r="M577" s="291">
        <f t="shared" si="325"/>
        <v>0</v>
      </c>
      <c r="N577" s="292" t="str">
        <f>$N$10</f>
        <v xml:space="preserve">Uniformidad (C. Lote) : </v>
      </c>
      <c r="O577" s="320">
        <f>LOOKUP($A572,'Pr-Sem'!$A$6:$A$108,'Pr-Sem'!$AG$6:$AG$108)</f>
        <v>0</v>
      </c>
      <c r="P577" s="320">
        <v>90</v>
      </c>
      <c r="Q577" s="321">
        <f>IF(AND(P577&gt;0,O577&gt;0),(O577/P577-1)*100,0)</f>
        <v>0</v>
      </c>
      <c r="R577" s="699"/>
      <c r="S577" s="762"/>
      <c r="T577" s="765">
        <f t="shared" si="305"/>
        <v>0</v>
      </c>
      <c r="U577" s="700"/>
      <c r="V577" s="701"/>
      <c r="W577" s="701"/>
      <c r="X577" s="295">
        <f t="shared" si="300"/>
        <v>0</v>
      </c>
      <c r="Y577" s="296">
        <f>IF(AA577&gt;0,V577,AE572/IF(Iniciar!$C$25="B X 40 K",40,IF(Iniciar!$C$25="B X 50 K",50,1))*I577/1000)</f>
        <v>0</v>
      </c>
      <c r="Z577" s="296">
        <f t="shared" si="301"/>
        <v>0</v>
      </c>
      <c r="AA577" s="297">
        <f t="shared" si="326"/>
        <v>0</v>
      </c>
      <c r="AB577" s="297">
        <f t="shared" si="295"/>
        <v>0</v>
      </c>
      <c r="AC577" s="2037" t="str">
        <f>$AC$10</f>
        <v xml:space="preserve">Cons ml /ave día: </v>
      </c>
      <c r="AD577" s="2038"/>
      <c r="AE577" s="2056">
        <f>IFERROR(SUMPRODUCT(AB572:AB578,I572:I578)/SUM(I572:I578),0)</f>
        <v>0</v>
      </c>
      <c r="AF577" s="2057"/>
      <c r="AG577" s="311" t="str">
        <f>CONCATENATE("Costo ",Iniciar!$C$25," : ")</f>
        <v xml:space="preserve">Costo Kilos : </v>
      </c>
      <c r="AH577" s="2043">
        <f>IFERROR(SUMPRODUCT(T572:T578,V572:V578)/SUMIF(T572:T578,"&gt;0",V572:V578),0)</f>
        <v>0</v>
      </c>
      <c r="AI577" s="2043"/>
      <c r="AJ577" s="313"/>
      <c r="AK577" s="2027"/>
      <c r="AL577" s="1284">
        <f t="shared" si="296"/>
        <v>0</v>
      </c>
      <c r="AM577" s="1285"/>
      <c r="AN577" s="1285"/>
      <c r="AO577" s="1285"/>
      <c r="AP577" s="1285"/>
      <c r="AQ577" s="1285"/>
      <c r="AR577" s="1285"/>
      <c r="AS577" s="1286"/>
      <c r="AT577" s="1287"/>
      <c r="AU577" s="1288"/>
      <c r="AV577" s="1289"/>
      <c r="AW577" s="1290"/>
      <c r="AX577" s="1291"/>
      <c r="AY577" s="1291"/>
      <c r="AZ577" s="1292"/>
      <c r="BA577" s="1293"/>
      <c r="BB577" s="1294"/>
      <c r="BC577" s="1295"/>
      <c r="BD577" s="1296">
        <f>BD576+PROD!L577-BA577</f>
        <v>0</v>
      </c>
      <c r="BE577" s="2133"/>
      <c r="BF577" s="507" t="e">
        <f t="shared" si="297"/>
        <v>#VALUE!</v>
      </c>
      <c r="BG577" s="329"/>
      <c r="BH577" s="1018">
        <f t="shared" si="298"/>
        <v>0</v>
      </c>
    </row>
    <row r="578" spans="1:60" ht="15" customHeight="1" x14ac:dyDescent="0.3">
      <c r="A578" s="2034"/>
      <c r="B578" s="287" t="str">
        <f t="shared" si="299"/>
        <v/>
      </c>
      <c r="C578" s="288" t="str">
        <f t="shared" si="294"/>
        <v/>
      </c>
      <c r="D578" s="691"/>
      <c r="E578" s="692"/>
      <c r="F578" s="693"/>
      <c r="G578" s="694"/>
      <c r="H578" s="695"/>
      <c r="I578" s="289">
        <f>I577-SUM($D578:F578)</f>
        <v>0</v>
      </c>
      <c r="J578" s="1239" t="str">
        <f>$J$11</f>
        <v>% Viabilidad :</v>
      </c>
      <c r="K578" s="1240">
        <f>IF(OR(SUM(L572:L578)&gt;0,SUM(V572:V578)&gt;0),1-(K575+K576),0)</f>
        <v>0</v>
      </c>
      <c r="L578" s="1247"/>
      <c r="M578" s="1248">
        <f>IF(I578&gt;0,(L578/IF(SUM(L572:L577)&gt;0,1,7))/I578,0)</f>
        <v>0</v>
      </c>
      <c r="N578" s="1249" t="str">
        <f>$N$11</f>
        <v xml:space="preserve">Uniformidad (10% +) : </v>
      </c>
      <c r="O578" s="1250">
        <f>IF(O576&gt;0,IF(O577&gt;0,100-SUM(O576:O577),0),0)</f>
        <v>0</v>
      </c>
      <c r="P578" s="1251">
        <f>100-SUM(P576:P577)</f>
        <v>5</v>
      </c>
      <c r="Q578" s="1252">
        <f>IF(AND(P578&gt;0,O578&gt;0),(O578/P578-1)*100,0)</f>
        <v>0</v>
      </c>
      <c r="R578" s="699"/>
      <c r="S578" s="762"/>
      <c r="T578" s="765">
        <f t="shared" si="305"/>
        <v>0</v>
      </c>
      <c r="U578" s="700"/>
      <c r="V578" s="701"/>
      <c r="W578" s="701"/>
      <c r="X578" s="295">
        <f t="shared" si="300"/>
        <v>0</v>
      </c>
      <c r="Y578" s="296">
        <f>IF(AA578&gt;0,V578,AE572/IF(Iniciar!$C$25="B X 40 K",40,IF(Iniciar!$C$25="B X 50 K",50,1))*I578/1000)</f>
        <v>0</v>
      </c>
      <c r="Z578" s="296">
        <f t="shared" si="301"/>
        <v>0</v>
      </c>
      <c r="AA578" s="297">
        <f>IF(I578&gt;0,(V578/IF(SUM(V572:V577)&gt;0,1,7))*$A$1/I578,0)</f>
        <v>0</v>
      </c>
      <c r="AB578" s="297">
        <f t="shared" si="295"/>
        <v>0</v>
      </c>
      <c r="AC578" s="2039" t="str">
        <f>$AC$11</f>
        <v xml:space="preserve">Relación Agua /Alimto: </v>
      </c>
      <c r="AD578" s="2040"/>
      <c r="AE578" s="2058">
        <f>IFERROR(AE577/AD572,0)</f>
        <v>0</v>
      </c>
      <c r="AF578" s="2059"/>
      <c r="AG578" s="1269" t="s">
        <v>237</v>
      </c>
      <c r="AH578" s="1270">
        <f>IF(SUM(L572:L578)&gt;0,AH577*SUM(V572:V578)/SUM(L572:L578),0)</f>
        <v>0</v>
      </c>
      <c r="AI578" s="1270">
        <f>IF(AND($A$1&gt;0,P572&gt;0),AH577/$A$1*(AE572/P572)*100,0)</f>
        <v>0</v>
      </c>
      <c r="AJ578" s="1271">
        <f t="shared" ref="AJ578:AJ583" si="327">IF(AND(AI578&gt;0,AH578&gt;0),(AH578/AI578-1)*100,0)</f>
        <v>0</v>
      </c>
      <c r="AK578" s="2028"/>
      <c r="AL578" s="1284">
        <f t="shared" si="296"/>
        <v>0</v>
      </c>
      <c r="AM578" s="1285"/>
      <c r="AN578" s="1285"/>
      <c r="AO578" s="1285"/>
      <c r="AP578" s="1285"/>
      <c r="AQ578" s="1285"/>
      <c r="AR578" s="1285"/>
      <c r="AS578" s="1286"/>
      <c r="AT578" s="1287"/>
      <c r="AU578" s="1288"/>
      <c r="AV578" s="1289"/>
      <c r="AW578" s="1290"/>
      <c r="AX578" s="1291"/>
      <c r="AY578" s="1291"/>
      <c r="AZ578" s="1292"/>
      <c r="BA578" s="1293"/>
      <c r="BB578" s="1294"/>
      <c r="BC578" s="1295"/>
      <c r="BD578" s="1296">
        <f>BD577+PROD!L578-BA578</f>
        <v>0</v>
      </c>
      <c r="BE578" s="2134"/>
      <c r="BF578" s="507" t="e">
        <f t="shared" si="297"/>
        <v>#VALUE!</v>
      </c>
      <c r="BG578" s="329"/>
      <c r="BH578" s="1018">
        <f t="shared" si="298"/>
        <v>0</v>
      </c>
    </row>
    <row r="579" spans="1:60" ht="15" customHeight="1" x14ac:dyDescent="0.3">
      <c r="A579" s="2032">
        <f>A572+1</f>
        <v>100</v>
      </c>
      <c r="B579" s="287" t="str">
        <f t="shared" si="299"/>
        <v/>
      </c>
      <c r="C579" s="288" t="str">
        <f t="shared" si="294"/>
        <v/>
      </c>
      <c r="D579" s="691"/>
      <c r="E579" s="692"/>
      <c r="F579" s="693"/>
      <c r="G579" s="694"/>
      <c r="H579" s="695"/>
      <c r="I579" s="289">
        <f>I578-SUM($D579:F579)</f>
        <v>0</v>
      </c>
      <c r="J579" s="1232" t="str">
        <f>$J$5</f>
        <v>% Mort Sem :</v>
      </c>
      <c r="K579" s="1233">
        <f>IF(PROD!$K$2&gt;0,SUM(D579:D585)/PROD!$K$2,0)</f>
        <v>0</v>
      </c>
      <c r="L579" s="1241"/>
      <c r="M579" s="1242">
        <f t="shared" ref="M579:M584" si="328">IF(I579&gt;0,L579/I579,0)</f>
        <v>0</v>
      </c>
      <c r="N579" s="1243" t="str">
        <f>$N$5</f>
        <v xml:space="preserve">% Pdn prom semana : </v>
      </c>
      <c r="O579" s="1244">
        <f>IF(SUM(L579:L584)&gt;0,100*SUMPRODUCT(M579:M585,I579:I585)/SUMIF(L579:L585,"&gt;0",I579:I585),IF(L585&gt;0,100*L585/7/I585,0))</f>
        <v>0</v>
      </c>
      <c r="P579" s="1244">
        <f>IFERROR(LOOKUP($A579,TP!$A$6:$A$108,GSh!$AE$6:$AE$108),0)</f>
        <v>0</v>
      </c>
      <c r="Q579" s="1245">
        <f>IF(AND(P579&gt;0,O579&gt;0),O579-P579,0)</f>
        <v>0</v>
      </c>
      <c r="R579" s="699"/>
      <c r="S579" s="762"/>
      <c r="T579" s="765">
        <f t="shared" si="305"/>
        <v>0</v>
      </c>
      <c r="U579" s="700"/>
      <c r="V579" s="701"/>
      <c r="W579" s="701"/>
      <c r="X579" s="295">
        <f t="shared" si="300"/>
        <v>0</v>
      </c>
      <c r="Y579" s="296">
        <f>IF(AA579&gt;0,V579,AE579/IF(Iniciar!$C$25="B X 40 K",40,IF(Iniciar!$C$25="B X 50 K",50,1))*I579/1000)</f>
        <v>0</v>
      </c>
      <c r="Z579" s="296">
        <f t="shared" si="301"/>
        <v>0</v>
      </c>
      <c r="AA579" s="297">
        <f t="shared" ref="AA579:AA584" si="329">IF(I579&gt;0,V579*$A$1/I579,0)</f>
        <v>0</v>
      </c>
      <c r="AB579" s="297">
        <f t="shared" si="295"/>
        <v>0</v>
      </c>
      <c r="AC579" s="1261" t="str">
        <f>$AC$5</f>
        <v>Gr. Ave Dia :</v>
      </c>
      <c r="AD579" s="1262">
        <f>IF(SUMIF(V579:V585,"&gt;0")&gt;0,SUMPRODUCT(AA579:AA585,I579:I585)/SUMIF(AA579:AA585,"&gt;0",I579:I585),0)</f>
        <v>0</v>
      </c>
      <c r="AE579" s="1262">
        <f>IFERROR(LOOKUP($A579,TP!$A$6:$A$108,GSh!$AU$6:$AU$108),0)</f>
        <v>0</v>
      </c>
      <c r="AF579" s="1263">
        <f>IF(AND(AE579&gt;0,AD579&gt;0),(AD579/AE579-1)*100,0)</f>
        <v>0</v>
      </c>
      <c r="AG579" s="1264" t="str">
        <f>PROD!$AG$5</f>
        <v>Gr X H</v>
      </c>
      <c r="AH579" s="1265">
        <f>IF(PROD!O579&gt;0,IF($AG579="Gr X H",PROD!AD579/PROD!O579*100,IF($AG579="Conv Kg/Doc",PROD!AD579/PROD!O579*1.2,IF(PROD!$O581&gt;0,PROD!AD579/(PROD!O579*PROD!$O581)*100,0))),0)</f>
        <v>0</v>
      </c>
      <c r="AI579" s="1265">
        <f>IF(PROD!P579&gt;0,IF($AG579="Gr X H",PROD!AE579/PROD!P579*100,IF($AG579="Conv Kg/Doc",PROD!AE579/PROD!P579*1.2,IF(PROD!$P581&gt;0,PROD!AE579/(PROD!P579*PROD!$P581)*100,0))),0)</f>
        <v>0</v>
      </c>
      <c r="AJ579" s="1266">
        <f t="shared" si="327"/>
        <v>0</v>
      </c>
      <c r="AK579" s="2026"/>
      <c r="AL579" s="1284">
        <f t="shared" si="296"/>
        <v>0</v>
      </c>
      <c r="AM579" s="1285"/>
      <c r="AN579" s="1285"/>
      <c r="AO579" s="1285"/>
      <c r="AP579" s="1285"/>
      <c r="AQ579" s="1285"/>
      <c r="AR579" s="1285"/>
      <c r="AS579" s="1286"/>
      <c r="AT579" s="1287"/>
      <c r="AU579" s="1288"/>
      <c r="AV579" s="1289"/>
      <c r="AW579" s="1290"/>
      <c r="AX579" s="1291"/>
      <c r="AY579" s="1291"/>
      <c r="AZ579" s="1292"/>
      <c r="BA579" s="1293"/>
      <c r="BB579" s="1294"/>
      <c r="BC579" s="1295"/>
      <c r="BD579" s="1296">
        <f>BD578+PROD!L579-BA579</f>
        <v>0</v>
      </c>
      <c r="BE579" s="2132">
        <f>IF(SUM(AM579:AZ585)&gt;0,(SUM(AM579:AM585)*$AM$2+SUM(AN579:AN585)*$AN$2+SUM(AO579:AO585)*$AO$2+SUM(AP579:AP585)*$AP$2+SUM(AQ579:AQ585)*$AQ$2+SUM(AR579:AR585)*$AR$2+SUM(AS579:AS585)*$AS$2+SUM(AW579:AW585)*$AW$2+SUM(AX579:AX585)*$AX$2+SUM(AY579:AY585)*$AY$2+SUM(AZ579:AZ585)*$AZ$2+SUM(AT579:AT585)*$AT$2+SUM(AU579:AU585)*$AU$2+SUM(AV579:AV585)*$AV$2)/SUM(AM579:AZ585),0)</f>
        <v>0</v>
      </c>
      <c r="BF579" s="507" t="e">
        <f t="shared" si="297"/>
        <v>#VALUE!</v>
      </c>
      <c r="BG579" s="277">
        <f>IF(SUM(L579:L585)&gt;0,A579,IF(SUM(V579:V585)&gt;0,A579,BG572))</f>
        <v>0</v>
      </c>
      <c r="BH579" s="1018">
        <f t="shared" si="298"/>
        <v>0</v>
      </c>
    </row>
    <row r="580" spans="1:60" ht="15" customHeight="1" x14ac:dyDescent="0.3">
      <c r="A580" s="2033"/>
      <c r="B580" s="287" t="str">
        <f t="shared" si="299"/>
        <v/>
      </c>
      <c r="C580" s="288" t="str">
        <f t="shared" si="294"/>
        <v/>
      </c>
      <c r="D580" s="691"/>
      <c r="E580" s="692"/>
      <c r="F580" s="693"/>
      <c r="G580" s="694"/>
      <c r="H580" s="695"/>
      <c r="I580" s="289">
        <f>I579-SUM($D580:F580)</f>
        <v>0</v>
      </c>
      <c r="J580" s="1234" t="str">
        <f>$J$6</f>
        <v>% Sel Sem :</v>
      </c>
      <c r="K580" s="1231">
        <f>IF(PROD!$K$2&gt;0,SUM(E579:E585)/PROD!$K$2,0)</f>
        <v>0</v>
      </c>
      <c r="L580" s="1246"/>
      <c r="M580" s="291">
        <f t="shared" si="328"/>
        <v>0</v>
      </c>
      <c r="N580" s="292" t="str">
        <f>$N$6</f>
        <v xml:space="preserve">H. Ave Alojada : </v>
      </c>
      <c r="O580" s="293">
        <f>IF(AND(PROD!$K$2&gt;0,O579&gt;0),SUM(L$5:L585)/PROD!$K$2,0)</f>
        <v>0</v>
      </c>
      <c r="P580" s="293">
        <f>IFERROR(LOOKUP($A579,TP!$A$6:$A$108,GSh!$AJ$6:$AJ$108),0)</f>
        <v>0</v>
      </c>
      <c r="Q580" s="294">
        <f>IF(AND(P580&gt;0,O580&gt;0),O580-P580,0)</f>
        <v>0</v>
      </c>
      <c r="R580" s="699"/>
      <c r="S580" s="762"/>
      <c r="T580" s="765">
        <f t="shared" si="305"/>
        <v>0</v>
      </c>
      <c r="U580" s="700"/>
      <c r="V580" s="701"/>
      <c r="W580" s="701"/>
      <c r="X580" s="295">
        <f t="shared" si="300"/>
        <v>0</v>
      </c>
      <c r="Y580" s="296">
        <f>IF(AA580&gt;0,V580,AE579/IF(Iniciar!$C$25="B X 40 K",40,IF(Iniciar!$C$25="B X 50 K",50,1))*I580/1000)</f>
        <v>0</v>
      </c>
      <c r="Z580" s="296">
        <f t="shared" si="301"/>
        <v>0</v>
      </c>
      <c r="AA580" s="297">
        <f t="shared" si="329"/>
        <v>0</v>
      </c>
      <c r="AB580" s="297">
        <f t="shared" si="295"/>
        <v>0</v>
      </c>
      <c r="AC580" s="1267" t="str">
        <f>$AC$6</f>
        <v>Gr. Ave Sem :</v>
      </c>
      <c r="AD580" s="284">
        <f>AD579*7</f>
        <v>0</v>
      </c>
      <c r="AE580" s="284">
        <f>AE579*7</f>
        <v>0</v>
      </c>
      <c r="AF580" s="285">
        <f>IF(AND(AE580&gt;0,AD580&gt;0),(AD580/AE580-1)*100,0)</f>
        <v>0</v>
      </c>
      <c r="AG580" s="1199" t="str">
        <f>PROD!$AG$6</f>
        <v>Gr X H Acm</v>
      </c>
      <c r="AH580" s="298">
        <f>IF(SUM(PROD!L579:L585)&gt;0,IF(PROD!$AG$5="Gr X H",SUM(PROD!V$5:V585)*PROD!$A$1/SUM(PROD!L$5:L585),IF($AG579="Conv Kg/Doc",(SUM(PROD!V$5:V585)*PROD!$A$1/1000)/(SUM(PROD!L$5:L585)/12),IF(PROD!$O581&gt;0,SUM(PROD!V$5:V585)*PROD!$A$1/(SUM(PROD!L$5:L585)*LOOKUP(PROD!A579,TP!$A$6:$A$108,GSh!$BB$6:$BB$108)),0))),0)</f>
        <v>0</v>
      </c>
      <c r="AI580" s="298">
        <f>IF(PROD!P579&gt;0,IF($AG579="Gr X H",PROD!AE579/PROD!P579*100,IF($AG579="Conv Kg/Doc",PROD!AE579/PROD!P579*1.2,IF(PROD!$P580&gt;0,PROD!AE581/(PROD!P580*LOOKUP(PROD!$A579,TP!$A$6:$A$108,GSh!$BC$6:$BC$108)/1000),0))),0)</f>
        <v>0</v>
      </c>
      <c r="AJ580" s="328">
        <f t="shared" si="327"/>
        <v>0</v>
      </c>
      <c r="AK580" s="2027"/>
      <c r="AL580" s="1284">
        <f t="shared" si="296"/>
        <v>0</v>
      </c>
      <c r="AM580" s="1285"/>
      <c r="AN580" s="1285"/>
      <c r="AO580" s="1285"/>
      <c r="AP580" s="1285"/>
      <c r="AQ580" s="1285"/>
      <c r="AR580" s="1285"/>
      <c r="AS580" s="1286"/>
      <c r="AT580" s="1287"/>
      <c r="AU580" s="1288"/>
      <c r="AV580" s="1289"/>
      <c r="AW580" s="1290"/>
      <c r="AX580" s="1291"/>
      <c r="AY580" s="1291"/>
      <c r="AZ580" s="1292"/>
      <c r="BA580" s="1293"/>
      <c r="BB580" s="1294"/>
      <c r="BC580" s="1295"/>
      <c r="BD580" s="1296">
        <f>BD579+PROD!L580-BA580</f>
        <v>0</v>
      </c>
      <c r="BE580" s="2133"/>
      <c r="BF580" s="507" t="e">
        <f t="shared" si="297"/>
        <v>#VALUE!</v>
      </c>
      <c r="BG580" s="329"/>
      <c r="BH580" s="1018">
        <f t="shared" si="298"/>
        <v>0</v>
      </c>
    </row>
    <row r="581" spans="1:60" ht="15" customHeight="1" x14ac:dyDescent="0.3">
      <c r="A581" s="2033"/>
      <c r="B581" s="287" t="str">
        <f t="shared" si="299"/>
        <v/>
      </c>
      <c r="C581" s="288" t="str">
        <f t="shared" ref="C581:C644" si="330">IF(B581="","",(B581-Fnac+1)/7)</f>
        <v/>
      </c>
      <c r="D581" s="691"/>
      <c r="E581" s="692"/>
      <c r="F581" s="693"/>
      <c r="G581" s="694"/>
      <c r="H581" s="695"/>
      <c r="I581" s="289">
        <f>I580-SUM($D581:F581)</f>
        <v>0</v>
      </c>
      <c r="J581" s="1235" t="str">
        <f>$J$7</f>
        <v>% Mort/Sel Sem Tab :</v>
      </c>
      <c r="K581" s="1236">
        <f>K584-K577</f>
        <v>0</v>
      </c>
      <c r="L581" s="1246"/>
      <c r="M581" s="291">
        <f t="shared" si="328"/>
        <v>0</v>
      </c>
      <c r="N581" s="304" t="str">
        <f>$N$7</f>
        <v xml:space="preserve">Peso Huevo (Gr) : </v>
      </c>
      <c r="O581" s="305">
        <f>LOOKUP($A579,'Pr-Sem'!$A$6:$A$108,'Pr-Sem'!$Z$6:$Z$108)</f>
        <v>0</v>
      </c>
      <c r="P581" s="305">
        <f>IFERROR(LOOKUP($A579,TP!$A$6:$A$108,GSh!$AZ$6:$AZ$108),0)</f>
        <v>0</v>
      </c>
      <c r="Q581" s="306">
        <f>IF(AND(P581&gt;0,O581&gt;0),O581-P581,0)</f>
        <v>0</v>
      </c>
      <c r="R581" s="699"/>
      <c r="S581" s="762"/>
      <c r="T581" s="765">
        <f t="shared" si="305"/>
        <v>0</v>
      </c>
      <c r="U581" s="700"/>
      <c r="V581" s="701"/>
      <c r="W581" s="701"/>
      <c r="X581" s="295">
        <f t="shared" si="300"/>
        <v>0</v>
      </c>
      <c r="Y581" s="296">
        <f>IF(AA581&gt;0,V581,AE579/IF(Iniciar!$C$25="B X 40 K",40,IF(Iniciar!$C$25="B X 50 K",50,1))*I581/1000)</f>
        <v>0</v>
      </c>
      <c r="Z581" s="296">
        <f t="shared" si="301"/>
        <v>0</v>
      </c>
      <c r="AA581" s="297">
        <f t="shared" si="329"/>
        <v>0</v>
      </c>
      <c r="AB581" s="297">
        <f t="shared" ref="AB581:AB644" si="331">IFERROR(R581*1000/I581,0)</f>
        <v>0</v>
      </c>
      <c r="AC581" s="1268" t="str">
        <f>$AC$7</f>
        <v>Kg Ave Acu :</v>
      </c>
      <c r="AD581" s="308">
        <f>IF(OR(SUM(L579:L585)&gt;0,SUM(V579:V585)&gt;0),AD580/1000+AD574,0)</f>
        <v>0</v>
      </c>
      <c r="AE581" s="309">
        <f>AE580/1000+AE574</f>
        <v>0</v>
      </c>
      <c r="AF581" s="310">
        <f>IF(AND(AE581&gt;0,AD581&gt;0),(AD581/AE581-1)*100,0)</f>
        <v>0</v>
      </c>
      <c r="AG581" s="311" t="str">
        <f>PROD!$AG$7</f>
        <v xml:space="preserve">Masa Sem H (Gr) : </v>
      </c>
      <c r="AH581" s="312">
        <f>PROD!O579/100*7*PROD!O581</f>
        <v>0</v>
      </c>
      <c r="AI581" s="312">
        <f>PROD!P579/100*7*PROD!P581</f>
        <v>0</v>
      </c>
      <c r="AJ581" s="313">
        <f t="shared" si="327"/>
        <v>0</v>
      </c>
      <c r="AK581" s="2027"/>
      <c r="AL581" s="1284">
        <f t="shared" ref="AL581:AL644" si="332">L581-SUM(AM581:AS581)-SUM(AW581:AZ581)-SUM(AT581:AV581)</f>
        <v>0</v>
      </c>
      <c r="AM581" s="1285"/>
      <c r="AN581" s="1285"/>
      <c r="AO581" s="1285"/>
      <c r="AP581" s="1285"/>
      <c r="AQ581" s="1285"/>
      <c r="AR581" s="1285"/>
      <c r="AS581" s="1286"/>
      <c r="AT581" s="1287"/>
      <c r="AU581" s="1288"/>
      <c r="AV581" s="1289"/>
      <c r="AW581" s="1290"/>
      <c r="AX581" s="1291"/>
      <c r="AY581" s="1291"/>
      <c r="AZ581" s="1292"/>
      <c r="BA581" s="1293"/>
      <c r="BB581" s="1294"/>
      <c r="BC581" s="1295"/>
      <c r="BD581" s="1296">
        <f>BD580+PROD!L581-BA581</f>
        <v>0</v>
      </c>
      <c r="BE581" s="2133"/>
      <c r="BF581" s="507" t="e">
        <f t="shared" ref="BF581:BF644" si="333">INT((B581-Fnac)/7)+1</f>
        <v>#VALUE!</v>
      </c>
      <c r="BG581" s="329"/>
      <c r="BH581" s="1018">
        <f t="shared" ref="BH581:BH644" si="334">T581*V581</f>
        <v>0</v>
      </c>
    </row>
    <row r="582" spans="1:60" ht="15" customHeight="1" x14ac:dyDescent="0.3">
      <c r="A582" s="2033"/>
      <c r="B582" s="287" t="str">
        <f t="shared" ref="B582:B645" si="335">IF(B581="","",B581+1)</f>
        <v/>
      </c>
      <c r="C582" s="288" t="str">
        <f t="shared" si="330"/>
        <v/>
      </c>
      <c r="D582" s="691"/>
      <c r="E582" s="692"/>
      <c r="F582" s="693"/>
      <c r="G582" s="694"/>
      <c r="H582" s="695"/>
      <c r="I582" s="289">
        <f>I581-SUM($D582:F582)</f>
        <v>0</v>
      </c>
      <c r="J582" s="1234" t="str">
        <f>$J$8</f>
        <v>% Mort Acm :</v>
      </c>
      <c r="K582" s="1231">
        <f>IF(PROD!$K$2&gt;0,SUM(D$5:D585)/PROD!$K$2,0)</f>
        <v>0</v>
      </c>
      <c r="L582" s="1246"/>
      <c r="M582" s="291">
        <f t="shared" si="328"/>
        <v>0</v>
      </c>
      <c r="N582" s="314" t="str">
        <f>N$8</f>
        <v xml:space="preserve">Peso Ave (Gr) : </v>
      </c>
      <c r="O582" s="315">
        <f>LOOKUP($A579,GSh!$BV$6:$BV$108,GSh!$BJ$6:$BJ$108)</f>
        <v>0</v>
      </c>
      <c r="P582" s="315">
        <f>IFERROR(LOOKUP($A579,TP!$A$6:$A$108,GSh!$BK$6:$BK$108),0)</f>
        <v>0</v>
      </c>
      <c r="Q582" s="316">
        <f>IF(AND(P582&gt;0,O582&gt;0),(O582/P582-1)*100,0)</f>
        <v>0</v>
      </c>
      <c r="R582" s="699"/>
      <c r="S582" s="762"/>
      <c r="T582" s="765">
        <f t="shared" si="305"/>
        <v>0</v>
      </c>
      <c r="U582" s="700"/>
      <c r="V582" s="701"/>
      <c r="W582" s="701"/>
      <c r="X582" s="295">
        <f t="shared" ref="X582:X645" si="336">X581+U582-V582-W582</f>
        <v>0</v>
      </c>
      <c r="Y582" s="296">
        <f>IF(AA582&gt;0,V582,AE579/IF(Iniciar!$C$25="B X 40 K",40,IF(Iniciar!$C$25="B X 50 K",50,1))*I582/1000)</f>
        <v>0</v>
      </c>
      <c r="Z582" s="296">
        <f t="shared" ref="Z582:Z645" si="337">Z581+U582-Y582-W582</f>
        <v>0</v>
      </c>
      <c r="AA582" s="297">
        <f t="shared" si="329"/>
        <v>0</v>
      </c>
      <c r="AB582" s="297">
        <f t="shared" si="331"/>
        <v>0</v>
      </c>
      <c r="AC582" s="541" t="str">
        <f>$AC$8</f>
        <v xml:space="preserve">Ton. Lote Acu : </v>
      </c>
      <c r="AD582" s="544">
        <f>SUM($V$5:$V585)*$A$1/1000000</f>
        <v>0</v>
      </c>
      <c r="AE582" s="543">
        <f>AE575+(AE579/1000000*7*(I579+I585)/2)</f>
        <v>0</v>
      </c>
      <c r="AF582" s="542">
        <f>IF(AND(AE582&gt;0,AD582&gt;0),(AD582/AE582-1)*100,0)</f>
        <v>0</v>
      </c>
      <c r="AG582" s="317" t="str">
        <f>PROD!$AG$8</f>
        <v xml:space="preserve">Masa Ac A. A (Kg) : </v>
      </c>
      <c r="AH582" s="318">
        <f>IF(PROD!$K$2&gt;0,SUM(PROD!L$5:L585)*LOOKUP(PROD!$A579,TP!$A$6:$A$108,GSh!$BB$6:$BB$108)/1000/PROD!$K$2,0)</f>
        <v>0</v>
      </c>
      <c r="AI582" s="318">
        <f>IFERROR(PROD!P580*LOOKUP(PROD!$A579,TP!$A$6:$A$108,GSh!$BC$6:$BC$108)/1000,0)</f>
        <v>0</v>
      </c>
      <c r="AJ582" s="330">
        <f t="shared" si="327"/>
        <v>0</v>
      </c>
      <c r="AK582" s="2027"/>
      <c r="AL582" s="1284">
        <f t="shared" si="332"/>
        <v>0</v>
      </c>
      <c r="AM582" s="1285"/>
      <c r="AN582" s="1285"/>
      <c r="AO582" s="1285"/>
      <c r="AP582" s="1285"/>
      <c r="AQ582" s="1285"/>
      <c r="AR582" s="1285"/>
      <c r="AS582" s="1286"/>
      <c r="AT582" s="1287"/>
      <c r="AU582" s="1288"/>
      <c r="AV582" s="1289"/>
      <c r="AW582" s="1290"/>
      <c r="AX582" s="1291"/>
      <c r="AY582" s="1291"/>
      <c r="AZ582" s="1292"/>
      <c r="BA582" s="1293"/>
      <c r="BB582" s="1294"/>
      <c r="BC582" s="1295"/>
      <c r="BD582" s="1296">
        <f>BD581+PROD!L582-BA582</f>
        <v>0</v>
      </c>
      <c r="BE582" s="2133"/>
      <c r="BF582" s="507" t="e">
        <f t="shared" si="333"/>
        <v>#VALUE!</v>
      </c>
      <c r="BG582" s="329"/>
      <c r="BH582" s="1018">
        <f t="shared" si="334"/>
        <v>0</v>
      </c>
    </row>
    <row r="583" spans="1:60" ht="15" customHeight="1" x14ac:dyDescent="0.3">
      <c r="A583" s="2033"/>
      <c r="B583" s="287" t="str">
        <f t="shared" si="335"/>
        <v/>
      </c>
      <c r="C583" s="288" t="str">
        <f t="shared" si="330"/>
        <v/>
      </c>
      <c r="D583" s="691"/>
      <c r="E583" s="692"/>
      <c r="F583" s="693"/>
      <c r="G583" s="694"/>
      <c r="H583" s="695"/>
      <c r="I583" s="289">
        <f>I582-SUM($D583:F583)</f>
        <v>0</v>
      </c>
      <c r="J583" s="1234" t="str">
        <f>$J$9</f>
        <v>% Sel Acm :</v>
      </c>
      <c r="K583" s="1231">
        <f>IF(PROD!$K$2&gt;0,SUM(E$5:E585)/PROD!$K$2,0)</f>
        <v>0</v>
      </c>
      <c r="L583" s="1246"/>
      <c r="M583" s="291">
        <f t="shared" si="328"/>
        <v>0</v>
      </c>
      <c r="N583" s="292" t="str">
        <f>$N$9</f>
        <v xml:space="preserve">Uniformidad (10% -) : </v>
      </c>
      <c r="O583" s="320">
        <f>LOOKUP($A579,'Pr-Sem'!$A$6:$A$108,'Pr-Sem'!$AH$6:$AH$108)</f>
        <v>0</v>
      </c>
      <c r="P583" s="320">
        <v>5</v>
      </c>
      <c r="Q583" s="321">
        <f>IF(AND(P583&gt;0,O583&gt;0),(1-O583/P583)*100,0)</f>
        <v>0</v>
      </c>
      <c r="R583" s="699"/>
      <c r="S583" s="762"/>
      <c r="T583" s="765">
        <f t="shared" si="305"/>
        <v>0</v>
      </c>
      <c r="U583" s="700"/>
      <c r="V583" s="701"/>
      <c r="W583" s="701"/>
      <c r="X583" s="295">
        <f t="shared" si="336"/>
        <v>0</v>
      </c>
      <c r="Y583" s="296">
        <f>IF(AA583&gt;0,V583,AE579/IF(Iniciar!$C$25="B X 40 K",40,IF(Iniciar!$C$25="B X 50 K",50,1))*I583/1000)</f>
        <v>0</v>
      </c>
      <c r="Z583" s="296">
        <f t="shared" si="337"/>
        <v>0</v>
      </c>
      <c r="AA583" s="297">
        <f t="shared" si="329"/>
        <v>0</v>
      </c>
      <c r="AB583" s="297">
        <f t="shared" si="331"/>
        <v>0</v>
      </c>
      <c r="AC583" s="2035" t="str">
        <f>$AC$9</f>
        <v xml:space="preserve">Total Litros Sem: </v>
      </c>
      <c r="AD583" s="2036"/>
      <c r="AE583" s="2050">
        <f>SUM(R579:R585)</f>
        <v>0</v>
      </c>
      <c r="AF583" s="2051"/>
      <c r="AG583" s="554" t="str">
        <f>$AG$9</f>
        <v xml:space="preserve">Indicador Eficiencia : </v>
      </c>
      <c r="AH583" s="555">
        <f>IF(AND(AE583&gt;0,O580&gt;0,O581&gt;0,SUM(L579:L585)&gt;0),(PROD!AH582/O580)*K585*100/(AE583/(SUM(L579:L585)*O581/1000)),0)</f>
        <v>0</v>
      </c>
      <c r="AI583" s="555">
        <f>IF(AND(P580&gt;0,PROD!AI581&gt;0),(PROD!AI582/P580)*(1-K584)*100/(AE580/PROD!AI581),0)</f>
        <v>0</v>
      </c>
      <c r="AJ583" s="331">
        <f t="shared" si="327"/>
        <v>0</v>
      </c>
      <c r="AK583" s="2027"/>
      <c r="AL583" s="1284">
        <f t="shared" si="332"/>
        <v>0</v>
      </c>
      <c r="AM583" s="1285"/>
      <c r="AN583" s="1285"/>
      <c r="AO583" s="1285"/>
      <c r="AP583" s="1285"/>
      <c r="AQ583" s="1285"/>
      <c r="AR583" s="1285"/>
      <c r="AS583" s="1286"/>
      <c r="AT583" s="1287"/>
      <c r="AU583" s="1288"/>
      <c r="AV583" s="1289"/>
      <c r="AW583" s="1290"/>
      <c r="AX583" s="1291"/>
      <c r="AY583" s="1291"/>
      <c r="AZ583" s="1292"/>
      <c r="BA583" s="1293"/>
      <c r="BB583" s="1294"/>
      <c r="BC583" s="1295"/>
      <c r="BD583" s="1296">
        <f>BD582+PROD!L583-BA583</f>
        <v>0</v>
      </c>
      <c r="BE583" s="2133"/>
      <c r="BF583" s="507" t="e">
        <f t="shared" si="333"/>
        <v>#VALUE!</v>
      </c>
      <c r="BG583" s="329"/>
      <c r="BH583" s="1018">
        <f t="shared" si="334"/>
        <v>0</v>
      </c>
    </row>
    <row r="584" spans="1:60" ht="15" customHeight="1" x14ac:dyDescent="0.3">
      <c r="A584" s="2033"/>
      <c r="B584" s="287" t="str">
        <f t="shared" si="335"/>
        <v/>
      </c>
      <c r="C584" s="288" t="str">
        <f t="shared" si="330"/>
        <v/>
      </c>
      <c r="D584" s="691"/>
      <c r="E584" s="692"/>
      <c r="F584" s="693"/>
      <c r="G584" s="694"/>
      <c r="H584" s="695"/>
      <c r="I584" s="289">
        <f>I583-SUM($D584:F584)</f>
        <v>0</v>
      </c>
      <c r="J584" s="1237" t="str">
        <f>$J$10</f>
        <v>% Mort/Sel Acm Tab :</v>
      </c>
      <c r="K584" s="1238">
        <f>IFERROR(LOOKUP($A579,TP!$A$6:$A$108,GSh!$AR$6:$AR$108)/100,0)</f>
        <v>0</v>
      </c>
      <c r="L584" s="1246"/>
      <c r="M584" s="291">
        <f t="shared" si="328"/>
        <v>0</v>
      </c>
      <c r="N584" s="292" t="str">
        <f>$N$10</f>
        <v xml:space="preserve">Uniformidad (C. Lote) : </v>
      </c>
      <c r="O584" s="320">
        <f>LOOKUP($A579,'Pr-Sem'!$A$6:$A$108,'Pr-Sem'!$AG$6:$AG$108)</f>
        <v>0</v>
      </c>
      <c r="P584" s="320">
        <v>90</v>
      </c>
      <c r="Q584" s="321">
        <f>IF(AND(P584&gt;0,O584&gt;0),(O584/P584-1)*100,0)</f>
        <v>0</v>
      </c>
      <c r="R584" s="699"/>
      <c r="S584" s="762"/>
      <c r="T584" s="765">
        <f t="shared" si="305"/>
        <v>0</v>
      </c>
      <c r="U584" s="700"/>
      <c r="V584" s="701"/>
      <c r="W584" s="701"/>
      <c r="X584" s="295">
        <f t="shared" si="336"/>
        <v>0</v>
      </c>
      <c r="Y584" s="296">
        <f>IF(AA584&gt;0,V584,AE579/IF(Iniciar!$C$25="B X 40 K",40,IF(Iniciar!$C$25="B X 50 K",50,1))*I584/1000)</f>
        <v>0</v>
      </c>
      <c r="Z584" s="296">
        <f t="shared" si="337"/>
        <v>0</v>
      </c>
      <c r="AA584" s="297">
        <f t="shared" si="329"/>
        <v>0</v>
      </c>
      <c r="AB584" s="297">
        <f t="shared" si="331"/>
        <v>0</v>
      </c>
      <c r="AC584" s="2037" t="str">
        <f>$AC$10</f>
        <v xml:space="preserve">Cons ml /ave día: </v>
      </c>
      <c r="AD584" s="2038"/>
      <c r="AE584" s="2056">
        <f>IFERROR(SUMPRODUCT(AB579:AB585,I579:I585)/SUM(I579:I585),0)</f>
        <v>0</v>
      </c>
      <c r="AF584" s="2057"/>
      <c r="AG584" s="311" t="str">
        <f>CONCATENATE("Costo ",Iniciar!$C$25," : ")</f>
        <v xml:space="preserve">Costo Kilos : </v>
      </c>
      <c r="AH584" s="2043">
        <f>IFERROR(SUMPRODUCT(T579:T585,V579:V585)/SUMIF(T579:T585,"&gt;0",V579:V585),0)</f>
        <v>0</v>
      </c>
      <c r="AI584" s="2043"/>
      <c r="AJ584" s="313"/>
      <c r="AK584" s="2027"/>
      <c r="AL584" s="1284">
        <f t="shared" si="332"/>
        <v>0</v>
      </c>
      <c r="AM584" s="1285"/>
      <c r="AN584" s="1285"/>
      <c r="AO584" s="1285"/>
      <c r="AP584" s="1285"/>
      <c r="AQ584" s="1285"/>
      <c r="AR584" s="1285"/>
      <c r="AS584" s="1286"/>
      <c r="AT584" s="1287"/>
      <c r="AU584" s="1288"/>
      <c r="AV584" s="1289"/>
      <c r="AW584" s="1290"/>
      <c r="AX584" s="1291"/>
      <c r="AY584" s="1291"/>
      <c r="AZ584" s="1292"/>
      <c r="BA584" s="1293"/>
      <c r="BB584" s="1294"/>
      <c r="BC584" s="1295"/>
      <c r="BD584" s="1296">
        <f>BD583+PROD!L584-BA584</f>
        <v>0</v>
      </c>
      <c r="BE584" s="2133"/>
      <c r="BF584" s="507" t="e">
        <f t="shared" si="333"/>
        <v>#VALUE!</v>
      </c>
      <c r="BG584" s="329"/>
      <c r="BH584" s="1018">
        <f t="shared" si="334"/>
        <v>0</v>
      </c>
    </row>
    <row r="585" spans="1:60" ht="15" customHeight="1" x14ac:dyDescent="0.3">
      <c r="A585" s="2034"/>
      <c r="B585" s="287" t="str">
        <f t="shared" si="335"/>
        <v/>
      </c>
      <c r="C585" s="288" t="str">
        <f t="shared" si="330"/>
        <v/>
      </c>
      <c r="D585" s="691"/>
      <c r="E585" s="692"/>
      <c r="F585" s="693"/>
      <c r="G585" s="694"/>
      <c r="H585" s="695"/>
      <c r="I585" s="289">
        <f>I584-SUM($D585:F585)</f>
        <v>0</v>
      </c>
      <c r="J585" s="1239" t="str">
        <f>$J$11</f>
        <v>% Viabilidad :</v>
      </c>
      <c r="K585" s="1240">
        <f>IF(OR(SUM(L579:L585)&gt;0,SUM(V579:V585)&gt;0),1-(K582+K583),0)</f>
        <v>0</v>
      </c>
      <c r="L585" s="1247"/>
      <c r="M585" s="1248">
        <f>IF(I585&gt;0,(L585/IF(SUM(L579:L584)&gt;0,1,7))/I585,0)</f>
        <v>0</v>
      </c>
      <c r="N585" s="1249" t="str">
        <f>$N$11</f>
        <v xml:space="preserve">Uniformidad (10% +) : </v>
      </c>
      <c r="O585" s="1250">
        <f>IF(O583&gt;0,IF(O584&gt;0,100-SUM(O583:O584),0),0)</f>
        <v>0</v>
      </c>
      <c r="P585" s="1251">
        <f>100-SUM(P583:P584)</f>
        <v>5</v>
      </c>
      <c r="Q585" s="1252">
        <f>IF(AND(P585&gt;0,O585&gt;0),(O585/P585-1)*100,0)</f>
        <v>0</v>
      </c>
      <c r="R585" s="699"/>
      <c r="S585" s="762"/>
      <c r="T585" s="765">
        <f t="shared" si="305"/>
        <v>0</v>
      </c>
      <c r="U585" s="700"/>
      <c r="V585" s="701"/>
      <c r="W585" s="701"/>
      <c r="X585" s="295">
        <f t="shared" si="336"/>
        <v>0</v>
      </c>
      <c r="Y585" s="296">
        <f>IF(AA585&gt;0,V585,AE579/IF(Iniciar!$C$25="B X 40 K",40,IF(Iniciar!$C$25="B X 50 K",50,1))*I585/1000)</f>
        <v>0</v>
      </c>
      <c r="Z585" s="296">
        <f t="shared" si="337"/>
        <v>0</v>
      </c>
      <c r="AA585" s="297">
        <f>IF(I585&gt;0,(V585/IF(SUM(V579:V584)&gt;0,1,7))*$A$1/I585,0)</f>
        <v>0</v>
      </c>
      <c r="AB585" s="297">
        <f t="shared" si="331"/>
        <v>0</v>
      </c>
      <c r="AC585" s="2039" t="str">
        <f>$AC$11</f>
        <v xml:space="preserve">Relación Agua /Alimto: </v>
      </c>
      <c r="AD585" s="2040"/>
      <c r="AE585" s="2058">
        <f>IFERROR(AE584/AD579,0)</f>
        <v>0</v>
      </c>
      <c r="AF585" s="2059"/>
      <c r="AG585" s="1269" t="s">
        <v>237</v>
      </c>
      <c r="AH585" s="1270">
        <f>IF(SUM(L579:L585)&gt;0,AH584*SUM(V579:V585)/SUM(L579:L585),0)</f>
        <v>0</v>
      </c>
      <c r="AI585" s="1270">
        <f>IF(AND($A$1&gt;0,P579&gt;0),AH584/$A$1*(AE579/P579)*100,0)</f>
        <v>0</v>
      </c>
      <c r="AJ585" s="1271">
        <f t="shared" ref="AJ585:AJ590" si="338">IF(AND(AI585&gt;0,AH585&gt;0),(AH585/AI585-1)*100,0)</f>
        <v>0</v>
      </c>
      <c r="AK585" s="2028"/>
      <c r="AL585" s="1284">
        <f t="shared" si="332"/>
        <v>0</v>
      </c>
      <c r="AM585" s="1285"/>
      <c r="AN585" s="1285"/>
      <c r="AO585" s="1285"/>
      <c r="AP585" s="1285"/>
      <c r="AQ585" s="1285"/>
      <c r="AR585" s="1285"/>
      <c r="AS585" s="1286"/>
      <c r="AT585" s="1287"/>
      <c r="AU585" s="1288"/>
      <c r="AV585" s="1289"/>
      <c r="AW585" s="1290"/>
      <c r="AX585" s="1291"/>
      <c r="AY585" s="1291"/>
      <c r="AZ585" s="1292"/>
      <c r="BA585" s="1293"/>
      <c r="BB585" s="1294"/>
      <c r="BC585" s="1295"/>
      <c r="BD585" s="1296">
        <f>BD584+PROD!L585-BA585</f>
        <v>0</v>
      </c>
      <c r="BE585" s="2134"/>
      <c r="BF585" s="507" t="e">
        <f t="shared" si="333"/>
        <v>#VALUE!</v>
      </c>
      <c r="BG585" s="329"/>
      <c r="BH585" s="1018">
        <f t="shared" si="334"/>
        <v>0</v>
      </c>
    </row>
    <row r="586" spans="1:60" ht="15" customHeight="1" x14ac:dyDescent="0.3">
      <c r="A586" s="2032">
        <f>A579+1</f>
        <v>101</v>
      </c>
      <c r="B586" s="287" t="str">
        <f t="shared" si="335"/>
        <v/>
      </c>
      <c r="C586" s="288" t="str">
        <f t="shared" si="330"/>
        <v/>
      </c>
      <c r="D586" s="691"/>
      <c r="E586" s="692"/>
      <c r="F586" s="693"/>
      <c r="G586" s="694"/>
      <c r="H586" s="695"/>
      <c r="I586" s="289">
        <f>I585-SUM($D586:F586)</f>
        <v>0</v>
      </c>
      <c r="J586" s="1232" t="str">
        <f>$J$5</f>
        <v>% Mort Sem :</v>
      </c>
      <c r="K586" s="1233">
        <f>IF(PROD!$K$2&gt;0,SUM(D586:D592)/PROD!$K$2,0)</f>
        <v>0</v>
      </c>
      <c r="L586" s="1241"/>
      <c r="M586" s="1242">
        <f t="shared" ref="M586:M591" si="339">IF(I586&gt;0,L586/I586,0)</f>
        <v>0</v>
      </c>
      <c r="N586" s="1243" t="str">
        <f>$N$5</f>
        <v xml:space="preserve">% Pdn prom semana : </v>
      </c>
      <c r="O586" s="1244">
        <f>IF(SUM(L586:L591)&gt;0,100*SUMPRODUCT(M586:M592,I586:I592)/SUMIF(L586:L592,"&gt;0",I586:I592),IF(L592&gt;0,100*L592/7/I592,0))</f>
        <v>0</v>
      </c>
      <c r="P586" s="1244">
        <f>IFERROR(LOOKUP($A586,TP!$A$6:$A$108,GSh!$AE$6:$AE$108),0)</f>
        <v>0</v>
      </c>
      <c r="Q586" s="1245">
        <f>IF(AND(P586&gt;0,O586&gt;0),O586-P586,0)</f>
        <v>0</v>
      </c>
      <c r="R586" s="699"/>
      <c r="S586" s="762"/>
      <c r="T586" s="765">
        <f t="shared" si="305"/>
        <v>0</v>
      </c>
      <c r="U586" s="700"/>
      <c r="V586" s="701"/>
      <c r="W586" s="701"/>
      <c r="X586" s="295">
        <f t="shared" si="336"/>
        <v>0</v>
      </c>
      <c r="Y586" s="296">
        <f>IF(AA586&gt;0,V586,AE586/IF(Iniciar!$C$25="B X 40 K",40,IF(Iniciar!$C$25="B X 50 K",50,1))*I586/1000)</f>
        <v>0</v>
      </c>
      <c r="Z586" s="296">
        <f t="shared" si="337"/>
        <v>0</v>
      </c>
      <c r="AA586" s="297">
        <f t="shared" ref="AA586:AA591" si="340">IF(I586&gt;0,V586*$A$1/I586,0)</f>
        <v>0</v>
      </c>
      <c r="AB586" s="297">
        <f t="shared" si="331"/>
        <v>0</v>
      </c>
      <c r="AC586" s="1261" t="str">
        <f>$AC$5</f>
        <v>Gr. Ave Dia :</v>
      </c>
      <c r="AD586" s="1262">
        <f>IF(SUMIF(V586:V592,"&gt;0")&gt;0,SUMPRODUCT(AA586:AA592,I586:I592)/SUMIF(AA586:AA592,"&gt;0",I586:I592),0)</f>
        <v>0</v>
      </c>
      <c r="AE586" s="1262">
        <f>IFERROR(LOOKUP($A586,TP!$A$6:$A$108,GSh!$AU$6:$AU$108),0)</f>
        <v>0</v>
      </c>
      <c r="AF586" s="1263">
        <f>IF(AND(AE586&gt;0,AD586&gt;0),(AD586/AE586-1)*100,0)</f>
        <v>0</v>
      </c>
      <c r="AG586" s="1264" t="str">
        <f>PROD!$AG$5</f>
        <v>Gr X H</v>
      </c>
      <c r="AH586" s="1265">
        <f>IF(PROD!O586&gt;0,IF($AG586="Gr X H",PROD!AD586/PROD!O586*100,IF($AG586="Conv Kg/Doc",PROD!AD586/PROD!O586*1.2,IF(PROD!$O588&gt;0,PROD!AD586/(PROD!O586*PROD!$O588)*100,0))),0)</f>
        <v>0</v>
      </c>
      <c r="AI586" s="1265">
        <f>IF(PROD!P586&gt;0,IF($AG586="Gr X H",PROD!AE586/PROD!P586*100,IF($AG586="Conv Kg/Doc",PROD!AE586/PROD!P586*1.2,IF(PROD!$P588&gt;0,PROD!AE586/(PROD!P586*PROD!$P588)*100,0))),0)</f>
        <v>0</v>
      </c>
      <c r="AJ586" s="1266">
        <f t="shared" si="338"/>
        <v>0</v>
      </c>
      <c r="AK586" s="2026"/>
      <c r="AL586" s="1284">
        <f t="shared" si="332"/>
        <v>0</v>
      </c>
      <c r="AM586" s="1285"/>
      <c r="AN586" s="1285"/>
      <c r="AO586" s="1285"/>
      <c r="AP586" s="1285"/>
      <c r="AQ586" s="1285"/>
      <c r="AR586" s="1285"/>
      <c r="AS586" s="1286"/>
      <c r="AT586" s="1287"/>
      <c r="AU586" s="1288"/>
      <c r="AV586" s="1289"/>
      <c r="AW586" s="1290"/>
      <c r="AX586" s="1291"/>
      <c r="AY586" s="1291"/>
      <c r="AZ586" s="1292"/>
      <c r="BA586" s="1293"/>
      <c r="BB586" s="1294"/>
      <c r="BC586" s="1295"/>
      <c r="BD586" s="1296">
        <f>BD585+PROD!L586-BA586</f>
        <v>0</v>
      </c>
      <c r="BE586" s="2132">
        <f>IF(SUM(AM586:AZ592)&gt;0,(SUM(AM586:AM592)*$AM$2+SUM(AN586:AN592)*$AN$2+SUM(AO586:AO592)*$AO$2+SUM(AP586:AP592)*$AP$2+SUM(AQ586:AQ592)*$AQ$2+SUM(AR586:AR592)*$AR$2+SUM(AS586:AS592)*$AS$2+SUM(AW586:AW592)*$AW$2+SUM(AX586:AX592)*$AX$2+SUM(AY586:AY592)*$AY$2+SUM(AZ586:AZ592)*$AZ$2+SUM(AT586:AT592)*$AT$2+SUM(AU586:AU592)*$AU$2+SUM(AV586:AV592)*$AV$2)/SUM(AM586:AZ592),0)</f>
        <v>0</v>
      </c>
      <c r="BF586" s="507" t="e">
        <f t="shared" si="333"/>
        <v>#VALUE!</v>
      </c>
      <c r="BG586" s="277">
        <f>IF(SUM(L586:L592)&gt;0,A586,IF(SUM(V586:V592)&gt;0,A586,BG579))</f>
        <v>0</v>
      </c>
      <c r="BH586" s="1018">
        <f t="shared" si="334"/>
        <v>0</v>
      </c>
    </row>
    <row r="587" spans="1:60" ht="15" customHeight="1" x14ac:dyDescent="0.3">
      <c r="A587" s="2033"/>
      <c r="B587" s="287" t="str">
        <f t="shared" si="335"/>
        <v/>
      </c>
      <c r="C587" s="288" t="str">
        <f t="shared" si="330"/>
        <v/>
      </c>
      <c r="D587" s="691"/>
      <c r="E587" s="692"/>
      <c r="F587" s="693"/>
      <c r="G587" s="694"/>
      <c r="H587" s="695"/>
      <c r="I587" s="289">
        <f>I586-SUM($D587:F587)</f>
        <v>0</v>
      </c>
      <c r="J587" s="1234" t="str">
        <f>$J$6</f>
        <v>% Sel Sem :</v>
      </c>
      <c r="K587" s="1231">
        <f>IF(PROD!$K$2&gt;0,SUM(E586:E592)/PROD!$K$2,0)</f>
        <v>0</v>
      </c>
      <c r="L587" s="1246"/>
      <c r="M587" s="291">
        <f t="shared" si="339"/>
        <v>0</v>
      </c>
      <c r="N587" s="292" t="str">
        <f>$N$6</f>
        <v xml:space="preserve">H. Ave Alojada : </v>
      </c>
      <c r="O587" s="293">
        <f>IF(AND(PROD!$K$2&gt;0,O586&gt;0),SUM(L$5:L592)/PROD!$K$2,0)</f>
        <v>0</v>
      </c>
      <c r="P587" s="293">
        <f>IFERROR(LOOKUP($A586,TP!$A$6:$A$108,GSh!$AJ$6:$AJ$108),0)</f>
        <v>0</v>
      </c>
      <c r="Q587" s="294">
        <f>IF(AND(P587&gt;0,O587&gt;0),O587-P587,0)</f>
        <v>0</v>
      </c>
      <c r="R587" s="699"/>
      <c r="S587" s="762"/>
      <c r="T587" s="765">
        <f t="shared" si="305"/>
        <v>0</v>
      </c>
      <c r="U587" s="700"/>
      <c r="V587" s="701"/>
      <c r="W587" s="701"/>
      <c r="X587" s="295">
        <f t="shared" si="336"/>
        <v>0</v>
      </c>
      <c r="Y587" s="296">
        <f>IF(AA587&gt;0,V587,AE586/IF(Iniciar!$C$25="B X 40 K",40,IF(Iniciar!$C$25="B X 50 K",50,1))*I587/1000)</f>
        <v>0</v>
      </c>
      <c r="Z587" s="296">
        <f t="shared" si="337"/>
        <v>0</v>
      </c>
      <c r="AA587" s="297">
        <f t="shared" si="340"/>
        <v>0</v>
      </c>
      <c r="AB587" s="297">
        <f t="shared" si="331"/>
        <v>0</v>
      </c>
      <c r="AC587" s="1267" t="str">
        <f>$AC$6</f>
        <v>Gr. Ave Sem :</v>
      </c>
      <c r="AD587" s="284">
        <f>AD586*7</f>
        <v>0</v>
      </c>
      <c r="AE587" s="284">
        <f>AE586*7</f>
        <v>0</v>
      </c>
      <c r="AF587" s="285">
        <f>IF(AND(AE587&gt;0,AD587&gt;0),(AD587/AE587-1)*100,0)</f>
        <v>0</v>
      </c>
      <c r="AG587" s="1199" t="str">
        <f>PROD!$AG$6</f>
        <v>Gr X H Acm</v>
      </c>
      <c r="AH587" s="298">
        <f>IF(SUM(PROD!L586:L592)&gt;0,IF(PROD!$AG$5="Gr X H",SUM(PROD!V$5:V592)*PROD!$A$1/SUM(PROD!L$5:L592),IF($AG586="Conv Kg/Doc",(SUM(PROD!V$5:V592)*PROD!$A$1/1000)/(SUM(PROD!L$5:L592)/12),IF(PROD!$O588&gt;0,SUM(PROD!V$5:V592)*PROD!$A$1/(SUM(PROD!L$5:L592)*LOOKUP(PROD!A586,TP!$A$6:$A$108,GSh!$BB$6:$BB$108)),0))),0)</f>
        <v>0</v>
      </c>
      <c r="AI587" s="298">
        <f>IF(PROD!P586&gt;0,IF($AG586="Gr X H",PROD!AE586/PROD!P586*100,IF($AG586="Conv Kg/Doc",PROD!AE586/PROD!P586*1.2,IF(PROD!$P587&gt;0,PROD!AE588/(PROD!P587*LOOKUP(PROD!$A586,TP!$A$6:$A$108,GSh!$BC$6:$BC$108)/1000),0))),0)</f>
        <v>0</v>
      </c>
      <c r="AJ587" s="328">
        <f t="shared" si="338"/>
        <v>0</v>
      </c>
      <c r="AK587" s="2027"/>
      <c r="AL587" s="1284">
        <f t="shared" si="332"/>
        <v>0</v>
      </c>
      <c r="AM587" s="1285"/>
      <c r="AN587" s="1285"/>
      <c r="AO587" s="1285"/>
      <c r="AP587" s="1285"/>
      <c r="AQ587" s="1285"/>
      <c r="AR587" s="1285"/>
      <c r="AS587" s="1286"/>
      <c r="AT587" s="1287"/>
      <c r="AU587" s="1288"/>
      <c r="AV587" s="1289"/>
      <c r="AW587" s="1290"/>
      <c r="AX587" s="1291"/>
      <c r="AY587" s="1291"/>
      <c r="AZ587" s="1292"/>
      <c r="BA587" s="1293"/>
      <c r="BB587" s="1294"/>
      <c r="BC587" s="1295"/>
      <c r="BD587" s="1296">
        <f>BD586+PROD!L587-BA587</f>
        <v>0</v>
      </c>
      <c r="BE587" s="2133"/>
      <c r="BF587" s="507" t="e">
        <f t="shared" si="333"/>
        <v>#VALUE!</v>
      </c>
      <c r="BG587" s="329"/>
      <c r="BH587" s="1018">
        <f t="shared" si="334"/>
        <v>0</v>
      </c>
    </row>
    <row r="588" spans="1:60" ht="15" customHeight="1" x14ac:dyDescent="0.3">
      <c r="A588" s="2033"/>
      <c r="B588" s="287" t="str">
        <f t="shared" si="335"/>
        <v/>
      </c>
      <c r="C588" s="288" t="str">
        <f t="shared" si="330"/>
        <v/>
      </c>
      <c r="D588" s="691"/>
      <c r="E588" s="692"/>
      <c r="F588" s="693"/>
      <c r="G588" s="694"/>
      <c r="H588" s="695"/>
      <c r="I588" s="289">
        <f>I587-SUM($D588:F588)</f>
        <v>0</v>
      </c>
      <c r="J588" s="1235" t="str">
        <f>$J$7</f>
        <v>% Mort/Sel Sem Tab :</v>
      </c>
      <c r="K588" s="1236">
        <f>K591-K584</f>
        <v>0</v>
      </c>
      <c r="L588" s="1246"/>
      <c r="M588" s="291">
        <f t="shared" si="339"/>
        <v>0</v>
      </c>
      <c r="N588" s="304" t="str">
        <f>$N$7</f>
        <v xml:space="preserve">Peso Huevo (Gr) : </v>
      </c>
      <c r="O588" s="305">
        <f>LOOKUP($A586,'Pr-Sem'!$A$6:$A$108,'Pr-Sem'!$Z$6:$Z$108)</f>
        <v>0</v>
      </c>
      <c r="P588" s="305">
        <f>IFERROR(LOOKUP($A586,TP!$A$6:$A$108,GSh!$AZ$6:$AZ$108),0)</f>
        <v>0</v>
      </c>
      <c r="Q588" s="306">
        <f>IF(AND(P588&gt;0,O588&gt;0),O588-P588,0)</f>
        <v>0</v>
      </c>
      <c r="R588" s="699"/>
      <c r="S588" s="762"/>
      <c r="T588" s="765">
        <f t="shared" ref="T588:T651" si="341">T587</f>
        <v>0</v>
      </c>
      <c r="U588" s="700"/>
      <c r="V588" s="701"/>
      <c r="W588" s="701"/>
      <c r="X588" s="295">
        <f t="shared" si="336"/>
        <v>0</v>
      </c>
      <c r="Y588" s="296">
        <f>IF(AA588&gt;0,V588,AE586/IF(Iniciar!$C$25="B X 40 K",40,IF(Iniciar!$C$25="B X 50 K",50,1))*I588/1000)</f>
        <v>0</v>
      </c>
      <c r="Z588" s="296">
        <f t="shared" si="337"/>
        <v>0</v>
      </c>
      <c r="AA588" s="297">
        <f t="shared" si="340"/>
        <v>0</v>
      </c>
      <c r="AB588" s="297">
        <f t="shared" si="331"/>
        <v>0</v>
      </c>
      <c r="AC588" s="1268" t="str">
        <f>$AC$7</f>
        <v>Kg Ave Acu :</v>
      </c>
      <c r="AD588" s="308">
        <f>IF(OR(SUM(L586:L592)&gt;0,SUM(V586:V592)&gt;0),AD587/1000+AD581,0)</f>
        <v>0</v>
      </c>
      <c r="AE588" s="309">
        <f>AE587/1000+AE581</f>
        <v>0</v>
      </c>
      <c r="AF588" s="310">
        <f>IF(AND(AE588&gt;0,AD588&gt;0),(AD588/AE588-1)*100,0)</f>
        <v>0</v>
      </c>
      <c r="AG588" s="311" t="str">
        <f>PROD!$AG$7</f>
        <v xml:space="preserve">Masa Sem H (Gr) : </v>
      </c>
      <c r="AH588" s="312">
        <f>PROD!O586/100*7*PROD!O588</f>
        <v>0</v>
      </c>
      <c r="AI588" s="312">
        <f>PROD!P586/100*7*PROD!P588</f>
        <v>0</v>
      </c>
      <c r="AJ588" s="313">
        <f t="shared" si="338"/>
        <v>0</v>
      </c>
      <c r="AK588" s="2027"/>
      <c r="AL588" s="1284">
        <f t="shared" si="332"/>
        <v>0</v>
      </c>
      <c r="AM588" s="1285"/>
      <c r="AN588" s="1285"/>
      <c r="AO588" s="1285"/>
      <c r="AP588" s="1285"/>
      <c r="AQ588" s="1285"/>
      <c r="AR588" s="1285"/>
      <c r="AS588" s="1286"/>
      <c r="AT588" s="1287"/>
      <c r="AU588" s="1288"/>
      <c r="AV588" s="1289"/>
      <c r="AW588" s="1290"/>
      <c r="AX588" s="1291"/>
      <c r="AY588" s="1291"/>
      <c r="AZ588" s="1292"/>
      <c r="BA588" s="1293"/>
      <c r="BB588" s="1294"/>
      <c r="BC588" s="1295"/>
      <c r="BD588" s="1296">
        <f>BD587+PROD!L588-BA588</f>
        <v>0</v>
      </c>
      <c r="BE588" s="2133"/>
      <c r="BF588" s="507" t="e">
        <f t="shared" si="333"/>
        <v>#VALUE!</v>
      </c>
      <c r="BG588" s="329"/>
      <c r="BH588" s="1018">
        <f t="shared" si="334"/>
        <v>0</v>
      </c>
    </row>
    <row r="589" spans="1:60" ht="15" customHeight="1" x14ac:dyDescent="0.3">
      <c r="A589" s="2033"/>
      <c r="B589" s="287" t="str">
        <f t="shared" si="335"/>
        <v/>
      </c>
      <c r="C589" s="288" t="str">
        <f t="shared" si="330"/>
        <v/>
      </c>
      <c r="D589" s="691"/>
      <c r="E589" s="692"/>
      <c r="F589" s="693"/>
      <c r="G589" s="694"/>
      <c r="H589" s="695"/>
      <c r="I589" s="289">
        <f>I588-SUM($D589:F589)</f>
        <v>0</v>
      </c>
      <c r="J589" s="1234" t="str">
        <f>$J$8</f>
        <v>% Mort Acm :</v>
      </c>
      <c r="K589" s="1231">
        <f>IF(PROD!$K$2&gt;0,SUM(D$5:D592)/PROD!$K$2,0)</f>
        <v>0</v>
      </c>
      <c r="L589" s="1246"/>
      <c r="M589" s="291">
        <f t="shared" si="339"/>
        <v>0</v>
      </c>
      <c r="N589" s="314" t="str">
        <f>N$8</f>
        <v xml:space="preserve">Peso Ave (Gr) : </v>
      </c>
      <c r="O589" s="315">
        <f>LOOKUP($A586,GSh!$BV$6:$BV$108,GSh!$BJ$6:$BJ$108)</f>
        <v>0</v>
      </c>
      <c r="P589" s="315">
        <f>IFERROR(LOOKUP($A586,TP!$A$6:$A$108,GSh!$BK$6:$BK$108),0)</f>
        <v>0</v>
      </c>
      <c r="Q589" s="316">
        <f>IF(AND(P589&gt;0,O589&gt;0),(O589/P589-1)*100,0)</f>
        <v>0</v>
      </c>
      <c r="R589" s="699"/>
      <c r="S589" s="762"/>
      <c r="T589" s="765">
        <f t="shared" si="341"/>
        <v>0</v>
      </c>
      <c r="U589" s="700"/>
      <c r="V589" s="701"/>
      <c r="W589" s="701"/>
      <c r="X589" s="295">
        <f t="shared" si="336"/>
        <v>0</v>
      </c>
      <c r="Y589" s="296">
        <f>IF(AA589&gt;0,V589,AE586/IF(Iniciar!$C$25="B X 40 K",40,IF(Iniciar!$C$25="B X 50 K",50,1))*I589/1000)</f>
        <v>0</v>
      </c>
      <c r="Z589" s="296">
        <f t="shared" si="337"/>
        <v>0</v>
      </c>
      <c r="AA589" s="297">
        <f t="shared" si="340"/>
        <v>0</v>
      </c>
      <c r="AB589" s="297">
        <f t="shared" si="331"/>
        <v>0</v>
      </c>
      <c r="AC589" s="541" t="str">
        <f>$AC$8</f>
        <v xml:space="preserve">Ton. Lote Acu : </v>
      </c>
      <c r="AD589" s="544">
        <f>SUM($V$5:$V592)*$A$1/1000000</f>
        <v>0</v>
      </c>
      <c r="AE589" s="543">
        <f>AE582+(AE586/1000000*7*(I586+I592)/2)</f>
        <v>0</v>
      </c>
      <c r="AF589" s="542">
        <f>IF(AND(AE589&gt;0,AD589&gt;0),(AD589/AE589-1)*100,0)</f>
        <v>0</v>
      </c>
      <c r="AG589" s="317" t="str">
        <f>PROD!$AG$8</f>
        <v xml:space="preserve">Masa Ac A. A (Kg) : </v>
      </c>
      <c r="AH589" s="318">
        <f>IF(PROD!$K$2&gt;0,SUM(PROD!L$5:L592)*LOOKUP(PROD!$A586,TP!$A$6:$A$108,GSh!$BB$6:$BB$108)/1000/PROD!$K$2,0)</f>
        <v>0</v>
      </c>
      <c r="AI589" s="318">
        <f>IFERROR(PROD!P587*LOOKUP(PROD!$A586,TP!$A$6:$A$108,GSh!$BC$6:$BC$108)/1000,0)</f>
        <v>0</v>
      </c>
      <c r="AJ589" s="330">
        <f t="shared" si="338"/>
        <v>0</v>
      </c>
      <c r="AK589" s="2027"/>
      <c r="AL589" s="1284">
        <f t="shared" si="332"/>
        <v>0</v>
      </c>
      <c r="AM589" s="1285"/>
      <c r="AN589" s="1285"/>
      <c r="AO589" s="1285"/>
      <c r="AP589" s="1285"/>
      <c r="AQ589" s="1285"/>
      <c r="AR589" s="1285"/>
      <c r="AS589" s="1286"/>
      <c r="AT589" s="1287"/>
      <c r="AU589" s="1288"/>
      <c r="AV589" s="1289"/>
      <c r="AW589" s="1290"/>
      <c r="AX589" s="1291"/>
      <c r="AY589" s="1291"/>
      <c r="AZ589" s="1292"/>
      <c r="BA589" s="1293"/>
      <c r="BB589" s="1294"/>
      <c r="BC589" s="1295"/>
      <c r="BD589" s="1296">
        <f>BD588+PROD!L589-BA589</f>
        <v>0</v>
      </c>
      <c r="BE589" s="2133"/>
      <c r="BF589" s="507" t="e">
        <f t="shared" si="333"/>
        <v>#VALUE!</v>
      </c>
      <c r="BG589" s="329"/>
      <c r="BH589" s="1018">
        <f t="shared" si="334"/>
        <v>0</v>
      </c>
    </row>
    <row r="590" spans="1:60" ht="15" customHeight="1" x14ac:dyDescent="0.3">
      <c r="A590" s="2033"/>
      <c r="B590" s="287" t="str">
        <f t="shared" si="335"/>
        <v/>
      </c>
      <c r="C590" s="288" t="str">
        <f t="shared" si="330"/>
        <v/>
      </c>
      <c r="D590" s="691"/>
      <c r="E590" s="692"/>
      <c r="F590" s="693"/>
      <c r="G590" s="694"/>
      <c r="H590" s="695"/>
      <c r="I590" s="289">
        <f>I589-SUM($D590:F590)</f>
        <v>0</v>
      </c>
      <c r="J590" s="1234" t="str">
        <f>$J$9</f>
        <v>% Sel Acm :</v>
      </c>
      <c r="K590" s="1231">
        <f>IF(PROD!$K$2&gt;0,SUM(E$5:E592)/PROD!$K$2,0)</f>
        <v>0</v>
      </c>
      <c r="L590" s="1246"/>
      <c r="M590" s="291">
        <f t="shared" si="339"/>
        <v>0</v>
      </c>
      <c r="N590" s="292" t="str">
        <f>$N$9</f>
        <v xml:space="preserve">Uniformidad (10% -) : </v>
      </c>
      <c r="O590" s="320">
        <f>LOOKUP($A586,'Pr-Sem'!$A$6:$A$108,'Pr-Sem'!$AH$6:$AH$108)</f>
        <v>0</v>
      </c>
      <c r="P590" s="320">
        <v>5</v>
      </c>
      <c r="Q590" s="321">
        <f>IF(AND(P590&gt;0,O590&gt;0),(1-O590/P590)*100,0)</f>
        <v>0</v>
      </c>
      <c r="R590" s="699"/>
      <c r="S590" s="762"/>
      <c r="T590" s="765">
        <f t="shared" si="341"/>
        <v>0</v>
      </c>
      <c r="U590" s="700"/>
      <c r="V590" s="701"/>
      <c r="W590" s="701"/>
      <c r="X590" s="295">
        <f t="shared" si="336"/>
        <v>0</v>
      </c>
      <c r="Y590" s="296">
        <f>IF(AA590&gt;0,V590,AE586/IF(Iniciar!$C$25="B X 40 K",40,IF(Iniciar!$C$25="B X 50 K",50,1))*I590/1000)</f>
        <v>0</v>
      </c>
      <c r="Z590" s="296">
        <f t="shared" si="337"/>
        <v>0</v>
      </c>
      <c r="AA590" s="297">
        <f t="shared" si="340"/>
        <v>0</v>
      </c>
      <c r="AB590" s="297">
        <f t="shared" si="331"/>
        <v>0</v>
      </c>
      <c r="AC590" s="2035" t="str">
        <f>$AC$9</f>
        <v xml:space="preserve">Total Litros Sem: </v>
      </c>
      <c r="AD590" s="2036"/>
      <c r="AE590" s="2050">
        <f>SUM(R586:R592)</f>
        <v>0</v>
      </c>
      <c r="AF590" s="2051"/>
      <c r="AG590" s="554" t="str">
        <f>$AG$9</f>
        <v xml:space="preserve">Indicador Eficiencia : </v>
      </c>
      <c r="AH590" s="555">
        <f>IF(AND(AE590&gt;0,O587&gt;0,O588&gt;0,SUM(L586:L592)&gt;0),(PROD!AH589/O587)*K592*100/(AE590/(SUM(L586:L592)*O588/1000)),0)</f>
        <v>0</v>
      </c>
      <c r="AI590" s="555">
        <f>IF(AND(P587&gt;0,PROD!AI588&gt;0),(PROD!AI589/P587)*(1-K591)*100/(AE587/PROD!AI588),0)</f>
        <v>0</v>
      </c>
      <c r="AJ590" s="331">
        <f t="shared" si="338"/>
        <v>0</v>
      </c>
      <c r="AK590" s="2027"/>
      <c r="AL590" s="1284">
        <f t="shared" si="332"/>
        <v>0</v>
      </c>
      <c r="AM590" s="1285"/>
      <c r="AN590" s="1285"/>
      <c r="AO590" s="1285"/>
      <c r="AP590" s="1285"/>
      <c r="AQ590" s="1285"/>
      <c r="AR590" s="1285"/>
      <c r="AS590" s="1286"/>
      <c r="AT590" s="1287"/>
      <c r="AU590" s="1288"/>
      <c r="AV590" s="1289"/>
      <c r="AW590" s="1290"/>
      <c r="AX590" s="1291"/>
      <c r="AY590" s="1291"/>
      <c r="AZ590" s="1292"/>
      <c r="BA590" s="1293"/>
      <c r="BB590" s="1294"/>
      <c r="BC590" s="1295"/>
      <c r="BD590" s="1296">
        <f>BD589+PROD!L590-BA590</f>
        <v>0</v>
      </c>
      <c r="BE590" s="2133"/>
      <c r="BF590" s="507" t="e">
        <f t="shared" si="333"/>
        <v>#VALUE!</v>
      </c>
      <c r="BG590" s="329"/>
      <c r="BH590" s="1018">
        <f t="shared" si="334"/>
        <v>0</v>
      </c>
    </row>
    <row r="591" spans="1:60" ht="15" customHeight="1" x14ac:dyDescent="0.3">
      <c r="A591" s="2033"/>
      <c r="B591" s="287" t="str">
        <f t="shared" si="335"/>
        <v/>
      </c>
      <c r="C591" s="288" t="str">
        <f t="shared" si="330"/>
        <v/>
      </c>
      <c r="D591" s="691"/>
      <c r="E591" s="692"/>
      <c r="F591" s="693"/>
      <c r="G591" s="694"/>
      <c r="H591" s="695"/>
      <c r="I591" s="289">
        <f>I590-SUM($D591:F591)</f>
        <v>0</v>
      </c>
      <c r="J591" s="1237" t="str">
        <f>$J$10</f>
        <v>% Mort/Sel Acm Tab :</v>
      </c>
      <c r="K591" s="1238">
        <f>IFERROR(LOOKUP($A586,TP!$A$6:$A$108,GSh!$AR$6:$AR$108)/100,0)</f>
        <v>0</v>
      </c>
      <c r="L591" s="1246"/>
      <c r="M591" s="291">
        <f t="shared" si="339"/>
        <v>0</v>
      </c>
      <c r="N591" s="292" t="str">
        <f>$N$10</f>
        <v xml:space="preserve">Uniformidad (C. Lote) : </v>
      </c>
      <c r="O591" s="320">
        <f>LOOKUP($A586,'Pr-Sem'!$A$6:$A$108,'Pr-Sem'!$AG$6:$AG$108)</f>
        <v>0</v>
      </c>
      <c r="P591" s="320">
        <v>90</v>
      </c>
      <c r="Q591" s="321">
        <f>IF(AND(P591&gt;0,O591&gt;0),(O591/P591-1)*100,0)</f>
        <v>0</v>
      </c>
      <c r="R591" s="699"/>
      <c r="S591" s="762"/>
      <c r="T591" s="765">
        <f t="shared" si="341"/>
        <v>0</v>
      </c>
      <c r="U591" s="700"/>
      <c r="V591" s="701"/>
      <c r="W591" s="701"/>
      <c r="X591" s="295">
        <f t="shared" si="336"/>
        <v>0</v>
      </c>
      <c r="Y591" s="296">
        <f>IF(AA591&gt;0,V591,AE586/IF(Iniciar!$C$25="B X 40 K",40,IF(Iniciar!$C$25="B X 50 K",50,1))*I591/1000)</f>
        <v>0</v>
      </c>
      <c r="Z591" s="296">
        <f t="shared" si="337"/>
        <v>0</v>
      </c>
      <c r="AA591" s="297">
        <f t="shared" si="340"/>
        <v>0</v>
      </c>
      <c r="AB591" s="297">
        <f t="shared" si="331"/>
        <v>0</v>
      </c>
      <c r="AC591" s="2037" t="str">
        <f>$AC$10</f>
        <v xml:space="preserve">Cons ml /ave día: </v>
      </c>
      <c r="AD591" s="2038"/>
      <c r="AE591" s="2056">
        <f>IFERROR(SUMPRODUCT(AB586:AB592,I586:I592)/SUM(I586:I592),0)</f>
        <v>0</v>
      </c>
      <c r="AF591" s="2057"/>
      <c r="AG591" s="311" t="str">
        <f>CONCATENATE("Costo ",Iniciar!$C$25," : ")</f>
        <v xml:space="preserve">Costo Kilos : </v>
      </c>
      <c r="AH591" s="2043">
        <f>IFERROR(SUMPRODUCT(T586:T592,V586:V592)/SUMIF(T586:T592,"&gt;0",V586:V592),0)</f>
        <v>0</v>
      </c>
      <c r="AI591" s="2043"/>
      <c r="AJ591" s="313"/>
      <c r="AK591" s="2027"/>
      <c r="AL591" s="1284">
        <f t="shared" si="332"/>
        <v>0</v>
      </c>
      <c r="AM591" s="1285"/>
      <c r="AN591" s="1285"/>
      <c r="AO591" s="1285"/>
      <c r="AP591" s="1285"/>
      <c r="AQ591" s="1285"/>
      <c r="AR591" s="1285"/>
      <c r="AS591" s="1286"/>
      <c r="AT591" s="1287"/>
      <c r="AU591" s="1288"/>
      <c r="AV591" s="1289"/>
      <c r="AW591" s="1290"/>
      <c r="AX591" s="1291"/>
      <c r="AY591" s="1291"/>
      <c r="AZ591" s="1292"/>
      <c r="BA591" s="1293"/>
      <c r="BB591" s="1294"/>
      <c r="BC591" s="1295"/>
      <c r="BD591" s="1296">
        <f>BD590+PROD!L591-BA591</f>
        <v>0</v>
      </c>
      <c r="BE591" s="2133"/>
      <c r="BF591" s="507" t="e">
        <f t="shared" si="333"/>
        <v>#VALUE!</v>
      </c>
      <c r="BG591" s="329"/>
      <c r="BH591" s="1018">
        <f t="shared" si="334"/>
        <v>0</v>
      </c>
    </row>
    <row r="592" spans="1:60" ht="15" customHeight="1" x14ac:dyDescent="0.3">
      <c r="A592" s="2034"/>
      <c r="B592" s="287" t="str">
        <f t="shared" si="335"/>
        <v/>
      </c>
      <c r="C592" s="288" t="str">
        <f t="shared" si="330"/>
        <v/>
      </c>
      <c r="D592" s="691"/>
      <c r="E592" s="692"/>
      <c r="F592" s="693"/>
      <c r="G592" s="694"/>
      <c r="H592" s="695"/>
      <c r="I592" s="289">
        <f>I591-SUM($D592:F592)</f>
        <v>0</v>
      </c>
      <c r="J592" s="1239" t="str">
        <f>$J$11</f>
        <v>% Viabilidad :</v>
      </c>
      <c r="K592" s="1240">
        <f>IF(OR(SUM(L586:L592)&gt;0,SUM(V586:V592)&gt;0),1-(K589+K590),0)</f>
        <v>0</v>
      </c>
      <c r="L592" s="1247"/>
      <c r="M592" s="1248">
        <f>IF(I592&gt;0,(L592/IF(SUM(L586:L591)&gt;0,1,7))/I592,0)</f>
        <v>0</v>
      </c>
      <c r="N592" s="1249" t="str">
        <f>$N$11</f>
        <v xml:space="preserve">Uniformidad (10% +) : </v>
      </c>
      <c r="O592" s="1250">
        <f>IF(O590&gt;0,IF(O591&gt;0,100-SUM(O590:O591),0),0)</f>
        <v>0</v>
      </c>
      <c r="P592" s="1251">
        <f>100-SUM(P590:P591)</f>
        <v>5</v>
      </c>
      <c r="Q592" s="1252">
        <f>IF(AND(P592&gt;0,O592&gt;0),(O592/P592-1)*100,0)</f>
        <v>0</v>
      </c>
      <c r="R592" s="699"/>
      <c r="S592" s="762"/>
      <c r="T592" s="765">
        <f t="shared" si="341"/>
        <v>0</v>
      </c>
      <c r="U592" s="700"/>
      <c r="V592" s="701"/>
      <c r="W592" s="701"/>
      <c r="X592" s="295">
        <f t="shared" si="336"/>
        <v>0</v>
      </c>
      <c r="Y592" s="296">
        <f>IF(AA592&gt;0,V592,AE586/IF(Iniciar!$C$25="B X 40 K",40,IF(Iniciar!$C$25="B X 50 K",50,1))*I592/1000)</f>
        <v>0</v>
      </c>
      <c r="Z592" s="296">
        <f t="shared" si="337"/>
        <v>0</v>
      </c>
      <c r="AA592" s="297">
        <f>IF(I592&gt;0,(V592/IF(SUM(V586:V591)&gt;0,1,7))*$A$1/I592,0)</f>
        <v>0</v>
      </c>
      <c r="AB592" s="297">
        <f t="shared" si="331"/>
        <v>0</v>
      </c>
      <c r="AC592" s="2039" t="str">
        <f>$AC$11</f>
        <v xml:space="preserve">Relación Agua /Alimto: </v>
      </c>
      <c r="AD592" s="2040"/>
      <c r="AE592" s="2058">
        <f>IFERROR(AE591/AD586,0)</f>
        <v>0</v>
      </c>
      <c r="AF592" s="2059"/>
      <c r="AG592" s="1269" t="s">
        <v>237</v>
      </c>
      <c r="AH592" s="1270">
        <f>IF(SUM(L586:L592)&gt;0,AH591*SUM(V586:V592)/SUM(L586:L592),0)</f>
        <v>0</v>
      </c>
      <c r="AI592" s="1270">
        <f>IF(AND($A$1&gt;0,P586&gt;0),AH591/$A$1*(AE586/P586)*100,0)</f>
        <v>0</v>
      </c>
      <c r="AJ592" s="1271">
        <f t="shared" ref="AJ592:AJ597" si="342">IF(AND(AI592&gt;0,AH592&gt;0),(AH592/AI592-1)*100,0)</f>
        <v>0</v>
      </c>
      <c r="AK592" s="2028"/>
      <c r="AL592" s="1284">
        <f t="shared" si="332"/>
        <v>0</v>
      </c>
      <c r="AM592" s="1285"/>
      <c r="AN592" s="1285"/>
      <c r="AO592" s="1285"/>
      <c r="AP592" s="1285"/>
      <c r="AQ592" s="1285"/>
      <c r="AR592" s="1285"/>
      <c r="AS592" s="1286"/>
      <c r="AT592" s="1287"/>
      <c r="AU592" s="1288"/>
      <c r="AV592" s="1289"/>
      <c r="AW592" s="1290"/>
      <c r="AX592" s="1291"/>
      <c r="AY592" s="1291"/>
      <c r="AZ592" s="1292"/>
      <c r="BA592" s="1293"/>
      <c r="BB592" s="1294"/>
      <c r="BC592" s="1295"/>
      <c r="BD592" s="1296">
        <f>BD591+PROD!L592-BA592</f>
        <v>0</v>
      </c>
      <c r="BE592" s="2134"/>
      <c r="BF592" s="507" t="e">
        <f t="shared" si="333"/>
        <v>#VALUE!</v>
      </c>
      <c r="BG592" s="329"/>
      <c r="BH592" s="1018">
        <f t="shared" si="334"/>
        <v>0</v>
      </c>
    </row>
    <row r="593" spans="1:60" ht="15" customHeight="1" x14ac:dyDescent="0.3">
      <c r="A593" s="2032">
        <f>A586+1</f>
        <v>102</v>
      </c>
      <c r="B593" s="287" t="str">
        <f t="shared" si="335"/>
        <v/>
      </c>
      <c r="C593" s="288" t="str">
        <f t="shared" si="330"/>
        <v/>
      </c>
      <c r="D593" s="691"/>
      <c r="E593" s="692"/>
      <c r="F593" s="693"/>
      <c r="G593" s="694"/>
      <c r="H593" s="695"/>
      <c r="I593" s="289">
        <f>I592-SUM($D593:F593)</f>
        <v>0</v>
      </c>
      <c r="J593" s="1232" t="str">
        <f>$J$5</f>
        <v>% Mort Sem :</v>
      </c>
      <c r="K593" s="1233">
        <f>IF(PROD!$K$2&gt;0,SUM(D593:D599)/PROD!$K$2,0)</f>
        <v>0</v>
      </c>
      <c r="L593" s="1241"/>
      <c r="M593" s="1242">
        <f t="shared" ref="M593:M598" si="343">IF(I593&gt;0,L593/I593,0)</f>
        <v>0</v>
      </c>
      <c r="N593" s="1243" t="str">
        <f>$N$5</f>
        <v xml:space="preserve">% Pdn prom semana : </v>
      </c>
      <c r="O593" s="1244">
        <f>IF(SUM(L593:L598)&gt;0,100*SUMPRODUCT(M593:M599,I593:I599)/SUMIF(L593:L599,"&gt;0",I593:I599),IF(L599&gt;0,100*L599/7/I599,0))</f>
        <v>0</v>
      </c>
      <c r="P593" s="1244">
        <f>IFERROR(LOOKUP($A593,TP!$A$6:$A$108,GSh!$AE$6:$AE$108),0)</f>
        <v>0</v>
      </c>
      <c r="Q593" s="1245">
        <f>IF(AND(P593&gt;0,O593&gt;0),O593-P593,0)</f>
        <v>0</v>
      </c>
      <c r="R593" s="699"/>
      <c r="S593" s="762"/>
      <c r="T593" s="765">
        <f t="shared" si="341"/>
        <v>0</v>
      </c>
      <c r="U593" s="700"/>
      <c r="V593" s="701"/>
      <c r="W593" s="701"/>
      <c r="X593" s="295">
        <f t="shared" si="336"/>
        <v>0</v>
      </c>
      <c r="Y593" s="296">
        <f>IF(AA593&gt;0,V593,AE593/IF(Iniciar!$C$25="B X 40 K",40,IF(Iniciar!$C$25="B X 50 K",50,1))*I593/1000)</f>
        <v>0</v>
      </c>
      <c r="Z593" s="296">
        <f t="shared" si="337"/>
        <v>0</v>
      </c>
      <c r="AA593" s="297">
        <f t="shared" ref="AA593:AA598" si="344">IF(I593&gt;0,V593*$A$1/I593,0)</f>
        <v>0</v>
      </c>
      <c r="AB593" s="297">
        <f t="shared" si="331"/>
        <v>0</v>
      </c>
      <c r="AC593" s="1261" t="str">
        <f>$AC$5</f>
        <v>Gr. Ave Dia :</v>
      </c>
      <c r="AD593" s="1262">
        <f>IF(SUMIF(V593:V599,"&gt;0")&gt;0,SUMPRODUCT(AA593:AA599,I593:I599)/SUMIF(AA593:AA599,"&gt;0",I593:I599),0)</f>
        <v>0</v>
      </c>
      <c r="AE593" s="1262">
        <f>IFERROR(LOOKUP($A593,TP!$A$6:$A$108,GSh!$AU$6:$AU$108),0)</f>
        <v>0</v>
      </c>
      <c r="AF593" s="1263">
        <f>IF(AND(AE593&gt;0,AD593&gt;0),(AD593/AE593-1)*100,0)</f>
        <v>0</v>
      </c>
      <c r="AG593" s="1264" t="str">
        <f>PROD!$AG$5</f>
        <v>Gr X H</v>
      </c>
      <c r="AH593" s="1265">
        <f>IF(PROD!O593&gt;0,IF($AG593="Gr X H",PROD!AD593/PROD!O593*100,IF($AG593="Conv Kg/Doc",PROD!AD593/PROD!O593*1.2,IF(PROD!$O595&gt;0,PROD!AD593/(PROD!O593*PROD!$O595)*100,0))),0)</f>
        <v>0</v>
      </c>
      <c r="AI593" s="1265">
        <f>IF(PROD!P593&gt;0,IF($AG593="Gr X H",PROD!AE593/PROD!P593*100,IF($AG593="Conv Kg/Doc",PROD!AE593/PROD!P593*1.2,IF(PROD!$P595&gt;0,PROD!AE593/(PROD!P593*PROD!$P595)*100,0))),0)</f>
        <v>0</v>
      </c>
      <c r="AJ593" s="1266">
        <f t="shared" si="342"/>
        <v>0</v>
      </c>
      <c r="AK593" s="2026"/>
      <c r="AL593" s="1284">
        <f t="shared" si="332"/>
        <v>0</v>
      </c>
      <c r="AM593" s="1285"/>
      <c r="AN593" s="1285"/>
      <c r="AO593" s="1285"/>
      <c r="AP593" s="1285"/>
      <c r="AQ593" s="1285"/>
      <c r="AR593" s="1285"/>
      <c r="AS593" s="1286"/>
      <c r="AT593" s="1287"/>
      <c r="AU593" s="1288"/>
      <c r="AV593" s="1289"/>
      <c r="AW593" s="1290"/>
      <c r="AX593" s="1291"/>
      <c r="AY593" s="1291"/>
      <c r="AZ593" s="1292"/>
      <c r="BA593" s="1293"/>
      <c r="BB593" s="1294"/>
      <c r="BC593" s="1295"/>
      <c r="BD593" s="1296">
        <f>BD592+PROD!L593-BA593</f>
        <v>0</v>
      </c>
      <c r="BE593" s="2132">
        <f>IF(SUM(AM593:AZ599)&gt;0,(SUM(AM593:AM599)*$AM$2+SUM(AN593:AN599)*$AN$2+SUM(AO593:AO599)*$AO$2+SUM(AP593:AP599)*$AP$2+SUM(AQ593:AQ599)*$AQ$2+SUM(AR593:AR599)*$AR$2+SUM(AS593:AS599)*$AS$2+SUM(AW593:AW599)*$AW$2+SUM(AX593:AX599)*$AX$2+SUM(AY593:AY599)*$AY$2+SUM(AZ593:AZ599)*$AZ$2+SUM(AT593:AT599)*$AT$2+SUM(AU593:AU599)*$AU$2+SUM(AV593:AV599)*$AV$2)/SUM(AM593:AZ599),0)</f>
        <v>0</v>
      </c>
      <c r="BF593" s="507" t="e">
        <f t="shared" si="333"/>
        <v>#VALUE!</v>
      </c>
      <c r="BG593" s="277">
        <f>IF(SUM(L593:L599)&gt;0,A593,IF(SUM(V593:V599)&gt;0,A593,BG586))</f>
        <v>0</v>
      </c>
      <c r="BH593" s="1018">
        <f t="shared" si="334"/>
        <v>0</v>
      </c>
    </row>
    <row r="594" spans="1:60" ht="15" customHeight="1" x14ac:dyDescent="0.3">
      <c r="A594" s="2033"/>
      <c r="B594" s="287" t="str">
        <f t="shared" si="335"/>
        <v/>
      </c>
      <c r="C594" s="288" t="str">
        <f t="shared" si="330"/>
        <v/>
      </c>
      <c r="D594" s="691"/>
      <c r="E594" s="692"/>
      <c r="F594" s="693"/>
      <c r="G594" s="694"/>
      <c r="H594" s="695"/>
      <c r="I594" s="289">
        <f>I593-SUM($D594:F594)</f>
        <v>0</v>
      </c>
      <c r="J594" s="1234" t="str">
        <f>$J$6</f>
        <v>% Sel Sem :</v>
      </c>
      <c r="K594" s="1231">
        <f>IF(PROD!$K$2&gt;0,SUM(E593:E599)/PROD!$K$2,0)</f>
        <v>0</v>
      </c>
      <c r="L594" s="1246"/>
      <c r="M594" s="291">
        <f t="shared" si="343"/>
        <v>0</v>
      </c>
      <c r="N594" s="292" t="str">
        <f>$N$6</f>
        <v xml:space="preserve">H. Ave Alojada : </v>
      </c>
      <c r="O594" s="293">
        <f>IF(AND(PROD!$K$2&gt;0,O593&gt;0),SUM(L$5:L599)/PROD!$K$2,0)</f>
        <v>0</v>
      </c>
      <c r="P594" s="293">
        <f>IFERROR(LOOKUP($A593,TP!$A$6:$A$108,GSh!$AJ$6:$AJ$108),0)</f>
        <v>0</v>
      </c>
      <c r="Q594" s="294">
        <f>IF(AND(P594&gt;0,O594&gt;0),O594-P594,0)</f>
        <v>0</v>
      </c>
      <c r="R594" s="699"/>
      <c r="S594" s="762"/>
      <c r="T594" s="765">
        <f t="shared" si="341"/>
        <v>0</v>
      </c>
      <c r="U594" s="700"/>
      <c r="V594" s="701"/>
      <c r="W594" s="701"/>
      <c r="X594" s="295">
        <f t="shared" si="336"/>
        <v>0</v>
      </c>
      <c r="Y594" s="296">
        <f>IF(AA594&gt;0,V594,AE593/IF(Iniciar!$C$25="B X 40 K",40,IF(Iniciar!$C$25="B X 50 K",50,1))*I594/1000)</f>
        <v>0</v>
      </c>
      <c r="Z594" s="296">
        <f t="shared" si="337"/>
        <v>0</v>
      </c>
      <c r="AA594" s="297">
        <f t="shared" si="344"/>
        <v>0</v>
      </c>
      <c r="AB594" s="297">
        <f t="shared" si="331"/>
        <v>0</v>
      </c>
      <c r="AC594" s="1267" t="str">
        <f>$AC$6</f>
        <v>Gr. Ave Sem :</v>
      </c>
      <c r="AD594" s="284">
        <f>AD593*7</f>
        <v>0</v>
      </c>
      <c r="AE594" s="284">
        <f>AE593*7</f>
        <v>0</v>
      </c>
      <c r="AF594" s="285">
        <f>IF(AND(AE594&gt;0,AD594&gt;0),(AD594/AE594-1)*100,0)</f>
        <v>0</v>
      </c>
      <c r="AG594" s="1199" t="str">
        <f>PROD!$AG$6</f>
        <v>Gr X H Acm</v>
      </c>
      <c r="AH594" s="298">
        <f>IF(SUM(PROD!L593:L599)&gt;0,IF(PROD!$AG$5="Gr X H",SUM(PROD!V$5:V599)*PROD!$A$1/SUM(PROD!L$5:L599),IF($AG593="Conv Kg/Doc",(SUM(PROD!V$5:V599)*PROD!$A$1/1000)/(SUM(PROD!L$5:L599)/12),IF(PROD!$O595&gt;0,SUM(PROD!V$5:V599)*PROD!$A$1/(SUM(PROD!L$5:L599)*LOOKUP(PROD!A593,TP!$A$6:$A$108,GSh!$BB$6:$BB$108)),0))),0)</f>
        <v>0</v>
      </c>
      <c r="AI594" s="298">
        <f>IF(PROD!P593&gt;0,IF($AG593="Gr X H",PROD!AE593/PROD!P593*100,IF($AG593="Conv Kg/Doc",PROD!AE593/PROD!P593*1.2,IF(PROD!$P594&gt;0,PROD!AE595/(PROD!P594*LOOKUP(PROD!$A593,TP!$A$6:$A$108,GSh!$BC$6:$BC$108)/1000),0))),0)</f>
        <v>0</v>
      </c>
      <c r="AJ594" s="328">
        <f t="shared" si="342"/>
        <v>0</v>
      </c>
      <c r="AK594" s="2027"/>
      <c r="AL594" s="1284">
        <f t="shared" si="332"/>
        <v>0</v>
      </c>
      <c r="AM594" s="1285"/>
      <c r="AN594" s="1285"/>
      <c r="AO594" s="1285"/>
      <c r="AP594" s="1285"/>
      <c r="AQ594" s="1285"/>
      <c r="AR594" s="1285"/>
      <c r="AS594" s="1286"/>
      <c r="AT594" s="1287"/>
      <c r="AU594" s="1288"/>
      <c r="AV594" s="1289"/>
      <c r="AW594" s="1290"/>
      <c r="AX594" s="1291"/>
      <c r="AY594" s="1291"/>
      <c r="AZ594" s="1292"/>
      <c r="BA594" s="1293"/>
      <c r="BB594" s="1294"/>
      <c r="BC594" s="1295"/>
      <c r="BD594" s="1296">
        <f>BD593+PROD!L594-BA594</f>
        <v>0</v>
      </c>
      <c r="BE594" s="2133"/>
      <c r="BF594" s="507" t="e">
        <f t="shared" si="333"/>
        <v>#VALUE!</v>
      </c>
      <c r="BG594" s="329"/>
      <c r="BH594" s="1018">
        <f t="shared" si="334"/>
        <v>0</v>
      </c>
    </row>
    <row r="595" spans="1:60" ht="15" customHeight="1" x14ac:dyDescent="0.3">
      <c r="A595" s="2033"/>
      <c r="B595" s="287" t="str">
        <f t="shared" si="335"/>
        <v/>
      </c>
      <c r="C595" s="288" t="str">
        <f t="shared" si="330"/>
        <v/>
      </c>
      <c r="D595" s="691"/>
      <c r="E595" s="692"/>
      <c r="F595" s="693"/>
      <c r="G595" s="694"/>
      <c r="H595" s="695"/>
      <c r="I595" s="289">
        <f>I594-SUM($D595:F595)</f>
        <v>0</v>
      </c>
      <c r="J595" s="1235" t="str">
        <f>$J$7</f>
        <v>% Mort/Sel Sem Tab :</v>
      </c>
      <c r="K595" s="1236">
        <f>K598-K591</f>
        <v>0</v>
      </c>
      <c r="L595" s="1246"/>
      <c r="M595" s="291">
        <f t="shared" si="343"/>
        <v>0</v>
      </c>
      <c r="N595" s="304" t="str">
        <f>$N$7</f>
        <v xml:space="preserve">Peso Huevo (Gr) : </v>
      </c>
      <c r="O595" s="305">
        <f>LOOKUP($A593,'Pr-Sem'!$A$6:$A$108,'Pr-Sem'!$Z$6:$Z$108)</f>
        <v>0</v>
      </c>
      <c r="P595" s="305">
        <f>IFERROR(LOOKUP($A593,TP!$A$6:$A$108,GSh!$AZ$6:$AZ$108),0)</f>
        <v>0</v>
      </c>
      <c r="Q595" s="306">
        <f>IF(AND(P595&gt;0,O595&gt;0),O595-P595,0)</f>
        <v>0</v>
      </c>
      <c r="R595" s="699"/>
      <c r="S595" s="762"/>
      <c r="T595" s="765">
        <f t="shared" si="341"/>
        <v>0</v>
      </c>
      <c r="U595" s="700"/>
      <c r="V595" s="701"/>
      <c r="W595" s="701"/>
      <c r="X595" s="295">
        <f t="shared" si="336"/>
        <v>0</v>
      </c>
      <c r="Y595" s="296">
        <f>IF(AA595&gt;0,V595,AE593/IF(Iniciar!$C$25="B X 40 K",40,IF(Iniciar!$C$25="B X 50 K",50,1))*I595/1000)</f>
        <v>0</v>
      </c>
      <c r="Z595" s="296">
        <f t="shared" si="337"/>
        <v>0</v>
      </c>
      <c r="AA595" s="297">
        <f t="shared" si="344"/>
        <v>0</v>
      </c>
      <c r="AB595" s="297">
        <f t="shared" si="331"/>
        <v>0</v>
      </c>
      <c r="AC595" s="1268" t="str">
        <f>$AC$7</f>
        <v>Kg Ave Acu :</v>
      </c>
      <c r="AD595" s="308">
        <f>IF(OR(SUM(L593:L599)&gt;0,SUM(V593:V599)&gt;0),AD594/1000+AD588,0)</f>
        <v>0</v>
      </c>
      <c r="AE595" s="309">
        <f>AE594/1000+AE588</f>
        <v>0</v>
      </c>
      <c r="AF595" s="310">
        <f>IF(AND(AE595&gt;0,AD595&gt;0),(AD595/AE595-1)*100,0)</f>
        <v>0</v>
      </c>
      <c r="AG595" s="311" t="str">
        <f>PROD!$AG$7</f>
        <v xml:space="preserve">Masa Sem H (Gr) : </v>
      </c>
      <c r="AH595" s="312">
        <f>PROD!O593/100*7*PROD!O595</f>
        <v>0</v>
      </c>
      <c r="AI595" s="312">
        <f>PROD!P593/100*7*PROD!P595</f>
        <v>0</v>
      </c>
      <c r="AJ595" s="313">
        <f t="shared" si="342"/>
        <v>0</v>
      </c>
      <c r="AK595" s="2027"/>
      <c r="AL595" s="1284">
        <f t="shared" si="332"/>
        <v>0</v>
      </c>
      <c r="AM595" s="1285"/>
      <c r="AN595" s="1285"/>
      <c r="AO595" s="1285"/>
      <c r="AP595" s="1285"/>
      <c r="AQ595" s="1285"/>
      <c r="AR595" s="1285"/>
      <c r="AS595" s="1286"/>
      <c r="AT595" s="1287"/>
      <c r="AU595" s="1288"/>
      <c r="AV595" s="1289"/>
      <c r="AW595" s="1290"/>
      <c r="AX595" s="1291"/>
      <c r="AY595" s="1291"/>
      <c r="AZ595" s="1292"/>
      <c r="BA595" s="1293"/>
      <c r="BB595" s="1294"/>
      <c r="BC595" s="1295"/>
      <c r="BD595" s="1296">
        <f>BD594+PROD!L595-BA595</f>
        <v>0</v>
      </c>
      <c r="BE595" s="2133"/>
      <c r="BF595" s="507" t="e">
        <f t="shared" si="333"/>
        <v>#VALUE!</v>
      </c>
      <c r="BG595" s="329"/>
      <c r="BH595" s="1018">
        <f t="shared" si="334"/>
        <v>0</v>
      </c>
    </row>
    <row r="596" spans="1:60" ht="15" customHeight="1" x14ac:dyDescent="0.3">
      <c r="A596" s="2033"/>
      <c r="B596" s="287" t="str">
        <f t="shared" si="335"/>
        <v/>
      </c>
      <c r="C596" s="288" t="str">
        <f t="shared" si="330"/>
        <v/>
      </c>
      <c r="D596" s="691"/>
      <c r="E596" s="692"/>
      <c r="F596" s="693"/>
      <c r="G596" s="694"/>
      <c r="H596" s="695"/>
      <c r="I596" s="289">
        <f>I595-SUM($D596:F596)</f>
        <v>0</v>
      </c>
      <c r="J596" s="1234" t="str">
        <f>$J$8</f>
        <v>% Mort Acm :</v>
      </c>
      <c r="K596" s="1231">
        <f>IF(PROD!$K$2&gt;0,SUM(D$5:D599)/PROD!$K$2,0)</f>
        <v>0</v>
      </c>
      <c r="L596" s="1246"/>
      <c r="M596" s="291">
        <f t="shared" si="343"/>
        <v>0</v>
      </c>
      <c r="N596" s="314" t="str">
        <f>N$8</f>
        <v xml:space="preserve">Peso Ave (Gr) : </v>
      </c>
      <c r="O596" s="315">
        <f>LOOKUP($A593,GSh!$BV$6:$BV$108,GSh!$BJ$6:$BJ$108)</f>
        <v>0</v>
      </c>
      <c r="P596" s="315">
        <f>IFERROR(LOOKUP($A593,TP!$A$6:$A$108,GSh!$BK$6:$BK$108),0)</f>
        <v>0</v>
      </c>
      <c r="Q596" s="316">
        <f>IF(AND(P596&gt;0,O596&gt;0),(O596/P596-1)*100,0)</f>
        <v>0</v>
      </c>
      <c r="R596" s="699"/>
      <c r="S596" s="762"/>
      <c r="T596" s="765">
        <f t="shared" si="341"/>
        <v>0</v>
      </c>
      <c r="U596" s="700"/>
      <c r="V596" s="701"/>
      <c r="W596" s="701"/>
      <c r="X596" s="295">
        <f t="shared" si="336"/>
        <v>0</v>
      </c>
      <c r="Y596" s="296">
        <f>IF(AA596&gt;0,V596,AE593/IF(Iniciar!$C$25="B X 40 K",40,IF(Iniciar!$C$25="B X 50 K",50,1))*I596/1000)</f>
        <v>0</v>
      </c>
      <c r="Z596" s="296">
        <f t="shared" si="337"/>
        <v>0</v>
      </c>
      <c r="AA596" s="297">
        <f t="shared" si="344"/>
        <v>0</v>
      </c>
      <c r="AB596" s="297">
        <f t="shared" si="331"/>
        <v>0</v>
      </c>
      <c r="AC596" s="541" t="str">
        <f>$AC$8</f>
        <v xml:space="preserve">Ton. Lote Acu : </v>
      </c>
      <c r="AD596" s="544">
        <f>SUM($V$5:$V599)*$A$1/1000000</f>
        <v>0</v>
      </c>
      <c r="AE596" s="543">
        <f>AE589+(AE593/1000000*7*(I593+I599)/2)</f>
        <v>0</v>
      </c>
      <c r="AF596" s="542">
        <f>IF(AND(AE596&gt;0,AD596&gt;0),(AD596/AE596-1)*100,0)</f>
        <v>0</v>
      </c>
      <c r="AG596" s="317" t="str">
        <f>PROD!$AG$8</f>
        <v xml:space="preserve">Masa Ac A. A (Kg) : </v>
      </c>
      <c r="AH596" s="318">
        <f>IF(PROD!$K$2&gt;0,SUM(PROD!L$5:L599)*LOOKUP(PROD!$A593,TP!$A$6:$A$108,GSh!$BB$6:$BB$108)/1000/PROD!$K$2,0)</f>
        <v>0</v>
      </c>
      <c r="AI596" s="318">
        <f>IFERROR(PROD!P594*LOOKUP(PROD!$A593,TP!$A$6:$A$108,GSh!$BC$6:$BC$108)/1000,0)</f>
        <v>0</v>
      </c>
      <c r="AJ596" s="330">
        <f t="shared" si="342"/>
        <v>0</v>
      </c>
      <c r="AK596" s="2027"/>
      <c r="AL596" s="1284">
        <f t="shared" si="332"/>
        <v>0</v>
      </c>
      <c r="AM596" s="1285"/>
      <c r="AN596" s="1285"/>
      <c r="AO596" s="1285"/>
      <c r="AP596" s="1285"/>
      <c r="AQ596" s="1285"/>
      <c r="AR596" s="1285"/>
      <c r="AS596" s="1286"/>
      <c r="AT596" s="1287"/>
      <c r="AU596" s="1288"/>
      <c r="AV596" s="1289"/>
      <c r="AW596" s="1290"/>
      <c r="AX596" s="1291"/>
      <c r="AY596" s="1291"/>
      <c r="AZ596" s="1292"/>
      <c r="BA596" s="1293"/>
      <c r="BB596" s="1294"/>
      <c r="BC596" s="1295"/>
      <c r="BD596" s="1296">
        <f>BD595+PROD!L596-BA596</f>
        <v>0</v>
      </c>
      <c r="BE596" s="2133"/>
      <c r="BF596" s="507" t="e">
        <f t="shared" si="333"/>
        <v>#VALUE!</v>
      </c>
      <c r="BG596" s="329"/>
      <c r="BH596" s="1018">
        <f t="shared" si="334"/>
        <v>0</v>
      </c>
    </row>
    <row r="597" spans="1:60" ht="15" customHeight="1" x14ac:dyDescent="0.3">
      <c r="A597" s="2033"/>
      <c r="B597" s="287" t="str">
        <f t="shared" si="335"/>
        <v/>
      </c>
      <c r="C597" s="288" t="str">
        <f t="shared" si="330"/>
        <v/>
      </c>
      <c r="D597" s="691"/>
      <c r="E597" s="692"/>
      <c r="F597" s="693"/>
      <c r="G597" s="694"/>
      <c r="H597" s="695"/>
      <c r="I597" s="289">
        <f>I596-SUM($D597:F597)</f>
        <v>0</v>
      </c>
      <c r="J597" s="1234" t="str">
        <f>$J$9</f>
        <v>% Sel Acm :</v>
      </c>
      <c r="K597" s="1231">
        <f>IF(PROD!$K$2&gt;0,SUM(E$5:E599)/PROD!$K$2,0)</f>
        <v>0</v>
      </c>
      <c r="L597" s="1246"/>
      <c r="M597" s="291">
        <f t="shared" si="343"/>
        <v>0</v>
      </c>
      <c r="N597" s="292" t="str">
        <f>$N$9</f>
        <v xml:space="preserve">Uniformidad (10% -) : </v>
      </c>
      <c r="O597" s="320">
        <f>LOOKUP($A593,'Pr-Sem'!$A$6:$A$108,'Pr-Sem'!$AH$6:$AH$108)</f>
        <v>0</v>
      </c>
      <c r="P597" s="320">
        <v>5</v>
      </c>
      <c r="Q597" s="321">
        <f>IF(AND(P597&gt;0,O597&gt;0),(1-O597/P597)*100,0)</f>
        <v>0</v>
      </c>
      <c r="R597" s="699"/>
      <c r="S597" s="762"/>
      <c r="T597" s="765">
        <f t="shared" si="341"/>
        <v>0</v>
      </c>
      <c r="U597" s="700"/>
      <c r="V597" s="701"/>
      <c r="W597" s="701"/>
      <c r="X597" s="295">
        <f t="shared" si="336"/>
        <v>0</v>
      </c>
      <c r="Y597" s="296">
        <f>IF(AA597&gt;0,V597,AE593/IF(Iniciar!$C$25="B X 40 K",40,IF(Iniciar!$C$25="B X 50 K",50,1))*I597/1000)</f>
        <v>0</v>
      </c>
      <c r="Z597" s="296">
        <f t="shared" si="337"/>
        <v>0</v>
      </c>
      <c r="AA597" s="297">
        <f t="shared" si="344"/>
        <v>0</v>
      </c>
      <c r="AB597" s="297">
        <f t="shared" si="331"/>
        <v>0</v>
      </c>
      <c r="AC597" s="2035" t="str">
        <f>$AC$9</f>
        <v xml:space="preserve">Total Litros Sem: </v>
      </c>
      <c r="AD597" s="2036"/>
      <c r="AE597" s="2050">
        <f>SUM(R593:R599)</f>
        <v>0</v>
      </c>
      <c r="AF597" s="2051"/>
      <c r="AG597" s="554" t="str">
        <f>$AG$9</f>
        <v xml:space="preserve">Indicador Eficiencia : </v>
      </c>
      <c r="AH597" s="555">
        <f>IF(AND(AE597&gt;0,O594&gt;0,O595&gt;0,SUM(L593:L599)&gt;0),(PROD!AH596/O594)*K599*100/(AE597/(SUM(L593:L599)*O595/1000)),0)</f>
        <v>0</v>
      </c>
      <c r="AI597" s="555">
        <f>IF(AND(P594&gt;0,PROD!AI595&gt;0),(PROD!AI596/P594)*(1-K598)*100/(AE594/PROD!AI595),0)</f>
        <v>0</v>
      </c>
      <c r="AJ597" s="331">
        <f t="shared" si="342"/>
        <v>0</v>
      </c>
      <c r="AK597" s="2027"/>
      <c r="AL597" s="1284">
        <f t="shared" si="332"/>
        <v>0</v>
      </c>
      <c r="AM597" s="1285"/>
      <c r="AN597" s="1285"/>
      <c r="AO597" s="1285"/>
      <c r="AP597" s="1285"/>
      <c r="AQ597" s="1285"/>
      <c r="AR597" s="1285"/>
      <c r="AS597" s="1286"/>
      <c r="AT597" s="1287"/>
      <c r="AU597" s="1288"/>
      <c r="AV597" s="1289"/>
      <c r="AW597" s="1290"/>
      <c r="AX597" s="1291"/>
      <c r="AY597" s="1291"/>
      <c r="AZ597" s="1292"/>
      <c r="BA597" s="1293"/>
      <c r="BB597" s="1294"/>
      <c r="BC597" s="1295"/>
      <c r="BD597" s="1296">
        <f>BD596+PROD!L597-BA597</f>
        <v>0</v>
      </c>
      <c r="BE597" s="2133"/>
      <c r="BF597" s="507" t="e">
        <f t="shared" si="333"/>
        <v>#VALUE!</v>
      </c>
      <c r="BG597" s="329"/>
      <c r="BH597" s="1018">
        <f t="shared" si="334"/>
        <v>0</v>
      </c>
    </row>
    <row r="598" spans="1:60" ht="15" customHeight="1" x14ac:dyDescent="0.3">
      <c r="A598" s="2033"/>
      <c r="B598" s="287" t="str">
        <f t="shared" si="335"/>
        <v/>
      </c>
      <c r="C598" s="288" t="str">
        <f t="shared" si="330"/>
        <v/>
      </c>
      <c r="D598" s="691"/>
      <c r="E598" s="692"/>
      <c r="F598" s="693"/>
      <c r="G598" s="694"/>
      <c r="H598" s="695"/>
      <c r="I598" s="289">
        <f>I597-SUM($D598:F598)</f>
        <v>0</v>
      </c>
      <c r="J598" s="1237" t="str">
        <f>$J$10</f>
        <v>% Mort/Sel Acm Tab :</v>
      </c>
      <c r="K598" s="1238">
        <f>IFERROR(LOOKUP($A593,TP!$A$6:$A$108,GSh!$AR$6:$AR$108)/100,0)</f>
        <v>0</v>
      </c>
      <c r="L598" s="1246"/>
      <c r="M598" s="291">
        <f t="shared" si="343"/>
        <v>0</v>
      </c>
      <c r="N598" s="292" t="str">
        <f>$N$10</f>
        <v xml:space="preserve">Uniformidad (C. Lote) : </v>
      </c>
      <c r="O598" s="320">
        <f>LOOKUP($A593,'Pr-Sem'!$A$6:$A$108,'Pr-Sem'!$AG$6:$AG$108)</f>
        <v>0</v>
      </c>
      <c r="P598" s="320">
        <v>90</v>
      </c>
      <c r="Q598" s="321">
        <f>IF(AND(P598&gt;0,O598&gt;0),(O598/P598-1)*100,0)</f>
        <v>0</v>
      </c>
      <c r="R598" s="699"/>
      <c r="S598" s="762"/>
      <c r="T598" s="765">
        <f t="shared" si="341"/>
        <v>0</v>
      </c>
      <c r="U598" s="700"/>
      <c r="V598" s="701"/>
      <c r="W598" s="701"/>
      <c r="X598" s="295">
        <f t="shared" si="336"/>
        <v>0</v>
      </c>
      <c r="Y598" s="296">
        <f>IF(AA598&gt;0,V598,AE593/IF(Iniciar!$C$25="B X 40 K",40,IF(Iniciar!$C$25="B X 50 K",50,1))*I598/1000)</f>
        <v>0</v>
      </c>
      <c r="Z598" s="296">
        <f t="shared" si="337"/>
        <v>0</v>
      </c>
      <c r="AA598" s="297">
        <f t="shared" si="344"/>
        <v>0</v>
      </c>
      <c r="AB598" s="297">
        <f t="shared" si="331"/>
        <v>0</v>
      </c>
      <c r="AC598" s="2037" t="str">
        <f>$AC$10</f>
        <v xml:space="preserve">Cons ml /ave día: </v>
      </c>
      <c r="AD598" s="2038"/>
      <c r="AE598" s="2056">
        <f>IFERROR(SUMPRODUCT(AB593:AB599,I593:I599)/SUM(I593:I599),0)</f>
        <v>0</v>
      </c>
      <c r="AF598" s="2057"/>
      <c r="AG598" s="311" t="str">
        <f>CONCATENATE("Costo ",Iniciar!$C$25," : ")</f>
        <v xml:space="preserve">Costo Kilos : </v>
      </c>
      <c r="AH598" s="2043">
        <f>IFERROR(SUMPRODUCT(T593:T599,V593:V599)/SUMIF(T593:T599,"&gt;0",V593:V599),0)</f>
        <v>0</v>
      </c>
      <c r="AI598" s="2043"/>
      <c r="AJ598" s="313"/>
      <c r="AK598" s="2027"/>
      <c r="AL598" s="1284">
        <f t="shared" si="332"/>
        <v>0</v>
      </c>
      <c r="AM598" s="1285"/>
      <c r="AN598" s="1285"/>
      <c r="AO598" s="1285"/>
      <c r="AP598" s="1285"/>
      <c r="AQ598" s="1285"/>
      <c r="AR598" s="1285"/>
      <c r="AS598" s="1286"/>
      <c r="AT598" s="1287"/>
      <c r="AU598" s="1288"/>
      <c r="AV598" s="1289"/>
      <c r="AW598" s="1290"/>
      <c r="AX598" s="1291"/>
      <c r="AY598" s="1291"/>
      <c r="AZ598" s="1292"/>
      <c r="BA598" s="1293"/>
      <c r="BB598" s="1294"/>
      <c r="BC598" s="1295"/>
      <c r="BD598" s="1296">
        <f>BD597+PROD!L598-BA598</f>
        <v>0</v>
      </c>
      <c r="BE598" s="2133"/>
      <c r="BF598" s="507" t="e">
        <f t="shared" si="333"/>
        <v>#VALUE!</v>
      </c>
      <c r="BG598" s="329"/>
      <c r="BH598" s="1018">
        <f t="shared" si="334"/>
        <v>0</v>
      </c>
    </row>
    <row r="599" spans="1:60" ht="15" customHeight="1" x14ac:dyDescent="0.3">
      <c r="A599" s="2034"/>
      <c r="B599" s="287" t="str">
        <f t="shared" si="335"/>
        <v/>
      </c>
      <c r="C599" s="288" t="str">
        <f t="shared" si="330"/>
        <v/>
      </c>
      <c r="D599" s="691"/>
      <c r="E599" s="692"/>
      <c r="F599" s="693"/>
      <c r="G599" s="694"/>
      <c r="H599" s="695"/>
      <c r="I599" s="289">
        <f>I598-SUM($D599:F599)</f>
        <v>0</v>
      </c>
      <c r="J599" s="1239" t="str">
        <f>$J$11</f>
        <v>% Viabilidad :</v>
      </c>
      <c r="K599" s="1240">
        <f>IF(OR(SUM(L593:L599)&gt;0,SUM(V593:V599)&gt;0),1-(K596+K597),0)</f>
        <v>0</v>
      </c>
      <c r="L599" s="1247"/>
      <c r="M599" s="1248">
        <f>IF(I599&gt;0,(L599/IF(SUM(L593:L598)&gt;0,1,7))/I599,0)</f>
        <v>0</v>
      </c>
      <c r="N599" s="1249" t="str">
        <f>$N$11</f>
        <v xml:space="preserve">Uniformidad (10% +) : </v>
      </c>
      <c r="O599" s="1250">
        <f>IF(O597&gt;0,IF(O598&gt;0,100-SUM(O597:O598),0),0)</f>
        <v>0</v>
      </c>
      <c r="P599" s="1251">
        <f>100-SUM(P597:P598)</f>
        <v>5</v>
      </c>
      <c r="Q599" s="1252">
        <f>IF(AND(P599&gt;0,O599&gt;0),(O599/P599-1)*100,0)</f>
        <v>0</v>
      </c>
      <c r="R599" s="699"/>
      <c r="S599" s="762"/>
      <c r="T599" s="765">
        <f t="shared" si="341"/>
        <v>0</v>
      </c>
      <c r="U599" s="700"/>
      <c r="V599" s="701"/>
      <c r="W599" s="701"/>
      <c r="X599" s="295">
        <f t="shared" si="336"/>
        <v>0</v>
      </c>
      <c r="Y599" s="296">
        <f>IF(AA599&gt;0,V599,AE593/IF(Iniciar!$C$25="B X 40 K",40,IF(Iniciar!$C$25="B X 50 K",50,1))*I599/1000)</f>
        <v>0</v>
      </c>
      <c r="Z599" s="296">
        <f t="shared" si="337"/>
        <v>0</v>
      </c>
      <c r="AA599" s="297">
        <f>IF(I599&gt;0,(V599/IF(SUM(V593:V598)&gt;0,1,7))*$A$1/I599,0)</f>
        <v>0</v>
      </c>
      <c r="AB599" s="297">
        <f t="shared" si="331"/>
        <v>0</v>
      </c>
      <c r="AC599" s="2039" t="str">
        <f>$AC$11</f>
        <v xml:space="preserve">Relación Agua /Alimto: </v>
      </c>
      <c r="AD599" s="2040"/>
      <c r="AE599" s="2058">
        <f>IFERROR(AE598/AD593,0)</f>
        <v>0</v>
      </c>
      <c r="AF599" s="2059"/>
      <c r="AG599" s="1269" t="s">
        <v>237</v>
      </c>
      <c r="AH599" s="1270">
        <f>IF(SUM(L593:L599)&gt;0,AH598*SUM(V593:V599)/SUM(L593:L599),0)</f>
        <v>0</v>
      </c>
      <c r="AI599" s="1270">
        <f>IF(AND($A$1&gt;0,P593&gt;0),AH598/$A$1*(AE593/P593)*100,0)</f>
        <v>0</v>
      </c>
      <c r="AJ599" s="1271">
        <f t="shared" ref="AJ599:AJ604" si="345">IF(AND(AI599&gt;0,AH599&gt;0),(AH599/AI599-1)*100,0)</f>
        <v>0</v>
      </c>
      <c r="AK599" s="2028"/>
      <c r="AL599" s="1284">
        <f t="shared" si="332"/>
        <v>0</v>
      </c>
      <c r="AM599" s="1285"/>
      <c r="AN599" s="1285"/>
      <c r="AO599" s="1285"/>
      <c r="AP599" s="1285"/>
      <c r="AQ599" s="1285"/>
      <c r="AR599" s="1285"/>
      <c r="AS599" s="1286"/>
      <c r="AT599" s="1287"/>
      <c r="AU599" s="1288"/>
      <c r="AV599" s="1289"/>
      <c r="AW599" s="1290"/>
      <c r="AX599" s="1291"/>
      <c r="AY599" s="1291"/>
      <c r="AZ599" s="1292"/>
      <c r="BA599" s="1293"/>
      <c r="BB599" s="1294"/>
      <c r="BC599" s="1295"/>
      <c r="BD599" s="1296">
        <f>BD598+PROD!L599-BA599</f>
        <v>0</v>
      </c>
      <c r="BE599" s="2134"/>
      <c r="BF599" s="507" t="e">
        <f t="shared" si="333"/>
        <v>#VALUE!</v>
      </c>
      <c r="BG599" s="329"/>
      <c r="BH599" s="1018">
        <f t="shared" si="334"/>
        <v>0</v>
      </c>
    </row>
    <row r="600" spans="1:60" ht="15" customHeight="1" x14ac:dyDescent="0.3">
      <c r="A600" s="2032">
        <f>A593+1</f>
        <v>103</v>
      </c>
      <c r="B600" s="287" t="str">
        <f t="shared" si="335"/>
        <v/>
      </c>
      <c r="C600" s="288" t="str">
        <f t="shared" si="330"/>
        <v/>
      </c>
      <c r="D600" s="691"/>
      <c r="E600" s="692"/>
      <c r="F600" s="693"/>
      <c r="G600" s="694"/>
      <c r="H600" s="695"/>
      <c r="I600" s="289">
        <f>I599-SUM($D600:F600)</f>
        <v>0</v>
      </c>
      <c r="J600" s="1232" t="str">
        <f>$J$5</f>
        <v>% Mort Sem :</v>
      </c>
      <c r="K600" s="1233">
        <f>IF(PROD!$K$2&gt;0,SUM(D600:D606)/PROD!$K$2,0)</f>
        <v>0</v>
      </c>
      <c r="L600" s="1241"/>
      <c r="M600" s="1242">
        <f t="shared" ref="M600:M605" si="346">IF(I600&gt;0,L600/I600,0)</f>
        <v>0</v>
      </c>
      <c r="N600" s="1243" t="str">
        <f>$N$5</f>
        <v xml:space="preserve">% Pdn prom semana : </v>
      </c>
      <c r="O600" s="1244">
        <f>IF(SUM(L600:L605)&gt;0,100*SUMPRODUCT(M600:M606,I600:I606)/SUMIF(L600:L606,"&gt;0",I600:I606),IF(L606&gt;0,100*L606/7/I606,0))</f>
        <v>0</v>
      </c>
      <c r="P600" s="1244">
        <f>IFERROR(LOOKUP($A600,TP!$A$6:$A$108,GSh!$AE$6:$AE$108),0)</f>
        <v>0</v>
      </c>
      <c r="Q600" s="1245">
        <f>IF(AND(P600&gt;0,O600&gt;0),O600-P600,0)</f>
        <v>0</v>
      </c>
      <c r="R600" s="699"/>
      <c r="S600" s="762"/>
      <c r="T600" s="765">
        <f t="shared" si="341"/>
        <v>0</v>
      </c>
      <c r="U600" s="700"/>
      <c r="V600" s="701"/>
      <c r="W600" s="701"/>
      <c r="X600" s="295">
        <f t="shared" si="336"/>
        <v>0</v>
      </c>
      <c r="Y600" s="296">
        <f>IF(AA600&gt;0,V600,AE600/IF(Iniciar!$C$25="B X 40 K",40,IF(Iniciar!$C$25="B X 50 K",50,1))*I600/1000)</f>
        <v>0</v>
      </c>
      <c r="Z600" s="296">
        <f t="shared" si="337"/>
        <v>0</v>
      </c>
      <c r="AA600" s="297">
        <f t="shared" ref="AA600:AA605" si="347">IF(I600&gt;0,V600*$A$1/I600,0)</f>
        <v>0</v>
      </c>
      <c r="AB600" s="297">
        <f t="shared" si="331"/>
        <v>0</v>
      </c>
      <c r="AC600" s="1261" t="str">
        <f>$AC$5</f>
        <v>Gr. Ave Dia :</v>
      </c>
      <c r="AD600" s="1262">
        <f>IF(SUMIF(V600:V606,"&gt;0")&gt;0,SUMPRODUCT(AA600:AA606,I600:I606)/SUMIF(AA600:AA606,"&gt;0",I600:I606),0)</f>
        <v>0</v>
      </c>
      <c r="AE600" s="1262">
        <f>IFERROR(LOOKUP($A600,TP!$A$6:$A$108,GSh!$AU$6:$AU$108),0)</f>
        <v>0</v>
      </c>
      <c r="AF600" s="1263">
        <f>IF(AND(AE600&gt;0,AD600&gt;0),(AD600/AE600-1)*100,0)</f>
        <v>0</v>
      </c>
      <c r="AG600" s="1264" t="str">
        <f>PROD!$AG$5</f>
        <v>Gr X H</v>
      </c>
      <c r="AH600" s="1265">
        <f>IF(PROD!O600&gt;0,IF($AG600="Gr X H",PROD!AD600/PROD!O600*100,IF($AG600="Conv Kg/Doc",PROD!AD600/PROD!O600*1.2,IF(PROD!$O602&gt;0,PROD!AD600/(PROD!O600*PROD!$O602)*100,0))),0)</f>
        <v>0</v>
      </c>
      <c r="AI600" s="1265">
        <f>IF(PROD!P600&gt;0,IF($AG600="Gr X H",PROD!AE600/PROD!P600*100,IF($AG600="Conv Kg/Doc",PROD!AE600/PROD!P600*1.2,IF(PROD!$P602&gt;0,PROD!AE600/(PROD!P600*PROD!$P602)*100,0))),0)</f>
        <v>0</v>
      </c>
      <c r="AJ600" s="1266">
        <f t="shared" si="345"/>
        <v>0</v>
      </c>
      <c r="AK600" s="2026"/>
      <c r="AL600" s="1284">
        <f t="shared" si="332"/>
        <v>0</v>
      </c>
      <c r="AM600" s="1285"/>
      <c r="AN600" s="1285"/>
      <c r="AO600" s="1285"/>
      <c r="AP600" s="1285"/>
      <c r="AQ600" s="1285"/>
      <c r="AR600" s="1285"/>
      <c r="AS600" s="1286"/>
      <c r="AT600" s="1287"/>
      <c r="AU600" s="1288"/>
      <c r="AV600" s="1289"/>
      <c r="AW600" s="1290"/>
      <c r="AX600" s="1291"/>
      <c r="AY600" s="1291"/>
      <c r="AZ600" s="1292"/>
      <c r="BA600" s="1293"/>
      <c r="BB600" s="1294"/>
      <c r="BC600" s="1295"/>
      <c r="BD600" s="1296">
        <f>BD599+PROD!L600-BA600</f>
        <v>0</v>
      </c>
      <c r="BE600" s="2132">
        <f>IF(SUM(AM600:AZ606)&gt;0,(SUM(AM600:AM606)*$AM$2+SUM(AN600:AN606)*$AN$2+SUM(AO600:AO606)*$AO$2+SUM(AP600:AP606)*$AP$2+SUM(AQ600:AQ606)*$AQ$2+SUM(AR600:AR606)*$AR$2+SUM(AS600:AS606)*$AS$2+SUM(AW600:AW606)*$AW$2+SUM(AX600:AX606)*$AX$2+SUM(AY600:AY606)*$AY$2+SUM(AZ600:AZ606)*$AZ$2+SUM(AT600:AT606)*$AT$2+SUM(AU600:AU606)*$AU$2+SUM(AV600:AV606)*$AV$2)/SUM(AM600:AZ606),0)</f>
        <v>0</v>
      </c>
      <c r="BF600" s="507" t="e">
        <f t="shared" si="333"/>
        <v>#VALUE!</v>
      </c>
      <c r="BG600" s="277">
        <f>IF(SUM(L600:L606)&gt;0,A600,IF(SUM(V600:V606)&gt;0,A600,BG593))</f>
        <v>0</v>
      </c>
      <c r="BH600" s="1018">
        <f t="shared" si="334"/>
        <v>0</v>
      </c>
    </row>
    <row r="601" spans="1:60" ht="15" customHeight="1" x14ac:dyDescent="0.3">
      <c r="A601" s="2033"/>
      <c r="B601" s="287" t="str">
        <f t="shared" si="335"/>
        <v/>
      </c>
      <c r="C601" s="288" t="str">
        <f t="shared" si="330"/>
        <v/>
      </c>
      <c r="D601" s="691"/>
      <c r="E601" s="692"/>
      <c r="F601" s="693"/>
      <c r="G601" s="694"/>
      <c r="H601" s="695"/>
      <c r="I601" s="289">
        <f>I600-SUM($D601:F601)</f>
        <v>0</v>
      </c>
      <c r="J601" s="1234" t="str">
        <f>$J$6</f>
        <v>% Sel Sem :</v>
      </c>
      <c r="K601" s="1231">
        <f>IF(PROD!$K$2&gt;0,SUM(E600:E606)/PROD!$K$2,0)</f>
        <v>0</v>
      </c>
      <c r="L601" s="1246"/>
      <c r="M601" s="291">
        <f t="shared" si="346"/>
        <v>0</v>
      </c>
      <c r="N601" s="292" t="str">
        <f>$N$6</f>
        <v xml:space="preserve">H. Ave Alojada : </v>
      </c>
      <c r="O601" s="293">
        <f>IF(AND(PROD!$K$2&gt;0,O600&gt;0),SUM(L$5:L606)/PROD!$K$2,0)</f>
        <v>0</v>
      </c>
      <c r="P601" s="293">
        <f>IFERROR(LOOKUP($A600,TP!$A$6:$A$108,GSh!$AJ$6:$AJ$108),0)</f>
        <v>0</v>
      </c>
      <c r="Q601" s="294">
        <f>IF(AND(P601&gt;0,O601&gt;0),O601-P601,0)</f>
        <v>0</v>
      </c>
      <c r="R601" s="699"/>
      <c r="S601" s="762"/>
      <c r="T601" s="765">
        <f t="shared" si="341"/>
        <v>0</v>
      </c>
      <c r="U601" s="700"/>
      <c r="V601" s="701"/>
      <c r="W601" s="701"/>
      <c r="X601" s="295">
        <f t="shared" si="336"/>
        <v>0</v>
      </c>
      <c r="Y601" s="296">
        <f>IF(AA601&gt;0,V601,AE600/IF(Iniciar!$C$25="B X 40 K",40,IF(Iniciar!$C$25="B X 50 K",50,1))*I601/1000)</f>
        <v>0</v>
      </c>
      <c r="Z601" s="296">
        <f t="shared" si="337"/>
        <v>0</v>
      </c>
      <c r="AA601" s="297">
        <f t="shared" si="347"/>
        <v>0</v>
      </c>
      <c r="AB601" s="297">
        <f t="shared" si="331"/>
        <v>0</v>
      </c>
      <c r="AC601" s="1267" t="str">
        <f>$AC$6</f>
        <v>Gr. Ave Sem :</v>
      </c>
      <c r="AD601" s="284">
        <f>AD600*7</f>
        <v>0</v>
      </c>
      <c r="AE601" s="284">
        <f>AE600*7</f>
        <v>0</v>
      </c>
      <c r="AF601" s="285">
        <f>IF(AND(AE601&gt;0,AD601&gt;0),(AD601/AE601-1)*100,0)</f>
        <v>0</v>
      </c>
      <c r="AG601" s="1199" t="str">
        <f>PROD!$AG$6</f>
        <v>Gr X H Acm</v>
      </c>
      <c r="AH601" s="298">
        <f>IF(SUM(PROD!L600:L606)&gt;0,IF(PROD!$AG$5="Gr X H",SUM(PROD!V$5:V606)*PROD!$A$1/SUM(PROD!L$5:L606),IF($AG600="Conv Kg/Doc",(SUM(PROD!V$5:V606)*PROD!$A$1/1000)/(SUM(PROD!L$5:L606)/12),IF(PROD!$O602&gt;0,SUM(PROD!V$5:V606)*PROD!$A$1/(SUM(PROD!L$5:L606)*LOOKUP(PROD!A600,TP!$A$6:$A$108,GSh!$BB$6:$BB$108)),0))),0)</f>
        <v>0</v>
      </c>
      <c r="AI601" s="298">
        <f>IF(PROD!P600&gt;0,IF($AG600="Gr X H",PROD!AE600/PROD!P600*100,IF($AG600="Conv Kg/Doc",PROD!AE600/PROD!P600*1.2,IF(PROD!$P601&gt;0,PROD!AE602/(PROD!P601*LOOKUP(PROD!$A600,TP!$A$6:$A$108,GSh!$BC$6:$BC$108)/1000),0))),0)</f>
        <v>0</v>
      </c>
      <c r="AJ601" s="328">
        <f t="shared" si="345"/>
        <v>0</v>
      </c>
      <c r="AK601" s="2027"/>
      <c r="AL601" s="1284">
        <f t="shared" si="332"/>
        <v>0</v>
      </c>
      <c r="AM601" s="1285"/>
      <c r="AN601" s="1285"/>
      <c r="AO601" s="1285"/>
      <c r="AP601" s="1285"/>
      <c r="AQ601" s="1285"/>
      <c r="AR601" s="1285"/>
      <c r="AS601" s="1286"/>
      <c r="AT601" s="1287"/>
      <c r="AU601" s="1288"/>
      <c r="AV601" s="1289"/>
      <c r="AW601" s="1290"/>
      <c r="AX601" s="1291"/>
      <c r="AY601" s="1291"/>
      <c r="AZ601" s="1292"/>
      <c r="BA601" s="1293"/>
      <c r="BB601" s="1294"/>
      <c r="BC601" s="1295"/>
      <c r="BD601" s="1296">
        <f>BD600+PROD!L601-BA601</f>
        <v>0</v>
      </c>
      <c r="BE601" s="2133"/>
      <c r="BF601" s="507" t="e">
        <f t="shared" si="333"/>
        <v>#VALUE!</v>
      </c>
      <c r="BG601" s="329"/>
      <c r="BH601" s="1018">
        <f t="shared" si="334"/>
        <v>0</v>
      </c>
    </row>
    <row r="602" spans="1:60" ht="15" customHeight="1" x14ac:dyDescent="0.3">
      <c r="A602" s="2033"/>
      <c r="B602" s="287" t="str">
        <f t="shared" si="335"/>
        <v/>
      </c>
      <c r="C602" s="288" t="str">
        <f t="shared" si="330"/>
        <v/>
      </c>
      <c r="D602" s="691"/>
      <c r="E602" s="692"/>
      <c r="F602" s="693"/>
      <c r="G602" s="694"/>
      <c r="H602" s="695"/>
      <c r="I602" s="289">
        <f>I601-SUM($D602:F602)</f>
        <v>0</v>
      </c>
      <c r="J602" s="1235" t="str">
        <f>$J$7</f>
        <v>% Mort/Sel Sem Tab :</v>
      </c>
      <c r="K602" s="1236">
        <f>K605-K598</f>
        <v>0</v>
      </c>
      <c r="L602" s="1246"/>
      <c r="M602" s="291">
        <f t="shared" si="346"/>
        <v>0</v>
      </c>
      <c r="N602" s="304" t="str">
        <f>$N$7</f>
        <v xml:space="preserve">Peso Huevo (Gr) : </v>
      </c>
      <c r="O602" s="305">
        <f>LOOKUP($A600,'Pr-Sem'!$A$6:$A$108,'Pr-Sem'!$Z$6:$Z$108)</f>
        <v>0</v>
      </c>
      <c r="P602" s="305">
        <f>IFERROR(LOOKUP($A600,TP!$A$6:$A$108,GSh!$AZ$6:$AZ$108),0)</f>
        <v>0</v>
      </c>
      <c r="Q602" s="306">
        <f>IF(AND(P602&gt;0,O602&gt;0),O602-P602,0)</f>
        <v>0</v>
      </c>
      <c r="R602" s="699"/>
      <c r="S602" s="762"/>
      <c r="T602" s="765">
        <f t="shared" si="341"/>
        <v>0</v>
      </c>
      <c r="U602" s="700"/>
      <c r="V602" s="701"/>
      <c r="W602" s="701"/>
      <c r="X602" s="295">
        <f t="shared" si="336"/>
        <v>0</v>
      </c>
      <c r="Y602" s="296">
        <f>IF(AA602&gt;0,V602,AE600/IF(Iniciar!$C$25="B X 40 K",40,IF(Iniciar!$C$25="B X 50 K",50,1))*I602/1000)</f>
        <v>0</v>
      </c>
      <c r="Z602" s="296">
        <f t="shared" si="337"/>
        <v>0</v>
      </c>
      <c r="AA602" s="297">
        <f t="shared" si="347"/>
        <v>0</v>
      </c>
      <c r="AB602" s="297">
        <f t="shared" si="331"/>
        <v>0</v>
      </c>
      <c r="AC602" s="1268" t="str">
        <f>$AC$7</f>
        <v>Kg Ave Acu :</v>
      </c>
      <c r="AD602" s="308">
        <f>IF(OR(SUM(L600:L606)&gt;0,SUM(V600:V606)&gt;0),AD601/1000+AD595,0)</f>
        <v>0</v>
      </c>
      <c r="AE602" s="309">
        <f>AE601/1000+AE595</f>
        <v>0</v>
      </c>
      <c r="AF602" s="310">
        <f>IF(AND(AE602&gt;0,AD602&gt;0),(AD602/AE602-1)*100,0)</f>
        <v>0</v>
      </c>
      <c r="AG602" s="311" t="str">
        <f>PROD!$AG$7</f>
        <v xml:space="preserve">Masa Sem H (Gr) : </v>
      </c>
      <c r="AH602" s="312">
        <f>PROD!O600/100*7*PROD!O602</f>
        <v>0</v>
      </c>
      <c r="AI602" s="312">
        <f>PROD!P600/100*7*PROD!P602</f>
        <v>0</v>
      </c>
      <c r="AJ602" s="313">
        <f t="shared" si="345"/>
        <v>0</v>
      </c>
      <c r="AK602" s="2027"/>
      <c r="AL602" s="1284">
        <f t="shared" si="332"/>
        <v>0</v>
      </c>
      <c r="AM602" s="1285"/>
      <c r="AN602" s="1285"/>
      <c r="AO602" s="1285"/>
      <c r="AP602" s="1285"/>
      <c r="AQ602" s="1285"/>
      <c r="AR602" s="1285"/>
      <c r="AS602" s="1286"/>
      <c r="AT602" s="1287"/>
      <c r="AU602" s="1288"/>
      <c r="AV602" s="1289"/>
      <c r="AW602" s="1290"/>
      <c r="AX602" s="1291"/>
      <c r="AY602" s="1291"/>
      <c r="AZ602" s="1292"/>
      <c r="BA602" s="1293"/>
      <c r="BB602" s="1294"/>
      <c r="BC602" s="1295"/>
      <c r="BD602" s="1296">
        <f>BD601+PROD!L602-BA602</f>
        <v>0</v>
      </c>
      <c r="BE602" s="2133"/>
      <c r="BF602" s="507" t="e">
        <f t="shared" si="333"/>
        <v>#VALUE!</v>
      </c>
      <c r="BG602" s="329"/>
      <c r="BH602" s="1018">
        <f t="shared" si="334"/>
        <v>0</v>
      </c>
    </row>
    <row r="603" spans="1:60" ht="15" customHeight="1" x14ac:dyDescent="0.3">
      <c r="A603" s="2033"/>
      <c r="B603" s="287" t="str">
        <f t="shared" si="335"/>
        <v/>
      </c>
      <c r="C603" s="288" t="str">
        <f t="shared" si="330"/>
        <v/>
      </c>
      <c r="D603" s="691"/>
      <c r="E603" s="692"/>
      <c r="F603" s="693"/>
      <c r="G603" s="694"/>
      <c r="H603" s="695"/>
      <c r="I603" s="289">
        <f>I602-SUM($D603:F603)</f>
        <v>0</v>
      </c>
      <c r="J603" s="1234" t="str">
        <f>$J$8</f>
        <v>% Mort Acm :</v>
      </c>
      <c r="K603" s="1231">
        <f>IF(PROD!$K$2&gt;0,SUM(D$5:D606)/PROD!$K$2,0)</f>
        <v>0</v>
      </c>
      <c r="L603" s="1246"/>
      <c r="M603" s="291">
        <f t="shared" si="346"/>
        <v>0</v>
      </c>
      <c r="N603" s="314" t="str">
        <f>N$8</f>
        <v xml:space="preserve">Peso Ave (Gr) : </v>
      </c>
      <c r="O603" s="315">
        <f>LOOKUP($A600,GSh!$BV$6:$BV$108,GSh!$BJ$6:$BJ$108)</f>
        <v>0</v>
      </c>
      <c r="P603" s="315">
        <f>IFERROR(LOOKUP($A600,TP!$A$6:$A$108,GSh!$BK$6:$BK$108),0)</f>
        <v>0</v>
      </c>
      <c r="Q603" s="316">
        <f>IF(AND(P603&gt;0,O603&gt;0),(O603/P603-1)*100,0)</f>
        <v>0</v>
      </c>
      <c r="R603" s="699"/>
      <c r="S603" s="762"/>
      <c r="T603" s="765">
        <f t="shared" si="341"/>
        <v>0</v>
      </c>
      <c r="U603" s="700"/>
      <c r="V603" s="701"/>
      <c r="W603" s="701"/>
      <c r="X603" s="295">
        <f t="shared" si="336"/>
        <v>0</v>
      </c>
      <c r="Y603" s="296">
        <f>IF(AA603&gt;0,V603,AE600/IF(Iniciar!$C$25="B X 40 K",40,IF(Iniciar!$C$25="B X 50 K",50,1))*I603/1000)</f>
        <v>0</v>
      </c>
      <c r="Z603" s="296">
        <f t="shared" si="337"/>
        <v>0</v>
      </c>
      <c r="AA603" s="297">
        <f t="shared" si="347"/>
        <v>0</v>
      </c>
      <c r="AB603" s="297">
        <f t="shared" si="331"/>
        <v>0</v>
      </c>
      <c r="AC603" s="541" t="str">
        <f>$AC$8</f>
        <v xml:space="preserve">Ton. Lote Acu : </v>
      </c>
      <c r="AD603" s="544">
        <f>SUM($V$5:$V606)*$A$1/1000000</f>
        <v>0</v>
      </c>
      <c r="AE603" s="543">
        <f>AE596+(AE600/1000000*7*(I600+I606)/2)</f>
        <v>0</v>
      </c>
      <c r="AF603" s="542">
        <f>IF(AND(AE603&gt;0,AD603&gt;0),(AD603/AE603-1)*100,0)</f>
        <v>0</v>
      </c>
      <c r="AG603" s="317" t="str">
        <f>PROD!$AG$8</f>
        <v xml:space="preserve">Masa Ac A. A (Kg) : </v>
      </c>
      <c r="AH603" s="318">
        <f>IF(PROD!$K$2&gt;0,SUM(PROD!L$5:L606)*LOOKUP(PROD!$A600,TP!$A$6:$A$108,GSh!$BB$6:$BB$108)/1000/PROD!$K$2,0)</f>
        <v>0</v>
      </c>
      <c r="AI603" s="318">
        <f>IFERROR(PROD!P601*LOOKUP(PROD!$A600,TP!$A$6:$A$108,GSh!$BC$6:$BC$108)/1000,0)</f>
        <v>0</v>
      </c>
      <c r="AJ603" s="330">
        <f t="shared" si="345"/>
        <v>0</v>
      </c>
      <c r="AK603" s="2027"/>
      <c r="AL603" s="1284">
        <f t="shared" si="332"/>
        <v>0</v>
      </c>
      <c r="AM603" s="1285"/>
      <c r="AN603" s="1285"/>
      <c r="AO603" s="1285"/>
      <c r="AP603" s="1285"/>
      <c r="AQ603" s="1285"/>
      <c r="AR603" s="1285"/>
      <c r="AS603" s="1286"/>
      <c r="AT603" s="1287"/>
      <c r="AU603" s="1288"/>
      <c r="AV603" s="1289"/>
      <c r="AW603" s="1290"/>
      <c r="AX603" s="1291"/>
      <c r="AY603" s="1291"/>
      <c r="AZ603" s="1292"/>
      <c r="BA603" s="1293"/>
      <c r="BB603" s="1294"/>
      <c r="BC603" s="1295"/>
      <c r="BD603" s="1296">
        <f>BD602+PROD!L603-BA603</f>
        <v>0</v>
      </c>
      <c r="BE603" s="2133"/>
      <c r="BF603" s="507" t="e">
        <f t="shared" si="333"/>
        <v>#VALUE!</v>
      </c>
      <c r="BG603" s="329"/>
      <c r="BH603" s="1018">
        <f t="shared" si="334"/>
        <v>0</v>
      </c>
    </row>
    <row r="604" spans="1:60" ht="15" customHeight="1" x14ac:dyDescent="0.3">
      <c r="A604" s="2033"/>
      <c r="B604" s="287" t="str">
        <f t="shared" si="335"/>
        <v/>
      </c>
      <c r="C604" s="288" t="str">
        <f t="shared" si="330"/>
        <v/>
      </c>
      <c r="D604" s="691"/>
      <c r="E604" s="692"/>
      <c r="F604" s="693"/>
      <c r="G604" s="694"/>
      <c r="H604" s="695"/>
      <c r="I604" s="289">
        <f>I603-SUM($D604:F604)</f>
        <v>0</v>
      </c>
      <c r="J604" s="1234" t="str">
        <f>$J$9</f>
        <v>% Sel Acm :</v>
      </c>
      <c r="K604" s="1231">
        <f>IF(PROD!$K$2&gt;0,SUM(E$5:E606)/PROD!$K$2,0)</f>
        <v>0</v>
      </c>
      <c r="L604" s="1246"/>
      <c r="M604" s="291">
        <f t="shared" si="346"/>
        <v>0</v>
      </c>
      <c r="N604" s="292" t="str">
        <f>$N$9</f>
        <v xml:space="preserve">Uniformidad (10% -) : </v>
      </c>
      <c r="O604" s="320">
        <f>LOOKUP($A600,'Pr-Sem'!$A$6:$A$108,'Pr-Sem'!$AH$6:$AH$108)</f>
        <v>0</v>
      </c>
      <c r="P604" s="320">
        <v>5</v>
      </c>
      <c r="Q604" s="321">
        <f>IF(AND(P604&gt;0,O604&gt;0),(1-O604/P604)*100,0)</f>
        <v>0</v>
      </c>
      <c r="R604" s="699"/>
      <c r="S604" s="762"/>
      <c r="T604" s="765">
        <f t="shared" si="341"/>
        <v>0</v>
      </c>
      <c r="U604" s="700"/>
      <c r="V604" s="701"/>
      <c r="W604" s="701"/>
      <c r="X604" s="295">
        <f t="shared" si="336"/>
        <v>0</v>
      </c>
      <c r="Y604" s="296">
        <f>IF(AA604&gt;0,V604,AE600/IF(Iniciar!$C$25="B X 40 K",40,IF(Iniciar!$C$25="B X 50 K",50,1))*I604/1000)</f>
        <v>0</v>
      </c>
      <c r="Z604" s="296">
        <f t="shared" si="337"/>
        <v>0</v>
      </c>
      <c r="AA604" s="297">
        <f t="shared" si="347"/>
        <v>0</v>
      </c>
      <c r="AB604" s="297">
        <f t="shared" si="331"/>
        <v>0</v>
      </c>
      <c r="AC604" s="2035" t="str">
        <f>$AC$9</f>
        <v xml:space="preserve">Total Litros Sem: </v>
      </c>
      <c r="AD604" s="2036"/>
      <c r="AE604" s="2050">
        <f>SUM(R600:R606)</f>
        <v>0</v>
      </c>
      <c r="AF604" s="2051"/>
      <c r="AG604" s="554" t="str">
        <f>$AG$9</f>
        <v xml:space="preserve">Indicador Eficiencia : </v>
      </c>
      <c r="AH604" s="555">
        <f>IF(AND(AE604&gt;0,O601&gt;0,O602&gt;0,SUM(L600:L606)&gt;0),(PROD!AH603/O601)*K606*100/(AE604/(SUM(L600:L606)*O602/1000)),0)</f>
        <v>0</v>
      </c>
      <c r="AI604" s="555">
        <f>IF(AND(P601&gt;0,PROD!AI602&gt;0),(PROD!AI603/P601)*(1-K605)*100/(AE601/PROD!AI602),0)</f>
        <v>0</v>
      </c>
      <c r="AJ604" s="331">
        <f t="shared" si="345"/>
        <v>0</v>
      </c>
      <c r="AK604" s="2027"/>
      <c r="AL604" s="1284">
        <f t="shared" si="332"/>
        <v>0</v>
      </c>
      <c r="AM604" s="1285"/>
      <c r="AN604" s="1285"/>
      <c r="AO604" s="1285"/>
      <c r="AP604" s="1285"/>
      <c r="AQ604" s="1285"/>
      <c r="AR604" s="1285"/>
      <c r="AS604" s="1286"/>
      <c r="AT604" s="1287"/>
      <c r="AU604" s="1288"/>
      <c r="AV604" s="1289"/>
      <c r="AW604" s="1290"/>
      <c r="AX604" s="1291"/>
      <c r="AY604" s="1291"/>
      <c r="AZ604" s="1292"/>
      <c r="BA604" s="1293"/>
      <c r="BB604" s="1294"/>
      <c r="BC604" s="1295"/>
      <c r="BD604" s="1296">
        <f>BD603+PROD!L604-BA604</f>
        <v>0</v>
      </c>
      <c r="BE604" s="2133"/>
      <c r="BF604" s="507" t="e">
        <f t="shared" si="333"/>
        <v>#VALUE!</v>
      </c>
      <c r="BG604" s="329"/>
      <c r="BH604" s="1018">
        <f t="shared" si="334"/>
        <v>0</v>
      </c>
    </row>
    <row r="605" spans="1:60" ht="15" customHeight="1" x14ac:dyDescent="0.3">
      <c r="A605" s="2033"/>
      <c r="B605" s="287" t="str">
        <f t="shared" si="335"/>
        <v/>
      </c>
      <c r="C605" s="288" t="str">
        <f t="shared" si="330"/>
        <v/>
      </c>
      <c r="D605" s="691"/>
      <c r="E605" s="692"/>
      <c r="F605" s="693"/>
      <c r="G605" s="694"/>
      <c r="H605" s="695"/>
      <c r="I605" s="289">
        <f>I604-SUM($D605:F605)</f>
        <v>0</v>
      </c>
      <c r="J605" s="1237" t="str">
        <f>$J$10</f>
        <v>% Mort/Sel Acm Tab :</v>
      </c>
      <c r="K605" s="1238">
        <f>IFERROR(LOOKUP($A600,TP!$A$6:$A$108,GSh!$AR$6:$AR$108)/100,0)</f>
        <v>0</v>
      </c>
      <c r="L605" s="1246"/>
      <c r="M605" s="291">
        <f t="shared" si="346"/>
        <v>0</v>
      </c>
      <c r="N605" s="292" t="str">
        <f>$N$10</f>
        <v xml:space="preserve">Uniformidad (C. Lote) : </v>
      </c>
      <c r="O605" s="320">
        <f>LOOKUP($A600,'Pr-Sem'!$A$6:$A$108,'Pr-Sem'!$AG$6:$AG$108)</f>
        <v>0</v>
      </c>
      <c r="P605" s="320">
        <v>90</v>
      </c>
      <c r="Q605" s="321">
        <f>IF(AND(P605&gt;0,O605&gt;0),(O605/P605-1)*100,0)</f>
        <v>0</v>
      </c>
      <c r="R605" s="699"/>
      <c r="S605" s="762"/>
      <c r="T605" s="765">
        <f t="shared" si="341"/>
        <v>0</v>
      </c>
      <c r="U605" s="700"/>
      <c r="V605" s="701"/>
      <c r="W605" s="701"/>
      <c r="X605" s="295">
        <f t="shared" si="336"/>
        <v>0</v>
      </c>
      <c r="Y605" s="296">
        <f>IF(AA605&gt;0,V605,AE600/IF(Iniciar!$C$25="B X 40 K",40,IF(Iniciar!$C$25="B X 50 K",50,1))*I605/1000)</f>
        <v>0</v>
      </c>
      <c r="Z605" s="296">
        <f t="shared" si="337"/>
        <v>0</v>
      </c>
      <c r="AA605" s="297">
        <f t="shared" si="347"/>
        <v>0</v>
      </c>
      <c r="AB605" s="297">
        <f t="shared" si="331"/>
        <v>0</v>
      </c>
      <c r="AC605" s="2037" t="str">
        <f>$AC$10</f>
        <v xml:space="preserve">Cons ml /ave día: </v>
      </c>
      <c r="AD605" s="2038"/>
      <c r="AE605" s="2056">
        <f>IFERROR(SUMPRODUCT(AB600:AB606,I600:I606)/SUM(I600:I606),0)</f>
        <v>0</v>
      </c>
      <c r="AF605" s="2057"/>
      <c r="AG605" s="311" t="str">
        <f>CONCATENATE("Costo ",Iniciar!$C$25," : ")</f>
        <v xml:space="preserve">Costo Kilos : </v>
      </c>
      <c r="AH605" s="2043">
        <f>IFERROR(SUMPRODUCT(T600:T606,V600:V606)/SUMIF(T600:T606,"&gt;0",V600:V606),0)</f>
        <v>0</v>
      </c>
      <c r="AI605" s="2043"/>
      <c r="AJ605" s="313"/>
      <c r="AK605" s="2027"/>
      <c r="AL605" s="1284">
        <f t="shared" si="332"/>
        <v>0</v>
      </c>
      <c r="AM605" s="1285"/>
      <c r="AN605" s="1285"/>
      <c r="AO605" s="1285"/>
      <c r="AP605" s="1285"/>
      <c r="AQ605" s="1285"/>
      <c r="AR605" s="1285"/>
      <c r="AS605" s="1286"/>
      <c r="AT605" s="1287"/>
      <c r="AU605" s="1288"/>
      <c r="AV605" s="1289"/>
      <c r="AW605" s="1290"/>
      <c r="AX605" s="1291"/>
      <c r="AY605" s="1291"/>
      <c r="AZ605" s="1292"/>
      <c r="BA605" s="1293"/>
      <c r="BB605" s="1294"/>
      <c r="BC605" s="1295"/>
      <c r="BD605" s="1296">
        <f>BD604+PROD!L605-BA605</f>
        <v>0</v>
      </c>
      <c r="BE605" s="2133"/>
      <c r="BF605" s="507" t="e">
        <f t="shared" si="333"/>
        <v>#VALUE!</v>
      </c>
      <c r="BG605" s="329"/>
      <c r="BH605" s="1018">
        <f t="shared" si="334"/>
        <v>0</v>
      </c>
    </row>
    <row r="606" spans="1:60" ht="15" customHeight="1" x14ac:dyDescent="0.3">
      <c r="A606" s="2034"/>
      <c r="B606" s="287" t="str">
        <f t="shared" si="335"/>
        <v/>
      </c>
      <c r="C606" s="288" t="str">
        <f t="shared" si="330"/>
        <v/>
      </c>
      <c r="D606" s="691"/>
      <c r="E606" s="692"/>
      <c r="F606" s="693"/>
      <c r="G606" s="694"/>
      <c r="H606" s="695"/>
      <c r="I606" s="289">
        <f>I605-SUM($D606:F606)</f>
        <v>0</v>
      </c>
      <c r="J606" s="1239" t="str">
        <f>$J$11</f>
        <v>% Viabilidad :</v>
      </c>
      <c r="K606" s="1240">
        <f>IF(OR(SUM(L600:L606)&gt;0,SUM(V600:V606)&gt;0),1-(K603+K604),0)</f>
        <v>0</v>
      </c>
      <c r="L606" s="1247"/>
      <c r="M606" s="1248">
        <f>IF(I606&gt;0,(L606/IF(SUM(L600:L605)&gt;0,1,7))/I606,0)</f>
        <v>0</v>
      </c>
      <c r="N606" s="1249" t="str">
        <f>$N$11</f>
        <v xml:space="preserve">Uniformidad (10% +) : </v>
      </c>
      <c r="O606" s="1250">
        <f>IF(O604&gt;0,IF(O605&gt;0,100-SUM(O604:O605),0),0)</f>
        <v>0</v>
      </c>
      <c r="P606" s="1251">
        <f>100-SUM(P604:P605)</f>
        <v>5</v>
      </c>
      <c r="Q606" s="1252">
        <f>IF(AND(P606&gt;0,O606&gt;0),(O606/P606-1)*100,0)</f>
        <v>0</v>
      </c>
      <c r="R606" s="699"/>
      <c r="S606" s="762"/>
      <c r="T606" s="765">
        <f t="shared" si="341"/>
        <v>0</v>
      </c>
      <c r="U606" s="700"/>
      <c r="V606" s="701"/>
      <c r="W606" s="701"/>
      <c r="X606" s="295">
        <f t="shared" si="336"/>
        <v>0</v>
      </c>
      <c r="Y606" s="296">
        <f>IF(AA606&gt;0,V606,AE600/IF(Iniciar!$C$25="B X 40 K",40,IF(Iniciar!$C$25="B X 50 K",50,1))*I606/1000)</f>
        <v>0</v>
      </c>
      <c r="Z606" s="296">
        <f t="shared" si="337"/>
        <v>0</v>
      </c>
      <c r="AA606" s="297">
        <f>IF(I606&gt;0,(V606/IF(SUM(V600:V605)&gt;0,1,7))*$A$1/I606,0)</f>
        <v>0</v>
      </c>
      <c r="AB606" s="297">
        <f t="shared" si="331"/>
        <v>0</v>
      </c>
      <c r="AC606" s="2039" t="str">
        <f>$AC$11</f>
        <v xml:space="preserve">Relación Agua /Alimto: </v>
      </c>
      <c r="AD606" s="2040"/>
      <c r="AE606" s="2058">
        <f>IFERROR(AE605/AD600,0)</f>
        <v>0</v>
      </c>
      <c r="AF606" s="2059"/>
      <c r="AG606" s="1269" t="s">
        <v>237</v>
      </c>
      <c r="AH606" s="1270">
        <f>IF(SUM(L600:L606)&gt;0,AH605*SUM(V600:V606)/SUM(L600:L606),0)</f>
        <v>0</v>
      </c>
      <c r="AI606" s="1270">
        <f>IF(AND($A$1&gt;0,P600&gt;0),AH605/$A$1*(AE600/P600)*100,0)</f>
        <v>0</v>
      </c>
      <c r="AJ606" s="1271">
        <f t="shared" ref="AJ606:AJ611" si="348">IF(AND(AI606&gt;0,AH606&gt;0),(AH606/AI606-1)*100,0)</f>
        <v>0</v>
      </c>
      <c r="AK606" s="2028"/>
      <c r="AL606" s="1284">
        <f t="shared" si="332"/>
        <v>0</v>
      </c>
      <c r="AM606" s="1285"/>
      <c r="AN606" s="1285"/>
      <c r="AO606" s="1285"/>
      <c r="AP606" s="1285"/>
      <c r="AQ606" s="1285"/>
      <c r="AR606" s="1285"/>
      <c r="AS606" s="1286"/>
      <c r="AT606" s="1287"/>
      <c r="AU606" s="1288"/>
      <c r="AV606" s="1289"/>
      <c r="AW606" s="1290"/>
      <c r="AX606" s="1291"/>
      <c r="AY606" s="1291"/>
      <c r="AZ606" s="1292"/>
      <c r="BA606" s="1293"/>
      <c r="BB606" s="1294"/>
      <c r="BC606" s="1295"/>
      <c r="BD606" s="1296">
        <f>BD605+PROD!L606-BA606</f>
        <v>0</v>
      </c>
      <c r="BE606" s="2134"/>
      <c r="BF606" s="507" t="e">
        <f t="shared" si="333"/>
        <v>#VALUE!</v>
      </c>
      <c r="BG606" s="329"/>
      <c r="BH606" s="1018">
        <f t="shared" si="334"/>
        <v>0</v>
      </c>
    </row>
    <row r="607" spans="1:60" ht="15" customHeight="1" x14ac:dyDescent="0.3">
      <c r="A607" s="2032">
        <f>A600+1</f>
        <v>104</v>
      </c>
      <c r="B607" s="287" t="str">
        <f t="shared" si="335"/>
        <v/>
      </c>
      <c r="C607" s="288" t="str">
        <f t="shared" si="330"/>
        <v/>
      </c>
      <c r="D607" s="691"/>
      <c r="E607" s="692"/>
      <c r="F607" s="693"/>
      <c r="G607" s="694"/>
      <c r="H607" s="695"/>
      <c r="I607" s="289">
        <f>I606-SUM($D607:F607)</f>
        <v>0</v>
      </c>
      <c r="J607" s="1232" t="str">
        <f>$J$5</f>
        <v>% Mort Sem :</v>
      </c>
      <c r="K607" s="1233">
        <f>IF(PROD!$K$2&gt;0,SUM(D607:D613)/PROD!$K$2,0)</f>
        <v>0</v>
      </c>
      <c r="L607" s="1241"/>
      <c r="M607" s="1242">
        <f t="shared" ref="M607:M612" si="349">IF(I607&gt;0,L607/I607,0)</f>
        <v>0</v>
      </c>
      <c r="N607" s="1243" t="str">
        <f>$N$5</f>
        <v xml:space="preserve">% Pdn prom semana : </v>
      </c>
      <c r="O607" s="1244">
        <f>IF(SUM(L607:L612)&gt;0,100*SUMPRODUCT(M607:M613,I607:I613)/SUMIF(L607:L613,"&gt;0",I607:I613),IF(L613&gt;0,100*L613/7/I613,0))</f>
        <v>0</v>
      </c>
      <c r="P607" s="1244">
        <f>IFERROR(LOOKUP($A607,TP!$A$6:$A$108,GSh!$AE$6:$AE$108),0)</f>
        <v>0</v>
      </c>
      <c r="Q607" s="1245">
        <f>IF(AND(P607&gt;0,O607&gt;0),O607-P607,0)</f>
        <v>0</v>
      </c>
      <c r="R607" s="699"/>
      <c r="S607" s="762"/>
      <c r="T607" s="765">
        <f t="shared" si="341"/>
        <v>0</v>
      </c>
      <c r="U607" s="700"/>
      <c r="V607" s="701"/>
      <c r="W607" s="701"/>
      <c r="X607" s="295">
        <f t="shared" si="336"/>
        <v>0</v>
      </c>
      <c r="Y607" s="296">
        <f>IF(AA607&gt;0,V607,AE607/IF(Iniciar!$C$25="B X 40 K",40,IF(Iniciar!$C$25="B X 50 K",50,1))*I607/1000)</f>
        <v>0</v>
      </c>
      <c r="Z607" s="296">
        <f t="shared" si="337"/>
        <v>0</v>
      </c>
      <c r="AA607" s="297">
        <f t="shared" ref="AA607:AA612" si="350">IF(I607&gt;0,V607*$A$1/I607,0)</f>
        <v>0</v>
      </c>
      <c r="AB607" s="297">
        <f t="shared" si="331"/>
        <v>0</v>
      </c>
      <c r="AC607" s="1261" t="str">
        <f>$AC$5</f>
        <v>Gr. Ave Dia :</v>
      </c>
      <c r="AD607" s="1262">
        <f>IF(SUMIF(V607:V613,"&gt;0")&gt;0,SUMPRODUCT(AA607:AA613,I607:I613)/SUMIF(AA607:AA613,"&gt;0",I607:I613),0)</f>
        <v>0</v>
      </c>
      <c r="AE607" s="1262">
        <f>IFERROR(LOOKUP($A607,TP!$A$6:$A$108,GSh!$AU$6:$AU$108),0)</f>
        <v>0</v>
      </c>
      <c r="AF607" s="1263">
        <f>IF(AND(AE607&gt;0,AD607&gt;0),(AD607/AE607-1)*100,0)</f>
        <v>0</v>
      </c>
      <c r="AG607" s="1264" t="str">
        <f>PROD!$AG$5</f>
        <v>Gr X H</v>
      </c>
      <c r="AH607" s="1265">
        <f>IF(PROD!O607&gt;0,IF($AG607="Gr X H",PROD!AD607/PROD!O607*100,IF($AG607="Conv Kg/Doc",PROD!AD607/PROD!O607*1.2,IF(PROD!$O609&gt;0,PROD!AD607/(PROD!O607*PROD!$O609)*100,0))),0)</f>
        <v>0</v>
      </c>
      <c r="AI607" s="1265">
        <f>IF(PROD!P607&gt;0,IF($AG607="Gr X H",PROD!AE607/PROD!P607*100,IF($AG607="Conv Kg/Doc",PROD!AE607/PROD!P607*1.2,IF(PROD!$P609&gt;0,PROD!AE607/(PROD!P607*PROD!$P609)*100,0))),0)</f>
        <v>0</v>
      </c>
      <c r="AJ607" s="1266">
        <f t="shared" si="348"/>
        <v>0</v>
      </c>
      <c r="AK607" s="2026"/>
      <c r="AL607" s="1284">
        <f t="shared" si="332"/>
        <v>0</v>
      </c>
      <c r="AM607" s="1285"/>
      <c r="AN607" s="1285"/>
      <c r="AO607" s="1285"/>
      <c r="AP607" s="1285"/>
      <c r="AQ607" s="1285"/>
      <c r="AR607" s="1285"/>
      <c r="AS607" s="1286"/>
      <c r="AT607" s="1287"/>
      <c r="AU607" s="1288"/>
      <c r="AV607" s="1289"/>
      <c r="AW607" s="1290"/>
      <c r="AX607" s="1291"/>
      <c r="AY607" s="1291"/>
      <c r="AZ607" s="1292"/>
      <c r="BA607" s="1293"/>
      <c r="BB607" s="1294"/>
      <c r="BC607" s="1295"/>
      <c r="BD607" s="1296">
        <f>BD606+PROD!L607-BA607</f>
        <v>0</v>
      </c>
      <c r="BE607" s="2132">
        <f>IF(SUM(AM607:AZ613)&gt;0,(SUM(AM607:AM613)*$AM$2+SUM(AN607:AN613)*$AN$2+SUM(AO607:AO613)*$AO$2+SUM(AP607:AP613)*$AP$2+SUM(AQ607:AQ613)*$AQ$2+SUM(AR607:AR613)*$AR$2+SUM(AS607:AS613)*$AS$2+SUM(AW607:AW613)*$AW$2+SUM(AX607:AX613)*$AX$2+SUM(AY607:AY613)*$AY$2+SUM(AZ607:AZ613)*$AZ$2+SUM(AT607:AT613)*$AT$2+SUM(AU607:AU613)*$AU$2+SUM(AV607:AV613)*$AV$2)/SUM(AM607:AZ613),0)</f>
        <v>0</v>
      </c>
      <c r="BF607" s="507" t="e">
        <f t="shared" si="333"/>
        <v>#VALUE!</v>
      </c>
      <c r="BG607" s="277">
        <f>IF(SUM(L607:L613)&gt;0,A607,IF(SUM(V607:V613)&gt;0,A607,BG600))</f>
        <v>0</v>
      </c>
      <c r="BH607" s="1018">
        <f t="shared" si="334"/>
        <v>0</v>
      </c>
    </row>
    <row r="608" spans="1:60" ht="15" customHeight="1" x14ac:dyDescent="0.3">
      <c r="A608" s="2033"/>
      <c r="B608" s="287" t="str">
        <f t="shared" si="335"/>
        <v/>
      </c>
      <c r="C608" s="288" t="str">
        <f t="shared" si="330"/>
        <v/>
      </c>
      <c r="D608" s="691"/>
      <c r="E608" s="692"/>
      <c r="F608" s="693"/>
      <c r="G608" s="694"/>
      <c r="H608" s="695"/>
      <c r="I608" s="289">
        <f>I607-SUM($D608:F608)</f>
        <v>0</v>
      </c>
      <c r="J608" s="1234" t="str">
        <f>$J$6</f>
        <v>% Sel Sem :</v>
      </c>
      <c r="K608" s="1231">
        <f>IF(PROD!$K$2&gt;0,SUM(E607:E613)/PROD!$K$2,0)</f>
        <v>0</v>
      </c>
      <c r="L608" s="1246"/>
      <c r="M608" s="291">
        <f t="shared" si="349"/>
        <v>0</v>
      </c>
      <c r="N608" s="292" t="str">
        <f>$N$6</f>
        <v xml:space="preserve">H. Ave Alojada : </v>
      </c>
      <c r="O608" s="293">
        <f>IF(AND(PROD!$K$2&gt;0,O607&gt;0),SUM(L$5:L613)/PROD!$K$2,0)</f>
        <v>0</v>
      </c>
      <c r="P608" s="293">
        <f>IFERROR(LOOKUP($A607,TP!$A$6:$A$108,GSh!$AJ$6:$AJ$108),0)</f>
        <v>0</v>
      </c>
      <c r="Q608" s="294">
        <f>IF(AND(P608&gt;0,O608&gt;0),O608-P608,0)</f>
        <v>0</v>
      </c>
      <c r="R608" s="699"/>
      <c r="S608" s="762"/>
      <c r="T608" s="765">
        <f t="shared" si="341"/>
        <v>0</v>
      </c>
      <c r="U608" s="700"/>
      <c r="V608" s="701"/>
      <c r="W608" s="701"/>
      <c r="X608" s="295">
        <f t="shared" si="336"/>
        <v>0</v>
      </c>
      <c r="Y608" s="296">
        <f>IF(AA608&gt;0,V608,AE607/IF(Iniciar!$C$25="B X 40 K",40,IF(Iniciar!$C$25="B X 50 K",50,1))*I608/1000)</f>
        <v>0</v>
      </c>
      <c r="Z608" s="296">
        <f t="shared" si="337"/>
        <v>0</v>
      </c>
      <c r="AA608" s="297">
        <f t="shared" si="350"/>
        <v>0</v>
      </c>
      <c r="AB608" s="297">
        <f t="shared" si="331"/>
        <v>0</v>
      </c>
      <c r="AC608" s="1267" t="str">
        <f>$AC$6</f>
        <v>Gr. Ave Sem :</v>
      </c>
      <c r="AD608" s="284">
        <f>AD607*7</f>
        <v>0</v>
      </c>
      <c r="AE608" s="284">
        <f>AE607*7</f>
        <v>0</v>
      </c>
      <c r="AF608" s="285">
        <f>IF(AND(AE608&gt;0,AD608&gt;0),(AD608/AE608-1)*100,0)</f>
        <v>0</v>
      </c>
      <c r="AG608" s="1199" t="str">
        <f>PROD!$AG$6</f>
        <v>Gr X H Acm</v>
      </c>
      <c r="AH608" s="298">
        <f>IF(SUM(PROD!L607:L613)&gt;0,IF(PROD!$AG$5="Gr X H",SUM(PROD!V$5:V613)*PROD!$A$1/SUM(PROD!L$5:L613),IF($AG607="Conv Kg/Doc",(SUM(PROD!V$5:V613)*PROD!$A$1/1000)/(SUM(PROD!L$5:L613)/12),IF(PROD!$O609&gt;0,SUM(PROD!V$5:V613)*PROD!$A$1/(SUM(PROD!L$5:L613)*LOOKUP(PROD!A607,TP!$A$6:$A$108,GSh!$BB$6:$BB$108)),0))),0)</f>
        <v>0</v>
      </c>
      <c r="AI608" s="298">
        <f>IF(PROD!P607&gt;0,IF($AG607="Gr X H",PROD!AE607/PROD!P607*100,IF($AG607="Conv Kg/Doc",PROD!AE607/PROD!P607*1.2,IF(PROD!$P608&gt;0,PROD!AE609/(PROD!P608*LOOKUP(PROD!$A607,TP!$A$6:$A$108,GSh!$BC$6:$BC$108)/1000),0))),0)</f>
        <v>0</v>
      </c>
      <c r="AJ608" s="328">
        <f t="shared" si="348"/>
        <v>0</v>
      </c>
      <c r="AK608" s="2027"/>
      <c r="AL608" s="1284">
        <f t="shared" si="332"/>
        <v>0</v>
      </c>
      <c r="AM608" s="1285"/>
      <c r="AN608" s="1285"/>
      <c r="AO608" s="1285"/>
      <c r="AP608" s="1285"/>
      <c r="AQ608" s="1285"/>
      <c r="AR608" s="1285"/>
      <c r="AS608" s="1286"/>
      <c r="AT608" s="1287"/>
      <c r="AU608" s="1288"/>
      <c r="AV608" s="1289"/>
      <c r="AW608" s="1290"/>
      <c r="AX608" s="1291"/>
      <c r="AY608" s="1291"/>
      <c r="AZ608" s="1292"/>
      <c r="BA608" s="1293"/>
      <c r="BB608" s="1294"/>
      <c r="BC608" s="1295"/>
      <c r="BD608" s="1296">
        <f>BD607+PROD!L608-BA608</f>
        <v>0</v>
      </c>
      <c r="BE608" s="2133"/>
      <c r="BF608" s="507" t="e">
        <f t="shared" si="333"/>
        <v>#VALUE!</v>
      </c>
      <c r="BG608" s="329"/>
      <c r="BH608" s="1018">
        <f t="shared" si="334"/>
        <v>0</v>
      </c>
    </row>
    <row r="609" spans="1:60" ht="15" customHeight="1" x14ac:dyDescent="0.3">
      <c r="A609" s="2033"/>
      <c r="B609" s="287" t="str">
        <f t="shared" si="335"/>
        <v/>
      </c>
      <c r="C609" s="288" t="str">
        <f t="shared" si="330"/>
        <v/>
      </c>
      <c r="D609" s="691"/>
      <c r="E609" s="692"/>
      <c r="F609" s="693"/>
      <c r="G609" s="694"/>
      <c r="H609" s="695"/>
      <c r="I609" s="289">
        <f>I608-SUM($D609:F609)</f>
        <v>0</v>
      </c>
      <c r="J609" s="1235" t="str">
        <f>$J$7</f>
        <v>% Mort/Sel Sem Tab :</v>
      </c>
      <c r="K609" s="1236">
        <f>K612-K605</f>
        <v>0</v>
      </c>
      <c r="L609" s="1246"/>
      <c r="M609" s="291">
        <f t="shared" si="349"/>
        <v>0</v>
      </c>
      <c r="N609" s="304" t="str">
        <f>$N$7</f>
        <v xml:space="preserve">Peso Huevo (Gr) : </v>
      </c>
      <c r="O609" s="305">
        <f>LOOKUP($A607,'Pr-Sem'!$A$6:$A$108,'Pr-Sem'!$Z$6:$Z$108)</f>
        <v>0</v>
      </c>
      <c r="P609" s="305">
        <f>IFERROR(LOOKUP($A607,TP!$A$6:$A$108,GSh!$AZ$6:$AZ$108),0)</f>
        <v>0</v>
      </c>
      <c r="Q609" s="306">
        <f>IF(AND(P609&gt;0,O609&gt;0),O609-P609,0)</f>
        <v>0</v>
      </c>
      <c r="R609" s="699"/>
      <c r="S609" s="762"/>
      <c r="T609" s="765">
        <f t="shared" si="341"/>
        <v>0</v>
      </c>
      <c r="U609" s="700"/>
      <c r="V609" s="701"/>
      <c r="W609" s="701"/>
      <c r="X609" s="295">
        <f t="shared" si="336"/>
        <v>0</v>
      </c>
      <c r="Y609" s="296">
        <f>IF(AA609&gt;0,V609,AE607/IF(Iniciar!$C$25="B X 40 K",40,IF(Iniciar!$C$25="B X 50 K",50,1))*I609/1000)</f>
        <v>0</v>
      </c>
      <c r="Z609" s="296">
        <f t="shared" si="337"/>
        <v>0</v>
      </c>
      <c r="AA609" s="297">
        <f t="shared" si="350"/>
        <v>0</v>
      </c>
      <c r="AB609" s="297">
        <f t="shared" si="331"/>
        <v>0</v>
      </c>
      <c r="AC609" s="1268" t="str">
        <f>$AC$7</f>
        <v>Kg Ave Acu :</v>
      </c>
      <c r="AD609" s="308">
        <f>IF(OR(SUM(L607:L613)&gt;0,SUM(V607:V613)&gt;0),AD608/1000+AD602,0)</f>
        <v>0</v>
      </c>
      <c r="AE609" s="309">
        <f>AE608/1000+AE602</f>
        <v>0</v>
      </c>
      <c r="AF609" s="310">
        <f>IF(AND(AE609&gt;0,AD609&gt;0),(AD609/AE609-1)*100,0)</f>
        <v>0</v>
      </c>
      <c r="AG609" s="311" t="str">
        <f>PROD!$AG$7</f>
        <v xml:space="preserve">Masa Sem H (Gr) : </v>
      </c>
      <c r="AH609" s="312">
        <f>PROD!O607/100*7*PROD!O609</f>
        <v>0</v>
      </c>
      <c r="AI609" s="312">
        <f>PROD!P607/100*7*PROD!P609</f>
        <v>0</v>
      </c>
      <c r="AJ609" s="313">
        <f t="shared" si="348"/>
        <v>0</v>
      </c>
      <c r="AK609" s="2027"/>
      <c r="AL609" s="1284">
        <f t="shared" si="332"/>
        <v>0</v>
      </c>
      <c r="AM609" s="1285"/>
      <c r="AN609" s="1285"/>
      <c r="AO609" s="1285"/>
      <c r="AP609" s="1285"/>
      <c r="AQ609" s="1285"/>
      <c r="AR609" s="1285"/>
      <c r="AS609" s="1286"/>
      <c r="AT609" s="1287"/>
      <c r="AU609" s="1288"/>
      <c r="AV609" s="1289"/>
      <c r="AW609" s="1290"/>
      <c r="AX609" s="1291"/>
      <c r="AY609" s="1291"/>
      <c r="AZ609" s="1292"/>
      <c r="BA609" s="1293"/>
      <c r="BB609" s="1294"/>
      <c r="BC609" s="1295"/>
      <c r="BD609" s="1296">
        <f>BD608+PROD!L609-BA609</f>
        <v>0</v>
      </c>
      <c r="BE609" s="2133"/>
      <c r="BF609" s="507" t="e">
        <f t="shared" si="333"/>
        <v>#VALUE!</v>
      </c>
      <c r="BG609" s="329"/>
      <c r="BH609" s="1018">
        <f t="shared" si="334"/>
        <v>0</v>
      </c>
    </row>
    <row r="610" spans="1:60" ht="15" customHeight="1" x14ac:dyDescent="0.3">
      <c r="A610" s="2033"/>
      <c r="B610" s="287" t="str">
        <f t="shared" si="335"/>
        <v/>
      </c>
      <c r="C610" s="288" t="str">
        <f t="shared" si="330"/>
        <v/>
      </c>
      <c r="D610" s="691"/>
      <c r="E610" s="692"/>
      <c r="F610" s="693"/>
      <c r="G610" s="694"/>
      <c r="H610" s="695"/>
      <c r="I610" s="289">
        <f>I609-SUM($D610:F610)</f>
        <v>0</v>
      </c>
      <c r="J610" s="1234" t="str">
        <f>$J$8</f>
        <v>% Mort Acm :</v>
      </c>
      <c r="K610" s="1231">
        <f>IF(PROD!$K$2&gt;0,SUM(D$5:D613)/PROD!$K$2,0)</f>
        <v>0</v>
      </c>
      <c r="L610" s="1246"/>
      <c r="M610" s="291">
        <f t="shared" si="349"/>
        <v>0</v>
      </c>
      <c r="N610" s="314" t="str">
        <f>N$8</f>
        <v xml:space="preserve">Peso Ave (Gr) : </v>
      </c>
      <c r="O610" s="315">
        <f>LOOKUP($A607,GSh!$BV$6:$BV$108,GSh!$BJ$6:$BJ$108)</f>
        <v>0</v>
      </c>
      <c r="P610" s="315">
        <f>IFERROR(LOOKUP($A607,TP!$A$6:$A$108,GSh!$BK$6:$BK$108),0)</f>
        <v>0</v>
      </c>
      <c r="Q610" s="316">
        <f>IF(AND(P610&gt;0,O610&gt;0),(O610/P610-1)*100,0)</f>
        <v>0</v>
      </c>
      <c r="R610" s="699"/>
      <c r="S610" s="762"/>
      <c r="T610" s="765">
        <f t="shared" si="341"/>
        <v>0</v>
      </c>
      <c r="U610" s="700"/>
      <c r="V610" s="701"/>
      <c r="W610" s="701"/>
      <c r="X610" s="295">
        <f t="shared" si="336"/>
        <v>0</v>
      </c>
      <c r="Y610" s="296">
        <f>IF(AA610&gt;0,V610,AE607/IF(Iniciar!$C$25="B X 40 K",40,IF(Iniciar!$C$25="B X 50 K",50,1))*I610/1000)</f>
        <v>0</v>
      </c>
      <c r="Z610" s="296">
        <f t="shared" si="337"/>
        <v>0</v>
      </c>
      <c r="AA610" s="297">
        <f t="shared" si="350"/>
        <v>0</v>
      </c>
      <c r="AB610" s="297">
        <f t="shared" si="331"/>
        <v>0</v>
      </c>
      <c r="AC610" s="541" t="str">
        <f>$AC$8</f>
        <v xml:space="preserve">Ton. Lote Acu : </v>
      </c>
      <c r="AD610" s="544">
        <f>SUM($V$5:$V613)*$A$1/1000000</f>
        <v>0</v>
      </c>
      <c r="AE610" s="543">
        <f>AE603+(AE607/1000000*7*(I607+I613)/2)</f>
        <v>0</v>
      </c>
      <c r="AF610" s="542">
        <f>IF(AND(AE610&gt;0,AD610&gt;0),(AD610/AE610-1)*100,0)</f>
        <v>0</v>
      </c>
      <c r="AG610" s="317" t="str">
        <f>PROD!$AG$8</f>
        <v xml:space="preserve">Masa Ac A. A (Kg) : </v>
      </c>
      <c r="AH610" s="318">
        <f>IF(PROD!$K$2&gt;0,SUM(PROD!L$5:L613)*LOOKUP(PROD!$A607,TP!$A$6:$A$108,GSh!$BB$6:$BB$108)/1000/PROD!$K$2,0)</f>
        <v>0</v>
      </c>
      <c r="AI610" s="318">
        <f>IFERROR(PROD!P608*LOOKUP(PROD!$A607,TP!$A$6:$A$108,GSh!$BC$6:$BC$108)/1000,0)</f>
        <v>0</v>
      </c>
      <c r="AJ610" s="330">
        <f t="shared" si="348"/>
        <v>0</v>
      </c>
      <c r="AK610" s="2027"/>
      <c r="AL610" s="1284">
        <f t="shared" si="332"/>
        <v>0</v>
      </c>
      <c r="AM610" s="1285"/>
      <c r="AN610" s="1285"/>
      <c r="AO610" s="1285"/>
      <c r="AP610" s="1285"/>
      <c r="AQ610" s="1285"/>
      <c r="AR610" s="1285"/>
      <c r="AS610" s="1286"/>
      <c r="AT610" s="1287"/>
      <c r="AU610" s="1288"/>
      <c r="AV610" s="1289"/>
      <c r="AW610" s="1290"/>
      <c r="AX610" s="1291"/>
      <c r="AY610" s="1291"/>
      <c r="AZ610" s="1292"/>
      <c r="BA610" s="1293"/>
      <c r="BB610" s="1294"/>
      <c r="BC610" s="1295"/>
      <c r="BD610" s="1296">
        <f>BD609+PROD!L610-BA610</f>
        <v>0</v>
      </c>
      <c r="BE610" s="2133"/>
      <c r="BF610" s="507" t="e">
        <f t="shared" si="333"/>
        <v>#VALUE!</v>
      </c>
      <c r="BG610" s="329"/>
      <c r="BH610" s="1018">
        <f t="shared" si="334"/>
        <v>0</v>
      </c>
    </row>
    <row r="611" spans="1:60" ht="15" customHeight="1" x14ac:dyDescent="0.3">
      <c r="A611" s="2033"/>
      <c r="B611" s="287" t="str">
        <f t="shared" si="335"/>
        <v/>
      </c>
      <c r="C611" s="288" t="str">
        <f t="shared" si="330"/>
        <v/>
      </c>
      <c r="D611" s="691"/>
      <c r="E611" s="692"/>
      <c r="F611" s="693"/>
      <c r="G611" s="694"/>
      <c r="H611" s="695"/>
      <c r="I611" s="289">
        <f>I610-SUM($D611:F611)</f>
        <v>0</v>
      </c>
      <c r="J611" s="1234" t="str">
        <f>$J$9</f>
        <v>% Sel Acm :</v>
      </c>
      <c r="K611" s="1231">
        <f>IF(PROD!$K$2&gt;0,SUM(E$5:E613)/PROD!$K$2,0)</f>
        <v>0</v>
      </c>
      <c r="L611" s="1246"/>
      <c r="M611" s="291">
        <f t="shared" si="349"/>
        <v>0</v>
      </c>
      <c r="N611" s="292" t="str">
        <f>$N$9</f>
        <v xml:space="preserve">Uniformidad (10% -) : </v>
      </c>
      <c r="O611" s="320">
        <f>LOOKUP($A607,'Pr-Sem'!$A$6:$A$108,'Pr-Sem'!$AH$6:$AH$108)</f>
        <v>0</v>
      </c>
      <c r="P611" s="320">
        <v>5</v>
      </c>
      <c r="Q611" s="321">
        <f>IF(AND(P611&gt;0,O611&gt;0),(1-O611/P611)*100,0)</f>
        <v>0</v>
      </c>
      <c r="R611" s="699"/>
      <c r="S611" s="762"/>
      <c r="T611" s="765">
        <f t="shared" si="341"/>
        <v>0</v>
      </c>
      <c r="U611" s="700"/>
      <c r="V611" s="701"/>
      <c r="W611" s="701"/>
      <c r="X611" s="295">
        <f t="shared" si="336"/>
        <v>0</v>
      </c>
      <c r="Y611" s="296">
        <f>IF(AA611&gt;0,V611,AE607/IF(Iniciar!$C$25="B X 40 K",40,IF(Iniciar!$C$25="B X 50 K",50,1))*I611/1000)</f>
        <v>0</v>
      </c>
      <c r="Z611" s="296">
        <f t="shared" si="337"/>
        <v>0</v>
      </c>
      <c r="AA611" s="297">
        <f t="shared" si="350"/>
        <v>0</v>
      </c>
      <c r="AB611" s="297">
        <f t="shared" si="331"/>
        <v>0</v>
      </c>
      <c r="AC611" s="2035" t="str">
        <f>$AC$9</f>
        <v xml:space="preserve">Total Litros Sem: </v>
      </c>
      <c r="AD611" s="2036"/>
      <c r="AE611" s="2050">
        <f>SUM(R607:R613)</f>
        <v>0</v>
      </c>
      <c r="AF611" s="2051"/>
      <c r="AG611" s="554" t="str">
        <f>$AG$9</f>
        <v xml:space="preserve">Indicador Eficiencia : </v>
      </c>
      <c r="AH611" s="555">
        <f>IF(AND(AE611&gt;0,O608&gt;0,O609&gt;0,SUM(L607:L613)&gt;0),(PROD!AH610/O608)*K613*100/(AE611/(SUM(L607:L613)*O609/1000)),0)</f>
        <v>0</v>
      </c>
      <c r="AI611" s="555">
        <f>IF(AND(P608&gt;0,PROD!AI609&gt;0),(PROD!AI610/P608)*(1-K612)*100/(AE608/PROD!AI609),0)</f>
        <v>0</v>
      </c>
      <c r="AJ611" s="331">
        <f t="shared" si="348"/>
        <v>0</v>
      </c>
      <c r="AK611" s="2027"/>
      <c r="AL611" s="1284">
        <f t="shared" si="332"/>
        <v>0</v>
      </c>
      <c r="AM611" s="1285"/>
      <c r="AN611" s="1285"/>
      <c r="AO611" s="1285"/>
      <c r="AP611" s="1285"/>
      <c r="AQ611" s="1285"/>
      <c r="AR611" s="1285"/>
      <c r="AS611" s="1286"/>
      <c r="AT611" s="1287"/>
      <c r="AU611" s="1288"/>
      <c r="AV611" s="1289"/>
      <c r="AW611" s="1290"/>
      <c r="AX611" s="1291"/>
      <c r="AY611" s="1291"/>
      <c r="AZ611" s="1292"/>
      <c r="BA611" s="1293"/>
      <c r="BB611" s="1294"/>
      <c r="BC611" s="1295"/>
      <c r="BD611" s="1296">
        <f>BD610+PROD!L611-BA611</f>
        <v>0</v>
      </c>
      <c r="BE611" s="2133"/>
      <c r="BF611" s="507" t="e">
        <f t="shared" si="333"/>
        <v>#VALUE!</v>
      </c>
      <c r="BG611" s="329"/>
      <c r="BH611" s="1018">
        <f t="shared" si="334"/>
        <v>0</v>
      </c>
    </row>
    <row r="612" spans="1:60" ht="15" customHeight="1" x14ac:dyDescent="0.3">
      <c r="A612" s="2033"/>
      <c r="B612" s="287" t="str">
        <f t="shared" si="335"/>
        <v/>
      </c>
      <c r="C612" s="288" t="str">
        <f t="shared" si="330"/>
        <v/>
      </c>
      <c r="D612" s="691"/>
      <c r="E612" s="692"/>
      <c r="F612" s="693"/>
      <c r="G612" s="694"/>
      <c r="H612" s="695"/>
      <c r="I612" s="289">
        <f>I611-SUM($D612:F612)</f>
        <v>0</v>
      </c>
      <c r="J612" s="1237" t="str">
        <f>$J$10</f>
        <v>% Mort/Sel Acm Tab :</v>
      </c>
      <c r="K612" s="1238">
        <f>IFERROR(LOOKUP($A607,TP!$A$6:$A$108,GSh!$AR$6:$AR$108)/100,0)</f>
        <v>0</v>
      </c>
      <c r="L612" s="1246"/>
      <c r="M612" s="291">
        <f t="shared" si="349"/>
        <v>0</v>
      </c>
      <c r="N612" s="292" t="str">
        <f>$N$10</f>
        <v xml:space="preserve">Uniformidad (C. Lote) : </v>
      </c>
      <c r="O612" s="320">
        <f>LOOKUP($A607,'Pr-Sem'!$A$6:$A$108,'Pr-Sem'!$AG$6:$AG$108)</f>
        <v>0</v>
      </c>
      <c r="P612" s="320">
        <v>90</v>
      </c>
      <c r="Q612" s="321">
        <f>IF(AND(P612&gt;0,O612&gt;0),(O612/P612-1)*100,0)</f>
        <v>0</v>
      </c>
      <c r="R612" s="699"/>
      <c r="S612" s="762"/>
      <c r="T612" s="765">
        <f t="shared" si="341"/>
        <v>0</v>
      </c>
      <c r="U612" s="700"/>
      <c r="V612" s="701"/>
      <c r="W612" s="701"/>
      <c r="X612" s="295">
        <f t="shared" si="336"/>
        <v>0</v>
      </c>
      <c r="Y612" s="296">
        <f>IF(AA612&gt;0,V612,AE607/IF(Iniciar!$C$25="B X 40 K",40,IF(Iniciar!$C$25="B X 50 K",50,1))*I612/1000)</f>
        <v>0</v>
      </c>
      <c r="Z612" s="296">
        <f t="shared" si="337"/>
        <v>0</v>
      </c>
      <c r="AA612" s="297">
        <f t="shared" si="350"/>
        <v>0</v>
      </c>
      <c r="AB612" s="297">
        <f t="shared" si="331"/>
        <v>0</v>
      </c>
      <c r="AC612" s="2037" t="str">
        <f>$AC$10</f>
        <v xml:space="preserve">Cons ml /ave día: </v>
      </c>
      <c r="AD612" s="2038"/>
      <c r="AE612" s="2056">
        <f>IFERROR(SUMPRODUCT(AB607:AB613,I607:I613)/SUM(I607:I613),0)</f>
        <v>0</v>
      </c>
      <c r="AF612" s="2057"/>
      <c r="AG612" s="311" t="str">
        <f>CONCATENATE("Costo ",Iniciar!$C$25," : ")</f>
        <v xml:space="preserve">Costo Kilos : </v>
      </c>
      <c r="AH612" s="2043">
        <f>IFERROR(SUMPRODUCT(T607:T613,V607:V613)/SUMIF(T607:T613,"&gt;0",V607:V613),0)</f>
        <v>0</v>
      </c>
      <c r="AI612" s="2043"/>
      <c r="AJ612" s="313"/>
      <c r="AK612" s="2027"/>
      <c r="AL612" s="1284">
        <f t="shared" si="332"/>
        <v>0</v>
      </c>
      <c r="AM612" s="1285"/>
      <c r="AN612" s="1285"/>
      <c r="AO612" s="1285"/>
      <c r="AP612" s="1285"/>
      <c r="AQ612" s="1285"/>
      <c r="AR612" s="1285"/>
      <c r="AS612" s="1286"/>
      <c r="AT612" s="1287"/>
      <c r="AU612" s="1288"/>
      <c r="AV612" s="1289"/>
      <c r="AW612" s="1290"/>
      <c r="AX612" s="1291"/>
      <c r="AY612" s="1291"/>
      <c r="AZ612" s="1292"/>
      <c r="BA612" s="1293"/>
      <c r="BB612" s="1294"/>
      <c r="BC612" s="1295"/>
      <c r="BD612" s="1296">
        <f>BD611+PROD!L612-BA612</f>
        <v>0</v>
      </c>
      <c r="BE612" s="2133"/>
      <c r="BF612" s="507" t="e">
        <f t="shared" si="333"/>
        <v>#VALUE!</v>
      </c>
      <c r="BG612" s="329"/>
      <c r="BH612" s="1018">
        <f t="shared" si="334"/>
        <v>0</v>
      </c>
    </row>
    <row r="613" spans="1:60" ht="15" customHeight="1" x14ac:dyDescent="0.3">
      <c r="A613" s="2034"/>
      <c r="B613" s="287" t="str">
        <f t="shared" si="335"/>
        <v/>
      </c>
      <c r="C613" s="288" t="str">
        <f t="shared" si="330"/>
        <v/>
      </c>
      <c r="D613" s="691"/>
      <c r="E613" s="692"/>
      <c r="F613" s="693"/>
      <c r="G613" s="694"/>
      <c r="H613" s="695"/>
      <c r="I613" s="289">
        <f>I612-SUM($D613:F613)</f>
        <v>0</v>
      </c>
      <c r="J613" s="1239" t="str">
        <f>$J$11</f>
        <v>% Viabilidad :</v>
      </c>
      <c r="K613" s="1240">
        <f>IF(OR(SUM(L607:L613)&gt;0,SUM(V607:V613)&gt;0),1-(K610+K611),0)</f>
        <v>0</v>
      </c>
      <c r="L613" s="1247"/>
      <c r="M613" s="1248">
        <f>IF(I613&gt;0,(L613/IF(SUM(L607:L612)&gt;0,1,7))/I613,0)</f>
        <v>0</v>
      </c>
      <c r="N613" s="1249" t="str">
        <f>$N$11</f>
        <v xml:space="preserve">Uniformidad (10% +) : </v>
      </c>
      <c r="O613" s="1250">
        <f>IF(O611&gt;0,IF(O612&gt;0,100-SUM(O611:O612),0),0)</f>
        <v>0</v>
      </c>
      <c r="P613" s="1251">
        <f>100-SUM(P611:P612)</f>
        <v>5</v>
      </c>
      <c r="Q613" s="1252">
        <f>IF(AND(P613&gt;0,O613&gt;0),(O613/P613-1)*100,0)</f>
        <v>0</v>
      </c>
      <c r="R613" s="699"/>
      <c r="S613" s="762"/>
      <c r="T613" s="765">
        <f t="shared" si="341"/>
        <v>0</v>
      </c>
      <c r="U613" s="700"/>
      <c r="V613" s="701"/>
      <c r="W613" s="701"/>
      <c r="X613" s="295">
        <f t="shared" si="336"/>
        <v>0</v>
      </c>
      <c r="Y613" s="296">
        <f>IF(AA613&gt;0,V613,AE607/IF(Iniciar!$C$25="B X 40 K",40,IF(Iniciar!$C$25="B X 50 K",50,1))*I613/1000)</f>
        <v>0</v>
      </c>
      <c r="Z613" s="296">
        <f t="shared" si="337"/>
        <v>0</v>
      </c>
      <c r="AA613" s="297">
        <f>IF(I613&gt;0,(V613/IF(SUM(V607:V612)&gt;0,1,7))*$A$1/I613,0)</f>
        <v>0</v>
      </c>
      <c r="AB613" s="297">
        <f t="shared" si="331"/>
        <v>0</v>
      </c>
      <c r="AC613" s="2039" t="str">
        <f>$AC$11</f>
        <v xml:space="preserve">Relación Agua /Alimto: </v>
      </c>
      <c r="AD613" s="2040"/>
      <c r="AE613" s="2058">
        <f>IFERROR(AE612/AD607,0)</f>
        <v>0</v>
      </c>
      <c r="AF613" s="2059"/>
      <c r="AG613" s="1269" t="s">
        <v>237</v>
      </c>
      <c r="AH613" s="1270">
        <f>IF(SUM(L607:L613)&gt;0,AH612*SUM(V607:V613)/SUM(L607:L613),0)</f>
        <v>0</v>
      </c>
      <c r="AI613" s="1270">
        <f>IF(AND($A$1&gt;0,P607&gt;0),AH612/$A$1*(AE607/P607)*100,0)</f>
        <v>0</v>
      </c>
      <c r="AJ613" s="1271">
        <f t="shared" ref="AJ613:AJ618" si="351">IF(AND(AI613&gt;0,AH613&gt;0),(AH613/AI613-1)*100,0)</f>
        <v>0</v>
      </c>
      <c r="AK613" s="2028"/>
      <c r="AL613" s="1284">
        <f t="shared" si="332"/>
        <v>0</v>
      </c>
      <c r="AM613" s="1285"/>
      <c r="AN613" s="1285"/>
      <c r="AO613" s="1285"/>
      <c r="AP613" s="1285"/>
      <c r="AQ613" s="1285"/>
      <c r="AR613" s="1285"/>
      <c r="AS613" s="1286"/>
      <c r="AT613" s="1287"/>
      <c r="AU613" s="1288"/>
      <c r="AV613" s="1289"/>
      <c r="AW613" s="1290"/>
      <c r="AX613" s="1291"/>
      <c r="AY613" s="1291"/>
      <c r="AZ613" s="1292"/>
      <c r="BA613" s="1293"/>
      <c r="BB613" s="1294"/>
      <c r="BC613" s="1295"/>
      <c r="BD613" s="1296">
        <f>BD612+PROD!L613-BA613</f>
        <v>0</v>
      </c>
      <c r="BE613" s="2134"/>
      <c r="BF613" s="507" t="e">
        <f t="shared" si="333"/>
        <v>#VALUE!</v>
      </c>
      <c r="BG613" s="329"/>
      <c r="BH613" s="1018">
        <f t="shared" si="334"/>
        <v>0</v>
      </c>
    </row>
    <row r="614" spans="1:60" ht="15" customHeight="1" x14ac:dyDescent="0.3">
      <c r="A614" s="2032">
        <f>A607+1</f>
        <v>105</v>
      </c>
      <c r="B614" s="287" t="str">
        <f t="shared" si="335"/>
        <v/>
      </c>
      <c r="C614" s="288" t="str">
        <f t="shared" si="330"/>
        <v/>
      </c>
      <c r="D614" s="691"/>
      <c r="E614" s="692"/>
      <c r="F614" s="693"/>
      <c r="G614" s="694"/>
      <c r="H614" s="695"/>
      <c r="I614" s="289">
        <f>I613-SUM($D614:F614)</f>
        <v>0</v>
      </c>
      <c r="J614" s="1232" t="str">
        <f>$J$5</f>
        <v>% Mort Sem :</v>
      </c>
      <c r="K614" s="1233">
        <f>IF(PROD!$K$2&gt;0,SUM(D614:D620)/PROD!$K$2,0)</f>
        <v>0</v>
      </c>
      <c r="L614" s="1241"/>
      <c r="M614" s="1242">
        <f t="shared" ref="M614:M619" si="352">IF(I614&gt;0,L614/I614,0)</f>
        <v>0</v>
      </c>
      <c r="N614" s="1243" t="str">
        <f>$N$5</f>
        <v xml:space="preserve">% Pdn prom semana : </v>
      </c>
      <c r="O614" s="1244">
        <f>IF(SUM(L614:L619)&gt;0,100*SUMPRODUCT(M614:M620,I614:I620)/SUMIF(L614:L620,"&gt;0",I614:I620),IF(L620&gt;0,100*L620/7/I620,0))</f>
        <v>0</v>
      </c>
      <c r="P614" s="1244">
        <f>IFERROR(LOOKUP($A614,TP!$A$6:$A$108,GSh!$AE$6:$AE$108),0)</f>
        <v>0</v>
      </c>
      <c r="Q614" s="1245">
        <f>IF(AND(P614&gt;0,O614&gt;0),O614-P614,0)</f>
        <v>0</v>
      </c>
      <c r="R614" s="699"/>
      <c r="S614" s="762"/>
      <c r="T614" s="765">
        <f t="shared" si="341"/>
        <v>0</v>
      </c>
      <c r="U614" s="700"/>
      <c r="V614" s="701"/>
      <c r="W614" s="701"/>
      <c r="X614" s="295">
        <f t="shared" si="336"/>
        <v>0</v>
      </c>
      <c r="Y614" s="296">
        <f>IF(AA614&gt;0,V614,AE614/IF(Iniciar!$C$25="B X 40 K",40,IF(Iniciar!$C$25="B X 50 K",50,1))*I614/1000)</f>
        <v>0</v>
      </c>
      <c r="Z614" s="296">
        <f t="shared" si="337"/>
        <v>0</v>
      </c>
      <c r="AA614" s="297">
        <f t="shared" ref="AA614:AA619" si="353">IF(I614&gt;0,V614*$A$1/I614,0)</f>
        <v>0</v>
      </c>
      <c r="AB614" s="297">
        <f t="shared" si="331"/>
        <v>0</v>
      </c>
      <c r="AC614" s="1261" t="str">
        <f>$AC$5</f>
        <v>Gr. Ave Dia :</v>
      </c>
      <c r="AD614" s="1262">
        <f>IF(SUMIF(V614:V620,"&gt;0")&gt;0,SUMPRODUCT(AA614:AA620,I614:I620)/SUMIF(AA614:AA620,"&gt;0",I614:I620),0)</f>
        <v>0</v>
      </c>
      <c r="AE614" s="1262">
        <f>IFERROR(LOOKUP($A614,TP!$A$6:$A$108,GSh!$AU$6:$AU$108),0)</f>
        <v>0</v>
      </c>
      <c r="AF614" s="1263">
        <f>IF(AND(AE614&gt;0,AD614&gt;0),(AD614/AE614-1)*100,0)</f>
        <v>0</v>
      </c>
      <c r="AG614" s="1264" t="str">
        <f>PROD!$AG$5</f>
        <v>Gr X H</v>
      </c>
      <c r="AH614" s="1265">
        <f>IF(PROD!O614&gt;0,IF($AG614="Gr X H",PROD!AD614/PROD!O614*100,IF($AG614="Conv Kg/Doc",PROD!AD614/PROD!O614*1.2,IF(PROD!$O616&gt;0,PROD!AD614/(PROD!O614*PROD!$O616)*100,0))),0)</f>
        <v>0</v>
      </c>
      <c r="AI614" s="1265">
        <f>IF(PROD!P614&gt;0,IF($AG614="Gr X H",PROD!AE614/PROD!P614*100,IF($AG614="Conv Kg/Doc",PROD!AE614/PROD!P614*1.2,IF(PROD!$P616&gt;0,PROD!AE614/(PROD!P614*PROD!$P616)*100,0))),0)</f>
        <v>0</v>
      </c>
      <c r="AJ614" s="1266">
        <f t="shared" si="351"/>
        <v>0</v>
      </c>
      <c r="AK614" s="2026"/>
      <c r="AL614" s="1284">
        <f t="shared" si="332"/>
        <v>0</v>
      </c>
      <c r="AM614" s="1285"/>
      <c r="AN614" s="1285"/>
      <c r="AO614" s="1285"/>
      <c r="AP614" s="1285"/>
      <c r="AQ614" s="1285"/>
      <c r="AR614" s="1285"/>
      <c r="AS614" s="1286"/>
      <c r="AT614" s="1287"/>
      <c r="AU614" s="1288"/>
      <c r="AV614" s="1289"/>
      <c r="AW614" s="1290"/>
      <c r="AX614" s="1291"/>
      <c r="AY614" s="1291"/>
      <c r="AZ614" s="1292"/>
      <c r="BA614" s="1293"/>
      <c r="BB614" s="1294"/>
      <c r="BC614" s="1295"/>
      <c r="BD614" s="1296">
        <f>BD613+PROD!L614-BA614</f>
        <v>0</v>
      </c>
      <c r="BE614" s="2132">
        <f>IF(SUM(AM614:AZ620)&gt;0,(SUM(AM614:AM620)*$AM$2+SUM(AN614:AN620)*$AN$2+SUM(AO614:AO620)*$AO$2+SUM(AP614:AP620)*$AP$2+SUM(AQ614:AQ620)*$AQ$2+SUM(AR614:AR620)*$AR$2+SUM(AS614:AS620)*$AS$2+SUM(AW614:AW620)*$AW$2+SUM(AX614:AX620)*$AX$2+SUM(AY614:AY620)*$AY$2+SUM(AZ614:AZ620)*$AZ$2+SUM(AT614:AT620)*$AT$2+SUM(AU614:AU620)*$AU$2+SUM(AV614:AV620)*$AV$2)/SUM(AM614:AZ620),0)</f>
        <v>0</v>
      </c>
      <c r="BF614" s="507" t="e">
        <f t="shared" si="333"/>
        <v>#VALUE!</v>
      </c>
      <c r="BG614" s="277">
        <f>IF(SUM(L614:L620)&gt;0,A614,IF(SUM(V614:V620)&gt;0,A614,BG607))</f>
        <v>0</v>
      </c>
      <c r="BH614" s="1018">
        <f t="shared" si="334"/>
        <v>0</v>
      </c>
    </row>
    <row r="615" spans="1:60" ht="15" customHeight="1" x14ac:dyDescent="0.3">
      <c r="A615" s="2033"/>
      <c r="B615" s="287" t="str">
        <f t="shared" si="335"/>
        <v/>
      </c>
      <c r="C615" s="288" t="str">
        <f t="shared" si="330"/>
        <v/>
      </c>
      <c r="D615" s="691"/>
      <c r="E615" s="692"/>
      <c r="F615" s="693"/>
      <c r="G615" s="694"/>
      <c r="H615" s="695"/>
      <c r="I615" s="289">
        <f>I614-SUM($D615:F615)</f>
        <v>0</v>
      </c>
      <c r="J615" s="1234" t="str">
        <f>$J$6</f>
        <v>% Sel Sem :</v>
      </c>
      <c r="K615" s="1231">
        <f>IF(PROD!$K$2&gt;0,SUM(E614:E620)/PROD!$K$2,0)</f>
        <v>0</v>
      </c>
      <c r="L615" s="1246"/>
      <c r="M615" s="291">
        <f t="shared" si="352"/>
        <v>0</v>
      </c>
      <c r="N615" s="292" t="str">
        <f>$N$6</f>
        <v xml:space="preserve">H. Ave Alojada : </v>
      </c>
      <c r="O615" s="293">
        <f>IF(AND(PROD!$K$2&gt;0,O614&gt;0),SUM(L$5:L620)/PROD!$K$2,0)</f>
        <v>0</v>
      </c>
      <c r="P615" s="293">
        <f>IFERROR(LOOKUP($A614,TP!$A$6:$A$108,GSh!$AJ$6:$AJ$108),0)</f>
        <v>0</v>
      </c>
      <c r="Q615" s="294">
        <f>IF(AND(P615&gt;0,O615&gt;0),O615-P615,0)</f>
        <v>0</v>
      </c>
      <c r="R615" s="699"/>
      <c r="S615" s="762"/>
      <c r="T615" s="765">
        <f t="shared" si="341"/>
        <v>0</v>
      </c>
      <c r="U615" s="700"/>
      <c r="V615" s="701"/>
      <c r="W615" s="701"/>
      <c r="X615" s="295">
        <f t="shared" si="336"/>
        <v>0</v>
      </c>
      <c r="Y615" s="296">
        <f>IF(AA615&gt;0,V615,AE614/IF(Iniciar!$C$25="B X 40 K",40,IF(Iniciar!$C$25="B X 50 K",50,1))*I615/1000)</f>
        <v>0</v>
      </c>
      <c r="Z615" s="296">
        <f t="shared" si="337"/>
        <v>0</v>
      </c>
      <c r="AA615" s="297">
        <f t="shared" si="353"/>
        <v>0</v>
      </c>
      <c r="AB615" s="297">
        <f t="shared" si="331"/>
        <v>0</v>
      </c>
      <c r="AC615" s="1267" t="str">
        <f>$AC$6</f>
        <v>Gr. Ave Sem :</v>
      </c>
      <c r="AD615" s="284">
        <f>AD614*7</f>
        <v>0</v>
      </c>
      <c r="AE615" s="284">
        <f>AE614*7</f>
        <v>0</v>
      </c>
      <c r="AF615" s="285">
        <f>IF(AND(AE615&gt;0,AD615&gt;0),(AD615/AE615-1)*100,0)</f>
        <v>0</v>
      </c>
      <c r="AG615" s="1199" t="str">
        <f>PROD!$AG$6</f>
        <v>Gr X H Acm</v>
      </c>
      <c r="AH615" s="298">
        <f>IF(SUM(PROD!L614:L620)&gt;0,IF(PROD!$AG$5="Gr X H",SUM(PROD!V$5:V620)*PROD!$A$1/SUM(PROD!L$5:L620),IF($AG614="Conv Kg/Doc",(SUM(PROD!V$5:V620)*PROD!$A$1/1000)/(SUM(PROD!L$5:L620)/12),IF(PROD!$O616&gt;0,SUM(PROD!V$5:V620)*PROD!$A$1/(SUM(PROD!L$5:L620)*LOOKUP(PROD!A614,TP!$A$6:$A$108,GSh!$BB$6:$BB$108)),0))),0)</f>
        <v>0</v>
      </c>
      <c r="AI615" s="298">
        <f>IF(PROD!P614&gt;0,IF($AG614="Gr X H",PROD!AE614/PROD!P614*100,IF($AG614="Conv Kg/Doc",PROD!AE614/PROD!P614*1.2,IF(PROD!$P615&gt;0,PROD!AE616/(PROD!P615*LOOKUP(PROD!$A614,TP!$A$6:$A$108,GSh!$BC$6:$BC$108)/1000),0))),0)</f>
        <v>0</v>
      </c>
      <c r="AJ615" s="328">
        <f t="shared" si="351"/>
        <v>0</v>
      </c>
      <c r="AK615" s="2027"/>
      <c r="AL615" s="1284">
        <f t="shared" si="332"/>
        <v>0</v>
      </c>
      <c r="AM615" s="1285"/>
      <c r="AN615" s="1285"/>
      <c r="AO615" s="1285"/>
      <c r="AP615" s="1285"/>
      <c r="AQ615" s="1285"/>
      <c r="AR615" s="1285"/>
      <c r="AS615" s="1286"/>
      <c r="AT615" s="1287"/>
      <c r="AU615" s="1288"/>
      <c r="AV615" s="1289"/>
      <c r="AW615" s="1290"/>
      <c r="AX615" s="1291"/>
      <c r="AY615" s="1291"/>
      <c r="AZ615" s="1292"/>
      <c r="BA615" s="1293"/>
      <c r="BB615" s="1294"/>
      <c r="BC615" s="1295"/>
      <c r="BD615" s="1296">
        <f>BD614+PROD!L615-BA615</f>
        <v>0</v>
      </c>
      <c r="BE615" s="2133"/>
      <c r="BF615" s="507" t="e">
        <f t="shared" si="333"/>
        <v>#VALUE!</v>
      </c>
      <c r="BG615" s="329"/>
      <c r="BH615" s="1018">
        <f t="shared" si="334"/>
        <v>0</v>
      </c>
    </row>
    <row r="616" spans="1:60" ht="15" customHeight="1" x14ac:dyDescent="0.3">
      <c r="A616" s="2033"/>
      <c r="B616" s="287" t="str">
        <f t="shared" si="335"/>
        <v/>
      </c>
      <c r="C616" s="288" t="str">
        <f t="shared" si="330"/>
        <v/>
      </c>
      <c r="D616" s="691"/>
      <c r="E616" s="692"/>
      <c r="F616" s="693"/>
      <c r="G616" s="694"/>
      <c r="H616" s="695"/>
      <c r="I616" s="289">
        <f>I615-SUM($D616:F616)</f>
        <v>0</v>
      </c>
      <c r="J616" s="1235" t="str">
        <f>$J$7</f>
        <v>% Mort/Sel Sem Tab :</v>
      </c>
      <c r="K616" s="1236">
        <f>K619-K612</f>
        <v>0</v>
      </c>
      <c r="L616" s="1246"/>
      <c r="M616" s="291">
        <f t="shared" si="352"/>
        <v>0</v>
      </c>
      <c r="N616" s="304" t="str">
        <f>$N$7</f>
        <v xml:space="preserve">Peso Huevo (Gr) : </v>
      </c>
      <c r="O616" s="305">
        <f>LOOKUP($A614,'Pr-Sem'!$A$6:$A$108,'Pr-Sem'!$Z$6:$Z$108)</f>
        <v>0</v>
      </c>
      <c r="P616" s="305">
        <f>IFERROR(LOOKUP($A614,TP!$A$6:$A$108,GSh!$AZ$6:$AZ$108),0)</f>
        <v>0</v>
      </c>
      <c r="Q616" s="306">
        <f>IF(AND(P616&gt;0,O616&gt;0),O616-P616,0)</f>
        <v>0</v>
      </c>
      <c r="R616" s="699"/>
      <c r="S616" s="762"/>
      <c r="T616" s="765">
        <f t="shared" si="341"/>
        <v>0</v>
      </c>
      <c r="U616" s="700"/>
      <c r="V616" s="701"/>
      <c r="W616" s="701"/>
      <c r="X616" s="295">
        <f t="shared" si="336"/>
        <v>0</v>
      </c>
      <c r="Y616" s="296">
        <f>IF(AA616&gt;0,V616,AE614/IF(Iniciar!$C$25="B X 40 K",40,IF(Iniciar!$C$25="B X 50 K",50,1))*I616/1000)</f>
        <v>0</v>
      </c>
      <c r="Z616" s="296">
        <f t="shared" si="337"/>
        <v>0</v>
      </c>
      <c r="AA616" s="297">
        <f t="shared" si="353"/>
        <v>0</v>
      </c>
      <c r="AB616" s="297">
        <f t="shared" si="331"/>
        <v>0</v>
      </c>
      <c r="AC616" s="1268" t="str">
        <f>$AC$7</f>
        <v>Kg Ave Acu :</v>
      </c>
      <c r="AD616" s="308">
        <f>IF(OR(SUM(L614:L620)&gt;0,SUM(V614:V620)&gt;0),AD615/1000+AD609,0)</f>
        <v>0</v>
      </c>
      <c r="AE616" s="309">
        <f>AE615/1000+AE609</f>
        <v>0</v>
      </c>
      <c r="AF616" s="310">
        <f>IF(AND(AE616&gt;0,AD616&gt;0),(AD616/AE616-1)*100,0)</f>
        <v>0</v>
      </c>
      <c r="AG616" s="311" t="str">
        <f>PROD!$AG$7</f>
        <v xml:space="preserve">Masa Sem H (Gr) : </v>
      </c>
      <c r="AH616" s="312">
        <f>PROD!O614/100*7*PROD!O616</f>
        <v>0</v>
      </c>
      <c r="AI616" s="312">
        <f>PROD!P614/100*7*PROD!P616</f>
        <v>0</v>
      </c>
      <c r="AJ616" s="313">
        <f t="shared" si="351"/>
        <v>0</v>
      </c>
      <c r="AK616" s="2027"/>
      <c r="AL616" s="1284">
        <f t="shared" si="332"/>
        <v>0</v>
      </c>
      <c r="AM616" s="1285"/>
      <c r="AN616" s="1285"/>
      <c r="AO616" s="1285"/>
      <c r="AP616" s="1285"/>
      <c r="AQ616" s="1285"/>
      <c r="AR616" s="1285"/>
      <c r="AS616" s="1286"/>
      <c r="AT616" s="1287"/>
      <c r="AU616" s="1288"/>
      <c r="AV616" s="1289"/>
      <c r="AW616" s="1290"/>
      <c r="AX616" s="1291"/>
      <c r="AY616" s="1291"/>
      <c r="AZ616" s="1292"/>
      <c r="BA616" s="1293"/>
      <c r="BB616" s="1294"/>
      <c r="BC616" s="1295"/>
      <c r="BD616" s="1296">
        <f>BD615+PROD!L616-BA616</f>
        <v>0</v>
      </c>
      <c r="BE616" s="2133"/>
      <c r="BF616" s="507" t="e">
        <f t="shared" si="333"/>
        <v>#VALUE!</v>
      </c>
      <c r="BG616" s="329"/>
      <c r="BH616" s="1018">
        <f t="shared" si="334"/>
        <v>0</v>
      </c>
    </row>
    <row r="617" spans="1:60" ht="15" customHeight="1" x14ac:dyDescent="0.3">
      <c r="A617" s="2033"/>
      <c r="B617" s="287" t="str">
        <f t="shared" si="335"/>
        <v/>
      </c>
      <c r="C617" s="288" t="str">
        <f t="shared" si="330"/>
        <v/>
      </c>
      <c r="D617" s="691"/>
      <c r="E617" s="692"/>
      <c r="F617" s="693"/>
      <c r="G617" s="694"/>
      <c r="H617" s="695"/>
      <c r="I617" s="289">
        <f>I616-SUM($D617:F617)</f>
        <v>0</v>
      </c>
      <c r="J617" s="1234" t="str">
        <f>$J$8</f>
        <v>% Mort Acm :</v>
      </c>
      <c r="K617" s="1231">
        <f>IF(PROD!$K$2&gt;0,SUM(D$5:D620)/PROD!$K$2,0)</f>
        <v>0</v>
      </c>
      <c r="L617" s="1246"/>
      <c r="M617" s="291">
        <f t="shared" si="352"/>
        <v>0</v>
      </c>
      <c r="N617" s="314" t="str">
        <f>N$8</f>
        <v xml:space="preserve">Peso Ave (Gr) : </v>
      </c>
      <c r="O617" s="315">
        <f>LOOKUP($A614,GSh!$BV$6:$BV$108,GSh!$BJ$6:$BJ$108)</f>
        <v>0</v>
      </c>
      <c r="P617" s="315">
        <f>IFERROR(LOOKUP($A614,TP!$A$6:$A$108,GSh!$BK$6:$BK$108),0)</f>
        <v>0</v>
      </c>
      <c r="Q617" s="316">
        <f>IF(AND(P617&gt;0,O617&gt;0),(O617/P617-1)*100,0)</f>
        <v>0</v>
      </c>
      <c r="R617" s="699"/>
      <c r="S617" s="762"/>
      <c r="T617" s="765">
        <f t="shared" si="341"/>
        <v>0</v>
      </c>
      <c r="U617" s="700"/>
      <c r="V617" s="701"/>
      <c r="W617" s="701"/>
      <c r="X617" s="295">
        <f t="shared" si="336"/>
        <v>0</v>
      </c>
      <c r="Y617" s="296">
        <f>IF(AA617&gt;0,V617,AE614/IF(Iniciar!$C$25="B X 40 K",40,IF(Iniciar!$C$25="B X 50 K",50,1))*I617/1000)</f>
        <v>0</v>
      </c>
      <c r="Z617" s="296">
        <f t="shared" si="337"/>
        <v>0</v>
      </c>
      <c r="AA617" s="297">
        <f t="shared" si="353"/>
        <v>0</v>
      </c>
      <c r="AB617" s="297">
        <f t="shared" si="331"/>
        <v>0</v>
      </c>
      <c r="AC617" s="541" t="str">
        <f>$AC$8</f>
        <v xml:space="preserve">Ton. Lote Acu : </v>
      </c>
      <c r="AD617" s="544">
        <f>SUM($V$5:$V620)*$A$1/1000000</f>
        <v>0</v>
      </c>
      <c r="AE617" s="543">
        <f>AE610+(AE614/1000000*7*(I614+I620)/2)</f>
        <v>0</v>
      </c>
      <c r="AF617" s="542">
        <f>IF(AND(AE617&gt;0,AD617&gt;0),(AD617/AE617-1)*100,0)</f>
        <v>0</v>
      </c>
      <c r="AG617" s="317" t="str">
        <f>PROD!$AG$8</f>
        <v xml:space="preserve">Masa Ac A. A (Kg) : </v>
      </c>
      <c r="AH617" s="318">
        <f>IF(PROD!$K$2&gt;0,SUM(PROD!L$5:L620)*LOOKUP(PROD!$A614,TP!$A$6:$A$108,GSh!$BB$6:$BB$108)/1000/PROD!$K$2,0)</f>
        <v>0</v>
      </c>
      <c r="AI617" s="318">
        <f>IFERROR(PROD!P615*LOOKUP(PROD!$A614,TP!$A$6:$A$108,GSh!$BC$6:$BC$108)/1000,0)</f>
        <v>0</v>
      </c>
      <c r="AJ617" s="330">
        <f t="shared" si="351"/>
        <v>0</v>
      </c>
      <c r="AK617" s="2027"/>
      <c r="AL617" s="1284">
        <f t="shared" si="332"/>
        <v>0</v>
      </c>
      <c r="AM617" s="1285"/>
      <c r="AN617" s="1285"/>
      <c r="AO617" s="1285"/>
      <c r="AP617" s="1285"/>
      <c r="AQ617" s="1285"/>
      <c r="AR617" s="1285"/>
      <c r="AS617" s="1286"/>
      <c r="AT617" s="1287"/>
      <c r="AU617" s="1288"/>
      <c r="AV617" s="1289"/>
      <c r="AW617" s="1290"/>
      <c r="AX617" s="1291"/>
      <c r="AY617" s="1291"/>
      <c r="AZ617" s="1292"/>
      <c r="BA617" s="1293"/>
      <c r="BB617" s="1294"/>
      <c r="BC617" s="1295"/>
      <c r="BD617" s="1296">
        <f>BD616+PROD!L617-BA617</f>
        <v>0</v>
      </c>
      <c r="BE617" s="2133"/>
      <c r="BF617" s="507" t="e">
        <f t="shared" si="333"/>
        <v>#VALUE!</v>
      </c>
      <c r="BG617" s="329"/>
      <c r="BH617" s="1018">
        <f t="shared" si="334"/>
        <v>0</v>
      </c>
    </row>
    <row r="618" spans="1:60" ht="15" customHeight="1" x14ac:dyDescent="0.3">
      <c r="A618" s="2033"/>
      <c r="B618" s="287" t="str">
        <f t="shared" si="335"/>
        <v/>
      </c>
      <c r="C618" s="288" t="str">
        <f t="shared" si="330"/>
        <v/>
      </c>
      <c r="D618" s="691"/>
      <c r="E618" s="692"/>
      <c r="F618" s="693"/>
      <c r="G618" s="694"/>
      <c r="H618" s="695"/>
      <c r="I618" s="289">
        <f>I617-SUM($D618:F618)</f>
        <v>0</v>
      </c>
      <c r="J618" s="1234" t="str">
        <f>$J$9</f>
        <v>% Sel Acm :</v>
      </c>
      <c r="K618" s="1231">
        <f>IF(PROD!$K$2&gt;0,SUM(E$5:E620)/PROD!$K$2,0)</f>
        <v>0</v>
      </c>
      <c r="L618" s="1246"/>
      <c r="M618" s="291">
        <f t="shared" si="352"/>
        <v>0</v>
      </c>
      <c r="N618" s="292" t="str">
        <f>$N$9</f>
        <v xml:space="preserve">Uniformidad (10% -) : </v>
      </c>
      <c r="O618" s="320">
        <f>LOOKUP($A614,'Pr-Sem'!$A$6:$A$108,'Pr-Sem'!$AH$6:$AH$108)</f>
        <v>0</v>
      </c>
      <c r="P618" s="320">
        <v>5</v>
      </c>
      <c r="Q618" s="321">
        <f>IF(AND(P618&gt;0,O618&gt;0),(1-O618/P618)*100,0)</f>
        <v>0</v>
      </c>
      <c r="R618" s="699"/>
      <c r="S618" s="762"/>
      <c r="T618" s="765">
        <f t="shared" si="341"/>
        <v>0</v>
      </c>
      <c r="U618" s="700"/>
      <c r="V618" s="701"/>
      <c r="W618" s="701"/>
      <c r="X618" s="295">
        <f t="shared" si="336"/>
        <v>0</v>
      </c>
      <c r="Y618" s="296">
        <f>IF(AA618&gt;0,V618,AE614/IF(Iniciar!$C$25="B X 40 K",40,IF(Iniciar!$C$25="B X 50 K",50,1))*I618/1000)</f>
        <v>0</v>
      </c>
      <c r="Z618" s="296">
        <f t="shared" si="337"/>
        <v>0</v>
      </c>
      <c r="AA618" s="297">
        <f t="shared" si="353"/>
        <v>0</v>
      </c>
      <c r="AB618" s="297">
        <f t="shared" si="331"/>
        <v>0</v>
      </c>
      <c r="AC618" s="2035" t="str">
        <f>$AC$9</f>
        <v xml:space="preserve">Total Litros Sem: </v>
      </c>
      <c r="AD618" s="2036"/>
      <c r="AE618" s="2050">
        <f>SUM(R614:R620)</f>
        <v>0</v>
      </c>
      <c r="AF618" s="2051"/>
      <c r="AG618" s="554" t="str">
        <f>$AG$9</f>
        <v xml:space="preserve">Indicador Eficiencia : </v>
      </c>
      <c r="AH618" s="555">
        <f>IF(AND(AE618&gt;0,O615&gt;0,O616&gt;0,SUM(L614:L620)&gt;0),(PROD!AH617/O615)*K620*100/(AE618/(SUM(L614:L620)*O616/1000)),0)</f>
        <v>0</v>
      </c>
      <c r="AI618" s="555">
        <f>IF(AND(P615&gt;0,PROD!AI616&gt;0),(PROD!AI617/P615)*(1-K619)*100/(AE615/PROD!AI616),0)</f>
        <v>0</v>
      </c>
      <c r="AJ618" s="331">
        <f t="shared" si="351"/>
        <v>0</v>
      </c>
      <c r="AK618" s="2027"/>
      <c r="AL618" s="1284">
        <f t="shared" si="332"/>
        <v>0</v>
      </c>
      <c r="AM618" s="1285"/>
      <c r="AN618" s="1285"/>
      <c r="AO618" s="1285"/>
      <c r="AP618" s="1285"/>
      <c r="AQ618" s="1285"/>
      <c r="AR618" s="1285"/>
      <c r="AS618" s="1286"/>
      <c r="AT618" s="1287"/>
      <c r="AU618" s="1288"/>
      <c r="AV618" s="1289"/>
      <c r="AW618" s="1290"/>
      <c r="AX618" s="1291"/>
      <c r="AY618" s="1291"/>
      <c r="AZ618" s="1292"/>
      <c r="BA618" s="1293"/>
      <c r="BB618" s="1294"/>
      <c r="BC618" s="1295"/>
      <c r="BD618" s="1296">
        <f>BD617+PROD!L618-BA618</f>
        <v>0</v>
      </c>
      <c r="BE618" s="2133"/>
      <c r="BF618" s="507" t="e">
        <f t="shared" si="333"/>
        <v>#VALUE!</v>
      </c>
      <c r="BG618" s="329"/>
      <c r="BH618" s="1018">
        <f t="shared" si="334"/>
        <v>0</v>
      </c>
    </row>
    <row r="619" spans="1:60" ht="15" customHeight="1" x14ac:dyDescent="0.3">
      <c r="A619" s="2033"/>
      <c r="B619" s="287" t="str">
        <f t="shared" si="335"/>
        <v/>
      </c>
      <c r="C619" s="288" t="str">
        <f t="shared" si="330"/>
        <v/>
      </c>
      <c r="D619" s="691"/>
      <c r="E619" s="692"/>
      <c r="F619" s="693"/>
      <c r="G619" s="694"/>
      <c r="H619" s="695"/>
      <c r="I619" s="289">
        <f>I618-SUM($D619:F619)</f>
        <v>0</v>
      </c>
      <c r="J619" s="1237" t="str">
        <f>$J$10</f>
        <v>% Mort/Sel Acm Tab :</v>
      </c>
      <c r="K619" s="1238">
        <f>IFERROR(LOOKUP($A614,TP!$A$6:$A$108,GSh!$AR$6:$AR$108)/100,0)</f>
        <v>0</v>
      </c>
      <c r="L619" s="1246"/>
      <c r="M619" s="291">
        <f t="shared" si="352"/>
        <v>0</v>
      </c>
      <c r="N619" s="292" t="str">
        <f>$N$10</f>
        <v xml:space="preserve">Uniformidad (C. Lote) : </v>
      </c>
      <c r="O619" s="320">
        <f>LOOKUP($A614,'Pr-Sem'!$A$6:$A$108,'Pr-Sem'!$AG$6:$AG$108)</f>
        <v>0</v>
      </c>
      <c r="P619" s="320">
        <v>90</v>
      </c>
      <c r="Q619" s="321">
        <f>IF(AND(P619&gt;0,O619&gt;0),(O619/P619-1)*100,0)</f>
        <v>0</v>
      </c>
      <c r="R619" s="699"/>
      <c r="S619" s="762"/>
      <c r="T619" s="765">
        <f t="shared" si="341"/>
        <v>0</v>
      </c>
      <c r="U619" s="700"/>
      <c r="V619" s="701"/>
      <c r="W619" s="701"/>
      <c r="X619" s="295">
        <f t="shared" si="336"/>
        <v>0</v>
      </c>
      <c r="Y619" s="296">
        <f>IF(AA619&gt;0,V619,AE614/IF(Iniciar!$C$25="B X 40 K",40,IF(Iniciar!$C$25="B X 50 K",50,1))*I619/1000)</f>
        <v>0</v>
      </c>
      <c r="Z619" s="296">
        <f t="shared" si="337"/>
        <v>0</v>
      </c>
      <c r="AA619" s="297">
        <f t="shared" si="353"/>
        <v>0</v>
      </c>
      <c r="AB619" s="297">
        <f t="shared" si="331"/>
        <v>0</v>
      </c>
      <c r="AC619" s="2037" t="str">
        <f>$AC$10</f>
        <v xml:space="preserve">Cons ml /ave día: </v>
      </c>
      <c r="AD619" s="2038"/>
      <c r="AE619" s="2056">
        <f>IFERROR(SUMPRODUCT(AB614:AB620,I614:I620)/SUM(I614:I620),0)</f>
        <v>0</v>
      </c>
      <c r="AF619" s="2057"/>
      <c r="AG619" s="311" t="str">
        <f>CONCATENATE("Costo ",Iniciar!$C$25," : ")</f>
        <v xml:space="preserve">Costo Kilos : </v>
      </c>
      <c r="AH619" s="2043">
        <f>IFERROR(SUMPRODUCT(T614:T620,V614:V620)/SUMIF(T614:T620,"&gt;0",V614:V620),0)</f>
        <v>0</v>
      </c>
      <c r="AI619" s="2043"/>
      <c r="AJ619" s="313"/>
      <c r="AK619" s="2027"/>
      <c r="AL619" s="1284">
        <f t="shared" si="332"/>
        <v>0</v>
      </c>
      <c r="AM619" s="1285"/>
      <c r="AN619" s="1285"/>
      <c r="AO619" s="1285"/>
      <c r="AP619" s="1285"/>
      <c r="AQ619" s="1285"/>
      <c r="AR619" s="1285"/>
      <c r="AS619" s="1286"/>
      <c r="AT619" s="1287"/>
      <c r="AU619" s="1288"/>
      <c r="AV619" s="1289"/>
      <c r="AW619" s="1290"/>
      <c r="AX619" s="1291"/>
      <c r="AY619" s="1291"/>
      <c r="AZ619" s="1292"/>
      <c r="BA619" s="1293"/>
      <c r="BB619" s="1294"/>
      <c r="BC619" s="1295"/>
      <c r="BD619" s="1296">
        <f>BD618+PROD!L619-BA619</f>
        <v>0</v>
      </c>
      <c r="BE619" s="2133"/>
      <c r="BF619" s="507" t="e">
        <f t="shared" si="333"/>
        <v>#VALUE!</v>
      </c>
      <c r="BG619" s="329"/>
      <c r="BH619" s="1018">
        <f t="shared" si="334"/>
        <v>0</v>
      </c>
    </row>
    <row r="620" spans="1:60" ht="15" customHeight="1" x14ac:dyDescent="0.3">
      <c r="A620" s="2034"/>
      <c r="B620" s="287" t="str">
        <f t="shared" si="335"/>
        <v/>
      </c>
      <c r="C620" s="288" t="str">
        <f t="shared" si="330"/>
        <v/>
      </c>
      <c r="D620" s="691"/>
      <c r="E620" s="692"/>
      <c r="F620" s="693"/>
      <c r="G620" s="694"/>
      <c r="H620" s="695"/>
      <c r="I620" s="289">
        <f>I619-SUM($D620:F620)</f>
        <v>0</v>
      </c>
      <c r="J620" s="1239" t="str">
        <f>$J$11</f>
        <v>% Viabilidad :</v>
      </c>
      <c r="K620" s="1240">
        <f>IF(OR(SUM(L614:L620)&gt;0,SUM(V614:V620)&gt;0),1-(K617+K618),0)</f>
        <v>0</v>
      </c>
      <c r="L620" s="1247"/>
      <c r="M620" s="1248">
        <f>IF(I620&gt;0,(L620/IF(SUM(L614:L619)&gt;0,1,7))/I620,0)</f>
        <v>0</v>
      </c>
      <c r="N620" s="1249" t="str">
        <f>$N$11</f>
        <v xml:space="preserve">Uniformidad (10% +) : </v>
      </c>
      <c r="O620" s="1250">
        <f>IF(O618&gt;0,IF(O619&gt;0,100-SUM(O618:O619),0),0)</f>
        <v>0</v>
      </c>
      <c r="P620" s="1251">
        <f>100-SUM(P618:P619)</f>
        <v>5</v>
      </c>
      <c r="Q620" s="1252">
        <f>IF(AND(P620&gt;0,O620&gt;0),(O620/P620-1)*100,0)</f>
        <v>0</v>
      </c>
      <c r="R620" s="699"/>
      <c r="S620" s="762"/>
      <c r="T620" s="765">
        <f t="shared" si="341"/>
        <v>0</v>
      </c>
      <c r="U620" s="700"/>
      <c r="V620" s="701"/>
      <c r="W620" s="701"/>
      <c r="X620" s="295">
        <f t="shared" si="336"/>
        <v>0</v>
      </c>
      <c r="Y620" s="296">
        <f>IF(AA620&gt;0,V620,AE614/IF(Iniciar!$C$25="B X 40 K",40,IF(Iniciar!$C$25="B X 50 K",50,1))*I620/1000)</f>
        <v>0</v>
      </c>
      <c r="Z620" s="296">
        <f t="shared" si="337"/>
        <v>0</v>
      </c>
      <c r="AA620" s="297">
        <f>IF(I620&gt;0,(V620/IF(SUM(V614:V619)&gt;0,1,7))*$A$1/I620,0)</f>
        <v>0</v>
      </c>
      <c r="AB620" s="297">
        <f t="shared" si="331"/>
        <v>0</v>
      </c>
      <c r="AC620" s="2039" t="str">
        <f>$AC$11</f>
        <v xml:space="preserve">Relación Agua /Alimto: </v>
      </c>
      <c r="AD620" s="2040"/>
      <c r="AE620" s="2058">
        <f>IFERROR(AE619/AD614,0)</f>
        <v>0</v>
      </c>
      <c r="AF620" s="2059"/>
      <c r="AG620" s="1269" t="s">
        <v>237</v>
      </c>
      <c r="AH620" s="1270">
        <f>IF(SUM(L614:L620)&gt;0,AH619*SUM(V614:V620)/SUM(L614:L620),0)</f>
        <v>0</v>
      </c>
      <c r="AI620" s="1270">
        <f>IF(AND($A$1&gt;0,P614&gt;0),AH619/$A$1*(AE614/P614)*100,0)</f>
        <v>0</v>
      </c>
      <c r="AJ620" s="1271">
        <f t="shared" ref="AJ620:AJ625" si="354">IF(AND(AI620&gt;0,AH620&gt;0),(AH620/AI620-1)*100,0)</f>
        <v>0</v>
      </c>
      <c r="AK620" s="2028"/>
      <c r="AL620" s="1284">
        <f t="shared" si="332"/>
        <v>0</v>
      </c>
      <c r="AM620" s="1285"/>
      <c r="AN620" s="1285"/>
      <c r="AO620" s="1285"/>
      <c r="AP620" s="1285"/>
      <c r="AQ620" s="1285"/>
      <c r="AR620" s="1285"/>
      <c r="AS620" s="1286"/>
      <c r="AT620" s="1287"/>
      <c r="AU620" s="1288"/>
      <c r="AV620" s="1289"/>
      <c r="AW620" s="1290"/>
      <c r="AX620" s="1291"/>
      <c r="AY620" s="1291"/>
      <c r="AZ620" s="1292"/>
      <c r="BA620" s="1293"/>
      <c r="BB620" s="1294"/>
      <c r="BC620" s="1295"/>
      <c r="BD620" s="1296">
        <f>BD619+PROD!L620-BA620</f>
        <v>0</v>
      </c>
      <c r="BE620" s="2134"/>
      <c r="BF620" s="507" t="e">
        <f t="shared" si="333"/>
        <v>#VALUE!</v>
      </c>
      <c r="BG620" s="329"/>
      <c r="BH620" s="1018">
        <f t="shared" si="334"/>
        <v>0</v>
      </c>
    </row>
    <row r="621" spans="1:60" ht="15" customHeight="1" x14ac:dyDescent="0.3">
      <c r="A621" s="2032">
        <f>A614+1</f>
        <v>106</v>
      </c>
      <c r="B621" s="287" t="str">
        <f t="shared" si="335"/>
        <v/>
      </c>
      <c r="C621" s="288" t="str">
        <f t="shared" si="330"/>
        <v/>
      </c>
      <c r="D621" s="691"/>
      <c r="E621" s="692"/>
      <c r="F621" s="693"/>
      <c r="G621" s="694"/>
      <c r="H621" s="695"/>
      <c r="I621" s="289">
        <f>I620-SUM($D621:F621)</f>
        <v>0</v>
      </c>
      <c r="J621" s="1232" t="str">
        <f>$J$5</f>
        <v>% Mort Sem :</v>
      </c>
      <c r="K621" s="1233">
        <f>IF(PROD!$K$2&gt;0,SUM(D621:D627)/PROD!$K$2,0)</f>
        <v>0</v>
      </c>
      <c r="L621" s="1241"/>
      <c r="M621" s="1242">
        <f t="shared" ref="M621:M626" si="355">IF(I621&gt;0,L621/I621,0)</f>
        <v>0</v>
      </c>
      <c r="N621" s="1243" t="str">
        <f>$N$5</f>
        <v xml:space="preserve">% Pdn prom semana : </v>
      </c>
      <c r="O621" s="1244">
        <f>IF(SUM(L621:L626)&gt;0,100*SUMPRODUCT(M621:M627,I621:I627)/SUMIF(L621:L627,"&gt;0",I621:I627),IF(L627&gt;0,100*L627/7/I627,0))</f>
        <v>0</v>
      </c>
      <c r="P621" s="1244">
        <f>IFERROR(LOOKUP($A621,TP!$A$6:$A$108,GSh!$AE$6:$AE$108),0)</f>
        <v>0</v>
      </c>
      <c r="Q621" s="1245">
        <f>IF(AND(P621&gt;0,O621&gt;0),O621-P621,0)</f>
        <v>0</v>
      </c>
      <c r="R621" s="699"/>
      <c r="S621" s="762"/>
      <c r="T621" s="765">
        <f t="shared" si="341"/>
        <v>0</v>
      </c>
      <c r="U621" s="700"/>
      <c r="V621" s="701"/>
      <c r="W621" s="701"/>
      <c r="X621" s="295">
        <f t="shared" si="336"/>
        <v>0</v>
      </c>
      <c r="Y621" s="296">
        <f>IF(AA621&gt;0,V621,AE621/IF(Iniciar!$C$25="B X 40 K",40,IF(Iniciar!$C$25="B X 50 K",50,1))*I621/1000)</f>
        <v>0</v>
      </c>
      <c r="Z621" s="296">
        <f t="shared" si="337"/>
        <v>0</v>
      </c>
      <c r="AA621" s="297">
        <f t="shared" ref="AA621:AA626" si="356">IF(I621&gt;0,V621*$A$1/I621,0)</f>
        <v>0</v>
      </c>
      <c r="AB621" s="297">
        <f t="shared" si="331"/>
        <v>0</v>
      </c>
      <c r="AC621" s="1261" t="str">
        <f>$AC$5</f>
        <v>Gr. Ave Dia :</v>
      </c>
      <c r="AD621" s="1262">
        <f>IF(SUMIF(V621:V627,"&gt;0")&gt;0,SUMPRODUCT(AA621:AA627,I621:I627)/SUMIF(AA621:AA627,"&gt;0",I621:I627),0)</f>
        <v>0</v>
      </c>
      <c r="AE621" s="1262">
        <f>IFERROR(LOOKUP($A621,TP!$A$6:$A$108,GSh!$AU$6:$AU$108),0)</f>
        <v>0</v>
      </c>
      <c r="AF621" s="1263">
        <f>IF(AND(AE621&gt;0,AD621&gt;0),(AD621/AE621-1)*100,0)</f>
        <v>0</v>
      </c>
      <c r="AG621" s="1264" t="str">
        <f>PROD!$AG$5</f>
        <v>Gr X H</v>
      </c>
      <c r="AH621" s="1265">
        <f>IF(PROD!O621&gt;0,IF($AG621="Gr X H",PROD!AD621/PROD!O621*100,IF($AG621="Conv Kg/Doc",PROD!AD621/PROD!O621*1.2,IF(PROD!$O623&gt;0,PROD!AD621/(PROD!O621*PROD!$O623)*100,0))),0)</f>
        <v>0</v>
      </c>
      <c r="AI621" s="1265">
        <f>IF(PROD!P621&gt;0,IF($AG621="Gr X H",PROD!AE621/PROD!P621*100,IF($AG621="Conv Kg/Doc",PROD!AE621/PROD!P621*1.2,IF(PROD!$P623&gt;0,PROD!AE621/(PROD!P621*PROD!$P623)*100,0))),0)</f>
        <v>0</v>
      </c>
      <c r="AJ621" s="1266">
        <f t="shared" si="354"/>
        <v>0</v>
      </c>
      <c r="AK621" s="2026"/>
      <c r="AL621" s="1284">
        <f t="shared" si="332"/>
        <v>0</v>
      </c>
      <c r="AM621" s="1285"/>
      <c r="AN621" s="1285"/>
      <c r="AO621" s="1285"/>
      <c r="AP621" s="1285"/>
      <c r="AQ621" s="1285"/>
      <c r="AR621" s="1285"/>
      <c r="AS621" s="1286"/>
      <c r="AT621" s="1287"/>
      <c r="AU621" s="1288"/>
      <c r="AV621" s="1289"/>
      <c r="AW621" s="1290"/>
      <c r="AX621" s="1291"/>
      <c r="AY621" s="1291"/>
      <c r="AZ621" s="1292"/>
      <c r="BA621" s="1293"/>
      <c r="BB621" s="1294"/>
      <c r="BC621" s="1295"/>
      <c r="BD621" s="1296">
        <f>BD620+PROD!L621-BA621</f>
        <v>0</v>
      </c>
      <c r="BE621" s="2132">
        <f>IF(SUM(AM621:AZ627)&gt;0,(SUM(AM621:AM627)*$AM$2+SUM(AN621:AN627)*$AN$2+SUM(AO621:AO627)*$AO$2+SUM(AP621:AP627)*$AP$2+SUM(AQ621:AQ627)*$AQ$2+SUM(AR621:AR627)*$AR$2+SUM(AS621:AS627)*$AS$2+SUM(AW621:AW627)*$AW$2+SUM(AX621:AX627)*$AX$2+SUM(AY621:AY627)*$AY$2+SUM(AZ621:AZ627)*$AZ$2+SUM(AT621:AT627)*$AT$2+SUM(AU621:AU627)*$AU$2+SUM(AV621:AV627)*$AV$2)/SUM(AM621:AZ627),0)</f>
        <v>0</v>
      </c>
      <c r="BF621" s="507" t="e">
        <f t="shared" si="333"/>
        <v>#VALUE!</v>
      </c>
      <c r="BG621" s="277">
        <f>IF(SUM(L621:L627)&gt;0,A621,IF(SUM(V621:V627)&gt;0,A621,BG614))</f>
        <v>0</v>
      </c>
      <c r="BH621" s="1018">
        <f t="shared" si="334"/>
        <v>0</v>
      </c>
    </row>
    <row r="622" spans="1:60" ht="15" customHeight="1" x14ac:dyDescent="0.3">
      <c r="A622" s="2033"/>
      <c r="B622" s="287" t="str">
        <f t="shared" si="335"/>
        <v/>
      </c>
      <c r="C622" s="288" t="str">
        <f t="shared" si="330"/>
        <v/>
      </c>
      <c r="D622" s="691"/>
      <c r="E622" s="692"/>
      <c r="F622" s="693"/>
      <c r="G622" s="694"/>
      <c r="H622" s="695"/>
      <c r="I622" s="289">
        <f>I621-SUM($D622:F622)</f>
        <v>0</v>
      </c>
      <c r="J622" s="1234" t="str">
        <f>$J$6</f>
        <v>% Sel Sem :</v>
      </c>
      <c r="K622" s="1231">
        <f>IF(PROD!$K$2&gt;0,SUM(E621:E627)/PROD!$K$2,0)</f>
        <v>0</v>
      </c>
      <c r="L622" s="1246"/>
      <c r="M622" s="291">
        <f t="shared" si="355"/>
        <v>0</v>
      </c>
      <c r="N622" s="292" t="str">
        <f>$N$6</f>
        <v xml:space="preserve">H. Ave Alojada : </v>
      </c>
      <c r="O622" s="293">
        <f>IF(AND(PROD!$K$2&gt;0,O621&gt;0),SUM(L$5:L627)/PROD!$K$2,0)</f>
        <v>0</v>
      </c>
      <c r="P622" s="293">
        <f>IFERROR(LOOKUP($A621,TP!$A$6:$A$108,GSh!$AJ$6:$AJ$108),0)</f>
        <v>0</v>
      </c>
      <c r="Q622" s="294">
        <f>IF(AND(P622&gt;0,O622&gt;0),O622-P622,0)</f>
        <v>0</v>
      </c>
      <c r="R622" s="699"/>
      <c r="S622" s="762"/>
      <c r="T622" s="765">
        <f t="shared" si="341"/>
        <v>0</v>
      </c>
      <c r="U622" s="700"/>
      <c r="V622" s="701"/>
      <c r="W622" s="701"/>
      <c r="X622" s="295">
        <f t="shared" si="336"/>
        <v>0</v>
      </c>
      <c r="Y622" s="296">
        <f>IF(AA622&gt;0,V622,AE621/IF(Iniciar!$C$25="B X 40 K",40,IF(Iniciar!$C$25="B X 50 K",50,1))*I622/1000)</f>
        <v>0</v>
      </c>
      <c r="Z622" s="296">
        <f t="shared" si="337"/>
        <v>0</v>
      </c>
      <c r="AA622" s="297">
        <f t="shared" si="356"/>
        <v>0</v>
      </c>
      <c r="AB622" s="297">
        <f t="shared" si="331"/>
        <v>0</v>
      </c>
      <c r="AC622" s="1267" t="str">
        <f>$AC$6</f>
        <v>Gr. Ave Sem :</v>
      </c>
      <c r="AD622" s="284">
        <f>AD621*7</f>
        <v>0</v>
      </c>
      <c r="AE622" s="284">
        <f>AE621*7</f>
        <v>0</v>
      </c>
      <c r="AF622" s="285">
        <f>IF(AND(AE622&gt;0,AD622&gt;0),(AD622/AE622-1)*100,0)</f>
        <v>0</v>
      </c>
      <c r="AG622" s="1199" t="str">
        <f>PROD!$AG$6</f>
        <v>Gr X H Acm</v>
      </c>
      <c r="AH622" s="298">
        <f>IF(SUM(PROD!L621:L627)&gt;0,IF(PROD!$AG$5="Gr X H",SUM(PROD!V$5:V627)*PROD!$A$1/SUM(PROD!L$5:L627),IF($AG621="Conv Kg/Doc",(SUM(PROD!V$5:V627)*PROD!$A$1/1000)/(SUM(PROD!L$5:L627)/12),IF(PROD!$O623&gt;0,SUM(PROD!V$5:V627)*PROD!$A$1/(SUM(PROD!L$5:L627)*LOOKUP(PROD!A621,TP!$A$6:$A$108,GSh!$BB$6:$BB$108)),0))),0)</f>
        <v>0</v>
      </c>
      <c r="AI622" s="298">
        <f>IF(PROD!P621&gt;0,IF($AG621="Gr X H",PROD!AE621/PROD!P621*100,IF($AG621="Conv Kg/Doc",PROD!AE621/PROD!P621*1.2,IF(PROD!$P622&gt;0,PROD!AE623/(PROD!P622*LOOKUP(PROD!$A621,TP!$A$6:$A$108,GSh!$BC$6:$BC$108)/1000),0))),0)</f>
        <v>0</v>
      </c>
      <c r="AJ622" s="328">
        <f t="shared" si="354"/>
        <v>0</v>
      </c>
      <c r="AK622" s="2027"/>
      <c r="AL622" s="1284">
        <f t="shared" si="332"/>
        <v>0</v>
      </c>
      <c r="AM622" s="1285"/>
      <c r="AN622" s="1285"/>
      <c r="AO622" s="1285"/>
      <c r="AP622" s="1285"/>
      <c r="AQ622" s="1285"/>
      <c r="AR622" s="1285"/>
      <c r="AS622" s="1286"/>
      <c r="AT622" s="1287"/>
      <c r="AU622" s="1288"/>
      <c r="AV622" s="1289"/>
      <c r="AW622" s="1290"/>
      <c r="AX622" s="1291"/>
      <c r="AY622" s="1291"/>
      <c r="AZ622" s="1292"/>
      <c r="BA622" s="1293"/>
      <c r="BB622" s="1294"/>
      <c r="BC622" s="1295"/>
      <c r="BD622" s="1296">
        <f>BD621+PROD!L622-BA622</f>
        <v>0</v>
      </c>
      <c r="BE622" s="2133"/>
      <c r="BF622" s="507" t="e">
        <f t="shared" si="333"/>
        <v>#VALUE!</v>
      </c>
      <c r="BG622" s="329"/>
      <c r="BH622" s="1018">
        <f t="shared" si="334"/>
        <v>0</v>
      </c>
    </row>
    <row r="623" spans="1:60" ht="15" customHeight="1" x14ac:dyDescent="0.3">
      <c r="A623" s="2033"/>
      <c r="B623" s="287" t="str">
        <f t="shared" si="335"/>
        <v/>
      </c>
      <c r="C623" s="288" t="str">
        <f t="shared" si="330"/>
        <v/>
      </c>
      <c r="D623" s="691"/>
      <c r="E623" s="692"/>
      <c r="F623" s="693"/>
      <c r="G623" s="694"/>
      <c r="H623" s="695"/>
      <c r="I623" s="289">
        <f>I622-SUM($D623:F623)</f>
        <v>0</v>
      </c>
      <c r="J623" s="1235" t="str">
        <f>$J$7</f>
        <v>% Mort/Sel Sem Tab :</v>
      </c>
      <c r="K623" s="1236">
        <f>K626-K619</f>
        <v>0</v>
      </c>
      <c r="L623" s="1246"/>
      <c r="M623" s="291">
        <f t="shared" si="355"/>
        <v>0</v>
      </c>
      <c r="N623" s="304" t="str">
        <f>$N$7</f>
        <v xml:space="preserve">Peso Huevo (Gr) : </v>
      </c>
      <c r="O623" s="305">
        <f>LOOKUP($A621,'Pr-Sem'!$A$6:$A$108,'Pr-Sem'!$Z$6:$Z$108)</f>
        <v>0</v>
      </c>
      <c r="P623" s="305">
        <f>IFERROR(LOOKUP($A621,TP!$A$6:$A$108,GSh!$AZ$6:$AZ$108),0)</f>
        <v>0</v>
      </c>
      <c r="Q623" s="306">
        <f>IF(AND(P623&gt;0,O623&gt;0),O623-P623,0)</f>
        <v>0</v>
      </c>
      <c r="R623" s="699"/>
      <c r="S623" s="762"/>
      <c r="T623" s="765">
        <f t="shared" si="341"/>
        <v>0</v>
      </c>
      <c r="U623" s="700"/>
      <c r="V623" s="701"/>
      <c r="W623" s="701"/>
      <c r="X623" s="295">
        <f t="shared" si="336"/>
        <v>0</v>
      </c>
      <c r="Y623" s="296">
        <f>IF(AA623&gt;0,V623,AE621/IF(Iniciar!$C$25="B X 40 K",40,IF(Iniciar!$C$25="B X 50 K",50,1))*I623/1000)</f>
        <v>0</v>
      </c>
      <c r="Z623" s="296">
        <f t="shared" si="337"/>
        <v>0</v>
      </c>
      <c r="AA623" s="297">
        <f t="shared" si="356"/>
        <v>0</v>
      </c>
      <c r="AB623" s="297">
        <f t="shared" si="331"/>
        <v>0</v>
      </c>
      <c r="AC623" s="1268" t="str">
        <f>$AC$7</f>
        <v>Kg Ave Acu :</v>
      </c>
      <c r="AD623" s="308">
        <f>IF(OR(SUM(L621:L627)&gt;0,SUM(V621:V627)&gt;0),AD622/1000+AD616,0)</f>
        <v>0</v>
      </c>
      <c r="AE623" s="309">
        <f>AE622/1000+AE616</f>
        <v>0</v>
      </c>
      <c r="AF623" s="310">
        <f>IF(AND(AE623&gt;0,AD623&gt;0),(AD623/AE623-1)*100,0)</f>
        <v>0</v>
      </c>
      <c r="AG623" s="311" t="str">
        <f>PROD!$AG$7</f>
        <v xml:space="preserve">Masa Sem H (Gr) : </v>
      </c>
      <c r="AH623" s="312">
        <f>PROD!O621/100*7*PROD!O623</f>
        <v>0</v>
      </c>
      <c r="AI623" s="312">
        <f>PROD!P621/100*7*PROD!P623</f>
        <v>0</v>
      </c>
      <c r="AJ623" s="313">
        <f t="shared" si="354"/>
        <v>0</v>
      </c>
      <c r="AK623" s="2027"/>
      <c r="AL623" s="1284">
        <f t="shared" si="332"/>
        <v>0</v>
      </c>
      <c r="AM623" s="1285"/>
      <c r="AN623" s="1285"/>
      <c r="AO623" s="1285"/>
      <c r="AP623" s="1285"/>
      <c r="AQ623" s="1285"/>
      <c r="AR623" s="1285"/>
      <c r="AS623" s="1286"/>
      <c r="AT623" s="1287"/>
      <c r="AU623" s="1288"/>
      <c r="AV623" s="1289"/>
      <c r="AW623" s="1290"/>
      <c r="AX623" s="1291"/>
      <c r="AY623" s="1291"/>
      <c r="AZ623" s="1292"/>
      <c r="BA623" s="1293"/>
      <c r="BB623" s="1294"/>
      <c r="BC623" s="1295"/>
      <c r="BD623" s="1296">
        <f>BD622+PROD!L623-BA623</f>
        <v>0</v>
      </c>
      <c r="BE623" s="2133"/>
      <c r="BF623" s="507" t="e">
        <f t="shared" si="333"/>
        <v>#VALUE!</v>
      </c>
      <c r="BG623" s="329"/>
      <c r="BH623" s="1018">
        <f t="shared" si="334"/>
        <v>0</v>
      </c>
    </row>
    <row r="624" spans="1:60" ht="15" customHeight="1" x14ac:dyDescent="0.3">
      <c r="A624" s="2033"/>
      <c r="B624" s="287" t="str">
        <f t="shared" si="335"/>
        <v/>
      </c>
      <c r="C624" s="288" t="str">
        <f t="shared" si="330"/>
        <v/>
      </c>
      <c r="D624" s="691"/>
      <c r="E624" s="692"/>
      <c r="F624" s="693"/>
      <c r="G624" s="694"/>
      <c r="H624" s="695"/>
      <c r="I624" s="289">
        <f>I623-SUM($D624:F624)</f>
        <v>0</v>
      </c>
      <c r="J624" s="1234" t="str">
        <f>$J$8</f>
        <v>% Mort Acm :</v>
      </c>
      <c r="K624" s="1231">
        <f>IF(PROD!$K$2&gt;0,SUM(D$5:D627)/PROD!$K$2,0)</f>
        <v>0</v>
      </c>
      <c r="L624" s="1246"/>
      <c r="M624" s="291">
        <f t="shared" si="355"/>
        <v>0</v>
      </c>
      <c r="N624" s="314" t="str">
        <f>N$8</f>
        <v xml:space="preserve">Peso Ave (Gr) : </v>
      </c>
      <c r="O624" s="315">
        <f>LOOKUP($A621,GSh!$BV$6:$BV$108,GSh!$BJ$6:$BJ$108)</f>
        <v>0</v>
      </c>
      <c r="P624" s="315">
        <f>IFERROR(LOOKUP($A621,TP!$A$6:$A$108,GSh!$BK$6:$BK$108),0)</f>
        <v>0</v>
      </c>
      <c r="Q624" s="316">
        <f>IF(AND(P624&gt;0,O624&gt;0),(O624/P624-1)*100,0)</f>
        <v>0</v>
      </c>
      <c r="R624" s="699"/>
      <c r="S624" s="762"/>
      <c r="T624" s="765">
        <f t="shared" si="341"/>
        <v>0</v>
      </c>
      <c r="U624" s="700"/>
      <c r="V624" s="701"/>
      <c r="W624" s="701"/>
      <c r="X624" s="295">
        <f t="shared" si="336"/>
        <v>0</v>
      </c>
      <c r="Y624" s="296">
        <f>IF(AA624&gt;0,V624,AE621/IF(Iniciar!$C$25="B X 40 K",40,IF(Iniciar!$C$25="B X 50 K",50,1))*I624/1000)</f>
        <v>0</v>
      </c>
      <c r="Z624" s="296">
        <f t="shared" si="337"/>
        <v>0</v>
      </c>
      <c r="AA624" s="297">
        <f t="shared" si="356"/>
        <v>0</v>
      </c>
      <c r="AB624" s="297">
        <f t="shared" si="331"/>
        <v>0</v>
      </c>
      <c r="AC624" s="541" t="str">
        <f>$AC$8</f>
        <v xml:space="preserve">Ton. Lote Acu : </v>
      </c>
      <c r="AD624" s="544">
        <f>SUM($V$5:$V627)*$A$1/1000000</f>
        <v>0</v>
      </c>
      <c r="AE624" s="543">
        <f>AE617+(AE621/1000000*7*(I621+I627)/2)</f>
        <v>0</v>
      </c>
      <c r="AF624" s="542">
        <f>IF(AND(AE624&gt;0,AD624&gt;0),(AD624/AE624-1)*100,0)</f>
        <v>0</v>
      </c>
      <c r="AG624" s="317" t="str">
        <f>PROD!$AG$8</f>
        <v xml:space="preserve">Masa Ac A. A (Kg) : </v>
      </c>
      <c r="AH624" s="318">
        <f>IF(PROD!$K$2&gt;0,SUM(PROD!L$5:L627)*LOOKUP(PROD!$A621,TP!$A$6:$A$108,GSh!$BB$6:$BB$108)/1000/PROD!$K$2,0)</f>
        <v>0</v>
      </c>
      <c r="AI624" s="318">
        <f>IFERROR(PROD!P622*LOOKUP(PROD!$A621,TP!$A$6:$A$108,GSh!$BC$6:$BC$108)/1000,0)</f>
        <v>0</v>
      </c>
      <c r="AJ624" s="330">
        <f t="shared" si="354"/>
        <v>0</v>
      </c>
      <c r="AK624" s="2027"/>
      <c r="AL624" s="1284">
        <f t="shared" si="332"/>
        <v>0</v>
      </c>
      <c r="AM624" s="1285"/>
      <c r="AN624" s="1285"/>
      <c r="AO624" s="1285"/>
      <c r="AP624" s="1285"/>
      <c r="AQ624" s="1285"/>
      <c r="AR624" s="1285"/>
      <c r="AS624" s="1286"/>
      <c r="AT624" s="1287"/>
      <c r="AU624" s="1288"/>
      <c r="AV624" s="1289"/>
      <c r="AW624" s="1290"/>
      <c r="AX624" s="1291"/>
      <c r="AY624" s="1291"/>
      <c r="AZ624" s="1292"/>
      <c r="BA624" s="1293"/>
      <c r="BB624" s="1294"/>
      <c r="BC624" s="1295"/>
      <c r="BD624" s="1296">
        <f>BD623+PROD!L624-BA624</f>
        <v>0</v>
      </c>
      <c r="BE624" s="2133"/>
      <c r="BF624" s="507" t="e">
        <f t="shared" si="333"/>
        <v>#VALUE!</v>
      </c>
      <c r="BG624" s="329"/>
      <c r="BH624" s="1018">
        <f t="shared" si="334"/>
        <v>0</v>
      </c>
    </row>
    <row r="625" spans="1:60" ht="15" customHeight="1" x14ac:dyDescent="0.3">
      <c r="A625" s="2033"/>
      <c r="B625" s="287" t="str">
        <f t="shared" si="335"/>
        <v/>
      </c>
      <c r="C625" s="288" t="str">
        <f t="shared" si="330"/>
        <v/>
      </c>
      <c r="D625" s="691"/>
      <c r="E625" s="692"/>
      <c r="F625" s="693"/>
      <c r="G625" s="694"/>
      <c r="H625" s="695"/>
      <c r="I625" s="289">
        <f>I624-SUM($D625:F625)</f>
        <v>0</v>
      </c>
      <c r="J625" s="1234" t="str">
        <f>$J$9</f>
        <v>% Sel Acm :</v>
      </c>
      <c r="K625" s="1231">
        <f>IF(PROD!$K$2&gt;0,SUM(E$5:E627)/PROD!$K$2,0)</f>
        <v>0</v>
      </c>
      <c r="L625" s="1246"/>
      <c r="M625" s="291">
        <f t="shared" si="355"/>
        <v>0</v>
      </c>
      <c r="N625" s="292" t="str">
        <f>$N$9</f>
        <v xml:space="preserve">Uniformidad (10% -) : </v>
      </c>
      <c r="O625" s="320">
        <f>LOOKUP($A621,'Pr-Sem'!$A$6:$A$108,'Pr-Sem'!$AH$6:$AH$108)</f>
        <v>0</v>
      </c>
      <c r="P625" s="320">
        <v>5</v>
      </c>
      <c r="Q625" s="321">
        <f>IF(AND(P625&gt;0,O625&gt;0),(1-O625/P625)*100,0)</f>
        <v>0</v>
      </c>
      <c r="R625" s="699"/>
      <c r="S625" s="762"/>
      <c r="T625" s="765">
        <f t="shared" si="341"/>
        <v>0</v>
      </c>
      <c r="U625" s="700"/>
      <c r="V625" s="701"/>
      <c r="W625" s="701"/>
      <c r="X625" s="295">
        <f t="shared" si="336"/>
        <v>0</v>
      </c>
      <c r="Y625" s="296">
        <f>IF(AA625&gt;0,V625,AE621/IF(Iniciar!$C$25="B X 40 K",40,IF(Iniciar!$C$25="B X 50 K",50,1))*I625/1000)</f>
        <v>0</v>
      </c>
      <c r="Z625" s="296">
        <f t="shared" si="337"/>
        <v>0</v>
      </c>
      <c r="AA625" s="297">
        <f t="shared" si="356"/>
        <v>0</v>
      </c>
      <c r="AB625" s="297">
        <f t="shared" si="331"/>
        <v>0</v>
      </c>
      <c r="AC625" s="2035" t="str">
        <f>$AC$9</f>
        <v xml:space="preserve">Total Litros Sem: </v>
      </c>
      <c r="AD625" s="2036"/>
      <c r="AE625" s="2050">
        <f>SUM(R621:R627)</f>
        <v>0</v>
      </c>
      <c r="AF625" s="2051"/>
      <c r="AG625" s="554" t="str">
        <f>$AG$9</f>
        <v xml:space="preserve">Indicador Eficiencia : </v>
      </c>
      <c r="AH625" s="555">
        <f>IF(AND(AE625&gt;0,O622&gt;0,O623&gt;0,SUM(L621:L627)&gt;0),(PROD!AH624/O622)*K627*100/(AE625/(SUM(L621:L627)*O623/1000)),0)</f>
        <v>0</v>
      </c>
      <c r="AI625" s="555">
        <f>IF(AND(P622&gt;0,PROD!AI623&gt;0),(PROD!AI624/P622)*(1-K626)*100/(AE622/PROD!AI623),0)</f>
        <v>0</v>
      </c>
      <c r="AJ625" s="331">
        <f t="shared" si="354"/>
        <v>0</v>
      </c>
      <c r="AK625" s="2027"/>
      <c r="AL625" s="1284">
        <f t="shared" si="332"/>
        <v>0</v>
      </c>
      <c r="AM625" s="1285"/>
      <c r="AN625" s="1285"/>
      <c r="AO625" s="1285"/>
      <c r="AP625" s="1285"/>
      <c r="AQ625" s="1285"/>
      <c r="AR625" s="1285"/>
      <c r="AS625" s="1286"/>
      <c r="AT625" s="1287"/>
      <c r="AU625" s="1288"/>
      <c r="AV625" s="1289"/>
      <c r="AW625" s="1290"/>
      <c r="AX625" s="1291"/>
      <c r="AY625" s="1291"/>
      <c r="AZ625" s="1292"/>
      <c r="BA625" s="1293"/>
      <c r="BB625" s="1294"/>
      <c r="BC625" s="1295"/>
      <c r="BD625" s="1296">
        <f>BD624+PROD!L625-BA625</f>
        <v>0</v>
      </c>
      <c r="BE625" s="2133"/>
      <c r="BF625" s="507" t="e">
        <f t="shared" si="333"/>
        <v>#VALUE!</v>
      </c>
      <c r="BG625" s="329"/>
      <c r="BH625" s="1018">
        <f t="shared" si="334"/>
        <v>0</v>
      </c>
    </row>
    <row r="626" spans="1:60" ht="15" customHeight="1" x14ac:dyDescent="0.3">
      <c r="A626" s="2033"/>
      <c r="B626" s="287" t="str">
        <f t="shared" si="335"/>
        <v/>
      </c>
      <c r="C626" s="288" t="str">
        <f t="shared" si="330"/>
        <v/>
      </c>
      <c r="D626" s="691"/>
      <c r="E626" s="692"/>
      <c r="F626" s="693"/>
      <c r="G626" s="694"/>
      <c r="H626" s="695"/>
      <c r="I626" s="289">
        <f>I625-SUM($D626:F626)</f>
        <v>0</v>
      </c>
      <c r="J626" s="1237" t="str">
        <f>$J$10</f>
        <v>% Mort/Sel Acm Tab :</v>
      </c>
      <c r="K626" s="1238">
        <f>IFERROR(LOOKUP($A621,TP!$A$6:$A$108,GSh!$AR$6:$AR$108)/100,0)</f>
        <v>0</v>
      </c>
      <c r="L626" s="1246"/>
      <c r="M626" s="291">
        <f t="shared" si="355"/>
        <v>0</v>
      </c>
      <c r="N626" s="292" t="str">
        <f>$N$10</f>
        <v xml:space="preserve">Uniformidad (C. Lote) : </v>
      </c>
      <c r="O626" s="320">
        <f>LOOKUP($A621,'Pr-Sem'!$A$6:$A$108,'Pr-Sem'!$AG$6:$AG$108)</f>
        <v>0</v>
      </c>
      <c r="P626" s="320">
        <v>90</v>
      </c>
      <c r="Q626" s="321">
        <f>IF(AND(P626&gt;0,O626&gt;0),(O626/P626-1)*100,0)</f>
        <v>0</v>
      </c>
      <c r="R626" s="699"/>
      <c r="S626" s="762"/>
      <c r="T626" s="765">
        <f t="shared" si="341"/>
        <v>0</v>
      </c>
      <c r="U626" s="700"/>
      <c r="V626" s="701"/>
      <c r="W626" s="701"/>
      <c r="X626" s="295">
        <f t="shared" si="336"/>
        <v>0</v>
      </c>
      <c r="Y626" s="296">
        <f>IF(AA626&gt;0,V626,AE621/IF(Iniciar!$C$25="B X 40 K",40,IF(Iniciar!$C$25="B X 50 K",50,1))*I626/1000)</f>
        <v>0</v>
      </c>
      <c r="Z626" s="296">
        <f t="shared" si="337"/>
        <v>0</v>
      </c>
      <c r="AA626" s="297">
        <f t="shared" si="356"/>
        <v>0</v>
      </c>
      <c r="AB626" s="297">
        <f t="shared" si="331"/>
        <v>0</v>
      </c>
      <c r="AC626" s="2037" t="str">
        <f>$AC$10</f>
        <v xml:space="preserve">Cons ml /ave día: </v>
      </c>
      <c r="AD626" s="2038"/>
      <c r="AE626" s="2056">
        <f>IFERROR(SUMPRODUCT(AB621:AB627,I621:I627)/SUM(I621:I627),0)</f>
        <v>0</v>
      </c>
      <c r="AF626" s="2057"/>
      <c r="AG626" s="311" t="str">
        <f>CONCATENATE("Costo ",Iniciar!$C$25," : ")</f>
        <v xml:space="preserve">Costo Kilos : </v>
      </c>
      <c r="AH626" s="2043">
        <f>IFERROR(SUMPRODUCT(T621:T627,V621:V627)/SUMIF(T621:T627,"&gt;0",V621:V627),0)</f>
        <v>0</v>
      </c>
      <c r="AI626" s="2043"/>
      <c r="AJ626" s="313"/>
      <c r="AK626" s="2027"/>
      <c r="AL626" s="1284">
        <f t="shared" si="332"/>
        <v>0</v>
      </c>
      <c r="AM626" s="1285"/>
      <c r="AN626" s="1285"/>
      <c r="AO626" s="1285"/>
      <c r="AP626" s="1285"/>
      <c r="AQ626" s="1285"/>
      <c r="AR626" s="1285"/>
      <c r="AS626" s="1286"/>
      <c r="AT626" s="1287"/>
      <c r="AU626" s="1288"/>
      <c r="AV626" s="1289"/>
      <c r="AW626" s="1290"/>
      <c r="AX626" s="1291"/>
      <c r="AY626" s="1291"/>
      <c r="AZ626" s="1292"/>
      <c r="BA626" s="1293"/>
      <c r="BB626" s="1294"/>
      <c r="BC626" s="1295"/>
      <c r="BD626" s="1296">
        <f>BD625+PROD!L626-BA626</f>
        <v>0</v>
      </c>
      <c r="BE626" s="2133"/>
      <c r="BF626" s="507" t="e">
        <f t="shared" si="333"/>
        <v>#VALUE!</v>
      </c>
      <c r="BG626" s="329"/>
      <c r="BH626" s="1018">
        <f t="shared" si="334"/>
        <v>0</v>
      </c>
    </row>
    <row r="627" spans="1:60" ht="15" customHeight="1" x14ac:dyDescent="0.3">
      <c r="A627" s="2034"/>
      <c r="B627" s="287" t="str">
        <f t="shared" si="335"/>
        <v/>
      </c>
      <c r="C627" s="288" t="str">
        <f t="shared" si="330"/>
        <v/>
      </c>
      <c r="D627" s="691"/>
      <c r="E627" s="692"/>
      <c r="F627" s="693"/>
      <c r="G627" s="694"/>
      <c r="H627" s="695"/>
      <c r="I627" s="289">
        <f>I626-SUM($D627:F627)</f>
        <v>0</v>
      </c>
      <c r="J627" s="1239" t="str">
        <f>$J$11</f>
        <v>% Viabilidad :</v>
      </c>
      <c r="K627" s="1240">
        <f>IF(OR(SUM(L621:L627)&gt;0,SUM(V621:V627)&gt;0),1-(K624+K625),0)</f>
        <v>0</v>
      </c>
      <c r="L627" s="1247"/>
      <c r="M627" s="1248">
        <f>IF(I627&gt;0,(L627/IF(SUM(L621:L626)&gt;0,1,7))/I627,0)</f>
        <v>0</v>
      </c>
      <c r="N627" s="1249" t="str">
        <f>$N$11</f>
        <v xml:space="preserve">Uniformidad (10% +) : </v>
      </c>
      <c r="O627" s="1250">
        <f>IF(O625&gt;0,IF(O626&gt;0,100-SUM(O625:O626),0),0)</f>
        <v>0</v>
      </c>
      <c r="P627" s="1251">
        <f>100-SUM(P625:P626)</f>
        <v>5</v>
      </c>
      <c r="Q627" s="1252">
        <f>IF(AND(P627&gt;0,O627&gt;0),(O627/P627-1)*100,0)</f>
        <v>0</v>
      </c>
      <c r="R627" s="699"/>
      <c r="S627" s="762"/>
      <c r="T627" s="765">
        <f t="shared" si="341"/>
        <v>0</v>
      </c>
      <c r="U627" s="700"/>
      <c r="V627" s="701"/>
      <c r="W627" s="701"/>
      <c r="X627" s="295">
        <f t="shared" si="336"/>
        <v>0</v>
      </c>
      <c r="Y627" s="296">
        <f>IF(AA627&gt;0,V627,AE621/IF(Iniciar!$C$25="B X 40 K",40,IF(Iniciar!$C$25="B X 50 K",50,1))*I627/1000)</f>
        <v>0</v>
      </c>
      <c r="Z627" s="296">
        <f t="shared" si="337"/>
        <v>0</v>
      </c>
      <c r="AA627" s="297">
        <f>IF(I627&gt;0,(V627/IF(SUM(V621:V626)&gt;0,1,7))*$A$1/I627,0)</f>
        <v>0</v>
      </c>
      <c r="AB627" s="297">
        <f t="shared" si="331"/>
        <v>0</v>
      </c>
      <c r="AC627" s="2039" t="str">
        <f>$AC$11</f>
        <v xml:space="preserve">Relación Agua /Alimto: </v>
      </c>
      <c r="AD627" s="2040"/>
      <c r="AE627" s="2058">
        <f>IFERROR(AE626/AD621,0)</f>
        <v>0</v>
      </c>
      <c r="AF627" s="2059"/>
      <c r="AG627" s="1269" t="s">
        <v>237</v>
      </c>
      <c r="AH627" s="1270">
        <f>IF(SUM(L621:L627)&gt;0,AH626*SUM(V621:V627)/SUM(L621:L627),0)</f>
        <v>0</v>
      </c>
      <c r="AI627" s="1270">
        <f>IF(AND($A$1&gt;0,P621&gt;0),AH626/$A$1*(AE621/P621)*100,0)</f>
        <v>0</v>
      </c>
      <c r="AJ627" s="1271">
        <f t="shared" ref="AJ627:AJ632" si="357">IF(AND(AI627&gt;0,AH627&gt;0),(AH627/AI627-1)*100,0)</f>
        <v>0</v>
      </c>
      <c r="AK627" s="2028"/>
      <c r="AL627" s="1284">
        <f t="shared" si="332"/>
        <v>0</v>
      </c>
      <c r="AM627" s="1285"/>
      <c r="AN627" s="1285"/>
      <c r="AO627" s="1285"/>
      <c r="AP627" s="1285"/>
      <c r="AQ627" s="1285"/>
      <c r="AR627" s="1285"/>
      <c r="AS627" s="1286"/>
      <c r="AT627" s="1287"/>
      <c r="AU627" s="1288"/>
      <c r="AV627" s="1289"/>
      <c r="AW627" s="1290"/>
      <c r="AX627" s="1291"/>
      <c r="AY627" s="1291"/>
      <c r="AZ627" s="1292"/>
      <c r="BA627" s="1293"/>
      <c r="BB627" s="1294"/>
      <c r="BC627" s="1295"/>
      <c r="BD627" s="1296">
        <f>BD626+PROD!L627-BA627</f>
        <v>0</v>
      </c>
      <c r="BE627" s="2134"/>
      <c r="BF627" s="507" t="e">
        <f t="shared" si="333"/>
        <v>#VALUE!</v>
      </c>
      <c r="BG627" s="329"/>
      <c r="BH627" s="1018">
        <f t="shared" si="334"/>
        <v>0</v>
      </c>
    </row>
    <row r="628" spans="1:60" ht="15" customHeight="1" x14ac:dyDescent="0.3">
      <c r="A628" s="2032">
        <f>A621+1</f>
        <v>107</v>
      </c>
      <c r="B628" s="287" t="str">
        <f t="shared" si="335"/>
        <v/>
      </c>
      <c r="C628" s="288" t="str">
        <f t="shared" si="330"/>
        <v/>
      </c>
      <c r="D628" s="691"/>
      <c r="E628" s="692"/>
      <c r="F628" s="693"/>
      <c r="G628" s="694"/>
      <c r="H628" s="695"/>
      <c r="I628" s="289">
        <f>I627-SUM($D628:F628)</f>
        <v>0</v>
      </c>
      <c r="J628" s="1232" t="str">
        <f>$J$5</f>
        <v>% Mort Sem :</v>
      </c>
      <c r="K628" s="1233">
        <f>IF(PROD!$K$2&gt;0,SUM(D628:D634)/PROD!$K$2,0)</f>
        <v>0</v>
      </c>
      <c r="L628" s="1241"/>
      <c r="M628" s="1242">
        <f t="shared" ref="M628:M633" si="358">IF(I628&gt;0,L628/I628,0)</f>
        <v>0</v>
      </c>
      <c r="N628" s="1243" t="str">
        <f>$N$5</f>
        <v xml:space="preserve">% Pdn prom semana : </v>
      </c>
      <c r="O628" s="1244">
        <f>IF(SUM(L628:L633)&gt;0,100*SUMPRODUCT(M628:M634,I628:I634)/SUMIF(L628:L634,"&gt;0",I628:I634),IF(L634&gt;0,100*L634/7/I634,0))</f>
        <v>0</v>
      </c>
      <c r="P628" s="1244">
        <f>IFERROR(LOOKUP($A628,TP!$A$6:$A$108,GSh!$AE$6:$AE$108),0)</f>
        <v>0</v>
      </c>
      <c r="Q628" s="1245">
        <f>IF(AND(P628&gt;0,O628&gt;0),O628-P628,0)</f>
        <v>0</v>
      </c>
      <c r="R628" s="699"/>
      <c r="S628" s="762"/>
      <c r="T628" s="765">
        <f t="shared" si="341"/>
        <v>0</v>
      </c>
      <c r="U628" s="700"/>
      <c r="V628" s="701"/>
      <c r="W628" s="701"/>
      <c r="X628" s="295">
        <f t="shared" si="336"/>
        <v>0</v>
      </c>
      <c r="Y628" s="296">
        <f>IF(AA628&gt;0,V628,AE628/IF(Iniciar!$C$25="B X 40 K",40,IF(Iniciar!$C$25="B X 50 K",50,1))*I628/1000)</f>
        <v>0</v>
      </c>
      <c r="Z628" s="296">
        <f t="shared" si="337"/>
        <v>0</v>
      </c>
      <c r="AA628" s="297">
        <f t="shared" ref="AA628:AA633" si="359">IF(I628&gt;0,V628*$A$1/I628,0)</f>
        <v>0</v>
      </c>
      <c r="AB628" s="297">
        <f t="shared" si="331"/>
        <v>0</v>
      </c>
      <c r="AC628" s="1261" t="str">
        <f>$AC$5</f>
        <v>Gr. Ave Dia :</v>
      </c>
      <c r="AD628" s="1262">
        <f>IF(SUMIF(V628:V634,"&gt;0")&gt;0,SUMPRODUCT(AA628:AA634,I628:I634)/SUMIF(AA628:AA634,"&gt;0",I628:I634),0)</f>
        <v>0</v>
      </c>
      <c r="AE628" s="1262">
        <f>IFERROR(LOOKUP($A628,TP!$A$6:$A$108,GSh!$AU$6:$AU$108),0)</f>
        <v>0</v>
      </c>
      <c r="AF628" s="1263">
        <f>IF(AND(AE628&gt;0,AD628&gt;0),(AD628/AE628-1)*100,0)</f>
        <v>0</v>
      </c>
      <c r="AG628" s="1264" t="str">
        <f>PROD!$AG$5</f>
        <v>Gr X H</v>
      </c>
      <c r="AH628" s="1265">
        <f>IF(PROD!O628&gt;0,IF($AG628="Gr X H",PROD!AD628/PROD!O628*100,IF($AG628="Conv Kg/Doc",PROD!AD628/PROD!O628*1.2,IF(PROD!$O630&gt;0,PROD!AD628/(PROD!O628*PROD!$O630)*100,0))),0)</f>
        <v>0</v>
      </c>
      <c r="AI628" s="1265">
        <f>IF(PROD!P628&gt;0,IF($AG628="Gr X H",PROD!AE628/PROD!P628*100,IF($AG628="Conv Kg/Doc",PROD!AE628/PROD!P628*1.2,IF(PROD!$P630&gt;0,PROD!AE628/(PROD!P628*PROD!$P630)*100,0))),0)</f>
        <v>0</v>
      </c>
      <c r="AJ628" s="1266">
        <f t="shared" si="357"/>
        <v>0</v>
      </c>
      <c r="AK628" s="2026"/>
      <c r="AL628" s="1284">
        <f t="shared" si="332"/>
        <v>0</v>
      </c>
      <c r="AM628" s="1285"/>
      <c r="AN628" s="1285"/>
      <c r="AO628" s="1285"/>
      <c r="AP628" s="1285"/>
      <c r="AQ628" s="1285"/>
      <c r="AR628" s="1285"/>
      <c r="AS628" s="1286"/>
      <c r="AT628" s="1287"/>
      <c r="AU628" s="1288"/>
      <c r="AV628" s="1289"/>
      <c r="AW628" s="1290"/>
      <c r="AX628" s="1291"/>
      <c r="AY628" s="1291"/>
      <c r="AZ628" s="1292"/>
      <c r="BA628" s="1293"/>
      <c r="BB628" s="1294"/>
      <c r="BC628" s="1295"/>
      <c r="BD628" s="1296">
        <f>BD627+PROD!L628-BA628</f>
        <v>0</v>
      </c>
      <c r="BE628" s="2132">
        <f>IF(SUM(AM628:AZ634)&gt;0,(SUM(AM628:AM634)*$AM$2+SUM(AN628:AN634)*$AN$2+SUM(AO628:AO634)*$AO$2+SUM(AP628:AP634)*$AP$2+SUM(AQ628:AQ634)*$AQ$2+SUM(AR628:AR634)*$AR$2+SUM(AS628:AS634)*$AS$2+SUM(AW628:AW634)*$AW$2+SUM(AX628:AX634)*$AX$2+SUM(AY628:AY634)*$AY$2+SUM(AZ628:AZ634)*$AZ$2+SUM(AT628:AT634)*$AT$2+SUM(AU628:AU634)*$AU$2+SUM(AV628:AV634)*$AV$2)/SUM(AM628:AZ634),0)</f>
        <v>0</v>
      </c>
      <c r="BF628" s="507" t="e">
        <f t="shared" si="333"/>
        <v>#VALUE!</v>
      </c>
      <c r="BG628" s="277">
        <f>IF(SUM(L628:L634)&gt;0,A628,IF(SUM(V628:V634)&gt;0,A628,BG621))</f>
        <v>0</v>
      </c>
      <c r="BH628" s="1018">
        <f t="shared" si="334"/>
        <v>0</v>
      </c>
    </row>
    <row r="629" spans="1:60" ht="15" customHeight="1" x14ac:dyDescent="0.3">
      <c r="A629" s="2033"/>
      <c r="B629" s="287" t="str">
        <f t="shared" si="335"/>
        <v/>
      </c>
      <c r="C629" s="288" t="str">
        <f t="shared" si="330"/>
        <v/>
      </c>
      <c r="D629" s="691"/>
      <c r="E629" s="692"/>
      <c r="F629" s="693"/>
      <c r="G629" s="694"/>
      <c r="H629" s="695"/>
      <c r="I629" s="289">
        <f>I628-SUM($D629:F629)</f>
        <v>0</v>
      </c>
      <c r="J629" s="1234" t="str">
        <f>$J$6</f>
        <v>% Sel Sem :</v>
      </c>
      <c r="K629" s="1231">
        <f>IF(PROD!$K$2&gt;0,SUM(E628:E634)/PROD!$K$2,0)</f>
        <v>0</v>
      </c>
      <c r="L629" s="1246"/>
      <c r="M629" s="291">
        <f t="shared" si="358"/>
        <v>0</v>
      </c>
      <c r="N629" s="292" t="str">
        <f>$N$6</f>
        <v xml:space="preserve">H. Ave Alojada : </v>
      </c>
      <c r="O629" s="293">
        <f>IF(AND(PROD!$K$2&gt;0,O628&gt;0),SUM(L$5:L634)/PROD!$K$2,0)</f>
        <v>0</v>
      </c>
      <c r="P629" s="293">
        <f>IFERROR(LOOKUP($A628,TP!$A$6:$A$108,GSh!$AJ$6:$AJ$108),0)</f>
        <v>0</v>
      </c>
      <c r="Q629" s="294">
        <f>IF(AND(P629&gt;0,O629&gt;0),O629-P629,0)</f>
        <v>0</v>
      </c>
      <c r="R629" s="699"/>
      <c r="S629" s="762"/>
      <c r="T629" s="765">
        <f t="shared" si="341"/>
        <v>0</v>
      </c>
      <c r="U629" s="700"/>
      <c r="V629" s="701"/>
      <c r="W629" s="701"/>
      <c r="X629" s="295">
        <f t="shared" si="336"/>
        <v>0</v>
      </c>
      <c r="Y629" s="296">
        <f>IF(AA629&gt;0,V629,AE628/IF(Iniciar!$C$25="B X 40 K",40,IF(Iniciar!$C$25="B X 50 K",50,1))*I629/1000)</f>
        <v>0</v>
      </c>
      <c r="Z629" s="296">
        <f t="shared" si="337"/>
        <v>0</v>
      </c>
      <c r="AA629" s="297">
        <f t="shared" si="359"/>
        <v>0</v>
      </c>
      <c r="AB629" s="297">
        <f t="shared" si="331"/>
        <v>0</v>
      </c>
      <c r="AC629" s="1267" t="str">
        <f>$AC$6</f>
        <v>Gr. Ave Sem :</v>
      </c>
      <c r="AD629" s="284">
        <f>AD628*7</f>
        <v>0</v>
      </c>
      <c r="AE629" s="284">
        <f>AE628*7</f>
        <v>0</v>
      </c>
      <c r="AF629" s="285">
        <f>IF(AND(AE629&gt;0,AD629&gt;0),(AD629/AE629-1)*100,0)</f>
        <v>0</v>
      </c>
      <c r="AG629" s="1199" t="str">
        <f>PROD!$AG$6</f>
        <v>Gr X H Acm</v>
      </c>
      <c r="AH629" s="298">
        <f>IF(SUM(PROD!L628:L634)&gt;0,IF(PROD!$AG$5="Gr X H",SUM(PROD!V$5:V634)*PROD!$A$1/SUM(PROD!L$5:L634),IF($AG628="Conv Kg/Doc",(SUM(PROD!V$5:V634)*PROD!$A$1/1000)/(SUM(PROD!L$5:L634)/12),IF(PROD!$O630&gt;0,SUM(PROD!V$5:V634)*PROD!$A$1/(SUM(PROD!L$5:L634)*LOOKUP(PROD!A628,TP!$A$6:$A$108,GSh!$BB$6:$BB$108)),0))),0)</f>
        <v>0</v>
      </c>
      <c r="AI629" s="298">
        <f>IF(PROD!P628&gt;0,IF($AG628="Gr X H",PROD!AE628/PROD!P628*100,IF($AG628="Conv Kg/Doc",PROD!AE628/PROD!P628*1.2,IF(PROD!$P629&gt;0,PROD!AE630/(PROD!P629*LOOKUP(PROD!$A628,TP!$A$6:$A$108,GSh!$BC$6:$BC$108)/1000),0))),0)</f>
        <v>0</v>
      </c>
      <c r="AJ629" s="328">
        <f t="shared" si="357"/>
        <v>0</v>
      </c>
      <c r="AK629" s="2027"/>
      <c r="AL629" s="1284">
        <f t="shared" si="332"/>
        <v>0</v>
      </c>
      <c r="AM629" s="1285"/>
      <c r="AN629" s="1285"/>
      <c r="AO629" s="1285"/>
      <c r="AP629" s="1285"/>
      <c r="AQ629" s="1285"/>
      <c r="AR629" s="1285"/>
      <c r="AS629" s="1286"/>
      <c r="AT629" s="1287"/>
      <c r="AU629" s="1288"/>
      <c r="AV629" s="1289"/>
      <c r="AW629" s="1290"/>
      <c r="AX629" s="1291"/>
      <c r="AY629" s="1291"/>
      <c r="AZ629" s="1292"/>
      <c r="BA629" s="1293"/>
      <c r="BB629" s="1294"/>
      <c r="BC629" s="1295"/>
      <c r="BD629" s="1296">
        <f>BD628+PROD!L629-BA629</f>
        <v>0</v>
      </c>
      <c r="BE629" s="2133"/>
      <c r="BF629" s="507" t="e">
        <f t="shared" si="333"/>
        <v>#VALUE!</v>
      </c>
      <c r="BG629" s="329"/>
      <c r="BH629" s="1018">
        <f t="shared" si="334"/>
        <v>0</v>
      </c>
    </row>
    <row r="630" spans="1:60" ht="15" customHeight="1" x14ac:dyDescent="0.3">
      <c r="A630" s="2033"/>
      <c r="B630" s="287" t="str">
        <f t="shared" si="335"/>
        <v/>
      </c>
      <c r="C630" s="288" t="str">
        <f t="shared" si="330"/>
        <v/>
      </c>
      <c r="D630" s="691"/>
      <c r="E630" s="692"/>
      <c r="F630" s="693"/>
      <c r="G630" s="694"/>
      <c r="H630" s="695"/>
      <c r="I630" s="289">
        <f>I629-SUM($D630:F630)</f>
        <v>0</v>
      </c>
      <c r="J630" s="1235" t="str">
        <f>$J$7</f>
        <v>% Mort/Sel Sem Tab :</v>
      </c>
      <c r="K630" s="1236">
        <f>K633-K626</f>
        <v>0</v>
      </c>
      <c r="L630" s="1246"/>
      <c r="M630" s="291">
        <f t="shared" si="358"/>
        <v>0</v>
      </c>
      <c r="N630" s="304" t="str">
        <f>$N$7</f>
        <v xml:space="preserve">Peso Huevo (Gr) : </v>
      </c>
      <c r="O630" s="305">
        <f>LOOKUP($A628,'Pr-Sem'!$A$6:$A$108,'Pr-Sem'!$Z$6:$Z$108)</f>
        <v>0</v>
      </c>
      <c r="P630" s="305">
        <f>IFERROR(LOOKUP($A628,TP!$A$6:$A$108,GSh!$AZ$6:$AZ$108),0)</f>
        <v>0</v>
      </c>
      <c r="Q630" s="306">
        <f>IF(AND(P630&gt;0,O630&gt;0),O630-P630,0)</f>
        <v>0</v>
      </c>
      <c r="R630" s="699"/>
      <c r="S630" s="762"/>
      <c r="T630" s="765">
        <f t="shared" si="341"/>
        <v>0</v>
      </c>
      <c r="U630" s="700"/>
      <c r="V630" s="701"/>
      <c r="W630" s="701"/>
      <c r="X630" s="295">
        <f t="shared" si="336"/>
        <v>0</v>
      </c>
      <c r="Y630" s="296">
        <f>IF(AA630&gt;0,V630,AE628/IF(Iniciar!$C$25="B X 40 K",40,IF(Iniciar!$C$25="B X 50 K",50,1))*I630/1000)</f>
        <v>0</v>
      </c>
      <c r="Z630" s="296">
        <f t="shared" si="337"/>
        <v>0</v>
      </c>
      <c r="AA630" s="297">
        <f t="shared" si="359"/>
        <v>0</v>
      </c>
      <c r="AB630" s="297">
        <f t="shared" si="331"/>
        <v>0</v>
      </c>
      <c r="AC630" s="1268" t="str">
        <f>$AC$7</f>
        <v>Kg Ave Acu :</v>
      </c>
      <c r="AD630" s="308">
        <f>IF(OR(SUM(L628:L634)&gt;0,SUM(V628:V634)&gt;0),AD629/1000+AD623,0)</f>
        <v>0</v>
      </c>
      <c r="AE630" s="309">
        <f>AE629/1000+AE623</f>
        <v>0</v>
      </c>
      <c r="AF630" s="310">
        <f>IF(AND(AE630&gt;0,AD630&gt;0),(AD630/AE630-1)*100,0)</f>
        <v>0</v>
      </c>
      <c r="AG630" s="311" t="str">
        <f>PROD!$AG$7</f>
        <v xml:space="preserve">Masa Sem H (Gr) : </v>
      </c>
      <c r="AH630" s="312">
        <f>PROD!O628/100*7*PROD!O630</f>
        <v>0</v>
      </c>
      <c r="AI630" s="312">
        <f>PROD!P628/100*7*PROD!P630</f>
        <v>0</v>
      </c>
      <c r="AJ630" s="313">
        <f t="shared" si="357"/>
        <v>0</v>
      </c>
      <c r="AK630" s="2027"/>
      <c r="AL630" s="1284">
        <f t="shared" si="332"/>
        <v>0</v>
      </c>
      <c r="AM630" s="1285"/>
      <c r="AN630" s="1285"/>
      <c r="AO630" s="1285"/>
      <c r="AP630" s="1285"/>
      <c r="AQ630" s="1285"/>
      <c r="AR630" s="1285"/>
      <c r="AS630" s="1286"/>
      <c r="AT630" s="1287"/>
      <c r="AU630" s="1288"/>
      <c r="AV630" s="1289"/>
      <c r="AW630" s="1290"/>
      <c r="AX630" s="1291"/>
      <c r="AY630" s="1291"/>
      <c r="AZ630" s="1292"/>
      <c r="BA630" s="1293"/>
      <c r="BB630" s="1294"/>
      <c r="BC630" s="1295"/>
      <c r="BD630" s="1296">
        <f>BD629+PROD!L630-BA630</f>
        <v>0</v>
      </c>
      <c r="BE630" s="2133"/>
      <c r="BF630" s="507" t="e">
        <f t="shared" si="333"/>
        <v>#VALUE!</v>
      </c>
      <c r="BG630" s="329"/>
      <c r="BH630" s="1018">
        <f t="shared" si="334"/>
        <v>0</v>
      </c>
    </row>
    <row r="631" spans="1:60" ht="15" customHeight="1" x14ac:dyDescent="0.3">
      <c r="A631" s="2033"/>
      <c r="B631" s="287" t="str">
        <f t="shared" si="335"/>
        <v/>
      </c>
      <c r="C631" s="288" t="str">
        <f t="shared" si="330"/>
        <v/>
      </c>
      <c r="D631" s="691"/>
      <c r="E631" s="692"/>
      <c r="F631" s="693"/>
      <c r="G631" s="694"/>
      <c r="H631" s="695"/>
      <c r="I631" s="289">
        <f>I630-SUM($D631:F631)</f>
        <v>0</v>
      </c>
      <c r="J631" s="1234" t="str">
        <f>$J$8</f>
        <v>% Mort Acm :</v>
      </c>
      <c r="K631" s="1231">
        <f>IF(PROD!$K$2&gt;0,SUM(D$5:D634)/PROD!$K$2,0)</f>
        <v>0</v>
      </c>
      <c r="L631" s="1246"/>
      <c r="M631" s="291">
        <f t="shared" si="358"/>
        <v>0</v>
      </c>
      <c r="N631" s="314" t="str">
        <f>N$8</f>
        <v xml:space="preserve">Peso Ave (Gr) : </v>
      </c>
      <c r="O631" s="315">
        <f>LOOKUP($A628,GSh!$BV$6:$BV$108,GSh!$BJ$6:$BJ$108)</f>
        <v>0</v>
      </c>
      <c r="P631" s="315">
        <f>IFERROR(LOOKUP($A628,TP!$A$6:$A$108,GSh!$BK$6:$BK$108),0)</f>
        <v>0</v>
      </c>
      <c r="Q631" s="316">
        <f>IF(AND(P631&gt;0,O631&gt;0),(O631/P631-1)*100,0)</f>
        <v>0</v>
      </c>
      <c r="R631" s="699"/>
      <c r="S631" s="762"/>
      <c r="T631" s="765">
        <f t="shared" si="341"/>
        <v>0</v>
      </c>
      <c r="U631" s="700"/>
      <c r="V631" s="701"/>
      <c r="W631" s="701"/>
      <c r="X631" s="295">
        <f t="shared" si="336"/>
        <v>0</v>
      </c>
      <c r="Y631" s="296">
        <f>IF(AA631&gt;0,V631,AE628/IF(Iniciar!$C$25="B X 40 K",40,IF(Iniciar!$C$25="B X 50 K",50,1))*I631/1000)</f>
        <v>0</v>
      </c>
      <c r="Z631" s="296">
        <f t="shared" si="337"/>
        <v>0</v>
      </c>
      <c r="AA631" s="297">
        <f t="shared" si="359"/>
        <v>0</v>
      </c>
      <c r="AB631" s="297">
        <f t="shared" si="331"/>
        <v>0</v>
      </c>
      <c r="AC631" s="541" t="str">
        <f>$AC$8</f>
        <v xml:space="preserve">Ton. Lote Acu : </v>
      </c>
      <c r="AD631" s="544">
        <f>SUM($V$5:$V634)*$A$1/1000000</f>
        <v>0</v>
      </c>
      <c r="AE631" s="543">
        <f>AE624+(AE628/1000000*7*(I628+I634)/2)</f>
        <v>0</v>
      </c>
      <c r="AF631" s="542">
        <f>IF(AND(AE631&gt;0,AD631&gt;0),(AD631/AE631-1)*100,0)</f>
        <v>0</v>
      </c>
      <c r="AG631" s="317" t="str">
        <f>PROD!$AG$8</f>
        <v xml:space="preserve">Masa Ac A. A (Kg) : </v>
      </c>
      <c r="AH631" s="318">
        <f>IF(PROD!$K$2&gt;0,SUM(PROD!L$5:L634)*LOOKUP(PROD!$A628,TP!$A$6:$A$108,GSh!$BB$6:$BB$108)/1000/PROD!$K$2,0)</f>
        <v>0</v>
      </c>
      <c r="AI631" s="318">
        <f>IFERROR(PROD!P629*LOOKUP(PROD!$A628,TP!$A$6:$A$108,GSh!$BC$6:$BC$108)/1000,0)</f>
        <v>0</v>
      </c>
      <c r="AJ631" s="330">
        <f t="shared" si="357"/>
        <v>0</v>
      </c>
      <c r="AK631" s="2027"/>
      <c r="AL631" s="1284">
        <f t="shared" si="332"/>
        <v>0</v>
      </c>
      <c r="AM631" s="1285"/>
      <c r="AN631" s="1285"/>
      <c r="AO631" s="1285"/>
      <c r="AP631" s="1285"/>
      <c r="AQ631" s="1285"/>
      <c r="AR631" s="1285"/>
      <c r="AS631" s="1286"/>
      <c r="AT631" s="1287"/>
      <c r="AU631" s="1288"/>
      <c r="AV631" s="1289"/>
      <c r="AW631" s="1290"/>
      <c r="AX631" s="1291"/>
      <c r="AY631" s="1291"/>
      <c r="AZ631" s="1292"/>
      <c r="BA631" s="1293"/>
      <c r="BB631" s="1294"/>
      <c r="BC631" s="1295"/>
      <c r="BD631" s="1296">
        <f>BD630+PROD!L631-BA631</f>
        <v>0</v>
      </c>
      <c r="BE631" s="2133"/>
      <c r="BF631" s="507" t="e">
        <f t="shared" si="333"/>
        <v>#VALUE!</v>
      </c>
      <c r="BG631" s="329"/>
      <c r="BH631" s="1018">
        <f t="shared" si="334"/>
        <v>0</v>
      </c>
    </row>
    <row r="632" spans="1:60" ht="15" customHeight="1" x14ac:dyDescent="0.3">
      <c r="A632" s="2033"/>
      <c r="B632" s="287" t="str">
        <f t="shared" si="335"/>
        <v/>
      </c>
      <c r="C632" s="288" t="str">
        <f t="shared" si="330"/>
        <v/>
      </c>
      <c r="D632" s="691"/>
      <c r="E632" s="692"/>
      <c r="F632" s="693"/>
      <c r="G632" s="694"/>
      <c r="H632" s="695"/>
      <c r="I632" s="289">
        <f>I631-SUM($D632:F632)</f>
        <v>0</v>
      </c>
      <c r="J632" s="1234" t="str">
        <f>$J$9</f>
        <v>% Sel Acm :</v>
      </c>
      <c r="K632" s="1231">
        <f>IF(PROD!$K$2&gt;0,SUM(E$5:E634)/PROD!$K$2,0)</f>
        <v>0</v>
      </c>
      <c r="L632" s="1246"/>
      <c r="M632" s="291">
        <f t="shared" si="358"/>
        <v>0</v>
      </c>
      <c r="N632" s="292" t="str">
        <f>$N$9</f>
        <v xml:space="preserve">Uniformidad (10% -) : </v>
      </c>
      <c r="O632" s="320">
        <f>LOOKUP($A628,'Pr-Sem'!$A$6:$A$108,'Pr-Sem'!$AH$6:$AH$108)</f>
        <v>0</v>
      </c>
      <c r="P632" s="320">
        <v>5</v>
      </c>
      <c r="Q632" s="321">
        <f>IF(AND(P632&gt;0,O632&gt;0),(1-O632/P632)*100,0)</f>
        <v>0</v>
      </c>
      <c r="R632" s="699"/>
      <c r="S632" s="762"/>
      <c r="T632" s="765">
        <f t="shared" si="341"/>
        <v>0</v>
      </c>
      <c r="U632" s="700"/>
      <c r="V632" s="701"/>
      <c r="W632" s="701"/>
      <c r="X632" s="295">
        <f t="shared" si="336"/>
        <v>0</v>
      </c>
      <c r="Y632" s="296">
        <f>IF(AA632&gt;0,V632,AE628/IF(Iniciar!$C$25="B X 40 K",40,IF(Iniciar!$C$25="B X 50 K",50,1))*I632/1000)</f>
        <v>0</v>
      </c>
      <c r="Z632" s="296">
        <f t="shared" si="337"/>
        <v>0</v>
      </c>
      <c r="AA632" s="297">
        <f t="shared" si="359"/>
        <v>0</v>
      </c>
      <c r="AB632" s="297">
        <f t="shared" si="331"/>
        <v>0</v>
      </c>
      <c r="AC632" s="2035" t="str">
        <f>$AC$9</f>
        <v xml:space="preserve">Total Litros Sem: </v>
      </c>
      <c r="AD632" s="2036"/>
      <c r="AE632" s="2050">
        <f>SUM(R628:R634)</f>
        <v>0</v>
      </c>
      <c r="AF632" s="2051"/>
      <c r="AG632" s="554" t="str">
        <f>$AG$9</f>
        <v xml:space="preserve">Indicador Eficiencia : </v>
      </c>
      <c r="AH632" s="555">
        <f>IF(AND(AE632&gt;0,O629&gt;0,O630&gt;0,SUM(L628:L634)&gt;0),(PROD!AH631/O629)*K634*100/(AE632/(SUM(L628:L634)*O630/1000)),0)</f>
        <v>0</v>
      </c>
      <c r="AI632" s="555">
        <f>IF(AND(P629&gt;0,PROD!AI630&gt;0),(PROD!AI631/P629)*(1-K633)*100/(AE629/PROD!AI630),0)</f>
        <v>0</v>
      </c>
      <c r="AJ632" s="331">
        <f t="shared" si="357"/>
        <v>0</v>
      </c>
      <c r="AK632" s="2027"/>
      <c r="AL632" s="1284">
        <f t="shared" si="332"/>
        <v>0</v>
      </c>
      <c r="AM632" s="1285"/>
      <c r="AN632" s="1285"/>
      <c r="AO632" s="1285"/>
      <c r="AP632" s="1285"/>
      <c r="AQ632" s="1285"/>
      <c r="AR632" s="1285"/>
      <c r="AS632" s="1286"/>
      <c r="AT632" s="1287"/>
      <c r="AU632" s="1288"/>
      <c r="AV632" s="1289"/>
      <c r="AW632" s="1290"/>
      <c r="AX632" s="1291"/>
      <c r="AY632" s="1291"/>
      <c r="AZ632" s="1292"/>
      <c r="BA632" s="1293"/>
      <c r="BB632" s="1294"/>
      <c r="BC632" s="1295"/>
      <c r="BD632" s="1296">
        <f>BD631+PROD!L632-BA632</f>
        <v>0</v>
      </c>
      <c r="BE632" s="2133"/>
      <c r="BF632" s="507" t="e">
        <f t="shared" si="333"/>
        <v>#VALUE!</v>
      </c>
      <c r="BG632" s="329"/>
      <c r="BH632" s="1018">
        <f t="shared" si="334"/>
        <v>0</v>
      </c>
    </row>
    <row r="633" spans="1:60" ht="15" customHeight="1" x14ac:dyDescent="0.3">
      <c r="A633" s="2033"/>
      <c r="B633" s="287" t="str">
        <f t="shared" si="335"/>
        <v/>
      </c>
      <c r="C633" s="288" t="str">
        <f t="shared" si="330"/>
        <v/>
      </c>
      <c r="D633" s="691"/>
      <c r="E633" s="692"/>
      <c r="F633" s="693"/>
      <c r="G633" s="694"/>
      <c r="H633" s="695"/>
      <c r="I633" s="289">
        <f>I632-SUM($D633:F633)</f>
        <v>0</v>
      </c>
      <c r="J633" s="1237" t="str">
        <f>$J$10</f>
        <v>% Mort/Sel Acm Tab :</v>
      </c>
      <c r="K633" s="1238">
        <f>IFERROR(LOOKUP($A628,TP!$A$6:$A$108,GSh!$AR$6:$AR$108)/100,0)</f>
        <v>0</v>
      </c>
      <c r="L633" s="1246"/>
      <c r="M633" s="291">
        <f t="shared" si="358"/>
        <v>0</v>
      </c>
      <c r="N633" s="292" t="str">
        <f>$N$10</f>
        <v xml:space="preserve">Uniformidad (C. Lote) : </v>
      </c>
      <c r="O633" s="320">
        <f>LOOKUP($A628,'Pr-Sem'!$A$6:$A$108,'Pr-Sem'!$AG$6:$AG$108)</f>
        <v>0</v>
      </c>
      <c r="P633" s="320">
        <v>90</v>
      </c>
      <c r="Q633" s="321">
        <f>IF(AND(P633&gt;0,O633&gt;0),(O633/P633-1)*100,0)</f>
        <v>0</v>
      </c>
      <c r="R633" s="699"/>
      <c r="S633" s="762"/>
      <c r="T633" s="765">
        <f t="shared" si="341"/>
        <v>0</v>
      </c>
      <c r="U633" s="700"/>
      <c r="V633" s="701"/>
      <c r="W633" s="701"/>
      <c r="X633" s="295">
        <f t="shared" si="336"/>
        <v>0</v>
      </c>
      <c r="Y633" s="296">
        <f>IF(AA633&gt;0,V633,AE628/IF(Iniciar!$C$25="B X 40 K",40,IF(Iniciar!$C$25="B X 50 K",50,1))*I633/1000)</f>
        <v>0</v>
      </c>
      <c r="Z633" s="296">
        <f t="shared" si="337"/>
        <v>0</v>
      </c>
      <c r="AA633" s="297">
        <f t="shared" si="359"/>
        <v>0</v>
      </c>
      <c r="AB633" s="297">
        <f t="shared" si="331"/>
        <v>0</v>
      </c>
      <c r="AC633" s="2037" t="str">
        <f>$AC$10</f>
        <v xml:space="preserve">Cons ml /ave día: </v>
      </c>
      <c r="AD633" s="2038"/>
      <c r="AE633" s="2056">
        <f>IFERROR(SUMPRODUCT(AB628:AB634,I628:I634)/SUM(I628:I634),0)</f>
        <v>0</v>
      </c>
      <c r="AF633" s="2057"/>
      <c r="AG633" s="311" t="str">
        <f>CONCATENATE("Costo ",Iniciar!$C$25," : ")</f>
        <v xml:space="preserve">Costo Kilos : </v>
      </c>
      <c r="AH633" s="2043">
        <f>IFERROR(SUMPRODUCT(T628:T634,V628:V634)/SUMIF(T628:T634,"&gt;0",V628:V634),0)</f>
        <v>0</v>
      </c>
      <c r="AI633" s="2043"/>
      <c r="AJ633" s="313"/>
      <c r="AK633" s="2027"/>
      <c r="AL633" s="1284">
        <f t="shared" si="332"/>
        <v>0</v>
      </c>
      <c r="AM633" s="1285"/>
      <c r="AN633" s="1285"/>
      <c r="AO633" s="1285"/>
      <c r="AP633" s="1285"/>
      <c r="AQ633" s="1285"/>
      <c r="AR633" s="1285"/>
      <c r="AS633" s="1286"/>
      <c r="AT633" s="1287"/>
      <c r="AU633" s="1288"/>
      <c r="AV633" s="1289"/>
      <c r="AW633" s="1290"/>
      <c r="AX633" s="1291"/>
      <c r="AY633" s="1291"/>
      <c r="AZ633" s="1292"/>
      <c r="BA633" s="1293"/>
      <c r="BB633" s="1294"/>
      <c r="BC633" s="1295"/>
      <c r="BD633" s="1296">
        <f>BD632+PROD!L633-BA633</f>
        <v>0</v>
      </c>
      <c r="BE633" s="2133"/>
      <c r="BF633" s="507" t="e">
        <f t="shared" si="333"/>
        <v>#VALUE!</v>
      </c>
      <c r="BG633" s="329"/>
      <c r="BH633" s="1018">
        <f t="shared" si="334"/>
        <v>0</v>
      </c>
    </row>
    <row r="634" spans="1:60" ht="15" customHeight="1" x14ac:dyDescent="0.3">
      <c r="A634" s="2034"/>
      <c r="B634" s="287" t="str">
        <f t="shared" si="335"/>
        <v/>
      </c>
      <c r="C634" s="288" t="str">
        <f t="shared" si="330"/>
        <v/>
      </c>
      <c r="D634" s="691"/>
      <c r="E634" s="692"/>
      <c r="F634" s="693"/>
      <c r="G634" s="694"/>
      <c r="H634" s="695"/>
      <c r="I634" s="289">
        <f>I633-SUM($D634:F634)</f>
        <v>0</v>
      </c>
      <c r="J634" s="1239" t="str">
        <f>$J$11</f>
        <v>% Viabilidad :</v>
      </c>
      <c r="K634" s="1240">
        <f>IF(OR(SUM(L628:L634)&gt;0,SUM(V628:V634)&gt;0),1-(K631+K632),0)</f>
        <v>0</v>
      </c>
      <c r="L634" s="1247"/>
      <c r="M634" s="1248">
        <f>IF(I634&gt;0,(L634/IF(SUM(L628:L633)&gt;0,1,7))/I634,0)</f>
        <v>0</v>
      </c>
      <c r="N634" s="1249" t="str">
        <f>$N$11</f>
        <v xml:space="preserve">Uniformidad (10% +) : </v>
      </c>
      <c r="O634" s="1250">
        <f>IF(O632&gt;0,IF(O633&gt;0,100-SUM(O632:O633),0),0)</f>
        <v>0</v>
      </c>
      <c r="P634" s="1251">
        <f>100-SUM(P632:P633)</f>
        <v>5</v>
      </c>
      <c r="Q634" s="1252">
        <f>IF(AND(P634&gt;0,O634&gt;0),(O634/P634-1)*100,0)</f>
        <v>0</v>
      </c>
      <c r="R634" s="699"/>
      <c r="S634" s="762"/>
      <c r="T634" s="765">
        <f t="shared" si="341"/>
        <v>0</v>
      </c>
      <c r="U634" s="700"/>
      <c r="V634" s="701"/>
      <c r="W634" s="701"/>
      <c r="X634" s="295">
        <f t="shared" si="336"/>
        <v>0</v>
      </c>
      <c r="Y634" s="296">
        <f>IF(AA634&gt;0,V634,AE628/IF(Iniciar!$C$25="B X 40 K",40,IF(Iniciar!$C$25="B X 50 K",50,1))*I634/1000)</f>
        <v>0</v>
      </c>
      <c r="Z634" s="296">
        <f t="shared" si="337"/>
        <v>0</v>
      </c>
      <c r="AA634" s="297">
        <f>IF(I634&gt;0,(V634/IF(SUM(V628:V633)&gt;0,1,7))*$A$1/I634,0)</f>
        <v>0</v>
      </c>
      <c r="AB634" s="297">
        <f t="shared" si="331"/>
        <v>0</v>
      </c>
      <c r="AC634" s="2039" t="str">
        <f>$AC$11</f>
        <v xml:space="preserve">Relación Agua /Alimto: </v>
      </c>
      <c r="AD634" s="2040"/>
      <c r="AE634" s="2058">
        <f>IFERROR(AE633/AD628,0)</f>
        <v>0</v>
      </c>
      <c r="AF634" s="2059"/>
      <c r="AG634" s="1269" t="s">
        <v>237</v>
      </c>
      <c r="AH634" s="1270">
        <f>IF(SUM(L628:L634)&gt;0,AH633*SUM(V628:V634)/SUM(L628:L634),0)</f>
        <v>0</v>
      </c>
      <c r="AI634" s="1270">
        <f>IF(AND($A$1&gt;0,P628&gt;0),AH633/$A$1*(AE628/P628)*100,0)</f>
        <v>0</v>
      </c>
      <c r="AJ634" s="1271">
        <f t="shared" ref="AJ634:AJ639" si="360">IF(AND(AI634&gt;0,AH634&gt;0),(AH634/AI634-1)*100,0)</f>
        <v>0</v>
      </c>
      <c r="AK634" s="2028"/>
      <c r="AL634" s="1284">
        <f t="shared" si="332"/>
        <v>0</v>
      </c>
      <c r="AM634" s="1285"/>
      <c r="AN634" s="1285"/>
      <c r="AO634" s="1285"/>
      <c r="AP634" s="1285"/>
      <c r="AQ634" s="1285"/>
      <c r="AR634" s="1285"/>
      <c r="AS634" s="1286"/>
      <c r="AT634" s="1287"/>
      <c r="AU634" s="1288"/>
      <c r="AV634" s="1289"/>
      <c r="AW634" s="1290"/>
      <c r="AX634" s="1291"/>
      <c r="AY634" s="1291"/>
      <c r="AZ634" s="1292"/>
      <c r="BA634" s="1293"/>
      <c r="BB634" s="1294"/>
      <c r="BC634" s="1295"/>
      <c r="BD634" s="1296">
        <f>BD633+PROD!L634-BA634</f>
        <v>0</v>
      </c>
      <c r="BE634" s="2134"/>
      <c r="BF634" s="507" t="e">
        <f t="shared" si="333"/>
        <v>#VALUE!</v>
      </c>
      <c r="BG634" s="329"/>
      <c r="BH634" s="1018">
        <f t="shared" si="334"/>
        <v>0</v>
      </c>
    </row>
    <row r="635" spans="1:60" ht="15" customHeight="1" x14ac:dyDescent="0.3">
      <c r="A635" s="2032">
        <f>A628+1</f>
        <v>108</v>
      </c>
      <c r="B635" s="287" t="str">
        <f t="shared" si="335"/>
        <v/>
      </c>
      <c r="C635" s="288" t="str">
        <f t="shared" si="330"/>
        <v/>
      </c>
      <c r="D635" s="691"/>
      <c r="E635" s="692"/>
      <c r="F635" s="693"/>
      <c r="G635" s="694"/>
      <c r="H635" s="695"/>
      <c r="I635" s="289">
        <f>I634-SUM($D635:F635)</f>
        <v>0</v>
      </c>
      <c r="J635" s="1232" t="str">
        <f>$J$5</f>
        <v>% Mort Sem :</v>
      </c>
      <c r="K635" s="1233">
        <f>IF(PROD!$K$2&gt;0,SUM(D635:D641)/PROD!$K$2,0)</f>
        <v>0</v>
      </c>
      <c r="L635" s="1241"/>
      <c r="M635" s="1242">
        <f t="shared" ref="M635:M640" si="361">IF(I635&gt;0,L635/I635,0)</f>
        <v>0</v>
      </c>
      <c r="N635" s="1243" t="str">
        <f>$N$5</f>
        <v xml:space="preserve">% Pdn prom semana : </v>
      </c>
      <c r="O635" s="1244">
        <f>IF(SUM(L635:L640)&gt;0,100*SUMPRODUCT(M635:M641,I635:I641)/SUMIF(L635:L641,"&gt;0",I635:I641),IF(L641&gt;0,100*L641/7/I641,0))</f>
        <v>0</v>
      </c>
      <c r="P635" s="1244">
        <f>IFERROR(LOOKUP($A635,TP!$A$6:$A$108,GSh!$AE$6:$AE$108),0)</f>
        <v>0</v>
      </c>
      <c r="Q635" s="1245">
        <f>IF(AND(P635&gt;0,O635&gt;0),O635-P635,0)</f>
        <v>0</v>
      </c>
      <c r="R635" s="699"/>
      <c r="S635" s="762"/>
      <c r="T635" s="765">
        <f t="shared" si="341"/>
        <v>0</v>
      </c>
      <c r="U635" s="700"/>
      <c r="V635" s="701"/>
      <c r="W635" s="701"/>
      <c r="X635" s="295">
        <f t="shared" si="336"/>
        <v>0</v>
      </c>
      <c r="Y635" s="296">
        <f>IF(AA635&gt;0,V635,AE635/IF(Iniciar!$C$25="B X 40 K",40,IF(Iniciar!$C$25="B X 50 K",50,1))*I635/1000)</f>
        <v>0</v>
      </c>
      <c r="Z635" s="296">
        <f t="shared" si="337"/>
        <v>0</v>
      </c>
      <c r="AA635" s="297">
        <f t="shared" ref="AA635:AA640" si="362">IF(I635&gt;0,V635*$A$1/I635,0)</f>
        <v>0</v>
      </c>
      <c r="AB635" s="297">
        <f t="shared" si="331"/>
        <v>0</v>
      </c>
      <c r="AC635" s="1261" t="str">
        <f>$AC$5</f>
        <v>Gr. Ave Dia :</v>
      </c>
      <c r="AD635" s="1262">
        <f>IF(SUMIF(V635:V641,"&gt;0")&gt;0,SUMPRODUCT(AA635:AA641,I635:I641)/SUMIF(AA635:AA641,"&gt;0",I635:I641),0)</f>
        <v>0</v>
      </c>
      <c r="AE635" s="1262">
        <f>IFERROR(LOOKUP($A635,TP!$A$6:$A$108,GSh!$AU$6:$AU$108),0)</f>
        <v>0</v>
      </c>
      <c r="AF635" s="1263">
        <f>IF(AND(AE635&gt;0,AD635&gt;0),(AD635/AE635-1)*100,0)</f>
        <v>0</v>
      </c>
      <c r="AG635" s="1264" t="str">
        <f>PROD!$AG$5</f>
        <v>Gr X H</v>
      </c>
      <c r="AH635" s="1265">
        <f>IF(PROD!O635&gt;0,IF($AG635="Gr X H",PROD!AD635/PROD!O635*100,IF($AG635="Conv Kg/Doc",PROD!AD635/PROD!O635*1.2,IF(PROD!$O637&gt;0,PROD!AD635/(PROD!O635*PROD!$O637)*100,0))),0)</f>
        <v>0</v>
      </c>
      <c r="AI635" s="1265">
        <f>IF(PROD!P635&gt;0,IF($AG635="Gr X H",PROD!AE635/PROD!P635*100,IF($AG635="Conv Kg/Doc",PROD!AE635/PROD!P635*1.2,IF(PROD!$P637&gt;0,PROD!AE635/(PROD!P635*PROD!$P637)*100,0))),0)</f>
        <v>0</v>
      </c>
      <c r="AJ635" s="1266">
        <f t="shared" si="360"/>
        <v>0</v>
      </c>
      <c r="AK635" s="2026"/>
      <c r="AL635" s="1284">
        <f t="shared" si="332"/>
        <v>0</v>
      </c>
      <c r="AM635" s="1285"/>
      <c r="AN635" s="1285"/>
      <c r="AO635" s="1285"/>
      <c r="AP635" s="1285"/>
      <c r="AQ635" s="1285"/>
      <c r="AR635" s="1285"/>
      <c r="AS635" s="1286"/>
      <c r="AT635" s="1287"/>
      <c r="AU635" s="1288"/>
      <c r="AV635" s="1289"/>
      <c r="AW635" s="1290"/>
      <c r="AX635" s="1291"/>
      <c r="AY635" s="1291"/>
      <c r="AZ635" s="1292"/>
      <c r="BA635" s="1293"/>
      <c r="BB635" s="1294"/>
      <c r="BC635" s="1295"/>
      <c r="BD635" s="1296">
        <f>BD634+PROD!L635-BA635</f>
        <v>0</v>
      </c>
      <c r="BE635" s="2132">
        <f>IF(SUM(AM635:AZ641)&gt;0,(SUM(AM635:AM641)*$AM$2+SUM(AN635:AN641)*$AN$2+SUM(AO635:AO641)*$AO$2+SUM(AP635:AP641)*$AP$2+SUM(AQ635:AQ641)*$AQ$2+SUM(AR635:AR641)*$AR$2+SUM(AS635:AS641)*$AS$2+SUM(AW635:AW641)*$AW$2+SUM(AX635:AX641)*$AX$2+SUM(AY635:AY641)*$AY$2+SUM(AZ635:AZ641)*$AZ$2+SUM(AT635:AT641)*$AT$2+SUM(AU635:AU641)*$AU$2+SUM(AV635:AV641)*$AV$2)/SUM(AM635:AZ641),0)</f>
        <v>0</v>
      </c>
      <c r="BF635" s="507" t="e">
        <f t="shared" si="333"/>
        <v>#VALUE!</v>
      </c>
      <c r="BG635" s="277">
        <f>IF(SUM(L635:L641)&gt;0,A635,IF(SUM(V635:V641)&gt;0,A635,BG628))</f>
        <v>0</v>
      </c>
      <c r="BH635" s="1018">
        <f t="shared" si="334"/>
        <v>0</v>
      </c>
    </row>
    <row r="636" spans="1:60" ht="15" customHeight="1" x14ac:dyDescent="0.3">
      <c r="A636" s="2033"/>
      <c r="B636" s="287" t="str">
        <f t="shared" si="335"/>
        <v/>
      </c>
      <c r="C636" s="288" t="str">
        <f t="shared" si="330"/>
        <v/>
      </c>
      <c r="D636" s="691"/>
      <c r="E636" s="692"/>
      <c r="F636" s="693"/>
      <c r="G636" s="694"/>
      <c r="H636" s="695"/>
      <c r="I636" s="289">
        <f>I635-SUM($D636:F636)</f>
        <v>0</v>
      </c>
      <c r="J636" s="1234" t="str">
        <f>$J$6</f>
        <v>% Sel Sem :</v>
      </c>
      <c r="K636" s="1231">
        <f>IF(PROD!$K$2&gt;0,SUM(E635:E641)/PROD!$K$2,0)</f>
        <v>0</v>
      </c>
      <c r="L636" s="1246"/>
      <c r="M636" s="291">
        <f t="shared" si="361"/>
        <v>0</v>
      </c>
      <c r="N636" s="292" t="str">
        <f>$N$6</f>
        <v xml:space="preserve">H. Ave Alojada : </v>
      </c>
      <c r="O636" s="293">
        <f>IF(AND(PROD!$K$2&gt;0,O635&gt;0),SUM(L$5:L641)/PROD!$K$2,0)</f>
        <v>0</v>
      </c>
      <c r="P636" s="293">
        <f>IFERROR(LOOKUP($A635,TP!$A$6:$A$108,GSh!$AJ$6:$AJ$108),0)</f>
        <v>0</v>
      </c>
      <c r="Q636" s="294">
        <f>IF(AND(P636&gt;0,O636&gt;0),O636-P636,0)</f>
        <v>0</v>
      </c>
      <c r="R636" s="699"/>
      <c r="S636" s="762"/>
      <c r="T636" s="765">
        <f t="shared" si="341"/>
        <v>0</v>
      </c>
      <c r="U636" s="700"/>
      <c r="V636" s="701"/>
      <c r="W636" s="701"/>
      <c r="X636" s="295">
        <f t="shared" si="336"/>
        <v>0</v>
      </c>
      <c r="Y636" s="296">
        <f>IF(AA636&gt;0,V636,AE635/IF(Iniciar!$C$25="B X 40 K",40,IF(Iniciar!$C$25="B X 50 K",50,1))*I636/1000)</f>
        <v>0</v>
      </c>
      <c r="Z636" s="296">
        <f t="shared" si="337"/>
        <v>0</v>
      </c>
      <c r="AA636" s="297">
        <f t="shared" si="362"/>
        <v>0</v>
      </c>
      <c r="AB636" s="297">
        <f t="shared" si="331"/>
        <v>0</v>
      </c>
      <c r="AC636" s="1267" t="str">
        <f>$AC$6</f>
        <v>Gr. Ave Sem :</v>
      </c>
      <c r="AD636" s="284">
        <f>AD635*7</f>
        <v>0</v>
      </c>
      <c r="AE636" s="284">
        <f>AE635*7</f>
        <v>0</v>
      </c>
      <c r="AF636" s="285">
        <f>IF(AND(AE636&gt;0,AD636&gt;0),(AD636/AE636-1)*100,0)</f>
        <v>0</v>
      </c>
      <c r="AG636" s="1199" t="str">
        <f>PROD!$AG$6</f>
        <v>Gr X H Acm</v>
      </c>
      <c r="AH636" s="298">
        <f>IF(SUM(PROD!L635:L641)&gt;0,IF(PROD!$AG$5="Gr X H",SUM(PROD!V$5:V641)*PROD!$A$1/SUM(PROD!L$5:L641),IF($AG635="Conv Kg/Doc",(SUM(PROD!V$5:V641)*PROD!$A$1/1000)/(SUM(PROD!L$5:L641)/12),IF(PROD!$O637&gt;0,SUM(PROD!V$5:V641)*PROD!$A$1/(SUM(PROD!L$5:L641)*LOOKUP(PROD!A635,TP!$A$6:$A$108,GSh!$BB$6:$BB$108)),0))),0)</f>
        <v>0</v>
      </c>
      <c r="AI636" s="298">
        <f>IF(PROD!P635&gt;0,IF($AG635="Gr X H",PROD!AE635/PROD!P635*100,IF($AG635="Conv Kg/Doc",PROD!AE635/PROD!P635*1.2,IF(PROD!$P636&gt;0,PROD!AE637/(PROD!P636*LOOKUP(PROD!$A635,TP!$A$6:$A$108,GSh!$BC$6:$BC$108)/1000),0))),0)</f>
        <v>0</v>
      </c>
      <c r="AJ636" s="328">
        <f t="shared" si="360"/>
        <v>0</v>
      </c>
      <c r="AK636" s="2027"/>
      <c r="AL636" s="1284">
        <f t="shared" si="332"/>
        <v>0</v>
      </c>
      <c r="AM636" s="1285"/>
      <c r="AN636" s="1285"/>
      <c r="AO636" s="1285"/>
      <c r="AP636" s="1285"/>
      <c r="AQ636" s="1285"/>
      <c r="AR636" s="1285"/>
      <c r="AS636" s="1286"/>
      <c r="AT636" s="1287"/>
      <c r="AU636" s="1288"/>
      <c r="AV636" s="1289"/>
      <c r="AW636" s="1290"/>
      <c r="AX636" s="1291"/>
      <c r="AY636" s="1291"/>
      <c r="AZ636" s="1292"/>
      <c r="BA636" s="1293"/>
      <c r="BB636" s="1294"/>
      <c r="BC636" s="1295"/>
      <c r="BD636" s="1296">
        <f>BD635+PROD!L636-BA636</f>
        <v>0</v>
      </c>
      <c r="BE636" s="2133"/>
      <c r="BF636" s="507" t="e">
        <f t="shared" si="333"/>
        <v>#VALUE!</v>
      </c>
      <c r="BG636" s="329"/>
      <c r="BH636" s="1018">
        <f t="shared" si="334"/>
        <v>0</v>
      </c>
    </row>
    <row r="637" spans="1:60" ht="15" customHeight="1" x14ac:dyDescent="0.3">
      <c r="A637" s="2033"/>
      <c r="B637" s="287" t="str">
        <f t="shared" si="335"/>
        <v/>
      </c>
      <c r="C637" s="288" t="str">
        <f t="shared" si="330"/>
        <v/>
      </c>
      <c r="D637" s="691"/>
      <c r="E637" s="692"/>
      <c r="F637" s="693"/>
      <c r="G637" s="694"/>
      <c r="H637" s="695"/>
      <c r="I637" s="289">
        <f>I636-SUM($D637:F637)</f>
        <v>0</v>
      </c>
      <c r="J637" s="1235" t="str">
        <f>$J$7</f>
        <v>% Mort/Sel Sem Tab :</v>
      </c>
      <c r="K637" s="1236">
        <f>K640-K633</f>
        <v>0</v>
      </c>
      <c r="L637" s="1246"/>
      <c r="M637" s="291">
        <f t="shared" si="361"/>
        <v>0</v>
      </c>
      <c r="N637" s="304" t="str">
        <f>$N$7</f>
        <v xml:space="preserve">Peso Huevo (Gr) : </v>
      </c>
      <c r="O637" s="305">
        <f>LOOKUP($A635,'Pr-Sem'!$A$6:$A$108,'Pr-Sem'!$Z$6:$Z$108)</f>
        <v>0</v>
      </c>
      <c r="P637" s="305">
        <f>IFERROR(LOOKUP($A635,TP!$A$6:$A$108,GSh!$AZ$6:$AZ$108),0)</f>
        <v>0</v>
      </c>
      <c r="Q637" s="306">
        <f>IF(AND(P637&gt;0,O637&gt;0),O637-P637,0)</f>
        <v>0</v>
      </c>
      <c r="R637" s="699"/>
      <c r="S637" s="762"/>
      <c r="T637" s="765">
        <f t="shared" si="341"/>
        <v>0</v>
      </c>
      <c r="U637" s="700"/>
      <c r="V637" s="701"/>
      <c r="W637" s="701"/>
      <c r="X637" s="295">
        <f t="shared" si="336"/>
        <v>0</v>
      </c>
      <c r="Y637" s="296">
        <f>IF(AA637&gt;0,V637,AE635/IF(Iniciar!$C$25="B X 40 K",40,IF(Iniciar!$C$25="B X 50 K",50,1))*I637/1000)</f>
        <v>0</v>
      </c>
      <c r="Z637" s="296">
        <f t="shared" si="337"/>
        <v>0</v>
      </c>
      <c r="AA637" s="297">
        <f t="shared" si="362"/>
        <v>0</v>
      </c>
      <c r="AB637" s="297">
        <f t="shared" si="331"/>
        <v>0</v>
      </c>
      <c r="AC637" s="1268" t="str">
        <f>$AC$7</f>
        <v>Kg Ave Acu :</v>
      </c>
      <c r="AD637" s="308">
        <f>IF(OR(SUM(L635:L641)&gt;0,SUM(V635:V641)&gt;0),AD636/1000+AD630,0)</f>
        <v>0</v>
      </c>
      <c r="AE637" s="309">
        <f>AE636/1000+AE630</f>
        <v>0</v>
      </c>
      <c r="AF637" s="310">
        <f>IF(AND(AE637&gt;0,AD637&gt;0),(AD637/AE637-1)*100,0)</f>
        <v>0</v>
      </c>
      <c r="AG637" s="311" t="str">
        <f>PROD!$AG$7</f>
        <v xml:space="preserve">Masa Sem H (Gr) : </v>
      </c>
      <c r="AH637" s="312">
        <f>PROD!O635/100*7*PROD!O637</f>
        <v>0</v>
      </c>
      <c r="AI637" s="312">
        <f>PROD!P635/100*7*PROD!P637</f>
        <v>0</v>
      </c>
      <c r="AJ637" s="313">
        <f t="shared" si="360"/>
        <v>0</v>
      </c>
      <c r="AK637" s="2027"/>
      <c r="AL637" s="1284">
        <f t="shared" si="332"/>
        <v>0</v>
      </c>
      <c r="AM637" s="1285"/>
      <c r="AN637" s="1285"/>
      <c r="AO637" s="1285"/>
      <c r="AP637" s="1285"/>
      <c r="AQ637" s="1285"/>
      <c r="AR637" s="1285"/>
      <c r="AS637" s="1286"/>
      <c r="AT637" s="1287"/>
      <c r="AU637" s="1288"/>
      <c r="AV637" s="1289"/>
      <c r="AW637" s="1290"/>
      <c r="AX637" s="1291"/>
      <c r="AY637" s="1291"/>
      <c r="AZ637" s="1292"/>
      <c r="BA637" s="1293"/>
      <c r="BB637" s="1294"/>
      <c r="BC637" s="1295"/>
      <c r="BD637" s="1296">
        <f>BD636+PROD!L637-BA637</f>
        <v>0</v>
      </c>
      <c r="BE637" s="2133"/>
      <c r="BF637" s="507" t="e">
        <f t="shared" si="333"/>
        <v>#VALUE!</v>
      </c>
      <c r="BG637" s="329"/>
      <c r="BH637" s="1018">
        <f t="shared" si="334"/>
        <v>0</v>
      </c>
    </row>
    <row r="638" spans="1:60" ht="15" customHeight="1" x14ac:dyDescent="0.3">
      <c r="A638" s="2033"/>
      <c r="B638" s="287" t="str">
        <f t="shared" si="335"/>
        <v/>
      </c>
      <c r="C638" s="288" t="str">
        <f t="shared" si="330"/>
        <v/>
      </c>
      <c r="D638" s="691"/>
      <c r="E638" s="692"/>
      <c r="F638" s="693"/>
      <c r="G638" s="694"/>
      <c r="H638" s="695"/>
      <c r="I638" s="289">
        <f>I637-SUM($D638:F638)</f>
        <v>0</v>
      </c>
      <c r="J638" s="1234" t="str">
        <f>$J$8</f>
        <v>% Mort Acm :</v>
      </c>
      <c r="K638" s="1231">
        <f>IF(PROD!$K$2&gt;0,SUM(D$5:D641)/PROD!$K$2,0)</f>
        <v>0</v>
      </c>
      <c r="L638" s="1246"/>
      <c r="M638" s="291">
        <f t="shared" si="361"/>
        <v>0</v>
      </c>
      <c r="N638" s="314" t="str">
        <f>N$8</f>
        <v xml:space="preserve">Peso Ave (Gr) : </v>
      </c>
      <c r="O638" s="315">
        <f>LOOKUP($A635,GSh!$BV$6:$BV$108,GSh!$BJ$6:$BJ$108)</f>
        <v>0</v>
      </c>
      <c r="P638" s="315">
        <f>IFERROR(LOOKUP($A635,TP!$A$6:$A$108,GSh!$BK$6:$BK$108),0)</f>
        <v>0</v>
      </c>
      <c r="Q638" s="316">
        <f>IF(AND(P638&gt;0,O638&gt;0),(O638/P638-1)*100,0)</f>
        <v>0</v>
      </c>
      <c r="R638" s="699"/>
      <c r="S638" s="762"/>
      <c r="T638" s="765">
        <f t="shared" si="341"/>
        <v>0</v>
      </c>
      <c r="U638" s="700"/>
      <c r="V638" s="701"/>
      <c r="W638" s="701"/>
      <c r="X638" s="295">
        <f t="shared" si="336"/>
        <v>0</v>
      </c>
      <c r="Y638" s="296">
        <f>IF(AA638&gt;0,V638,AE635/IF(Iniciar!$C$25="B X 40 K",40,IF(Iniciar!$C$25="B X 50 K",50,1))*I638/1000)</f>
        <v>0</v>
      </c>
      <c r="Z638" s="296">
        <f t="shared" si="337"/>
        <v>0</v>
      </c>
      <c r="AA638" s="297">
        <f t="shared" si="362"/>
        <v>0</v>
      </c>
      <c r="AB638" s="297">
        <f t="shared" si="331"/>
        <v>0</v>
      </c>
      <c r="AC638" s="541" t="str">
        <f>$AC$8</f>
        <v xml:space="preserve">Ton. Lote Acu : </v>
      </c>
      <c r="AD638" s="544">
        <f>SUM($V$5:$V641)*$A$1/1000000</f>
        <v>0</v>
      </c>
      <c r="AE638" s="543">
        <f>AE631+(AE635/1000000*7*(I635+I641)/2)</f>
        <v>0</v>
      </c>
      <c r="AF638" s="542">
        <f>IF(AND(AE638&gt;0,AD638&gt;0),(AD638/AE638-1)*100,0)</f>
        <v>0</v>
      </c>
      <c r="AG638" s="317" t="str">
        <f>PROD!$AG$8</f>
        <v xml:space="preserve">Masa Ac A. A (Kg) : </v>
      </c>
      <c r="AH638" s="318">
        <f>IF(PROD!$K$2&gt;0,SUM(PROD!L$5:L641)*LOOKUP(PROD!$A635,TP!$A$6:$A$108,GSh!$BB$6:$BB$108)/1000/PROD!$K$2,0)</f>
        <v>0</v>
      </c>
      <c r="AI638" s="318">
        <f>IFERROR(PROD!P636*LOOKUP(PROD!$A635,TP!$A$6:$A$108,GSh!$BC$6:$BC$108)/1000,0)</f>
        <v>0</v>
      </c>
      <c r="AJ638" s="330">
        <f t="shared" si="360"/>
        <v>0</v>
      </c>
      <c r="AK638" s="2027"/>
      <c r="AL638" s="1284">
        <f t="shared" si="332"/>
        <v>0</v>
      </c>
      <c r="AM638" s="1285"/>
      <c r="AN638" s="1285"/>
      <c r="AO638" s="1285"/>
      <c r="AP638" s="1285"/>
      <c r="AQ638" s="1285"/>
      <c r="AR638" s="1285"/>
      <c r="AS638" s="1286"/>
      <c r="AT638" s="1287"/>
      <c r="AU638" s="1288"/>
      <c r="AV638" s="1289"/>
      <c r="AW638" s="1290"/>
      <c r="AX638" s="1291"/>
      <c r="AY638" s="1291"/>
      <c r="AZ638" s="1292"/>
      <c r="BA638" s="1293"/>
      <c r="BB638" s="1294"/>
      <c r="BC638" s="1295"/>
      <c r="BD638" s="1296">
        <f>BD637+PROD!L638-BA638</f>
        <v>0</v>
      </c>
      <c r="BE638" s="2133"/>
      <c r="BF638" s="507" t="e">
        <f t="shared" si="333"/>
        <v>#VALUE!</v>
      </c>
      <c r="BG638" s="329"/>
      <c r="BH638" s="1018">
        <f t="shared" si="334"/>
        <v>0</v>
      </c>
    </row>
    <row r="639" spans="1:60" ht="15" customHeight="1" x14ac:dyDescent="0.3">
      <c r="A639" s="2033"/>
      <c r="B639" s="287" t="str">
        <f t="shared" si="335"/>
        <v/>
      </c>
      <c r="C639" s="288" t="str">
        <f t="shared" si="330"/>
        <v/>
      </c>
      <c r="D639" s="691"/>
      <c r="E639" s="692"/>
      <c r="F639" s="693"/>
      <c r="G639" s="694"/>
      <c r="H639" s="695"/>
      <c r="I639" s="289">
        <f>I638-SUM($D639:F639)</f>
        <v>0</v>
      </c>
      <c r="J639" s="1234" t="str">
        <f>$J$9</f>
        <v>% Sel Acm :</v>
      </c>
      <c r="K639" s="1231">
        <f>IF(PROD!$K$2&gt;0,SUM(E$5:E641)/PROD!$K$2,0)</f>
        <v>0</v>
      </c>
      <c r="L639" s="1246"/>
      <c r="M639" s="291">
        <f t="shared" si="361"/>
        <v>0</v>
      </c>
      <c r="N639" s="292" t="str">
        <f>$N$9</f>
        <v xml:space="preserve">Uniformidad (10% -) : </v>
      </c>
      <c r="O639" s="320">
        <f>LOOKUP($A635,'Pr-Sem'!$A$6:$A$108,'Pr-Sem'!$AH$6:$AH$108)</f>
        <v>0</v>
      </c>
      <c r="P639" s="320">
        <v>5</v>
      </c>
      <c r="Q639" s="321">
        <f>IF(AND(P639&gt;0,O639&gt;0),(1-O639/P639)*100,0)</f>
        <v>0</v>
      </c>
      <c r="R639" s="699"/>
      <c r="S639" s="762"/>
      <c r="T639" s="765">
        <f t="shared" si="341"/>
        <v>0</v>
      </c>
      <c r="U639" s="700"/>
      <c r="V639" s="701"/>
      <c r="W639" s="701"/>
      <c r="X639" s="295">
        <f t="shared" si="336"/>
        <v>0</v>
      </c>
      <c r="Y639" s="296">
        <f>IF(AA639&gt;0,V639,AE635/IF(Iniciar!$C$25="B X 40 K",40,IF(Iniciar!$C$25="B X 50 K",50,1))*I639/1000)</f>
        <v>0</v>
      </c>
      <c r="Z639" s="296">
        <f t="shared" si="337"/>
        <v>0</v>
      </c>
      <c r="AA639" s="297">
        <f t="shared" si="362"/>
        <v>0</v>
      </c>
      <c r="AB639" s="297">
        <f t="shared" si="331"/>
        <v>0</v>
      </c>
      <c r="AC639" s="2035" t="str">
        <f>$AC$9</f>
        <v xml:space="preserve">Total Litros Sem: </v>
      </c>
      <c r="AD639" s="2036"/>
      <c r="AE639" s="2050">
        <f>SUM(R635:R641)</f>
        <v>0</v>
      </c>
      <c r="AF639" s="2051"/>
      <c r="AG639" s="554" t="str">
        <f>$AG$9</f>
        <v xml:space="preserve">Indicador Eficiencia : </v>
      </c>
      <c r="AH639" s="555">
        <f>IF(AND(AE639&gt;0,O636&gt;0,O637&gt;0,SUM(L635:L641)&gt;0),(PROD!AH638/O636)*K641*100/(AE639/(SUM(L635:L641)*O637/1000)),0)</f>
        <v>0</v>
      </c>
      <c r="AI639" s="555">
        <f>IF(AND(P636&gt;0,PROD!AI637&gt;0),(PROD!AI638/P636)*(1-K640)*100/(AE636/PROD!AI637),0)</f>
        <v>0</v>
      </c>
      <c r="AJ639" s="331">
        <f t="shared" si="360"/>
        <v>0</v>
      </c>
      <c r="AK639" s="2027"/>
      <c r="AL639" s="1284">
        <f t="shared" si="332"/>
        <v>0</v>
      </c>
      <c r="AM639" s="1285"/>
      <c r="AN639" s="1285"/>
      <c r="AO639" s="1285"/>
      <c r="AP639" s="1285"/>
      <c r="AQ639" s="1285"/>
      <c r="AR639" s="1285"/>
      <c r="AS639" s="1286"/>
      <c r="AT639" s="1287"/>
      <c r="AU639" s="1288"/>
      <c r="AV639" s="1289"/>
      <c r="AW639" s="1290"/>
      <c r="AX639" s="1291"/>
      <c r="AY639" s="1291"/>
      <c r="AZ639" s="1292"/>
      <c r="BA639" s="1293"/>
      <c r="BB639" s="1294"/>
      <c r="BC639" s="1295"/>
      <c r="BD639" s="1296">
        <f>BD638+PROD!L639-BA639</f>
        <v>0</v>
      </c>
      <c r="BE639" s="2133"/>
      <c r="BF639" s="507" t="e">
        <f t="shared" si="333"/>
        <v>#VALUE!</v>
      </c>
      <c r="BG639" s="329"/>
      <c r="BH639" s="1018">
        <f t="shared" si="334"/>
        <v>0</v>
      </c>
    </row>
    <row r="640" spans="1:60" ht="15" customHeight="1" x14ac:dyDescent="0.3">
      <c r="A640" s="2033"/>
      <c r="B640" s="287" t="str">
        <f t="shared" si="335"/>
        <v/>
      </c>
      <c r="C640" s="288" t="str">
        <f t="shared" si="330"/>
        <v/>
      </c>
      <c r="D640" s="691"/>
      <c r="E640" s="692"/>
      <c r="F640" s="693"/>
      <c r="G640" s="694"/>
      <c r="H640" s="695"/>
      <c r="I640" s="289">
        <f>I639-SUM($D640:F640)</f>
        <v>0</v>
      </c>
      <c r="J640" s="1237" t="str">
        <f>$J$10</f>
        <v>% Mort/Sel Acm Tab :</v>
      </c>
      <c r="K640" s="1238">
        <f>IFERROR(LOOKUP($A635,TP!$A$6:$A$108,GSh!$AR$6:$AR$108)/100,0)</f>
        <v>0</v>
      </c>
      <c r="L640" s="1246"/>
      <c r="M640" s="291">
        <f t="shared" si="361"/>
        <v>0</v>
      </c>
      <c r="N640" s="292" t="str">
        <f>$N$10</f>
        <v xml:space="preserve">Uniformidad (C. Lote) : </v>
      </c>
      <c r="O640" s="320">
        <f>LOOKUP($A635,'Pr-Sem'!$A$6:$A$108,'Pr-Sem'!$AG$6:$AG$108)</f>
        <v>0</v>
      </c>
      <c r="P640" s="320">
        <v>90</v>
      </c>
      <c r="Q640" s="321">
        <f>IF(AND(P640&gt;0,O640&gt;0),(O640/P640-1)*100,0)</f>
        <v>0</v>
      </c>
      <c r="R640" s="699"/>
      <c r="S640" s="762"/>
      <c r="T640" s="765">
        <f t="shared" si="341"/>
        <v>0</v>
      </c>
      <c r="U640" s="700"/>
      <c r="V640" s="701"/>
      <c r="W640" s="701"/>
      <c r="X640" s="295">
        <f t="shared" si="336"/>
        <v>0</v>
      </c>
      <c r="Y640" s="296">
        <f>IF(AA640&gt;0,V640,AE635/IF(Iniciar!$C$25="B X 40 K",40,IF(Iniciar!$C$25="B X 50 K",50,1))*I640/1000)</f>
        <v>0</v>
      </c>
      <c r="Z640" s="296">
        <f t="shared" si="337"/>
        <v>0</v>
      </c>
      <c r="AA640" s="297">
        <f t="shared" si="362"/>
        <v>0</v>
      </c>
      <c r="AB640" s="297">
        <f t="shared" si="331"/>
        <v>0</v>
      </c>
      <c r="AC640" s="2037" t="str">
        <f>$AC$10</f>
        <v xml:space="preserve">Cons ml /ave día: </v>
      </c>
      <c r="AD640" s="2038"/>
      <c r="AE640" s="2056">
        <f>IFERROR(SUMPRODUCT(AB635:AB641,I635:I641)/SUM(I635:I641),0)</f>
        <v>0</v>
      </c>
      <c r="AF640" s="2057"/>
      <c r="AG640" s="311" t="str">
        <f>CONCATENATE("Costo ",Iniciar!$C$25," : ")</f>
        <v xml:space="preserve">Costo Kilos : </v>
      </c>
      <c r="AH640" s="2043">
        <f>IFERROR(SUMPRODUCT(T635:T641,V635:V641)/SUMIF(T635:T641,"&gt;0",V635:V641),0)</f>
        <v>0</v>
      </c>
      <c r="AI640" s="2043"/>
      <c r="AJ640" s="313"/>
      <c r="AK640" s="2027"/>
      <c r="AL640" s="1284">
        <f t="shared" si="332"/>
        <v>0</v>
      </c>
      <c r="AM640" s="1285"/>
      <c r="AN640" s="1285"/>
      <c r="AO640" s="1285"/>
      <c r="AP640" s="1285"/>
      <c r="AQ640" s="1285"/>
      <c r="AR640" s="1285"/>
      <c r="AS640" s="1286"/>
      <c r="AT640" s="1287"/>
      <c r="AU640" s="1288"/>
      <c r="AV640" s="1289"/>
      <c r="AW640" s="1290"/>
      <c r="AX640" s="1291"/>
      <c r="AY640" s="1291"/>
      <c r="AZ640" s="1292"/>
      <c r="BA640" s="1293"/>
      <c r="BB640" s="1294"/>
      <c r="BC640" s="1295"/>
      <c r="BD640" s="1296">
        <f>BD639+PROD!L640-BA640</f>
        <v>0</v>
      </c>
      <c r="BE640" s="2133"/>
      <c r="BF640" s="507" t="e">
        <f t="shared" si="333"/>
        <v>#VALUE!</v>
      </c>
      <c r="BG640" s="329"/>
      <c r="BH640" s="1018">
        <f t="shared" si="334"/>
        <v>0</v>
      </c>
    </row>
    <row r="641" spans="1:60" ht="15" customHeight="1" x14ac:dyDescent="0.3">
      <c r="A641" s="2034"/>
      <c r="B641" s="287" t="str">
        <f t="shared" si="335"/>
        <v/>
      </c>
      <c r="C641" s="288" t="str">
        <f t="shared" si="330"/>
        <v/>
      </c>
      <c r="D641" s="691"/>
      <c r="E641" s="692"/>
      <c r="F641" s="693"/>
      <c r="G641" s="694"/>
      <c r="H641" s="695"/>
      <c r="I641" s="289">
        <f>I640-SUM($D641:F641)</f>
        <v>0</v>
      </c>
      <c r="J641" s="1239" t="str">
        <f>$J$11</f>
        <v>% Viabilidad :</v>
      </c>
      <c r="K641" s="1240">
        <f>IF(OR(SUM(L635:L641)&gt;0,SUM(V635:V641)&gt;0),1-(K638+K639),0)</f>
        <v>0</v>
      </c>
      <c r="L641" s="1247"/>
      <c r="M641" s="1248">
        <f>IF(I641&gt;0,(L641/IF(SUM(L635:L640)&gt;0,1,7))/I641,0)</f>
        <v>0</v>
      </c>
      <c r="N641" s="1249" t="str">
        <f>$N$11</f>
        <v xml:space="preserve">Uniformidad (10% +) : </v>
      </c>
      <c r="O641" s="1250">
        <f>IF(O639&gt;0,IF(O640&gt;0,100-SUM(O639:O640),0),0)</f>
        <v>0</v>
      </c>
      <c r="P641" s="1251">
        <f>100-SUM(P639:P640)</f>
        <v>5</v>
      </c>
      <c r="Q641" s="1252">
        <f>IF(AND(P641&gt;0,O641&gt;0),(O641/P641-1)*100,0)</f>
        <v>0</v>
      </c>
      <c r="R641" s="699"/>
      <c r="S641" s="762"/>
      <c r="T641" s="765">
        <f t="shared" si="341"/>
        <v>0</v>
      </c>
      <c r="U641" s="700"/>
      <c r="V641" s="701"/>
      <c r="W641" s="701"/>
      <c r="X641" s="295">
        <f t="shared" si="336"/>
        <v>0</v>
      </c>
      <c r="Y641" s="296">
        <f>IF(AA641&gt;0,V641,AE635/IF(Iniciar!$C$25="B X 40 K",40,IF(Iniciar!$C$25="B X 50 K",50,1))*I641/1000)</f>
        <v>0</v>
      </c>
      <c r="Z641" s="296">
        <f t="shared" si="337"/>
        <v>0</v>
      </c>
      <c r="AA641" s="297">
        <f>IF(I641&gt;0,(V641/IF(SUM(V635:V640)&gt;0,1,7))*$A$1/I641,0)</f>
        <v>0</v>
      </c>
      <c r="AB641" s="297">
        <f t="shared" si="331"/>
        <v>0</v>
      </c>
      <c r="AC641" s="2039" t="str">
        <f>$AC$11</f>
        <v xml:space="preserve">Relación Agua /Alimto: </v>
      </c>
      <c r="AD641" s="2040"/>
      <c r="AE641" s="2058">
        <f>IFERROR(AE640/AD635,0)</f>
        <v>0</v>
      </c>
      <c r="AF641" s="2059"/>
      <c r="AG641" s="1269" t="s">
        <v>237</v>
      </c>
      <c r="AH641" s="1270">
        <f>IF(SUM(L635:L641)&gt;0,AH640*SUM(V635:V641)/SUM(L635:L641),0)</f>
        <v>0</v>
      </c>
      <c r="AI641" s="1270">
        <f>IF(AND($A$1&gt;0,P635&gt;0),AH640/$A$1*(AE635/P635)*100,0)</f>
        <v>0</v>
      </c>
      <c r="AJ641" s="1271">
        <f t="shared" ref="AJ641:AJ646" si="363">IF(AND(AI641&gt;0,AH641&gt;0),(AH641/AI641-1)*100,0)</f>
        <v>0</v>
      </c>
      <c r="AK641" s="2028"/>
      <c r="AL641" s="1284">
        <f t="shared" si="332"/>
        <v>0</v>
      </c>
      <c r="AM641" s="1285"/>
      <c r="AN641" s="1285"/>
      <c r="AO641" s="1285"/>
      <c r="AP641" s="1285"/>
      <c r="AQ641" s="1285"/>
      <c r="AR641" s="1285"/>
      <c r="AS641" s="1286"/>
      <c r="AT641" s="1287"/>
      <c r="AU641" s="1288"/>
      <c r="AV641" s="1289"/>
      <c r="AW641" s="1290"/>
      <c r="AX641" s="1291"/>
      <c r="AY641" s="1291"/>
      <c r="AZ641" s="1292"/>
      <c r="BA641" s="1293"/>
      <c r="BB641" s="1294"/>
      <c r="BC641" s="1295"/>
      <c r="BD641" s="1296">
        <f>BD640+PROD!L641-BA641</f>
        <v>0</v>
      </c>
      <c r="BE641" s="2134"/>
      <c r="BF641" s="507" t="e">
        <f t="shared" si="333"/>
        <v>#VALUE!</v>
      </c>
      <c r="BG641" s="329"/>
      <c r="BH641" s="1018">
        <f t="shared" si="334"/>
        <v>0</v>
      </c>
    </row>
    <row r="642" spans="1:60" ht="15" customHeight="1" x14ac:dyDescent="0.3">
      <c r="A642" s="2032">
        <f>A635+1</f>
        <v>109</v>
      </c>
      <c r="B642" s="287" t="str">
        <f t="shared" si="335"/>
        <v/>
      </c>
      <c r="C642" s="288" t="str">
        <f t="shared" si="330"/>
        <v/>
      </c>
      <c r="D642" s="691"/>
      <c r="E642" s="692"/>
      <c r="F642" s="693"/>
      <c r="G642" s="694"/>
      <c r="H642" s="695"/>
      <c r="I642" s="289">
        <f>I641-SUM($D642:F642)</f>
        <v>0</v>
      </c>
      <c r="J642" s="1232" t="str">
        <f>$J$5</f>
        <v>% Mort Sem :</v>
      </c>
      <c r="K642" s="1233">
        <f>IF(PROD!$K$2&gt;0,SUM(D642:D648)/PROD!$K$2,0)</f>
        <v>0</v>
      </c>
      <c r="L642" s="1241"/>
      <c r="M642" s="1242">
        <f t="shared" ref="M642:M647" si="364">IF(I642&gt;0,L642/I642,0)</f>
        <v>0</v>
      </c>
      <c r="N642" s="1243" t="str">
        <f>$N$5</f>
        <v xml:space="preserve">% Pdn prom semana : </v>
      </c>
      <c r="O642" s="1244">
        <f>IF(SUM(L642:L647)&gt;0,100*SUMPRODUCT(M642:M648,I642:I648)/SUMIF(L642:L648,"&gt;0",I642:I648),IF(L648&gt;0,100*L648/7/I648,0))</f>
        <v>0</v>
      </c>
      <c r="P642" s="1244">
        <f>IFERROR(LOOKUP($A642,TP!$A$6:$A$108,GSh!$AE$6:$AE$108),0)</f>
        <v>0</v>
      </c>
      <c r="Q642" s="1245">
        <f>IF(AND(P642&gt;0,O642&gt;0),O642-P642,0)</f>
        <v>0</v>
      </c>
      <c r="R642" s="699"/>
      <c r="S642" s="762"/>
      <c r="T642" s="765">
        <f t="shared" si="341"/>
        <v>0</v>
      </c>
      <c r="U642" s="700"/>
      <c r="V642" s="701"/>
      <c r="W642" s="701"/>
      <c r="X642" s="295">
        <f t="shared" si="336"/>
        <v>0</v>
      </c>
      <c r="Y642" s="296">
        <f>IF(AA642&gt;0,V642,AE642/IF(Iniciar!$C$25="B X 40 K",40,IF(Iniciar!$C$25="B X 50 K",50,1))*I642/1000)</f>
        <v>0</v>
      </c>
      <c r="Z642" s="296">
        <f t="shared" si="337"/>
        <v>0</v>
      </c>
      <c r="AA642" s="297">
        <f t="shared" ref="AA642:AA647" si="365">IF(I642&gt;0,V642*$A$1/I642,0)</f>
        <v>0</v>
      </c>
      <c r="AB642" s="297">
        <f t="shared" si="331"/>
        <v>0</v>
      </c>
      <c r="AC642" s="1261" t="str">
        <f>$AC$5</f>
        <v>Gr. Ave Dia :</v>
      </c>
      <c r="AD642" s="1262">
        <f>IF(SUMIF(V642:V648,"&gt;0")&gt;0,SUMPRODUCT(AA642:AA648,I642:I648)/SUMIF(AA642:AA648,"&gt;0",I642:I648),0)</f>
        <v>0</v>
      </c>
      <c r="AE642" s="1262">
        <f>IFERROR(LOOKUP($A642,TP!$A$6:$A$108,GSh!$AU$6:$AU$108),0)</f>
        <v>0</v>
      </c>
      <c r="AF642" s="1263">
        <f>IF(AND(AE642&gt;0,AD642&gt;0),(AD642/AE642-1)*100,0)</f>
        <v>0</v>
      </c>
      <c r="AG642" s="1264" t="str">
        <f>PROD!$AG$5</f>
        <v>Gr X H</v>
      </c>
      <c r="AH642" s="1265">
        <f>IF(PROD!O642&gt;0,IF($AG642="Gr X H",PROD!AD642/PROD!O642*100,IF($AG642="Conv Kg/Doc",PROD!AD642/PROD!O642*1.2,IF(PROD!$O644&gt;0,PROD!AD642/(PROD!O642*PROD!$O644)*100,0))),0)</f>
        <v>0</v>
      </c>
      <c r="AI642" s="1265">
        <f>IF(PROD!P642&gt;0,IF($AG642="Gr X H",PROD!AE642/PROD!P642*100,IF($AG642="Conv Kg/Doc",PROD!AE642/PROD!P642*1.2,IF(PROD!$P644&gt;0,PROD!AE642/(PROD!P642*PROD!$P644)*100,0))),0)</f>
        <v>0</v>
      </c>
      <c r="AJ642" s="1266">
        <f t="shared" si="363"/>
        <v>0</v>
      </c>
      <c r="AK642" s="2026"/>
      <c r="AL642" s="1284">
        <f t="shared" si="332"/>
        <v>0</v>
      </c>
      <c r="AM642" s="1285"/>
      <c r="AN642" s="1285"/>
      <c r="AO642" s="1285"/>
      <c r="AP642" s="1285"/>
      <c r="AQ642" s="1285"/>
      <c r="AR642" s="1285"/>
      <c r="AS642" s="1286"/>
      <c r="AT642" s="1287"/>
      <c r="AU642" s="1288"/>
      <c r="AV642" s="1289"/>
      <c r="AW642" s="1290"/>
      <c r="AX642" s="1291"/>
      <c r="AY642" s="1291"/>
      <c r="AZ642" s="1292"/>
      <c r="BA642" s="1293"/>
      <c r="BB642" s="1294"/>
      <c r="BC642" s="1295"/>
      <c r="BD642" s="1296">
        <f>BD641+PROD!L642-BA642</f>
        <v>0</v>
      </c>
      <c r="BE642" s="2132">
        <f>IF(SUM(AM642:AZ648)&gt;0,(SUM(AM642:AM648)*$AM$2+SUM(AN642:AN648)*$AN$2+SUM(AO642:AO648)*$AO$2+SUM(AP642:AP648)*$AP$2+SUM(AQ642:AQ648)*$AQ$2+SUM(AR642:AR648)*$AR$2+SUM(AS642:AS648)*$AS$2+SUM(AW642:AW648)*$AW$2+SUM(AX642:AX648)*$AX$2+SUM(AY642:AY648)*$AY$2+SUM(AZ642:AZ648)*$AZ$2+SUM(AT642:AT648)*$AT$2+SUM(AU642:AU648)*$AU$2+SUM(AV642:AV648)*$AV$2)/SUM(AM642:AZ648),0)</f>
        <v>0</v>
      </c>
      <c r="BF642" s="507" t="e">
        <f t="shared" si="333"/>
        <v>#VALUE!</v>
      </c>
      <c r="BG642" s="277">
        <f>IF(SUM(L642:L648)&gt;0,A642,IF(SUM(V642:V648)&gt;0,A642,BG635))</f>
        <v>0</v>
      </c>
      <c r="BH642" s="1018">
        <f t="shared" si="334"/>
        <v>0</v>
      </c>
    </row>
    <row r="643" spans="1:60" ht="15" customHeight="1" x14ac:dyDescent="0.3">
      <c r="A643" s="2033"/>
      <c r="B643" s="287" t="str">
        <f t="shared" si="335"/>
        <v/>
      </c>
      <c r="C643" s="288" t="str">
        <f t="shared" si="330"/>
        <v/>
      </c>
      <c r="D643" s="691"/>
      <c r="E643" s="692"/>
      <c r="F643" s="693"/>
      <c r="G643" s="694"/>
      <c r="H643" s="695"/>
      <c r="I643" s="289">
        <f>I642-SUM($D643:F643)</f>
        <v>0</v>
      </c>
      <c r="J643" s="1234" t="str">
        <f>$J$6</f>
        <v>% Sel Sem :</v>
      </c>
      <c r="K643" s="1231">
        <f>IF(PROD!$K$2&gt;0,SUM(E642:E648)/PROD!$K$2,0)</f>
        <v>0</v>
      </c>
      <c r="L643" s="1246"/>
      <c r="M643" s="291">
        <f t="shared" si="364"/>
        <v>0</v>
      </c>
      <c r="N643" s="292" t="str">
        <f>$N$6</f>
        <v xml:space="preserve">H. Ave Alojada : </v>
      </c>
      <c r="O643" s="293">
        <f>IF(AND(PROD!$K$2&gt;0,O642&gt;0),SUM(L$5:L648)/PROD!$K$2,0)</f>
        <v>0</v>
      </c>
      <c r="P643" s="293">
        <f>IFERROR(LOOKUP($A642,TP!$A$6:$A$108,GSh!$AJ$6:$AJ$108),0)</f>
        <v>0</v>
      </c>
      <c r="Q643" s="294">
        <f>IF(AND(P643&gt;0,O643&gt;0),O643-P643,0)</f>
        <v>0</v>
      </c>
      <c r="R643" s="699"/>
      <c r="S643" s="762"/>
      <c r="T643" s="765">
        <f t="shared" si="341"/>
        <v>0</v>
      </c>
      <c r="U643" s="700"/>
      <c r="V643" s="701"/>
      <c r="W643" s="701"/>
      <c r="X643" s="295">
        <f t="shared" si="336"/>
        <v>0</v>
      </c>
      <c r="Y643" s="296">
        <f>IF(AA643&gt;0,V643,AE642/IF(Iniciar!$C$25="B X 40 K",40,IF(Iniciar!$C$25="B X 50 K",50,1))*I643/1000)</f>
        <v>0</v>
      </c>
      <c r="Z643" s="296">
        <f t="shared" si="337"/>
        <v>0</v>
      </c>
      <c r="AA643" s="297">
        <f t="shared" si="365"/>
        <v>0</v>
      </c>
      <c r="AB643" s="297">
        <f t="shared" si="331"/>
        <v>0</v>
      </c>
      <c r="AC643" s="1267" t="str">
        <f>$AC$6</f>
        <v>Gr. Ave Sem :</v>
      </c>
      <c r="AD643" s="284">
        <f>AD642*7</f>
        <v>0</v>
      </c>
      <c r="AE643" s="284">
        <f>AE642*7</f>
        <v>0</v>
      </c>
      <c r="AF643" s="285">
        <f>IF(AND(AE643&gt;0,AD643&gt;0),(AD643/AE643-1)*100,0)</f>
        <v>0</v>
      </c>
      <c r="AG643" s="1199" t="str">
        <f>PROD!$AG$6</f>
        <v>Gr X H Acm</v>
      </c>
      <c r="AH643" s="298">
        <f>IF(SUM(PROD!L642:L648)&gt;0,IF(PROD!$AG$5="Gr X H",SUM(PROD!V$5:V648)*PROD!$A$1/SUM(PROD!L$5:L648),IF($AG642="Conv Kg/Doc",(SUM(PROD!V$5:V648)*PROD!$A$1/1000)/(SUM(PROD!L$5:L648)/12),IF(PROD!$O644&gt;0,SUM(PROD!V$5:V648)*PROD!$A$1/(SUM(PROD!L$5:L648)*LOOKUP(PROD!A642,TP!$A$6:$A$108,GSh!$BB$6:$BB$108)),0))),0)</f>
        <v>0</v>
      </c>
      <c r="AI643" s="298">
        <f>IF(PROD!P642&gt;0,IF($AG642="Gr X H",PROD!AE642/PROD!P642*100,IF($AG642="Conv Kg/Doc",PROD!AE642/PROD!P642*1.2,IF(PROD!$P643&gt;0,PROD!AE644/(PROD!P643*LOOKUP(PROD!$A642,TP!$A$6:$A$108,GSh!$BC$6:$BC$108)/1000),0))),0)</f>
        <v>0</v>
      </c>
      <c r="AJ643" s="328">
        <f t="shared" si="363"/>
        <v>0</v>
      </c>
      <c r="AK643" s="2027"/>
      <c r="AL643" s="1284">
        <f t="shared" si="332"/>
        <v>0</v>
      </c>
      <c r="AM643" s="1285"/>
      <c r="AN643" s="1285"/>
      <c r="AO643" s="1285"/>
      <c r="AP643" s="1285"/>
      <c r="AQ643" s="1285"/>
      <c r="AR643" s="1285"/>
      <c r="AS643" s="1286"/>
      <c r="AT643" s="1287"/>
      <c r="AU643" s="1288"/>
      <c r="AV643" s="1289"/>
      <c r="AW643" s="1290"/>
      <c r="AX643" s="1291"/>
      <c r="AY643" s="1291"/>
      <c r="AZ643" s="1292"/>
      <c r="BA643" s="1293"/>
      <c r="BB643" s="1294"/>
      <c r="BC643" s="1295"/>
      <c r="BD643" s="1296">
        <f>BD642+PROD!L643-BA643</f>
        <v>0</v>
      </c>
      <c r="BE643" s="2133"/>
      <c r="BF643" s="507" t="e">
        <f t="shared" si="333"/>
        <v>#VALUE!</v>
      </c>
      <c r="BG643" s="329"/>
      <c r="BH643" s="1018">
        <f t="shared" si="334"/>
        <v>0</v>
      </c>
    </row>
    <row r="644" spans="1:60" ht="15" customHeight="1" x14ac:dyDescent="0.3">
      <c r="A644" s="2033"/>
      <c r="B644" s="287" t="str">
        <f t="shared" si="335"/>
        <v/>
      </c>
      <c r="C644" s="288" t="str">
        <f t="shared" si="330"/>
        <v/>
      </c>
      <c r="D644" s="691"/>
      <c r="E644" s="692"/>
      <c r="F644" s="693"/>
      <c r="G644" s="694"/>
      <c r="H644" s="695"/>
      <c r="I644" s="289">
        <f>I643-SUM($D644:F644)</f>
        <v>0</v>
      </c>
      <c r="J644" s="1235" t="str">
        <f>$J$7</f>
        <v>% Mort/Sel Sem Tab :</v>
      </c>
      <c r="K644" s="1236">
        <f>K647-K640</f>
        <v>0</v>
      </c>
      <c r="L644" s="1246"/>
      <c r="M644" s="291">
        <f t="shared" si="364"/>
        <v>0</v>
      </c>
      <c r="N644" s="304" t="str">
        <f>$N$7</f>
        <v xml:space="preserve">Peso Huevo (Gr) : </v>
      </c>
      <c r="O644" s="305">
        <f>LOOKUP($A642,'Pr-Sem'!$A$6:$A$108,'Pr-Sem'!$Z$6:$Z$108)</f>
        <v>0</v>
      </c>
      <c r="P644" s="305">
        <f>IFERROR(LOOKUP($A642,TP!$A$6:$A$108,GSh!$AZ$6:$AZ$108),0)</f>
        <v>0</v>
      </c>
      <c r="Q644" s="306">
        <f>IF(AND(P644&gt;0,O644&gt;0),O644-P644,0)</f>
        <v>0</v>
      </c>
      <c r="R644" s="699"/>
      <c r="S644" s="762"/>
      <c r="T644" s="765">
        <f t="shared" si="341"/>
        <v>0</v>
      </c>
      <c r="U644" s="700"/>
      <c r="V644" s="701"/>
      <c r="W644" s="701"/>
      <c r="X644" s="295">
        <f t="shared" si="336"/>
        <v>0</v>
      </c>
      <c r="Y644" s="296">
        <f>IF(AA644&gt;0,V644,AE642/IF(Iniciar!$C$25="B X 40 K",40,IF(Iniciar!$C$25="B X 50 K",50,1))*I644/1000)</f>
        <v>0</v>
      </c>
      <c r="Z644" s="296">
        <f t="shared" si="337"/>
        <v>0</v>
      </c>
      <c r="AA644" s="297">
        <f t="shared" si="365"/>
        <v>0</v>
      </c>
      <c r="AB644" s="297">
        <f t="shared" si="331"/>
        <v>0</v>
      </c>
      <c r="AC644" s="1268" t="str">
        <f>$AC$7</f>
        <v>Kg Ave Acu :</v>
      </c>
      <c r="AD644" s="308">
        <f>IF(OR(SUM(L642:L648)&gt;0,SUM(V642:V648)&gt;0),AD643/1000+AD637,0)</f>
        <v>0</v>
      </c>
      <c r="AE644" s="309">
        <f>AE643/1000+AE637</f>
        <v>0</v>
      </c>
      <c r="AF644" s="310">
        <f>IF(AND(AE644&gt;0,AD644&gt;0),(AD644/AE644-1)*100,0)</f>
        <v>0</v>
      </c>
      <c r="AG644" s="311" t="str">
        <f>PROD!$AG$7</f>
        <v xml:space="preserve">Masa Sem H (Gr) : </v>
      </c>
      <c r="AH644" s="312">
        <f>PROD!O642/100*7*PROD!O644</f>
        <v>0</v>
      </c>
      <c r="AI644" s="312">
        <f>PROD!P642/100*7*PROD!P644</f>
        <v>0</v>
      </c>
      <c r="AJ644" s="313">
        <f t="shared" si="363"/>
        <v>0</v>
      </c>
      <c r="AK644" s="2027"/>
      <c r="AL644" s="1284">
        <f t="shared" si="332"/>
        <v>0</v>
      </c>
      <c r="AM644" s="1285"/>
      <c r="AN644" s="1285"/>
      <c r="AO644" s="1285"/>
      <c r="AP644" s="1285"/>
      <c r="AQ644" s="1285"/>
      <c r="AR644" s="1285"/>
      <c r="AS644" s="1286"/>
      <c r="AT644" s="1287"/>
      <c r="AU644" s="1288"/>
      <c r="AV644" s="1289"/>
      <c r="AW644" s="1290"/>
      <c r="AX644" s="1291"/>
      <c r="AY644" s="1291"/>
      <c r="AZ644" s="1292"/>
      <c r="BA644" s="1293"/>
      <c r="BB644" s="1294"/>
      <c r="BC644" s="1295"/>
      <c r="BD644" s="1296">
        <f>BD643+PROD!L644-BA644</f>
        <v>0</v>
      </c>
      <c r="BE644" s="2133"/>
      <c r="BF644" s="507" t="e">
        <f t="shared" si="333"/>
        <v>#VALUE!</v>
      </c>
      <c r="BG644" s="329"/>
      <c r="BH644" s="1018">
        <f t="shared" si="334"/>
        <v>0</v>
      </c>
    </row>
    <row r="645" spans="1:60" ht="15" customHeight="1" x14ac:dyDescent="0.3">
      <c r="A645" s="2033"/>
      <c r="B645" s="287" t="str">
        <f t="shared" si="335"/>
        <v/>
      </c>
      <c r="C645" s="288" t="str">
        <f t="shared" ref="C645:C708" si="366">IF(B645="","",(B645-Fnac+1)/7)</f>
        <v/>
      </c>
      <c r="D645" s="691"/>
      <c r="E645" s="692"/>
      <c r="F645" s="693"/>
      <c r="G645" s="694"/>
      <c r="H645" s="695"/>
      <c r="I645" s="289">
        <f>I644-SUM($D645:F645)</f>
        <v>0</v>
      </c>
      <c r="J645" s="1234" t="str">
        <f>$J$8</f>
        <v>% Mort Acm :</v>
      </c>
      <c r="K645" s="1231">
        <f>IF(PROD!$K$2&gt;0,SUM(D$5:D648)/PROD!$K$2,0)</f>
        <v>0</v>
      </c>
      <c r="L645" s="1246"/>
      <c r="M645" s="291">
        <f t="shared" si="364"/>
        <v>0</v>
      </c>
      <c r="N645" s="314" t="str">
        <f>N$8</f>
        <v xml:space="preserve">Peso Ave (Gr) : </v>
      </c>
      <c r="O645" s="315">
        <f>LOOKUP($A642,GSh!$BV$6:$BV$108,GSh!$BJ$6:$BJ$108)</f>
        <v>0</v>
      </c>
      <c r="P645" s="315">
        <f>IFERROR(LOOKUP($A642,TP!$A$6:$A$108,GSh!$BK$6:$BK$108),0)</f>
        <v>0</v>
      </c>
      <c r="Q645" s="316">
        <f>IF(AND(P645&gt;0,O645&gt;0),(O645/P645-1)*100,0)</f>
        <v>0</v>
      </c>
      <c r="R645" s="699"/>
      <c r="S645" s="762"/>
      <c r="T645" s="765">
        <f t="shared" si="341"/>
        <v>0</v>
      </c>
      <c r="U645" s="700"/>
      <c r="V645" s="701"/>
      <c r="W645" s="701"/>
      <c r="X645" s="295">
        <f t="shared" si="336"/>
        <v>0</v>
      </c>
      <c r="Y645" s="296">
        <f>IF(AA645&gt;0,V645,AE642/IF(Iniciar!$C$25="B X 40 K",40,IF(Iniciar!$C$25="B X 50 K",50,1))*I645/1000)</f>
        <v>0</v>
      </c>
      <c r="Z645" s="296">
        <f t="shared" si="337"/>
        <v>0</v>
      </c>
      <c r="AA645" s="297">
        <f t="shared" si="365"/>
        <v>0</v>
      </c>
      <c r="AB645" s="297">
        <f t="shared" ref="AB645:AB708" si="367">IFERROR(R645*1000/I645,0)</f>
        <v>0</v>
      </c>
      <c r="AC645" s="541" t="str">
        <f>$AC$8</f>
        <v xml:space="preserve">Ton. Lote Acu : </v>
      </c>
      <c r="AD645" s="544">
        <f>SUM($V$5:$V648)*$A$1/1000000</f>
        <v>0</v>
      </c>
      <c r="AE645" s="543">
        <f>AE638+(AE642/1000000*7*(I642+I648)/2)</f>
        <v>0</v>
      </c>
      <c r="AF645" s="542">
        <f>IF(AND(AE645&gt;0,AD645&gt;0),(AD645/AE645-1)*100,0)</f>
        <v>0</v>
      </c>
      <c r="AG645" s="317" t="str">
        <f>PROD!$AG$8</f>
        <v xml:space="preserve">Masa Ac A. A (Kg) : </v>
      </c>
      <c r="AH645" s="318">
        <f>IF(PROD!$K$2&gt;0,SUM(PROD!L$5:L648)*LOOKUP(PROD!$A642,TP!$A$6:$A$108,GSh!$BB$6:$BB$108)/1000/PROD!$K$2,0)</f>
        <v>0</v>
      </c>
      <c r="AI645" s="318">
        <f>IFERROR(PROD!P643*LOOKUP(PROD!$A642,TP!$A$6:$A$108,GSh!$BC$6:$BC$108)/1000,0)</f>
        <v>0</v>
      </c>
      <c r="AJ645" s="330">
        <f t="shared" si="363"/>
        <v>0</v>
      </c>
      <c r="AK645" s="2027"/>
      <c r="AL645" s="1284">
        <f t="shared" ref="AL645:AL708" si="368">L645-SUM(AM645:AS645)-SUM(AW645:AZ645)-SUM(AT645:AV645)</f>
        <v>0</v>
      </c>
      <c r="AM645" s="1285"/>
      <c r="AN645" s="1285"/>
      <c r="AO645" s="1285"/>
      <c r="AP645" s="1285"/>
      <c r="AQ645" s="1285"/>
      <c r="AR645" s="1285"/>
      <c r="AS645" s="1286"/>
      <c r="AT645" s="1287"/>
      <c r="AU645" s="1288"/>
      <c r="AV645" s="1289"/>
      <c r="AW645" s="1290"/>
      <c r="AX645" s="1291"/>
      <c r="AY645" s="1291"/>
      <c r="AZ645" s="1292"/>
      <c r="BA645" s="1293"/>
      <c r="BB645" s="1294"/>
      <c r="BC645" s="1295"/>
      <c r="BD645" s="1296">
        <f>BD644+PROD!L645-BA645</f>
        <v>0</v>
      </c>
      <c r="BE645" s="2133"/>
      <c r="BF645" s="507" t="e">
        <f t="shared" ref="BF645:BF708" si="369">INT((B645-Fnac)/7)+1</f>
        <v>#VALUE!</v>
      </c>
      <c r="BG645" s="329"/>
      <c r="BH645" s="1018">
        <f t="shared" ref="BH645:BH708" si="370">T645*V645</f>
        <v>0</v>
      </c>
    </row>
    <row r="646" spans="1:60" ht="15" customHeight="1" x14ac:dyDescent="0.3">
      <c r="A646" s="2033"/>
      <c r="B646" s="287" t="str">
        <f t="shared" ref="B646:B709" si="371">IF(B645="","",B645+1)</f>
        <v/>
      </c>
      <c r="C646" s="288" t="str">
        <f t="shared" si="366"/>
        <v/>
      </c>
      <c r="D646" s="691"/>
      <c r="E646" s="692"/>
      <c r="F646" s="693"/>
      <c r="G646" s="694"/>
      <c r="H646" s="695"/>
      <c r="I646" s="289">
        <f>I645-SUM($D646:F646)</f>
        <v>0</v>
      </c>
      <c r="J646" s="1234" t="str">
        <f>$J$9</f>
        <v>% Sel Acm :</v>
      </c>
      <c r="K646" s="1231">
        <f>IF(PROD!$K$2&gt;0,SUM(E$5:E648)/PROD!$K$2,0)</f>
        <v>0</v>
      </c>
      <c r="L646" s="1246"/>
      <c r="M646" s="291">
        <f t="shared" si="364"/>
        <v>0</v>
      </c>
      <c r="N646" s="292" t="str">
        <f>$N$9</f>
        <v xml:space="preserve">Uniformidad (10% -) : </v>
      </c>
      <c r="O646" s="320">
        <f>LOOKUP($A642,'Pr-Sem'!$A$6:$A$108,'Pr-Sem'!$AH$6:$AH$108)</f>
        <v>0</v>
      </c>
      <c r="P646" s="320">
        <v>5</v>
      </c>
      <c r="Q646" s="321">
        <f>IF(AND(P646&gt;0,O646&gt;0),(1-O646/P646)*100,0)</f>
        <v>0</v>
      </c>
      <c r="R646" s="699"/>
      <c r="S646" s="762"/>
      <c r="T646" s="765">
        <f t="shared" si="341"/>
        <v>0</v>
      </c>
      <c r="U646" s="700"/>
      <c r="V646" s="701"/>
      <c r="W646" s="701"/>
      <c r="X646" s="295">
        <f t="shared" ref="X646:X709" si="372">X645+U646-V646-W646</f>
        <v>0</v>
      </c>
      <c r="Y646" s="296">
        <f>IF(AA646&gt;0,V646,AE642/IF(Iniciar!$C$25="B X 40 K",40,IF(Iniciar!$C$25="B X 50 K",50,1))*I646/1000)</f>
        <v>0</v>
      </c>
      <c r="Z646" s="296">
        <f t="shared" ref="Z646:Z709" si="373">Z645+U646-Y646-W646</f>
        <v>0</v>
      </c>
      <c r="AA646" s="297">
        <f t="shared" si="365"/>
        <v>0</v>
      </c>
      <c r="AB646" s="297">
        <f t="shared" si="367"/>
        <v>0</v>
      </c>
      <c r="AC646" s="2035" t="str">
        <f>$AC$9</f>
        <v xml:space="preserve">Total Litros Sem: </v>
      </c>
      <c r="AD646" s="2036"/>
      <c r="AE646" s="2050">
        <f>SUM(R642:R648)</f>
        <v>0</v>
      </c>
      <c r="AF646" s="2051"/>
      <c r="AG646" s="554" t="str">
        <f>$AG$9</f>
        <v xml:space="preserve">Indicador Eficiencia : </v>
      </c>
      <c r="AH646" s="555">
        <f>IF(AND(AE646&gt;0,O643&gt;0,O644&gt;0,SUM(L642:L648)&gt;0),(PROD!AH645/O643)*K648*100/(AE646/(SUM(L642:L648)*O644/1000)),0)</f>
        <v>0</v>
      </c>
      <c r="AI646" s="555">
        <f>IF(AND(P643&gt;0,PROD!AI644&gt;0),(PROD!AI645/P643)*(1-K647)*100/(AE643/PROD!AI644),0)</f>
        <v>0</v>
      </c>
      <c r="AJ646" s="331">
        <f t="shared" si="363"/>
        <v>0</v>
      </c>
      <c r="AK646" s="2027"/>
      <c r="AL646" s="1284">
        <f t="shared" si="368"/>
        <v>0</v>
      </c>
      <c r="AM646" s="1285"/>
      <c r="AN646" s="1285"/>
      <c r="AO646" s="1285"/>
      <c r="AP646" s="1285"/>
      <c r="AQ646" s="1285"/>
      <c r="AR646" s="1285"/>
      <c r="AS646" s="1286"/>
      <c r="AT646" s="1287"/>
      <c r="AU646" s="1288"/>
      <c r="AV646" s="1289"/>
      <c r="AW646" s="1290"/>
      <c r="AX646" s="1291"/>
      <c r="AY646" s="1291"/>
      <c r="AZ646" s="1292"/>
      <c r="BA646" s="1293"/>
      <c r="BB646" s="1294"/>
      <c r="BC646" s="1295"/>
      <c r="BD646" s="1296">
        <f>BD645+PROD!L646-BA646</f>
        <v>0</v>
      </c>
      <c r="BE646" s="2133"/>
      <c r="BF646" s="507" t="e">
        <f t="shared" si="369"/>
        <v>#VALUE!</v>
      </c>
      <c r="BG646" s="329"/>
      <c r="BH646" s="1018">
        <f t="shared" si="370"/>
        <v>0</v>
      </c>
    </row>
    <row r="647" spans="1:60" ht="15" customHeight="1" x14ac:dyDescent="0.3">
      <c r="A647" s="2033"/>
      <c r="B647" s="287" t="str">
        <f t="shared" si="371"/>
        <v/>
      </c>
      <c r="C647" s="288" t="str">
        <f t="shared" si="366"/>
        <v/>
      </c>
      <c r="D647" s="691"/>
      <c r="E647" s="692"/>
      <c r="F647" s="693"/>
      <c r="G647" s="694"/>
      <c r="H647" s="695"/>
      <c r="I647" s="289">
        <f>I646-SUM($D647:F647)</f>
        <v>0</v>
      </c>
      <c r="J647" s="1237" t="str">
        <f>$J$10</f>
        <v>% Mort/Sel Acm Tab :</v>
      </c>
      <c r="K647" s="1238">
        <f>IFERROR(LOOKUP($A642,TP!$A$6:$A$108,GSh!$AR$6:$AR$108)/100,0)</f>
        <v>0</v>
      </c>
      <c r="L647" s="1246"/>
      <c r="M647" s="291">
        <f t="shared" si="364"/>
        <v>0</v>
      </c>
      <c r="N647" s="292" t="str">
        <f>$N$10</f>
        <v xml:space="preserve">Uniformidad (C. Lote) : </v>
      </c>
      <c r="O647" s="320">
        <f>LOOKUP($A642,'Pr-Sem'!$A$6:$A$108,'Pr-Sem'!$AG$6:$AG$108)</f>
        <v>0</v>
      </c>
      <c r="P647" s="320">
        <v>90</v>
      </c>
      <c r="Q647" s="321">
        <f>IF(AND(P647&gt;0,O647&gt;0),(O647/P647-1)*100,0)</f>
        <v>0</v>
      </c>
      <c r="R647" s="699"/>
      <c r="S647" s="762"/>
      <c r="T647" s="765">
        <f t="shared" si="341"/>
        <v>0</v>
      </c>
      <c r="U647" s="700"/>
      <c r="V647" s="701"/>
      <c r="W647" s="701"/>
      <c r="X647" s="295">
        <f t="shared" si="372"/>
        <v>0</v>
      </c>
      <c r="Y647" s="296">
        <f>IF(AA647&gt;0,V647,AE642/IF(Iniciar!$C$25="B X 40 K",40,IF(Iniciar!$C$25="B X 50 K",50,1))*I647/1000)</f>
        <v>0</v>
      </c>
      <c r="Z647" s="296">
        <f t="shared" si="373"/>
        <v>0</v>
      </c>
      <c r="AA647" s="297">
        <f t="shared" si="365"/>
        <v>0</v>
      </c>
      <c r="AB647" s="297">
        <f t="shared" si="367"/>
        <v>0</v>
      </c>
      <c r="AC647" s="2037" t="str">
        <f>$AC$10</f>
        <v xml:space="preserve">Cons ml /ave día: </v>
      </c>
      <c r="AD647" s="2038"/>
      <c r="AE647" s="2056">
        <f>IFERROR(SUMPRODUCT(AB642:AB648,I642:I648)/SUM(I642:I648),0)</f>
        <v>0</v>
      </c>
      <c r="AF647" s="2057"/>
      <c r="AG647" s="311" t="str">
        <f>CONCATENATE("Costo ",Iniciar!$C$25," : ")</f>
        <v xml:space="preserve">Costo Kilos : </v>
      </c>
      <c r="AH647" s="2043">
        <f>IFERROR(SUMPRODUCT(T642:T648,V642:V648)/SUMIF(T642:T648,"&gt;0",V642:V648),0)</f>
        <v>0</v>
      </c>
      <c r="AI647" s="2043"/>
      <c r="AJ647" s="313"/>
      <c r="AK647" s="2027"/>
      <c r="AL647" s="1284">
        <f t="shared" si="368"/>
        <v>0</v>
      </c>
      <c r="AM647" s="1285"/>
      <c r="AN647" s="1285"/>
      <c r="AO647" s="1285"/>
      <c r="AP647" s="1285"/>
      <c r="AQ647" s="1285"/>
      <c r="AR647" s="1285"/>
      <c r="AS647" s="1286"/>
      <c r="AT647" s="1287"/>
      <c r="AU647" s="1288"/>
      <c r="AV647" s="1289"/>
      <c r="AW647" s="1290"/>
      <c r="AX647" s="1291"/>
      <c r="AY647" s="1291"/>
      <c r="AZ647" s="1292"/>
      <c r="BA647" s="1293"/>
      <c r="BB647" s="1294"/>
      <c r="BC647" s="1295"/>
      <c r="BD647" s="1296">
        <f>BD646+PROD!L647-BA647</f>
        <v>0</v>
      </c>
      <c r="BE647" s="2133"/>
      <c r="BF647" s="507" t="e">
        <f t="shared" si="369"/>
        <v>#VALUE!</v>
      </c>
      <c r="BG647" s="329"/>
      <c r="BH647" s="1018">
        <f t="shared" si="370"/>
        <v>0</v>
      </c>
    </row>
    <row r="648" spans="1:60" ht="15" customHeight="1" x14ac:dyDescent="0.3">
      <c r="A648" s="2034"/>
      <c r="B648" s="287" t="str">
        <f t="shared" si="371"/>
        <v/>
      </c>
      <c r="C648" s="288" t="str">
        <f t="shared" si="366"/>
        <v/>
      </c>
      <c r="D648" s="691"/>
      <c r="E648" s="692"/>
      <c r="F648" s="693"/>
      <c r="G648" s="694"/>
      <c r="H648" s="695"/>
      <c r="I648" s="289">
        <f>I647-SUM($D648:F648)</f>
        <v>0</v>
      </c>
      <c r="J648" s="1239" t="str">
        <f>$J$11</f>
        <v>% Viabilidad :</v>
      </c>
      <c r="K648" s="1240">
        <f>IF(OR(SUM(L642:L648)&gt;0,SUM(V642:V648)&gt;0),1-(K645+K646),0)</f>
        <v>0</v>
      </c>
      <c r="L648" s="1247"/>
      <c r="M648" s="1248">
        <f>IF(I648&gt;0,(L648/IF(SUM(L642:L647)&gt;0,1,7))/I648,0)</f>
        <v>0</v>
      </c>
      <c r="N648" s="1249" t="str">
        <f>$N$11</f>
        <v xml:space="preserve">Uniformidad (10% +) : </v>
      </c>
      <c r="O648" s="1250">
        <f>IF(O646&gt;0,IF(O647&gt;0,100-SUM(O646:O647),0),0)</f>
        <v>0</v>
      </c>
      <c r="P648" s="1251">
        <f>100-SUM(P646:P647)</f>
        <v>5</v>
      </c>
      <c r="Q648" s="1252">
        <f>IF(AND(P648&gt;0,O648&gt;0),(O648/P648-1)*100,0)</f>
        <v>0</v>
      </c>
      <c r="R648" s="699"/>
      <c r="S648" s="762"/>
      <c r="T648" s="765">
        <f t="shared" si="341"/>
        <v>0</v>
      </c>
      <c r="U648" s="700"/>
      <c r="V648" s="701"/>
      <c r="W648" s="701"/>
      <c r="X648" s="295">
        <f t="shared" si="372"/>
        <v>0</v>
      </c>
      <c r="Y648" s="296">
        <f>IF(AA648&gt;0,V648,AE642/IF(Iniciar!$C$25="B X 40 K",40,IF(Iniciar!$C$25="B X 50 K",50,1))*I648/1000)</f>
        <v>0</v>
      </c>
      <c r="Z648" s="296">
        <f t="shared" si="373"/>
        <v>0</v>
      </c>
      <c r="AA648" s="297">
        <f>IF(I648&gt;0,(V648/IF(SUM(V642:V647)&gt;0,1,7))*$A$1/I648,0)</f>
        <v>0</v>
      </c>
      <c r="AB648" s="297">
        <f t="shared" si="367"/>
        <v>0</v>
      </c>
      <c r="AC648" s="2039" t="str">
        <f>$AC$11</f>
        <v xml:space="preserve">Relación Agua /Alimto: </v>
      </c>
      <c r="AD648" s="2040"/>
      <c r="AE648" s="2058">
        <f>IFERROR(AE647/AD642,0)</f>
        <v>0</v>
      </c>
      <c r="AF648" s="2059"/>
      <c r="AG648" s="1269" t="s">
        <v>237</v>
      </c>
      <c r="AH648" s="1270">
        <f>IF(SUM(L642:L648)&gt;0,AH647*SUM(V642:V648)/SUM(L642:L648),0)</f>
        <v>0</v>
      </c>
      <c r="AI648" s="1270">
        <f>IF(AND($A$1&gt;0,P642&gt;0),AH647/$A$1*(AE642/P642)*100,0)</f>
        <v>0</v>
      </c>
      <c r="AJ648" s="1271">
        <f t="shared" ref="AJ648:AJ653" si="374">IF(AND(AI648&gt;0,AH648&gt;0),(AH648/AI648-1)*100,0)</f>
        <v>0</v>
      </c>
      <c r="AK648" s="2028"/>
      <c r="AL648" s="1284">
        <f t="shared" si="368"/>
        <v>0</v>
      </c>
      <c r="AM648" s="1285"/>
      <c r="AN648" s="1285"/>
      <c r="AO648" s="1285"/>
      <c r="AP648" s="1285"/>
      <c r="AQ648" s="1285"/>
      <c r="AR648" s="1285"/>
      <c r="AS648" s="1286"/>
      <c r="AT648" s="1287"/>
      <c r="AU648" s="1288"/>
      <c r="AV648" s="1289"/>
      <c r="AW648" s="1290"/>
      <c r="AX648" s="1291"/>
      <c r="AY648" s="1291"/>
      <c r="AZ648" s="1292"/>
      <c r="BA648" s="1293"/>
      <c r="BB648" s="1294"/>
      <c r="BC648" s="1295"/>
      <c r="BD648" s="1296">
        <f>BD647+PROD!L648-BA648</f>
        <v>0</v>
      </c>
      <c r="BE648" s="2134"/>
      <c r="BF648" s="507" t="e">
        <f t="shared" si="369"/>
        <v>#VALUE!</v>
      </c>
      <c r="BG648" s="329"/>
      <c r="BH648" s="1018">
        <f t="shared" si="370"/>
        <v>0</v>
      </c>
    </row>
    <row r="649" spans="1:60" ht="15" customHeight="1" x14ac:dyDescent="0.3">
      <c r="A649" s="2032">
        <f>A642+1</f>
        <v>110</v>
      </c>
      <c r="B649" s="287" t="str">
        <f t="shared" si="371"/>
        <v/>
      </c>
      <c r="C649" s="288" t="str">
        <f t="shared" si="366"/>
        <v/>
      </c>
      <c r="D649" s="691"/>
      <c r="E649" s="692"/>
      <c r="F649" s="693"/>
      <c r="G649" s="694"/>
      <c r="H649" s="695"/>
      <c r="I649" s="289">
        <f>I648-SUM($D649:F649)</f>
        <v>0</v>
      </c>
      <c r="J649" s="1232" t="str">
        <f>$J$5</f>
        <v>% Mort Sem :</v>
      </c>
      <c r="K649" s="1233">
        <f>IF(PROD!$K$2&gt;0,SUM(D649:D655)/PROD!$K$2,0)</f>
        <v>0</v>
      </c>
      <c r="L649" s="1241"/>
      <c r="M649" s="1242">
        <f t="shared" ref="M649:M654" si="375">IF(I649&gt;0,L649/I649,0)</f>
        <v>0</v>
      </c>
      <c r="N649" s="1243" t="str">
        <f>$N$5</f>
        <v xml:space="preserve">% Pdn prom semana : </v>
      </c>
      <c r="O649" s="1244">
        <f>IF(SUM(L649:L654)&gt;0,100*SUMPRODUCT(M649:M655,I649:I655)/SUMIF(L649:L655,"&gt;0",I649:I655),IF(L655&gt;0,100*L655/7/I655,0))</f>
        <v>0</v>
      </c>
      <c r="P649" s="1244">
        <f>IFERROR(LOOKUP($A649,TP!$A$6:$A$108,GSh!$AE$6:$AE$108),0)</f>
        <v>0</v>
      </c>
      <c r="Q649" s="1245">
        <f>IF(AND(P649&gt;0,O649&gt;0),O649-P649,0)</f>
        <v>0</v>
      </c>
      <c r="R649" s="699"/>
      <c r="S649" s="762"/>
      <c r="T649" s="765">
        <f t="shared" si="341"/>
        <v>0</v>
      </c>
      <c r="U649" s="700"/>
      <c r="V649" s="701"/>
      <c r="W649" s="701"/>
      <c r="X649" s="295">
        <f t="shared" si="372"/>
        <v>0</v>
      </c>
      <c r="Y649" s="296">
        <f>IF(AA649&gt;0,V649,AE649/IF(Iniciar!$C$25="B X 40 K",40,IF(Iniciar!$C$25="B X 50 K",50,1))*I649/1000)</f>
        <v>0</v>
      </c>
      <c r="Z649" s="296">
        <f t="shared" si="373"/>
        <v>0</v>
      </c>
      <c r="AA649" s="297">
        <f t="shared" ref="AA649:AA654" si="376">IF(I649&gt;0,V649*$A$1/I649,0)</f>
        <v>0</v>
      </c>
      <c r="AB649" s="297">
        <f t="shared" si="367"/>
        <v>0</v>
      </c>
      <c r="AC649" s="1261" t="str">
        <f>$AC$5</f>
        <v>Gr. Ave Dia :</v>
      </c>
      <c r="AD649" s="1262">
        <f>IF(SUMIF(V649:V655,"&gt;0")&gt;0,SUMPRODUCT(AA649:AA655,I649:I655)/SUMIF(AA649:AA655,"&gt;0",I649:I655),0)</f>
        <v>0</v>
      </c>
      <c r="AE649" s="1262">
        <f>IFERROR(LOOKUP($A649,TP!$A$6:$A$108,GSh!$AU$6:$AU$108),0)</f>
        <v>0</v>
      </c>
      <c r="AF649" s="1263">
        <f>IF(AND(AE649&gt;0,AD649&gt;0),(AD649/AE649-1)*100,0)</f>
        <v>0</v>
      </c>
      <c r="AG649" s="1264" t="str">
        <f>PROD!$AG$5</f>
        <v>Gr X H</v>
      </c>
      <c r="AH649" s="1265">
        <f>IF(PROD!O649&gt;0,IF($AG649="Gr X H",PROD!AD649/PROD!O649*100,IF($AG649="Conv Kg/Doc",PROD!AD649/PROD!O649*1.2,IF(PROD!$O651&gt;0,PROD!AD649/(PROD!O649*PROD!$O651)*100,0))),0)</f>
        <v>0</v>
      </c>
      <c r="AI649" s="1265">
        <f>IF(PROD!P649&gt;0,IF($AG649="Gr X H",PROD!AE649/PROD!P649*100,IF($AG649="Conv Kg/Doc",PROD!AE649/PROD!P649*1.2,IF(PROD!$P651&gt;0,PROD!AE649/(PROD!P649*PROD!$P651)*100,0))),0)</f>
        <v>0</v>
      </c>
      <c r="AJ649" s="1266">
        <f t="shared" si="374"/>
        <v>0</v>
      </c>
      <c r="AK649" s="2026"/>
      <c r="AL649" s="1284">
        <f t="shared" si="368"/>
        <v>0</v>
      </c>
      <c r="AM649" s="1285"/>
      <c r="AN649" s="1285"/>
      <c r="AO649" s="1285"/>
      <c r="AP649" s="1285"/>
      <c r="AQ649" s="1285"/>
      <c r="AR649" s="1285"/>
      <c r="AS649" s="1286"/>
      <c r="AT649" s="1287"/>
      <c r="AU649" s="1288"/>
      <c r="AV649" s="1289"/>
      <c r="AW649" s="1290"/>
      <c r="AX649" s="1291"/>
      <c r="AY649" s="1291"/>
      <c r="AZ649" s="1292"/>
      <c r="BA649" s="1293"/>
      <c r="BB649" s="1294"/>
      <c r="BC649" s="1295"/>
      <c r="BD649" s="1296">
        <f>BD648+PROD!L649-BA649</f>
        <v>0</v>
      </c>
      <c r="BE649" s="2132">
        <f>IF(SUM(AM649:AZ655)&gt;0,(SUM(AM649:AM655)*$AM$2+SUM(AN649:AN655)*$AN$2+SUM(AO649:AO655)*$AO$2+SUM(AP649:AP655)*$AP$2+SUM(AQ649:AQ655)*$AQ$2+SUM(AR649:AR655)*$AR$2+SUM(AS649:AS655)*$AS$2+SUM(AW649:AW655)*$AW$2+SUM(AX649:AX655)*$AX$2+SUM(AY649:AY655)*$AY$2+SUM(AZ649:AZ655)*$AZ$2+SUM(AT649:AT655)*$AT$2+SUM(AU649:AU655)*$AU$2+SUM(AV649:AV655)*$AV$2)/SUM(AM649:AZ655),0)</f>
        <v>0</v>
      </c>
      <c r="BF649" s="507" t="e">
        <f t="shared" si="369"/>
        <v>#VALUE!</v>
      </c>
      <c r="BG649" s="277">
        <f>IF(SUM(L649:L655)&gt;0,A649,IF(SUM(V649:V655)&gt;0,A649,BG642))</f>
        <v>0</v>
      </c>
      <c r="BH649" s="1018">
        <f t="shared" si="370"/>
        <v>0</v>
      </c>
    </row>
    <row r="650" spans="1:60" ht="15" customHeight="1" x14ac:dyDescent="0.3">
      <c r="A650" s="2033"/>
      <c r="B650" s="287" t="str">
        <f t="shared" si="371"/>
        <v/>
      </c>
      <c r="C650" s="288" t="str">
        <f t="shared" si="366"/>
        <v/>
      </c>
      <c r="D650" s="691"/>
      <c r="E650" s="692"/>
      <c r="F650" s="693"/>
      <c r="G650" s="694"/>
      <c r="H650" s="695"/>
      <c r="I650" s="289">
        <f>I649-SUM($D650:F650)</f>
        <v>0</v>
      </c>
      <c r="J650" s="1234" t="str">
        <f>$J$6</f>
        <v>% Sel Sem :</v>
      </c>
      <c r="K650" s="1231">
        <f>IF(PROD!$K$2&gt;0,SUM(E649:E655)/PROD!$K$2,0)</f>
        <v>0</v>
      </c>
      <c r="L650" s="1246"/>
      <c r="M650" s="291">
        <f t="shared" si="375"/>
        <v>0</v>
      </c>
      <c r="N650" s="292" t="str">
        <f>$N$6</f>
        <v xml:space="preserve">H. Ave Alojada : </v>
      </c>
      <c r="O650" s="293">
        <f>IF(AND(PROD!$K$2&gt;0,O649&gt;0),SUM(L$5:L655)/PROD!$K$2,0)</f>
        <v>0</v>
      </c>
      <c r="P650" s="293">
        <f>IFERROR(LOOKUP($A649,TP!$A$6:$A$108,GSh!$AJ$6:$AJ$108),0)</f>
        <v>0</v>
      </c>
      <c r="Q650" s="294">
        <f>IF(AND(P650&gt;0,O650&gt;0),O650-P650,0)</f>
        <v>0</v>
      </c>
      <c r="R650" s="699"/>
      <c r="S650" s="762"/>
      <c r="T650" s="765">
        <f t="shared" si="341"/>
        <v>0</v>
      </c>
      <c r="U650" s="700"/>
      <c r="V650" s="701"/>
      <c r="W650" s="701"/>
      <c r="X650" s="295">
        <f t="shared" si="372"/>
        <v>0</v>
      </c>
      <c r="Y650" s="296">
        <f>IF(AA650&gt;0,V650,AE649/IF(Iniciar!$C$25="B X 40 K",40,IF(Iniciar!$C$25="B X 50 K",50,1))*I650/1000)</f>
        <v>0</v>
      </c>
      <c r="Z650" s="296">
        <f t="shared" si="373"/>
        <v>0</v>
      </c>
      <c r="AA650" s="297">
        <f t="shared" si="376"/>
        <v>0</v>
      </c>
      <c r="AB650" s="297">
        <f t="shared" si="367"/>
        <v>0</v>
      </c>
      <c r="AC650" s="1267" t="str">
        <f>$AC$6</f>
        <v>Gr. Ave Sem :</v>
      </c>
      <c r="AD650" s="284">
        <f>AD649*7</f>
        <v>0</v>
      </c>
      <c r="AE650" s="284">
        <f>AE649*7</f>
        <v>0</v>
      </c>
      <c r="AF650" s="285">
        <f>IF(AND(AE650&gt;0,AD650&gt;0),(AD650/AE650-1)*100,0)</f>
        <v>0</v>
      </c>
      <c r="AG650" s="1199" t="str">
        <f>PROD!$AG$6</f>
        <v>Gr X H Acm</v>
      </c>
      <c r="AH650" s="298">
        <f>IF(SUM(PROD!L649:L655)&gt;0,IF(PROD!$AG$5="Gr X H",SUM(PROD!V$5:V655)*PROD!$A$1/SUM(PROD!L$5:L655),IF($AG649="Conv Kg/Doc",(SUM(PROD!V$5:V655)*PROD!$A$1/1000)/(SUM(PROD!L$5:L655)/12),IF(PROD!$O651&gt;0,SUM(PROD!V$5:V655)*PROD!$A$1/(SUM(PROD!L$5:L655)*LOOKUP(PROD!A649,TP!$A$6:$A$108,GSh!$BB$6:$BB$108)),0))),0)</f>
        <v>0</v>
      </c>
      <c r="AI650" s="298">
        <f>IF(PROD!P649&gt;0,IF($AG649="Gr X H",PROD!AE649/PROD!P649*100,IF($AG649="Conv Kg/Doc",PROD!AE649/PROD!P649*1.2,IF(PROD!$P650&gt;0,PROD!AE651/(PROD!P650*LOOKUP(PROD!$A649,TP!$A$6:$A$108,GSh!$BC$6:$BC$108)/1000),0))),0)</f>
        <v>0</v>
      </c>
      <c r="AJ650" s="328">
        <f t="shared" si="374"/>
        <v>0</v>
      </c>
      <c r="AK650" s="2027"/>
      <c r="AL650" s="1284">
        <f t="shared" si="368"/>
        <v>0</v>
      </c>
      <c r="AM650" s="1285"/>
      <c r="AN650" s="1285"/>
      <c r="AO650" s="1285"/>
      <c r="AP650" s="1285"/>
      <c r="AQ650" s="1285"/>
      <c r="AR650" s="1285"/>
      <c r="AS650" s="1286"/>
      <c r="AT650" s="1287"/>
      <c r="AU650" s="1288"/>
      <c r="AV650" s="1289"/>
      <c r="AW650" s="1290"/>
      <c r="AX650" s="1291"/>
      <c r="AY650" s="1291"/>
      <c r="AZ650" s="1292"/>
      <c r="BA650" s="1293"/>
      <c r="BB650" s="1294"/>
      <c r="BC650" s="1295"/>
      <c r="BD650" s="1296">
        <f>BD649+PROD!L650-BA650</f>
        <v>0</v>
      </c>
      <c r="BE650" s="2133"/>
      <c r="BF650" s="507" t="e">
        <f t="shared" si="369"/>
        <v>#VALUE!</v>
      </c>
      <c r="BG650" s="329"/>
      <c r="BH650" s="1018">
        <f t="shared" si="370"/>
        <v>0</v>
      </c>
    </row>
    <row r="651" spans="1:60" ht="15" customHeight="1" x14ac:dyDescent="0.3">
      <c r="A651" s="2033"/>
      <c r="B651" s="287" t="str">
        <f t="shared" si="371"/>
        <v/>
      </c>
      <c r="C651" s="288" t="str">
        <f t="shared" si="366"/>
        <v/>
      </c>
      <c r="D651" s="691"/>
      <c r="E651" s="692"/>
      <c r="F651" s="693"/>
      <c r="G651" s="694"/>
      <c r="H651" s="695"/>
      <c r="I651" s="289">
        <f>I650-SUM($D651:F651)</f>
        <v>0</v>
      </c>
      <c r="J651" s="1235" t="str">
        <f>$J$7</f>
        <v>% Mort/Sel Sem Tab :</v>
      </c>
      <c r="K651" s="1236">
        <f>K654-K647</f>
        <v>0</v>
      </c>
      <c r="L651" s="1246"/>
      <c r="M651" s="291">
        <f t="shared" si="375"/>
        <v>0</v>
      </c>
      <c r="N651" s="304" t="str">
        <f>$N$7</f>
        <v xml:space="preserve">Peso Huevo (Gr) : </v>
      </c>
      <c r="O651" s="305">
        <f>LOOKUP($A649,'Pr-Sem'!$A$6:$A$108,'Pr-Sem'!$Z$6:$Z$108)</f>
        <v>0</v>
      </c>
      <c r="P651" s="305">
        <f>IFERROR(LOOKUP($A649,TP!$A$6:$A$108,GSh!$AZ$6:$AZ$108),0)</f>
        <v>0</v>
      </c>
      <c r="Q651" s="306">
        <f>IF(AND(P651&gt;0,O651&gt;0),O651-P651,0)</f>
        <v>0</v>
      </c>
      <c r="R651" s="699"/>
      <c r="S651" s="762"/>
      <c r="T651" s="765">
        <f t="shared" si="341"/>
        <v>0</v>
      </c>
      <c r="U651" s="700"/>
      <c r="V651" s="701"/>
      <c r="W651" s="701"/>
      <c r="X651" s="295">
        <f t="shared" si="372"/>
        <v>0</v>
      </c>
      <c r="Y651" s="296">
        <f>IF(AA651&gt;0,V651,AE649/IF(Iniciar!$C$25="B X 40 K",40,IF(Iniciar!$C$25="B X 50 K",50,1))*I651/1000)</f>
        <v>0</v>
      </c>
      <c r="Z651" s="296">
        <f t="shared" si="373"/>
        <v>0</v>
      </c>
      <c r="AA651" s="297">
        <f t="shared" si="376"/>
        <v>0</v>
      </c>
      <c r="AB651" s="297">
        <f t="shared" si="367"/>
        <v>0</v>
      </c>
      <c r="AC651" s="1268" t="str">
        <f>$AC$7</f>
        <v>Kg Ave Acu :</v>
      </c>
      <c r="AD651" s="308">
        <f>IF(OR(SUM(L649:L655)&gt;0,SUM(V649:V655)&gt;0),AD650/1000+AD644,0)</f>
        <v>0</v>
      </c>
      <c r="AE651" s="309">
        <f>AE650/1000+AE644</f>
        <v>0</v>
      </c>
      <c r="AF651" s="310">
        <f>IF(AND(AE651&gt;0,AD651&gt;0),(AD651/AE651-1)*100,0)</f>
        <v>0</v>
      </c>
      <c r="AG651" s="311" t="str">
        <f>PROD!$AG$7</f>
        <v xml:space="preserve">Masa Sem H (Gr) : </v>
      </c>
      <c r="AH651" s="312">
        <f>PROD!O649/100*7*PROD!O651</f>
        <v>0</v>
      </c>
      <c r="AI651" s="312">
        <f>PROD!P649/100*7*PROD!P651</f>
        <v>0</v>
      </c>
      <c r="AJ651" s="313">
        <f t="shared" si="374"/>
        <v>0</v>
      </c>
      <c r="AK651" s="2027"/>
      <c r="AL651" s="1284">
        <f t="shared" si="368"/>
        <v>0</v>
      </c>
      <c r="AM651" s="1285"/>
      <c r="AN651" s="1285"/>
      <c r="AO651" s="1285"/>
      <c r="AP651" s="1285"/>
      <c r="AQ651" s="1285"/>
      <c r="AR651" s="1285"/>
      <c r="AS651" s="1286"/>
      <c r="AT651" s="1287"/>
      <c r="AU651" s="1288"/>
      <c r="AV651" s="1289"/>
      <c r="AW651" s="1290"/>
      <c r="AX651" s="1291"/>
      <c r="AY651" s="1291"/>
      <c r="AZ651" s="1292"/>
      <c r="BA651" s="1293"/>
      <c r="BB651" s="1294"/>
      <c r="BC651" s="1295"/>
      <c r="BD651" s="1296">
        <f>BD650+PROD!L651-BA651</f>
        <v>0</v>
      </c>
      <c r="BE651" s="2133"/>
      <c r="BF651" s="507" t="e">
        <f t="shared" si="369"/>
        <v>#VALUE!</v>
      </c>
      <c r="BG651" s="329"/>
      <c r="BH651" s="1018">
        <f t="shared" si="370"/>
        <v>0</v>
      </c>
    </row>
    <row r="652" spans="1:60" ht="15" customHeight="1" x14ac:dyDescent="0.3">
      <c r="A652" s="2033"/>
      <c r="B652" s="287" t="str">
        <f t="shared" si="371"/>
        <v/>
      </c>
      <c r="C652" s="288" t="str">
        <f t="shared" si="366"/>
        <v/>
      </c>
      <c r="D652" s="691"/>
      <c r="E652" s="692"/>
      <c r="F652" s="693"/>
      <c r="G652" s="694"/>
      <c r="H652" s="695"/>
      <c r="I652" s="289">
        <f>I651-SUM($D652:F652)</f>
        <v>0</v>
      </c>
      <c r="J652" s="1234" t="str">
        <f>$J$8</f>
        <v>% Mort Acm :</v>
      </c>
      <c r="K652" s="1231">
        <f>IF(PROD!$K$2&gt;0,SUM(D$5:D655)/PROD!$K$2,0)</f>
        <v>0</v>
      </c>
      <c r="L652" s="1246"/>
      <c r="M652" s="291">
        <f t="shared" si="375"/>
        <v>0</v>
      </c>
      <c r="N652" s="314" t="str">
        <f>N$8</f>
        <v xml:space="preserve">Peso Ave (Gr) : </v>
      </c>
      <c r="O652" s="315">
        <f>LOOKUP($A649,GSh!$BV$6:$BV$108,GSh!$BJ$6:$BJ$108)</f>
        <v>0</v>
      </c>
      <c r="P652" s="315">
        <f>IFERROR(LOOKUP($A649,TP!$A$6:$A$108,GSh!$BK$6:$BK$108),0)</f>
        <v>0</v>
      </c>
      <c r="Q652" s="316">
        <f>IF(AND(P652&gt;0,O652&gt;0),(O652/P652-1)*100,0)</f>
        <v>0</v>
      </c>
      <c r="R652" s="699"/>
      <c r="S652" s="762"/>
      <c r="T652" s="765">
        <f t="shared" ref="T652:T715" si="377">T651</f>
        <v>0</v>
      </c>
      <c r="U652" s="700"/>
      <c r="V652" s="701"/>
      <c r="W652" s="701"/>
      <c r="X652" s="295">
        <f t="shared" si="372"/>
        <v>0</v>
      </c>
      <c r="Y652" s="296">
        <f>IF(AA652&gt;0,V652,AE649/IF(Iniciar!$C$25="B X 40 K",40,IF(Iniciar!$C$25="B X 50 K",50,1))*I652/1000)</f>
        <v>0</v>
      </c>
      <c r="Z652" s="296">
        <f t="shared" si="373"/>
        <v>0</v>
      </c>
      <c r="AA652" s="297">
        <f t="shared" si="376"/>
        <v>0</v>
      </c>
      <c r="AB652" s="297">
        <f t="shared" si="367"/>
        <v>0</v>
      </c>
      <c r="AC652" s="541" t="str">
        <f>$AC$8</f>
        <v xml:space="preserve">Ton. Lote Acu : </v>
      </c>
      <c r="AD652" s="544">
        <f>SUM($V$5:$V655)*$A$1/1000000</f>
        <v>0</v>
      </c>
      <c r="AE652" s="543">
        <f>AE645+(AE649/1000000*7*(I649+I655)/2)</f>
        <v>0</v>
      </c>
      <c r="AF652" s="542">
        <f>IF(AND(AE652&gt;0,AD652&gt;0),(AD652/AE652-1)*100,0)</f>
        <v>0</v>
      </c>
      <c r="AG652" s="317" t="str">
        <f>PROD!$AG$8</f>
        <v xml:space="preserve">Masa Ac A. A (Kg) : </v>
      </c>
      <c r="AH652" s="318">
        <f>IF(PROD!$K$2&gt;0,SUM(PROD!L$5:L655)*LOOKUP(PROD!$A649,TP!$A$6:$A$108,GSh!$BB$6:$BB$108)/1000/PROD!$K$2,0)</f>
        <v>0</v>
      </c>
      <c r="AI652" s="318">
        <f>IFERROR(PROD!P650*LOOKUP(PROD!$A649,TP!$A$6:$A$108,GSh!$BC$6:$BC$108)/1000,0)</f>
        <v>0</v>
      </c>
      <c r="AJ652" s="330">
        <f t="shared" si="374"/>
        <v>0</v>
      </c>
      <c r="AK652" s="2027"/>
      <c r="AL652" s="1284">
        <f t="shared" si="368"/>
        <v>0</v>
      </c>
      <c r="AM652" s="1285"/>
      <c r="AN652" s="1285"/>
      <c r="AO652" s="1285"/>
      <c r="AP652" s="1285"/>
      <c r="AQ652" s="1285"/>
      <c r="AR652" s="1285"/>
      <c r="AS652" s="1286"/>
      <c r="AT652" s="1287"/>
      <c r="AU652" s="1288"/>
      <c r="AV652" s="1289"/>
      <c r="AW652" s="1290"/>
      <c r="AX652" s="1291"/>
      <c r="AY652" s="1291"/>
      <c r="AZ652" s="1292"/>
      <c r="BA652" s="1293"/>
      <c r="BB652" s="1294"/>
      <c r="BC652" s="1295"/>
      <c r="BD652" s="1296">
        <f>BD651+PROD!L652-BA652</f>
        <v>0</v>
      </c>
      <c r="BE652" s="2133"/>
      <c r="BF652" s="507" t="e">
        <f t="shared" si="369"/>
        <v>#VALUE!</v>
      </c>
      <c r="BG652" s="329"/>
      <c r="BH652" s="1018">
        <f t="shared" si="370"/>
        <v>0</v>
      </c>
    </row>
    <row r="653" spans="1:60" ht="15" customHeight="1" x14ac:dyDescent="0.3">
      <c r="A653" s="2033"/>
      <c r="B653" s="287" t="str">
        <f t="shared" si="371"/>
        <v/>
      </c>
      <c r="C653" s="288" t="str">
        <f t="shared" si="366"/>
        <v/>
      </c>
      <c r="D653" s="691"/>
      <c r="E653" s="692"/>
      <c r="F653" s="693"/>
      <c r="G653" s="694"/>
      <c r="H653" s="695"/>
      <c r="I653" s="289">
        <f>I652-SUM($D653:F653)</f>
        <v>0</v>
      </c>
      <c r="J653" s="1234" t="str">
        <f>$J$9</f>
        <v>% Sel Acm :</v>
      </c>
      <c r="K653" s="1231">
        <f>IF(PROD!$K$2&gt;0,SUM(E$5:E655)/PROD!$K$2,0)</f>
        <v>0</v>
      </c>
      <c r="L653" s="1246"/>
      <c r="M653" s="291">
        <f t="shared" si="375"/>
        <v>0</v>
      </c>
      <c r="N653" s="292" t="str">
        <f>$N$9</f>
        <v xml:space="preserve">Uniformidad (10% -) : </v>
      </c>
      <c r="O653" s="320">
        <f>LOOKUP($A649,'Pr-Sem'!$A$6:$A$108,'Pr-Sem'!$AH$6:$AH$108)</f>
        <v>0</v>
      </c>
      <c r="P653" s="320">
        <v>5</v>
      </c>
      <c r="Q653" s="321">
        <f>IF(AND(P653&gt;0,O653&gt;0),(1-O653/P653)*100,0)</f>
        <v>0</v>
      </c>
      <c r="R653" s="699"/>
      <c r="S653" s="762"/>
      <c r="T653" s="765">
        <f t="shared" si="377"/>
        <v>0</v>
      </c>
      <c r="U653" s="700"/>
      <c r="V653" s="701"/>
      <c r="W653" s="701"/>
      <c r="X653" s="295">
        <f t="shared" si="372"/>
        <v>0</v>
      </c>
      <c r="Y653" s="296">
        <f>IF(AA653&gt;0,V653,AE649/IF(Iniciar!$C$25="B X 40 K",40,IF(Iniciar!$C$25="B X 50 K",50,1))*I653/1000)</f>
        <v>0</v>
      </c>
      <c r="Z653" s="296">
        <f t="shared" si="373"/>
        <v>0</v>
      </c>
      <c r="AA653" s="297">
        <f t="shared" si="376"/>
        <v>0</v>
      </c>
      <c r="AB653" s="297">
        <f t="shared" si="367"/>
        <v>0</v>
      </c>
      <c r="AC653" s="2035" t="str">
        <f>$AC$9</f>
        <v xml:space="preserve">Total Litros Sem: </v>
      </c>
      <c r="AD653" s="2036"/>
      <c r="AE653" s="2050">
        <f>SUM(R649:R655)</f>
        <v>0</v>
      </c>
      <c r="AF653" s="2051"/>
      <c r="AG653" s="554" t="str">
        <f>$AG$9</f>
        <v xml:space="preserve">Indicador Eficiencia : </v>
      </c>
      <c r="AH653" s="555">
        <f>IF(AND(AE653&gt;0,O650&gt;0,O651&gt;0,SUM(L649:L655)&gt;0),(PROD!AH652/O650)*K655*100/(AE653/(SUM(L649:L655)*O651/1000)),0)</f>
        <v>0</v>
      </c>
      <c r="AI653" s="555">
        <f>IF(AND(P650&gt;0,PROD!AI651&gt;0),(PROD!AI652/P650)*(1-K654)*100/(AE650/PROD!AI651),0)</f>
        <v>0</v>
      </c>
      <c r="AJ653" s="331">
        <f t="shared" si="374"/>
        <v>0</v>
      </c>
      <c r="AK653" s="2027"/>
      <c r="AL653" s="1284">
        <f t="shared" si="368"/>
        <v>0</v>
      </c>
      <c r="AM653" s="1285"/>
      <c r="AN653" s="1285"/>
      <c r="AO653" s="1285"/>
      <c r="AP653" s="1285"/>
      <c r="AQ653" s="1285"/>
      <c r="AR653" s="1285"/>
      <c r="AS653" s="1286"/>
      <c r="AT653" s="1287"/>
      <c r="AU653" s="1288"/>
      <c r="AV653" s="1289"/>
      <c r="AW653" s="1290"/>
      <c r="AX653" s="1291"/>
      <c r="AY653" s="1291"/>
      <c r="AZ653" s="1292"/>
      <c r="BA653" s="1293"/>
      <c r="BB653" s="1294"/>
      <c r="BC653" s="1295"/>
      <c r="BD653" s="1296">
        <f>BD652+PROD!L653-BA653</f>
        <v>0</v>
      </c>
      <c r="BE653" s="2133"/>
      <c r="BF653" s="507" t="e">
        <f t="shared" si="369"/>
        <v>#VALUE!</v>
      </c>
      <c r="BG653" s="329"/>
      <c r="BH653" s="1018">
        <f t="shared" si="370"/>
        <v>0</v>
      </c>
    </row>
    <row r="654" spans="1:60" ht="15" customHeight="1" x14ac:dyDescent="0.3">
      <c r="A654" s="2033"/>
      <c r="B654" s="287" t="str">
        <f t="shared" si="371"/>
        <v/>
      </c>
      <c r="C654" s="288" t="str">
        <f t="shared" si="366"/>
        <v/>
      </c>
      <c r="D654" s="691"/>
      <c r="E654" s="692"/>
      <c r="F654" s="693"/>
      <c r="G654" s="694"/>
      <c r="H654" s="695"/>
      <c r="I654" s="289">
        <f>I653-SUM($D654:F654)</f>
        <v>0</v>
      </c>
      <c r="J654" s="1237" t="str">
        <f>$J$10</f>
        <v>% Mort/Sel Acm Tab :</v>
      </c>
      <c r="K654" s="1238">
        <f>IFERROR(LOOKUP($A649,TP!$A$6:$A$108,GSh!$AR$6:$AR$108)/100,0)</f>
        <v>0</v>
      </c>
      <c r="L654" s="1246"/>
      <c r="M654" s="291">
        <f t="shared" si="375"/>
        <v>0</v>
      </c>
      <c r="N654" s="292" t="str">
        <f>$N$10</f>
        <v xml:space="preserve">Uniformidad (C. Lote) : </v>
      </c>
      <c r="O654" s="320">
        <f>LOOKUP($A649,'Pr-Sem'!$A$6:$A$108,'Pr-Sem'!$AG$6:$AG$108)</f>
        <v>0</v>
      </c>
      <c r="P654" s="320">
        <v>90</v>
      </c>
      <c r="Q654" s="321">
        <f>IF(AND(P654&gt;0,O654&gt;0),(O654/P654-1)*100,0)</f>
        <v>0</v>
      </c>
      <c r="R654" s="699"/>
      <c r="S654" s="762"/>
      <c r="T654" s="765">
        <f t="shared" si="377"/>
        <v>0</v>
      </c>
      <c r="U654" s="700"/>
      <c r="V654" s="701"/>
      <c r="W654" s="701"/>
      <c r="X654" s="295">
        <f t="shared" si="372"/>
        <v>0</v>
      </c>
      <c r="Y654" s="296">
        <f>IF(AA654&gt;0,V654,AE649/IF(Iniciar!$C$25="B X 40 K",40,IF(Iniciar!$C$25="B X 50 K",50,1))*I654/1000)</f>
        <v>0</v>
      </c>
      <c r="Z654" s="296">
        <f t="shared" si="373"/>
        <v>0</v>
      </c>
      <c r="AA654" s="297">
        <f t="shared" si="376"/>
        <v>0</v>
      </c>
      <c r="AB654" s="297">
        <f t="shared" si="367"/>
        <v>0</v>
      </c>
      <c r="AC654" s="2037" t="str">
        <f>$AC$10</f>
        <v xml:space="preserve">Cons ml /ave día: </v>
      </c>
      <c r="AD654" s="2038"/>
      <c r="AE654" s="2056">
        <f>IFERROR(SUMPRODUCT(AB649:AB655,I649:I655)/SUM(I649:I655),0)</f>
        <v>0</v>
      </c>
      <c r="AF654" s="2057"/>
      <c r="AG654" s="311" t="str">
        <f>CONCATENATE("Costo ",Iniciar!$C$25," : ")</f>
        <v xml:space="preserve">Costo Kilos : </v>
      </c>
      <c r="AH654" s="2043">
        <f>IFERROR(SUMPRODUCT(T649:T655,V649:V655)/SUMIF(T649:T655,"&gt;0",V649:V655),0)</f>
        <v>0</v>
      </c>
      <c r="AI654" s="2043"/>
      <c r="AJ654" s="313"/>
      <c r="AK654" s="2027"/>
      <c r="AL654" s="1284">
        <f t="shared" si="368"/>
        <v>0</v>
      </c>
      <c r="AM654" s="1285"/>
      <c r="AN654" s="1285"/>
      <c r="AO654" s="1285"/>
      <c r="AP654" s="1285"/>
      <c r="AQ654" s="1285"/>
      <c r="AR654" s="1285"/>
      <c r="AS654" s="1286"/>
      <c r="AT654" s="1287"/>
      <c r="AU654" s="1288"/>
      <c r="AV654" s="1289"/>
      <c r="AW654" s="1290"/>
      <c r="AX654" s="1291"/>
      <c r="AY654" s="1291"/>
      <c r="AZ654" s="1292"/>
      <c r="BA654" s="1293"/>
      <c r="BB654" s="1294"/>
      <c r="BC654" s="1295"/>
      <c r="BD654" s="1296">
        <f>BD653+PROD!L654-BA654</f>
        <v>0</v>
      </c>
      <c r="BE654" s="2133"/>
      <c r="BF654" s="507" t="e">
        <f t="shared" si="369"/>
        <v>#VALUE!</v>
      </c>
      <c r="BG654" s="329"/>
      <c r="BH654" s="1018">
        <f t="shared" si="370"/>
        <v>0</v>
      </c>
    </row>
    <row r="655" spans="1:60" ht="15" customHeight="1" x14ac:dyDescent="0.3">
      <c r="A655" s="2034"/>
      <c r="B655" s="287" t="str">
        <f t="shared" si="371"/>
        <v/>
      </c>
      <c r="C655" s="288" t="str">
        <f t="shared" si="366"/>
        <v/>
      </c>
      <c r="D655" s="691"/>
      <c r="E655" s="692"/>
      <c r="F655" s="693"/>
      <c r="G655" s="694"/>
      <c r="H655" s="695"/>
      <c r="I655" s="289">
        <f>I654-SUM($D655:F655)</f>
        <v>0</v>
      </c>
      <c r="J655" s="1239" t="str">
        <f>$J$11</f>
        <v>% Viabilidad :</v>
      </c>
      <c r="K655" s="1240">
        <f>IF(OR(SUM(L649:L655)&gt;0,SUM(V649:V655)&gt;0),1-(K652+K653),0)</f>
        <v>0</v>
      </c>
      <c r="L655" s="1247"/>
      <c r="M655" s="1248">
        <f>IF(I655&gt;0,(L655/IF(SUM(L649:L654)&gt;0,1,7))/I655,0)</f>
        <v>0</v>
      </c>
      <c r="N655" s="1249" t="str">
        <f>$N$11</f>
        <v xml:space="preserve">Uniformidad (10% +) : </v>
      </c>
      <c r="O655" s="1250">
        <f>IF(O653&gt;0,IF(O654&gt;0,100-SUM(O653:O654),0),0)</f>
        <v>0</v>
      </c>
      <c r="P655" s="1251">
        <f>100-SUM(P653:P654)</f>
        <v>5</v>
      </c>
      <c r="Q655" s="1252">
        <f>IF(AND(P655&gt;0,O655&gt;0),(O655/P655-1)*100,0)</f>
        <v>0</v>
      </c>
      <c r="R655" s="699"/>
      <c r="S655" s="762"/>
      <c r="T655" s="765">
        <f t="shared" si="377"/>
        <v>0</v>
      </c>
      <c r="U655" s="700"/>
      <c r="V655" s="701"/>
      <c r="W655" s="701"/>
      <c r="X655" s="295">
        <f t="shared" si="372"/>
        <v>0</v>
      </c>
      <c r="Y655" s="296">
        <f>IF(AA655&gt;0,V655,AE649/IF(Iniciar!$C$25="B X 40 K",40,IF(Iniciar!$C$25="B X 50 K",50,1))*I655/1000)</f>
        <v>0</v>
      </c>
      <c r="Z655" s="296">
        <f t="shared" si="373"/>
        <v>0</v>
      </c>
      <c r="AA655" s="297">
        <f>IF(I655&gt;0,(V655/IF(SUM(V649:V654)&gt;0,1,7))*$A$1/I655,0)</f>
        <v>0</v>
      </c>
      <c r="AB655" s="297">
        <f t="shared" si="367"/>
        <v>0</v>
      </c>
      <c r="AC655" s="2039" t="str">
        <f>$AC$11</f>
        <v xml:space="preserve">Relación Agua /Alimto: </v>
      </c>
      <c r="AD655" s="2040"/>
      <c r="AE655" s="2058">
        <f>IFERROR(AE654/AD649,0)</f>
        <v>0</v>
      </c>
      <c r="AF655" s="2059"/>
      <c r="AG655" s="1269" t="s">
        <v>237</v>
      </c>
      <c r="AH655" s="1270">
        <f>IF(SUM(L649:L655)&gt;0,AH654*SUM(V649:V655)/SUM(L649:L655),0)</f>
        <v>0</v>
      </c>
      <c r="AI655" s="1270">
        <f>IF(AND($A$1&gt;0,P649&gt;0),AH654/$A$1*(AE649/P649)*100,0)</f>
        <v>0</v>
      </c>
      <c r="AJ655" s="1271">
        <f t="shared" ref="AJ655:AJ660" si="378">IF(AND(AI655&gt;0,AH655&gt;0),(AH655/AI655-1)*100,0)</f>
        <v>0</v>
      </c>
      <c r="AK655" s="2028"/>
      <c r="AL655" s="1284">
        <f t="shared" si="368"/>
        <v>0</v>
      </c>
      <c r="AM655" s="1285"/>
      <c r="AN655" s="1285"/>
      <c r="AO655" s="1285"/>
      <c r="AP655" s="1285"/>
      <c r="AQ655" s="1285"/>
      <c r="AR655" s="1285"/>
      <c r="AS655" s="1286"/>
      <c r="AT655" s="1287"/>
      <c r="AU655" s="1288"/>
      <c r="AV655" s="1289"/>
      <c r="AW655" s="1290"/>
      <c r="AX655" s="1291"/>
      <c r="AY655" s="1291"/>
      <c r="AZ655" s="1292"/>
      <c r="BA655" s="1293"/>
      <c r="BB655" s="1294"/>
      <c r="BC655" s="1295"/>
      <c r="BD655" s="1296">
        <f>BD654+PROD!L655-BA655</f>
        <v>0</v>
      </c>
      <c r="BE655" s="2134"/>
      <c r="BF655" s="507" t="e">
        <f t="shared" si="369"/>
        <v>#VALUE!</v>
      </c>
      <c r="BG655" s="329"/>
      <c r="BH655" s="1018">
        <f t="shared" si="370"/>
        <v>0</v>
      </c>
    </row>
    <row r="656" spans="1:60" ht="15" customHeight="1" x14ac:dyDescent="0.3">
      <c r="A656" s="2032">
        <f>A649+1</f>
        <v>111</v>
      </c>
      <c r="B656" s="287" t="str">
        <f t="shared" si="371"/>
        <v/>
      </c>
      <c r="C656" s="288" t="str">
        <f t="shared" si="366"/>
        <v/>
      </c>
      <c r="D656" s="691"/>
      <c r="E656" s="692"/>
      <c r="F656" s="693"/>
      <c r="G656" s="694"/>
      <c r="H656" s="695"/>
      <c r="I656" s="289">
        <f>I655-SUM($D656:F656)</f>
        <v>0</v>
      </c>
      <c r="J656" s="1232" t="str">
        <f>$J$5</f>
        <v>% Mort Sem :</v>
      </c>
      <c r="K656" s="1233">
        <f>IF(PROD!$K$2&gt;0,SUM(D656:D662)/PROD!$K$2,0)</f>
        <v>0</v>
      </c>
      <c r="L656" s="1241"/>
      <c r="M656" s="1242">
        <f t="shared" ref="M656:M661" si="379">IF(I656&gt;0,L656/I656,0)</f>
        <v>0</v>
      </c>
      <c r="N656" s="1243" t="str">
        <f>$N$5</f>
        <v xml:space="preserve">% Pdn prom semana : </v>
      </c>
      <c r="O656" s="1244">
        <f>IF(SUM(L656:L661)&gt;0,100*SUMPRODUCT(M656:M662,I656:I662)/SUMIF(L656:L662,"&gt;0",I656:I662),IF(L662&gt;0,100*L662/7/I662,0))</f>
        <v>0</v>
      </c>
      <c r="P656" s="1244">
        <f>IFERROR(LOOKUP($A656,TP!$A$6:$A$108,GSh!$AE$6:$AE$108),0)</f>
        <v>0</v>
      </c>
      <c r="Q656" s="1245">
        <f>IF(AND(P656&gt;0,O656&gt;0),O656-P656,0)</f>
        <v>0</v>
      </c>
      <c r="R656" s="699"/>
      <c r="S656" s="762"/>
      <c r="T656" s="765">
        <f t="shared" si="377"/>
        <v>0</v>
      </c>
      <c r="U656" s="700"/>
      <c r="V656" s="701"/>
      <c r="W656" s="701"/>
      <c r="X656" s="295">
        <f t="shared" si="372"/>
        <v>0</v>
      </c>
      <c r="Y656" s="296">
        <f>IF(AA656&gt;0,V656,AE656/IF(Iniciar!$C$25="B X 40 K",40,IF(Iniciar!$C$25="B X 50 K",50,1))*I656/1000)</f>
        <v>0</v>
      </c>
      <c r="Z656" s="296">
        <f t="shared" si="373"/>
        <v>0</v>
      </c>
      <c r="AA656" s="297">
        <f t="shared" ref="AA656:AA661" si="380">IF(I656&gt;0,V656*$A$1/I656,0)</f>
        <v>0</v>
      </c>
      <c r="AB656" s="297">
        <f t="shared" si="367"/>
        <v>0</v>
      </c>
      <c r="AC656" s="1261" t="str">
        <f>$AC$5</f>
        <v>Gr. Ave Dia :</v>
      </c>
      <c r="AD656" s="1262">
        <f>IF(SUMIF(V656:V662,"&gt;0")&gt;0,SUMPRODUCT(AA656:AA662,I656:I662)/SUMIF(AA656:AA662,"&gt;0",I656:I662),0)</f>
        <v>0</v>
      </c>
      <c r="AE656" s="1262">
        <f>IFERROR(LOOKUP($A656,TP!$A$6:$A$108,GSh!$AU$6:$AU$108),0)</f>
        <v>0</v>
      </c>
      <c r="AF656" s="1263">
        <f>IF(AND(AE656&gt;0,AD656&gt;0),(AD656/AE656-1)*100,0)</f>
        <v>0</v>
      </c>
      <c r="AG656" s="1264" t="str">
        <f>PROD!$AG$5</f>
        <v>Gr X H</v>
      </c>
      <c r="AH656" s="1265">
        <f>IF(PROD!O656&gt;0,IF($AG656="Gr X H",PROD!AD656/PROD!O656*100,IF($AG656="Conv Kg/Doc",PROD!AD656/PROD!O656*1.2,IF(PROD!$O658&gt;0,PROD!AD656/(PROD!O656*PROD!$O658)*100,0))),0)</f>
        <v>0</v>
      </c>
      <c r="AI656" s="1265">
        <f>IF(PROD!P656&gt;0,IF($AG656="Gr X H",PROD!AE656/PROD!P656*100,IF($AG656="Conv Kg/Doc",PROD!AE656/PROD!P656*1.2,IF(PROD!$P658&gt;0,PROD!AE656/(PROD!P656*PROD!$P658)*100,0))),0)</f>
        <v>0</v>
      </c>
      <c r="AJ656" s="1266">
        <f t="shared" si="378"/>
        <v>0</v>
      </c>
      <c r="AK656" s="2026"/>
      <c r="AL656" s="1284">
        <f t="shared" si="368"/>
        <v>0</v>
      </c>
      <c r="AM656" s="1285"/>
      <c r="AN656" s="1285"/>
      <c r="AO656" s="1285"/>
      <c r="AP656" s="1285"/>
      <c r="AQ656" s="1285"/>
      <c r="AR656" s="1285"/>
      <c r="AS656" s="1286"/>
      <c r="AT656" s="1287"/>
      <c r="AU656" s="1288"/>
      <c r="AV656" s="1289"/>
      <c r="AW656" s="1290"/>
      <c r="AX656" s="1291"/>
      <c r="AY656" s="1291"/>
      <c r="AZ656" s="1292"/>
      <c r="BA656" s="1293"/>
      <c r="BB656" s="1294"/>
      <c r="BC656" s="1295"/>
      <c r="BD656" s="1296">
        <f>BD655+PROD!L656-BA656</f>
        <v>0</v>
      </c>
      <c r="BE656" s="2132">
        <f>IF(SUM(AM656:AZ662)&gt;0,(SUM(AM656:AM662)*$AM$2+SUM(AN656:AN662)*$AN$2+SUM(AO656:AO662)*$AO$2+SUM(AP656:AP662)*$AP$2+SUM(AQ656:AQ662)*$AQ$2+SUM(AR656:AR662)*$AR$2+SUM(AS656:AS662)*$AS$2+SUM(AW656:AW662)*$AW$2+SUM(AX656:AX662)*$AX$2+SUM(AY656:AY662)*$AY$2+SUM(AZ656:AZ662)*$AZ$2+SUM(AT656:AT662)*$AT$2+SUM(AU656:AU662)*$AU$2+SUM(AV656:AV662)*$AV$2)/SUM(AM656:AZ662),0)</f>
        <v>0</v>
      </c>
      <c r="BF656" s="507" t="e">
        <f t="shared" si="369"/>
        <v>#VALUE!</v>
      </c>
      <c r="BG656" s="277">
        <f>IF(SUM(L656:L662)&gt;0,A656,IF(SUM(V656:V662)&gt;0,A656,BG649))</f>
        <v>0</v>
      </c>
      <c r="BH656" s="1018">
        <f t="shared" si="370"/>
        <v>0</v>
      </c>
    </row>
    <row r="657" spans="1:60" ht="15" customHeight="1" x14ac:dyDescent="0.3">
      <c r="A657" s="2033"/>
      <c r="B657" s="287" t="str">
        <f t="shared" si="371"/>
        <v/>
      </c>
      <c r="C657" s="288" t="str">
        <f t="shared" si="366"/>
        <v/>
      </c>
      <c r="D657" s="691"/>
      <c r="E657" s="692"/>
      <c r="F657" s="693"/>
      <c r="G657" s="694"/>
      <c r="H657" s="695"/>
      <c r="I657" s="289">
        <f>I656-SUM($D657:F657)</f>
        <v>0</v>
      </c>
      <c r="J657" s="1234" t="str">
        <f>$J$6</f>
        <v>% Sel Sem :</v>
      </c>
      <c r="K657" s="1231">
        <f>IF(PROD!$K$2&gt;0,SUM(E656:E662)/PROD!$K$2,0)</f>
        <v>0</v>
      </c>
      <c r="L657" s="1246"/>
      <c r="M657" s="291">
        <f t="shared" si="379"/>
        <v>0</v>
      </c>
      <c r="N657" s="292" t="str">
        <f>$N$6</f>
        <v xml:space="preserve">H. Ave Alojada : </v>
      </c>
      <c r="O657" s="293">
        <f>IF(AND(PROD!$K$2&gt;0,O656&gt;0),SUM(L$5:L662)/PROD!$K$2,0)</f>
        <v>0</v>
      </c>
      <c r="P657" s="293">
        <f>IFERROR(LOOKUP($A656,TP!$A$6:$A$108,GSh!$AJ$6:$AJ$108),0)</f>
        <v>0</v>
      </c>
      <c r="Q657" s="294">
        <f>IF(AND(P657&gt;0,O657&gt;0),O657-P657,0)</f>
        <v>0</v>
      </c>
      <c r="R657" s="699"/>
      <c r="S657" s="762"/>
      <c r="T657" s="765">
        <f t="shared" si="377"/>
        <v>0</v>
      </c>
      <c r="U657" s="700"/>
      <c r="V657" s="701"/>
      <c r="W657" s="701"/>
      <c r="X657" s="295">
        <f t="shared" si="372"/>
        <v>0</v>
      </c>
      <c r="Y657" s="296">
        <f>IF(AA657&gt;0,V657,AE656/IF(Iniciar!$C$25="B X 40 K",40,IF(Iniciar!$C$25="B X 50 K",50,1))*I657/1000)</f>
        <v>0</v>
      </c>
      <c r="Z657" s="296">
        <f t="shared" si="373"/>
        <v>0</v>
      </c>
      <c r="AA657" s="297">
        <f t="shared" si="380"/>
        <v>0</v>
      </c>
      <c r="AB657" s="297">
        <f t="shared" si="367"/>
        <v>0</v>
      </c>
      <c r="AC657" s="1267" t="str">
        <f>$AC$6</f>
        <v>Gr. Ave Sem :</v>
      </c>
      <c r="AD657" s="284">
        <f>AD656*7</f>
        <v>0</v>
      </c>
      <c r="AE657" s="284">
        <f>AE656*7</f>
        <v>0</v>
      </c>
      <c r="AF657" s="285">
        <f>IF(AND(AE657&gt;0,AD657&gt;0),(AD657/AE657-1)*100,0)</f>
        <v>0</v>
      </c>
      <c r="AG657" s="1199" t="str">
        <f>PROD!$AG$6</f>
        <v>Gr X H Acm</v>
      </c>
      <c r="AH657" s="298">
        <f>IF(SUM(PROD!L656:L662)&gt;0,IF(PROD!$AG$5="Gr X H",SUM(PROD!V$5:V662)*PROD!$A$1/SUM(PROD!L$5:L662),IF($AG656="Conv Kg/Doc",(SUM(PROD!V$5:V662)*PROD!$A$1/1000)/(SUM(PROD!L$5:L662)/12),IF(PROD!$O658&gt;0,SUM(PROD!V$5:V662)*PROD!$A$1/(SUM(PROD!L$5:L662)*LOOKUP(PROD!A656,TP!$A$6:$A$108,GSh!$BB$6:$BB$108)),0))),0)</f>
        <v>0</v>
      </c>
      <c r="AI657" s="298">
        <f>IF(PROD!P656&gt;0,IF($AG656="Gr X H",PROD!AE656/PROD!P656*100,IF($AG656="Conv Kg/Doc",PROD!AE656/PROD!P656*1.2,IF(PROD!$P657&gt;0,PROD!AE658/(PROD!P657*LOOKUP(PROD!$A656,TP!$A$6:$A$108,GSh!$BC$6:$BC$108)/1000),0))),0)</f>
        <v>0</v>
      </c>
      <c r="AJ657" s="328">
        <f t="shared" si="378"/>
        <v>0</v>
      </c>
      <c r="AK657" s="2027"/>
      <c r="AL657" s="1284">
        <f t="shared" si="368"/>
        <v>0</v>
      </c>
      <c r="AM657" s="1285"/>
      <c r="AN657" s="1285"/>
      <c r="AO657" s="1285"/>
      <c r="AP657" s="1285"/>
      <c r="AQ657" s="1285"/>
      <c r="AR657" s="1285"/>
      <c r="AS657" s="1286"/>
      <c r="AT657" s="1287"/>
      <c r="AU657" s="1288"/>
      <c r="AV657" s="1289"/>
      <c r="AW657" s="1290"/>
      <c r="AX657" s="1291"/>
      <c r="AY657" s="1291"/>
      <c r="AZ657" s="1292"/>
      <c r="BA657" s="1293"/>
      <c r="BB657" s="1294"/>
      <c r="BC657" s="1295"/>
      <c r="BD657" s="1296">
        <f>BD656+PROD!L657-BA657</f>
        <v>0</v>
      </c>
      <c r="BE657" s="2133"/>
      <c r="BF657" s="507" t="e">
        <f t="shared" si="369"/>
        <v>#VALUE!</v>
      </c>
      <c r="BG657" s="329"/>
      <c r="BH657" s="1018">
        <f t="shared" si="370"/>
        <v>0</v>
      </c>
    </row>
    <row r="658" spans="1:60" ht="15" customHeight="1" x14ac:dyDescent="0.3">
      <c r="A658" s="2033"/>
      <c r="B658" s="287" t="str">
        <f t="shared" si="371"/>
        <v/>
      </c>
      <c r="C658" s="288" t="str">
        <f t="shared" si="366"/>
        <v/>
      </c>
      <c r="D658" s="691"/>
      <c r="E658" s="692"/>
      <c r="F658" s="693"/>
      <c r="G658" s="694"/>
      <c r="H658" s="695"/>
      <c r="I658" s="289">
        <f>I657-SUM($D658:F658)</f>
        <v>0</v>
      </c>
      <c r="J658" s="1235" t="str">
        <f>$J$7</f>
        <v>% Mort/Sel Sem Tab :</v>
      </c>
      <c r="K658" s="1236">
        <f>K661-K654</f>
        <v>0</v>
      </c>
      <c r="L658" s="1246"/>
      <c r="M658" s="291">
        <f t="shared" si="379"/>
        <v>0</v>
      </c>
      <c r="N658" s="304" t="str">
        <f>$N$7</f>
        <v xml:space="preserve">Peso Huevo (Gr) : </v>
      </c>
      <c r="O658" s="305">
        <f>LOOKUP($A656,'Pr-Sem'!$A$6:$A$108,'Pr-Sem'!$Z$6:$Z$108)</f>
        <v>0</v>
      </c>
      <c r="P658" s="305">
        <f>IFERROR(LOOKUP($A656,TP!$A$6:$A$108,GSh!$AZ$6:$AZ$108),0)</f>
        <v>0</v>
      </c>
      <c r="Q658" s="306">
        <f>IF(AND(P658&gt;0,O658&gt;0),O658-P658,0)</f>
        <v>0</v>
      </c>
      <c r="R658" s="699"/>
      <c r="S658" s="762"/>
      <c r="T658" s="765">
        <f t="shared" si="377"/>
        <v>0</v>
      </c>
      <c r="U658" s="700"/>
      <c r="V658" s="701"/>
      <c r="W658" s="701"/>
      <c r="X658" s="295">
        <f t="shared" si="372"/>
        <v>0</v>
      </c>
      <c r="Y658" s="296">
        <f>IF(AA658&gt;0,V658,AE656/IF(Iniciar!$C$25="B X 40 K",40,IF(Iniciar!$C$25="B X 50 K",50,1))*I658/1000)</f>
        <v>0</v>
      </c>
      <c r="Z658" s="296">
        <f t="shared" si="373"/>
        <v>0</v>
      </c>
      <c r="AA658" s="297">
        <f t="shared" si="380"/>
        <v>0</v>
      </c>
      <c r="AB658" s="297">
        <f t="shared" si="367"/>
        <v>0</v>
      </c>
      <c r="AC658" s="1268" t="str">
        <f>$AC$7</f>
        <v>Kg Ave Acu :</v>
      </c>
      <c r="AD658" s="308">
        <f>IF(OR(SUM(L656:L662)&gt;0,SUM(V656:V662)&gt;0),AD657/1000+AD651,0)</f>
        <v>0</v>
      </c>
      <c r="AE658" s="309">
        <f>AE657/1000+AE651</f>
        <v>0</v>
      </c>
      <c r="AF658" s="310">
        <f>IF(AND(AE658&gt;0,AD658&gt;0),(AD658/AE658-1)*100,0)</f>
        <v>0</v>
      </c>
      <c r="AG658" s="311" t="str">
        <f>PROD!$AG$7</f>
        <v xml:space="preserve">Masa Sem H (Gr) : </v>
      </c>
      <c r="AH658" s="312">
        <f>PROD!O656/100*7*PROD!O658</f>
        <v>0</v>
      </c>
      <c r="AI658" s="312">
        <f>PROD!P656/100*7*PROD!P658</f>
        <v>0</v>
      </c>
      <c r="AJ658" s="313">
        <f t="shared" si="378"/>
        <v>0</v>
      </c>
      <c r="AK658" s="2027"/>
      <c r="AL658" s="1284">
        <f t="shared" si="368"/>
        <v>0</v>
      </c>
      <c r="AM658" s="1285"/>
      <c r="AN658" s="1285"/>
      <c r="AO658" s="1285"/>
      <c r="AP658" s="1285"/>
      <c r="AQ658" s="1285"/>
      <c r="AR658" s="1285"/>
      <c r="AS658" s="1286"/>
      <c r="AT658" s="1287"/>
      <c r="AU658" s="1288"/>
      <c r="AV658" s="1289"/>
      <c r="AW658" s="1290"/>
      <c r="AX658" s="1291"/>
      <c r="AY658" s="1291"/>
      <c r="AZ658" s="1292"/>
      <c r="BA658" s="1293"/>
      <c r="BB658" s="1294"/>
      <c r="BC658" s="1295"/>
      <c r="BD658" s="1296">
        <f>BD657+PROD!L658-BA658</f>
        <v>0</v>
      </c>
      <c r="BE658" s="2133"/>
      <c r="BF658" s="507" t="e">
        <f t="shared" si="369"/>
        <v>#VALUE!</v>
      </c>
      <c r="BG658" s="329"/>
      <c r="BH658" s="1018">
        <f t="shared" si="370"/>
        <v>0</v>
      </c>
    </row>
    <row r="659" spans="1:60" ht="15" customHeight="1" x14ac:dyDescent="0.3">
      <c r="A659" s="2033"/>
      <c r="B659" s="287" t="str">
        <f t="shared" si="371"/>
        <v/>
      </c>
      <c r="C659" s="288" t="str">
        <f t="shared" si="366"/>
        <v/>
      </c>
      <c r="D659" s="691"/>
      <c r="E659" s="692"/>
      <c r="F659" s="693"/>
      <c r="G659" s="694"/>
      <c r="H659" s="695"/>
      <c r="I659" s="289">
        <f>I658-SUM($D659:F659)</f>
        <v>0</v>
      </c>
      <c r="J659" s="1234" t="str">
        <f>$J$8</f>
        <v>% Mort Acm :</v>
      </c>
      <c r="K659" s="1231">
        <f>IF(PROD!$K$2&gt;0,SUM(D$5:D662)/PROD!$K$2,0)</f>
        <v>0</v>
      </c>
      <c r="L659" s="1246"/>
      <c r="M659" s="291">
        <f t="shared" si="379"/>
        <v>0</v>
      </c>
      <c r="N659" s="314" t="str">
        <f>N$8</f>
        <v xml:space="preserve">Peso Ave (Gr) : </v>
      </c>
      <c r="O659" s="315">
        <f>LOOKUP($A656,GSh!$BV$6:$BV$108,GSh!$BJ$6:$BJ$108)</f>
        <v>0</v>
      </c>
      <c r="P659" s="315">
        <f>IFERROR(LOOKUP($A656,TP!$A$6:$A$108,GSh!$BK$6:$BK$108),0)</f>
        <v>0</v>
      </c>
      <c r="Q659" s="316">
        <f>IF(AND(P659&gt;0,O659&gt;0),(O659/P659-1)*100,0)</f>
        <v>0</v>
      </c>
      <c r="R659" s="699"/>
      <c r="S659" s="762"/>
      <c r="T659" s="765">
        <f t="shared" si="377"/>
        <v>0</v>
      </c>
      <c r="U659" s="700"/>
      <c r="V659" s="701"/>
      <c r="W659" s="701"/>
      <c r="X659" s="295">
        <f t="shared" si="372"/>
        <v>0</v>
      </c>
      <c r="Y659" s="296">
        <f>IF(AA659&gt;0,V659,AE656/IF(Iniciar!$C$25="B X 40 K",40,IF(Iniciar!$C$25="B X 50 K",50,1))*I659/1000)</f>
        <v>0</v>
      </c>
      <c r="Z659" s="296">
        <f t="shared" si="373"/>
        <v>0</v>
      </c>
      <c r="AA659" s="297">
        <f t="shared" si="380"/>
        <v>0</v>
      </c>
      <c r="AB659" s="297">
        <f t="shared" si="367"/>
        <v>0</v>
      </c>
      <c r="AC659" s="541" t="str">
        <f>$AC$8</f>
        <v xml:space="preserve">Ton. Lote Acu : </v>
      </c>
      <c r="AD659" s="544">
        <f>SUM($V$5:$V662)*$A$1/1000000</f>
        <v>0</v>
      </c>
      <c r="AE659" s="543">
        <f>AE652+(AE656/1000000*7*(I656+I662)/2)</f>
        <v>0</v>
      </c>
      <c r="AF659" s="542">
        <f>IF(AND(AE659&gt;0,AD659&gt;0),(AD659/AE659-1)*100,0)</f>
        <v>0</v>
      </c>
      <c r="AG659" s="317" t="str">
        <f>PROD!$AG$8</f>
        <v xml:space="preserve">Masa Ac A. A (Kg) : </v>
      </c>
      <c r="AH659" s="318">
        <f>IF(PROD!$K$2&gt;0,SUM(PROD!L$5:L662)*LOOKUP(PROD!$A656,TP!$A$6:$A$108,GSh!$BB$6:$BB$108)/1000/PROD!$K$2,0)</f>
        <v>0</v>
      </c>
      <c r="AI659" s="318">
        <f>IFERROR(PROD!P657*LOOKUP(PROD!$A656,TP!$A$6:$A$108,GSh!$BC$6:$BC$108)/1000,0)</f>
        <v>0</v>
      </c>
      <c r="AJ659" s="330">
        <f t="shared" si="378"/>
        <v>0</v>
      </c>
      <c r="AK659" s="2027"/>
      <c r="AL659" s="1284">
        <f t="shared" si="368"/>
        <v>0</v>
      </c>
      <c r="AM659" s="1285"/>
      <c r="AN659" s="1285"/>
      <c r="AO659" s="1285"/>
      <c r="AP659" s="1285"/>
      <c r="AQ659" s="1285"/>
      <c r="AR659" s="1285"/>
      <c r="AS659" s="1286"/>
      <c r="AT659" s="1287"/>
      <c r="AU659" s="1288"/>
      <c r="AV659" s="1289"/>
      <c r="AW659" s="1290"/>
      <c r="AX659" s="1291"/>
      <c r="AY659" s="1291"/>
      <c r="AZ659" s="1292"/>
      <c r="BA659" s="1293"/>
      <c r="BB659" s="1294"/>
      <c r="BC659" s="1295"/>
      <c r="BD659" s="1296">
        <f>BD658+PROD!L659-BA659</f>
        <v>0</v>
      </c>
      <c r="BE659" s="2133"/>
      <c r="BF659" s="507" t="e">
        <f t="shared" si="369"/>
        <v>#VALUE!</v>
      </c>
      <c r="BG659" s="329"/>
      <c r="BH659" s="1018">
        <f t="shared" si="370"/>
        <v>0</v>
      </c>
    </row>
    <row r="660" spans="1:60" ht="15" customHeight="1" x14ac:dyDescent="0.3">
      <c r="A660" s="2033"/>
      <c r="B660" s="287" t="str">
        <f t="shared" si="371"/>
        <v/>
      </c>
      <c r="C660" s="288" t="str">
        <f t="shared" si="366"/>
        <v/>
      </c>
      <c r="D660" s="691"/>
      <c r="E660" s="692"/>
      <c r="F660" s="693"/>
      <c r="G660" s="694"/>
      <c r="H660" s="695"/>
      <c r="I660" s="289">
        <f>I659-SUM($D660:F660)</f>
        <v>0</v>
      </c>
      <c r="J660" s="1234" t="str">
        <f>$J$9</f>
        <v>% Sel Acm :</v>
      </c>
      <c r="K660" s="1231">
        <f>IF(PROD!$K$2&gt;0,SUM(E$5:E662)/PROD!$K$2,0)</f>
        <v>0</v>
      </c>
      <c r="L660" s="1246"/>
      <c r="M660" s="291">
        <f t="shared" si="379"/>
        <v>0</v>
      </c>
      <c r="N660" s="292" t="str">
        <f>$N$9</f>
        <v xml:space="preserve">Uniformidad (10% -) : </v>
      </c>
      <c r="O660" s="320">
        <f>LOOKUP($A656,'Pr-Sem'!$A$6:$A$108,'Pr-Sem'!$AH$6:$AH$108)</f>
        <v>0</v>
      </c>
      <c r="P660" s="320">
        <v>5</v>
      </c>
      <c r="Q660" s="321">
        <f>IF(AND(P660&gt;0,O660&gt;0),(1-O660/P660)*100,0)</f>
        <v>0</v>
      </c>
      <c r="R660" s="699"/>
      <c r="S660" s="762"/>
      <c r="T660" s="765">
        <f t="shared" si="377"/>
        <v>0</v>
      </c>
      <c r="U660" s="700"/>
      <c r="V660" s="701"/>
      <c r="W660" s="701"/>
      <c r="X660" s="295">
        <f t="shared" si="372"/>
        <v>0</v>
      </c>
      <c r="Y660" s="296">
        <f>IF(AA660&gt;0,V660,AE656/IF(Iniciar!$C$25="B X 40 K",40,IF(Iniciar!$C$25="B X 50 K",50,1))*I660/1000)</f>
        <v>0</v>
      </c>
      <c r="Z660" s="296">
        <f t="shared" si="373"/>
        <v>0</v>
      </c>
      <c r="AA660" s="297">
        <f t="shared" si="380"/>
        <v>0</v>
      </c>
      <c r="AB660" s="297">
        <f t="shared" si="367"/>
        <v>0</v>
      </c>
      <c r="AC660" s="2035" t="str">
        <f>$AC$9</f>
        <v xml:space="preserve">Total Litros Sem: </v>
      </c>
      <c r="AD660" s="2036"/>
      <c r="AE660" s="2050">
        <f>SUM(R656:R662)</f>
        <v>0</v>
      </c>
      <c r="AF660" s="2051"/>
      <c r="AG660" s="554" t="str">
        <f>$AG$9</f>
        <v xml:space="preserve">Indicador Eficiencia : </v>
      </c>
      <c r="AH660" s="555">
        <f>IF(AND(AE660&gt;0,O657&gt;0,O658&gt;0,SUM(L656:L662)&gt;0),(PROD!AH659/O657)*K662*100/(AE660/(SUM(L656:L662)*O658/1000)),0)</f>
        <v>0</v>
      </c>
      <c r="AI660" s="555">
        <f>IF(AND(P657&gt;0,PROD!AI658&gt;0),(PROD!AI659/P657)*(1-K661)*100/(AE657/PROD!AI658),0)</f>
        <v>0</v>
      </c>
      <c r="AJ660" s="331">
        <f t="shared" si="378"/>
        <v>0</v>
      </c>
      <c r="AK660" s="2027"/>
      <c r="AL660" s="1284">
        <f t="shared" si="368"/>
        <v>0</v>
      </c>
      <c r="AM660" s="1285"/>
      <c r="AN660" s="1285"/>
      <c r="AO660" s="1285"/>
      <c r="AP660" s="1285"/>
      <c r="AQ660" s="1285"/>
      <c r="AR660" s="1285"/>
      <c r="AS660" s="1286"/>
      <c r="AT660" s="1287"/>
      <c r="AU660" s="1288"/>
      <c r="AV660" s="1289"/>
      <c r="AW660" s="1290"/>
      <c r="AX660" s="1291"/>
      <c r="AY660" s="1291"/>
      <c r="AZ660" s="1292"/>
      <c r="BA660" s="1293"/>
      <c r="BB660" s="1294"/>
      <c r="BC660" s="1295"/>
      <c r="BD660" s="1296">
        <f>BD659+PROD!L660-BA660</f>
        <v>0</v>
      </c>
      <c r="BE660" s="2133"/>
      <c r="BF660" s="507" t="e">
        <f t="shared" si="369"/>
        <v>#VALUE!</v>
      </c>
      <c r="BG660" s="329"/>
      <c r="BH660" s="1018">
        <f t="shared" si="370"/>
        <v>0</v>
      </c>
    </row>
    <row r="661" spans="1:60" ht="15" customHeight="1" x14ac:dyDescent="0.3">
      <c r="A661" s="2033"/>
      <c r="B661" s="287" t="str">
        <f t="shared" si="371"/>
        <v/>
      </c>
      <c r="C661" s="288" t="str">
        <f t="shared" si="366"/>
        <v/>
      </c>
      <c r="D661" s="691"/>
      <c r="E661" s="692"/>
      <c r="F661" s="693"/>
      <c r="G661" s="694"/>
      <c r="H661" s="695"/>
      <c r="I661" s="289">
        <f>I660-SUM($D661:F661)</f>
        <v>0</v>
      </c>
      <c r="J661" s="1237" t="str">
        <f>$J$10</f>
        <v>% Mort/Sel Acm Tab :</v>
      </c>
      <c r="K661" s="1238">
        <f>IFERROR(LOOKUP($A656,TP!$A$6:$A$108,GSh!$AR$6:$AR$108)/100,0)</f>
        <v>0</v>
      </c>
      <c r="L661" s="1246"/>
      <c r="M661" s="291">
        <f t="shared" si="379"/>
        <v>0</v>
      </c>
      <c r="N661" s="292" t="str">
        <f>$N$10</f>
        <v xml:space="preserve">Uniformidad (C. Lote) : </v>
      </c>
      <c r="O661" s="320">
        <f>LOOKUP($A656,'Pr-Sem'!$A$6:$A$108,'Pr-Sem'!$AG$6:$AG$108)</f>
        <v>0</v>
      </c>
      <c r="P661" s="320">
        <v>90</v>
      </c>
      <c r="Q661" s="321">
        <f>IF(AND(P661&gt;0,O661&gt;0),(O661/P661-1)*100,0)</f>
        <v>0</v>
      </c>
      <c r="R661" s="699"/>
      <c r="S661" s="762"/>
      <c r="T661" s="765">
        <f t="shared" si="377"/>
        <v>0</v>
      </c>
      <c r="U661" s="700"/>
      <c r="V661" s="701"/>
      <c r="W661" s="701"/>
      <c r="X661" s="295">
        <f t="shared" si="372"/>
        <v>0</v>
      </c>
      <c r="Y661" s="296">
        <f>IF(AA661&gt;0,V661,AE656/IF(Iniciar!$C$25="B X 40 K",40,IF(Iniciar!$C$25="B X 50 K",50,1))*I661/1000)</f>
        <v>0</v>
      </c>
      <c r="Z661" s="296">
        <f t="shared" si="373"/>
        <v>0</v>
      </c>
      <c r="AA661" s="297">
        <f t="shared" si="380"/>
        <v>0</v>
      </c>
      <c r="AB661" s="297">
        <f t="shared" si="367"/>
        <v>0</v>
      </c>
      <c r="AC661" s="2037" t="str">
        <f>$AC$10</f>
        <v xml:space="preserve">Cons ml /ave día: </v>
      </c>
      <c r="AD661" s="2038"/>
      <c r="AE661" s="2056">
        <f>IFERROR(SUMPRODUCT(AB656:AB662,I656:I662)/SUM(I656:I662),0)</f>
        <v>0</v>
      </c>
      <c r="AF661" s="2057"/>
      <c r="AG661" s="311" t="str">
        <f>CONCATENATE("Costo ",Iniciar!$C$25," : ")</f>
        <v xml:space="preserve">Costo Kilos : </v>
      </c>
      <c r="AH661" s="2043">
        <f>IFERROR(SUMPRODUCT(T656:T662,V656:V662)/SUMIF(T656:T662,"&gt;0",V656:V662),0)</f>
        <v>0</v>
      </c>
      <c r="AI661" s="2043"/>
      <c r="AJ661" s="313"/>
      <c r="AK661" s="2027"/>
      <c r="AL661" s="1284">
        <f t="shared" si="368"/>
        <v>0</v>
      </c>
      <c r="AM661" s="1285"/>
      <c r="AN661" s="1285"/>
      <c r="AO661" s="1285"/>
      <c r="AP661" s="1285"/>
      <c r="AQ661" s="1285"/>
      <c r="AR661" s="1285"/>
      <c r="AS661" s="1286"/>
      <c r="AT661" s="1287"/>
      <c r="AU661" s="1288"/>
      <c r="AV661" s="1289"/>
      <c r="AW661" s="1290"/>
      <c r="AX661" s="1291"/>
      <c r="AY661" s="1291"/>
      <c r="AZ661" s="1292"/>
      <c r="BA661" s="1293"/>
      <c r="BB661" s="1294"/>
      <c r="BC661" s="1295"/>
      <c r="BD661" s="1296">
        <f>BD660+PROD!L661-BA661</f>
        <v>0</v>
      </c>
      <c r="BE661" s="2133"/>
      <c r="BF661" s="507" t="e">
        <f t="shared" si="369"/>
        <v>#VALUE!</v>
      </c>
      <c r="BG661" s="329"/>
      <c r="BH661" s="1018">
        <f t="shared" si="370"/>
        <v>0</v>
      </c>
    </row>
    <row r="662" spans="1:60" ht="15" customHeight="1" x14ac:dyDescent="0.3">
      <c r="A662" s="2034"/>
      <c r="B662" s="287" t="str">
        <f t="shared" si="371"/>
        <v/>
      </c>
      <c r="C662" s="288" t="str">
        <f t="shared" si="366"/>
        <v/>
      </c>
      <c r="D662" s="691"/>
      <c r="E662" s="692"/>
      <c r="F662" s="693"/>
      <c r="G662" s="694"/>
      <c r="H662" s="695"/>
      <c r="I662" s="289">
        <f>I661-SUM($D662:F662)</f>
        <v>0</v>
      </c>
      <c r="J662" s="1239" t="str">
        <f>$J$11</f>
        <v>% Viabilidad :</v>
      </c>
      <c r="K662" s="1240">
        <f>IF(OR(SUM(L656:L662)&gt;0,SUM(V656:V662)&gt;0),1-(K659+K660),0)</f>
        <v>0</v>
      </c>
      <c r="L662" s="1247"/>
      <c r="M662" s="1248">
        <f>IF(I662&gt;0,(L662/IF(SUM(L656:L661)&gt;0,1,7))/I662,0)</f>
        <v>0</v>
      </c>
      <c r="N662" s="1249" t="str">
        <f>$N$11</f>
        <v xml:space="preserve">Uniformidad (10% +) : </v>
      </c>
      <c r="O662" s="1250">
        <f>IF(O660&gt;0,IF(O661&gt;0,100-SUM(O660:O661),0),0)</f>
        <v>0</v>
      </c>
      <c r="P662" s="1251">
        <f>100-SUM(P660:P661)</f>
        <v>5</v>
      </c>
      <c r="Q662" s="1252">
        <f>IF(AND(P662&gt;0,O662&gt;0),(O662/P662-1)*100,0)</f>
        <v>0</v>
      </c>
      <c r="R662" s="699"/>
      <c r="S662" s="762"/>
      <c r="T662" s="765">
        <f t="shared" si="377"/>
        <v>0</v>
      </c>
      <c r="U662" s="700"/>
      <c r="V662" s="701"/>
      <c r="W662" s="701"/>
      <c r="X662" s="295">
        <f t="shared" si="372"/>
        <v>0</v>
      </c>
      <c r="Y662" s="296">
        <f>IF(AA662&gt;0,V662,AE656/IF(Iniciar!$C$25="B X 40 K",40,IF(Iniciar!$C$25="B X 50 K",50,1))*I662/1000)</f>
        <v>0</v>
      </c>
      <c r="Z662" s="296">
        <f t="shared" si="373"/>
        <v>0</v>
      </c>
      <c r="AA662" s="297">
        <f>IF(I662&gt;0,(V662/IF(SUM(V656:V661)&gt;0,1,7))*$A$1/I662,0)</f>
        <v>0</v>
      </c>
      <c r="AB662" s="297">
        <f t="shared" si="367"/>
        <v>0</v>
      </c>
      <c r="AC662" s="2039" t="str">
        <f>$AC$11</f>
        <v xml:space="preserve">Relación Agua /Alimto: </v>
      </c>
      <c r="AD662" s="2040"/>
      <c r="AE662" s="2058">
        <f>IFERROR(AE661/AD656,0)</f>
        <v>0</v>
      </c>
      <c r="AF662" s="2059"/>
      <c r="AG662" s="1269" t="s">
        <v>237</v>
      </c>
      <c r="AH662" s="1270">
        <f>IF(SUM(L656:L662)&gt;0,AH661*SUM(V656:V662)/SUM(L656:L662),0)</f>
        <v>0</v>
      </c>
      <c r="AI662" s="1270">
        <f>IF(AND($A$1&gt;0,P656&gt;0),AH661/$A$1*(AE656/P656)*100,0)</f>
        <v>0</v>
      </c>
      <c r="AJ662" s="1271">
        <f t="shared" ref="AJ662:AJ667" si="381">IF(AND(AI662&gt;0,AH662&gt;0),(AH662/AI662-1)*100,0)</f>
        <v>0</v>
      </c>
      <c r="AK662" s="2028"/>
      <c r="AL662" s="1284">
        <f t="shared" si="368"/>
        <v>0</v>
      </c>
      <c r="AM662" s="1285"/>
      <c r="AN662" s="1285"/>
      <c r="AO662" s="1285"/>
      <c r="AP662" s="1285"/>
      <c r="AQ662" s="1285"/>
      <c r="AR662" s="1285"/>
      <c r="AS662" s="1286"/>
      <c r="AT662" s="1287"/>
      <c r="AU662" s="1288"/>
      <c r="AV662" s="1289"/>
      <c r="AW662" s="1290"/>
      <c r="AX662" s="1291"/>
      <c r="AY662" s="1291"/>
      <c r="AZ662" s="1292"/>
      <c r="BA662" s="1293"/>
      <c r="BB662" s="1294"/>
      <c r="BC662" s="1295"/>
      <c r="BD662" s="1296">
        <f>BD661+PROD!L662-BA662</f>
        <v>0</v>
      </c>
      <c r="BE662" s="2134"/>
      <c r="BF662" s="507" t="e">
        <f t="shared" si="369"/>
        <v>#VALUE!</v>
      </c>
      <c r="BG662" s="329"/>
      <c r="BH662" s="1018">
        <f t="shared" si="370"/>
        <v>0</v>
      </c>
    </row>
    <row r="663" spans="1:60" ht="15" customHeight="1" x14ac:dyDescent="0.3">
      <c r="A663" s="2032">
        <f>A656+1</f>
        <v>112</v>
      </c>
      <c r="B663" s="287" t="str">
        <f t="shared" si="371"/>
        <v/>
      </c>
      <c r="C663" s="288" t="str">
        <f t="shared" si="366"/>
        <v/>
      </c>
      <c r="D663" s="691"/>
      <c r="E663" s="692"/>
      <c r="F663" s="693"/>
      <c r="G663" s="694"/>
      <c r="H663" s="695"/>
      <c r="I663" s="289">
        <f>I662-SUM($D663:F663)</f>
        <v>0</v>
      </c>
      <c r="J663" s="1232" t="str">
        <f>$J$5</f>
        <v>% Mort Sem :</v>
      </c>
      <c r="K663" s="1233">
        <f>IF(PROD!$K$2&gt;0,SUM(D663:D669)/PROD!$K$2,0)</f>
        <v>0</v>
      </c>
      <c r="L663" s="1241"/>
      <c r="M663" s="1242">
        <f t="shared" ref="M663:M668" si="382">IF(I663&gt;0,L663/I663,0)</f>
        <v>0</v>
      </c>
      <c r="N663" s="1243" t="str">
        <f>$N$5</f>
        <v xml:space="preserve">% Pdn prom semana : </v>
      </c>
      <c r="O663" s="1244">
        <f>IF(SUM(L663:L668)&gt;0,100*SUMPRODUCT(M663:M669,I663:I669)/SUMIF(L663:L669,"&gt;0",I663:I669),IF(L669&gt;0,100*L669/7/I669,0))</f>
        <v>0</v>
      </c>
      <c r="P663" s="1244">
        <f>IFERROR(LOOKUP($A663,TP!$A$6:$A$108,GSh!$AE$6:$AE$108),0)</f>
        <v>0</v>
      </c>
      <c r="Q663" s="1245">
        <f>IF(AND(P663&gt;0,O663&gt;0),O663-P663,0)</f>
        <v>0</v>
      </c>
      <c r="R663" s="699"/>
      <c r="S663" s="762"/>
      <c r="T663" s="765">
        <f t="shared" si="377"/>
        <v>0</v>
      </c>
      <c r="U663" s="700"/>
      <c r="V663" s="701"/>
      <c r="W663" s="701"/>
      <c r="X663" s="295">
        <f t="shared" si="372"/>
        <v>0</v>
      </c>
      <c r="Y663" s="296">
        <f>IF(AA663&gt;0,V663,AE663/IF(Iniciar!$C$25="B X 40 K",40,IF(Iniciar!$C$25="B X 50 K",50,1))*I663/1000)</f>
        <v>0</v>
      </c>
      <c r="Z663" s="296">
        <f t="shared" si="373"/>
        <v>0</v>
      </c>
      <c r="AA663" s="297">
        <f t="shared" ref="AA663:AA668" si="383">IF(I663&gt;0,V663*$A$1/I663,0)</f>
        <v>0</v>
      </c>
      <c r="AB663" s="297">
        <f t="shared" si="367"/>
        <v>0</v>
      </c>
      <c r="AC663" s="1261" t="str">
        <f>$AC$5</f>
        <v>Gr. Ave Dia :</v>
      </c>
      <c r="AD663" s="1262">
        <f>IF(SUMIF(V663:V669,"&gt;0")&gt;0,SUMPRODUCT(AA663:AA669,I663:I669)/SUMIF(AA663:AA669,"&gt;0",I663:I669),0)</f>
        <v>0</v>
      </c>
      <c r="AE663" s="1262">
        <f>IFERROR(LOOKUP($A663,TP!$A$6:$A$108,GSh!$AU$6:$AU$108),0)</f>
        <v>0</v>
      </c>
      <c r="AF663" s="1263">
        <f>IF(AND(AE663&gt;0,AD663&gt;0),(AD663/AE663-1)*100,0)</f>
        <v>0</v>
      </c>
      <c r="AG663" s="1264" t="str">
        <f>PROD!$AG$5</f>
        <v>Gr X H</v>
      </c>
      <c r="AH663" s="1265">
        <f>IF(PROD!O663&gt;0,IF($AG663="Gr X H",PROD!AD663/PROD!O663*100,IF($AG663="Conv Kg/Doc",PROD!AD663/PROD!O663*1.2,IF(PROD!$O665&gt;0,PROD!AD663/(PROD!O663*PROD!$O665)*100,0))),0)</f>
        <v>0</v>
      </c>
      <c r="AI663" s="1265">
        <f>IF(PROD!P663&gt;0,IF($AG663="Gr X H",PROD!AE663/PROD!P663*100,IF($AG663="Conv Kg/Doc",PROD!AE663/PROD!P663*1.2,IF(PROD!$P665&gt;0,PROD!AE663/(PROD!P663*PROD!$P665)*100,0))),0)</f>
        <v>0</v>
      </c>
      <c r="AJ663" s="1266">
        <f t="shared" si="381"/>
        <v>0</v>
      </c>
      <c r="AK663" s="2026"/>
      <c r="AL663" s="1284">
        <f t="shared" si="368"/>
        <v>0</v>
      </c>
      <c r="AM663" s="1285"/>
      <c r="AN663" s="1285"/>
      <c r="AO663" s="1285"/>
      <c r="AP663" s="1285"/>
      <c r="AQ663" s="1285"/>
      <c r="AR663" s="1285"/>
      <c r="AS663" s="1286"/>
      <c r="AT663" s="1287"/>
      <c r="AU663" s="1288"/>
      <c r="AV663" s="1289"/>
      <c r="AW663" s="1290"/>
      <c r="AX663" s="1291"/>
      <c r="AY663" s="1291"/>
      <c r="AZ663" s="1292"/>
      <c r="BA663" s="1293"/>
      <c r="BB663" s="1294"/>
      <c r="BC663" s="1295"/>
      <c r="BD663" s="1296">
        <f>BD662+PROD!L663-BA663</f>
        <v>0</v>
      </c>
      <c r="BE663" s="2132">
        <f>IF(SUM(AM663:AZ669)&gt;0,(SUM(AM663:AM669)*$AM$2+SUM(AN663:AN669)*$AN$2+SUM(AO663:AO669)*$AO$2+SUM(AP663:AP669)*$AP$2+SUM(AQ663:AQ669)*$AQ$2+SUM(AR663:AR669)*$AR$2+SUM(AS663:AS669)*$AS$2+SUM(AW663:AW669)*$AW$2+SUM(AX663:AX669)*$AX$2+SUM(AY663:AY669)*$AY$2+SUM(AZ663:AZ669)*$AZ$2+SUM(AT663:AT669)*$AT$2+SUM(AU663:AU669)*$AU$2+SUM(AV663:AV669)*$AV$2)/SUM(AM663:AZ669),0)</f>
        <v>0</v>
      </c>
      <c r="BF663" s="507" t="e">
        <f t="shared" si="369"/>
        <v>#VALUE!</v>
      </c>
      <c r="BG663" s="277">
        <f>IF(SUM(L663:L669)&gt;0,A663,IF(SUM(V663:V669)&gt;0,A663,BG656))</f>
        <v>0</v>
      </c>
      <c r="BH663" s="1018">
        <f t="shared" si="370"/>
        <v>0</v>
      </c>
    </row>
    <row r="664" spans="1:60" ht="15" customHeight="1" x14ac:dyDescent="0.3">
      <c r="A664" s="2033"/>
      <c r="B664" s="287" t="str">
        <f t="shared" si="371"/>
        <v/>
      </c>
      <c r="C664" s="288" t="str">
        <f t="shared" si="366"/>
        <v/>
      </c>
      <c r="D664" s="691"/>
      <c r="E664" s="692"/>
      <c r="F664" s="693"/>
      <c r="G664" s="694"/>
      <c r="H664" s="695"/>
      <c r="I664" s="289">
        <f>I663-SUM($D664:F664)</f>
        <v>0</v>
      </c>
      <c r="J664" s="1234" t="str">
        <f>$J$6</f>
        <v>% Sel Sem :</v>
      </c>
      <c r="K664" s="1231">
        <f>IF(PROD!$K$2&gt;0,SUM(E663:E669)/PROD!$K$2,0)</f>
        <v>0</v>
      </c>
      <c r="L664" s="1246"/>
      <c r="M664" s="291">
        <f t="shared" si="382"/>
        <v>0</v>
      </c>
      <c r="N664" s="292" t="str">
        <f>$N$6</f>
        <v xml:space="preserve">H. Ave Alojada : </v>
      </c>
      <c r="O664" s="293">
        <f>IF(AND(PROD!$K$2&gt;0,O663&gt;0),SUM(L$5:L669)/PROD!$K$2,0)</f>
        <v>0</v>
      </c>
      <c r="P664" s="293">
        <f>IFERROR(LOOKUP($A663,TP!$A$6:$A$108,GSh!$AJ$6:$AJ$108),0)</f>
        <v>0</v>
      </c>
      <c r="Q664" s="294">
        <f>IF(AND(P664&gt;0,O664&gt;0),O664-P664,0)</f>
        <v>0</v>
      </c>
      <c r="R664" s="699"/>
      <c r="S664" s="762"/>
      <c r="T664" s="765">
        <f t="shared" si="377"/>
        <v>0</v>
      </c>
      <c r="U664" s="700"/>
      <c r="V664" s="701"/>
      <c r="W664" s="701"/>
      <c r="X664" s="295">
        <f t="shared" si="372"/>
        <v>0</v>
      </c>
      <c r="Y664" s="296">
        <f>IF(AA664&gt;0,V664,AE663/IF(Iniciar!$C$25="B X 40 K",40,IF(Iniciar!$C$25="B X 50 K",50,1))*I664/1000)</f>
        <v>0</v>
      </c>
      <c r="Z664" s="296">
        <f t="shared" si="373"/>
        <v>0</v>
      </c>
      <c r="AA664" s="297">
        <f t="shared" si="383"/>
        <v>0</v>
      </c>
      <c r="AB664" s="297">
        <f t="shared" si="367"/>
        <v>0</v>
      </c>
      <c r="AC664" s="1267" t="str">
        <f>$AC$6</f>
        <v>Gr. Ave Sem :</v>
      </c>
      <c r="AD664" s="284">
        <f>AD663*7</f>
        <v>0</v>
      </c>
      <c r="AE664" s="284">
        <f>AE663*7</f>
        <v>0</v>
      </c>
      <c r="AF664" s="285">
        <f>IF(AND(AE664&gt;0,AD664&gt;0),(AD664/AE664-1)*100,0)</f>
        <v>0</v>
      </c>
      <c r="AG664" s="1199" t="str">
        <f>PROD!$AG$6</f>
        <v>Gr X H Acm</v>
      </c>
      <c r="AH664" s="298">
        <f>IF(SUM(PROD!L663:L669)&gt;0,IF(PROD!$AG$5="Gr X H",SUM(PROD!V$5:V669)*PROD!$A$1/SUM(PROD!L$5:L669),IF($AG663="Conv Kg/Doc",(SUM(PROD!V$5:V669)*PROD!$A$1/1000)/(SUM(PROD!L$5:L669)/12),IF(PROD!$O665&gt;0,SUM(PROD!V$5:V669)*PROD!$A$1/(SUM(PROD!L$5:L669)*LOOKUP(PROD!A663,TP!$A$6:$A$108,GSh!$BB$6:$BB$108)),0))),0)</f>
        <v>0</v>
      </c>
      <c r="AI664" s="298">
        <f>IF(PROD!P663&gt;0,IF($AG663="Gr X H",PROD!AE663/PROD!P663*100,IF($AG663="Conv Kg/Doc",PROD!AE663/PROD!P663*1.2,IF(PROD!$P664&gt;0,PROD!AE665/(PROD!P664*LOOKUP(PROD!$A663,TP!$A$6:$A$108,GSh!$BC$6:$BC$108)/1000),0))),0)</f>
        <v>0</v>
      </c>
      <c r="AJ664" s="328">
        <f t="shared" si="381"/>
        <v>0</v>
      </c>
      <c r="AK664" s="2027"/>
      <c r="AL664" s="1284">
        <f t="shared" si="368"/>
        <v>0</v>
      </c>
      <c r="AM664" s="1285"/>
      <c r="AN664" s="1285"/>
      <c r="AO664" s="1285"/>
      <c r="AP664" s="1285"/>
      <c r="AQ664" s="1285"/>
      <c r="AR664" s="1285"/>
      <c r="AS664" s="1286"/>
      <c r="AT664" s="1287"/>
      <c r="AU664" s="1288"/>
      <c r="AV664" s="1289"/>
      <c r="AW664" s="1290"/>
      <c r="AX664" s="1291"/>
      <c r="AY664" s="1291"/>
      <c r="AZ664" s="1292"/>
      <c r="BA664" s="1293"/>
      <c r="BB664" s="1294"/>
      <c r="BC664" s="1295"/>
      <c r="BD664" s="1296">
        <f>BD663+PROD!L664-BA664</f>
        <v>0</v>
      </c>
      <c r="BE664" s="2133"/>
      <c r="BF664" s="507" t="e">
        <f t="shared" si="369"/>
        <v>#VALUE!</v>
      </c>
      <c r="BG664" s="329"/>
      <c r="BH664" s="1018">
        <f t="shared" si="370"/>
        <v>0</v>
      </c>
    </row>
    <row r="665" spans="1:60" ht="15" customHeight="1" x14ac:dyDescent="0.3">
      <c r="A665" s="2033"/>
      <c r="B665" s="287" t="str">
        <f t="shared" si="371"/>
        <v/>
      </c>
      <c r="C665" s="288" t="str">
        <f t="shared" si="366"/>
        <v/>
      </c>
      <c r="D665" s="691"/>
      <c r="E665" s="692"/>
      <c r="F665" s="693"/>
      <c r="G665" s="694"/>
      <c r="H665" s="695"/>
      <c r="I665" s="289">
        <f>I664-SUM($D665:F665)</f>
        <v>0</v>
      </c>
      <c r="J665" s="1235" t="str">
        <f>$J$7</f>
        <v>% Mort/Sel Sem Tab :</v>
      </c>
      <c r="K665" s="1236">
        <f>K668-K661</f>
        <v>0</v>
      </c>
      <c r="L665" s="1246"/>
      <c r="M665" s="291">
        <f t="shared" si="382"/>
        <v>0</v>
      </c>
      <c r="N665" s="304" t="str">
        <f>$N$7</f>
        <v xml:space="preserve">Peso Huevo (Gr) : </v>
      </c>
      <c r="O665" s="305">
        <f>LOOKUP($A663,'Pr-Sem'!$A$6:$A$108,'Pr-Sem'!$Z$6:$Z$108)</f>
        <v>0</v>
      </c>
      <c r="P665" s="305">
        <f>IFERROR(LOOKUP($A663,TP!$A$6:$A$108,GSh!$AZ$6:$AZ$108),0)</f>
        <v>0</v>
      </c>
      <c r="Q665" s="306">
        <f>IF(AND(P665&gt;0,O665&gt;0),O665-P665,0)</f>
        <v>0</v>
      </c>
      <c r="R665" s="699"/>
      <c r="S665" s="762"/>
      <c r="T665" s="765">
        <f t="shared" si="377"/>
        <v>0</v>
      </c>
      <c r="U665" s="700"/>
      <c r="V665" s="701"/>
      <c r="W665" s="701"/>
      <c r="X665" s="295">
        <f t="shared" si="372"/>
        <v>0</v>
      </c>
      <c r="Y665" s="296">
        <f>IF(AA665&gt;0,V665,AE663/IF(Iniciar!$C$25="B X 40 K",40,IF(Iniciar!$C$25="B X 50 K",50,1))*I665/1000)</f>
        <v>0</v>
      </c>
      <c r="Z665" s="296">
        <f t="shared" si="373"/>
        <v>0</v>
      </c>
      <c r="AA665" s="297">
        <f t="shared" si="383"/>
        <v>0</v>
      </c>
      <c r="AB665" s="297">
        <f t="shared" si="367"/>
        <v>0</v>
      </c>
      <c r="AC665" s="1268" t="str">
        <f>$AC$7</f>
        <v>Kg Ave Acu :</v>
      </c>
      <c r="AD665" s="308">
        <f>IF(OR(SUM(L663:L669)&gt;0,SUM(V663:V669)&gt;0),AD664/1000+AD658,0)</f>
        <v>0</v>
      </c>
      <c r="AE665" s="309">
        <f>AE664/1000+AE658</f>
        <v>0</v>
      </c>
      <c r="AF665" s="310">
        <f>IF(AND(AE665&gt;0,AD665&gt;0),(AD665/AE665-1)*100,0)</f>
        <v>0</v>
      </c>
      <c r="AG665" s="311" t="str">
        <f>PROD!$AG$7</f>
        <v xml:space="preserve">Masa Sem H (Gr) : </v>
      </c>
      <c r="AH665" s="312">
        <f>PROD!O663/100*7*PROD!O665</f>
        <v>0</v>
      </c>
      <c r="AI665" s="312">
        <f>PROD!P663/100*7*PROD!P665</f>
        <v>0</v>
      </c>
      <c r="AJ665" s="313">
        <f t="shared" si="381"/>
        <v>0</v>
      </c>
      <c r="AK665" s="2027"/>
      <c r="AL665" s="1284">
        <f t="shared" si="368"/>
        <v>0</v>
      </c>
      <c r="AM665" s="1285"/>
      <c r="AN665" s="1285"/>
      <c r="AO665" s="1285"/>
      <c r="AP665" s="1285"/>
      <c r="AQ665" s="1285"/>
      <c r="AR665" s="1285"/>
      <c r="AS665" s="1286"/>
      <c r="AT665" s="1287"/>
      <c r="AU665" s="1288"/>
      <c r="AV665" s="1289"/>
      <c r="AW665" s="1290"/>
      <c r="AX665" s="1291"/>
      <c r="AY665" s="1291"/>
      <c r="AZ665" s="1292"/>
      <c r="BA665" s="1293"/>
      <c r="BB665" s="1294"/>
      <c r="BC665" s="1295"/>
      <c r="BD665" s="1296">
        <f>BD664+PROD!L665-BA665</f>
        <v>0</v>
      </c>
      <c r="BE665" s="2133"/>
      <c r="BF665" s="507" t="e">
        <f t="shared" si="369"/>
        <v>#VALUE!</v>
      </c>
      <c r="BG665" s="329"/>
      <c r="BH665" s="1018">
        <f t="shared" si="370"/>
        <v>0</v>
      </c>
    </row>
    <row r="666" spans="1:60" ht="15" customHeight="1" x14ac:dyDescent="0.3">
      <c r="A666" s="2033"/>
      <c r="B666" s="287" t="str">
        <f t="shared" si="371"/>
        <v/>
      </c>
      <c r="C666" s="288" t="str">
        <f t="shared" si="366"/>
        <v/>
      </c>
      <c r="D666" s="691"/>
      <c r="E666" s="692"/>
      <c r="F666" s="693"/>
      <c r="G666" s="694"/>
      <c r="H666" s="695"/>
      <c r="I666" s="289">
        <f>I665-SUM($D666:F666)</f>
        <v>0</v>
      </c>
      <c r="J666" s="1234" t="str">
        <f>$J$8</f>
        <v>% Mort Acm :</v>
      </c>
      <c r="K666" s="1231">
        <f>IF(PROD!$K$2&gt;0,SUM(D$5:D669)/PROD!$K$2,0)</f>
        <v>0</v>
      </c>
      <c r="L666" s="1246"/>
      <c r="M666" s="291">
        <f t="shared" si="382"/>
        <v>0</v>
      </c>
      <c r="N666" s="314" t="str">
        <f>N$8</f>
        <v xml:space="preserve">Peso Ave (Gr) : </v>
      </c>
      <c r="O666" s="315">
        <f>LOOKUP($A663,GSh!$BV$6:$BV$108,GSh!$BJ$6:$BJ$108)</f>
        <v>0</v>
      </c>
      <c r="P666" s="315">
        <f>IFERROR(LOOKUP($A663,TP!$A$6:$A$108,GSh!$BK$6:$BK$108),0)</f>
        <v>0</v>
      </c>
      <c r="Q666" s="316">
        <f>IF(AND(P666&gt;0,O666&gt;0),(O666/P666-1)*100,0)</f>
        <v>0</v>
      </c>
      <c r="R666" s="699"/>
      <c r="S666" s="762"/>
      <c r="T666" s="765">
        <f t="shared" si="377"/>
        <v>0</v>
      </c>
      <c r="U666" s="700"/>
      <c r="V666" s="701"/>
      <c r="W666" s="701"/>
      <c r="X666" s="295">
        <f t="shared" si="372"/>
        <v>0</v>
      </c>
      <c r="Y666" s="296">
        <f>IF(AA666&gt;0,V666,AE663/IF(Iniciar!$C$25="B X 40 K",40,IF(Iniciar!$C$25="B X 50 K",50,1))*I666/1000)</f>
        <v>0</v>
      </c>
      <c r="Z666" s="296">
        <f t="shared" si="373"/>
        <v>0</v>
      </c>
      <c r="AA666" s="297">
        <f t="shared" si="383"/>
        <v>0</v>
      </c>
      <c r="AB666" s="297">
        <f t="shared" si="367"/>
        <v>0</v>
      </c>
      <c r="AC666" s="541" t="str">
        <f>$AC$8</f>
        <v xml:space="preserve">Ton. Lote Acu : </v>
      </c>
      <c r="AD666" s="544">
        <f>SUM($V$5:$V669)*$A$1/1000000</f>
        <v>0</v>
      </c>
      <c r="AE666" s="543">
        <f>AE659+(AE663/1000000*7*(I663+I669)/2)</f>
        <v>0</v>
      </c>
      <c r="AF666" s="542">
        <f>IF(AND(AE666&gt;0,AD666&gt;0),(AD666/AE666-1)*100,0)</f>
        <v>0</v>
      </c>
      <c r="AG666" s="317" t="str">
        <f>PROD!$AG$8</f>
        <v xml:space="preserve">Masa Ac A. A (Kg) : </v>
      </c>
      <c r="AH666" s="318">
        <f>IF(PROD!$K$2&gt;0,SUM(PROD!L$5:L669)*LOOKUP(PROD!$A663,TP!$A$6:$A$108,GSh!$BB$6:$BB$108)/1000/PROD!$K$2,0)</f>
        <v>0</v>
      </c>
      <c r="AI666" s="318">
        <f>IFERROR(PROD!P664*LOOKUP(PROD!$A663,TP!$A$6:$A$108,GSh!$BC$6:$BC$108)/1000,0)</f>
        <v>0</v>
      </c>
      <c r="AJ666" s="330">
        <f t="shared" si="381"/>
        <v>0</v>
      </c>
      <c r="AK666" s="2027"/>
      <c r="AL666" s="1284">
        <f t="shared" si="368"/>
        <v>0</v>
      </c>
      <c r="AM666" s="1285"/>
      <c r="AN666" s="1285"/>
      <c r="AO666" s="1285"/>
      <c r="AP666" s="1285"/>
      <c r="AQ666" s="1285"/>
      <c r="AR666" s="1285"/>
      <c r="AS666" s="1286"/>
      <c r="AT666" s="1287"/>
      <c r="AU666" s="1288"/>
      <c r="AV666" s="1289"/>
      <c r="AW666" s="1290"/>
      <c r="AX666" s="1291"/>
      <c r="AY666" s="1291"/>
      <c r="AZ666" s="1292"/>
      <c r="BA666" s="1293"/>
      <c r="BB666" s="1294"/>
      <c r="BC666" s="1295"/>
      <c r="BD666" s="1296">
        <f>BD665+PROD!L666-BA666</f>
        <v>0</v>
      </c>
      <c r="BE666" s="2133"/>
      <c r="BF666" s="507" t="e">
        <f t="shared" si="369"/>
        <v>#VALUE!</v>
      </c>
      <c r="BG666" s="329"/>
      <c r="BH666" s="1018">
        <f t="shared" si="370"/>
        <v>0</v>
      </c>
    </row>
    <row r="667" spans="1:60" ht="15" customHeight="1" x14ac:dyDescent="0.3">
      <c r="A667" s="2033"/>
      <c r="B667" s="287" t="str">
        <f t="shared" si="371"/>
        <v/>
      </c>
      <c r="C667" s="288" t="str">
        <f t="shared" si="366"/>
        <v/>
      </c>
      <c r="D667" s="691"/>
      <c r="E667" s="692"/>
      <c r="F667" s="693"/>
      <c r="G667" s="694"/>
      <c r="H667" s="695"/>
      <c r="I667" s="289">
        <f>I666-SUM($D667:F667)</f>
        <v>0</v>
      </c>
      <c r="J667" s="1234" t="str">
        <f>$J$9</f>
        <v>% Sel Acm :</v>
      </c>
      <c r="K667" s="1231">
        <f>IF(PROD!$K$2&gt;0,SUM(E$5:E669)/PROD!$K$2,0)</f>
        <v>0</v>
      </c>
      <c r="L667" s="1246"/>
      <c r="M667" s="291">
        <f t="shared" si="382"/>
        <v>0</v>
      </c>
      <c r="N667" s="292" t="str">
        <f>$N$9</f>
        <v xml:space="preserve">Uniformidad (10% -) : </v>
      </c>
      <c r="O667" s="320">
        <f>LOOKUP($A663,'Pr-Sem'!$A$6:$A$108,'Pr-Sem'!$AH$6:$AH$108)</f>
        <v>0</v>
      </c>
      <c r="P667" s="320">
        <v>5</v>
      </c>
      <c r="Q667" s="321">
        <f>IF(AND(P667&gt;0,O667&gt;0),(1-O667/P667)*100,0)</f>
        <v>0</v>
      </c>
      <c r="R667" s="699"/>
      <c r="S667" s="762"/>
      <c r="T667" s="765">
        <f t="shared" si="377"/>
        <v>0</v>
      </c>
      <c r="U667" s="700"/>
      <c r="V667" s="701"/>
      <c r="W667" s="701"/>
      <c r="X667" s="295">
        <f t="shared" si="372"/>
        <v>0</v>
      </c>
      <c r="Y667" s="296">
        <f>IF(AA667&gt;0,V667,AE663/IF(Iniciar!$C$25="B X 40 K",40,IF(Iniciar!$C$25="B X 50 K",50,1))*I667/1000)</f>
        <v>0</v>
      </c>
      <c r="Z667" s="296">
        <f t="shared" si="373"/>
        <v>0</v>
      </c>
      <c r="AA667" s="297">
        <f t="shared" si="383"/>
        <v>0</v>
      </c>
      <c r="AB667" s="297">
        <f t="shared" si="367"/>
        <v>0</v>
      </c>
      <c r="AC667" s="2035" t="str">
        <f>$AC$9</f>
        <v xml:space="preserve">Total Litros Sem: </v>
      </c>
      <c r="AD667" s="2036"/>
      <c r="AE667" s="2050">
        <f>SUM(R663:R669)</f>
        <v>0</v>
      </c>
      <c r="AF667" s="2051"/>
      <c r="AG667" s="554" t="str">
        <f>$AG$9</f>
        <v xml:space="preserve">Indicador Eficiencia : </v>
      </c>
      <c r="AH667" s="555">
        <f>IF(AND(AE667&gt;0,O664&gt;0,O665&gt;0,SUM(L663:L669)&gt;0),(PROD!AH666/O664)*K669*100/(AE667/(SUM(L663:L669)*O665/1000)),0)</f>
        <v>0</v>
      </c>
      <c r="AI667" s="555">
        <f>IF(AND(P664&gt;0,PROD!AI665&gt;0),(PROD!AI666/P664)*(1-K668)*100/(AE664/PROD!AI665),0)</f>
        <v>0</v>
      </c>
      <c r="AJ667" s="331">
        <f t="shared" si="381"/>
        <v>0</v>
      </c>
      <c r="AK667" s="2027"/>
      <c r="AL667" s="1284">
        <f t="shared" si="368"/>
        <v>0</v>
      </c>
      <c r="AM667" s="1285"/>
      <c r="AN667" s="1285"/>
      <c r="AO667" s="1285"/>
      <c r="AP667" s="1285"/>
      <c r="AQ667" s="1285"/>
      <c r="AR667" s="1285"/>
      <c r="AS667" s="1286"/>
      <c r="AT667" s="1287"/>
      <c r="AU667" s="1288"/>
      <c r="AV667" s="1289"/>
      <c r="AW667" s="1290"/>
      <c r="AX667" s="1291"/>
      <c r="AY667" s="1291"/>
      <c r="AZ667" s="1292"/>
      <c r="BA667" s="1293"/>
      <c r="BB667" s="1294"/>
      <c r="BC667" s="1295"/>
      <c r="BD667" s="1296">
        <f>BD666+PROD!L667-BA667</f>
        <v>0</v>
      </c>
      <c r="BE667" s="2133"/>
      <c r="BF667" s="507" t="e">
        <f t="shared" si="369"/>
        <v>#VALUE!</v>
      </c>
      <c r="BG667" s="329"/>
      <c r="BH667" s="1018">
        <f t="shared" si="370"/>
        <v>0</v>
      </c>
    </row>
    <row r="668" spans="1:60" ht="15" customHeight="1" x14ac:dyDescent="0.3">
      <c r="A668" s="2033"/>
      <c r="B668" s="287" t="str">
        <f t="shared" si="371"/>
        <v/>
      </c>
      <c r="C668" s="288" t="str">
        <f t="shared" si="366"/>
        <v/>
      </c>
      <c r="D668" s="691"/>
      <c r="E668" s="692"/>
      <c r="F668" s="693"/>
      <c r="G668" s="694"/>
      <c r="H668" s="695"/>
      <c r="I668" s="289">
        <f>I667-SUM($D668:F668)</f>
        <v>0</v>
      </c>
      <c r="J668" s="1237" t="str">
        <f>$J$10</f>
        <v>% Mort/Sel Acm Tab :</v>
      </c>
      <c r="K668" s="1238">
        <f>IFERROR(LOOKUP($A663,TP!$A$6:$A$108,GSh!$AR$6:$AR$108)/100,0)</f>
        <v>0</v>
      </c>
      <c r="L668" s="1246"/>
      <c r="M668" s="291">
        <f t="shared" si="382"/>
        <v>0</v>
      </c>
      <c r="N668" s="292" t="str">
        <f>$N$10</f>
        <v xml:space="preserve">Uniformidad (C. Lote) : </v>
      </c>
      <c r="O668" s="320">
        <f>LOOKUP($A663,'Pr-Sem'!$A$6:$A$108,'Pr-Sem'!$AG$6:$AG$108)</f>
        <v>0</v>
      </c>
      <c r="P668" s="320">
        <v>90</v>
      </c>
      <c r="Q668" s="321">
        <f>IF(AND(P668&gt;0,O668&gt;0),(O668/P668-1)*100,0)</f>
        <v>0</v>
      </c>
      <c r="R668" s="699"/>
      <c r="S668" s="762"/>
      <c r="T668" s="765">
        <f t="shared" si="377"/>
        <v>0</v>
      </c>
      <c r="U668" s="700"/>
      <c r="V668" s="701"/>
      <c r="W668" s="701"/>
      <c r="X668" s="295">
        <f t="shared" si="372"/>
        <v>0</v>
      </c>
      <c r="Y668" s="296">
        <f>IF(AA668&gt;0,V668,AE663/IF(Iniciar!$C$25="B X 40 K",40,IF(Iniciar!$C$25="B X 50 K",50,1))*I668/1000)</f>
        <v>0</v>
      </c>
      <c r="Z668" s="296">
        <f t="shared" si="373"/>
        <v>0</v>
      </c>
      <c r="AA668" s="297">
        <f t="shared" si="383"/>
        <v>0</v>
      </c>
      <c r="AB668" s="297">
        <f t="shared" si="367"/>
        <v>0</v>
      </c>
      <c r="AC668" s="2037" t="str">
        <f>$AC$10</f>
        <v xml:space="preserve">Cons ml /ave día: </v>
      </c>
      <c r="AD668" s="2038"/>
      <c r="AE668" s="2056">
        <f>IFERROR(SUMPRODUCT(AB663:AB669,I663:I669)/SUM(I663:I669),0)</f>
        <v>0</v>
      </c>
      <c r="AF668" s="2057"/>
      <c r="AG668" s="311" t="str">
        <f>CONCATENATE("Costo ",Iniciar!$C$25," : ")</f>
        <v xml:space="preserve">Costo Kilos : </v>
      </c>
      <c r="AH668" s="2043">
        <f>IFERROR(SUMPRODUCT(T663:T669,V663:V669)/SUMIF(T663:T669,"&gt;0",V663:V669),0)</f>
        <v>0</v>
      </c>
      <c r="AI668" s="2043"/>
      <c r="AJ668" s="313"/>
      <c r="AK668" s="2027"/>
      <c r="AL668" s="1284">
        <f t="shared" si="368"/>
        <v>0</v>
      </c>
      <c r="AM668" s="1285"/>
      <c r="AN668" s="1285"/>
      <c r="AO668" s="1285"/>
      <c r="AP668" s="1285"/>
      <c r="AQ668" s="1285"/>
      <c r="AR668" s="1285"/>
      <c r="AS668" s="1286"/>
      <c r="AT668" s="1287"/>
      <c r="AU668" s="1288"/>
      <c r="AV668" s="1289"/>
      <c r="AW668" s="1290"/>
      <c r="AX668" s="1291"/>
      <c r="AY668" s="1291"/>
      <c r="AZ668" s="1292"/>
      <c r="BA668" s="1293"/>
      <c r="BB668" s="1294"/>
      <c r="BC668" s="1295"/>
      <c r="BD668" s="1296">
        <f>BD667+PROD!L668-BA668</f>
        <v>0</v>
      </c>
      <c r="BE668" s="2133"/>
      <c r="BF668" s="507" t="e">
        <f t="shared" si="369"/>
        <v>#VALUE!</v>
      </c>
      <c r="BG668" s="329"/>
      <c r="BH668" s="1018">
        <f t="shared" si="370"/>
        <v>0</v>
      </c>
    </row>
    <row r="669" spans="1:60" ht="15" customHeight="1" x14ac:dyDescent="0.3">
      <c r="A669" s="2034"/>
      <c r="B669" s="287" t="str">
        <f t="shared" si="371"/>
        <v/>
      </c>
      <c r="C669" s="288" t="str">
        <f t="shared" si="366"/>
        <v/>
      </c>
      <c r="D669" s="691"/>
      <c r="E669" s="692"/>
      <c r="F669" s="693"/>
      <c r="G669" s="694"/>
      <c r="H669" s="695"/>
      <c r="I669" s="289">
        <f>I668-SUM($D669:F669)</f>
        <v>0</v>
      </c>
      <c r="J669" s="1239" t="str">
        <f>$J$11</f>
        <v>% Viabilidad :</v>
      </c>
      <c r="K669" s="1240">
        <f>IF(OR(SUM(L663:L669)&gt;0,SUM(V663:V669)&gt;0),1-(K666+K667),0)</f>
        <v>0</v>
      </c>
      <c r="L669" s="1247"/>
      <c r="M669" s="1248">
        <f>IF(I669&gt;0,(L669/IF(SUM(L663:L668)&gt;0,1,7))/I669,0)</f>
        <v>0</v>
      </c>
      <c r="N669" s="1249" t="str">
        <f>$N$11</f>
        <v xml:space="preserve">Uniformidad (10% +) : </v>
      </c>
      <c r="O669" s="1250">
        <f>IF(O667&gt;0,IF(O668&gt;0,100-SUM(O667:O668),0),0)</f>
        <v>0</v>
      </c>
      <c r="P669" s="1251">
        <f>100-SUM(P667:P668)</f>
        <v>5</v>
      </c>
      <c r="Q669" s="1252">
        <f>IF(AND(P669&gt;0,O669&gt;0),(O669/P669-1)*100,0)</f>
        <v>0</v>
      </c>
      <c r="R669" s="699"/>
      <c r="S669" s="762"/>
      <c r="T669" s="765">
        <f t="shared" si="377"/>
        <v>0</v>
      </c>
      <c r="U669" s="700"/>
      <c r="V669" s="701"/>
      <c r="W669" s="701"/>
      <c r="X669" s="295">
        <f t="shared" si="372"/>
        <v>0</v>
      </c>
      <c r="Y669" s="296">
        <f>IF(AA669&gt;0,V669,AE663/IF(Iniciar!$C$25="B X 40 K",40,IF(Iniciar!$C$25="B X 50 K",50,1))*I669/1000)</f>
        <v>0</v>
      </c>
      <c r="Z669" s="296">
        <f t="shared" si="373"/>
        <v>0</v>
      </c>
      <c r="AA669" s="297">
        <f>IF(I669&gt;0,(V669/IF(SUM(V663:V668)&gt;0,1,7))*$A$1/I669,0)</f>
        <v>0</v>
      </c>
      <c r="AB669" s="297">
        <f t="shared" si="367"/>
        <v>0</v>
      </c>
      <c r="AC669" s="2039" t="str">
        <f>$AC$11</f>
        <v xml:space="preserve">Relación Agua /Alimto: </v>
      </c>
      <c r="AD669" s="2040"/>
      <c r="AE669" s="2058">
        <f>IFERROR(AE668/AD663,0)</f>
        <v>0</v>
      </c>
      <c r="AF669" s="2059"/>
      <c r="AG669" s="1269" t="s">
        <v>237</v>
      </c>
      <c r="AH669" s="1270">
        <f>IF(SUM(L663:L669)&gt;0,AH668*SUM(V663:V669)/SUM(L663:L669),0)</f>
        <v>0</v>
      </c>
      <c r="AI669" s="1270">
        <f>IF(AND($A$1&gt;0,P663&gt;0),AH668/$A$1*(AE663/P663)*100,0)</f>
        <v>0</v>
      </c>
      <c r="AJ669" s="1271">
        <f t="shared" ref="AJ669:AJ674" si="384">IF(AND(AI669&gt;0,AH669&gt;0),(AH669/AI669-1)*100,0)</f>
        <v>0</v>
      </c>
      <c r="AK669" s="2028"/>
      <c r="AL669" s="1284">
        <f t="shared" si="368"/>
        <v>0</v>
      </c>
      <c r="AM669" s="1285"/>
      <c r="AN669" s="1285"/>
      <c r="AO669" s="1285"/>
      <c r="AP669" s="1285"/>
      <c r="AQ669" s="1285"/>
      <c r="AR669" s="1285"/>
      <c r="AS669" s="1286"/>
      <c r="AT669" s="1287"/>
      <c r="AU669" s="1288"/>
      <c r="AV669" s="1289"/>
      <c r="AW669" s="1290"/>
      <c r="AX669" s="1291"/>
      <c r="AY669" s="1291"/>
      <c r="AZ669" s="1292"/>
      <c r="BA669" s="1293"/>
      <c r="BB669" s="1294"/>
      <c r="BC669" s="1295"/>
      <c r="BD669" s="1296">
        <f>BD668+PROD!L669-BA669</f>
        <v>0</v>
      </c>
      <c r="BE669" s="2134"/>
      <c r="BF669" s="507" t="e">
        <f t="shared" si="369"/>
        <v>#VALUE!</v>
      </c>
      <c r="BG669" s="329"/>
      <c r="BH669" s="1018">
        <f t="shared" si="370"/>
        <v>0</v>
      </c>
    </row>
    <row r="670" spans="1:60" ht="15" customHeight="1" x14ac:dyDescent="0.3">
      <c r="A670" s="2032">
        <f>A663+1</f>
        <v>113</v>
      </c>
      <c r="B670" s="287" t="str">
        <f t="shared" si="371"/>
        <v/>
      </c>
      <c r="C670" s="288" t="str">
        <f t="shared" si="366"/>
        <v/>
      </c>
      <c r="D670" s="691"/>
      <c r="E670" s="692"/>
      <c r="F670" s="693"/>
      <c r="G670" s="694"/>
      <c r="H670" s="695"/>
      <c r="I670" s="289">
        <f>I669-SUM($D670:F670)</f>
        <v>0</v>
      </c>
      <c r="J670" s="1232" t="str">
        <f>$J$5</f>
        <v>% Mort Sem :</v>
      </c>
      <c r="K670" s="1233">
        <f>IF(PROD!$K$2&gt;0,SUM(D670:D676)/PROD!$K$2,0)</f>
        <v>0</v>
      </c>
      <c r="L670" s="1241"/>
      <c r="M670" s="1242">
        <f t="shared" ref="M670:M675" si="385">IF(I670&gt;0,L670/I670,0)</f>
        <v>0</v>
      </c>
      <c r="N670" s="1243" t="str">
        <f>$N$5</f>
        <v xml:space="preserve">% Pdn prom semana : </v>
      </c>
      <c r="O670" s="1244">
        <f>IF(SUM(L670:L675)&gt;0,100*SUMPRODUCT(M670:M676,I670:I676)/SUMIF(L670:L676,"&gt;0",I670:I676),IF(L676&gt;0,100*L676/7/I676,0))</f>
        <v>0</v>
      </c>
      <c r="P670" s="1244">
        <f>IFERROR(LOOKUP($A670,TP!$A$6:$A$108,GSh!$AE$6:$AE$108),0)</f>
        <v>0</v>
      </c>
      <c r="Q670" s="1245">
        <f>IF(AND(P670&gt;0,O670&gt;0),O670-P670,0)</f>
        <v>0</v>
      </c>
      <c r="R670" s="699"/>
      <c r="S670" s="762"/>
      <c r="T670" s="765">
        <f t="shared" si="377"/>
        <v>0</v>
      </c>
      <c r="U670" s="700"/>
      <c r="V670" s="701"/>
      <c r="W670" s="701"/>
      <c r="X670" s="295">
        <f t="shared" si="372"/>
        <v>0</v>
      </c>
      <c r="Y670" s="296">
        <f>IF(AA670&gt;0,V670,AE670/IF(Iniciar!$C$25="B X 40 K",40,IF(Iniciar!$C$25="B X 50 K",50,1))*I670/1000)</f>
        <v>0</v>
      </c>
      <c r="Z670" s="296">
        <f t="shared" si="373"/>
        <v>0</v>
      </c>
      <c r="AA670" s="297">
        <f t="shared" ref="AA670:AA675" si="386">IF(I670&gt;0,V670*$A$1/I670,0)</f>
        <v>0</v>
      </c>
      <c r="AB670" s="297">
        <f t="shared" si="367"/>
        <v>0</v>
      </c>
      <c r="AC670" s="1261" t="str">
        <f>$AC$5</f>
        <v>Gr. Ave Dia :</v>
      </c>
      <c r="AD670" s="1262">
        <f>IF(SUMIF(V670:V676,"&gt;0")&gt;0,SUMPRODUCT(AA670:AA676,I670:I676)/SUMIF(AA670:AA676,"&gt;0",I670:I676),0)</f>
        <v>0</v>
      </c>
      <c r="AE670" s="1262">
        <f>IFERROR(LOOKUP($A670,TP!$A$6:$A$108,GSh!$AU$6:$AU$108),0)</f>
        <v>0</v>
      </c>
      <c r="AF670" s="1263">
        <f>IF(AND(AE670&gt;0,AD670&gt;0),(AD670/AE670-1)*100,0)</f>
        <v>0</v>
      </c>
      <c r="AG670" s="1264" t="str">
        <f>PROD!$AG$5</f>
        <v>Gr X H</v>
      </c>
      <c r="AH670" s="1265">
        <f>IF(PROD!O670&gt;0,IF($AG670="Gr X H",PROD!AD670/PROD!O670*100,IF($AG670="Conv Kg/Doc",PROD!AD670/PROD!O670*1.2,IF(PROD!$O672&gt;0,PROD!AD670/(PROD!O670*PROD!$O672)*100,0))),0)</f>
        <v>0</v>
      </c>
      <c r="AI670" s="1265">
        <f>IF(PROD!P670&gt;0,IF($AG670="Gr X H",PROD!AE670/PROD!P670*100,IF($AG670="Conv Kg/Doc",PROD!AE670/PROD!P670*1.2,IF(PROD!$P672&gt;0,PROD!AE670/(PROD!P670*PROD!$P672)*100,0))),0)</f>
        <v>0</v>
      </c>
      <c r="AJ670" s="1266">
        <f t="shared" si="384"/>
        <v>0</v>
      </c>
      <c r="AK670" s="2026"/>
      <c r="AL670" s="1284">
        <f t="shared" si="368"/>
        <v>0</v>
      </c>
      <c r="AM670" s="1285"/>
      <c r="AN670" s="1285"/>
      <c r="AO670" s="1285"/>
      <c r="AP670" s="1285"/>
      <c r="AQ670" s="1285"/>
      <c r="AR670" s="1285"/>
      <c r="AS670" s="1286"/>
      <c r="AT670" s="1287"/>
      <c r="AU670" s="1288"/>
      <c r="AV670" s="1289"/>
      <c r="AW670" s="1290"/>
      <c r="AX670" s="1291"/>
      <c r="AY670" s="1291"/>
      <c r="AZ670" s="1292"/>
      <c r="BA670" s="1293"/>
      <c r="BB670" s="1294"/>
      <c r="BC670" s="1295"/>
      <c r="BD670" s="1296">
        <f>BD669+PROD!L670-BA670</f>
        <v>0</v>
      </c>
      <c r="BE670" s="2132">
        <f>IF(SUM(AM670:AZ676)&gt;0,(SUM(AM670:AM676)*$AM$2+SUM(AN670:AN676)*$AN$2+SUM(AO670:AO676)*$AO$2+SUM(AP670:AP676)*$AP$2+SUM(AQ670:AQ676)*$AQ$2+SUM(AR670:AR676)*$AR$2+SUM(AS670:AS676)*$AS$2+SUM(AW670:AW676)*$AW$2+SUM(AX670:AX676)*$AX$2+SUM(AY670:AY676)*$AY$2+SUM(AZ670:AZ676)*$AZ$2+SUM(AT670:AT676)*$AT$2+SUM(AU670:AU676)*$AU$2+SUM(AV670:AV676)*$AV$2)/SUM(AM670:AZ676),0)</f>
        <v>0</v>
      </c>
      <c r="BF670" s="507" t="e">
        <f t="shared" si="369"/>
        <v>#VALUE!</v>
      </c>
      <c r="BG670" s="277">
        <f>IF(SUM(L670:L676)&gt;0,A670,IF(SUM(V670:V676)&gt;0,A670,BG663))</f>
        <v>0</v>
      </c>
      <c r="BH670" s="1018">
        <f t="shared" si="370"/>
        <v>0</v>
      </c>
    </row>
    <row r="671" spans="1:60" ht="15" customHeight="1" x14ac:dyDescent="0.3">
      <c r="A671" s="2033"/>
      <c r="B671" s="287" t="str">
        <f t="shared" si="371"/>
        <v/>
      </c>
      <c r="C671" s="288" t="str">
        <f t="shared" si="366"/>
        <v/>
      </c>
      <c r="D671" s="691"/>
      <c r="E671" s="692"/>
      <c r="F671" s="693"/>
      <c r="G671" s="694"/>
      <c r="H671" s="695"/>
      <c r="I671" s="289">
        <f>I670-SUM($D671:F671)</f>
        <v>0</v>
      </c>
      <c r="J671" s="1234" t="str">
        <f>$J$6</f>
        <v>% Sel Sem :</v>
      </c>
      <c r="K671" s="1231">
        <f>IF(PROD!$K$2&gt;0,SUM(E670:E676)/PROD!$K$2,0)</f>
        <v>0</v>
      </c>
      <c r="L671" s="1246"/>
      <c r="M671" s="291">
        <f t="shared" si="385"/>
        <v>0</v>
      </c>
      <c r="N671" s="292" t="str">
        <f>$N$6</f>
        <v xml:space="preserve">H. Ave Alojada : </v>
      </c>
      <c r="O671" s="293">
        <f>IF(AND(PROD!$K$2&gt;0,O670&gt;0),SUM(L$5:L676)/PROD!$K$2,0)</f>
        <v>0</v>
      </c>
      <c r="P671" s="293">
        <f>IFERROR(LOOKUP($A670,TP!$A$6:$A$108,GSh!$AJ$6:$AJ$108),0)</f>
        <v>0</v>
      </c>
      <c r="Q671" s="294">
        <f>IF(AND(P671&gt;0,O671&gt;0),O671-P671,0)</f>
        <v>0</v>
      </c>
      <c r="R671" s="699"/>
      <c r="S671" s="762"/>
      <c r="T671" s="765">
        <f t="shared" si="377"/>
        <v>0</v>
      </c>
      <c r="U671" s="700"/>
      <c r="V671" s="701"/>
      <c r="W671" s="701"/>
      <c r="X671" s="295">
        <f t="shared" si="372"/>
        <v>0</v>
      </c>
      <c r="Y671" s="296">
        <f>IF(AA671&gt;0,V671,AE670/IF(Iniciar!$C$25="B X 40 K",40,IF(Iniciar!$C$25="B X 50 K",50,1))*I671/1000)</f>
        <v>0</v>
      </c>
      <c r="Z671" s="296">
        <f t="shared" si="373"/>
        <v>0</v>
      </c>
      <c r="AA671" s="297">
        <f t="shared" si="386"/>
        <v>0</v>
      </c>
      <c r="AB671" s="297">
        <f t="shared" si="367"/>
        <v>0</v>
      </c>
      <c r="AC671" s="1267" t="str">
        <f>$AC$6</f>
        <v>Gr. Ave Sem :</v>
      </c>
      <c r="AD671" s="284">
        <f>AD670*7</f>
        <v>0</v>
      </c>
      <c r="AE671" s="284">
        <f>AE670*7</f>
        <v>0</v>
      </c>
      <c r="AF671" s="285">
        <f>IF(AND(AE671&gt;0,AD671&gt;0),(AD671/AE671-1)*100,0)</f>
        <v>0</v>
      </c>
      <c r="AG671" s="1199" t="str">
        <f>PROD!$AG$6</f>
        <v>Gr X H Acm</v>
      </c>
      <c r="AH671" s="298">
        <f>IF(SUM(PROD!L670:L676)&gt;0,IF(PROD!$AG$5="Gr X H",SUM(PROD!V$5:V676)*PROD!$A$1/SUM(PROD!L$5:L676),IF($AG670="Conv Kg/Doc",(SUM(PROD!V$5:V676)*PROD!$A$1/1000)/(SUM(PROD!L$5:L676)/12),IF(PROD!$O672&gt;0,SUM(PROD!V$5:V676)*PROD!$A$1/(SUM(PROD!L$5:L676)*LOOKUP(PROD!A670,TP!$A$6:$A$108,GSh!$BB$6:$BB$108)),0))),0)</f>
        <v>0</v>
      </c>
      <c r="AI671" s="298">
        <f>IF(PROD!P670&gt;0,IF($AG670="Gr X H",PROD!AE670/PROD!P670*100,IF($AG670="Conv Kg/Doc",PROD!AE670/PROD!P670*1.2,IF(PROD!$P671&gt;0,PROD!AE672/(PROD!P671*LOOKUP(PROD!$A670,TP!$A$6:$A$108,GSh!$BC$6:$BC$108)/1000),0))),0)</f>
        <v>0</v>
      </c>
      <c r="AJ671" s="328">
        <f t="shared" si="384"/>
        <v>0</v>
      </c>
      <c r="AK671" s="2027"/>
      <c r="AL671" s="1284">
        <f t="shared" si="368"/>
        <v>0</v>
      </c>
      <c r="AM671" s="1285"/>
      <c r="AN671" s="1285"/>
      <c r="AO671" s="1285"/>
      <c r="AP671" s="1285"/>
      <c r="AQ671" s="1285"/>
      <c r="AR671" s="1285"/>
      <c r="AS671" s="1286"/>
      <c r="AT671" s="1287"/>
      <c r="AU671" s="1288"/>
      <c r="AV671" s="1289"/>
      <c r="AW671" s="1290"/>
      <c r="AX671" s="1291"/>
      <c r="AY671" s="1291"/>
      <c r="AZ671" s="1292"/>
      <c r="BA671" s="1293"/>
      <c r="BB671" s="1294"/>
      <c r="BC671" s="1295"/>
      <c r="BD671" s="1296">
        <f>BD670+PROD!L671-BA671</f>
        <v>0</v>
      </c>
      <c r="BE671" s="2133"/>
      <c r="BF671" s="507" t="e">
        <f t="shared" si="369"/>
        <v>#VALUE!</v>
      </c>
      <c r="BG671" s="329"/>
      <c r="BH671" s="1018">
        <f t="shared" si="370"/>
        <v>0</v>
      </c>
    </row>
    <row r="672" spans="1:60" ht="15" customHeight="1" x14ac:dyDescent="0.3">
      <c r="A672" s="2033"/>
      <c r="B672" s="287" t="str">
        <f t="shared" si="371"/>
        <v/>
      </c>
      <c r="C672" s="288" t="str">
        <f t="shared" si="366"/>
        <v/>
      </c>
      <c r="D672" s="691"/>
      <c r="E672" s="692"/>
      <c r="F672" s="693"/>
      <c r="G672" s="694"/>
      <c r="H672" s="695"/>
      <c r="I672" s="289">
        <f>I671-SUM($D672:F672)</f>
        <v>0</v>
      </c>
      <c r="J672" s="1235" t="str">
        <f>$J$7</f>
        <v>% Mort/Sel Sem Tab :</v>
      </c>
      <c r="K672" s="1236">
        <f>K675-K668</f>
        <v>0</v>
      </c>
      <c r="L672" s="1246"/>
      <c r="M672" s="291">
        <f t="shared" si="385"/>
        <v>0</v>
      </c>
      <c r="N672" s="304" t="str">
        <f>$N$7</f>
        <v xml:space="preserve">Peso Huevo (Gr) : </v>
      </c>
      <c r="O672" s="305">
        <f>LOOKUP($A670,'Pr-Sem'!$A$6:$A$108,'Pr-Sem'!$Z$6:$Z$108)</f>
        <v>0</v>
      </c>
      <c r="P672" s="305">
        <f>IFERROR(LOOKUP($A670,TP!$A$6:$A$108,GSh!$AZ$6:$AZ$108),0)</f>
        <v>0</v>
      </c>
      <c r="Q672" s="306">
        <f>IF(AND(P672&gt;0,O672&gt;0),O672-P672,0)</f>
        <v>0</v>
      </c>
      <c r="R672" s="699"/>
      <c r="S672" s="762"/>
      <c r="T672" s="765">
        <f t="shared" si="377"/>
        <v>0</v>
      </c>
      <c r="U672" s="700"/>
      <c r="V672" s="701"/>
      <c r="W672" s="701"/>
      <c r="X672" s="295">
        <f t="shared" si="372"/>
        <v>0</v>
      </c>
      <c r="Y672" s="296">
        <f>IF(AA672&gt;0,V672,AE670/IF(Iniciar!$C$25="B X 40 K",40,IF(Iniciar!$C$25="B X 50 K",50,1))*I672/1000)</f>
        <v>0</v>
      </c>
      <c r="Z672" s="296">
        <f t="shared" si="373"/>
        <v>0</v>
      </c>
      <c r="AA672" s="297">
        <f t="shared" si="386"/>
        <v>0</v>
      </c>
      <c r="AB672" s="297">
        <f t="shared" si="367"/>
        <v>0</v>
      </c>
      <c r="AC672" s="1268" t="str">
        <f>$AC$7</f>
        <v>Kg Ave Acu :</v>
      </c>
      <c r="AD672" s="308">
        <f>IF(OR(SUM(L670:L676)&gt;0,SUM(V670:V676)&gt;0),AD671/1000+AD665,0)</f>
        <v>0</v>
      </c>
      <c r="AE672" s="309">
        <f>AE671/1000+AE665</f>
        <v>0</v>
      </c>
      <c r="AF672" s="310">
        <f>IF(AND(AE672&gt;0,AD672&gt;0),(AD672/AE672-1)*100,0)</f>
        <v>0</v>
      </c>
      <c r="AG672" s="311" t="str">
        <f>PROD!$AG$7</f>
        <v xml:space="preserve">Masa Sem H (Gr) : </v>
      </c>
      <c r="AH672" s="312">
        <f>PROD!O670/100*7*PROD!O672</f>
        <v>0</v>
      </c>
      <c r="AI672" s="312">
        <f>PROD!P670/100*7*PROD!P672</f>
        <v>0</v>
      </c>
      <c r="AJ672" s="313">
        <f t="shared" si="384"/>
        <v>0</v>
      </c>
      <c r="AK672" s="2027"/>
      <c r="AL672" s="1284">
        <f t="shared" si="368"/>
        <v>0</v>
      </c>
      <c r="AM672" s="1285"/>
      <c r="AN672" s="1285"/>
      <c r="AO672" s="1285"/>
      <c r="AP672" s="1285"/>
      <c r="AQ672" s="1285"/>
      <c r="AR672" s="1285"/>
      <c r="AS672" s="1286"/>
      <c r="AT672" s="1287"/>
      <c r="AU672" s="1288"/>
      <c r="AV672" s="1289"/>
      <c r="AW672" s="1290"/>
      <c r="AX672" s="1291"/>
      <c r="AY672" s="1291"/>
      <c r="AZ672" s="1292"/>
      <c r="BA672" s="1293"/>
      <c r="BB672" s="1294"/>
      <c r="BC672" s="1295"/>
      <c r="BD672" s="1296">
        <f>BD671+PROD!L672-BA672</f>
        <v>0</v>
      </c>
      <c r="BE672" s="2133"/>
      <c r="BF672" s="507" t="e">
        <f t="shared" si="369"/>
        <v>#VALUE!</v>
      </c>
      <c r="BG672" s="329"/>
      <c r="BH672" s="1018">
        <f t="shared" si="370"/>
        <v>0</v>
      </c>
    </row>
    <row r="673" spans="1:60" ht="15" customHeight="1" x14ac:dyDescent="0.3">
      <c r="A673" s="2033"/>
      <c r="B673" s="287" t="str">
        <f t="shared" si="371"/>
        <v/>
      </c>
      <c r="C673" s="288" t="str">
        <f t="shared" si="366"/>
        <v/>
      </c>
      <c r="D673" s="691"/>
      <c r="E673" s="692"/>
      <c r="F673" s="693"/>
      <c r="G673" s="694"/>
      <c r="H673" s="695"/>
      <c r="I673" s="289">
        <f>I672-SUM($D673:F673)</f>
        <v>0</v>
      </c>
      <c r="J673" s="1234" t="str">
        <f>$J$8</f>
        <v>% Mort Acm :</v>
      </c>
      <c r="K673" s="1231">
        <f>IF(PROD!$K$2&gt;0,SUM(D$5:D676)/PROD!$K$2,0)</f>
        <v>0</v>
      </c>
      <c r="L673" s="1246"/>
      <c r="M673" s="291">
        <f t="shared" si="385"/>
        <v>0</v>
      </c>
      <c r="N673" s="314" t="str">
        <f>N$8</f>
        <v xml:space="preserve">Peso Ave (Gr) : </v>
      </c>
      <c r="O673" s="315">
        <f>LOOKUP($A670,GSh!$BV$6:$BV$108,GSh!$BJ$6:$BJ$108)</f>
        <v>0</v>
      </c>
      <c r="P673" s="315">
        <f>IFERROR(LOOKUP($A670,TP!$A$6:$A$108,GSh!$BK$6:$BK$108),0)</f>
        <v>0</v>
      </c>
      <c r="Q673" s="316">
        <f>IF(AND(P673&gt;0,O673&gt;0),(O673/P673-1)*100,0)</f>
        <v>0</v>
      </c>
      <c r="R673" s="699"/>
      <c r="S673" s="762"/>
      <c r="T673" s="765">
        <f t="shared" si="377"/>
        <v>0</v>
      </c>
      <c r="U673" s="700"/>
      <c r="V673" s="701"/>
      <c r="W673" s="701"/>
      <c r="X673" s="295">
        <f t="shared" si="372"/>
        <v>0</v>
      </c>
      <c r="Y673" s="296">
        <f>IF(AA673&gt;0,V673,AE670/IF(Iniciar!$C$25="B X 40 K",40,IF(Iniciar!$C$25="B X 50 K",50,1))*I673/1000)</f>
        <v>0</v>
      </c>
      <c r="Z673" s="296">
        <f t="shared" si="373"/>
        <v>0</v>
      </c>
      <c r="AA673" s="297">
        <f t="shared" si="386"/>
        <v>0</v>
      </c>
      <c r="AB673" s="297">
        <f t="shared" si="367"/>
        <v>0</v>
      </c>
      <c r="AC673" s="541" t="str">
        <f>$AC$8</f>
        <v xml:space="preserve">Ton. Lote Acu : </v>
      </c>
      <c r="AD673" s="544">
        <f>SUM($V$5:$V676)*$A$1/1000000</f>
        <v>0</v>
      </c>
      <c r="AE673" s="543">
        <f>AE666+(AE670/1000000*7*(I670+I676)/2)</f>
        <v>0</v>
      </c>
      <c r="AF673" s="542">
        <f>IF(AND(AE673&gt;0,AD673&gt;0),(AD673/AE673-1)*100,0)</f>
        <v>0</v>
      </c>
      <c r="AG673" s="317" t="str">
        <f>PROD!$AG$8</f>
        <v xml:space="preserve">Masa Ac A. A (Kg) : </v>
      </c>
      <c r="AH673" s="318">
        <f>IF(PROD!$K$2&gt;0,SUM(PROD!L$5:L676)*LOOKUP(PROD!$A670,TP!$A$6:$A$108,GSh!$BB$6:$BB$108)/1000/PROD!$K$2,0)</f>
        <v>0</v>
      </c>
      <c r="AI673" s="318">
        <f>IFERROR(PROD!P671*LOOKUP(PROD!$A670,TP!$A$6:$A$108,GSh!$BC$6:$BC$108)/1000,0)</f>
        <v>0</v>
      </c>
      <c r="AJ673" s="330">
        <f t="shared" si="384"/>
        <v>0</v>
      </c>
      <c r="AK673" s="2027"/>
      <c r="AL673" s="1284">
        <f t="shared" si="368"/>
        <v>0</v>
      </c>
      <c r="AM673" s="1285"/>
      <c r="AN673" s="1285"/>
      <c r="AO673" s="1285"/>
      <c r="AP673" s="1285"/>
      <c r="AQ673" s="1285"/>
      <c r="AR673" s="1285"/>
      <c r="AS673" s="1286"/>
      <c r="AT673" s="1287"/>
      <c r="AU673" s="1288"/>
      <c r="AV673" s="1289"/>
      <c r="AW673" s="1290"/>
      <c r="AX673" s="1291"/>
      <c r="AY673" s="1291"/>
      <c r="AZ673" s="1292"/>
      <c r="BA673" s="1293"/>
      <c r="BB673" s="1294"/>
      <c r="BC673" s="1295"/>
      <c r="BD673" s="1296">
        <f>BD672+PROD!L673-BA673</f>
        <v>0</v>
      </c>
      <c r="BE673" s="2133"/>
      <c r="BF673" s="507" t="e">
        <f t="shared" si="369"/>
        <v>#VALUE!</v>
      </c>
      <c r="BG673" s="329"/>
      <c r="BH673" s="1018">
        <f t="shared" si="370"/>
        <v>0</v>
      </c>
    </row>
    <row r="674" spans="1:60" ht="15" customHeight="1" x14ac:dyDescent="0.3">
      <c r="A674" s="2033"/>
      <c r="B674" s="287" t="str">
        <f t="shared" si="371"/>
        <v/>
      </c>
      <c r="C674" s="288" t="str">
        <f t="shared" si="366"/>
        <v/>
      </c>
      <c r="D674" s="691"/>
      <c r="E674" s="692"/>
      <c r="F674" s="693"/>
      <c r="G674" s="694"/>
      <c r="H674" s="695"/>
      <c r="I674" s="289">
        <f>I673-SUM($D674:F674)</f>
        <v>0</v>
      </c>
      <c r="J674" s="1234" t="str">
        <f>$J$9</f>
        <v>% Sel Acm :</v>
      </c>
      <c r="K674" s="1231">
        <f>IF(PROD!$K$2&gt;0,SUM(E$5:E676)/PROD!$K$2,0)</f>
        <v>0</v>
      </c>
      <c r="L674" s="1246"/>
      <c r="M674" s="291">
        <f t="shared" si="385"/>
        <v>0</v>
      </c>
      <c r="N674" s="292" t="str">
        <f>$N$9</f>
        <v xml:space="preserve">Uniformidad (10% -) : </v>
      </c>
      <c r="O674" s="320">
        <f>LOOKUP($A670,'Pr-Sem'!$A$6:$A$108,'Pr-Sem'!$AH$6:$AH$108)</f>
        <v>0</v>
      </c>
      <c r="P674" s="320">
        <v>5</v>
      </c>
      <c r="Q674" s="321">
        <f>IF(AND(P674&gt;0,O674&gt;0),(1-O674/P674)*100,0)</f>
        <v>0</v>
      </c>
      <c r="R674" s="699"/>
      <c r="S674" s="762"/>
      <c r="T674" s="765">
        <f t="shared" si="377"/>
        <v>0</v>
      </c>
      <c r="U674" s="700"/>
      <c r="V674" s="701"/>
      <c r="W674" s="701"/>
      <c r="X674" s="295">
        <f t="shared" si="372"/>
        <v>0</v>
      </c>
      <c r="Y674" s="296">
        <f>IF(AA674&gt;0,V674,AE670/IF(Iniciar!$C$25="B X 40 K",40,IF(Iniciar!$C$25="B X 50 K",50,1))*I674/1000)</f>
        <v>0</v>
      </c>
      <c r="Z674" s="296">
        <f t="shared" si="373"/>
        <v>0</v>
      </c>
      <c r="AA674" s="297">
        <f t="shared" si="386"/>
        <v>0</v>
      </c>
      <c r="AB674" s="297">
        <f t="shared" si="367"/>
        <v>0</v>
      </c>
      <c r="AC674" s="2035" t="str">
        <f>$AC$9</f>
        <v xml:space="preserve">Total Litros Sem: </v>
      </c>
      <c r="AD674" s="2036"/>
      <c r="AE674" s="2050">
        <f>SUM(R670:R676)</f>
        <v>0</v>
      </c>
      <c r="AF674" s="2051"/>
      <c r="AG674" s="554" t="str">
        <f>$AG$9</f>
        <v xml:space="preserve">Indicador Eficiencia : </v>
      </c>
      <c r="AH674" s="555">
        <f>IF(AND(AE674&gt;0,O671&gt;0,O672&gt;0,SUM(L670:L676)&gt;0),(PROD!AH673/O671)*K676*100/(AE674/(SUM(L670:L676)*O672/1000)),0)</f>
        <v>0</v>
      </c>
      <c r="AI674" s="555">
        <f>IF(AND(P671&gt;0,PROD!AI672&gt;0),(PROD!AI673/P671)*(1-K675)*100/(AE671/PROD!AI672),0)</f>
        <v>0</v>
      </c>
      <c r="AJ674" s="331">
        <f t="shared" si="384"/>
        <v>0</v>
      </c>
      <c r="AK674" s="2027"/>
      <c r="AL674" s="1284">
        <f t="shared" si="368"/>
        <v>0</v>
      </c>
      <c r="AM674" s="1285"/>
      <c r="AN674" s="1285"/>
      <c r="AO674" s="1285"/>
      <c r="AP674" s="1285"/>
      <c r="AQ674" s="1285"/>
      <c r="AR674" s="1285"/>
      <c r="AS674" s="1286"/>
      <c r="AT674" s="1287"/>
      <c r="AU674" s="1288"/>
      <c r="AV674" s="1289"/>
      <c r="AW674" s="1290"/>
      <c r="AX674" s="1291"/>
      <c r="AY674" s="1291"/>
      <c r="AZ674" s="1292"/>
      <c r="BA674" s="1293"/>
      <c r="BB674" s="1294"/>
      <c r="BC674" s="1295"/>
      <c r="BD674" s="1296">
        <f>BD673+PROD!L674-BA674</f>
        <v>0</v>
      </c>
      <c r="BE674" s="2133"/>
      <c r="BF674" s="507" t="e">
        <f t="shared" si="369"/>
        <v>#VALUE!</v>
      </c>
      <c r="BG674" s="329"/>
      <c r="BH674" s="1018">
        <f t="shared" si="370"/>
        <v>0</v>
      </c>
    </row>
    <row r="675" spans="1:60" ht="15" customHeight="1" x14ac:dyDescent="0.3">
      <c r="A675" s="2033"/>
      <c r="B675" s="287" t="str">
        <f t="shared" si="371"/>
        <v/>
      </c>
      <c r="C675" s="288" t="str">
        <f t="shared" si="366"/>
        <v/>
      </c>
      <c r="D675" s="691"/>
      <c r="E675" s="692"/>
      <c r="F675" s="693"/>
      <c r="G675" s="694"/>
      <c r="H675" s="695"/>
      <c r="I675" s="289">
        <f>I674-SUM($D675:F675)</f>
        <v>0</v>
      </c>
      <c r="J675" s="1237" t="str">
        <f>$J$10</f>
        <v>% Mort/Sel Acm Tab :</v>
      </c>
      <c r="K675" s="1238">
        <f>IFERROR(LOOKUP($A670,TP!$A$6:$A$108,GSh!$AR$6:$AR$108)/100,0)</f>
        <v>0</v>
      </c>
      <c r="L675" s="1246"/>
      <c r="M675" s="291">
        <f t="shared" si="385"/>
        <v>0</v>
      </c>
      <c r="N675" s="292" t="str">
        <f>$N$10</f>
        <v xml:space="preserve">Uniformidad (C. Lote) : </v>
      </c>
      <c r="O675" s="320">
        <f>LOOKUP($A670,'Pr-Sem'!$A$6:$A$108,'Pr-Sem'!$AG$6:$AG$108)</f>
        <v>0</v>
      </c>
      <c r="P675" s="320">
        <v>90</v>
      </c>
      <c r="Q675" s="321">
        <f>IF(AND(P675&gt;0,O675&gt;0),(O675/P675-1)*100,0)</f>
        <v>0</v>
      </c>
      <c r="R675" s="699"/>
      <c r="S675" s="762"/>
      <c r="T675" s="765">
        <f t="shared" si="377"/>
        <v>0</v>
      </c>
      <c r="U675" s="700"/>
      <c r="V675" s="701"/>
      <c r="W675" s="701"/>
      <c r="X675" s="295">
        <f t="shared" si="372"/>
        <v>0</v>
      </c>
      <c r="Y675" s="296">
        <f>IF(AA675&gt;0,V675,AE670/IF(Iniciar!$C$25="B X 40 K",40,IF(Iniciar!$C$25="B X 50 K",50,1))*I675/1000)</f>
        <v>0</v>
      </c>
      <c r="Z675" s="296">
        <f t="shared" si="373"/>
        <v>0</v>
      </c>
      <c r="AA675" s="297">
        <f t="shared" si="386"/>
        <v>0</v>
      </c>
      <c r="AB675" s="297">
        <f t="shared" si="367"/>
        <v>0</v>
      </c>
      <c r="AC675" s="2037" t="str">
        <f>$AC$10</f>
        <v xml:space="preserve">Cons ml /ave día: </v>
      </c>
      <c r="AD675" s="2038"/>
      <c r="AE675" s="2056">
        <f>IFERROR(SUMPRODUCT(AB670:AB676,I670:I676)/SUM(I670:I676),0)</f>
        <v>0</v>
      </c>
      <c r="AF675" s="2057"/>
      <c r="AG675" s="311" t="str">
        <f>CONCATENATE("Costo ",Iniciar!$C$25," : ")</f>
        <v xml:space="preserve">Costo Kilos : </v>
      </c>
      <c r="AH675" s="2043">
        <f>IFERROR(SUMPRODUCT(T670:T676,V670:V676)/SUMIF(T670:T676,"&gt;0",V670:V676),0)</f>
        <v>0</v>
      </c>
      <c r="AI675" s="2043"/>
      <c r="AJ675" s="313"/>
      <c r="AK675" s="2027"/>
      <c r="AL675" s="1284">
        <f t="shared" si="368"/>
        <v>0</v>
      </c>
      <c r="AM675" s="1285"/>
      <c r="AN675" s="1285"/>
      <c r="AO675" s="1285"/>
      <c r="AP675" s="1285"/>
      <c r="AQ675" s="1285"/>
      <c r="AR675" s="1285"/>
      <c r="AS675" s="1286"/>
      <c r="AT675" s="1287"/>
      <c r="AU675" s="1288"/>
      <c r="AV675" s="1289"/>
      <c r="AW675" s="1290"/>
      <c r="AX675" s="1291"/>
      <c r="AY675" s="1291"/>
      <c r="AZ675" s="1292"/>
      <c r="BA675" s="1293"/>
      <c r="BB675" s="1294"/>
      <c r="BC675" s="1295"/>
      <c r="BD675" s="1296">
        <f>BD674+PROD!L675-BA675</f>
        <v>0</v>
      </c>
      <c r="BE675" s="2133"/>
      <c r="BF675" s="507" t="e">
        <f t="shared" si="369"/>
        <v>#VALUE!</v>
      </c>
      <c r="BG675" s="329"/>
      <c r="BH675" s="1018">
        <f t="shared" si="370"/>
        <v>0</v>
      </c>
    </row>
    <row r="676" spans="1:60" ht="15" customHeight="1" x14ac:dyDescent="0.3">
      <c r="A676" s="2034"/>
      <c r="B676" s="287" t="str">
        <f t="shared" si="371"/>
        <v/>
      </c>
      <c r="C676" s="288" t="str">
        <f t="shared" si="366"/>
        <v/>
      </c>
      <c r="D676" s="691"/>
      <c r="E676" s="692"/>
      <c r="F676" s="693"/>
      <c r="G676" s="694"/>
      <c r="H676" s="695"/>
      <c r="I676" s="289">
        <f>I675-SUM($D676:F676)</f>
        <v>0</v>
      </c>
      <c r="J676" s="1239" t="str">
        <f>$J$11</f>
        <v>% Viabilidad :</v>
      </c>
      <c r="K676" s="1240">
        <f>IF(OR(SUM(L670:L676)&gt;0,SUM(V670:V676)&gt;0),1-(K673+K674),0)</f>
        <v>0</v>
      </c>
      <c r="L676" s="1247"/>
      <c r="M676" s="1248">
        <f>IF(I676&gt;0,(L676/IF(SUM(L670:L675)&gt;0,1,7))/I676,0)</f>
        <v>0</v>
      </c>
      <c r="N676" s="1249" t="str">
        <f>$N$11</f>
        <v xml:space="preserve">Uniformidad (10% +) : </v>
      </c>
      <c r="O676" s="1250">
        <f>IF(O674&gt;0,IF(O675&gt;0,100-SUM(O674:O675),0),0)</f>
        <v>0</v>
      </c>
      <c r="P676" s="1251">
        <f>100-SUM(P674:P675)</f>
        <v>5</v>
      </c>
      <c r="Q676" s="1252">
        <f>IF(AND(P676&gt;0,O676&gt;0),(O676/P676-1)*100,0)</f>
        <v>0</v>
      </c>
      <c r="R676" s="699"/>
      <c r="S676" s="762"/>
      <c r="T676" s="765">
        <f t="shared" si="377"/>
        <v>0</v>
      </c>
      <c r="U676" s="700"/>
      <c r="V676" s="701"/>
      <c r="W676" s="701"/>
      <c r="X676" s="295">
        <f t="shared" si="372"/>
        <v>0</v>
      </c>
      <c r="Y676" s="296">
        <f>IF(AA676&gt;0,V676,AE670/IF(Iniciar!$C$25="B X 40 K",40,IF(Iniciar!$C$25="B X 50 K",50,1))*I676/1000)</f>
        <v>0</v>
      </c>
      <c r="Z676" s="296">
        <f t="shared" si="373"/>
        <v>0</v>
      </c>
      <c r="AA676" s="297">
        <f>IF(I676&gt;0,(V676/IF(SUM(V670:V675)&gt;0,1,7))*$A$1/I676,0)</f>
        <v>0</v>
      </c>
      <c r="AB676" s="297">
        <f t="shared" si="367"/>
        <v>0</v>
      </c>
      <c r="AC676" s="2039" t="str">
        <f>$AC$11</f>
        <v xml:space="preserve">Relación Agua /Alimto: </v>
      </c>
      <c r="AD676" s="2040"/>
      <c r="AE676" s="2058">
        <f>IFERROR(AE675/AD670,0)</f>
        <v>0</v>
      </c>
      <c r="AF676" s="2059"/>
      <c r="AG676" s="1269" t="s">
        <v>237</v>
      </c>
      <c r="AH676" s="1270">
        <f>IF(SUM(L670:L676)&gt;0,AH675*SUM(V670:V676)/SUM(L670:L676),0)</f>
        <v>0</v>
      </c>
      <c r="AI676" s="1270">
        <f>IF(AND($A$1&gt;0,P670&gt;0),AH675/$A$1*(AE670/P670)*100,0)</f>
        <v>0</v>
      </c>
      <c r="AJ676" s="1271">
        <f t="shared" ref="AJ676:AJ681" si="387">IF(AND(AI676&gt;0,AH676&gt;0),(AH676/AI676-1)*100,0)</f>
        <v>0</v>
      </c>
      <c r="AK676" s="2028"/>
      <c r="AL676" s="1284">
        <f t="shared" si="368"/>
        <v>0</v>
      </c>
      <c r="AM676" s="1285"/>
      <c r="AN676" s="1285"/>
      <c r="AO676" s="1285"/>
      <c r="AP676" s="1285"/>
      <c r="AQ676" s="1285"/>
      <c r="AR676" s="1285"/>
      <c r="AS676" s="1286"/>
      <c r="AT676" s="1287"/>
      <c r="AU676" s="1288"/>
      <c r="AV676" s="1289"/>
      <c r="AW676" s="1290"/>
      <c r="AX676" s="1291"/>
      <c r="AY676" s="1291"/>
      <c r="AZ676" s="1292"/>
      <c r="BA676" s="1293"/>
      <c r="BB676" s="1294"/>
      <c r="BC676" s="1295"/>
      <c r="BD676" s="1296">
        <f>BD675+PROD!L676-BA676</f>
        <v>0</v>
      </c>
      <c r="BE676" s="2134"/>
      <c r="BF676" s="507" t="e">
        <f t="shared" si="369"/>
        <v>#VALUE!</v>
      </c>
      <c r="BG676" s="329"/>
      <c r="BH676" s="1018">
        <f t="shared" si="370"/>
        <v>0</v>
      </c>
    </row>
    <row r="677" spans="1:60" ht="15" customHeight="1" x14ac:dyDescent="0.3">
      <c r="A677" s="2032">
        <f>A670+1</f>
        <v>114</v>
      </c>
      <c r="B677" s="287" t="str">
        <f t="shared" si="371"/>
        <v/>
      </c>
      <c r="C677" s="288" t="str">
        <f t="shared" si="366"/>
        <v/>
      </c>
      <c r="D677" s="691"/>
      <c r="E677" s="692"/>
      <c r="F677" s="693"/>
      <c r="G677" s="694"/>
      <c r="H677" s="695"/>
      <c r="I677" s="289">
        <f>I676-SUM($D677:F677)</f>
        <v>0</v>
      </c>
      <c r="J677" s="1232" t="str">
        <f>$J$5</f>
        <v>% Mort Sem :</v>
      </c>
      <c r="K677" s="1233">
        <f>IF(PROD!$K$2&gt;0,SUM(D677:D683)/PROD!$K$2,0)</f>
        <v>0</v>
      </c>
      <c r="L677" s="1241"/>
      <c r="M677" s="1242">
        <f t="shared" ref="M677:M682" si="388">IF(I677&gt;0,L677/I677,0)</f>
        <v>0</v>
      </c>
      <c r="N677" s="1243" t="str">
        <f>$N$5</f>
        <v xml:space="preserve">% Pdn prom semana : </v>
      </c>
      <c r="O677" s="1244">
        <f>IF(SUM(L677:L682)&gt;0,100*SUMPRODUCT(M677:M683,I677:I683)/SUMIF(L677:L683,"&gt;0",I677:I683),IF(L683&gt;0,100*L683/7/I683,0))</f>
        <v>0</v>
      </c>
      <c r="P677" s="1244">
        <f>IFERROR(LOOKUP($A677,TP!$A$6:$A$108,GSh!$AE$6:$AE$108),0)</f>
        <v>0</v>
      </c>
      <c r="Q677" s="1245">
        <f>IF(AND(P677&gt;0,O677&gt;0),O677-P677,0)</f>
        <v>0</v>
      </c>
      <c r="R677" s="699"/>
      <c r="S677" s="762"/>
      <c r="T677" s="765">
        <f t="shared" si="377"/>
        <v>0</v>
      </c>
      <c r="U677" s="700"/>
      <c r="V677" s="701"/>
      <c r="W677" s="701"/>
      <c r="X677" s="295">
        <f t="shared" si="372"/>
        <v>0</v>
      </c>
      <c r="Y677" s="296">
        <f>IF(AA677&gt;0,V677,AE677/IF(Iniciar!$C$25="B X 40 K",40,IF(Iniciar!$C$25="B X 50 K",50,1))*I677/1000)</f>
        <v>0</v>
      </c>
      <c r="Z677" s="296">
        <f t="shared" si="373"/>
        <v>0</v>
      </c>
      <c r="AA677" s="297">
        <f t="shared" ref="AA677:AA682" si="389">IF(I677&gt;0,V677*$A$1/I677,0)</f>
        <v>0</v>
      </c>
      <c r="AB677" s="297">
        <f t="shared" si="367"/>
        <v>0</v>
      </c>
      <c r="AC677" s="1261" t="str">
        <f>$AC$5</f>
        <v>Gr. Ave Dia :</v>
      </c>
      <c r="AD677" s="1262">
        <f>IF(SUMIF(V677:V683,"&gt;0")&gt;0,SUMPRODUCT(AA677:AA683,I677:I683)/SUMIF(AA677:AA683,"&gt;0",I677:I683),0)</f>
        <v>0</v>
      </c>
      <c r="AE677" s="1262">
        <f>IFERROR(LOOKUP($A677,TP!$A$6:$A$108,GSh!$AU$6:$AU$108),0)</f>
        <v>0</v>
      </c>
      <c r="AF677" s="1263">
        <f>IF(AND(AE677&gt;0,AD677&gt;0),(AD677/AE677-1)*100,0)</f>
        <v>0</v>
      </c>
      <c r="AG677" s="1264" t="str">
        <f>PROD!$AG$5</f>
        <v>Gr X H</v>
      </c>
      <c r="AH677" s="1265">
        <f>IF(PROD!O677&gt;0,IF($AG677="Gr X H",PROD!AD677/PROD!O677*100,IF($AG677="Conv Kg/Doc",PROD!AD677/PROD!O677*1.2,IF(PROD!$O679&gt;0,PROD!AD677/(PROD!O677*PROD!$O679)*100,0))),0)</f>
        <v>0</v>
      </c>
      <c r="AI677" s="1265">
        <f>IF(PROD!P677&gt;0,IF($AG677="Gr X H",PROD!AE677/PROD!P677*100,IF($AG677="Conv Kg/Doc",PROD!AE677/PROD!P677*1.2,IF(PROD!$P679&gt;0,PROD!AE677/(PROD!P677*PROD!$P679)*100,0))),0)</f>
        <v>0</v>
      </c>
      <c r="AJ677" s="1266">
        <f t="shared" si="387"/>
        <v>0</v>
      </c>
      <c r="AK677" s="2026"/>
      <c r="AL677" s="1284">
        <f t="shared" si="368"/>
        <v>0</v>
      </c>
      <c r="AM677" s="1285"/>
      <c r="AN677" s="1285"/>
      <c r="AO677" s="1285"/>
      <c r="AP677" s="1285"/>
      <c r="AQ677" s="1285"/>
      <c r="AR677" s="1285"/>
      <c r="AS677" s="1286"/>
      <c r="AT677" s="1287"/>
      <c r="AU677" s="1288"/>
      <c r="AV677" s="1289"/>
      <c r="AW677" s="1290"/>
      <c r="AX677" s="1291"/>
      <c r="AY677" s="1291"/>
      <c r="AZ677" s="1292"/>
      <c r="BA677" s="1293"/>
      <c r="BB677" s="1294"/>
      <c r="BC677" s="1295"/>
      <c r="BD677" s="1296">
        <f>BD676+PROD!L677-BA677</f>
        <v>0</v>
      </c>
      <c r="BE677" s="2132">
        <f>IF(SUM(AM677:AZ683)&gt;0,(SUM(AM677:AM683)*$AM$2+SUM(AN677:AN683)*$AN$2+SUM(AO677:AO683)*$AO$2+SUM(AP677:AP683)*$AP$2+SUM(AQ677:AQ683)*$AQ$2+SUM(AR677:AR683)*$AR$2+SUM(AS677:AS683)*$AS$2+SUM(AW677:AW683)*$AW$2+SUM(AX677:AX683)*$AX$2+SUM(AY677:AY683)*$AY$2+SUM(AZ677:AZ683)*$AZ$2+SUM(AT677:AT683)*$AT$2+SUM(AU677:AU683)*$AU$2+SUM(AV677:AV683)*$AV$2)/SUM(AM677:AZ683),0)</f>
        <v>0</v>
      </c>
      <c r="BF677" s="507" t="e">
        <f t="shared" si="369"/>
        <v>#VALUE!</v>
      </c>
      <c r="BG677" s="277">
        <f>IF(SUM(L677:L683)&gt;0,A677,IF(SUM(V677:V683)&gt;0,A677,BG670))</f>
        <v>0</v>
      </c>
      <c r="BH677" s="1018">
        <f t="shared" si="370"/>
        <v>0</v>
      </c>
    </row>
    <row r="678" spans="1:60" ht="15" customHeight="1" x14ac:dyDescent="0.3">
      <c r="A678" s="2033"/>
      <c r="B678" s="287" t="str">
        <f t="shared" si="371"/>
        <v/>
      </c>
      <c r="C678" s="288" t="str">
        <f t="shared" si="366"/>
        <v/>
      </c>
      <c r="D678" s="691"/>
      <c r="E678" s="692"/>
      <c r="F678" s="693"/>
      <c r="G678" s="694"/>
      <c r="H678" s="695"/>
      <c r="I678" s="289">
        <f>I677-SUM($D678:F678)</f>
        <v>0</v>
      </c>
      <c r="J678" s="1234" t="str">
        <f>$J$6</f>
        <v>% Sel Sem :</v>
      </c>
      <c r="K678" s="1231">
        <f>IF(PROD!$K$2&gt;0,SUM(E677:E683)/PROD!$K$2,0)</f>
        <v>0</v>
      </c>
      <c r="L678" s="1246"/>
      <c r="M678" s="291">
        <f t="shared" si="388"/>
        <v>0</v>
      </c>
      <c r="N678" s="292" t="str">
        <f>$N$6</f>
        <v xml:space="preserve">H. Ave Alojada : </v>
      </c>
      <c r="O678" s="293">
        <f>IF(AND(PROD!$K$2&gt;0,O677&gt;0),SUM(L$5:L683)/PROD!$K$2,0)</f>
        <v>0</v>
      </c>
      <c r="P678" s="293">
        <f>IFERROR(LOOKUP($A677,TP!$A$6:$A$108,GSh!$AJ$6:$AJ$108),0)</f>
        <v>0</v>
      </c>
      <c r="Q678" s="294">
        <f>IF(AND(P678&gt;0,O678&gt;0),O678-P678,0)</f>
        <v>0</v>
      </c>
      <c r="R678" s="699"/>
      <c r="S678" s="762"/>
      <c r="T678" s="765">
        <f t="shared" si="377"/>
        <v>0</v>
      </c>
      <c r="U678" s="700"/>
      <c r="V678" s="701"/>
      <c r="W678" s="701"/>
      <c r="X678" s="295">
        <f t="shared" si="372"/>
        <v>0</v>
      </c>
      <c r="Y678" s="296">
        <f>IF(AA678&gt;0,V678,AE677/IF(Iniciar!$C$25="B X 40 K",40,IF(Iniciar!$C$25="B X 50 K",50,1))*I678/1000)</f>
        <v>0</v>
      </c>
      <c r="Z678" s="296">
        <f t="shared" si="373"/>
        <v>0</v>
      </c>
      <c r="AA678" s="297">
        <f t="shared" si="389"/>
        <v>0</v>
      </c>
      <c r="AB678" s="297">
        <f t="shared" si="367"/>
        <v>0</v>
      </c>
      <c r="AC678" s="1267" t="str">
        <f>$AC$6</f>
        <v>Gr. Ave Sem :</v>
      </c>
      <c r="AD678" s="284">
        <f>AD677*7</f>
        <v>0</v>
      </c>
      <c r="AE678" s="284">
        <f>AE677*7</f>
        <v>0</v>
      </c>
      <c r="AF678" s="285">
        <f>IF(AND(AE678&gt;0,AD678&gt;0),(AD678/AE678-1)*100,0)</f>
        <v>0</v>
      </c>
      <c r="AG678" s="1199" t="str">
        <f>PROD!$AG$6</f>
        <v>Gr X H Acm</v>
      </c>
      <c r="AH678" s="298">
        <f>IF(SUM(PROD!L677:L683)&gt;0,IF(PROD!$AG$5="Gr X H",SUM(PROD!V$5:V683)*PROD!$A$1/SUM(PROD!L$5:L683),IF($AG677="Conv Kg/Doc",(SUM(PROD!V$5:V683)*PROD!$A$1/1000)/(SUM(PROD!L$5:L683)/12),IF(PROD!$O679&gt;0,SUM(PROD!V$5:V683)*PROD!$A$1/(SUM(PROD!L$5:L683)*LOOKUP(PROD!A677,TP!$A$6:$A$108,GSh!$BB$6:$BB$108)),0))),0)</f>
        <v>0</v>
      </c>
      <c r="AI678" s="298">
        <f>IF(PROD!P677&gt;0,IF($AG677="Gr X H",PROD!AE677/PROD!P677*100,IF($AG677="Conv Kg/Doc",PROD!AE677/PROD!P677*1.2,IF(PROD!$P678&gt;0,PROD!AE679/(PROD!P678*LOOKUP(PROD!$A677,TP!$A$6:$A$108,GSh!$BC$6:$BC$108)/1000),0))),0)</f>
        <v>0</v>
      </c>
      <c r="AJ678" s="328">
        <f t="shared" si="387"/>
        <v>0</v>
      </c>
      <c r="AK678" s="2027"/>
      <c r="AL678" s="1284">
        <f t="shared" si="368"/>
        <v>0</v>
      </c>
      <c r="AM678" s="1285"/>
      <c r="AN678" s="1285"/>
      <c r="AO678" s="1285"/>
      <c r="AP678" s="1285"/>
      <c r="AQ678" s="1285"/>
      <c r="AR678" s="1285"/>
      <c r="AS678" s="1286"/>
      <c r="AT678" s="1287"/>
      <c r="AU678" s="1288"/>
      <c r="AV678" s="1289"/>
      <c r="AW678" s="1290"/>
      <c r="AX678" s="1291"/>
      <c r="AY678" s="1291"/>
      <c r="AZ678" s="1292"/>
      <c r="BA678" s="1293"/>
      <c r="BB678" s="1294"/>
      <c r="BC678" s="1295"/>
      <c r="BD678" s="1296">
        <f>BD677+PROD!L678-BA678</f>
        <v>0</v>
      </c>
      <c r="BE678" s="2133"/>
      <c r="BF678" s="507" t="e">
        <f t="shared" si="369"/>
        <v>#VALUE!</v>
      </c>
      <c r="BG678" s="329"/>
      <c r="BH678" s="1018">
        <f t="shared" si="370"/>
        <v>0</v>
      </c>
    </row>
    <row r="679" spans="1:60" ht="15" customHeight="1" x14ac:dyDescent="0.3">
      <c r="A679" s="2033"/>
      <c r="B679" s="287" t="str">
        <f t="shared" si="371"/>
        <v/>
      </c>
      <c r="C679" s="288" t="str">
        <f t="shared" si="366"/>
        <v/>
      </c>
      <c r="D679" s="691"/>
      <c r="E679" s="692"/>
      <c r="F679" s="693"/>
      <c r="G679" s="694"/>
      <c r="H679" s="695"/>
      <c r="I679" s="289">
        <f>I678-SUM($D679:F679)</f>
        <v>0</v>
      </c>
      <c r="J679" s="1235" t="str">
        <f>$J$7</f>
        <v>% Mort/Sel Sem Tab :</v>
      </c>
      <c r="K679" s="1236">
        <f>K682-K675</f>
        <v>0</v>
      </c>
      <c r="L679" s="1246"/>
      <c r="M679" s="291">
        <f t="shared" si="388"/>
        <v>0</v>
      </c>
      <c r="N679" s="304" t="str">
        <f>$N$7</f>
        <v xml:space="preserve">Peso Huevo (Gr) : </v>
      </c>
      <c r="O679" s="305">
        <f>LOOKUP($A677,'Pr-Sem'!$A$6:$A$108,'Pr-Sem'!$Z$6:$Z$108)</f>
        <v>0</v>
      </c>
      <c r="P679" s="305">
        <f>IFERROR(LOOKUP($A677,TP!$A$6:$A$108,GSh!$AZ$6:$AZ$108),0)</f>
        <v>0</v>
      </c>
      <c r="Q679" s="306">
        <f>IF(AND(P679&gt;0,O679&gt;0),O679-P679,0)</f>
        <v>0</v>
      </c>
      <c r="R679" s="699"/>
      <c r="S679" s="762"/>
      <c r="T679" s="765">
        <f t="shared" si="377"/>
        <v>0</v>
      </c>
      <c r="U679" s="700"/>
      <c r="V679" s="701"/>
      <c r="W679" s="701"/>
      <c r="X679" s="295">
        <f t="shared" si="372"/>
        <v>0</v>
      </c>
      <c r="Y679" s="296">
        <f>IF(AA679&gt;0,V679,AE677/IF(Iniciar!$C$25="B X 40 K",40,IF(Iniciar!$C$25="B X 50 K",50,1))*I679/1000)</f>
        <v>0</v>
      </c>
      <c r="Z679" s="296">
        <f t="shared" si="373"/>
        <v>0</v>
      </c>
      <c r="AA679" s="297">
        <f t="shared" si="389"/>
        <v>0</v>
      </c>
      <c r="AB679" s="297">
        <f t="shared" si="367"/>
        <v>0</v>
      </c>
      <c r="AC679" s="1268" t="str">
        <f>$AC$7</f>
        <v>Kg Ave Acu :</v>
      </c>
      <c r="AD679" s="308">
        <f>IF(OR(SUM(L677:L683)&gt;0,SUM(V677:V683)&gt;0),AD678/1000+AD672,0)</f>
        <v>0</v>
      </c>
      <c r="AE679" s="309">
        <f>AE678/1000+AE672</f>
        <v>0</v>
      </c>
      <c r="AF679" s="310">
        <f>IF(AND(AE679&gt;0,AD679&gt;0),(AD679/AE679-1)*100,0)</f>
        <v>0</v>
      </c>
      <c r="AG679" s="311" t="str">
        <f>PROD!$AG$7</f>
        <v xml:space="preserve">Masa Sem H (Gr) : </v>
      </c>
      <c r="AH679" s="312">
        <f>PROD!O677/100*7*PROD!O679</f>
        <v>0</v>
      </c>
      <c r="AI679" s="312">
        <f>PROD!P677/100*7*PROD!P679</f>
        <v>0</v>
      </c>
      <c r="AJ679" s="313">
        <f t="shared" si="387"/>
        <v>0</v>
      </c>
      <c r="AK679" s="2027"/>
      <c r="AL679" s="1284">
        <f t="shared" si="368"/>
        <v>0</v>
      </c>
      <c r="AM679" s="1285"/>
      <c r="AN679" s="1285"/>
      <c r="AO679" s="1285"/>
      <c r="AP679" s="1285"/>
      <c r="AQ679" s="1285"/>
      <c r="AR679" s="1285"/>
      <c r="AS679" s="1286"/>
      <c r="AT679" s="1287"/>
      <c r="AU679" s="1288"/>
      <c r="AV679" s="1289"/>
      <c r="AW679" s="1290"/>
      <c r="AX679" s="1291"/>
      <c r="AY679" s="1291"/>
      <c r="AZ679" s="1292"/>
      <c r="BA679" s="1293"/>
      <c r="BB679" s="1294"/>
      <c r="BC679" s="1295"/>
      <c r="BD679" s="1296">
        <f>BD678+PROD!L679-BA679</f>
        <v>0</v>
      </c>
      <c r="BE679" s="2133"/>
      <c r="BF679" s="507" t="e">
        <f t="shared" si="369"/>
        <v>#VALUE!</v>
      </c>
      <c r="BG679" s="329"/>
      <c r="BH679" s="1018">
        <f t="shared" si="370"/>
        <v>0</v>
      </c>
    </row>
    <row r="680" spans="1:60" ht="15" customHeight="1" x14ac:dyDescent="0.3">
      <c r="A680" s="2033"/>
      <c r="B680" s="287" t="str">
        <f t="shared" si="371"/>
        <v/>
      </c>
      <c r="C680" s="288" t="str">
        <f t="shared" si="366"/>
        <v/>
      </c>
      <c r="D680" s="691"/>
      <c r="E680" s="692"/>
      <c r="F680" s="693"/>
      <c r="G680" s="694"/>
      <c r="H680" s="695"/>
      <c r="I680" s="289">
        <f>I679-SUM($D680:F680)</f>
        <v>0</v>
      </c>
      <c r="J680" s="1234" t="str">
        <f>$J$8</f>
        <v>% Mort Acm :</v>
      </c>
      <c r="K680" s="1231">
        <f>IF(PROD!$K$2&gt;0,SUM(D$5:D683)/PROD!$K$2,0)</f>
        <v>0</v>
      </c>
      <c r="L680" s="1246"/>
      <c r="M680" s="291">
        <f t="shared" si="388"/>
        <v>0</v>
      </c>
      <c r="N680" s="314" t="str">
        <f>N$8</f>
        <v xml:space="preserve">Peso Ave (Gr) : </v>
      </c>
      <c r="O680" s="315">
        <f>LOOKUP($A677,GSh!$BV$6:$BV$108,GSh!$BJ$6:$BJ$108)</f>
        <v>0</v>
      </c>
      <c r="P680" s="315">
        <f>IFERROR(LOOKUP($A677,TP!$A$6:$A$108,GSh!$BK$6:$BK$108),0)</f>
        <v>0</v>
      </c>
      <c r="Q680" s="316">
        <f>IF(AND(P680&gt;0,O680&gt;0),(O680/P680-1)*100,0)</f>
        <v>0</v>
      </c>
      <c r="R680" s="699"/>
      <c r="S680" s="762"/>
      <c r="T680" s="765">
        <f t="shared" si="377"/>
        <v>0</v>
      </c>
      <c r="U680" s="700"/>
      <c r="V680" s="701"/>
      <c r="W680" s="701"/>
      <c r="X680" s="295">
        <f t="shared" si="372"/>
        <v>0</v>
      </c>
      <c r="Y680" s="296">
        <f>IF(AA680&gt;0,V680,AE677/IF(Iniciar!$C$25="B X 40 K",40,IF(Iniciar!$C$25="B X 50 K",50,1))*I680/1000)</f>
        <v>0</v>
      </c>
      <c r="Z680" s="296">
        <f t="shared" si="373"/>
        <v>0</v>
      </c>
      <c r="AA680" s="297">
        <f t="shared" si="389"/>
        <v>0</v>
      </c>
      <c r="AB680" s="297">
        <f t="shared" si="367"/>
        <v>0</v>
      </c>
      <c r="AC680" s="541" t="str">
        <f>$AC$8</f>
        <v xml:space="preserve">Ton. Lote Acu : </v>
      </c>
      <c r="AD680" s="544">
        <f>SUM($V$5:$V683)*$A$1/1000000</f>
        <v>0</v>
      </c>
      <c r="AE680" s="543">
        <f>AE673+(AE677/1000000*7*(I677+I683)/2)</f>
        <v>0</v>
      </c>
      <c r="AF680" s="542">
        <f>IF(AND(AE680&gt;0,AD680&gt;0),(AD680/AE680-1)*100,0)</f>
        <v>0</v>
      </c>
      <c r="AG680" s="317" t="str">
        <f>PROD!$AG$8</f>
        <v xml:space="preserve">Masa Ac A. A (Kg) : </v>
      </c>
      <c r="AH680" s="318">
        <f>IF(PROD!$K$2&gt;0,SUM(PROD!L$5:L683)*LOOKUP(PROD!$A677,TP!$A$6:$A$108,GSh!$BB$6:$BB$108)/1000/PROD!$K$2,0)</f>
        <v>0</v>
      </c>
      <c r="AI680" s="318">
        <f>IFERROR(PROD!P678*LOOKUP(PROD!$A677,TP!$A$6:$A$108,GSh!$BC$6:$BC$108)/1000,0)</f>
        <v>0</v>
      </c>
      <c r="AJ680" s="330">
        <f t="shared" si="387"/>
        <v>0</v>
      </c>
      <c r="AK680" s="2027"/>
      <c r="AL680" s="1284">
        <f t="shared" si="368"/>
        <v>0</v>
      </c>
      <c r="AM680" s="1285"/>
      <c r="AN680" s="1285"/>
      <c r="AO680" s="1285"/>
      <c r="AP680" s="1285"/>
      <c r="AQ680" s="1285"/>
      <c r="AR680" s="1285"/>
      <c r="AS680" s="1286"/>
      <c r="AT680" s="1287"/>
      <c r="AU680" s="1288"/>
      <c r="AV680" s="1289"/>
      <c r="AW680" s="1290"/>
      <c r="AX680" s="1291"/>
      <c r="AY680" s="1291"/>
      <c r="AZ680" s="1292"/>
      <c r="BA680" s="1293"/>
      <c r="BB680" s="1294"/>
      <c r="BC680" s="1295"/>
      <c r="BD680" s="1296">
        <f>BD679+PROD!L680-BA680</f>
        <v>0</v>
      </c>
      <c r="BE680" s="2133"/>
      <c r="BF680" s="507" t="e">
        <f t="shared" si="369"/>
        <v>#VALUE!</v>
      </c>
      <c r="BG680" s="329"/>
      <c r="BH680" s="1018">
        <f t="shared" si="370"/>
        <v>0</v>
      </c>
    </row>
    <row r="681" spans="1:60" ht="15" customHeight="1" x14ac:dyDescent="0.3">
      <c r="A681" s="2033"/>
      <c r="B681" s="287" t="str">
        <f t="shared" si="371"/>
        <v/>
      </c>
      <c r="C681" s="288" t="str">
        <f t="shared" si="366"/>
        <v/>
      </c>
      <c r="D681" s="691"/>
      <c r="E681" s="692"/>
      <c r="F681" s="693"/>
      <c r="G681" s="694"/>
      <c r="H681" s="695"/>
      <c r="I681" s="289">
        <f>I680-SUM($D681:F681)</f>
        <v>0</v>
      </c>
      <c r="J681" s="1234" t="str">
        <f>$J$9</f>
        <v>% Sel Acm :</v>
      </c>
      <c r="K681" s="1231">
        <f>IF(PROD!$K$2&gt;0,SUM(E$5:E683)/PROD!$K$2,0)</f>
        <v>0</v>
      </c>
      <c r="L681" s="1246"/>
      <c r="M681" s="291">
        <f t="shared" si="388"/>
        <v>0</v>
      </c>
      <c r="N681" s="292" t="str">
        <f>$N$9</f>
        <v xml:space="preserve">Uniformidad (10% -) : </v>
      </c>
      <c r="O681" s="320">
        <f>LOOKUP($A677,'Pr-Sem'!$A$6:$A$108,'Pr-Sem'!$AH$6:$AH$108)</f>
        <v>0</v>
      </c>
      <c r="P681" s="320">
        <v>5</v>
      </c>
      <c r="Q681" s="321">
        <f>IF(AND(P681&gt;0,O681&gt;0),(1-O681/P681)*100,0)</f>
        <v>0</v>
      </c>
      <c r="R681" s="699"/>
      <c r="S681" s="762"/>
      <c r="T681" s="765">
        <f t="shared" si="377"/>
        <v>0</v>
      </c>
      <c r="U681" s="700"/>
      <c r="V681" s="701"/>
      <c r="W681" s="701"/>
      <c r="X681" s="295">
        <f t="shared" si="372"/>
        <v>0</v>
      </c>
      <c r="Y681" s="296">
        <f>IF(AA681&gt;0,V681,AE677/IF(Iniciar!$C$25="B X 40 K",40,IF(Iniciar!$C$25="B X 50 K",50,1))*I681/1000)</f>
        <v>0</v>
      </c>
      <c r="Z681" s="296">
        <f t="shared" si="373"/>
        <v>0</v>
      </c>
      <c r="AA681" s="297">
        <f t="shared" si="389"/>
        <v>0</v>
      </c>
      <c r="AB681" s="297">
        <f t="shared" si="367"/>
        <v>0</v>
      </c>
      <c r="AC681" s="2035" t="str">
        <f>$AC$9</f>
        <v xml:space="preserve">Total Litros Sem: </v>
      </c>
      <c r="AD681" s="2036"/>
      <c r="AE681" s="2050">
        <f>SUM(R677:R683)</f>
        <v>0</v>
      </c>
      <c r="AF681" s="2051"/>
      <c r="AG681" s="554" t="str">
        <f>$AG$9</f>
        <v xml:space="preserve">Indicador Eficiencia : </v>
      </c>
      <c r="AH681" s="555">
        <f>IF(AND(AE681&gt;0,O678&gt;0,O679&gt;0,SUM(L677:L683)&gt;0),(PROD!AH680/O678)*K683*100/(AE681/(SUM(L677:L683)*O679/1000)),0)</f>
        <v>0</v>
      </c>
      <c r="AI681" s="555">
        <f>IF(AND(P678&gt;0,PROD!AI679&gt;0),(PROD!AI680/P678)*(1-K682)*100/(AE678/PROD!AI679),0)</f>
        <v>0</v>
      </c>
      <c r="AJ681" s="331">
        <f t="shared" si="387"/>
        <v>0</v>
      </c>
      <c r="AK681" s="2027"/>
      <c r="AL681" s="1284">
        <f t="shared" si="368"/>
        <v>0</v>
      </c>
      <c r="AM681" s="1285"/>
      <c r="AN681" s="1285"/>
      <c r="AO681" s="1285"/>
      <c r="AP681" s="1285"/>
      <c r="AQ681" s="1285"/>
      <c r="AR681" s="1285"/>
      <c r="AS681" s="1286"/>
      <c r="AT681" s="1287"/>
      <c r="AU681" s="1288"/>
      <c r="AV681" s="1289"/>
      <c r="AW681" s="1290"/>
      <c r="AX681" s="1291"/>
      <c r="AY681" s="1291"/>
      <c r="AZ681" s="1292"/>
      <c r="BA681" s="1293"/>
      <c r="BB681" s="1294"/>
      <c r="BC681" s="1295"/>
      <c r="BD681" s="1296">
        <f>BD680+PROD!L681-BA681</f>
        <v>0</v>
      </c>
      <c r="BE681" s="2133"/>
      <c r="BF681" s="507" t="e">
        <f t="shared" si="369"/>
        <v>#VALUE!</v>
      </c>
      <c r="BG681" s="329"/>
      <c r="BH681" s="1018">
        <f t="shared" si="370"/>
        <v>0</v>
      </c>
    </row>
    <row r="682" spans="1:60" ht="15" customHeight="1" x14ac:dyDescent="0.3">
      <c r="A682" s="2033"/>
      <c r="B682" s="287" t="str">
        <f t="shared" si="371"/>
        <v/>
      </c>
      <c r="C682" s="288" t="str">
        <f t="shared" si="366"/>
        <v/>
      </c>
      <c r="D682" s="691"/>
      <c r="E682" s="692"/>
      <c r="F682" s="693"/>
      <c r="G682" s="694"/>
      <c r="H682" s="695"/>
      <c r="I682" s="289">
        <f>I681-SUM($D682:F682)</f>
        <v>0</v>
      </c>
      <c r="J682" s="1237" t="str">
        <f>$J$10</f>
        <v>% Mort/Sel Acm Tab :</v>
      </c>
      <c r="K682" s="1238">
        <f>IFERROR(LOOKUP($A677,TP!$A$6:$A$108,GSh!$AR$6:$AR$108)/100,0)</f>
        <v>0</v>
      </c>
      <c r="L682" s="1246"/>
      <c r="M682" s="291">
        <f t="shared" si="388"/>
        <v>0</v>
      </c>
      <c r="N682" s="292" t="str">
        <f>$N$10</f>
        <v xml:space="preserve">Uniformidad (C. Lote) : </v>
      </c>
      <c r="O682" s="320">
        <f>LOOKUP($A677,'Pr-Sem'!$A$6:$A$108,'Pr-Sem'!$AG$6:$AG$108)</f>
        <v>0</v>
      </c>
      <c r="P682" s="320">
        <v>90</v>
      </c>
      <c r="Q682" s="321">
        <f>IF(AND(P682&gt;0,O682&gt;0),(O682/P682-1)*100,0)</f>
        <v>0</v>
      </c>
      <c r="R682" s="699"/>
      <c r="S682" s="762"/>
      <c r="T682" s="765">
        <f t="shared" si="377"/>
        <v>0</v>
      </c>
      <c r="U682" s="700"/>
      <c r="V682" s="701"/>
      <c r="W682" s="701"/>
      <c r="X682" s="295">
        <f t="shared" si="372"/>
        <v>0</v>
      </c>
      <c r="Y682" s="296">
        <f>IF(AA682&gt;0,V682,AE677/IF(Iniciar!$C$25="B X 40 K",40,IF(Iniciar!$C$25="B X 50 K",50,1))*I682/1000)</f>
        <v>0</v>
      </c>
      <c r="Z682" s="296">
        <f t="shared" si="373"/>
        <v>0</v>
      </c>
      <c r="AA682" s="297">
        <f t="shared" si="389"/>
        <v>0</v>
      </c>
      <c r="AB682" s="297">
        <f t="shared" si="367"/>
        <v>0</v>
      </c>
      <c r="AC682" s="2037" t="str">
        <f>$AC$10</f>
        <v xml:space="preserve">Cons ml /ave día: </v>
      </c>
      <c r="AD682" s="2038"/>
      <c r="AE682" s="2056">
        <f>IFERROR(SUMPRODUCT(AB677:AB683,I677:I683)/SUM(I677:I683),0)</f>
        <v>0</v>
      </c>
      <c r="AF682" s="2057"/>
      <c r="AG682" s="311" t="str">
        <f>CONCATENATE("Costo ",Iniciar!$C$25," : ")</f>
        <v xml:space="preserve">Costo Kilos : </v>
      </c>
      <c r="AH682" s="2043">
        <f>IFERROR(SUMPRODUCT(T677:T683,V677:V683)/SUMIF(T677:T683,"&gt;0",V677:V683),0)</f>
        <v>0</v>
      </c>
      <c r="AI682" s="2043"/>
      <c r="AJ682" s="313"/>
      <c r="AK682" s="2027"/>
      <c r="AL682" s="1284">
        <f t="shared" si="368"/>
        <v>0</v>
      </c>
      <c r="AM682" s="1285"/>
      <c r="AN682" s="1285"/>
      <c r="AO682" s="1285"/>
      <c r="AP682" s="1285"/>
      <c r="AQ682" s="1285"/>
      <c r="AR682" s="1285"/>
      <c r="AS682" s="1286"/>
      <c r="AT682" s="1287"/>
      <c r="AU682" s="1288"/>
      <c r="AV682" s="1289"/>
      <c r="AW682" s="1290"/>
      <c r="AX682" s="1291"/>
      <c r="AY682" s="1291"/>
      <c r="AZ682" s="1292"/>
      <c r="BA682" s="1293"/>
      <c r="BB682" s="1294"/>
      <c r="BC682" s="1295"/>
      <c r="BD682" s="1296">
        <f>BD681+PROD!L682-BA682</f>
        <v>0</v>
      </c>
      <c r="BE682" s="2133"/>
      <c r="BF682" s="507" t="e">
        <f t="shared" si="369"/>
        <v>#VALUE!</v>
      </c>
      <c r="BG682" s="329"/>
      <c r="BH682" s="1018">
        <f t="shared" si="370"/>
        <v>0</v>
      </c>
    </row>
    <row r="683" spans="1:60" ht="15" customHeight="1" x14ac:dyDescent="0.3">
      <c r="A683" s="2034"/>
      <c r="B683" s="287" t="str">
        <f t="shared" si="371"/>
        <v/>
      </c>
      <c r="C683" s="288" t="str">
        <f t="shared" si="366"/>
        <v/>
      </c>
      <c r="D683" s="691"/>
      <c r="E683" s="692"/>
      <c r="F683" s="693"/>
      <c r="G683" s="694"/>
      <c r="H683" s="695"/>
      <c r="I683" s="289">
        <f>I682-SUM($D683:F683)</f>
        <v>0</v>
      </c>
      <c r="J683" s="1239" t="str">
        <f>$J$11</f>
        <v>% Viabilidad :</v>
      </c>
      <c r="K683" s="1240">
        <f>IF(OR(SUM(L677:L683)&gt;0,SUM(V677:V683)&gt;0),1-(K680+K681),0)</f>
        <v>0</v>
      </c>
      <c r="L683" s="1247"/>
      <c r="M683" s="1248">
        <f>IF(I683&gt;0,(L683/IF(SUM(L677:L682)&gt;0,1,7))/I683,0)</f>
        <v>0</v>
      </c>
      <c r="N683" s="1249" t="str">
        <f>$N$11</f>
        <v xml:space="preserve">Uniformidad (10% +) : </v>
      </c>
      <c r="O683" s="1250">
        <f>IF(O681&gt;0,IF(O682&gt;0,100-SUM(O681:O682),0),0)</f>
        <v>0</v>
      </c>
      <c r="P683" s="1251">
        <f>100-SUM(P681:P682)</f>
        <v>5</v>
      </c>
      <c r="Q683" s="1252">
        <f>IF(AND(P683&gt;0,O683&gt;0),(O683/P683-1)*100,0)</f>
        <v>0</v>
      </c>
      <c r="R683" s="699"/>
      <c r="S683" s="762"/>
      <c r="T683" s="765">
        <f t="shared" si="377"/>
        <v>0</v>
      </c>
      <c r="U683" s="700"/>
      <c r="V683" s="701"/>
      <c r="W683" s="701"/>
      <c r="X683" s="295">
        <f t="shared" si="372"/>
        <v>0</v>
      </c>
      <c r="Y683" s="296">
        <f>IF(AA683&gt;0,V683,AE677/IF(Iniciar!$C$25="B X 40 K",40,IF(Iniciar!$C$25="B X 50 K",50,1))*I683/1000)</f>
        <v>0</v>
      </c>
      <c r="Z683" s="296">
        <f t="shared" si="373"/>
        <v>0</v>
      </c>
      <c r="AA683" s="297">
        <f>IF(I683&gt;0,(V683/IF(SUM(V677:V682)&gt;0,1,7))*$A$1/I683,0)</f>
        <v>0</v>
      </c>
      <c r="AB683" s="297">
        <f t="shared" si="367"/>
        <v>0</v>
      </c>
      <c r="AC683" s="2039" t="str">
        <f>$AC$11</f>
        <v xml:space="preserve">Relación Agua /Alimto: </v>
      </c>
      <c r="AD683" s="2040"/>
      <c r="AE683" s="2058">
        <f>IFERROR(AE682/AD677,0)</f>
        <v>0</v>
      </c>
      <c r="AF683" s="2059"/>
      <c r="AG683" s="1269" t="s">
        <v>237</v>
      </c>
      <c r="AH683" s="1270">
        <f>IF(SUM(L677:L683)&gt;0,AH682*SUM(V677:V683)/SUM(L677:L683),0)</f>
        <v>0</v>
      </c>
      <c r="AI683" s="1270">
        <f>IF(AND($A$1&gt;0,P677&gt;0),AH682/$A$1*(AE677/P677)*100,0)</f>
        <v>0</v>
      </c>
      <c r="AJ683" s="1271">
        <f t="shared" ref="AJ683:AJ688" si="390">IF(AND(AI683&gt;0,AH683&gt;0),(AH683/AI683-1)*100,0)</f>
        <v>0</v>
      </c>
      <c r="AK683" s="2028"/>
      <c r="AL683" s="1284">
        <f t="shared" si="368"/>
        <v>0</v>
      </c>
      <c r="AM683" s="1285"/>
      <c r="AN683" s="1285"/>
      <c r="AO683" s="1285"/>
      <c r="AP683" s="1285"/>
      <c r="AQ683" s="1285"/>
      <c r="AR683" s="1285"/>
      <c r="AS683" s="1286"/>
      <c r="AT683" s="1287"/>
      <c r="AU683" s="1288"/>
      <c r="AV683" s="1289"/>
      <c r="AW683" s="1290"/>
      <c r="AX683" s="1291"/>
      <c r="AY683" s="1291"/>
      <c r="AZ683" s="1292"/>
      <c r="BA683" s="1293"/>
      <c r="BB683" s="1294"/>
      <c r="BC683" s="1295"/>
      <c r="BD683" s="1296">
        <f>BD682+PROD!L683-BA683</f>
        <v>0</v>
      </c>
      <c r="BE683" s="2134"/>
      <c r="BF683" s="507" t="e">
        <f t="shared" si="369"/>
        <v>#VALUE!</v>
      </c>
      <c r="BG683" s="329"/>
      <c r="BH683" s="1018">
        <f t="shared" si="370"/>
        <v>0</v>
      </c>
    </row>
    <row r="684" spans="1:60" ht="15" customHeight="1" x14ac:dyDescent="0.3">
      <c r="A684" s="2032">
        <f>A677+1</f>
        <v>115</v>
      </c>
      <c r="B684" s="287" t="str">
        <f t="shared" si="371"/>
        <v/>
      </c>
      <c r="C684" s="288" t="str">
        <f t="shared" si="366"/>
        <v/>
      </c>
      <c r="D684" s="691"/>
      <c r="E684" s="692"/>
      <c r="F684" s="693"/>
      <c r="G684" s="694"/>
      <c r="H684" s="695"/>
      <c r="I684" s="289">
        <f>I683-SUM($D684:F684)</f>
        <v>0</v>
      </c>
      <c r="J684" s="1232" t="str">
        <f>$J$5</f>
        <v>% Mort Sem :</v>
      </c>
      <c r="K684" s="1233">
        <f>IF(PROD!$K$2&gt;0,SUM(D684:D690)/PROD!$K$2,0)</f>
        <v>0</v>
      </c>
      <c r="L684" s="1241"/>
      <c r="M684" s="1242">
        <f t="shared" ref="M684:M689" si="391">IF(I684&gt;0,L684/I684,0)</f>
        <v>0</v>
      </c>
      <c r="N684" s="1243" t="str">
        <f>$N$5</f>
        <v xml:space="preserve">% Pdn prom semana : </v>
      </c>
      <c r="O684" s="1244">
        <f>IF(SUM(L684:L689)&gt;0,100*SUMPRODUCT(M684:M690,I684:I690)/SUMIF(L684:L690,"&gt;0",I684:I690),IF(L690&gt;0,100*L690/7/I690,0))</f>
        <v>0</v>
      </c>
      <c r="P684" s="1244">
        <f>IFERROR(LOOKUP($A684,TP!$A$6:$A$108,GSh!$AE$6:$AE$108),0)</f>
        <v>0</v>
      </c>
      <c r="Q684" s="1245">
        <f>IF(AND(P684&gt;0,O684&gt;0),O684-P684,0)</f>
        <v>0</v>
      </c>
      <c r="R684" s="699"/>
      <c r="S684" s="762"/>
      <c r="T684" s="765">
        <f t="shared" si="377"/>
        <v>0</v>
      </c>
      <c r="U684" s="700"/>
      <c r="V684" s="701"/>
      <c r="W684" s="701"/>
      <c r="X684" s="295">
        <f t="shared" si="372"/>
        <v>0</v>
      </c>
      <c r="Y684" s="296">
        <f>IF(AA684&gt;0,V684,AE684/IF(Iniciar!$C$25="B X 40 K",40,IF(Iniciar!$C$25="B X 50 K",50,1))*I684/1000)</f>
        <v>0</v>
      </c>
      <c r="Z684" s="296">
        <f t="shared" si="373"/>
        <v>0</v>
      </c>
      <c r="AA684" s="297">
        <f t="shared" ref="AA684:AA689" si="392">IF(I684&gt;0,V684*$A$1/I684,0)</f>
        <v>0</v>
      </c>
      <c r="AB684" s="297">
        <f t="shared" si="367"/>
        <v>0</v>
      </c>
      <c r="AC684" s="1261" t="str">
        <f>$AC$5</f>
        <v>Gr. Ave Dia :</v>
      </c>
      <c r="AD684" s="1262">
        <f>IF(SUMIF(V684:V690,"&gt;0")&gt;0,SUMPRODUCT(AA684:AA690,I684:I690)/SUMIF(AA684:AA690,"&gt;0",I684:I690),0)</f>
        <v>0</v>
      </c>
      <c r="AE684" s="1262">
        <f>IFERROR(LOOKUP($A684,TP!$A$6:$A$108,GSh!$AU$6:$AU$108),0)</f>
        <v>0</v>
      </c>
      <c r="AF684" s="1263">
        <f>IF(AND(AE684&gt;0,AD684&gt;0),(AD684/AE684-1)*100,0)</f>
        <v>0</v>
      </c>
      <c r="AG684" s="1264" t="str">
        <f>PROD!$AG$5</f>
        <v>Gr X H</v>
      </c>
      <c r="AH684" s="1265">
        <f>IF(PROD!O684&gt;0,IF($AG684="Gr X H",PROD!AD684/PROD!O684*100,IF($AG684="Conv Kg/Doc",PROD!AD684/PROD!O684*1.2,IF(PROD!$O686&gt;0,PROD!AD684/(PROD!O684*PROD!$O686)*100,0))),0)</f>
        <v>0</v>
      </c>
      <c r="AI684" s="1265">
        <f>IF(PROD!P684&gt;0,IF($AG684="Gr X H",PROD!AE684/PROD!P684*100,IF($AG684="Conv Kg/Doc",PROD!AE684/PROD!P684*1.2,IF(PROD!$P686&gt;0,PROD!AE684/(PROD!P684*PROD!$P686)*100,0))),0)</f>
        <v>0</v>
      </c>
      <c r="AJ684" s="1266">
        <f t="shared" si="390"/>
        <v>0</v>
      </c>
      <c r="AK684" s="2026"/>
      <c r="AL684" s="1284">
        <f t="shared" si="368"/>
        <v>0</v>
      </c>
      <c r="AM684" s="1285"/>
      <c r="AN684" s="1285"/>
      <c r="AO684" s="1285"/>
      <c r="AP684" s="1285"/>
      <c r="AQ684" s="1285"/>
      <c r="AR684" s="1285"/>
      <c r="AS684" s="1286"/>
      <c r="AT684" s="1287"/>
      <c r="AU684" s="1288"/>
      <c r="AV684" s="1289"/>
      <c r="AW684" s="1290"/>
      <c r="AX684" s="1291"/>
      <c r="AY684" s="1291"/>
      <c r="AZ684" s="1292"/>
      <c r="BA684" s="1293"/>
      <c r="BB684" s="1294"/>
      <c r="BC684" s="1295"/>
      <c r="BD684" s="1296">
        <f>BD683+PROD!L684-BA684</f>
        <v>0</v>
      </c>
      <c r="BE684" s="2132">
        <f>IF(SUM(AM684:AZ690)&gt;0,(SUM(AM684:AM690)*$AM$2+SUM(AN684:AN690)*$AN$2+SUM(AO684:AO690)*$AO$2+SUM(AP684:AP690)*$AP$2+SUM(AQ684:AQ690)*$AQ$2+SUM(AR684:AR690)*$AR$2+SUM(AS684:AS690)*$AS$2+SUM(AW684:AW690)*$AW$2+SUM(AX684:AX690)*$AX$2+SUM(AY684:AY690)*$AY$2+SUM(AZ684:AZ690)*$AZ$2+SUM(AT684:AT690)*$AT$2+SUM(AU684:AU690)*$AU$2+SUM(AV684:AV690)*$AV$2)/SUM(AM684:AZ690),0)</f>
        <v>0</v>
      </c>
      <c r="BF684" s="507" t="e">
        <f t="shared" si="369"/>
        <v>#VALUE!</v>
      </c>
      <c r="BG684" s="277">
        <f>IF(SUM(L684:L690)&gt;0,A684,IF(SUM(V684:V690)&gt;0,A684,BG677))</f>
        <v>0</v>
      </c>
      <c r="BH684" s="1018">
        <f t="shared" si="370"/>
        <v>0</v>
      </c>
    </row>
    <row r="685" spans="1:60" ht="15" customHeight="1" x14ac:dyDescent="0.3">
      <c r="A685" s="2033"/>
      <c r="B685" s="287" t="str">
        <f t="shared" si="371"/>
        <v/>
      </c>
      <c r="C685" s="288" t="str">
        <f t="shared" si="366"/>
        <v/>
      </c>
      <c r="D685" s="691"/>
      <c r="E685" s="692"/>
      <c r="F685" s="693"/>
      <c r="G685" s="694"/>
      <c r="H685" s="695"/>
      <c r="I685" s="289">
        <f>I684-SUM($D685:F685)</f>
        <v>0</v>
      </c>
      <c r="J685" s="1234" t="str">
        <f>$J$6</f>
        <v>% Sel Sem :</v>
      </c>
      <c r="K685" s="1231">
        <f>IF(PROD!$K$2&gt;0,SUM(E684:E690)/PROD!$K$2,0)</f>
        <v>0</v>
      </c>
      <c r="L685" s="1246"/>
      <c r="M685" s="291">
        <f t="shared" si="391"/>
        <v>0</v>
      </c>
      <c r="N685" s="292" t="str">
        <f>$N$6</f>
        <v xml:space="preserve">H. Ave Alojada : </v>
      </c>
      <c r="O685" s="293">
        <f>IF(AND(PROD!$K$2&gt;0,O684&gt;0),SUM(L$5:L690)/PROD!$K$2,0)</f>
        <v>0</v>
      </c>
      <c r="P685" s="293">
        <f>IFERROR(LOOKUP($A684,TP!$A$6:$A$108,GSh!$AJ$6:$AJ$108),0)</f>
        <v>0</v>
      </c>
      <c r="Q685" s="294">
        <f>IF(AND(P685&gt;0,O685&gt;0),O685-P685,0)</f>
        <v>0</v>
      </c>
      <c r="R685" s="699"/>
      <c r="S685" s="762"/>
      <c r="T685" s="765">
        <f t="shared" si="377"/>
        <v>0</v>
      </c>
      <c r="U685" s="700"/>
      <c r="V685" s="701"/>
      <c r="W685" s="701"/>
      <c r="X685" s="295">
        <f t="shared" si="372"/>
        <v>0</v>
      </c>
      <c r="Y685" s="296">
        <f>IF(AA685&gt;0,V685,AE684/IF(Iniciar!$C$25="B X 40 K",40,IF(Iniciar!$C$25="B X 50 K",50,1))*I685/1000)</f>
        <v>0</v>
      </c>
      <c r="Z685" s="296">
        <f t="shared" si="373"/>
        <v>0</v>
      </c>
      <c r="AA685" s="297">
        <f t="shared" si="392"/>
        <v>0</v>
      </c>
      <c r="AB685" s="297">
        <f t="shared" si="367"/>
        <v>0</v>
      </c>
      <c r="AC685" s="1267" t="str">
        <f>$AC$6</f>
        <v>Gr. Ave Sem :</v>
      </c>
      <c r="AD685" s="284">
        <f>AD684*7</f>
        <v>0</v>
      </c>
      <c r="AE685" s="284">
        <f>AE684*7</f>
        <v>0</v>
      </c>
      <c r="AF685" s="285">
        <f>IF(AND(AE685&gt;0,AD685&gt;0),(AD685/AE685-1)*100,0)</f>
        <v>0</v>
      </c>
      <c r="AG685" s="1199" t="str">
        <f>PROD!$AG$6</f>
        <v>Gr X H Acm</v>
      </c>
      <c r="AH685" s="298">
        <f>IF(SUM(PROD!L684:L690)&gt;0,IF(PROD!$AG$5="Gr X H",SUM(PROD!V$5:V690)*PROD!$A$1/SUM(PROD!L$5:L690),IF($AG684="Conv Kg/Doc",(SUM(PROD!V$5:V690)*PROD!$A$1/1000)/(SUM(PROD!L$5:L690)/12),IF(PROD!$O686&gt;0,SUM(PROD!V$5:V690)*PROD!$A$1/(SUM(PROD!L$5:L690)*LOOKUP(PROD!A684,TP!$A$6:$A$108,GSh!$BB$6:$BB$108)),0))),0)</f>
        <v>0</v>
      </c>
      <c r="AI685" s="298">
        <f>IF(PROD!P684&gt;0,IF($AG684="Gr X H",PROD!AE684/PROD!P684*100,IF($AG684="Conv Kg/Doc",PROD!AE684/PROD!P684*1.2,IF(PROD!$P685&gt;0,PROD!AE686/(PROD!P685*LOOKUP(PROD!$A684,TP!$A$6:$A$108,GSh!$BC$6:$BC$108)/1000),0))),0)</f>
        <v>0</v>
      </c>
      <c r="AJ685" s="328">
        <f t="shared" si="390"/>
        <v>0</v>
      </c>
      <c r="AK685" s="2027"/>
      <c r="AL685" s="1284">
        <f t="shared" si="368"/>
        <v>0</v>
      </c>
      <c r="AM685" s="1285"/>
      <c r="AN685" s="1285"/>
      <c r="AO685" s="1285"/>
      <c r="AP685" s="1285"/>
      <c r="AQ685" s="1285"/>
      <c r="AR685" s="1285"/>
      <c r="AS685" s="1286"/>
      <c r="AT685" s="1287"/>
      <c r="AU685" s="1288"/>
      <c r="AV685" s="1289"/>
      <c r="AW685" s="1290"/>
      <c r="AX685" s="1291"/>
      <c r="AY685" s="1291"/>
      <c r="AZ685" s="1292"/>
      <c r="BA685" s="1293"/>
      <c r="BB685" s="1294"/>
      <c r="BC685" s="1295"/>
      <c r="BD685" s="1296">
        <f>BD684+PROD!L685-BA685</f>
        <v>0</v>
      </c>
      <c r="BE685" s="2133"/>
      <c r="BF685" s="507" t="e">
        <f t="shared" si="369"/>
        <v>#VALUE!</v>
      </c>
      <c r="BG685" s="329"/>
      <c r="BH685" s="1018">
        <f t="shared" si="370"/>
        <v>0</v>
      </c>
    </row>
    <row r="686" spans="1:60" ht="15" customHeight="1" x14ac:dyDescent="0.3">
      <c r="A686" s="2033"/>
      <c r="B686" s="287" t="str">
        <f t="shared" si="371"/>
        <v/>
      </c>
      <c r="C686" s="288" t="str">
        <f t="shared" si="366"/>
        <v/>
      </c>
      <c r="D686" s="691"/>
      <c r="E686" s="692"/>
      <c r="F686" s="693"/>
      <c r="G686" s="694"/>
      <c r="H686" s="695"/>
      <c r="I686" s="289">
        <f>I685-SUM($D686:F686)</f>
        <v>0</v>
      </c>
      <c r="J686" s="1235" t="str">
        <f>$J$7</f>
        <v>% Mort/Sel Sem Tab :</v>
      </c>
      <c r="K686" s="1236">
        <f>K689-K682</f>
        <v>0</v>
      </c>
      <c r="L686" s="1246"/>
      <c r="M686" s="291">
        <f t="shared" si="391"/>
        <v>0</v>
      </c>
      <c r="N686" s="304" t="str">
        <f>$N$7</f>
        <v xml:space="preserve">Peso Huevo (Gr) : </v>
      </c>
      <c r="O686" s="305">
        <f>LOOKUP($A684,'Pr-Sem'!$A$6:$A$108,'Pr-Sem'!$Z$6:$Z$108)</f>
        <v>0</v>
      </c>
      <c r="P686" s="305">
        <f>IFERROR(LOOKUP($A684,TP!$A$6:$A$108,GSh!$AZ$6:$AZ$108),0)</f>
        <v>0</v>
      </c>
      <c r="Q686" s="306">
        <f>IF(AND(P686&gt;0,O686&gt;0),O686-P686,0)</f>
        <v>0</v>
      </c>
      <c r="R686" s="699"/>
      <c r="S686" s="762"/>
      <c r="T686" s="765">
        <f t="shared" si="377"/>
        <v>0</v>
      </c>
      <c r="U686" s="700"/>
      <c r="V686" s="701"/>
      <c r="W686" s="701"/>
      <c r="X686" s="295">
        <f t="shared" si="372"/>
        <v>0</v>
      </c>
      <c r="Y686" s="296">
        <f>IF(AA686&gt;0,V686,AE684/IF(Iniciar!$C$25="B X 40 K",40,IF(Iniciar!$C$25="B X 50 K",50,1))*I686/1000)</f>
        <v>0</v>
      </c>
      <c r="Z686" s="296">
        <f t="shared" si="373"/>
        <v>0</v>
      </c>
      <c r="AA686" s="297">
        <f t="shared" si="392"/>
        <v>0</v>
      </c>
      <c r="AB686" s="297">
        <f t="shared" si="367"/>
        <v>0</v>
      </c>
      <c r="AC686" s="1268" t="str">
        <f>$AC$7</f>
        <v>Kg Ave Acu :</v>
      </c>
      <c r="AD686" s="308">
        <f>IF(OR(SUM(L684:L690)&gt;0,SUM(V684:V690)&gt;0),AD685/1000+AD679,0)</f>
        <v>0</v>
      </c>
      <c r="AE686" s="309">
        <f>AE685/1000+AE679</f>
        <v>0</v>
      </c>
      <c r="AF686" s="310">
        <f>IF(AND(AE686&gt;0,AD686&gt;0),(AD686/AE686-1)*100,0)</f>
        <v>0</v>
      </c>
      <c r="AG686" s="311" t="str">
        <f>PROD!$AG$7</f>
        <v xml:space="preserve">Masa Sem H (Gr) : </v>
      </c>
      <c r="AH686" s="312">
        <f>PROD!O684/100*7*PROD!O686</f>
        <v>0</v>
      </c>
      <c r="AI686" s="312">
        <f>PROD!P684/100*7*PROD!P686</f>
        <v>0</v>
      </c>
      <c r="AJ686" s="313">
        <f t="shared" si="390"/>
        <v>0</v>
      </c>
      <c r="AK686" s="2027"/>
      <c r="AL686" s="1284">
        <f t="shared" si="368"/>
        <v>0</v>
      </c>
      <c r="AM686" s="1285"/>
      <c r="AN686" s="1285"/>
      <c r="AO686" s="1285"/>
      <c r="AP686" s="1285"/>
      <c r="AQ686" s="1285"/>
      <c r="AR686" s="1285"/>
      <c r="AS686" s="1286"/>
      <c r="AT686" s="1287"/>
      <c r="AU686" s="1288"/>
      <c r="AV686" s="1289"/>
      <c r="AW686" s="1290"/>
      <c r="AX686" s="1291"/>
      <c r="AY686" s="1291"/>
      <c r="AZ686" s="1292"/>
      <c r="BA686" s="1293"/>
      <c r="BB686" s="1294"/>
      <c r="BC686" s="1295"/>
      <c r="BD686" s="1296">
        <f>BD685+PROD!L686-BA686</f>
        <v>0</v>
      </c>
      <c r="BE686" s="2133"/>
      <c r="BF686" s="507" t="e">
        <f t="shared" si="369"/>
        <v>#VALUE!</v>
      </c>
      <c r="BG686" s="329"/>
      <c r="BH686" s="1018">
        <f t="shared" si="370"/>
        <v>0</v>
      </c>
    </row>
    <row r="687" spans="1:60" ht="15" customHeight="1" x14ac:dyDescent="0.3">
      <c r="A687" s="2033"/>
      <c r="B687" s="287" t="str">
        <f t="shared" si="371"/>
        <v/>
      </c>
      <c r="C687" s="288" t="str">
        <f t="shared" si="366"/>
        <v/>
      </c>
      <c r="D687" s="691"/>
      <c r="E687" s="692"/>
      <c r="F687" s="693"/>
      <c r="G687" s="694"/>
      <c r="H687" s="695"/>
      <c r="I687" s="289">
        <f>I686-SUM($D687:F687)</f>
        <v>0</v>
      </c>
      <c r="J687" s="1234" t="str">
        <f>$J$8</f>
        <v>% Mort Acm :</v>
      </c>
      <c r="K687" s="1231">
        <f>IF(PROD!$K$2&gt;0,SUM(D$5:D690)/PROD!$K$2,0)</f>
        <v>0</v>
      </c>
      <c r="L687" s="1246"/>
      <c r="M687" s="291">
        <f t="shared" si="391"/>
        <v>0</v>
      </c>
      <c r="N687" s="314" t="str">
        <f>N$8</f>
        <v xml:space="preserve">Peso Ave (Gr) : </v>
      </c>
      <c r="O687" s="315">
        <f>LOOKUP($A684,GSh!$BV$6:$BV$108,GSh!$BJ$6:$BJ$108)</f>
        <v>0</v>
      </c>
      <c r="P687" s="315">
        <f>IFERROR(LOOKUP($A684,TP!$A$6:$A$108,GSh!$BK$6:$BK$108),0)</f>
        <v>0</v>
      </c>
      <c r="Q687" s="316">
        <f>IF(AND(P687&gt;0,O687&gt;0),(O687/P687-1)*100,0)</f>
        <v>0</v>
      </c>
      <c r="R687" s="699"/>
      <c r="S687" s="762"/>
      <c r="T687" s="765">
        <f t="shared" si="377"/>
        <v>0</v>
      </c>
      <c r="U687" s="700"/>
      <c r="V687" s="701"/>
      <c r="W687" s="701"/>
      <c r="X687" s="295">
        <f t="shared" si="372"/>
        <v>0</v>
      </c>
      <c r="Y687" s="296">
        <f>IF(AA687&gt;0,V687,AE684/IF(Iniciar!$C$25="B X 40 K",40,IF(Iniciar!$C$25="B X 50 K",50,1))*I687/1000)</f>
        <v>0</v>
      </c>
      <c r="Z687" s="296">
        <f t="shared" si="373"/>
        <v>0</v>
      </c>
      <c r="AA687" s="297">
        <f t="shared" si="392"/>
        <v>0</v>
      </c>
      <c r="AB687" s="297">
        <f t="shared" si="367"/>
        <v>0</v>
      </c>
      <c r="AC687" s="541" t="str">
        <f>$AC$8</f>
        <v xml:space="preserve">Ton. Lote Acu : </v>
      </c>
      <c r="AD687" s="544">
        <f>SUM($V$5:$V690)*$A$1/1000000</f>
        <v>0</v>
      </c>
      <c r="AE687" s="543">
        <f>AE680+(AE684/1000000*7*(I684+I690)/2)</f>
        <v>0</v>
      </c>
      <c r="AF687" s="542">
        <f>IF(AND(AE687&gt;0,AD687&gt;0),(AD687/AE687-1)*100,0)</f>
        <v>0</v>
      </c>
      <c r="AG687" s="317" t="str">
        <f>PROD!$AG$8</f>
        <v xml:space="preserve">Masa Ac A. A (Kg) : </v>
      </c>
      <c r="AH687" s="318">
        <f>IF(PROD!$K$2&gt;0,SUM(PROD!L$5:L690)*LOOKUP(PROD!$A684,TP!$A$6:$A$108,GSh!$BB$6:$BB$108)/1000/PROD!$K$2,0)</f>
        <v>0</v>
      </c>
      <c r="AI687" s="318">
        <f>IFERROR(PROD!P685*LOOKUP(PROD!$A684,TP!$A$6:$A$108,GSh!$BC$6:$BC$108)/1000,0)</f>
        <v>0</v>
      </c>
      <c r="AJ687" s="330">
        <f t="shared" si="390"/>
        <v>0</v>
      </c>
      <c r="AK687" s="2027"/>
      <c r="AL687" s="1284">
        <f t="shared" si="368"/>
        <v>0</v>
      </c>
      <c r="AM687" s="1285"/>
      <c r="AN687" s="1285"/>
      <c r="AO687" s="1285"/>
      <c r="AP687" s="1285"/>
      <c r="AQ687" s="1285"/>
      <c r="AR687" s="1285"/>
      <c r="AS687" s="1286"/>
      <c r="AT687" s="1287"/>
      <c r="AU687" s="1288"/>
      <c r="AV687" s="1289"/>
      <c r="AW687" s="1290"/>
      <c r="AX687" s="1291"/>
      <c r="AY687" s="1291"/>
      <c r="AZ687" s="1292"/>
      <c r="BA687" s="1293"/>
      <c r="BB687" s="1294"/>
      <c r="BC687" s="1295"/>
      <c r="BD687" s="1296">
        <f>BD686+PROD!L687-BA687</f>
        <v>0</v>
      </c>
      <c r="BE687" s="2133"/>
      <c r="BF687" s="507" t="e">
        <f t="shared" si="369"/>
        <v>#VALUE!</v>
      </c>
      <c r="BG687" s="329"/>
      <c r="BH687" s="1018">
        <f t="shared" si="370"/>
        <v>0</v>
      </c>
    </row>
    <row r="688" spans="1:60" ht="15" customHeight="1" x14ac:dyDescent="0.3">
      <c r="A688" s="2033"/>
      <c r="B688" s="287" t="str">
        <f t="shared" si="371"/>
        <v/>
      </c>
      <c r="C688" s="288" t="str">
        <f t="shared" si="366"/>
        <v/>
      </c>
      <c r="D688" s="691"/>
      <c r="E688" s="692"/>
      <c r="F688" s="693"/>
      <c r="G688" s="694"/>
      <c r="H688" s="695"/>
      <c r="I688" s="289">
        <f>I687-SUM($D688:F688)</f>
        <v>0</v>
      </c>
      <c r="J688" s="1234" t="str">
        <f>$J$9</f>
        <v>% Sel Acm :</v>
      </c>
      <c r="K688" s="1231">
        <f>IF(PROD!$K$2&gt;0,SUM(E$5:E690)/PROD!$K$2,0)</f>
        <v>0</v>
      </c>
      <c r="L688" s="1246"/>
      <c r="M688" s="291">
        <f t="shared" si="391"/>
        <v>0</v>
      </c>
      <c r="N688" s="292" t="str">
        <f>$N$9</f>
        <v xml:space="preserve">Uniformidad (10% -) : </v>
      </c>
      <c r="O688" s="320">
        <f>LOOKUP($A684,'Pr-Sem'!$A$6:$A$108,'Pr-Sem'!$AH$6:$AH$108)</f>
        <v>0</v>
      </c>
      <c r="P688" s="320">
        <v>5</v>
      </c>
      <c r="Q688" s="321">
        <f>IF(AND(P688&gt;0,O688&gt;0),(1-O688/P688)*100,0)</f>
        <v>0</v>
      </c>
      <c r="R688" s="699"/>
      <c r="S688" s="762"/>
      <c r="T688" s="765">
        <f t="shared" si="377"/>
        <v>0</v>
      </c>
      <c r="U688" s="700"/>
      <c r="V688" s="701"/>
      <c r="W688" s="701"/>
      <c r="X688" s="295">
        <f t="shared" si="372"/>
        <v>0</v>
      </c>
      <c r="Y688" s="296">
        <f>IF(AA688&gt;0,V688,AE684/IF(Iniciar!$C$25="B X 40 K",40,IF(Iniciar!$C$25="B X 50 K",50,1))*I688/1000)</f>
        <v>0</v>
      </c>
      <c r="Z688" s="296">
        <f t="shared" si="373"/>
        <v>0</v>
      </c>
      <c r="AA688" s="297">
        <f t="shared" si="392"/>
        <v>0</v>
      </c>
      <c r="AB688" s="297">
        <f t="shared" si="367"/>
        <v>0</v>
      </c>
      <c r="AC688" s="2035" t="str">
        <f>$AC$9</f>
        <v xml:space="preserve">Total Litros Sem: </v>
      </c>
      <c r="AD688" s="2036"/>
      <c r="AE688" s="2050">
        <f>SUM(R684:R690)</f>
        <v>0</v>
      </c>
      <c r="AF688" s="2051"/>
      <c r="AG688" s="554" t="str">
        <f>$AG$9</f>
        <v xml:space="preserve">Indicador Eficiencia : </v>
      </c>
      <c r="AH688" s="555">
        <f>IF(AND(AE688&gt;0,O685&gt;0,O686&gt;0,SUM(L684:L690)&gt;0),(PROD!AH687/O685)*K690*100/(AE688/(SUM(L684:L690)*O686/1000)),0)</f>
        <v>0</v>
      </c>
      <c r="AI688" s="555">
        <f>IF(AND(P685&gt;0,PROD!AI686&gt;0),(PROD!AI687/P685)*(1-K689)*100/(AE685/PROD!AI686),0)</f>
        <v>0</v>
      </c>
      <c r="AJ688" s="331">
        <f t="shared" si="390"/>
        <v>0</v>
      </c>
      <c r="AK688" s="2027"/>
      <c r="AL688" s="1284">
        <f t="shared" si="368"/>
        <v>0</v>
      </c>
      <c r="AM688" s="1285"/>
      <c r="AN688" s="1285"/>
      <c r="AO688" s="1285"/>
      <c r="AP688" s="1285"/>
      <c r="AQ688" s="1285"/>
      <c r="AR688" s="1285"/>
      <c r="AS688" s="1286"/>
      <c r="AT688" s="1287"/>
      <c r="AU688" s="1288"/>
      <c r="AV688" s="1289"/>
      <c r="AW688" s="1290"/>
      <c r="AX688" s="1291"/>
      <c r="AY688" s="1291"/>
      <c r="AZ688" s="1292"/>
      <c r="BA688" s="1293"/>
      <c r="BB688" s="1294"/>
      <c r="BC688" s="1295"/>
      <c r="BD688" s="1296">
        <f>BD687+PROD!L688-BA688</f>
        <v>0</v>
      </c>
      <c r="BE688" s="2133"/>
      <c r="BF688" s="507" t="e">
        <f t="shared" si="369"/>
        <v>#VALUE!</v>
      </c>
      <c r="BG688" s="329"/>
      <c r="BH688" s="1018">
        <f t="shared" si="370"/>
        <v>0</v>
      </c>
    </row>
    <row r="689" spans="1:60" ht="15" customHeight="1" x14ac:dyDescent="0.3">
      <c r="A689" s="2033"/>
      <c r="B689" s="287" t="str">
        <f t="shared" si="371"/>
        <v/>
      </c>
      <c r="C689" s="288" t="str">
        <f t="shared" si="366"/>
        <v/>
      </c>
      <c r="D689" s="691"/>
      <c r="E689" s="692"/>
      <c r="F689" s="693"/>
      <c r="G689" s="694"/>
      <c r="H689" s="695"/>
      <c r="I689" s="289">
        <f>I688-SUM($D689:F689)</f>
        <v>0</v>
      </c>
      <c r="J689" s="1237" t="str">
        <f>$J$10</f>
        <v>% Mort/Sel Acm Tab :</v>
      </c>
      <c r="K689" s="1238">
        <f>IFERROR(LOOKUP($A684,TP!$A$6:$A$108,GSh!$AR$6:$AR$108)/100,0)</f>
        <v>0</v>
      </c>
      <c r="L689" s="1246"/>
      <c r="M689" s="291">
        <f t="shared" si="391"/>
        <v>0</v>
      </c>
      <c r="N689" s="292" t="str">
        <f>$N$10</f>
        <v xml:space="preserve">Uniformidad (C. Lote) : </v>
      </c>
      <c r="O689" s="320">
        <f>LOOKUP($A684,'Pr-Sem'!$A$6:$A$108,'Pr-Sem'!$AG$6:$AG$108)</f>
        <v>0</v>
      </c>
      <c r="P689" s="320">
        <v>90</v>
      </c>
      <c r="Q689" s="321">
        <f>IF(AND(P689&gt;0,O689&gt;0),(O689/P689-1)*100,0)</f>
        <v>0</v>
      </c>
      <c r="R689" s="699"/>
      <c r="S689" s="762"/>
      <c r="T689" s="765">
        <f t="shared" si="377"/>
        <v>0</v>
      </c>
      <c r="U689" s="700"/>
      <c r="V689" s="701"/>
      <c r="W689" s="701"/>
      <c r="X689" s="295">
        <f t="shared" si="372"/>
        <v>0</v>
      </c>
      <c r="Y689" s="296">
        <f>IF(AA689&gt;0,V689,AE684/IF(Iniciar!$C$25="B X 40 K",40,IF(Iniciar!$C$25="B X 50 K",50,1))*I689/1000)</f>
        <v>0</v>
      </c>
      <c r="Z689" s="296">
        <f t="shared" si="373"/>
        <v>0</v>
      </c>
      <c r="AA689" s="297">
        <f t="shared" si="392"/>
        <v>0</v>
      </c>
      <c r="AB689" s="297">
        <f t="shared" si="367"/>
        <v>0</v>
      </c>
      <c r="AC689" s="2037" t="str">
        <f>$AC$10</f>
        <v xml:space="preserve">Cons ml /ave día: </v>
      </c>
      <c r="AD689" s="2038"/>
      <c r="AE689" s="2056">
        <f>IFERROR(SUMPRODUCT(AB684:AB690,I684:I690)/SUM(I684:I690),0)</f>
        <v>0</v>
      </c>
      <c r="AF689" s="2057"/>
      <c r="AG689" s="311" t="str">
        <f>CONCATENATE("Costo ",Iniciar!$C$25," : ")</f>
        <v xml:space="preserve">Costo Kilos : </v>
      </c>
      <c r="AH689" s="2043">
        <f>IFERROR(SUMPRODUCT(T684:T690,V684:V690)/SUMIF(T684:T690,"&gt;0",V684:V690),0)</f>
        <v>0</v>
      </c>
      <c r="AI689" s="2043"/>
      <c r="AJ689" s="313"/>
      <c r="AK689" s="2027"/>
      <c r="AL689" s="1284">
        <f t="shared" si="368"/>
        <v>0</v>
      </c>
      <c r="AM689" s="1285"/>
      <c r="AN689" s="1285"/>
      <c r="AO689" s="1285"/>
      <c r="AP689" s="1285"/>
      <c r="AQ689" s="1285"/>
      <c r="AR689" s="1285"/>
      <c r="AS689" s="1286"/>
      <c r="AT689" s="1287"/>
      <c r="AU689" s="1288"/>
      <c r="AV689" s="1289"/>
      <c r="AW689" s="1290"/>
      <c r="AX689" s="1291"/>
      <c r="AY689" s="1291"/>
      <c r="AZ689" s="1292"/>
      <c r="BA689" s="1293"/>
      <c r="BB689" s="1294"/>
      <c r="BC689" s="1295"/>
      <c r="BD689" s="1296">
        <f>BD688+PROD!L689-BA689</f>
        <v>0</v>
      </c>
      <c r="BE689" s="2133"/>
      <c r="BF689" s="507" t="e">
        <f t="shared" si="369"/>
        <v>#VALUE!</v>
      </c>
      <c r="BG689" s="329"/>
      <c r="BH689" s="1018">
        <f t="shared" si="370"/>
        <v>0</v>
      </c>
    </row>
    <row r="690" spans="1:60" ht="15" customHeight="1" x14ac:dyDescent="0.3">
      <c r="A690" s="2034"/>
      <c r="B690" s="287" t="str">
        <f t="shared" si="371"/>
        <v/>
      </c>
      <c r="C690" s="288" t="str">
        <f t="shared" si="366"/>
        <v/>
      </c>
      <c r="D690" s="691"/>
      <c r="E690" s="692"/>
      <c r="F690" s="693"/>
      <c r="G690" s="694"/>
      <c r="H690" s="695"/>
      <c r="I690" s="289">
        <f>I689-SUM($D690:F690)</f>
        <v>0</v>
      </c>
      <c r="J690" s="1239" t="str">
        <f>$J$11</f>
        <v>% Viabilidad :</v>
      </c>
      <c r="K690" s="1240">
        <f>IF(OR(SUM(L684:L690)&gt;0,SUM(V684:V690)&gt;0),1-(K687+K688),0)</f>
        <v>0</v>
      </c>
      <c r="L690" s="1247"/>
      <c r="M690" s="1248">
        <f>IF(I690&gt;0,(L690/IF(SUM(L684:L689)&gt;0,1,7))/I690,0)</f>
        <v>0</v>
      </c>
      <c r="N690" s="1249" t="str">
        <f>$N$11</f>
        <v xml:space="preserve">Uniformidad (10% +) : </v>
      </c>
      <c r="O690" s="1250">
        <f>IF(O688&gt;0,IF(O689&gt;0,100-SUM(O688:O689),0),0)</f>
        <v>0</v>
      </c>
      <c r="P690" s="1251">
        <f>100-SUM(P688:P689)</f>
        <v>5</v>
      </c>
      <c r="Q690" s="1252">
        <f>IF(AND(P690&gt;0,O690&gt;0),(O690/P690-1)*100,0)</f>
        <v>0</v>
      </c>
      <c r="R690" s="699"/>
      <c r="S690" s="762"/>
      <c r="T690" s="765">
        <f t="shared" si="377"/>
        <v>0</v>
      </c>
      <c r="U690" s="700"/>
      <c r="V690" s="701"/>
      <c r="W690" s="701"/>
      <c r="X690" s="295">
        <f t="shared" si="372"/>
        <v>0</v>
      </c>
      <c r="Y690" s="296">
        <f>IF(AA690&gt;0,V690,AE684/IF(Iniciar!$C$25="B X 40 K",40,IF(Iniciar!$C$25="B X 50 K",50,1))*I690/1000)</f>
        <v>0</v>
      </c>
      <c r="Z690" s="296">
        <f t="shared" si="373"/>
        <v>0</v>
      </c>
      <c r="AA690" s="297">
        <f>IF(I690&gt;0,(V690/IF(SUM(V684:V689)&gt;0,1,7))*$A$1/I690,0)</f>
        <v>0</v>
      </c>
      <c r="AB690" s="297">
        <f t="shared" si="367"/>
        <v>0</v>
      </c>
      <c r="AC690" s="2039" t="str">
        <f>$AC$11</f>
        <v xml:space="preserve">Relación Agua /Alimto: </v>
      </c>
      <c r="AD690" s="2040"/>
      <c r="AE690" s="2058">
        <f>IFERROR(AE689/AD684,0)</f>
        <v>0</v>
      </c>
      <c r="AF690" s="2059"/>
      <c r="AG690" s="1269" t="s">
        <v>237</v>
      </c>
      <c r="AH690" s="1270">
        <f>IF(SUM(L684:L690)&gt;0,AH689*SUM(V684:V690)/SUM(L684:L690),0)</f>
        <v>0</v>
      </c>
      <c r="AI690" s="1270">
        <f>IF(AND($A$1&gt;0,P684&gt;0),AH689/$A$1*(AE684/P684)*100,0)</f>
        <v>0</v>
      </c>
      <c r="AJ690" s="1271">
        <f t="shared" ref="AJ690:AJ695" si="393">IF(AND(AI690&gt;0,AH690&gt;0),(AH690/AI690-1)*100,0)</f>
        <v>0</v>
      </c>
      <c r="AK690" s="2028"/>
      <c r="AL690" s="1284">
        <f t="shared" si="368"/>
        <v>0</v>
      </c>
      <c r="AM690" s="1285"/>
      <c r="AN690" s="1285"/>
      <c r="AO690" s="1285"/>
      <c r="AP690" s="1285"/>
      <c r="AQ690" s="1285"/>
      <c r="AR690" s="1285"/>
      <c r="AS690" s="1286"/>
      <c r="AT690" s="1287"/>
      <c r="AU690" s="1288"/>
      <c r="AV690" s="1289"/>
      <c r="AW690" s="1290"/>
      <c r="AX690" s="1291"/>
      <c r="AY690" s="1291"/>
      <c r="AZ690" s="1292"/>
      <c r="BA690" s="1293"/>
      <c r="BB690" s="1294"/>
      <c r="BC690" s="1295"/>
      <c r="BD690" s="1296">
        <f>BD689+PROD!L690-BA690</f>
        <v>0</v>
      </c>
      <c r="BE690" s="2134"/>
      <c r="BF690" s="507" t="e">
        <f t="shared" si="369"/>
        <v>#VALUE!</v>
      </c>
      <c r="BG690" s="329"/>
      <c r="BH690" s="1018">
        <f t="shared" si="370"/>
        <v>0</v>
      </c>
    </row>
    <row r="691" spans="1:60" ht="15" customHeight="1" x14ac:dyDescent="0.3">
      <c r="A691" s="2032">
        <f>A684+1</f>
        <v>116</v>
      </c>
      <c r="B691" s="287" t="str">
        <f t="shared" si="371"/>
        <v/>
      </c>
      <c r="C691" s="288" t="str">
        <f t="shared" si="366"/>
        <v/>
      </c>
      <c r="D691" s="691"/>
      <c r="E691" s="692"/>
      <c r="F691" s="693"/>
      <c r="G691" s="694"/>
      <c r="H691" s="695"/>
      <c r="I691" s="289">
        <f>I690-SUM($D691:F691)</f>
        <v>0</v>
      </c>
      <c r="J691" s="1232" t="str">
        <f>$J$5</f>
        <v>% Mort Sem :</v>
      </c>
      <c r="K691" s="1233">
        <f>IF(PROD!$K$2&gt;0,SUM(D691:D697)/PROD!$K$2,0)</f>
        <v>0</v>
      </c>
      <c r="L691" s="1241"/>
      <c r="M691" s="1242">
        <f t="shared" ref="M691:M696" si="394">IF(I691&gt;0,L691/I691,0)</f>
        <v>0</v>
      </c>
      <c r="N691" s="1243" t="str">
        <f>$N$5</f>
        <v xml:space="preserve">% Pdn prom semana : </v>
      </c>
      <c r="O691" s="1244">
        <f>IF(SUM(L691:L696)&gt;0,100*SUMPRODUCT(M691:M697,I691:I697)/SUMIF(L691:L697,"&gt;0",I691:I697),IF(L697&gt;0,100*L697/7/I697,0))</f>
        <v>0</v>
      </c>
      <c r="P691" s="1244">
        <f>IFERROR(LOOKUP($A691,TP!$A$6:$A$108,GSh!$AE$6:$AE$108),0)</f>
        <v>0</v>
      </c>
      <c r="Q691" s="1245">
        <f>IF(AND(P691&gt;0,O691&gt;0),O691-P691,0)</f>
        <v>0</v>
      </c>
      <c r="R691" s="699"/>
      <c r="S691" s="762"/>
      <c r="T691" s="765">
        <f t="shared" si="377"/>
        <v>0</v>
      </c>
      <c r="U691" s="700"/>
      <c r="V691" s="701"/>
      <c r="W691" s="701"/>
      <c r="X691" s="295">
        <f t="shared" si="372"/>
        <v>0</v>
      </c>
      <c r="Y691" s="296">
        <f>IF(AA691&gt;0,V691,AE691/IF(Iniciar!$C$25="B X 40 K",40,IF(Iniciar!$C$25="B X 50 K",50,1))*I691/1000)</f>
        <v>0</v>
      </c>
      <c r="Z691" s="296">
        <f t="shared" si="373"/>
        <v>0</v>
      </c>
      <c r="AA691" s="297">
        <f t="shared" ref="AA691:AA696" si="395">IF(I691&gt;0,V691*$A$1/I691,0)</f>
        <v>0</v>
      </c>
      <c r="AB691" s="297">
        <f t="shared" si="367"/>
        <v>0</v>
      </c>
      <c r="AC691" s="1261" t="str">
        <f>$AC$5</f>
        <v>Gr. Ave Dia :</v>
      </c>
      <c r="AD691" s="1262">
        <f>IF(SUMIF(V691:V697,"&gt;0")&gt;0,SUMPRODUCT(AA691:AA697,I691:I697)/SUMIF(AA691:AA697,"&gt;0",I691:I697),0)</f>
        <v>0</v>
      </c>
      <c r="AE691" s="1262">
        <f>IFERROR(LOOKUP($A691,TP!$A$6:$A$108,GSh!$AU$6:$AU$108),0)</f>
        <v>0</v>
      </c>
      <c r="AF691" s="1263">
        <f>IF(AND(AE691&gt;0,AD691&gt;0),(AD691/AE691-1)*100,0)</f>
        <v>0</v>
      </c>
      <c r="AG691" s="1264" t="str">
        <f>PROD!$AG$5</f>
        <v>Gr X H</v>
      </c>
      <c r="AH691" s="1265">
        <f>IF(PROD!O691&gt;0,IF($AG691="Gr X H",PROD!AD691/PROD!O691*100,IF($AG691="Conv Kg/Doc",PROD!AD691/PROD!O691*1.2,IF(PROD!$O693&gt;0,PROD!AD691/(PROD!O691*PROD!$O693)*100,0))),0)</f>
        <v>0</v>
      </c>
      <c r="AI691" s="1265">
        <f>IF(PROD!P691&gt;0,IF($AG691="Gr X H",PROD!AE691/PROD!P691*100,IF($AG691="Conv Kg/Doc",PROD!AE691/PROD!P691*1.2,IF(PROD!$P693&gt;0,PROD!AE691/(PROD!P691*PROD!$P693)*100,0))),0)</f>
        <v>0</v>
      </c>
      <c r="AJ691" s="1266">
        <f t="shared" si="393"/>
        <v>0</v>
      </c>
      <c r="AK691" s="2026"/>
      <c r="AL691" s="1284">
        <f t="shared" si="368"/>
        <v>0</v>
      </c>
      <c r="AM691" s="1285"/>
      <c r="AN691" s="1285"/>
      <c r="AO691" s="1285"/>
      <c r="AP691" s="1285"/>
      <c r="AQ691" s="1285"/>
      <c r="AR691" s="1285"/>
      <c r="AS691" s="1286"/>
      <c r="AT691" s="1287"/>
      <c r="AU691" s="1288"/>
      <c r="AV691" s="1289"/>
      <c r="AW691" s="1290"/>
      <c r="AX691" s="1291"/>
      <c r="AY691" s="1291"/>
      <c r="AZ691" s="1292"/>
      <c r="BA691" s="1293"/>
      <c r="BB691" s="1294"/>
      <c r="BC691" s="1295"/>
      <c r="BD691" s="1296">
        <f>BD690+PROD!L691-BA691</f>
        <v>0</v>
      </c>
      <c r="BE691" s="2132">
        <f>IF(SUM(AM691:AZ697)&gt;0,(SUM(AM691:AM697)*$AM$2+SUM(AN691:AN697)*$AN$2+SUM(AO691:AO697)*$AO$2+SUM(AP691:AP697)*$AP$2+SUM(AQ691:AQ697)*$AQ$2+SUM(AR691:AR697)*$AR$2+SUM(AS691:AS697)*$AS$2+SUM(AW691:AW697)*$AW$2+SUM(AX691:AX697)*$AX$2+SUM(AY691:AY697)*$AY$2+SUM(AZ691:AZ697)*$AZ$2+SUM(AT691:AT697)*$AT$2+SUM(AU691:AU697)*$AU$2+SUM(AV691:AV697)*$AV$2)/SUM(AM691:AZ697),0)</f>
        <v>0</v>
      </c>
      <c r="BF691" s="507" t="e">
        <f t="shared" si="369"/>
        <v>#VALUE!</v>
      </c>
      <c r="BG691" s="277">
        <f>IF(SUM(L691:L697)&gt;0,A691,IF(SUM(V691:V697)&gt;0,A691,BG684))</f>
        <v>0</v>
      </c>
      <c r="BH691" s="1018">
        <f t="shared" si="370"/>
        <v>0</v>
      </c>
    </row>
    <row r="692" spans="1:60" ht="15" customHeight="1" x14ac:dyDescent="0.3">
      <c r="A692" s="2033"/>
      <c r="B692" s="287" t="str">
        <f t="shared" si="371"/>
        <v/>
      </c>
      <c r="C692" s="288" t="str">
        <f t="shared" si="366"/>
        <v/>
      </c>
      <c r="D692" s="691"/>
      <c r="E692" s="692"/>
      <c r="F692" s="693"/>
      <c r="G692" s="694"/>
      <c r="H692" s="695"/>
      <c r="I692" s="289">
        <f>I691-SUM($D692:F692)</f>
        <v>0</v>
      </c>
      <c r="J692" s="1234" t="str">
        <f>$J$6</f>
        <v>% Sel Sem :</v>
      </c>
      <c r="K692" s="1231">
        <f>IF(PROD!$K$2&gt;0,SUM(E691:E697)/PROD!$K$2,0)</f>
        <v>0</v>
      </c>
      <c r="L692" s="1246"/>
      <c r="M692" s="291">
        <f t="shared" si="394"/>
        <v>0</v>
      </c>
      <c r="N692" s="292" t="str">
        <f>$N$6</f>
        <v xml:space="preserve">H. Ave Alojada : </v>
      </c>
      <c r="O692" s="293">
        <f>IF(AND(PROD!$K$2&gt;0,O691&gt;0),SUM(L$5:L697)/PROD!$K$2,0)</f>
        <v>0</v>
      </c>
      <c r="P692" s="293">
        <f>IFERROR(LOOKUP($A691,TP!$A$6:$A$108,GSh!$AJ$6:$AJ$108),0)</f>
        <v>0</v>
      </c>
      <c r="Q692" s="294">
        <f>IF(AND(P692&gt;0,O692&gt;0),O692-P692,0)</f>
        <v>0</v>
      </c>
      <c r="R692" s="699"/>
      <c r="S692" s="762"/>
      <c r="T692" s="765">
        <f t="shared" si="377"/>
        <v>0</v>
      </c>
      <c r="U692" s="700"/>
      <c r="V692" s="701"/>
      <c r="W692" s="701"/>
      <c r="X692" s="295">
        <f t="shared" si="372"/>
        <v>0</v>
      </c>
      <c r="Y692" s="296">
        <f>IF(AA692&gt;0,V692,AE691/IF(Iniciar!$C$25="B X 40 K",40,IF(Iniciar!$C$25="B X 50 K",50,1))*I692/1000)</f>
        <v>0</v>
      </c>
      <c r="Z692" s="296">
        <f t="shared" si="373"/>
        <v>0</v>
      </c>
      <c r="AA692" s="297">
        <f t="shared" si="395"/>
        <v>0</v>
      </c>
      <c r="AB692" s="297">
        <f t="shared" si="367"/>
        <v>0</v>
      </c>
      <c r="AC692" s="1267" t="str">
        <f>$AC$6</f>
        <v>Gr. Ave Sem :</v>
      </c>
      <c r="AD692" s="284">
        <f>AD691*7</f>
        <v>0</v>
      </c>
      <c r="AE692" s="284">
        <f>AE691*7</f>
        <v>0</v>
      </c>
      <c r="AF692" s="285">
        <f>IF(AND(AE692&gt;0,AD692&gt;0),(AD692/AE692-1)*100,0)</f>
        <v>0</v>
      </c>
      <c r="AG692" s="1199" t="str">
        <f>PROD!$AG$6</f>
        <v>Gr X H Acm</v>
      </c>
      <c r="AH692" s="298">
        <f>IF(SUM(PROD!L691:L697)&gt;0,IF(PROD!$AG$5="Gr X H",SUM(PROD!V$5:V697)*PROD!$A$1/SUM(PROD!L$5:L697),IF($AG691="Conv Kg/Doc",(SUM(PROD!V$5:V697)*PROD!$A$1/1000)/(SUM(PROD!L$5:L697)/12),IF(PROD!$O693&gt;0,SUM(PROD!V$5:V697)*PROD!$A$1/(SUM(PROD!L$5:L697)*LOOKUP(PROD!A691,TP!$A$6:$A$108,GSh!$BB$6:$BB$108)),0))),0)</f>
        <v>0</v>
      </c>
      <c r="AI692" s="298">
        <f>IF(PROD!P691&gt;0,IF($AG691="Gr X H",PROD!AE691/PROD!P691*100,IF($AG691="Conv Kg/Doc",PROD!AE691/PROD!P691*1.2,IF(PROD!$P692&gt;0,PROD!AE693/(PROD!P692*LOOKUP(PROD!$A691,TP!$A$6:$A$108,GSh!$BC$6:$BC$108)/1000),0))),0)</f>
        <v>0</v>
      </c>
      <c r="AJ692" s="328">
        <f t="shared" si="393"/>
        <v>0</v>
      </c>
      <c r="AK692" s="2027"/>
      <c r="AL692" s="1284">
        <f t="shared" si="368"/>
        <v>0</v>
      </c>
      <c r="AM692" s="1285"/>
      <c r="AN692" s="1285"/>
      <c r="AO692" s="1285"/>
      <c r="AP692" s="1285"/>
      <c r="AQ692" s="1285"/>
      <c r="AR692" s="1285"/>
      <c r="AS692" s="1286"/>
      <c r="AT692" s="1287"/>
      <c r="AU692" s="1288"/>
      <c r="AV692" s="1289"/>
      <c r="AW692" s="1290"/>
      <c r="AX692" s="1291"/>
      <c r="AY692" s="1291"/>
      <c r="AZ692" s="1292"/>
      <c r="BA692" s="1293"/>
      <c r="BB692" s="1294"/>
      <c r="BC692" s="1295"/>
      <c r="BD692" s="1296">
        <f>BD691+PROD!L692-BA692</f>
        <v>0</v>
      </c>
      <c r="BE692" s="2133"/>
      <c r="BF692" s="507" t="e">
        <f t="shared" si="369"/>
        <v>#VALUE!</v>
      </c>
      <c r="BG692" s="329"/>
      <c r="BH692" s="1018">
        <f t="shared" si="370"/>
        <v>0</v>
      </c>
    </row>
    <row r="693" spans="1:60" ht="15" customHeight="1" x14ac:dyDescent="0.3">
      <c r="A693" s="2033"/>
      <c r="B693" s="287" t="str">
        <f t="shared" si="371"/>
        <v/>
      </c>
      <c r="C693" s="288" t="str">
        <f t="shared" si="366"/>
        <v/>
      </c>
      <c r="D693" s="691"/>
      <c r="E693" s="692"/>
      <c r="F693" s="693"/>
      <c r="G693" s="694"/>
      <c r="H693" s="695"/>
      <c r="I693" s="289">
        <f>I692-SUM($D693:F693)</f>
        <v>0</v>
      </c>
      <c r="J693" s="1235" t="str">
        <f>$J$7</f>
        <v>% Mort/Sel Sem Tab :</v>
      </c>
      <c r="K693" s="1236">
        <f>K696-K689</f>
        <v>0</v>
      </c>
      <c r="L693" s="1246"/>
      <c r="M693" s="291">
        <f t="shared" si="394"/>
        <v>0</v>
      </c>
      <c r="N693" s="304" t="str">
        <f>$N$7</f>
        <v xml:space="preserve">Peso Huevo (Gr) : </v>
      </c>
      <c r="O693" s="305">
        <f>LOOKUP($A691,'Pr-Sem'!$A$6:$A$108,'Pr-Sem'!$Z$6:$Z$108)</f>
        <v>0</v>
      </c>
      <c r="P693" s="305">
        <f>IFERROR(LOOKUP($A691,TP!$A$6:$A$108,GSh!$AZ$6:$AZ$108),0)</f>
        <v>0</v>
      </c>
      <c r="Q693" s="306">
        <f>IF(AND(P693&gt;0,O693&gt;0),O693-P693,0)</f>
        <v>0</v>
      </c>
      <c r="R693" s="699"/>
      <c r="S693" s="762"/>
      <c r="T693" s="765">
        <f t="shared" si="377"/>
        <v>0</v>
      </c>
      <c r="U693" s="700"/>
      <c r="V693" s="701"/>
      <c r="W693" s="701"/>
      <c r="X693" s="295">
        <f t="shared" si="372"/>
        <v>0</v>
      </c>
      <c r="Y693" s="296">
        <f>IF(AA693&gt;0,V693,AE691/IF(Iniciar!$C$25="B X 40 K",40,IF(Iniciar!$C$25="B X 50 K",50,1))*I693/1000)</f>
        <v>0</v>
      </c>
      <c r="Z693" s="296">
        <f t="shared" si="373"/>
        <v>0</v>
      </c>
      <c r="AA693" s="297">
        <f t="shared" si="395"/>
        <v>0</v>
      </c>
      <c r="AB693" s="297">
        <f t="shared" si="367"/>
        <v>0</v>
      </c>
      <c r="AC693" s="1268" t="str">
        <f>$AC$7</f>
        <v>Kg Ave Acu :</v>
      </c>
      <c r="AD693" s="308">
        <f>IF(OR(SUM(L691:L697)&gt;0,SUM(V691:V697)&gt;0),AD692/1000+AD686,0)</f>
        <v>0</v>
      </c>
      <c r="AE693" s="309">
        <f>AE692/1000+AE686</f>
        <v>0</v>
      </c>
      <c r="AF693" s="310">
        <f>IF(AND(AE693&gt;0,AD693&gt;0),(AD693/AE693-1)*100,0)</f>
        <v>0</v>
      </c>
      <c r="AG693" s="311" t="str">
        <f>PROD!$AG$7</f>
        <v xml:space="preserve">Masa Sem H (Gr) : </v>
      </c>
      <c r="AH693" s="312">
        <f>PROD!O691/100*7*PROD!O693</f>
        <v>0</v>
      </c>
      <c r="AI693" s="312">
        <f>PROD!P691/100*7*PROD!P693</f>
        <v>0</v>
      </c>
      <c r="AJ693" s="313">
        <f t="shared" si="393"/>
        <v>0</v>
      </c>
      <c r="AK693" s="2027"/>
      <c r="AL693" s="1284">
        <f t="shared" si="368"/>
        <v>0</v>
      </c>
      <c r="AM693" s="1285"/>
      <c r="AN693" s="1285"/>
      <c r="AO693" s="1285"/>
      <c r="AP693" s="1285"/>
      <c r="AQ693" s="1285"/>
      <c r="AR693" s="1285"/>
      <c r="AS693" s="1286"/>
      <c r="AT693" s="1287"/>
      <c r="AU693" s="1288"/>
      <c r="AV693" s="1289"/>
      <c r="AW693" s="1290"/>
      <c r="AX693" s="1291"/>
      <c r="AY693" s="1291"/>
      <c r="AZ693" s="1292"/>
      <c r="BA693" s="1293"/>
      <c r="BB693" s="1294"/>
      <c r="BC693" s="1295"/>
      <c r="BD693" s="1296">
        <f>BD692+PROD!L693-BA693</f>
        <v>0</v>
      </c>
      <c r="BE693" s="2133"/>
      <c r="BF693" s="507" t="e">
        <f t="shared" si="369"/>
        <v>#VALUE!</v>
      </c>
      <c r="BG693" s="329"/>
      <c r="BH693" s="1018">
        <f t="shared" si="370"/>
        <v>0</v>
      </c>
    </row>
    <row r="694" spans="1:60" ht="15" customHeight="1" x14ac:dyDescent="0.3">
      <c r="A694" s="2033"/>
      <c r="B694" s="287" t="str">
        <f t="shared" si="371"/>
        <v/>
      </c>
      <c r="C694" s="288" t="str">
        <f t="shared" si="366"/>
        <v/>
      </c>
      <c r="D694" s="691"/>
      <c r="E694" s="692"/>
      <c r="F694" s="693"/>
      <c r="G694" s="694"/>
      <c r="H694" s="695"/>
      <c r="I694" s="289">
        <f>I693-SUM($D694:F694)</f>
        <v>0</v>
      </c>
      <c r="J694" s="1234" t="str">
        <f>$J$8</f>
        <v>% Mort Acm :</v>
      </c>
      <c r="K694" s="1231">
        <f>IF(PROD!$K$2&gt;0,SUM(D$5:D697)/PROD!$K$2,0)</f>
        <v>0</v>
      </c>
      <c r="L694" s="1246"/>
      <c r="M694" s="291">
        <f t="shared" si="394"/>
        <v>0</v>
      </c>
      <c r="N694" s="314" t="str">
        <f>N$8</f>
        <v xml:space="preserve">Peso Ave (Gr) : </v>
      </c>
      <c r="O694" s="315">
        <f>LOOKUP($A691,GSh!$BV$6:$BV$108,GSh!$BJ$6:$BJ$108)</f>
        <v>0</v>
      </c>
      <c r="P694" s="315">
        <f>IFERROR(LOOKUP($A691,TP!$A$6:$A$108,GSh!$BK$6:$BK$108),0)</f>
        <v>0</v>
      </c>
      <c r="Q694" s="316">
        <f>IF(AND(P694&gt;0,O694&gt;0),(O694/P694-1)*100,0)</f>
        <v>0</v>
      </c>
      <c r="R694" s="699"/>
      <c r="S694" s="762"/>
      <c r="T694" s="765">
        <f t="shared" si="377"/>
        <v>0</v>
      </c>
      <c r="U694" s="700"/>
      <c r="V694" s="701"/>
      <c r="W694" s="701"/>
      <c r="X694" s="295">
        <f t="shared" si="372"/>
        <v>0</v>
      </c>
      <c r="Y694" s="296">
        <f>IF(AA694&gt;0,V694,AE691/IF(Iniciar!$C$25="B X 40 K",40,IF(Iniciar!$C$25="B X 50 K",50,1))*I694/1000)</f>
        <v>0</v>
      </c>
      <c r="Z694" s="296">
        <f t="shared" si="373"/>
        <v>0</v>
      </c>
      <c r="AA694" s="297">
        <f t="shared" si="395"/>
        <v>0</v>
      </c>
      <c r="AB694" s="297">
        <f t="shared" si="367"/>
        <v>0</v>
      </c>
      <c r="AC694" s="541" t="str">
        <f>$AC$8</f>
        <v xml:space="preserve">Ton. Lote Acu : </v>
      </c>
      <c r="AD694" s="544">
        <f>SUM($V$5:$V697)*$A$1/1000000</f>
        <v>0</v>
      </c>
      <c r="AE694" s="543">
        <f>AE687+(AE691/1000000*7*(I691+I697)/2)</f>
        <v>0</v>
      </c>
      <c r="AF694" s="542">
        <f>IF(AND(AE694&gt;0,AD694&gt;0),(AD694/AE694-1)*100,0)</f>
        <v>0</v>
      </c>
      <c r="AG694" s="317" t="str">
        <f>PROD!$AG$8</f>
        <v xml:space="preserve">Masa Ac A. A (Kg) : </v>
      </c>
      <c r="AH694" s="318">
        <f>IF(PROD!$K$2&gt;0,SUM(PROD!L$5:L697)*LOOKUP(PROD!$A691,TP!$A$6:$A$108,GSh!$BB$6:$BB$108)/1000/PROD!$K$2,0)</f>
        <v>0</v>
      </c>
      <c r="AI694" s="318">
        <f>IFERROR(PROD!P692*LOOKUP(PROD!$A691,TP!$A$6:$A$108,GSh!$BC$6:$BC$108)/1000,0)</f>
        <v>0</v>
      </c>
      <c r="AJ694" s="330">
        <f t="shared" si="393"/>
        <v>0</v>
      </c>
      <c r="AK694" s="2027"/>
      <c r="AL694" s="1284">
        <f t="shared" si="368"/>
        <v>0</v>
      </c>
      <c r="AM694" s="1285"/>
      <c r="AN694" s="1285"/>
      <c r="AO694" s="1285"/>
      <c r="AP694" s="1285"/>
      <c r="AQ694" s="1285"/>
      <c r="AR694" s="1285"/>
      <c r="AS694" s="1286"/>
      <c r="AT694" s="1287"/>
      <c r="AU694" s="1288"/>
      <c r="AV694" s="1289"/>
      <c r="AW694" s="1290"/>
      <c r="AX694" s="1291"/>
      <c r="AY694" s="1291"/>
      <c r="AZ694" s="1292"/>
      <c r="BA694" s="1293"/>
      <c r="BB694" s="1294"/>
      <c r="BC694" s="1295"/>
      <c r="BD694" s="1296">
        <f>BD693+PROD!L694-BA694</f>
        <v>0</v>
      </c>
      <c r="BE694" s="2133"/>
      <c r="BF694" s="507" t="e">
        <f t="shared" si="369"/>
        <v>#VALUE!</v>
      </c>
      <c r="BG694" s="329"/>
      <c r="BH694" s="1018">
        <f t="shared" si="370"/>
        <v>0</v>
      </c>
    </row>
    <row r="695" spans="1:60" ht="15" customHeight="1" x14ac:dyDescent="0.3">
      <c r="A695" s="2033"/>
      <c r="B695" s="287" t="str">
        <f t="shared" si="371"/>
        <v/>
      </c>
      <c r="C695" s="288" t="str">
        <f t="shared" si="366"/>
        <v/>
      </c>
      <c r="D695" s="691"/>
      <c r="E695" s="692"/>
      <c r="F695" s="693"/>
      <c r="G695" s="694"/>
      <c r="H695" s="695"/>
      <c r="I695" s="289">
        <f>I694-SUM($D695:F695)</f>
        <v>0</v>
      </c>
      <c r="J695" s="1234" t="str">
        <f>$J$9</f>
        <v>% Sel Acm :</v>
      </c>
      <c r="K695" s="1231">
        <f>IF(PROD!$K$2&gt;0,SUM(E$5:E697)/PROD!$K$2,0)</f>
        <v>0</v>
      </c>
      <c r="L695" s="1246"/>
      <c r="M695" s="291">
        <f t="shared" si="394"/>
        <v>0</v>
      </c>
      <c r="N695" s="292" t="str">
        <f>$N$9</f>
        <v xml:space="preserve">Uniformidad (10% -) : </v>
      </c>
      <c r="O695" s="320">
        <f>LOOKUP($A691,'Pr-Sem'!$A$6:$A$108,'Pr-Sem'!$AH$6:$AH$108)</f>
        <v>0</v>
      </c>
      <c r="P695" s="320">
        <v>5</v>
      </c>
      <c r="Q695" s="321">
        <f>IF(AND(P695&gt;0,O695&gt;0),(1-O695/P695)*100,0)</f>
        <v>0</v>
      </c>
      <c r="R695" s="699"/>
      <c r="S695" s="762"/>
      <c r="T695" s="765">
        <f t="shared" si="377"/>
        <v>0</v>
      </c>
      <c r="U695" s="700"/>
      <c r="V695" s="701"/>
      <c r="W695" s="701"/>
      <c r="X695" s="295">
        <f t="shared" si="372"/>
        <v>0</v>
      </c>
      <c r="Y695" s="296">
        <f>IF(AA695&gt;0,V695,AE691/IF(Iniciar!$C$25="B X 40 K",40,IF(Iniciar!$C$25="B X 50 K",50,1))*I695/1000)</f>
        <v>0</v>
      </c>
      <c r="Z695" s="296">
        <f t="shared" si="373"/>
        <v>0</v>
      </c>
      <c r="AA695" s="297">
        <f t="shared" si="395"/>
        <v>0</v>
      </c>
      <c r="AB695" s="297">
        <f t="shared" si="367"/>
        <v>0</v>
      </c>
      <c r="AC695" s="2035" t="str">
        <f>$AC$9</f>
        <v xml:space="preserve">Total Litros Sem: </v>
      </c>
      <c r="AD695" s="2036"/>
      <c r="AE695" s="2050">
        <f>SUM(R691:R697)</f>
        <v>0</v>
      </c>
      <c r="AF695" s="2051"/>
      <c r="AG695" s="554" t="str">
        <f>$AG$9</f>
        <v xml:space="preserve">Indicador Eficiencia : </v>
      </c>
      <c r="AH695" s="555">
        <f>IF(AND(AE695&gt;0,O692&gt;0,O693&gt;0,SUM(L691:L697)&gt;0),(PROD!AH694/O692)*K697*100/(AE695/(SUM(L691:L697)*O693/1000)),0)</f>
        <v>0</v>
      </c>
      <c r="AI695" s="555">
        <f>IF(AND(P692&gt;0,PROD!AI693&gt;0),(PROD!AI694/P692)*(1-K696)*100/(AE692/PROD!AI693),0)</f>
        <v>0</v>
      </c>
      <c r="AJ695" s="331">
        <f t="shared" si="393"/>
        <v>0</v>
      </c>
      <c r="AK695" s="2027"/>
      <c r="AL695" s="1284">
        <f t="shared" si="368"/>
        <v>0</v>
      </c>
      <c r="AM695" s="1285"/>
      <c r="AN695" s="1285"/>
      <c r="AO695" s="1285"/>
      <c r="AP695" s="1285"/>
      <c r="AQ695" s="1285"/>
      <c r="AR695" s="1285"/>
      <c r="AS695" s="1286"/>
      <c r="AT695" s="1287"/>
      <c r="AU695" s="1288"/>
      <c r="AV695" s="1289"/>
      <c r="AW695" s="1290"/>
      <c r="AX695" s="1291"/>
      <c r="AY695" s="1291"/>
      <c r="AZ695" s="1292"/>
      <c r="BA695" s="1293"/>
      <c r="BB695" s="1294"/>
      <c r="BC695" s="1295"/>
      <c r="BD695" s="1296">
        <f>BD694+PROD!L695-BA695</f>
        <v>0</v>
      </c>
      <c r="BE695" s="2133"/>
      <c r="BF695" s="507" t="e">
        <f t="shared" si="369"/>
        <v>#VALUE!</v>
      </c>
      <c r="BG695" s="329"/>
      <c r="BH695" s="1018">
        <f t="shared" si="370"/>
        <v>0</v>
      </c>
    </row>
    <row r="696" spans="1:60" ht="15" customHeight="1" x14ac:dyDescent="0.3">
      <c r="A696" s="2033"/>
      <c r="B696" s="287" t="str">
        <f t="shared" si="371"/>
        <v/>
      </c>
      <c r="C696" s="288" t="str">
        <f t="shared" si="366"/>
        <v/>
      </c>
      <c r="D696" s="691"/>
      <c r="E696" s="692"/>
      <c r="F696" s="693"/>
      <c r="G696" s="694"/>
      <c r="H696" s="695"/>
      <c r="I696" s="289">
        <f>I695-SUM($D696:F696)</f>
        <v>0</v>
      </c>
      <c r="J696" s="1237" t="str">
        <f>$J$10</f>
        <v>% Mort/Sel Acm Tab :</v>
      </c>
      <c r="K696" s="1238">
        <f>IFERROR(LOOKUP($A691,TP!$A$6:$A$108,GSh!$AR$6:$AR$108)/100,0)</f>
        <v>0</v>
      </c>
      <c r="L696" s="1246"/>
      <c r="M696" s="291">
        <f t="shared" si="394"/>
        <v>0</v>
      </c>
      <c r="N696" s="292" t="str">
        <f>$N$10</f>
        <v xml:space="preserve">Uniformidad (C. Lote) : </v>
      </c>
      <c r="O696" s="320">
        <f>LOOKUP($A691,'Pr-Sem'!$A$6:$A$108,'Pr-Sem'!$AG$6:$AG$108)</f>
        <v>0</v>
      </c>
      <c r="P696" s="320">
        <v>90</v>
      </c>
      <c r="Q696" s="321">
        <f>IF(AND(P696&gt;0,O696&gt;0),(O696/P696-1)*100,0)</f>
        <v>0</v>
      </c>
      <c r="R696" s="699"/>
      <c r="S696" s="762"/>
      <c r="T696" s="765">
        <f t="shared" si="377"/>
        <v>0</v>
      </c>
      <c r="U696" s="700"/>
      <c r="V696" s="701"/>
      <c r="W696" s="701"/>
      <c r="X696" s="295">
        <f t="shared" si="372"/>
        <v>0</v>
      </c>
      <c r="Y696" s="296">
        <f>IF(AA696&gt;0,V696,AE691/IF(Iniciar!$C$25="B X 40 K",40,IF(Iniciar!$C$25="B X 50 K",50,1))*I696/1000)</f>
        <v>0</v>
      </c>
      <c r="Z696" s="296">
        <f t="shared" si="373"/>
        <v>0</v>
      </c>
      <c r="AA696" s="297">
        <f t="shared" si="395"/>
        <v>0</v>
      </c>
      <c r="AB696" s="297">
        <f t="shared" si="367"/>
        <v>0</v>
      </c>
      <c r="AC696" s="2037" t="str">
        <f>$AC$10</f>
        <v xml:space="preserve">Cons ml /ave día: </v>
      </c>
      <c r="AD696" s="2038"/>
      <c r="AE696" s="2056">
        <f>IFERROR(SUMPRODUCT(AB691:AB697,I691:I697)/SUM(I691:I697),0)</f>
        <v>0</v>
      </c>
      <c r="AF696" s="2057"/>
      <c r="AG696" s="311" t="str">
        <f>CONCATENATE("Costo ",Iniciar!$C$25," : ")</f>
        <v xml:space="preserve">Costo Kilos : </v>
      </c>
      <c r="AH696" s="2043">
        <f>IFERROR(SUMPRODUCT(T691:T697,V691:V697)/SUMIF(T691:T697,"&gt;0",V691:V697),0)</f>
        <v>0</v>
      </c>
      <c r="AI696" s="2043"/>
      <c r="AJ696" s="313"/>
      <c r="AK696" s="2027"/>
      <c r="AL696" s="1284">
        <f t="shared" si="368"/>
        <v>0</v>
      </c>
      <c r="AM696" s="1285"/>
      <c r="AN696" s="1285"/>
      <c r="AO696" s="1285"/>
      <c r="AP696" s="1285"/>
      <c r="AQ696" s="1285"/>
      <c r="AR696" s="1285"/>
      <c r="AS696" s="1286"/>
      <c r="AT696" s="1287"/>
      <c r="AU696" s="1288"/>
      <c r="AV696" s="1289"/>
      <c r="AW696" s="1290"/>
      <c r="AX696" s="1291"/>
      <c r="AY696" s="1291"/>
      <c r="AZ696" s="1292"/>
      <c r="BA696" s="1293"/>
      <c r="BB696" s="1294"/>
      <c r="BC696" s="1295"/>
      <c r="BD696" s="1296">
        <f>BD695+PROD!L696-BA696</f>
        <v>0</v>
      </c>
      <c r="BE696" s="2133"/>
      <c r="BF696" s="507" t="e">
        <f t="shared" si="369"/>
        <v>#VALUE!</v>
      </c>
      <c r="BG696" s="329"/>
      <c r="BH696" s="1018">
        <f t="shared" si="370"/>
        <v>0</v>
      </c>
    </row>
    <row r="697" spans="1:60" ht="15" customHeight="1" x14ac:dyDescent="0.3">
      <c r="A697" s="2034"/>
      <c r="B697" s="287" t="str">
        <f t="shared" si="371"/>
        <v/>
      </c>
      <c r="C697" s="288" t="str">
        <f t="shared" si="366"/>
        <v/>
      </c>
      <c r="D697" s="691"/>
      <c r="E697" s="692"/>
      <c r="F697" s="693"/>
      <c r="G697" s="694"/>
      <c r="H697" s="695"/>
      <c r="I697" s="289">
        <f>I696-SUM($D697:F697)</f>
        <v>0</v>
      </c>
      <c r="J697" s="1239" t="str">
        <f>$J$11</f>
        <v>% Viabilidad :</v>
      </c>
      <c r="K697" s="1240">
        <f>IF(OR(SUM(L691:L697)&gt;0,SUM(V691:V697)&gt;0),1-(K694+K695),0)</f>
        <v>0</v>
      </c>
      <c r="L697" s="1247"/>
      <c r="M697" s="1248">
        <f>IF(I697&gt;0,(L697/IF(SUM(L691:L696)&gt;0,1,7))/I697,0)</f>
        <v>0</v>
      </c>
      <c r="N697" s="1249" t="str">
        <f>$N$11</f>
        <v xml:space="preserve">Uniformidad (10% +) : </v>
      </c>
      <c r="O697" s="1250">
        <f>IF(O695&gt;0,IF(O696&gt;0,100-SUM(O695:O696),0),0)</f>
        <v>0</v>
      </c>
      <c r="P697" s="1251">
        <f>100-SUM(P695:P696)</f>
        <v>5</v>
      </c>
      <c r="Q697" s="1252">
        <f>IF(AND(P697&gt;0,O697&gt;0),(O697/P697-1)*100,0)</f>
        <v>0</v>
      </c>
      <c r="R697" s="699"/>
      <c r="S697" s="762"/>
      <c r="T697" s="765">
        <f t="shared" si="377"/>
        <v>0</v>
      </c>
      <c r="U697" s="700"/>
      <c r="V697" s="701"/>
      <c r="W697" s="701"/>
      <c r="X697" s="295">
        <f t="shared" si="372"/>
        <v>0</v>
      </c>
      <c r="Y697" s="296">
        <f>IF(AA697&gt;0,V697,AE691/IF(Iniciar!$C$25="B X 40 K",40,IF(Iniciar!$C$25="B X 50 K",50,1))*I697/1000)</f>
        <v>0</v>
      </c>
      <c r="Z697" s="296">
        <f t="shared" si="373"/>
        <v>0</v>
      </c>
      <c r="AA697" s="297">
        <f>IF(I697&gt;0,(V697/IF(SUM(V691:V696)&gt;0,1,7))*$A$1/I697,0)</f>
        <v>0</v>
      </c>
      <c r="AB697" s="297">
        <f t="shared" si="367"/>
        <v>0</v>
      </c>
      <c r="AC697" s="2039" t="str">
        <f>$AC$11</f>
        <v xml:space="preserve">Relación Agua /Alimto: </v>
      </c>
      <c r="AD697" s="2040"/>
      <c r="AE697" s="2058">
        <f>IFERROR(AE696/AD691,0)</f>
        <v>0</v>
      </c>
      <c r="AF697" s="2059"/>
      <c r="AG697" s="1269" t="s">
        <v>237</v>
      </c>
      <c r="AH697" s="1270">
        <f>IF(SUM(L691:L697)&gt;0,AH696*SUM(V691:V697)/SUM(L691:L697),0)</f>
        <v>0</v>
      </c>
      <c r="AI697" s="1270">
        <f>IF(AND($A$1&gt;0,P691&gt;0),AH696/$A$1*(AE691/P691)*100,0)</f>
        <v>0</v>
      </c>
      <c r="AJ697" s="1271">
        <f t="shared" ref="AJ697:AJ702" si="396">IF(AND(AI697&gt;0,AH697&gt;0),(AH697/AI697-1)*100,0)</f>
        <v>0</v>
      </c>
      <c r="AK697" s="2028"/>
      <c r="AL697" s="1284">
        <f t="shared" si="368"/>
        <v>0</v>
      </c>
      <c r="AM697" s="1285"/>
      <c r="AN697" s="1285"/>
      <c r="AO697" s="1285"/>
      <c r="AP697" s="1285"/>
      <c r="AQ697" s="1285"/>
      <c r="AR697" s="1285"/>
      <c r="AS697" s="1286"/>
      <c r="AT697" s="1287"/>
      <c r="AU697" s="1288"/>
      <c r="AV697" s="1289"/>
      <c r="AW697" s="1290"/>
      <c r="AX697" s="1291"/>
      <c r="AY697" s="1291"/>
      <c r="AZ697" s="1292"/>
      <c r="BA697" s="1293"/>
      <c r="BB697" s="1294"/>
      <c r="BC697" s="1295"/>
      <c r="BD697" s="1296">
        <f>BD696+PROD!L697-BA697</f>
        <v>0</v>
      </c>
      <c r="BE697" s="2134"/>
      <c r="BF697" s="507" t="e">
        <f t="shared" si="369"/>
        <v>#VALUE!</v>
      </c>
      <c r="BG697" s="329"/>
      <c r="BH697" s="1018">
        <f t="shared" si="370"/>
        <v>0</v>
      </c>
    </row>
    <row r="698" spans="1:60" ht="15" customHeight="1" x14ac:dyDescent="0.3">
      <c r="A698" s="2032">
        <f>A691+1</f>
        <v>117</v>
      </c>
      <c r="B698" s="287" t="str">
        <f t="shared" si="371"/>
        <v/>
      </c>
      <c r="C698" s="288" t="str">
        <f t="shared" si="366"/>
        <v/>
      </c>
      <c r="D698" s="691"/>
      <c r="E698" s="692"/>
      <c r="F698" s="693"/>
      <c r="G698" s="694"/>
      <c r="H698" s="695"/>
      <c r="I698" s="289">
        <f>I697-SUM($D698:F698)</f>
        <v>0</v>
      </c>
      <c r="J698" s="1232" t="str">
        <f>$J$5</f>
        <v>% Mort Sem :</v>
      </c>
      <c r="K698" s="1233">
        <f>IF(PROD!$K$2&gt;0,SUM(D698:D704)/PROD!$K$2,0)</f>
        <v>0</v>
      </c>
      <c r="L698" s="1241"/>
      <c r="M698" s="1242">
        <f t="shared" ref="M698:M703" si="397">IF(I698&gt;0,L698/I698,0)</f>
        <v>0</v>
      </c>
      <c r="N698" s="1243" t="str">
        <f>$N$5</f>
        <v xml:space="preserve">% Pdn prom semana : </v>
      </c>
      <c r="O698" s="1244">
        <f>IF(SUM(L698:L703)&gt;0,100*SUMPRODUCT(M698:M704,I698:I704)/SUMIF(L698:L704,"&gt;0",I698:I704),IF(L704&gt;0,100*L704/7/I704,0))</f>
        <v>0</v>
      </c>
      <c r="P698" s="1244">
        <f>IFERROR(LOOKUP($A698,TP!$A$6:$A$108,GSh!$AE$6:$AE$108),0)</f>
        <v>0</v>
      </c>
      <c r="Q698" s="1245">
        <f>IF(AND(P698&gt;0,O698&gt;0),O698-P698,0)</f>
        <v>0</v>
      </c>
      <c r="R698" s="699"/>
      <c r="S698" s="762"/>
      <c r="T698" s="765">
        <f t="shared" si="377"/>
        <v>0</v>
      </c>
      <c r="U698" s="700"/>
      <c r="V698" s="701"/>
      <c r="W698" s="701"/>
      <c r="X698" s="295">
        <f t="shared" si="372"/>
        <v>0</v>
      </c>
      <c r="Y698" s="296">
        <f>IF(AA698&gt;0,V698,AE698/IF(Iniciar!$C$25="B X 40 K",40,IF(Iniciar!$C$25="B X 50 K",50,1))*I698/1000)</f>
        <v>0</v>
      </c>
      <c r="Z698" s="296">
        <f t="shared" si="373"/>
        <v>0</v>
      </c>
      <c r="AA698" s="297">
        <f t="shared" ref="AA698:AA703" si="398">IF(I698&gt;0,V698*$A$1/I698,0)</f>
        <v>0</v>
      </c>
      <c r="AB698" s="297">
        <f t="shared" si="367"/>
        <v>0</v>
      </c>
      <c r="AC698" s="1261" t="str">
        <f>$AC$5</f>
        <v>Gr. Ave Dia :</v>
      </c>
      <c r="AD698" s="1262">
        <f>IF(SUMIF(V698:V704,"&gt;0")&gt;0,SUMPRODUCT(AA698:AA704,I698:I704)/SUMIF(AA698:AA704,"&gt;0",I698:I704),0)</f>
        <v>0</v>
      </c>
      <c r="AE698" s="1262">
        <f>IFERROR(LOOKUP($A698,TP!$A$6:$A$108,GSh!$AU$6:$AU$108),0)</f>
        <v>0</v>
      </c>
      <c r="AF698" s="1263">
        <f>IF(AND(AE698&gt;0,AD698&gt;0),(AD698/AE698-1)*100,0)</f>
        <v>0</v>
      </c>
      <c r="AG698" s="1264" t="str">
        <f>PROD!$AG$5</f>
        <v>Gr X H</v>
      </c>
      <c r="AH698" s="1265">
        <f>IF(PROD!O698&gt;0,IF($AG698="Gr X H",PROD!AD698/PROD!O698*100,IF($AG698="Conv Kg/Doc",PROD!AD698/PROD!O698*1.2,IF(PROD!$O700&gt;0,PROD!AD698/(PROD!O698*PROD!$O700)*100,0))),0)</f>
        <v>0</v>
      </c>
      <c r="AI698" s="1265">
        <f>IF(PROD!P698&gt;0,IF($AG698="Gr X H",PROD!AE698/PROD!P698*100,IF($AG698="Conv Kg/Doc",PROD!AE698/PROD!P698*1.2,IF(PROD!$P700&gt;0,PROD!AE698/(PROD!P698*PROD!$P700)*100,0))),0)</f>
        <v>0</v>
      </c>
      <c r="AJ698" s="1266">
        <f t="shared" si="396"/>
        <v>0</v>
      </c>
      <c r="AK698" s="2026"/>
      <c r="AL698" s="1284">
        <f t="shared" si="368"/>
        <v>0</v>
      </c>
      <c r="AM698" s="1285"/>
      <c r="AN698" s="1285"/>
      <c r="AO698" s="1285"/>
      <c r="AP698" s="1285"/>
      <c r="AQ698" s="1285"/>
      <c r="AR698" s="1285"/>
      <c r="AS698" s="1286"/>
      <c r="AT698" s="1287"/>
      <c r="AU698" s="1288"/>
      <c r="AV698" s="1289"/>
      <c r="AW698" s="1290"/>
      <c r="AX698" s="1291"/>
      <c r="AY698" s="1291"/>
      <c r="AZ698" s="1292"/>
      <c r="BA698" s="1293"/>
      <c r="BB698" s="1294"/>
      <c r="BC698" s="1295"/>
      <c r="BD698" s="1296">
        <f>BD697+PROD!L698-BA698</f>
        <v>0</v>
      </c>
      <c r="BE698" s="2132">
        <f>IF(SUM(AM698:AZ704)&gt;0,(SUM(AM698:AM704)*$AM$2+SUM(AN698:AN704)*$AN$2+SUM(AO698:AO704)*$AO$2+SUM(AP698:AP704)*$AP$2+SUM(AQ698:AQ704)*$AQ$2+SUM(AR698:AR704)*$AR$2+SUM(AS698:AS704)*$AS$2+SUM(AW698:AW704)*$AW$2+SUM(AX698:AX704)*$AX$2+SUM(AY698:AY704)*$AY$2+SUM(AZ698:AZ704)*$AZ$2+SUM(AT698:AT704)*$AT$2+SUM(AU698:AU704)*$AU$2+SUM(AV698:AV704)*$AV$2)/SUM(AM698:AZ704),0)</f>
        <v>0</v>
      </c>
      <c r="BF698" s="507" t="e">
        <f t="shared" si="369"/>
        <v>#VALUE!</v>
      </c>
      <c r="BG698" s="277">
        <f>IF(SUM(L698:L704)&gt;0,A698,IF(SUM(V698:V704)&gt;0,A698,BG691))</f>
        <v>0</v>
      </c>
      <c r="BH698" s="1018">
        <f t="shared" si="370"/>
        <v>0</v>
      </c>
    </row>
    <row r="699" spans="1:60" ht="15" customHeight="1" x14ac:dyDescent="0.3">
      <c r="A699" s="2033"/>
      <c r="B699" s="287" t="str">
        <f t="shared" si="371"/>
        <v/>
      </c>
      <c r="C699" s="288" t="str">
        <f t="shared" si="366"/>
        <v/>
      </c>
      <c r="D699" s="691"/>
      <c r="E699" s="692"/>
      <c r="F699" s="693"/>
      <c r="G699" s="694"/>
      <c r="H699" s="695"/>
      <c r="I699" s="289">
        <f>I698-SUM($D699:F699)</f>
        <v>0</v>
      </c>
      <c r="J699" s="1234" t="str">
        <f>$J$6</f>
        <v>% Sel Sem :</v>
      </c>
      <c r="K699" s="1231">
        <f>IF(PROD!$K$2&gt;0,SUM(E698:E704)/PROD!$K$2,0)</f>
        <v>0</v>
      </c>
      <c r="L699" s="1246"/>
      <c r="M699" s="291">
        <f t="shared" si="397"/>
        <v>0</v>
      </c>
      <c r="N699" s="292" t="str">
        <f>$N$6</f>
        <v xml:space="preserve">H. Ave Alojada : </v>
      </c>
      <c r="O699" s="293">
        <f>IF(AND(PROD!$K$2&gt;0,O698&gt;0),SUM(L$5:L704)/PROD!$K$2,0)</f>
        <v>0</v>
      </c>
      <c r="P699" s="293">
        <f>IFERROR(LOOKUP($A698,TP!$A$6:$A$108,GSh!$AJ$6:$AJ$108),0)</f>
        <v>0</v>
      </c>
      <c r="Q699" s="294">
        <f>IF(AND(P699&gt;0,O699&gt;0),O699-P699,0)</f>
        <v>0</v>
      </c>
      <c r="R699" s="699"/>
      <c r="S699" s="762"/>
      <c r="T699" s="765">
        <f t="shared" si="377"/>
        <v>0</v>
      </c>
      <c r="U699" s="700"/>
      <c r="V699" s="701"/>
      <c r="W699" s="701"/>
      <c r="X699" s="295">
        <f t="shared" si="372"/>
        <v>0</v>
      </c>
      <c r="Y699" s="296">
        <f>IF(AA699&gt;0,V699,AE698/IF(Iniciar!$C$25="B X 40 K",40,IF(Iniciar!$C$25="B X 50 K",50,1))*I699/1000)</f>
        <v>0</v>
      </c>
      <c r="Z699" s="296">
        <f t="shared" si="373"/>
        <v>0</v>
      </c>
      <c r="AA699" s="297">
        <f t="shared" si="398"/>
        <v>0</v>
      </c>
      <c r="AB699" s="297">
        <f t="shared" si="367"/>
        <v>0</v>
      </c>
      <c r="AC699" s="1267" t="str">
        <f>$AC$6</f>
        <v>Gr. Ave Sem :</v>
      </c>
      <c r="AD699" s="284">
        <f>AD698*7</f>
        <v>0</v>
      </c>
      <c r="AE699" s="284">
        <f>AE698*7</f>
        <v>0</v>
      </c>
      <c r="AF699" s="285">
        <f>IF(AND(AE699&gt;0,AD699&gt;0),(AD699/AE699-1)*100,0)</f>
        <v>0</v>
      </c>
      <c r="AG699" s="1199" t="str">
        <f>PROD!$AG$6</f>
        <v>Gr X H Acm</v>
      </c>
      <c r="AH699" s="298">
        <f>IF(SUM(PROD!L698:L704)&gt;0,IF(PROD!$AG$5="Gr X H",SUM(PROD!V$5:V704)*PROD!$A$1/SUM(PROD!L$5:L704),IF($AG698="Conv Kg/Doc",(SUM(PROD!V$5:V704)*PROD!$A$1/1000)/(SUM(PROD!L$5:L704)/12),IF(PROD!$O700&gt;0,SUM(PROD!V$5:V704)*PROD!$A$1/(SUM(PROD!L$5:L704)*LOOKUP(PROD!A698,TP!$A$6:$A$108,GSh!$BB$6:$BB$108)),0))),0)</f>
        <v>0</v>
      </c>
      <c r="AI699" s="298">
        <f>IF(PROD!P698&gt;0,IF($AG698="Gr X H",PROD!AE698/PROD!P698*100,IF($AG698="Conv Kg/Doc",PROD!AE698/PROD!P698*1.2,IF(PROD!$P699&gt;0,PROD!AE700/(PROD!P699*LOOKUP(PROD!$A698,TP!$A$6:$A$108,GSh!$BC$6:$BC$108)/1000),0))),0)</f>
        <v>0</v>
      </c>
      <c r="AJ699" s="328">
        <f t="shared" si="396"/>
        <v>0</v>
      </c>
      <c r="AK699" s="2027"/>
      <c r="AL699" s="1284">
        <f t="shared" si="368"/>
        <v>0</v>
      </c>
      <c r="AM699" s="1285"/>
      <c r="AN699" s="1285"/>
      <c r="AO699" s="1285"/>
      <c r="AP699" s="1285"/>
      <c r="AQ699" s="1285"/>
      <c r="AR699" s="1285"/>
      <c r="AS699" s="1286"/>
      <c r="AT699" s="1287"/>
      <c r="AU699" s="1288"/>
      <c r="AV699" s="1289"/>
      <c r="AW699" s="1290"/>
      <c r="AX699" s="1291"/>
      <c r="AY699" s="1291"/>
      <c r="AZ699" s="1292"/>
      <c r="BA699" s="1293"/>
      <c r="BB699" s="1294"/>
      <c r="BC699" s="1295"/>
      <c r="BD699" s="1296">
        <f>BD698+PROD!L699-BA699</f>
        <v>0</v>
      </c>
      <c r="BE699" s="2133"/>
      <c r="BF699" s="507" t="e">
        <f t="shared" si="369"/>
        <v>#VALUE!</v>
      </c>
      <c r="BG699" s="329"/>
      <c r="BH699" s="1018">
        <f t="shared" si="370"/>
        <v>0</v>
      </c>
    </row>
    <row r="700" spans="1:60" ht="15" customHeight="1" x14ac:dyDescent="0.3">
      <c r="A700" s="2033"/>
      <c r="B700" s="287" t="str">
        <f t="shared" si="371"/>
        <v/>
      </c>
      <c r="C700" s="288" t="str">
        <f t="shared" si="366"/>
        <v/>
      </c>
      <c r="D700" s="691"/>
      <c r="E700" s="692"/>
      <c r="F700" s="693"/>
      <c r="G700" s="694"/>
      <c r="H700" s="695"/>
      <c r="I700" s="289">
        <f>I699-SUM($D700:F700)</f>
        <v>0</v>
      </c>
      <c r="J700" s="1235" t="str">
        <f>$J$7</f>
        <v>% Mort/Sel Sem Tab :</v>
      </c>
      <c r="K700" s="1236">
        <f>K703-K696</f>
        <v>0</v>
      </c>
      <c r="L700" s="1246"/>
      <c r="M700" s="291">
        <f t="shared" si="397"/>
        <v>0</v>
      </c>
      <c r="N700" s="304" t="str">
        <f>$N$7</f>
        <v xml:space="preserve">Peso Huevo (Gr) : </v>
      </c>
      <c r="O700" s="305">
        <f>LOOKUP($A698,'Pr-Sem'!$A$6:$A$108,'Pr-Sem'!$Z$6:$Z$108)</f>
        <v>0</v>
      </c>
      <c r="P700" s="305">
        <f>IFERROR(LOOKUP($A698,TP!$A$6:$A$108,GSh!$AZ$6:$AZ$108),0)</f>
        <v>0</v>
      </c>
      <c r="Q700" s="306">
        <f>IF(AND(P700&gt;0,O700&gt;0),O700-P700,0)</f>
        <v>0</v>
      </c>
      <c r="R700" s="699"/>
      <c r="S700" s="762"/>
      <c r="T700" s="765">
        <f t="shared" si="377"/>
        <v>0</v>
      </c>
      <c r="U700" s="700"/>
      <c r="V700" s="701"/>
      <c r="W700" s="701"/>
      <c r="X700" s="295">
        <f t="shared" si="372"/>
        <v>0</v>
      </c>
      <c r="Y700" s="296">
        <f>IF(AA700&gt;0,V700,AE698/IF(Iniciar!$C$25="B X 40 K",40,IF(Iniciar!$C$25="B X 50 K",50,1))*I700/1000)</f>
        <v>0</v>
      </c>
      <c r="Z700" s="296">
        <f t="shared" si="373"/>
        <v>0</v>
      </c>
      <c r="AA700" s="297">
        <f t="shared" si="398"/>
        <v>0</v>
      </c>
      <c r="AB700" s="297">
        <f t="shared" si="367"/>
        <v>0</v>
      </c>
      <c r="AC700" s="1268" t="str">
        <f>$AC$7</f>
        <v>Kg Ave Acu :</v>
      </c>
      <c r="AD700" s="308">
        <f>IF(OR(SUM(L698:L704)&gt;0,SUM(V698:V704)&gt;0),AD699/1000+AD693,0)</f>
        <v>0</v>
      </c>
      <c r="AE700" s="309">
        <f>AE699/1000+AE693</f>
        <v>0</v>
      </c>
      <c r="AF700" s="310">
        <f>IF(AND(AE700&gt;0,AD700&gt;0),(AD700/AE700-1)*100,0)</f>
        <v>0</v>
      </c>
      <c r="AG700" s="311" t="str">
        <f>PROD!$AG$7</f>
        <v xml:space="preserve">Masa Sem H (Gr) : </v>
      </c>
      <c r="AH700" s="312">
        <f>PROD!O698/100*7*PROD!O700</f>
        <v>0</v>
      </c>
      <c r="AI700" s="312">
        <f>PROD!P698/100*7*PROD!P700</f>
        <v>0</v>
      </c>
      <c r="AJ700" s="313">
        <f t="shared" si="396"/>
        <v>0</v>
      </c>
      <c r="AK700" s="2027"/>
      <c r="AL700" s="1284">
        <f t="shared" si="368"/>
        <v>0</v>
      </c>
      <c r="AM700" s="1285"/>
      <c r="AN700" s="1285"/>
      <c r="AO700" s="1285"/>
      <c r="AP700" s="1285"/>
      <c r="AQ700" s="1285"/>
      <c r="AR700" s="1285"/>
      <c r="AS700" s="1286"/>
      <c r="AT700" s="1287"/>
      <c r="AU700" s="1288"/>
      <c r="AV700" s="1289"/>
      <c r="AW700" s="1290"/>
      <c r="AX700" s="1291"/>
      <c r="AY700" s="1291"/>
      <c r="AZ700" s="1292"/>
      <c r="BA700" s="1293"/>
      <c r="BB700" s="1294"/>
      <c r="BC700" s="1295"/>
      <c r="BD700" s="1296">
        <f>BD699+PROD!L700-BA700</f>
        <v>0</v>
      </c>
      <c r="BE700" s="2133"/>
      <c r="BF700" s="507" t="e">
        <f t="shared" si="369"/>
        <v>#VALUE!</v>
      </c>
      <c r="BG700" s="329"/>
      <c r="BH700" s="1018">
        <f t="shared" si="370"/>
        <v>0</v>
      </c>
    </row>
    <row r="701" spans="1:60" ht="15" customHeight="1" x14ac:dyDescent="0.3">
      <c r="A701" s="2033"/>
      <c r="B701" s="287" t="str">
        <f t="shared" si="371"/>
        <v/>
      </c>
      <c r="C701" s="288" t="str">
        <f t="shared" si="366"/>
        <v/>
      </c>
      <c r="D701" s="691"/>
      <c r="E701" s="692"/>
      <c r="F701" s="693"/>
      <c r="G701" s="694"/>
      <c r="H701" s="695"/>
      <c r="I701" s="289">
        <f>I700-SUM($D701:F701)</f>
        <v>0</v>
      </c>
      <c r="J701" s="1234" t="str">
        <f>$J$8</f>
        <v>% Mort Acm :</v>
      </c>
      <c r="K701" s="1231">
        <f>IF(PROD!$K$2&gt;0,SUM(D$5:D704)/PROD!$K$2,0)</f>
        <v>0</v>
      </c>
      <c r="L701" s="1246"/>
      <c r="M701" s="291">
        <f t="shared" si="397"/>
        <v>0</v>
      </c>
      <c r="N701" s="314" t="str">
        <f>N$8</f>
        <v xml:space="preserve">Peso Ave (Gr) : </v>
      </c>
      <c r="O701" s="315">
        <f>LOOKUP($A698,GSh!$BV$6:$BV$108,GSh!$BJ$6:$BJ$108)</f>
        <v>0</v>
      </c>
      <c r="P701" s="315">
        <f>IFERROR(LOOKUP($A698,TP!$A$6:$A$108,GSh!$BK$6:$BK$108),0)</f>
        <v>0</v>
      </c>
      <c r="Q701" s="316">
        <f>IF(AND(P701&gt;0,O701&gt;0),(O701/P701-1)*100,0)</f>
        <v>0</v>
      </c>
      <c r="R701" s="699"/>
      <c r="S701" s="762"/>
      <c r="T701" s="765">
        <f t="shared" si="377"/>
        <v>0</v>
      </c>
      <c r="U701" s="700"/>
      <c r="V701" s="701"/>
      <c r="W701" s="701"/>
      <c r="X701" s="295">
        <f t="shared" si="372"/>
        <v>0</v>
      </c>
      <c r="Y701" s="296">
        <f>IF(AA701&gt;0,V701,AE698/IF(Iniciar!$C$25="B X 40 K",40,IF(Iniciar!$C$25="B X 50 K",50,1))*I701/1000)</f>
        <v>0</v>
      </c>
      <c r="Z701" s="296">
        <f t="shared" si="373"/>
        <v>0</v>
      </c>
      <c r="AA701" s="297">
        <f t="shared" si="398"/>
        <v>0</v>
      </c>
      <c r="AB701" s="297">
        <f t="shared" si="367"/>
        <v>0</v>
      </c>
      <c r="AC701" s="541" t="str">
        <f>$AC$8</f>
        <v xml:space="preserve">Ton. Lote Acu : </v>
      </c>
      <c r="AD701" s="544">
        <f>SUM($V$5:$V704)*$A$1/1000000</f>
        <v>0</v>
      </c>
      <c r="AE701" s="543">
        <f>AE694+(AE698/1000000*7*(I698+I704)/2)</f>
        <v>0</v>
      </c>
      <c r="AF701" s="542">
        <f>IF(AND(AE701&gt;0,AD701&gt;0),(AD701/AE701-1)*100,0)</f>
        <v>0</v>
      </c>
      <c r="AG701" s="317" t="str">
        <f>PROD!$AG$8</f>
        <v xml:space="preserve">Masa Ac A. A (Kg) : </v>
      </c>
      <c r="AH701" s="318">
        <f>IF(PROD!$K$2&gt;0,SUM(PROD!L$5:L704)*LOOKUP(PROD!$A698,TP!$A$6:$A$108,GSh!$BB$6:$BB$108)/1000/PROD!$K$2,0)</f>
        <v>0</v>
      </c>
      <c r="AI701" s="318">
        <f>IFERROR(PROD!P699*LOOKUP(PROD!$A698,TP!$A$6:$A$108,GSh!$BC$6:$BC$108)/1000,0)</f>
        <v>0</v>
      </c>
      <c r="AJ701" s="330">
        <f t="shared" si="396"/>
        <v>0</v>
      </c>
      <c r="AK701" s="2027"/>
      <c r="AL701" s="1284">
        <f t="shared" si="368"/>
        <v>0</v>
      </c>
      <c r="AM701" s="1285"/>
      <c r="AN701" s="1285"/>
      <c r="AO701" s="1285"/>
      <c r="AP701" s="1285"/>
      <c r="AQ701" s="1285"/>
      <c r="AR701" s="1285"/>
      <c r="AS701" s="1286"/>
      <c r="AT701" s="1287"/>
      <c r="AU701" s="1288"/>
      <c r="AV701" s="1289"/>
      <c r="AW701" s="1290"/>
      <c r="AX701" s="1291"/>
      <c r="AY701" s="1291"/>
      <c r="AZ701" s="1292"/>
      <c r="BA701" s="1293"/>
      <c r="BB701" s="1294"/>
      <c r="BC701" s="1295"/>
      <c r="BD701" s="1296">
        <f>BD700+PROD!L701-BA701</f>
        <v>0</v>
      </c>
      <c r="BE701" s="2133"/>
      <c r="BF701" s="507" t="e">
        <f t="shared" si="369"/>
        <v>#VALUE!</v>
      </c>
      <c r="BG701" s="329"/>
      <c r="BH701" s="1018">
        <f t="shared" si="370"/>
        <v>0</v>
      </c>
    </row>
    <row r="702" spans="1:60" ht="15" customHeight="1" x14ac:dyDescent="0.3">
      <c r="A702" s="2033"/>
      <c r="B702" s="287" t="str">
        <f t="shared" si="371"/>
        <v/>
      </c>
      <c r="C702" s="288" t="str">
        <f t="shared" si="366"/>
        <v/>
      </c>
      <c r="D702" s="691"/>
      <c r="E702" s="692"/>
      <c r="F702" s="693"/>
      <c r="G702" s="694"/>
      <c r="H702" s="695"/>
      <c r="I702" s="289">
        <f>I701-SUM($D702:F702)</f>
        <v>0</v>
      </c>
      <c r="J702" s="1234" t="str">
        <f>$J$9</f>
        <v>% Sel Acm :</v>
      </c>
      <c r="K702" s="1231">
        <f>IF(PROD!$K$2&gt;0,SUM(E$5:E704)/PROD!$K$2,0)</f>
        <v>0</v>
      </c>
      <c r="L702" s="1246"/>
      <c r="M702" s="291">
        <f t="shared" si="397"/>
        <v>0</v>
      </c>
      <c r="N702" s="292" t="str">
        <f>$N$9</f>
        <v xml:space="preserve">Uniformidad (10% -) : </v>
      </c>
      <c r="O702" s="320">
        <f>LOOKUP($A698,'Pr-Sem'!$A$6:$A$108,'Pr-Sem'!$AH$6:$AH$108)</f>
        <v>0</v>
      </c>
      <c r="P702" s="320">
        <v>5</v>
      </c>
      <c r="Q702" s="321">
        <f>IF(AND(P702&gt;0,O702&gt;0),(1-O702/P702)*100,0)</f>
        <v>0</v>
      </c>
      <c r="R702" s="699"/>
      <c r="S702" s="762"/>
      <c r="T702" s="765">
        <f t="shared" si="377"/>
        <v>0</v>
      </c>
      <c r="U702" s="700"/>
      <c r="V702" s="701"/>
      <c r="W702" s="701"/>
      <c r="X702" s="295">
        <f t="shared" si="372"/>
        <v>0</v>
      </c>
      <c r="Y702" s="296">
        <f>IF(AA702&gt;0,V702,AE698/IF(Iniciar!$C$25="B X 40 K",40,IF(Iniciar!$C$25="B X 50 K",50,1))*I702/1000)</f>
        <v>0</v>
      </c>
      <c r="Z702" s="296">
        <f t="shared" si="373"/>
        <v>0</v>
      </c>
      <c r="AA702" s="297">
        <f t="shared" si="398"/>
        <v>0</v>
      </c>
      <c r="AB702" s="297">
        <f t="shared" si="367"/>
        <v>0</v>
      </c>
      <c r="AC702" s="2035" t="str">
        <f>$AC$9</f>
        <v xml:space="preserve">Total Litros Sem: </v>
      </c>
      <c r="AD702" s="2036"/>
      <c r="AE702" s="2050">
        <f>SUM(R698:R704)</f>
        <v>0</v>
      </c>
      <c r="AF702" s="2051"/>
      <c r="AG702" s="554" t="str">
        <f>$AG$9</f>
        <v xml:space="preserve">Indicador Eficiencia : </v>
      </c>
      <c r="AH702" s="555">
        <f>IF(AND(AE702&gt;0,O699&gt;0,O700&gt;0,SUM(L698:L704)&gt;0),(PROD!AH701/O699)*K704*100/(AE702/(SUM(L698:L704)*O700/1000)),0)</f>
        <v>0</v>
      </c>
      <c r="AI702" s="555">
        <f>IF(AND(P699&gt;0,PROD!AI700&gt;0),(PROD!AI701/P699)*(1-K703)*100/(AE699/PROD!AI700),0)</f>
        <v>0</v>
      </c>
      <c r="AJ702" s="331">
        <f t="shared" si="396"/>
        <v>0</v>
      </c>
      <c r="AK702" s="2027"/>
      <c r="AL702" s="1284">
        <f t="shared" si="368"/>
        <v>0</v>
      </c>
      <c r="AM702" s="1285"/>
      <c r="AN702" s="1285"/>
      <c r="AO702" s="1285"/>
      <c r="AP702" s="1285"/>
      <c r="AQ702" s="1285"/>
      <c r="AR702" s="1285"/>
      <c r="AS702" s="1286"/>
      <c r="AT702" s="1287"/>
      <c r="AU702" s="1288"/>
      <c r="AV702" s="1289"/>
      <c r="AW702" s="1290"/>
      <c r="AX702" s="1291"/>
      <c r="AY702" s="1291"/>
      <c r="AZ702" s="1292"/>
      <c r="BA702" s="1293"/>
      <c r="BB702" s="1294"/>
      <c r="BC702" s="1295"/>
      <c r="BD702" s="1296">
        <f>BD701+PROD!L702-BA702</f>
        <v>0</v>
      </c>
      <c r="BE702" s="2133"/>
      <c r="BF702" s="507" t="e">
        <f t="shared" si="369"/>
        <v>#VALUE!</v>
      </c>
      <c r="BG702" s="329"/>
      <c r="BH702" s="1018">
        <f t="shared" si="370"/>
        <v>0</v>
      </c>
    </row>
    <row r="703" spans="1:60" ht="15" customHeight="1" x14ac:dyDescent="0.3">
      <c r="A703" s="2033"/>
      <c r="B703" s="287" t="str">
        <f t="shared" si="371"/>
        <v/>
      </c>
      <c r="C703" s="288" t="str">
        <f t="shared" si="366"/>
        <v/>
      </c>
      <c r="D703" s="691"/>
      <c r="E703" s="692"/>
      <c r="F703" s="693"/>
      <c r="G703" s="694"/>
      <c r="H703" s="695"/>
      <c r="I703" s="289">
        <f>I702-SUM($D703:F703)</f>
        <v>0</v>
      </c>
      <c r="J703" s="1237" t="str">
        <f>$J$10</f>
        <v>% Mort/Sel Acm Tab :</v>
      </c>
      <c r="K703" s="1238">
        <f>IFERROR(LOOKUP($A698,TP!$A$6:$A$108,GSh!$AR$6:$AR$108)/100,0)</f>
        <v>0</v>
      </c>
      <c r="L703" s="1246"/>
      <c r="M703" s="291">
        <f t="shared" si="397"/>
        <v>0</v>
      </c>
      <c r="N703" s="292" t="str">
        <f>$N$10</f>
        <v xml:space="preserve">Uniformidad (C. Lote) : </v>
      </c>
      <c r="O703" s="320">
        <f>LOOKUP($A698,'Pr-Sem'!$A$6:$A$108,'Pr-Sem'!$AG$6:$AG$108)</f>
        <v>0</v>
      </c>
      <c r="P703" s="320">
        <v>90</v>
      </c>
      <c r="Q703" s="321">
        <f>IF(AND(P703&gt;0,O703&gt;0),(O703/P703-1)*100,0)</f>
        <v>0</v>
      </c>
      <c r="R703" s="699"/>
      <c r="S703" s="762"/>
      <c r="T703" s="765">
        <f t="shared" si="377"/>
        <v>0</v>
      </c>
      <c r="U703" s="700"/>
      <c r="V703" s="701"/>
      <c r="W703" s="701"/>
      <c r="X703" s="295">
        <f t="shared" si="372"/>
        <v>0</v>
      </c>
      <c r="Y703" s="296">
        <f>IF(AA703&gt;0,V703,AE698/IF(Iniciar!$C$25="B X 40 K",40,IF(Iniciar!$C$25="B X 50 K",50,1))*I703/1000)</f>
        <v>0</v>
      </c>
      <c r="Z703" s="296">
        <f t="shared" si="373"/>
        <v>0</v>
      </c>
      <c r="AA703" s="297">
        <f t="shared" si="398"/>
        <v>0</v>
      </c>
      <c r="AB703" s="297">
        <f t="shared" si="367"/>
        <v>0</v>
      </c>
      <c r="AC703" s="2037" t="str">
        <f>$AC$10</f>
        <v xml:space="preserve">Cons ml /ave día: </v>
      </c>
      <c r="AD703" s="2038"/>
      <c r="AE703" s="2056">
        <f>IFERROR(SUMPRODUCT(AB698:AB704,I698:I704)/SUM(I698:I704),0)</f>
        <v>0</v>
      </c>
      <c r="AF703" s="2057"/>
      <c r="AG703" s="311" t="str">
        <f>CONCATENATE("Costo ",Iniciar!$C$25," : ")</f>
        <v xml:space="preserve">Costo Kilos : </v>
      </c>
      <c r="AH703" s="2043">
        <f>IFERROR(SUMPRODUCT(T698:T704,V698:V704)/SUMIF(T698:T704,"&gt;0",V698:V704),0)</f>
        <v>0</v>
      </c>
      <c r="AI703" s="2043"/>
      <c r="AJ703" s="313"/>
      <c r="AK703" s="2027"/>
      <c r="AL703" s="1284">
        <f t="shared" si="368"/>
        <v>0</v>
      </c>
      <c r="AM703" s="1285"/>
      <c r="AN703" s="1285"/>
      <c r="AO703" s="1285"/>
      <c r="AP703" s="1285"/>
      <c r="AQ703" s="1285"/>
      <c r="AR703" s="1285"/>
      <c r="AS703" s="1286"/>
      <c r="AT703" s="1287"/>
      <c r="AU703" s="1288"/>
      <c r="AV703" s="1289"/>
      <c r="AW703" s="1290"/>
      <c r="AX703" s="1291"/>
      <c r="AY703" s="1291"/>
      <c r="AZ703" s="1292"/>
      <c r="BA703" s="1293"/>
      <c r="BB703" s="1294"/>
      <c r="BC703" s="1295"/>
      <c r="BD703" s="1296">
        <f>BD702+PROD!L703-BA703</f>
        <v>0</v>
      </c>
      <c r="BE703" s="2133"/>
      <c r="BF703" s="507" t="e">
        <f t="shared" si="369"/>
        <v>#VALUE!</v>
      </c>
      <c r="BG703" s="329"/>
      <c r="BH703" s="1018">
        <f t="shared" si="370"/>
        <v>0</v>
      </c>
    </row>
    <row r="704" spans="1:60" ht="15" customHeight="1" x14ac:dyDescent="0.3">
      <c r="A704" s="2034"/>
      <c r="B704" s="287" t="str">
        <f t="shared" si="371"/>
        <v/>
      </c>
      <c r="C704" s="288" t="str">
        <f t="shared" si="366"/>
        <v/>
      </c>
      <c r="D704" s="691"/>
      <c r="E704" s="692"/>
      <c r="F704" s="693"/>
      <c r="G704" s="694"/>
      <c r="H704" s="695"/>
      <c r="I704" s="289">
        <f>I703-SUM($D704:F704)</f>
        <v>0</v>
      </c>
      <c r="J704" s="1239" t="str">
        <f>$J$11</f>
        <v>% Viabilidad :</v>
      </c>
      <c r="K704" s="1240">
        <f>IF(OR(SUM(L698:L704)&gt;0,SUM(V698:V704)&gt;0),1-(K701+K702),0)</f>
        <v>0</v>
      </c>
      <c r="L704" s="1247"/>
      <c r="M704" s="1248">
        <f>IF(I704&gt;0,(L704/IF(SUM(L698:L703)&gt;0,1,7))/I704,0)</f>
        <v>0</v>
      </c>
      <c r="N704" s="1249" t="str">
        <f>$N$11</f>
        <v xml:space="preserve">Uniformidad (10% +) : </v>
      </c>
      <c r="O704" s="1250">
        <f>IF(O702&gt;0,IF(O703&gt;0,100-SUM(O702:O703),0),0)</f>
        <v>0</v>
      </c>
      <c r="P704" s="1251">
        <f>100-SUM(P702:P703)</f>
        <v>5</v>
      </c>
      <c r="Q704" s="1252">
        <f>IF(AND(P704&gt;0,O704&gt;0),(O704/P704-1)*100,0)</f>
        <v>0</v>
      </c>
      <c r="R704" s="699"/>
      <c r="S704" s="762"/>
      <c r="T704" s="765">
        <f t="shared" si="377"/>
        <v>0</v>
      </c>
      <c r="U704" s="700"/>
      <c r="V704" s="701"/>
      <c r="W704" s="701"/>
      <c r="X704" s="295">
        <f t="shared" si="372"/>
        <v>0</v>
      </c>
      <c r="Y704" s="296">
        <f>IF(AA704&gt;0,V704,AE698/IF(Iniciar!$C$25="B X 40 K",40,IF(Iniciar!$C$25="B X 50 K",50,1))*I704/1000)</f>
        <v>0</v>
      </c>
      <c r="Z704" s="296">
        <f t="shared" si="373"/>
        <v>0</v>
      </c>
      <c r="AA704" s="297">
        <f>IF(I704&gt;0,(V704/IF(SUM(V698:V703)&gt;0,1,7))*$A$1/I704,0)</f>
        <v>0</v>
      </c>
      <c r="AB704" s="297">
        <f t="shared" si="367"/>
        <v>0</v>
      </c>
      <c r="AC704" s="2039" t="str">
        <f>$AC$11</f>
        <v xml:space="preserve">Relación Agua /Alimto: </v>
      </c>
      <c r="AD704" s="2040"/>
      <c r="AE704" s="2058">
        <f>IFERROR(AE703/AD698,0)</f>
        <v>0</v>
      </c>
      <c r="AF704" s="2059"/>
      <c r="AG704" s="1269" t="s">
        <v>237</v>
      </c>
      <c r="AH704" s="1270">
        <f>IF(SUM(L698:L704)&gt;0,AH703*SUM(V698:V704)/SUM(L698:L704),0)</f>
        <v>0</v>
      </c>
      <c r="AI704" s="1270">
        <f>IF(AND($A$1&gt;0,P698&gt;0),AH703/$A$1*(AE698/P698)*100,0)</f>
        <v>0</v>
      </c>
      <c r="AJ704" s="1271">
        <f t="shared" ref="AJ704:AJ709" si="399">IF(AND(AI704&gt;0,AH704&gt;0),(AH704/AI704-1)*100,0)</f>
        <v>0</v>
      </c>
      <c r="AK704" s="2028"/>
      <c r="AL704" s="1284">
        <f t="shared" si="368"/>
        <v>0</v>
      </c>
      <c r="AM704" s="1285"/>
      <c r="AN704" s="1285"/>
      <c r="AO704" s="1285"/>
      <c r="AP704" s="1285"/>
      <c r="AQ704" s="1285"/>
      <c r="AR704" s="1285"/>
      <c r="AS704" s="1286"/>
      <c r="AT704" s="1287"/>
      <c r="AU704" s="1288"/>
      <c r="AV704" s="1289"/>
      <c r="AW704" s="1290"/>
      <c r="AX704" s="1291"/>
      <c r="AY704" s="1291"/>
      <c r="AZ704" s="1292"/>
      <c r="BA704" s="1293"/>
      <c r="BB704" s="1294"/>
      <c r="BC704" s="1295"/>
      <c r="BD704" s="1296">
        <f>BD703+PROD!L704-BA704</f>
        <v>0</v>
      </c>
      <c r="BE704" s="2134"/>
      <c r="BF704" s="507" t="e">
        <f t="shared" si="369"/>
        <v>#VALUE!</v>
      </c>
      <c r="BG704" s="329"/>
      <c r="BH704" s="1018">
        <f t="shared" si="370"/>
        <v>0</v>
      </c>
    </row>
    <row r="705" spans="1:60" ht="15" customHeight="1" x14ac:dyDescent="0.3">
      <c r="A705" s="2032">
        <f>A698+1</f>
        <v>118</v>
      </c>
      <c r="B705" s="287" t="str">
        <f t="shared" si="371"/>
        <v/>
      </c>
      <c r="C705" s="288" t="str">
        <f t="shared" si="366"/>
        <v/>
      </c>
      <c r="D705" s="691"/>
      <c r="E705" s="692"/>
      <c r="F705" s="693"/>
      <c r="G705" s="694"/>
      <c r="H705" s="695"/>
      <c r="I705" s="289">
        <f>I704-SUM($D705:F705)</f>
        <v>0</v>
      </c>
      <c r="J705" s="1232" t="str">
        <f>$J$5</f>
        <v>% Mort Sem :</v>
      </c>
      <c r="K705" s="1233">
        <f>IF(PROD!$K$2&gt;0,SUM(D705:D711)/PROD!$K$2,0)</f>
        <v>0</v>
      </c>
      <c r="L705" s="1241"/>
      <c r="M705" s="1242">
        <f t="shared" ref="M705:M710" si="400">IF(I705&gt;0,L705/I705,0)</f>
        <v>0</v>
      </c>
      <c r="N705" s="1243" t="str">
        <f>$N$5</f>
        <v xml:space="preserve">% Pdn prom semana : </v>
      </c>
      <c r="O705" s="1244">
        <f>IF(SUM(L705:L710)&gt;0,100*SUMPRODUCT(M705:M711,I705:I711)/SUMIF(L705:L711,"&gt;0",I705:I711),IF(L711&gt;0,100*L711/7/I711,0))</f>
        <v>0</v>
      </c>
      <c r="P705" s="1244">
        <f>IFERROR(LOOKUP($A705,TP!$A$6:$A$108,GSh!$AE$6:$AE$108),0)</f>
        <v>0</v>
      </c>
      <c r="Q705" s="1245">
        <f>IF(AND(P705&gt;0,O705&gt;0),O705-P705,0)</f>
        <v>0</v>
      </c>
      <c r="R705" s="699"/>
      <c r="S705" s="762"/>
      <c r="T705" s="765">
        <f t="shared" si="377"/>
        <v>0</v>
      </c>
      <c r="U705" s="700"/>
      <c r="V705" s="701"/>
      <c r="W705" s="701"/>
      <c r="X705" s="295">
        <f t="shared" si="372"/>
        <v>0</v>
      </c>
      <c r="Y705" s="296">
        <f>IF(AA705&gt;0,V705,AE705/IF(Iniciar!$C$25="B X 40 K",40,IF(Iniciar!$C$25="B X 50 K",50,1))*I705/1000)</f>
        <v>0</v>
      </c>
      <c r="Z705" s="296">
        <f t="shared" si="373"/>
        <v>0</v>
      </c>
      <c r="AA705" s="297">
        <f t="shared" ref="AA705:AA710" si="401">IF(I705&gt;0,V705*$A$1/I705,0)</f>
        <v>0</v>
      </c>
      <c r="AB705" s="297">
        <f t="shared" si="367"/>
        <v>0</v>
      </c>
      <c r="AC705" s="1261" t="str">
        <f>$AC$5</f>
        <v>Gr. Ave Dia :</v>
      </c>
      <c r="AD705" s="1262">
        <f>IF(SUMIF(V705:V711,"&gt;0")&gt;0,SUMPRODUCT(AA705:AA711,I705:I711)/SUMIF(AA705:AA711,"&gt;0",I705:I711),0)</f>
        <v>0</v>
      </c>
      <c r="AE705" s="1262">
        <f>IFERROR(LOOKUP($A705,TP!$A$6:$A$108,GSh!$AU$6:$AU$108),0)</f>
        <v>0</v>
      </c>
      <c r="AF705" s="1263">
        <f>IF(AND(AE705&gt;0,AD705&gt;0),(AD705/AE705-1)*100,0)</f>
        <v>0</v>
      </c>
      <c r="AG705" s="1264" t="str">
        <f>PROD!$AG$5</f>
        <v>Gr X H</v>
      </c>
      <c r="AH705" s="1265">
        <f>IF(PROD!O705&gt;0,IF($AG705="Gr X H",PROD!AD705/PROD!O705*100,IF($AG705="Conv Kg/Doc",PROD!AD705/PROD!O705*1.2,IF(PROD!$O707&gt;0,PROD!AD705/(PROD!O705*PROD!$O707)*100,0))),0)</f>
        <v>0</v>
      </c>
      <c r="AI705" s="1265">
        <f>IF(PROD!P705&gt;0,IF($AG705="Gr X H",PROD!AE705/PROD!P705*100,IF($AG705="Conv Kg/Doc",PROD!AE705/PROD!P705*1.2,IF(PROD!$P707&gt;0,PROD!AE705/(PROD!P705*PROD!$P707)*100,0))),0)</f>
        <v>0</v>
      </c>
      <c r="AJ705" s="1266">
        <f t="shared" si="399"/>
        <v>0</v>
      </c>
      <c r="AK705" s="2026"/>
      <c r="AL705" s="1284">
        <f t="shared" si="368"/>
        <v>0</v>
      </c>
      <c r="AM705" s="1285"/>
      <c r="AN705" s="1285"/>
      <c r="AO705" s="1285"/>
      <c r="AP705" s="1285"/>
      <c r="AQ705" s="1285"/>
      <c r="AR705" s="1285"/>
      <c r="AS705" s="1286"/>
      <c r="AT705" s="1287"/>
      <c r="AU705" s="1288"/>
      <c r="AV705" s="1289"/>
      <c r="AW705" s="1290"/>
      <c r="AX705" s="1291"/>
      <c r="AY705" s="1291"/>
      <c r="AZ705" s="1292"/>
      <c r="BA705" s="1293"/>
      <c r="BB705" s="1294"/>
      <c r="BC705" s="1295"/>
      <c r="BD705" s="1296">
        <f>BD704+PROD!L705-BA705</f>
        <v>0</v>
      </c>
      <c r="BE705" s="2132">
        <f>IF(SUM(AM705:AZ711)&gt;0,(SUM(AM705:AM711)*$AM$2+SUM(AN705:AN711)*$AN$2+SUM(AO705:AO711)*$AO$2+SUM(AP705:AP711)*$AP$2+SUM(AQ705:AQ711)*$AQ$2+SUM(AR705:AR711)*$AR$2+SUM(AS705:AS711)*$AS$2+SUM(AW705:AW711)*$AW$2+SUM(AX705:AX711)*$AX$2+SUM(AY705:AY711)*$AY$2+SUM(AZ705:AZ711)*$AZ$2+SUM(AT705:AT711)*$AT$2+SUM(AU705:AU711)*$AU$2+SUM(AV705:AV711)*$AV$2)/SUM(AM705:AZ711),0)</f>
        <v>0</v>
      </c>
      <c r="BF705" s="507" t="e">
        <f t="shared" si="369"/>
        <v>#VALUE!</v>
      </c>
      <c r="BG705" s="277">
        <f>IF(SUM(L705:L711)&gt;0,A705,IF(SUM(V705:V711)&gt;0,A705,BG698))</f>
        <v>0</v>
      </c>
      <c r="BH705" s="1018">
        <f t="shared" si="370"/>
        <v>0</v>
      </c>
    </row>
    <row r="706" spans="1:60" ht="15" customHeight="1" x14ac:dyDescent="0.3">
      <c r="A706" s="2033"/>
      <c r="B706" s="287" t="str">
        <f t="shared" si="371"/>
        <v/>
      </c>
      <c r="C706" s="288" t="str">
        <f t="shared" si="366"/>
        <v/>
      </c>
      <c r="D706" s="691"/>
      <c r="E706" s="692"/>
      <c r="F706" s="693"/>
      <c r="G706" s="694"/>
      <c r="H706" s="695"/>
      <c r="I706" s="289">
        <f>I705-SUM($D706:F706)</f>
        <v>0</v>
      </c>
      <c r="J706" s="1234" t="str">
        <f>$J$6</f>
        <v>% Sel Sem :</v>
      </c>
      <c r="K706" s="1231">
        <f>IF(PROD!$K$2&gt;0,SUM(E705:E711)/PROD!$K$2,0)</f>
        <v>0</v>
      </c>
      <c r="L706" s="1246"/>
      <c r="M706" s="291">
        <f t="shared" si="400"/>
        <v>0</v>
      </c>
      <c r="N706" s="292" t="str">
        <f>$N$6</f>
        <v xml:space="preserve">H. Ave Alojada : </v>
      </c>
      <c r="O706" s="293">
        <f>IF(AND(PROD!$K$2&gt;0,O705&gt;0),SUM(L$5:L711)/PROD!$K$2,0)</f>
        <v>0</v>
      </c>
      <c r="P706" s="293">
        <f>IFERROR(LOOKUP($A705,TP!$A$6:$A$108,GSh!$AJ$6:$AJ$108),0)</f>
        <v>0</v>
      </c>
      <c r="Q706" s="294">
        <f>IF(AND(P706&gt;0,O706&gt;0),O706-P706,0)</f>
        <v>0</v>
      </c>
      <c r="R706" s="699"/>
      <c r="S706" s="762"/>
      <c r="T706" s="765">
        <f t="shared" si="377"/>
        <v>0</v>
      </c>
      <c r="U706" s="700"/>
      <c r="V706" s="701"/>
      <c r="W706" s="701"/>
      <c r="X706" s="295">
        <f t="shared" si="372"/>
        <v>0</v>
      </c>
      <c r="Y706" s="296">
        <f>IF(AA706&gt;0,V706,AE705/IF(Iniciar!$C$25="B X 40 K",40,IF(Iniciar!$C$25="B X 50 K",50,1))*I706/1000)</f>
        <v>0</v>
      </c>
      <c r="Z706" s="296">
        <f t="shared" si="373"/>
        <v>0</v>
      </c>
      <c r="AA706" s="297">
        <f t="shared" si="401"/>
        <v>0</v>
      </c>
      <c r="AB706" s="297">
        <f t="shared" si="367"/>
        <v>0</v>
      </c>
      <c r="AC706" s="1267" t="str">
        <f>$AC$6</f>
        <v>Gr. Ave Sem :</v>
      </c>
      <c r="AD706" s="284">
        <f>AD705*7</f>
        <v>0</v>
      </c>
      <c r="AE706" s="284">
        <f>AE705*7</f>
        <v>0</v>
      </c>
      <c r="AF706" s="285">
        <f>IF(AND(AE706&gt;0,AD706&gt;0),(AD706/AE706-1)*100,0)</f>
        <v>0</v>
      </c>
      <c r="AG706" s="1199" t="str">
        <f>PROD!$AG$6</f>
        <v>Gr X H Acm</v>
      </c>
      <c r="AH706" s="298">
        <f>IF(SUM(PROD!L705:L711)&gt;0,IF(PROD!$AG$5="Gr X H",SUM(PROD!V$5:V711)*PROD!$A$1/SUM(PROD!L$5:L711),IF($AG705="Conv Kg/Doc",(SUM(PROD!V$5:V711)*PROD!$A$1/1000)/(SUM(PROD!L$5:L711)/12),IF(PROD!$O707&gt;0,SUM(PROD!V$5:V711)*PROD!$A$1/(SUM(PROD!L$5:L711)*LOOKUP(PROD!A705,TP!$A$6:$A$108,GSh!$BB$6:$BB$108)),0))),0)</f>
        <v>0</v>
      </c>
      <c r="AI706" s="298">
        <f>IF(PROD!P705&gt;0,IF($AG705="Gr X H",PROD!AE705/PROD!P705*100,IF($AG705="Conv Kg/Doc",PROD!AE705/PROD!P705*1.2,IF(PROD!$P706&gt;0,PROD!AE707/(PROD!P706*LOOKUP(PROD!$A705,TP!$A$6:$A$108,GSh!$BC$6:$BC$108)/1000),0))),0)</f>
        <v>0</v>
      </c>
      <c r="AJ706" s="328">
        <f t="shared" si="399"/>
        <v>0</v>
      </c>
      <c r="AK706" s="2027"/>
      <c r="AL706" s="1284">
        <f t="shared" si="368"/>
        <v>0</v>
      </c>
      <c r="AM706" s="1285"/>
      <c r="AN706" s="1285"/>
      <c r="AO706" s="1285"/>
      <c r="AP706" s="1285"/>
      <c r="AQ706" s="1285"/>
      <c r="AR706" s="1285"/>
      <c r="AS706" s="1286"/>
      <c r="AT706" s="1287"/>
      <c r="AU706" s="1288"/>
      <c r="AV706" s="1289"/>
      <c r="AW706" s="1290"/>
      <c r="AX706" s="1291"/>
      <c r="AY706" s="1291"/>
      <c r="AZ706" s="1292"/>
      <c r="BA706" s="1293"/>
      <c r="BB706" s="1294"/>
      <c r="BC706" s="1295"/>
      <c r="BD706" s="1296">
        <f>BD705+PROD!L706-BA706</f>
        <v>0</v>
      </c>
      <c r="BE706" s="2133"/>
      <c r="BF706" s="507" t="e">
        <f t="shared" si="369"/>
        <v>#VALUE!</v>
      </c>
      <c r="BG706" s="329"/>
      <c r="BH706" s="1018">
        <f t="shared" si="370"/>
        <v>0</v>
      </c>
    </row>
    <row r="707" spans="1:60" ht="15" customHeight="1" x14ac:dyDescent="0.3">
      <c r="A707" s="2033"/>
      <c r="B707" s="287" t="str">
        <f t="shared" si="371"/>
        <v/>
      </c>
      <c r="C707" s="288" t="str">
        <f t="shared" si="366"/>
        <v/>
      </c>
      <c r="D707" s="691"/>
      <c r="E707" s="692"/>
      <c r="F707" s="693"/>
      <c r="G707" s="694"/>
      <c r="H707" s="695"/>
      <c r="I707" s="289">
        <f>I706-SUM($D707:F707)</f>
        <v>0</v>
      </c>
      <c r="J707" s="1235" t="str">
        <f>$J$7</f>
        <v>% Mort/Sel Sem Tab :</v>
      </c>
      <c r="K707" s="1236">
        <f>K710-K703</f>
        <v>0</v>
      </c>
      <c r="L707" s="1246"/>
      <c r="M707" s="291">
        <f t="shared" si="400"/>
        <v>0</v>
      </c>
      <c r="N707" s="304" t="str">
        <f>$N$7</f>
        <v xml:space="preserve">Peso Huevo (Gr) : </v>
      </c>
      <c r="O707" s="305">
        <f>LOOKUP($A705,'Pr-Sem'!$A$6:$A$108,'Pr-Sem'!$Z$6:$Z$108)</f>
        <v>0</v>
      </c>
      <c r="P707" s="305">
        <f>IFERROR(LOOKUP($A705,TP!$A$6:$A$108,GSh!$AZ$6:$AZ$108),0)</f>
        <v>0</v>
      </c>
      <c r="Q707" s="306">
        <f>IF(AND(P707&gt;0,O707&gt;0),O707-P707,0)</f>
        <v>0</v>
      </c>
      <c r="R707" s="699"/>
      <c r="S707" s="762"/>
      <c r="T707" s="765">
        <f t="shared" si="377"/>
        <v>0</v>
      </c>
      <c r="U707" s="700"/>
      <c r="V707" s="701"/>
      <c r="W707" s="701"/>
      <c r="X707" s="295">
        <f t="shared" si="372"/>
        <v>0</v>
      </c>
      <c r="Y707" s="296">
        <f>IF(AA707&gt;0,V707,AE705/IF(Iniciar!$C$25="B X 40 K",40,IF(Iniciar!$C$25="B X 50 K",50,1))*I707/1000)</f>
        <v>0</v>
      </c>
      <c r="Z707" s="296">
        <f t="shared" si="373"/>
        <v>0</v>
      </c>
      <c r="AA707" s="297">
        <f t="shared" si="401"/>
        <v>0</v>
      </c>
      <c r="AB707" s="297">
        <f t="shared" si="367"/>
        <v>0</v>
      </c>
      <c r="AC707" s="1268" t="str">
        <f>$AC$7</f>
        <v>Kg Ave Acu :</v>
      </c>
      <c r="AD707" s="308">
        <f>IF(OR(SUM(L705:L711)&gt;0,SUM(V705:V711)&gt;0),AD706/1000+AD700,0)</f>
        <v>0</v>
      </c>
      <c r="AE707" s="309">
        <f>AE706/1000+AE700</f>
        <v>0</v>
      </c>
      <c r="AF707" s="310">
        <f>IF(AND(AE707&gt;0,AD707&gt;0),(AD707/AE707-1)*100,0)</f>
        <v>0</v>
      </c>
      <c r="AG707" s="311" t="str">
        <f>PROD!$AG$7</f>
        <v xml:space="preserve">Masa Sem H (Gr) : </v>
      </c>
      <c r="AH707" s="312">
        <f>PROD!O705/100*7*PROD!O707</f>
        <v>0</v>
      </c>
      <c r="AI707" s="312">
        <f>PROD!P705/100*7*PROD!P707</f>
        <v>0</v>
      </c>
      <c r="AJ707" s="313">
        <f t="shared" si="399"/>
        <v>0</v>
      </c>
      <c r="AK707" s="2027"/>
      <c r="AL707" s="1284">
        <f t="shared" si="368"/>
        <v>0</v>
      </c>
      <c r="AM707" s="1285"/>
      <c r="AN707" s="1285"/>
      <c r="AO707" s="1285"/>
      <c r="AP707" s="1285"/>
      <c r="AQ707" s="1285"/>
      <c r="AR707" s="1285"/>
      <c r="AS707" s="1286"/>
      <c r="AT707" s="1287"/>
      <c r="AU707" s="1288"/>
      <c r="AV707" s="1289"/>
      <c r="AW707" s="1290"/>
      <c r="AX707" s="1291"/>
      <c r="AY707" s="1291"/>
      <c r="AZ707" s="1292"/>
      <c r="BA707" s="1293"/>
      <c r="BB707" s="1294"/>
      <c r="BC707" s="1295"/>
      <c r="BD707" s="1296">
        <f>BD706+PROD!L707-BA707</f>
        <v>0</v>
      </c>
      <c r="BE707" s="2133"/>
      <c r="BF707" s="507" t="e">
        <f t="shared" si="369"/>
        <v>#VALUE!</v>
      </c>
      <c r="BG707" s="329"/>
      <c r="BH707" s="1018">
        <f t="shared" si="370"/>
        <v>0</v>
      </c>
    </row>
    <row r="708" spans="1:60" ht="15" customHeight="1" x14ac:dyDescent="0.3">
      <c r="A708" s="2033"/>
      <c r="B708" s="287" t="str">
        <f t="shared" si="371"/>
        <v/>
      </c>
      <c r="C708" s="288" t="str">
        <f t="shared" si="366"/>
        <v/>
      </c>
      <c r="D708" s="691"/>
      <c r="E708" s="692"/>
      <c r="F708" s="693"/>
      <c r="G708" s="694"/>
      <c r="H708" s="695"/>
      <c r="I708" s="289">
        <f>I707-SUM($D708:F708)</f>
        <v>0</v>
      </c>
      <c r="J708" s="1234" t="str">
        <f>$J$8</f>
        <v>% Mort Acm :</v>
      </c>
      <c r="K708" s="1231">
        <f>IF(PROD!$K$2&gt;0,SUM(D$5:D711)/PROD!$K$2,0)</f>
        <v>0</v>
      </c>
      <c r="L708" s="1246"/>
      <c r="M708" s="291">
        <f t="shared" si="400"/>
        <v>0</v>
      </c>
      <c r="N708" s="314" t="str">
        <f>N$8</f>
        <v xml:space="preserve">Peso Ave (Gr) : </v>
      </c>
      <c r="O708" s="315">
        <f>LOOKUP($A705,GSh!$BV$6:$BV$108,GSh!$BJ$6:$BJ$108)</f>
        <v>0</v>
      </c>
      <c r="P708" s="315">
        <f>IFERROR(LOOKUP($A705,TP!$A$6:$A$108,GSh!$BK$6:$BK$108),0)</f>
        <v>0</v>
      </c>
      <c r="Q708" s="316">
        <f>IF(AND(P708&gt;0,O708&gt;0),(O708/P708-1)*100,0)</f>
        <v>0</v>
      </c>
      <c r="R708" s="699"/>
      <c r="S708" s="762"/>
      <c r="T708" s="765">
        <f t="shared" si="377"/>
        <v>0</v>
      </c>
      <c r="U708" s="700"/>
      <c r="V708" s="701"/>
      <c r="W708" s="701"/>
      <c r="X708" s="295">
        <f t="shared" si="372"/>
        <v>0</v>
      </c>
      <c r="Y708" s="296">
        <f>IF(AA708&gt;0,V708,AE705/IF(Iniciar!$C$25="B X 40 K",40,IF(Iniciar!$C$25="B X 50 K",50,1))*I708/1000)</f>
        <v>0</v>
      </c>
      <c r="Z708" s="296">
        <f t="shared" si="373"/>
        <v>0</v>
      </c>
      <c r="AA708" s="297">
        <f t="shared" si="401"/>
        <v>0</v>
      </c>
      <c r="AB708" s="297">
        <f t="shared" si="367"/>
        <v>0</v>
      </c>
      <c r="AC708" s="541" t="str">
        <f>$AC$8</f>
        <v xml:space="preserve">Ton. Lote Acu : </v>
      </c>
      <c r="AD708" s="544">
        <f>SUM($V$5:$V711)*$A$1/1000000</f>
        <v>0</v>
      </c>
      <c r="AE708" s="543">
        <f>AE701+(AE705/1000000*7*(I705+I711)/2)</f>
        <v>0</v>
      </c>
      <c r="AF708" s="542">
        <f>IF(AND(AE708&gt;0,AD708&gt;0),(AD708/AE708-1)*100,0)</f>
        <v>0</v>
      </c>
      <c r="AG708" s="317" t="str">
        <f>PROD!$AG$8</f>
        <v xml:space="preserve">Masa Ac A. A (Kg) : </v>
      </c>
      <c r="AH708" s="318">
        <f>IF(PROD!$K$2&gt;0,SUM(PROD!L$5:L711)*LOOKUP(PROD!$A705,TP!$A$6:$A$108,GSh!$BB$6:$BB$108)/1000/PROD!$K$2,0)</f>
        <v>0</v>
      </c>
      <c r="AI708" s="318">
        <f>IFERROR(PROD!P706*LOOKUP(PROD!$A705,TP!$A$6:$A$108,GSh!$BC$6:$BC$108)/1000,0)</f>
        <v>0</v>
      </c>
      <c r="AJ708" s="330">
        <f t="shared" si="399"/>
        <v>0</v>
      </c>
      <c r="AK708" s="2027"/>
      <c r="AL708" s="1284">
        <f t="shared" si="368"/>
        <v>0</v>
      </c>
      <c r="AM708" s="1285"/>
      <c r="AN708" s="1285"/>
      <c r="AO708" s="1285"/>
      <c r="AP708" s="1285"/>
      <c r="AQ708" s="1285"/>
      <c r="AR708" s="1285"/>
      <c r="AS708" s="1286"/>
      <c r="AT708" s="1287"/>
      <c r="AU708" s="1288"/>
      <c r="AV708" s="1289"/>
      <c r="AW708" s="1290"/>
      <c r="AX708" s="1291"/>
      <c r="AY708" s="1291"/>
      <c r="AZ708" s="1292"/>
      <c r="BA708" s="1293"/>
      <c r="BB708" s="1294"/>
      <c r="BC708" s="1295"/>
      <c r="BD708" s="1296">
        <f>BD707+PROD!L708-BA708</f>
        <v>0</v>
      </c>
      <c r="BE708" s="2133"/>
      <c r="BF708" s="507" t="e">
        <f t="shared" si="369"/>
        <v>#VALUE!</v>
      </c>
      <c r="BG708" s="329"/>
      <c r="BH708" s="1018">
        <f t="shared" si="370"/>
        <v>0</v>
      </c>
    </row>
    <row r="709" spans="1:60" ht="15" customHeight="1" x14ac:dyDescent="0.3">
      <c r="A709" s="2033"/>
      <c r="B709" s="287" t="str">
        <f t="shared" si="371"/>
        <v/>
      </c>
      <c r="C709" s="288" t="str">
        <f t="shared" ref="C709:C725" si="402">IF(B709="","",(B709-Fnac+1)/7)</f>
        <v/>
      </c>
      <c r="D709" s="691"/>
      <c r="E709" s="692"/>
      <c r="F709" s="693"/>
      <c r="G709" s="694"/>
      <c r="H709" s="695"/>
      <c r="I709" s="289">
        <f>I708-SUM($D709:F709)</f>
        <v>0</v>
      </c>
      <c r="J709" s="1234" t="str">
        <f>$J$9</f>
        <v>% Sel Acm :</v>
      </c>
      <c r="K709" s="1231">
        <f>IF(PROD!$K$2&gt;0,SUM(E$5:E711)/PROD!$K$2,0)</f>
        <v>0</v>
      </c>
      <c r="L709" s="1246"/>
      <c r="M709" s="291">
        <f t="shared" si="400"/>
        <v>0</v>
      </c>
      <c r="N709" s="292" t="str">
        <f>$N$9</f>
        <v xml:space="preserve">Uniformidad (10% -) : </v>
      </c>
      <c r="O709" s="320">
        <f>LOOKUP($A705,'Pr-Sem'!$A$6:$A$108,'Pr-Sem'!$AH$6:$AH$108)</f>
        <v>0</v>
      </c>
      <c r="P709" s="320">
        <v>5</v>
      </c>
      <c r="Q709" s="321">
        <f>IF(AND(P709&gt;0,O709&gt;0),(1-O709/P709)*100,0)</f>
        <v>0</v>
      </c>
      <c r="R709" s="699"/>
      <c r="S709" s="762"/>
      <c r="T709" s="765">
        <f t="shared" si="377"/>
        <v>0</v>
      </c>
      <c r="U709" s="700"/>
      <c r="V709" s="701"/>
      <c r="W709" s="701"/>
      <c r="X709" s="295">
        <f t="shared" si="372"/>
        <v>0</v>
      </c>
      <c r="Y709" s="296">
        <f>IF(AA709&gt;0,V709,AE705/IF(Iniciar!$C$25="B X 40 K",40,IF(Iniciar!$C$25="B X 50 K",50,1))*I709/1000)</f>
        <v>0</v>
      </c>
      <c r="Z709" s="296">
        <f t="shared" si="373"/>
        <v>0</v>
      </c>
      <c r="AA709" s="297">
        <f t="shared" si="401"/>
        <v>0</v>
      </c>
      <c r="AB709" s="297">
        <f t="shared" ref="AB709:AB725" si="403">IFERROR(R709*1000/I709,0)</f>
        <v>0</v>
      </c>
      <c r="AC709" s="2035" t="str">
        <f>$AC$9</f>
        <v xml:space="preserve">Total Litros Sem: </v>
      </c>
      <c r="AD709" s="2036"/>
      <c r="AE709" s="2050">
        <f>SUM(R705:R711)</f>
        <v>0</v>
      </c>
      <c r="AF709" s="2051"/>
      <c r="AG709" s="554" t="str">
        <f>$AG$9</f>
        <v xml:space="preserve">Indicador Eficiencia : </v>
      </c>
      <c r="AH709" s="555">
        <f>IF(AND(AE709&gt;0,O706&gt;0,O707&gt;0,SUM(L705:L711)&gt;0),(PROD!AH708/O706)*K711*100/(AE709/(SUM(L705:L711)*O707/1000)),0)</f>
        <v>0</v>
      </c>
      <c r="AI709" s="555">
        <f>IF(AND(P706&gt;0,PROD!AI707&gt;0),(PROD!AI708/P706)*(1-K710)*100/(AE706/PROD!AI707),0)</f>
        <v>0</v>
      </c>
      <c r="AJ709" s="331">
        <f t="shared" si="399"/>
        <v>0</v>
      </c>
      <c r="AK709" s="2027"/>
      <c r="AL709" s="1284">
        <f t="shared" ref="AL709:AL725" si="404">L709-SUM(AM709:AS709)-SUM(AW709:AZ709)-SUM(AT709:AV709)</f>
        <v>0</v>
      </c>
      <c r="AM709" s="1285"/>
      <c r="AN709" s="1285"/>
      <c r="AO709" s="1285"/>
      <c r="AP709" s="1285"/>
      <c r="AQ709" s="1285"/>
      <c r="AR709" s="1285"/>
      <c r="AS709" s="1286"/>
      <c r="AT709" s="1287"/>
      <c r="AU709" s="1288"/>
      <c r="AV709" s="1289"/>
      <c r="AW709" s="1290"/>
      <c r="AX709" s="1291"/>
      <c r="AY709" s="1291"/>
      <c r="AZ709" s="1292"/>
      <c r="BA709" s="1293"/>
      <c r="BB709" s="1294"/>
      <c r="BC709" s="1295"/>
      <c r="BD709" s="1296">
        <f>BD708+PROD!L709-BA709</f>
        <v>0</v>
      </c>
      <c r="BE709" s="2133"/>
      <c r="BF709" s="507" t="e">
        <f t="shared" ref="BF709:BF725" si="405">INT((B709-Fnac)/7)+1</f>
        <v>#VALUE!</v>
      </c>
      <c r="BG709" s="329"/>
      <c r="BH709" s="1018">
        <f t="shared" ref="BH709:BH725" si="406">T709*V709</f>
        <v>0</v>
      </c>
    </row>
    <row r="710" spans="1:60" ht="15" customHeight="1" x14ac:dyDescent="0.3">
      <c r="A710" s="2033"/>
      <c r="B710" s="287" t="str">
        <f t="shared" ref="B710:B725" si="407">IF(B709="","",B709+1)</f>
        <v/>
      </c>
      <c r="C710" s="288" t="str">
        <f t="shared" si="402"/>
        <v/>
      </c>
      <c r="D710" s="691"/>
      <c r="E710" s="692"/>
      <c r="F710" s="693"/>
      <c r="G710" s="694"/>
      <c r="H710" s="695"/>
      <c r="I710" s="289">
        <f>I709-SUM($D710:F710)</f>
        <v>0</v>
      </c>
      <c r="J710" s="1237" t="str">
        <f>$J$10</f>
        <v>% Mort/Sel Acm Tab :</v>
      </c>
      <c r="K710" s="1238">
        <f>IFERROR(LOOKUP($A705,TP!$A$6:$A$108,GSh!$AR$6:$AR$108)/100,0)</f>
        <v>0</v>
      </c>
      <c r="L710" s="1246"/>
      <c r="M710" s="291">
        <f t="shared" si="400"/>
        <v>0</v>
      </c>
      <c r="N710" s="292" t="str">
        <f>$N$10</f>
        <v xml:space="preserve">Uniformidad (C. Lote) : </v>
      </c>
      <c r="O710" s="320">
        <f>LOOKUP($A705,'Pr-Sem'!$A$6:$A$108,'Pr-Sem'!$AG$6:$AG$108)</f>
        <v>0</v>
      </c>
      <c r="P710" s="320">
        <v>90</v>
      </c>
      <c r="Q710" s="321">
        <f>IF(AND(P710&gt;0,O710&gt;0),(O710/P710-1)*100,0)</f>
        <v>0</v>
      </c>
      <c r="R710" s="699"/>
      <c r="S710" s="762"/>
      <c r="T710" s="765">
        <f t="shared" si="377"/>
        <v>0</v>
      </c>
      <c r="U710" s="700"/>
      <c r="V710" s="701"/>
      <c r="W710" s="701"/>
      <c r="X710" s="295">
        <f t="shared" ref="X710:X725" si="408">X709+U710-V710-W710</f>
        <v>0</v>
      </c>
      <c r="Y710" s="296">
        <f>IF(AA710&gt;0,V710,AE705/IF(Iniciar!$C$25="B X 40 K",40,IF(Iniciar!$C$25="B X 50 K",50,1))*I710/1000)</f>
        <v>0</v>
      </c>
      <c r="Z710" s="296">
        <f t="shared" ref="Z710:Z725" si="409">Z709+U710-Y710-W710</f>
        <v>0</v>
      </c>
      <c r="AA710" s="297">
        <f t="shared" si="401"/>
        <v>0</v>
      </c>
      <c r="AB710" s="297">
        <f t="shared" si="403"/>
        <v>0</v>
      </c>
      <c r="AC710" s="2037" t="str">
        <f>$AC$10</f>
        <v xml:space="preserve">Cons ml /ave día: </v>
      </c>
      <c r="AD710" s="2038"/>
      <c r="AE710" s="2056">
        <f>IFERROR(SUMPRODUCT(AB705:AB711,I705:I711)/SUM(I705:I711),0)</f>
        <v>0</v>
      </c>
      <c r="AF710" s="2057"/>
      <c r="AG710" s="311" t="str">
        <f>CONCATENATE("Costo ",Iniciar!$C$25," : ")</f>
        <v xml:space="preserve">Costo Kilos : </v>
      </c>
      <c r="AH710" s="2043">
        <f>IFERROR(SUMPRODUCT(T705:T711,V705:V711)/SUMIF(T705:T711,"&gt;0",V705:V711),0)</f>
        <v>0</v>
      </c>
      <c r="AI710" s="2043"/>
      <c r="AJ710" s="313"/>
      <c r="AK710" s="2027"/>
      <c r="AL710" s="1284">
        <f t="shared" si="404"/>
        <v>0</v>
      </c>
      <c r="AM710" s="1285"/>
      <c r="AN710" s="1285"/>
      <c r="AO710" s="1285"/>
      <c r="AP710" s="1285"/>
      <c r="AQ710" s="1285"/>
      <c r="AR710" s="1285"/>
      <c r="AS710" s="1286"/>
      <c r="AT710" s="1287"/>
      <c r="AU710" s="1288"/>
      <c r="AV710" s="1289"/>
      <c r="AW710" s="1290"/>
      <c r="AX710" s="1291"/>
      <c r="AY710" s="1291"/>
      <c r="AZ710" s="1292"/>
      <c r="BA710" s="1293"/>
      <c r="BB710" s="1294"/>
      <c r="BC710" s="1295"/>
      <c r="BD710" s="1296">
        <f>BD709+PROD!L710-BA710</f>
        <v>0</v>
      </c>
      <c r="BE710" s="2133"/>
      <c r="BF710" s="507" t="e">
        <f t="shared" si="405"/>
        <v>#VALUE!</v>
      </c>
      <c r="BG710" s="329"/>
      <c r="BH710" s="1018">
        <f t="shared" si="406"/>
        <v>0</v>
      </c>
    </row>
    <row r="711" spans="1:60" ht="15" customHeight="1" x14ac:dyDescent="0.3">
      <c r="A711" s="2034"/>
      <c r="B711" s="287" t="str">
        <f t="shared" si="407"/>
        <v/>
      </c>
      <c r="C711" s="288" t="str">
        <f t="shared" si="402"/>
        <v/>
      </c>
      <c r="D711" s="691"/>
      <c r="E711" s="692"/>
      <c r="F711" s="693"/>
      <c r="G711" s="694"/>
      <c r="H711" s="695"/>
      <c r="I711" s="289">
        <f>I710-SUM($D711:F711)</f>
        <v>0</v>
      </c>
      <c r="J711" s="1239" t="str">
        <f>$J$11</f>
        <v>% Viabilidad :</v>
      </c>
      <c r="K711" s="1240">
        <f>IF(OR(SUM(L705:L711)&gt;0,SUM(V705:V711)&gt;0),1-(K708+K709),0)</f>
        <v>0</v>
      </c>
      <c r="L711" s="1247"/>
      <c r="M711" s="1248">
        <f>IF(I711&gt;0,(L711/IF(SUM(L705:L710)&gt;0,1,7))/I711,0)</f>
        <v>0</v>
      </c>
      <c r="N711" s="1249" t="str">
        <f>$N$11</f>
        <v xml:space="preserve">Uniformidad (10% +) : </v>
      </c>
      <c r="O711" s="1250">
        <f>IF(O709&gt;0,IF(O710&gt;0,100-SUM(O709:O710),0),0)</f>
        <v>0</v>
      </c>
      <c r="P711" s="1251">
        <f>100-SUM(P709:P710)</f>
        <v>5</v>
      </c>
      <c r="Q711" s="1252">
        <f>IF(AND(P711&gt;0,O711&gt;0),(O711/P711-1)*100,0)</f>
        <v>0</v>
      </c>
      <c r="R711" s="699"/>
      <c r="S711" s="762"/>
      <c r="T711" s="765">
        <f t="shared" si="377"/>
        <v>0</v>
      </c>
      <c r="U711" s="700"/>
      <c r="V711" s="701"/>
      <c r="W711" s="701"/>
      <c r="X711" s="295">
        <f t="shared" si="408"/>
        <v>0</v>
      </c>
      <c r="Y711" s="296">
        <f>IF(AA711&gt;0,V711,AE705/IF(Iniciar!$C$25="B X 40 K",40,IF(Iniciar!$C$25="B X 50 K",50,1))*I711/1000)</f>
        <v>0</v>
      </c>
      <c r="Z711" s="296">
        <f t="shared" si="409"/>
        <v>0</v>
      </c>
      <c r="AA711" s="297">
        <f>IF(I711&gt;0,(V711/IF(SUM(V705:V710)&gt;0,1,7))*$A$1/I711,0)</f>
        <v>0</v>
      </c>
      <c r="AB711" s="297">
        <f t="shared" si="403"/>
        <v>0</v>
      </c>
      <c r="AC711" s="2039" t="str">
        <f>$AC$11</f>
        <v xml:space="preserve">Relación Agua /Alimto: </v>
      </c>
      <c r="AD711" s="2040"/>
      <c r="AE711" s="2058">
        <f>IFERROR(AE710/AD705,0)</f>
        <v>0</v>
      </c>
      <c r="AF711" s="2059"/>
      <c r="AG711" s="1269" t="s">
        <v>237</v>
      </c>
      <c r="AH711" s="1270">
        <f>IF(SUM(L705:L711)&gt;0,AH710*SUM(V705:V711)/SUM(L705:L711),0)</f>
        <v>0</v>
      </c>
      <c r="AI711" s="1270">
        <f>IF(AND($A$1&gt;0,P705&gt;0),AH710/$A$1*(AE705/P705)*100,0)</f>
        <v>0</v>
      </c>
      <c r="AJ711" s="1271">
        <f t="shared" ref="AJ711:AJ716" si="410">IF(AND(AI711&gt;0,AH711&gt;0),(AH711/AI711-1)*100,0)</f>
        <v>0</v>
      </c>
      <c r="AK711" s="2028"/>
      <c r="AL711" s="1284">
        <f t="shared" si="404"/>
        <v>0</v>
      </c>
      <c r="AM711" s="1285"/>
      <c r="AN711" s="1285"/>
      <c r="AO711" s="1285"/>
      <c r="AP711" s="1285"/>
      <c r="AQ711" s="1285"/>
      <c r="AR711" s="1285"/>
      <c r="AS711" s="1286"/>
      <c r="AT711" s="1287"/>
      <c r="AU711" s="1288"/>
      <c r="AV711" s="1289"/>
      <c r="AW711" s="1290"/>
      <c r="AX711" s="1291"/>
      <c r="AY711" s="1291"/>
      <c r="AZ711" s="1292"/>
      <c r="BA711" s="1293"/>
      <c r="BB711" s="1294"/>
      <c r="BC711" s="1295"/>
      <c r="BD711" s="1296">
        <f>BD710+PROD!L711-BA711</f>
        <v>0</v>
      </c>
      <c r="BE711" s="2134"/>
      <c r="BF711" s="507" t="e">
        <f t="shared" si="405"/>
        <v>#VALUE!</v>
      </c>
      <c r="BG711" s="329"/>
      <c r="BH711" s="1018">
        <f t="shared" si="406"/>
        <v>0</v>
      </c>
    </row>
    <row r="712" spans="1:60" ht="15" customHeight="1" x14ac:dyDescent="0.3">
      <c r="A712" s="2032">
        <f>A705+1</f>
        <v>119</v>
      </c>
      <c r="B712" s="287" t="str">
        <f t="shared" si="407"/>
        <v/>
      </c>
      <c r="C712" s="288" t="str">
        <f t="shared" si="402"/>
        <v/>
      </c>
      <c r="D712" s="691"/>
      <c r="E712" s="692"/>
      <c r="F712" s="693"/>
      <c r="G712" s="694"/>
      <c r="H712" s="695"/>
      <c r="I712" s="289">
        <f>I711-SUM($D712:F712)</f>
        <v>0</v>
      </c>
      <c r="J712" s="1232" t="str">
        <f>$J$5</f>
        <v>% Mort Sem :</v>
      </c>
      <c r="K712" s="1233">
        <f>IF(PROD!$K$2&gt;0,SUM(D712:D718)/PROD!$K$2,0)</f>
        <v>0</v>
      </c>
      <c r="L712" s="1241"/>
      <c r="M712" s="1242">
        <f t="shared" ref="M712:M717" si="411">IF(I712&gt;0,L712/I712,0)</f>
        <v>0</v>
      </c>
      <c r="N712" s="1243" t="str">
        <f>$N$5</f>
        <v xml:space="preserve">% Pdn prom semana : </v>
      </c>
      <c r="O712" s="1244">
        <f>IF(SUM(L712:L717)&gt;0,100*SUMPRODUCT(M712:M718,I712:I718)/SUMIF(L712:L718,"&gt;0",I712:I718),IF(L718&gt;0,100*L718/7/I718,0))</f>
        <v>0</v>
      </c>
      <c r="P712" s="1244">
        <f>IFERROR(LOOKUP($A712,TP!$A$6:$A$108,GSh!$AE$6:$AE$108),0)</f>
        <v>0</v>
      </c>
      <c r="Q712" s="1245">
        <f>IF(AND(P712&gt;0,O712&gt;0),O712-P712,0)</f>
        <v>0</v>
      </c>
      <c r="R712" s="699"/>
      <c r="S712" s="762"/>
      <c r="T712" s="765">
        <f t="shared" si="377"/>
        <v>0</v>
      </c>
      <c r="U712" s="700"/>
      <c r="V712" s="701"/>
      <c r="W712" s="701"/>
      <c r="X712" s="295">
        <f t="shared" si="408"/>
        <v>0</v>
      </c>
      <c r="Y712" s="296">
        <f>IF(AA712&gt;0,V712,AE712/IF(Iniciar!$C$25="B X 40 K",40,IF(Iniciar!$C$25="B X 50 K",50,1))*I712/1000)</f>
        <v>0</v>
      </c>
      <c r="Z712" s="296">
        <f t="shared" si="409"/>
        <v>0</v>
      </c>
      <c r="AA712" s="297">
        <f t="shared" ref="AA712:AA717" si="412">IF(I712&gt;0,V712*$A$1/I712,0)</f>
        <v>0</v>
      </c>
      <c r="AB712" s="297">
        <f t="shared" si="403"/>
        <v>0</v>
      </c>
      <c r="AC712" s="1261" t="str">
        <f>$AC$5</f>
        <v>Gr. Ave Dia :</v>
      </c>
      <c r="AD712" s="1262">
        <f>IF(SUMIF(V712:V718,"&gt;0")&gt;0,SUMPRODUCT(AA712:AA718,I712:I718)/SUMIF(AA712:AA718,"&gt;0",I712:I718),0)</f>
        <v>0</v>
      </c>
      <c r="AE712" s="1262">
        <f>IFERROR(LOOKUP($A712,TP!$A$6:$A$108,GSh!$AU$6:$AU$108),0)</f>
        <v>0</v>
      </c>
      <c r="AF712" s="1263">
        <f>IF(AND(AE712&gt;0,AD712&gt;0),(AD712/AE712-1)*100,0)</f>
        <v>0</v>
      </c>
      <c r="AG712" s="1264" t="str">
        <f>PROD!$AG$5</f>
        <v>Gr X H</v>
      </c>
      <c r="AH712" s="1265">
        <f>IF(PROD!O712&gt;0,IF($AG712="Gr X H",PROD!AD712/PROD!O712*100,IF($AG712="Conv Kg/Doc",PROD!AD712/PROD!O712*1.2,IF(PROD!$O714&gt;0,PROD!AD712/(PROD!O712*PROD!$O714)*100,0))),0)</f>
        <v>0</v>
      </c>
      <c r="AI712" s="1265">
        <f>IF(PROD!P712&gt;0,IF($AG712="Gr X H",PROD!AE712/PROD!P712*100,IF($AG712="Conv Kg/Doc",PROD!AE712/PROD!P712*1.2,IF(PROD!$P714&gt;0,PROD!AE712/(PROD!P712*PROD!$P714)*100,0))),0)</f>
        <v>0</v>
      </c>
      <c r="AJ712" s="1266">
        <f t="shared" si="410"/>
        <v>0</v>
      </c>
      <c r="AK712" s="2026"/>
      <c r="AL712" s="1284">
        <f t="shared" si="404"/>
        <v>0</v>
      </c>
      <c r="AM712" s="1285"/>
      <c r="AN712" s="1285"/>
      <c r="AO712" s="1285"/>
      <c r="AP712" s="1285"/>
      <c r="AQ712" s="1285"/>
      <c r="AR712" s="1285"/>
      <c r="AS712" s="1286"/>
      <c r="AT712" s="1287"/>
      <c r="AU712" s="1288"/>
      <c r="AV712" s="1289"/>
      <c r="AW712" s="1290"/>
      <c r="AX712" s="1291"/>
      <c r="AY712" s="1291"/>
      <c r="AZ712" s="1292"/>
      <c r="BA712" s="1293"/>
      <c r="BB712" s="1294"/>
      <c r="BC712" s="1295"/>
      <c r="BD712" s="1296">
        <f>BD711+PROD!L712-BA712</f>
        <v>0</v>
      </c>
      <c r="BE712" s="2132">
        <f>IF(SUM(AM712:AZ718)&gt;0,(SUM(AM712:AM718)*$AM$2+SUM(AN712:AN718)*$AN$2+SUM(AO712:AO718)*$AO$2+SUM(AP712:AP718)*$AP$2+SUM(AQ712:AQ718)*$AQ$2+SUM(AR712:AR718)*$AR$2+SUM(AS712:AS718)*$AS$2+SUM(AW712:AW718)*$AW$2+SUM(AX712:AX718)*$AX$2+SUM(AY712:AY718)*$AY$2+SUM(AZ712:AZ718)*$AZ$2+SUM(AT712:AT718)*$AT$2+SUM(AU712:AU718)*$AU$2+SUM(AV712:AV718)*$AV$2)/SUM(AM712:AZ718),0)</f>
        <v>0</v>
      </c>
      <c r="BF712" s="507" t="e">
        <f t="shared" si="405"/>
        <v>#VALUE!</v>
      </c>
      <c r="BG712" s="277">
        <f>IF(SUM(L712:L718)&gt;0,A712,IF(SUM(V712:V718)&gt;0,A712,BG705))</f>
        <v>0</v>
      </c>
      <c r="BH712" s="1018">
        <f t="shared" si="406"/>
        <v>0</v>
      </c>
    </row>
    <row r="713" spans="1:60" ht="15" customHeight="1" x14ac:dyDescent="0.3">
      <c r="A713" s="2033"/>
      <c r="B713" s="287" t="str">
        <f t="shared" si="407"/>
        <v/>
      </c>
      <c r="C713" s="288" t="str">
        <f t="shared" si="402"/>
        <v/>
      </c>
      <c r="D713" s="691"/>
      <c r="E713" s="692"/>
      <c r="F713" s="693"/>
      <c r="G713" s="694"/>
      <c r="H713" s="695"/>
      <c r="I713" s="289">
        <f>I712-SUM($D713:F713)</f>
        <v>0</v>
      </c>
      <c r="J713" s="1234" t="str">
        <f>$J$6</f>
        <v>% Sel Sem :</v>
      </c>
      <c r="K713" s="1231">
        <f>IF(PROD!$K$2&gt;0,SUM(E712:E718)/PROD!$K$2,0)</f>
        <v>0</v>
      </c>
      <c r="L713" s="1246"/>
      <c r="M713" s="291">
        <f t="shared" si="411"/>
        <v>0</v>
      </c>
      <c r="N713" s="292" t="str">
        <f>$N$6</f>
        <v xml:space="preserve">H. Ave Alojada : </v>
      </c>
      <c r="O713" s="293">
        <f>IF(AND(PROD!$K$2&gt;0,O712&gt;0),SUM(L$5:L718)/PROD!$K$2,0)</f>
        <v>0</v>
      </c>
      <c r="P713" s="293">
        <f>IFERROR(LOOKUP($A712,TP!$A$6:$A$108,GSh!$AJ$6:$AJ$108),0)</f>
        <v>0</v>
      </c>
      <c r="Q713" s="294">
        <f>IF(AND(P713&gt;0,O713&gt;0),O713-P713,0)</f>
        <v>0</v>
      </c>
      <c r="R713" s="699"/>
      <c r="S713" s="762"/>
      <c r="T713" s="765">
        <f t="shared" si="377"/>
        <v>0</v>
      </c>
      <c r="U713" s="700"/>
      <c r="V713" s="701"/>
      <c r="W713" s="701"/>
      <c r="X713" s="295">
        <f t="shared" si="408"/>
        <v>0</v>
      </c>
      <c r="Y713" s="296">
        <f>IF(AA713&gt;0,V713,AE712/IF(Iniciar!$C$25="B X 40 K",40,IF(Iniciar!$C$25="B X 50 K",50,1))*I713/1000)</f>
        <v>0</v>
      </c>
      <c r="Z713" s="296">
        <f t="shared" si="409"/>
        <v>0</v>
      </c>
      <c r="AA713" s="297">
        <f t="shared" si="412"/>
        <v>0</v>
      </c>
      <c r="AB713" s="297">
        <f t="shared" si="403"/>
        <v>0</v>
      </c>
      <c r="AC713" s="1267" t="str">
        <f>$AC$6</f>
        <v>Gr. Ave Sem :</v>
      </c>
      <c r="AD713" s="284">
        <f>AD712*7</f>
        <v>0</v>
      </c>
      <c r="AE713" s="284">
        <f>AE712*7</f>
        <v>0</v>
      </c>
      <c r="AF713" s="285">
        <f>IF(AND(AE713&gt;0,AD713&gt;0),(AD713/AE713-1)*100,0)</f>
        <v>0</v>
      </c>
      <c r="AG713" s="1199" t="str">
        <f>PROD!$AG$6</f>
        <v>Gr X H Acm</v>
      </c>
      <c r="AH713" s="298">
        <f>IF(SUM(PROD!L712:L718)&gt;0,IF(PROD!$AG$5="Gr X H",SUM(PROD!V$5:V718)*PROD!$A$1/SUM(PROD!L$5:L718),IF($AG712="Conv Kg/Doc",(SUM(PROD!V$5:V718)*PROD!$A$1/1000)/(SUM(PROD!L$5:L718)/12),IF(PROD!$O714&gt;0,SUM(PROD!V$5:V718)*PROD!$A$1/(SUM(PROD!L$5:L718)*LOOKUP(PROD!A712,TP!$A$6:$A$108,GSh!$BB$6:$BB$108)),0))),0)</f>
        <v>0</v>
      </c>
      <c r="AI713" s="298">
        <f>IF(PROD!P712&gt;0,IF($AG712="Gr X H",PROD!AE712/PROD!P712*100,IF($AG712="Conv Kg/Doc",PROD!AE712/PROD!P712*1.2,IF(PROD!$P713&gt;0,PROD!AE714/(PROD!P713*LOOKUP(PROD!$A712,TP!$A$6:$A$108,GSh!$BC$6:$BC$108)/1000),0))),0)</f>
        <v>0</v>
      </c>
      <c r="AJ713" s="328">
        <f t="shared" si="410"/>
        <v>0</v>
      </c>
      <c r="AK713" s="2027"/>
      <c r="AL713" s="1284">
        <f t="shared" si="404"/>
        <v>0</v>
      </c>
      <c r="AM713" s="1285"/>
      <c r="AN713" s="1285"/>
      <c r="AO713" s="1285"/>
      <c r="AP713" s="1285"/>
      <c r="AQ713" s="1285"/>
      <c r="AR713" s="1285"/>
      <c r="AS713" s="1286"/>
      <c r="AT713" s="1287"/>
      <c r="AU713" s="1288"/>
      <c r="AV713" s="1289"/>
      <c r="AW713" s="1290"/>
      <c r="AX713" s="1291"/>
      <c r="AY713" s="1291"/>
      <c r="AZ713" s="1292"/>
      <c r="BA713" s="1293"/>
      <c r="BB713" s="1294"/>
      <c r="BC713" s="1295"/>
      <c r="BD713" s="1296">
        <f>BD712+PROD!L713-BA713</f>
        <v>0</v>
      </c>
      <c r="BE713" s="2133"/>
      <c r="BF713" s="507" t="e">
        <f t="shared" si="405"/>
        <v>#VALUE!</v>
      </c>
      <c r="BG713" s="329"/>
      <c r="BH713" s="1018">
        <f t="shared" si="406"/>
        <v>0</v>
      </c>
    </row>
    <row r="714" spans="1:60" ht="15" customHeight="1" x14ac:dyDescent="0.3">
      <c r="A714" s="2033"/>
      <c r="B714" s="287" t="str">
        <f t="shared" si="407"/>
        <v/>
      </c>
      <c r="C714" s="288" t="str">
        <f t="shared" si="402"/>
        <v/>
      </c>
      <c r="D714" s="691"/>
      <c r="E714" s="692"/>
      <c r="F714" s="693"/>
      <c r="G714" s="694"/>
      <c r="H714" s="695"/>
      <c r="I714" s="289">
        <f>I713-SUM($D714:F714)</f>
        <v>0</v>
      </c>
      <c r="J714" s="1235" t="str">
        <f>$J$7</f>
        <v>% Mort/Sel Sem Tab :</v>
      </c>
      <c r="K714" s="1236">
        <f>K717-K710</f>
        <v>0</v>
      </c>
      <c r="L714" s="1246"/>
      <c r="M714" s="291">
        <f t="shared" si="411"/>
        <v>0</v>
      </c>
      <c r="N714" s="304" t="str">
        <f>$N$7</f>
        <v xml:space="preserve">Peso Huevo (Gr) : </v>
      </c>
      <c r="O714" s="305">
        <f>LOOKUP($A712,'Pr-Sem'!$A$6:$A$108,'Pr-Sem'!$Z$6:$Z$108)</f>
        <v>0</v>
      </c>
      <c r="P714" s="305">
        <f>IFERROR(LOOKUP($A712,TP!$A$6:$A$108,GSh!$AZ$6:$AZ$108),0)</f>
        <v>0</v>
      </c>
      <c r="Q714" s="306">
        <f>IF(AND(P714&gt;0,O714&gt;0),O714-P714,0)</f>
        <v>0</v>
      </c>
      <c r="R714" s="699"/>
      <c r="S714" s="762"/>
      <c r="T714" s="765">
        <f t="shared" si="377"/>
        <v>0</v>
      </c>
      <c r="U714" s="700"/>
      <c r="V714" s="701"/>
      <c r="W714" s="701"/>
      <c r="X714" s="295">
        <f t="shared" si="408"/>
        <v>0</v>
      </c>
      <c r="Y714" s="296">
        <f>IF(AA714&gt;0,V714,AE712/IF(Iniciar!$C$25="B X 40 K",40,IF(Iniciar!$C$25="B X 50 K",50,1))*I714/1000)</f>
        <v>0</v>
      </c>
      <c r="Z714" s="296">
        <f t="shared" si="409"/>
        <v>0</v>
      </c>
      <c r="AA714" s="297">
        <f t="shared" si="412"/>
        <v>0</v>
      </c>
      <c r="AB714" s="297">
        <f t="shared" si="403"/>
        <v>0</v>
      </c>
      <c r="AC714" s="1268" t="str">
        <f>$AC$7</f>
        <v>Kg Ave Acu :</v>
      </c>
      <c r="AD714" s="308">
        <f>IF(OR(SUM(L712:L718)&gt;0,SUM(V712:V718)&gt;0),AD713/1000+AD707,0)</f>
        <v>0</v>
      </c>
      <c r="AE714" s="309">
        <f>AE713/1000+AE707</f>
        <v>0</v>
      </c>
      <c r="AF714" s="310">
        <f>IF(AND(AE714&gt;0,AD714&gt;0),(AD714/AE714-1)*100,0)</f>
        <v>0</v>
      </c>
      <c r="AG714" s="311" t="str">
        <f>PROD!$AG$7</f>
        <v xml:space="preserve">Masa Sem H (Gr) : </v>
      </c>
      <c r="AH714" s="312">
        <f>PROD!O712/100*7*PROD!O714</f>
        <v>0</v>
      </c>
      <c r="AI714" s="312">
        <f>PROD!P712/100*7*PROD!P714</f>
        <v>0</v>
      </c>
      <c r="AJ714" s="313">
        <f t="shared" si="410"/>
        <v>0</v>
      </c>
      <c r="AK714" s="2027"/>
      <c r="AL714" s="1284">
        <f t="shared" si="404"/>
        <v>0</v>
      </c>
      <c r="AM714" s="1285"/>
      <c r="AN714" s="1285"/>
      <c r="AO714" s="1285"/>
      <c r="AP714" s="1285"/>
      <c r="AQ714" s="1285"/>
      <c r="AR714" s="1285"/>
      <c r="AS714" s="1286"/>
      <c r="AT714" s="1287"/>
      <c r="AU714" s="1288"/>
      <c r="AV714" s="1289"/>
      <c r="AW714" s="1290"/>
      <c r="AX714" s="1291"/>
      <c r="AY714" s="1291"/>
      <c r="AZ714" s="1292"/>
      <c r="BA714" s="1293"/>
      <c r="BB714" s="1294"/>
      <c r="BC714" s="1295"/>
      <c r="BD714" s="1296">
        <f>BD713+PROD!L714-BA714</f>
        <v>0</v>
      </c>
      <c r="BE714" s="2133"/>
      <c r="BF714" s="507" t="e">
        <f t="shared" si="405"/>
        <v>#VALUE!</v>
      </c>
      <c r="BG714" s="329"/>
      <c r="BH714" s="1018">
        <f t="shared" si="406"/>
        <v>0</v>
      </c>
    </row>
    <row r="715" spans="1:60" ht="15" customHeight="1" x14ac:dyDescent="0.3">
      <c r="A715" s="2033"/>
      <c r="B715" s="287" t="str">
        <f t="shared" si="407"/>
        <v/>
      </c>
      <c r="C715" s="288" t="str">
        <f t="shared" si="402"/>
        <v/>
      </c>
      <c r="D715" s="691"/>
      <c r="E715" s="692"/>
      <c r="F715" s="693"/>
      <c r="G715" s="694"/>
      <c r="H715" s="695"/>
      <c r="I715" s="289">
        <f>I714-SUM($D715:F715)</f>
        <v>0</v>
      </c>
      <c r="J715" s="1234" t="str">
        <f>$J$8</f>
        <v>% Mort Acm :</v>
      </c>
      <c r="K715" s="1231">
        <f>IF(PROD!$K$2&gt;0,SUM(D$5:D718)/PROD!$K$2,0)</f>
        <v>0</v>
      </c>
      <c r="L715" s="1246"/>
      <c r="M715" s="291">
        <f t="shared" si="411"/>
        <v>0</v>
      </c>
      <c r="N715" s="314" t="str">
        <f>N$8</f>
        <v xml:space="preserve">Peso Ave (Gr) : </v>
      </c>
      <c r="O715" s="315">
        <f>LOOKUP($A712,GSh!$BV$6:$BV$108,GSh!$BJ$6:$BJ$108)</f>
        <v>0</v>
      </c>
      <c r="P715" s="315">
        <f>IFERROR(LOOKUP($A712,TP!$A$6:$A$108,GSh!$BK$6:$BK$108),0)</f>
        <v>0</v>
      </c>
      <c r="Q715" s="316">
        <f>IF(AND(P715&gt;0,O715&gt;0),(O715/P715-1)*100,0)</f>
        <v>0</v>
      </c>
      <c r="R715" s="699"/>
      <c r="S715" s="762"/>
      <c r="T715" s="765">
        <f t="shared" si="377"/>
        <v>0</v>
      </c>
      <c r="U715" s="700"/>
      <c r="V715" s="701"/>
      <c r="W715" s="701"/>
      <c r="X715" s="295">
        <f t="shared" si="408"/>
        <v>0</v>
      </c>
      <c r="Y715" s="296">
        <f>IF(AA715&gt;0,V715,AE712/IF(Iniciar!$C$25="B X 40 K",40,IF(Iniciar!$C$25="B X 50 K",50,1))*I715/1000)</f>
        <v>0</v>
      </c>
      <c r="Z715" s="296">
        <f t="shared" si="409"/>
        <v>0</v>
      </c>
      <c r="AA715" s="297">
        <f t="shared" si="412"/>
        <v>0</v>
      </c>
      <c r="AB715" s="297">
        <f t="shared" si="403"/>
        <v>0</v>
      </c>
      <c r="AC715" s="541" t="str">
        <f>$AC$8</f>
        <v xml:space="preserve">Ton. Lote Acu : </v>
      </c>
      <c r="AD715" s="544">
        <f>SUM($V$5:$V718)*$A$1/1000000</f>
        <v>0</v>
      </c>
      <c r="AE715" s="543">
        <f>AE708+(AE712/1000000*7*(I712+I718)/2)</f>
        <v>0</v>
      </c>
      <c r="AF715" s="542">
        <f>IF(AND(AE715&gt;0,AD715&gt;0),(AD715/AE715-1)*100,0)</f>
        <v>0</v>
      </c>
      <c r="AG715" s="317" t="str">
        <f>PROD!$AG$8</f>
        <v xml:space="preserve">Masa Ac A. A (Kg) : </v>
      </c>
      <c r="AH715" s="318">
        <f>IF(PROD!$K$2&gt;0,SUM(PROD!L$5:L718)*LOOKUP(PROD!$A712,TP!$A$6:$A$108,GSh!$BB$6:$BB$108)/1000/PROD!$K$2,0)</f>
        <v>0</v>
      </c>
      <c r="AI715" s="318">
        <f>IFERROR(PROD!P713*LOOKUP(PROD!$A712,TP!$A$6:$A$108,GSh!$BC$6:$BC$108)/1000,0)</f>
        <v>0</v>
      </c>
      <c r="AJ715" s="330">
        <f t="shared" si="410"/>
        <v>0</v>
      </c>
      <c r="AK715" s="2027"/>
      <c r="AL715" s="1284">
        <f t="shared" si="404"/>
        <v>0</v>
      </c>
      <c r="AM715" s="1285"/>
      <c r="AN715" s="1285"/>
      <c r="AO715" s="1285"/>
      <c r="AP715" s="1285"/>
      <c r="AQ715" s="1285"/>
      <c r="AR715" s="1285"/>
      <c r="AS715" s="1286"/>
      <c r="AT715" s="1287"/>
      <c r="AU715" s="1288"/>
      <c r="AV715" s="1289"/>
      <c r="AW715" s="1290"/>
      <c r="AX715" s="1291"/>
      <c r="AY715" s="1291"/>
      <c r="AZ715" s="1292"/>
      <c r="BA715" s="1293"/>
      <c r="BB715" s="1294"/>
      <c r="BC715" s="1295"/>
      <c r="BD715" s="1296">
        <f>BD714+PROD!L715-BA715</f>
        <v>0</v>
      </c>
      <c r="BE715" s="2133"/>
      <c r="BF715" s="507" t="e">
        <f t="shared" si="405"/>
        <v>#VALUE!</v>
      </c>
      <c r="BG715" s="329"/>
      <c r="BH715" s="1018">
        <f t="shared" si="406"/>
        <v>0</v>
      </c>
    </row>
    <row r="716" spans="1:60" ht="15" customHeight="1" x14ac:dyDescent="0.3">
      <c r="A716" s="2033"/>
      <c r="B716" s="287" t="str">
        <f t="shared" si="407"/>
        <v/>
      </c>
      <c r="C716" s="288" t="str">
        <f t="shared" si="402"/>
        <v/>
      </c>
      <c r="D716" s="691"/>
      <c r="E716" s="692"/>
      <c r="F716" s="693"/>
      <c r="G716" s="694"/>
      <c r="H716" s="695"/>
      <c r="I716" s="289">
        <f>I715-SUM($D716:F716)</f>
        <v>0</v>
      </c>
      <c r="J716" s="1234" t="str">
        <f>$J$9</f>
        <v>% Sel Acm :</v>
      </c>
      <c r="K716" s="1231">
        <f>IF(PROD!$K$2&gt;0,SUM(E$5:E718)/PROD!$K$2,0)</f>
        <v>0</v>
      </c>
      <c r="L716" s="1246"/>
      <c r="M716" s="291">
        <f t="shared" si="411"/>
        <v>0</v>
      </c>
      <c r="N716" s="292" t="str">
        <f>$N$9</f>
        <v xml:space="preserve">Uniformidad (10% -) : </v>
      </c>
      <c r="O716" s="320">
        <f>LOOKUP($A712,'Pr-Sem'!$A$6:$A$108,'Pr-Sem'!$AH$6:$AH$108)</f>
        <v>0</v>
      </c>
      <c r="P716" s="320">
        <v>5</v>
      </c>
      <c r="Q716" s="321">
        <f>IF(AND(P716&gt;0,O716&gt;0),(1-O716/P716)*100,0)</f>
        <v>0</v>
      </c>
      <c r="R716" s="699"/>
      <c r="S716" s="762"/>
      <c r="T716" s="765">
        <f t="shared" ref="T716:T725" si="413">T715</f>
        <v>0</v>
      </c>
      <c r="U716" s="700"/>
      <c r="V716" s="701"/>
      <c r="W716" s="701"/>
      <c r="X716" s="295">
        <f t="shared" si="408"/>
        <v>0</v>
      </c>
      <c r="Y716" s="296">
        <f>IF(AA716&gt;0,V716,AE712/IF(Iniciar!$C$25="B X 40 K",40,IF(Iniciar!$C$25="B X 50 K",50,1))*I716/1000)</f>
        <v>0</v>
      </c>
      <c r="Z716" s="296">
        <f t="shared" si="409"/>
        <v>0</v>
      </c>
      <c r="AA716" s="297">
        <f t="shared" si="412"/>
        <v>0</v>
      </c>
      <c r="AB716" s="297">
        <f t="shared" si="403"/>
        <v>0</v>
      </c>
      <c r="AC716" s="2035" t="str">
        <f>$AC$9</f>
        <v xml:space="preserve">Total Litros Sem: </v>
      </c>
      <c r="AD716" s="2036"/>
      <c r="AE716" s="2050">
        <f>SUM(R712:R718)</f>
        <v>0</v>
      </c>
      <c r="AF716" s="2051"/>
      <c r="AG716" s="554" t="str">
        <f>$AG$9</f>
        <v xml:space="preserve">Indicador Eficiencia : </v>
      </c>
      <c r="AH716" s="555">
        <f>IF(AND(AE716&gt;0,O713&gt;0,O714&gt;0,SUM(L712:L718)&gt;0),(PROD!AH715/O713)*K718*100/(AE716/(SUM(L712:L718)*O714/1000)),0)</f>
        <v>0</v>
      </c>
      <c r="AI716" s="555">
        <f>IF(AND(P713&gt;0,PROD!AI714&gt;0),(PROD!AI715/P713)*(1-K717)*100/(AE713/PROD!AI714),0)</f>
        <v>0</v>
      </c>
      <c r="AJ716" s="331">
        <f t="shared" si="410"/>
        <v>0</v>
      </c>
      <c r="AK716" s="2027"/>
      <c r="AL716" s="1284">
        <f t="shared" si="404"/>
        <v>0</v>
      </c>
      <c r="AM716" s="1285"/>
      <c r="AN716" s="1285"/>
      <c r="AO716" s="1285"/>
      <c r="AP716" s="1285"/>
      <c r="AQ716" s="1285"/>
      <c r="AR716" s="1285"/>
      <c r="AS716" s="1286"/>
      <c r="AT716" s="1287"/>
      <c r="AU716" s="1288"/>
      <c r="AV716" s="1289"/>
      <c r="AW716" s="1290"/>
      <c r="AX716" s="1291"/>
      <c r="AY716" s="1291"/>
      <c r="AZ716" s="1292"/>
      <c r="BA716" s="1293"/>
      <c r="BB716" s="1294"/>
      <c r="BC716" s="1295"/>
      <c r="BD716" s="1296">
        <f>BD715+PROD!L716-BA716</f>
        <v>0</v>
      </c>
      <c r="BE716" s="2133"/>
      <c r="BF716" s="507" t="e">
        <f t="shared" si="405"/>
        <v>#VALUE!</v>
      </c>
      <c r="BG716" s="329"/>
      <c r="BH716" s="1018">
        <f t="shared" si="406"/>
        <v>0</v>
      </c>
    </row>
    <row r="717" spans="1:60" ht="15" customHeight="1" x14ac:dyDescent="0.3">
      <c r="A717" s="2033"/>
      <c r="B717" s="287" t="str">
        <f t="shared" si="407"/>
        <v/>
      </c>
      <c r="C717" s="288" t="str">
        <f t="shared" si="402"/>
        <v/>
      </c>
      <c r="D717" s="691"/>
      <c r="E717" s="692"/>
      <c r="F717" s="693"/>
      <c r="G717" s="694"/>
      <c r="H717" s="695"/>
      <c r="I717" s="289">
        <f>I716-SUM($D717:F717)</f>
        <v>0</v>
      </c>
      <c r="J717" s="1237" t="str">
        <f>$J$10</f>
        <v>% Mort/Sel Acm Tab :</v>
      </c>
      <c r="K717" s="1238">
        <f>IFERROR(LOOKUP($A712,TP!$A$6:$A$108,GSh!$AR$6:$AR$108)/100,0)</f>
        <v>0</v>
      </c>
      <c r="L717" s="1246"/>
      <c r="M717" s="291">
        <f t="shared" si="411"/>
        <v>0</v>
      </c>
      <c r="N717" s="292" t="str">
        <f>$N$10</f>
        <v xml:space="preserve">Uniformidad (C. Lote) : </v>
      </c>
      <c r="O717" s="320">
        <f>LOOKUP($A712,'Pr-Sem'!$A$6:$A$108,'Pr-Sem'!$AG$6:$AG$108)</f>
        <v>0</v>
      </c>
      <c r="P717" s="320">
        <v>90</v>
      </c>
      <c r="Q717" s="321">
        <f>IF(AND(P717&gt;0,O717&gt;0),(O717/P717-1)*100,0)</f>
        <v>0</v>
      </c>
      <c r="R717" s="699"/>
      <c r="S717" s="762"/>
      <c r="T717" s="765">
        <f t="shared" si="413"/>
        <v>0</v>
      </c>
      <c r="U717" s="700"/>
      <c r="V717" s="701"/>
      <c r="W717" s="701"/>
      <c r="X717" s="295">
        <f t="shared" si="408"/>
        <v>0</v>
      </c>
      <c r="Y717" s="296">
        <f>IF(AA717&gt;0,V717,AE712/IF(Iniciar!$C$25="B X 40 K",40,IF(Iniciar!$C$25="B X 50 K",50,1))*I717/1000)</f>
        <v>0</v>
      </c>
      <c r="Z717" s="296">
        <f t="shared" si="409"/>
        <v>0</v>
      </c>
      <c r="AA717" s="297">
        <f t="shared" si="412"/>
        <v>0</v>
      </c>
      <c r="AB717" s="297">
        <f t="shared" si="403"/>
        <v>0</v>
      </c>
      <c r="AC717" s="2037" t="str">
        <f>$AC$10</f>
        <v xml:space="preserve">Cons ml /ave día: </v>
      </c>
      <c r="AD717" s="2038"/>
      <c r="AE717" s="2056">
        <f>IFERROR(SUMPRODUCT(AB712:AB718,I712:I718)/SUM(I712:I718),0)</f>
        <v>0</v>
      </c>
      <c r="AF717" s="2057"/>
      <c r="AG717" s="311" t="str">
        <f>CONCATENATE("Costo ",Iniciar!$C$25," : ")</f>
        <v xml:space="preserve">Costo Kilos : </v>
      </c>
      <c r="AH717" s="2043">
        <f>IFERROR(SUMPRODUCT(T712:T718,V712:V718)/SUMIF(T712:T718,"&gt;0",V712:V718),0)</f>
        <v>0</v>
      </c>
      <c r="AI717" s="2043"/>
      <c r="AJ717" s="313"/>
      <c r="AK717" s="2027"/>
      <c r="AL717" s="1284">
        <f t="shared" si="404"/>
        <v>0</v>
      </c>
      <c r="AM717" s="1285"/>
      <c r="AN717" s="1285"/>
      <c r="AO717" s="1285"/>
      <c r="AP717" s="1285"/>
      <c r="AQ717" s="1285"/>
      <c r="AR717" s="1285"/>
      <c r="AS717" s="1286"/>
      <c r="AT717" s="1287"/>
      <c r="AU717" s="1288"/>
      <c r="AV717" s="1289"/>
      <c r="AW717" s="1290"/>
      <c r="AX717" s="1291"/>
      <c r="AY717" s="1291"/>
      <c r="AZ717" s="1292"/>
      <c r="BA717" s="1293"/>
      <c r="BB717" s="1294"/>
      <c r="BC717" s="1295"/>
      <c r="BD717" s="1296">
        <f>BD716+PROD!L717-BA717</f>
        <v>0</v>
      </c>
      <c r="BE717" s="2133"/>
      <c r="BF717" s="507" t="e">
        <f t="shared" si="405"/>
        <v>#VALUE!</v>
      </c>
      <c r="BG717" s="329"/>
      <c r="BH717" s="1018">
        <f t="shared" si="406"/>
        <v>0</v>
      </c>
    </row>
    <row r="718" spans="1:60" ht="15" customHeight="1" x14ac:dyDescent="0.3">
      <c r="A718" s="2034"/>
      <c r="B718" s="287" t="str">
        <f t="shared" si="407"/>
        <v/>
      </c>
      <c r="C718" s="288" t="str">
        <f t="shared" si="402"/>
        <v/>
      </c>
      <c r="D718" s="691"/>
      <c r="E718" s="692"/>
      <c r="F718" s="693"/>
      <c r="G718" s="694"/>
      <c r="H718" s="695"/>
      <c r="I718" s="289">
        <f>I717-SUM($D718:F718)</f>
        <v>0</v>
      </c>
      <c r="J718" s="1239" t="str">
        <f>$J$11</f>
        <v>% Viabilidad :</v>
      </c>
      <c r="K718" s="1240">
        <f>IF(OR(SUM(L712:L718)&gt;0,SUM(V712:V718)&gt;0),1-(K715+K716),0)</f>
        <v>0</v>
      </c>
      <c r="L718" s="1247"/>
      <c r="M718" s="1248">
        <f>IF(I718&gt;0,(L718/IF(SUM(L712:L717)&gt;0,1,7))/I718,0)</f>
        <v>0</v>
      </c>
      <c r="N718" s="1249" t="str">
        <f>$N$11</f>
        <v xml:space="preserve">Uniformidad (10% +) : </v>
      </c>
      <c r="O718" s="1250">
        <f>IF(O716&gt;0,IF(O717&gt;0,100-SUM(O716:O717),0),0)</f>
        <v>0</v>
      </c>
      <c r="P718" s="1251">
        <f>100-SUM(P716:P717)</f>
        <v>5</v>
      </c>
      <c r="Q718" s="1252">
        <f>IF(AND(P718&gt;0,O718&gt;0),(O718/P718-1)*100,0)</f>
        <v>0</v>
      </c>
      <c r="R718" s="699"/>
      <c r="S718" s="762"/>
      <c r="T718" s="765">
        <f t="shared" si="413"/>
        <v>0</v>
      </c>
      <c r="U718" s="700"/>
      <c r="V718" s="701"/>
      <c r="W718" s="701"/>
      <c r="X718" s="295">
        <f t="shared" si="408"/>
        <v>0</v>
      </c>
      <c r="Y718" s="296">
        <f>IF(AA718&gt;0,V718,AE712/IF(Iniciar!$C$25="B X 40 K",40,IF(Iniciar!$C$25="B X 50 K",50,1))*I718/1000)</f>
        <v>0</v>
      </c>
      <c r="Z718" s="296">
        <f t="shared" si="409"/>
        <v>0</v>
      </c>
      <c r="AA718" s="297">
        <f>IF(I718&gt;0,(V718/IF(SUM(V712:V717)&gt;0,1,7))*$A$1/I718,0)</f>
        <v>0</v>
      </c>
      <c r="AB718" s="297">
        <f t="shared" si="403"/>
        <v>0</v>
      </c>
      <c r="AC718" s="2039" t="str">
        <f>$AC$11</f>
        <v xml:space="preserve">Relación Agua /Alimto: </v>
      </c>
      <c r="AD718" s="2040"/>
      <c r="AE718" s="2058">
        <f>IFERROR(AE717/AD712,0)</f>
        <v>0</v>
      </c>
      <c r="AF718" s="2059"/>
      <c r="AG718" s="1269" t="s">
        <v>237</v>
      </c>
      <c r="AH718" s="1270">
        <f>IF(SUM(L712:L718)&gt;0,AH717*SUM(V712:V718)/SUM(L712:L718),0)</f>
        <v>0</v>
      </c>
      <c r="AI718" s="1270">
        <f>IF(AND($A$1&gt;0,P712&gt;0),AH717/$A$1*(AE712/P712)*100,0)</f>
        <v>0</v>
      </c>
      <c r="AJ718" s="1271">
        <f t="shared" ref="AJ718:AJ723" si="414">IF(AND(AI718&gt;0,AH718&gt;0),(AH718/AI718-1)*100,0)</f>
        <v>0</v>
      </c>
      <c r="AK718" s="2028"/>
      <c r="AL718" s="1284">
        <f t="shared" si="404"/>
        <v>0</v>
      </c>
      <c r="AM718" s="1285"/>
      <c r="AN718" s="1285"/>
      <c r="AO718" s="1285"/>
      <c r="AP718" s="1285"/>
      <c r="AQ718" s="1285"/>
      <c r="AR718" s="1285"/>
      <c r="AS718" s="1286"/>
      <c r="AT718" s="1287"/>
      <c r="AU718" s="1288"/>
      <c r="AV718" s="1289"/>
      <c r="AW718" s="1290"/>
      <c r="AX718" s="1291"/>
      <c r="AY718" s="1291"/>
      <c r="AZ718" s="1292"/>
      <c r="BA718" s="1293"/>
      <c r="BB718" s="1294"/>
      <c r="BC718" s="1295"/>
      <c r="BD718" s="1296">
        <f>BD717+PROD!L718-BA718</f>
        <v>0</v>
      </c>
      <c r="BE718" s="2134"/>
      <c r="BF718" s="507" t="e">
        <f t="shared" si="405"/>
        <v>#VALUE!</v>
      </c>
      <c r="BG718" s="329"/>
      <c r="BH718" s="1018">
        <f t="shared" si="406"/>
        <v>0</v>
      </c>
    </row>
    <row r="719" spans="1:60" ht="15" customHeight="1" x14ac:dyDescent="0.3">
      <c r="A719" s="2032">
        <f>A712+1</f>
        <v>120</v>
      </c>
      <c r="B719" s="287" t="str">
        <f t="shared" si="407"/>
        <v/>
      </c>
      <c r="C719" s="288" t="str">
        <f t="shared" si="402"/>
        <v/>
      </c>
      <c r="D719" s="691"/>
      <c r="E719" s="692"/>
      <c r="F719" s="693"/>
      <c r="G719" s="694"/>
      <c r="H719" s="695"/>
      <c r="I719" s="289">
        <f>I718-SUM($D719:F719)</f>
        <v>0</v>
      </c>
      <c r="J719" s="1232" t="str">
        <f>$J$5</f>
        <v>% Mort Sem :</v>
      </c>
      <c r="K719" s="1233">
        <f>IF(PROD!$K$2&gt;0,SUM(D719:D725)/PROD!$K$2,0)</f>
        <v>0</v>
      </c>
      <c r="L719" s="1241"/>
      <c r="M719" s="1242">
        <f t="shared" ref="M719:M724" si="415">IF(I719&gt;0,L719/I719,0)</f>
        <v>0</v>
      </c>
      <c r="N719" s="1243" t="str">
        <f>$N$5</f>
        <v xml:space="preserve">% Pdn prom semana : </v>
      </c>
      <c r="O719" s="1244">
        <f>IF(SUM(L719:L724)&gt;0,100*SUMPRODUCT(M719:M725,I719:I725)/SUMIF(L719:L725,"&gt;0",I719:I725),IF(L725&gt;0,100*L725/7/I725,0))</f>
        <v>0</v>
      </c>
      <c r="P719" s="1244">
        <f>IFERROR(LOOKUP($A719,TP!$A$6:$A$108,GSh!$AE$6:$AE$108),0)</f>
        <v>0</v>
      </c>
      <c r="Q719" s="1245">
        <f>IF(AND(P719&gt;0,O719&gt;0),O719-P719,0)</f>
        <v>0</v>
      </c>
      <c r="R719" s="699"/>
      <c r="S719" s="762"/>
      <c r="T719" s="765">
        <f t="shared" si="413"/>
        <v>0</v>
      </c>
      <c r="U719" s="700"/>
      <c r="V719" s="701"/>
      <c r="W719" s="701"/>
      <c r="X719" s="295">
        <f t="shared" si="408"/>
        <v>0</v>
      </c>
      <c r="Y719" s="296">
        <f>IF(AA719&gt;0,V719,AE719/IF(Iniciar!$C$25="B X 40 K",40,IF(Iniciar!$C$25="B X 50 K",50,1))*I719/1000)</f>
        <v>0</v>
      </c>
      <c r="Z719" s="296">
        <f t="shared" si="409"/>
        <v>0</v>
      </c>
      <c r="AA719" s="297">
        <f t="shared" ref="AA719:AA724" si="416">IF(I719&gt;0,V719*$A$1/I719,0)</f>
        <v>0</v>
      </c>
      <c r="AB719" s="297">
        <f t="shared" si="403"/>
        <v>0</v>
      </c>
      <c r="AC719" s="1261" t="str">
        <f>$AC$5</f>
        <v>Gr. Ave Dia :</v>
      </c>
      <c r="AD719" s="1262">
        <f>IF(SUMIF(V719:V725,"&gt;0")&gt;0,SUMPRODUCT(AA719:AA725,I719:I725)/SUMIF(AA719:AA725,"&gt;0",I719:I725),0)</f>
        <v>0</v>
      </c>
      <c r="AE719" s="1262">
        <f>IFERROR(LOOKUP($A719,TP!$A$6:$A$108,GSh!$AU$6:$AU$108),0)</f>
        <v>0</v>
      </c>
      <c r="AF719" s="1263">
        <f>IF(AND(AE719&gt;0,AD719&gt;0),(AD719/AE719-1)*100,0)</f>
        <v>0</v>
      </c>
      <c r="AG719" s="1264" t="str">
        <f>PROD!$AG$5</f>
        <v>Gr X H</v>
      </c>
      <c r="AH719" s="1265">
        <f>IF(PROD!O719&gt;0,IF($AG719="Gr X H",PROD!AD719/PROD!O719*100,IF($AG719="Conv Kg/Doc",PROD!AD719/PROD!O719*1.2,IF(PROD!$O721&gt;0,PROD!AD719/(PROD!O719*PROD!$O721)*100,0))),0)</f>
        <v>0</v>
      </c>
      <c r="AI719" s="1265">
        <f>IF(PROD!P719&gt;0,IF($AG719="Gr X H",PROD!AE719/PROD!P719*100,IF($AG719="Conv Kg/Doc",PROD!AE719/PROD!P719*1.2,IF(PROD!$P721&gt;0,PROD!AE719/(PROD!P719*PROD!$P721)*100,0))),0)</f>
        <v>0</v>
      </c>
      <c r="AJ719" s="1266">
        <f t="shared" si="414"/>
        <v>0</v>
      </c>
      <c r="AK719" s="2026"/>
      <c r="AL719" s="1284">
        <f t="shared" si="404"/>
        <v>0</v>
      </c>
      <c r="AM719" s="1285"/>
      <c r="AN719" s="1285"/>
      <c r="AO719" s="1285"/>
      <c r="AP719" s="1285"/>
      <c r="AQ719" s="1285"/>
      <c r="AR719" s="1285"/>
      <c r="AS719" s="1286"/>
      <c r="AT719" s="1287"/>
      <c r="AU719" s="1288"/>
      <c r="AV719" s="1289"/>
      <c r="AW719" s="1290"/>
      <c r="AX719" s="1291"/>
      <c r="AY719" s="1291"/>
      <c r="AZ719" s="1292"/>
      <c r="BA719" s="1293"/>
      <c r="BB719" s="1294"/>
      <c r="BC719" s="1295"/>
      <c r="BD719" s="1296">
        <f>BD718+PROD!L719-BA719</f>
        <v>0</v>
      </c>
      <c r="BE719" s="2132">
        <f>IF(SUM(AM719:AZ725)&gt;0,(SUM(AM719:AM725)*$AM$2+SUM(AN719:AN725)*$AN$2+SUM(AO719:AO725)*$AO$2+SUM(AP719:AP725)*$AP$2+SUM(AQ719:AQ725)*$AQ$2+SUM(AR719:AR725)*$AR$2+SUM(AS719:AS725)*$AS$2+SUM(AW719:AW725)*$AW$2+SUM(AX719:AX725)*$AX$2+SUM(AY719:AY725)*$AY$2+SUM(AZ719:AZ725)*$AZ$2+SUM(AT719:AT725)*$AT$2+SUM(AU719:AU725)*$AU$2+SUM(AV719:AV725)*$AV$2)/SUM(AM719:AZ725),0)</f>
        <v>0</v>
      </c>
      <c r="BF719" s="507" t="e">
        <f t="shared" si="405"/>
        <v>#VALUE!</v>
      </c>
      <c r="BG719" s="277">
        <f>IF(SUM(L719:L725)&gt;0,A719,IF(SUM(V719:V725)&gt;0,A719,BG712))</f>
        <v>0</v>
      </c>
      <c r="BH719" s="1018">
        <f t="shared" si="406"/>
        <v>0</v>
      </c>
    </row>
    <row r="720" spans="1:60" ht="15" customHeight="1" x14ac:dyDescent="0.3">
      <c r="A720" s="2033"/>
      <c r="B720" s="287" t="str">
        <f t="shared" si="407"/>
        <v/>
      </c>
      <c r="C720" s="288" t="str">
        <f t="shared" si="402"/>
        <v/>
      </c>
      <c r="D720" s="691"/>
      <c r="E720" s="692"/>
      <c r="F720" s="693"/>
      <c r="G720" s="694"/>
      <c r="H720" s="695"/>
      <c r="I720" s="289">
        <f>I719-SUM($D720:F720)</f>
        <v>0</v>
      </c>
      <c r="J720" s="1234" t="str">
        <f>$J$6</f>
        <v>% Sel Sem :</v>
      </c>
      <c r="K720" s="1231">
        <f>IF(PROD!$K$2&gt;0,SUM(E719:E725)/PROD!$K$2,0)</f>
        <v>0</v>
      </c>
      <c r="L720" s="1246"/>
      <c r="M720" s="291">
        <f t="shared" si="415"/>
        <v>0</v>
      </c>
      <c r="N720" s="292" t="str">
        <f>$N$6</f>
        <v xml:space="preserve">H. Ave Alojada : </v>
      </c>
      <c r="O720" s="293">
        <f>IF(AND(PROD!$K$2&gt;0,O719&gt;0),SUM(L$5:L725)/PROD!$K$2,0)</f>
        <v>0</v>
      </c>
      <c r="P720" s="293">
        <f>IFERROR(LOOKUP($A719,TP!$A$6:$A$108,GSh!$AJ$6:$AJ$108),0)</f>
        <v>0</v>
      </c>
      <c r="Q720" s="294">
        <f>IF(AND(P720&gt;0,O720&gt;0),O720-P720,0)</f>
        <v>0</v>
      </c>
      <c r="R720" s="699"/>
      <c r="S720" s="762"/>
      <c r="T720" s="765">
        <f t="shared" si="413"/>
        <v>0</v>
      </c>
      <c r="U720" s="700"/>
      <c r="V720" s="701"/>
      <c r="W720" s="701"/>
      <c r="X720" s="295">
        <f t="shared" si="408"/>
        <v>0</v>
      </c>
      <c r="Y720" s="296">
        <f>IF(AA720&gt;0,V720,AE719/IF(Iniciar!$C$25="B X 40 K",40,IF(Iniciar!$C$25="B X 50 K",50,1))*I720/1000)</f>
        <v>0</v>
      </c>
      <c r="Z720" s="296">
        <f t="shared" si="409"/>
        <v>0</v>
      </c>
      <c r="AA720" s="297">
        <f t="shared" si="416"/>
        <v>0</v>
      </c>
      <c r="AB720" s="297">
        <f t="shared" si="403"/>
        <v>0</v>
      </c>
      <c r="AC720" s="1267" t="str">
        <f>$AC$6</f>
        <v>Gr. Ave Sem :</v>
      </c>
      <c r="AD720" s="284">
        <f>AD719*7</f>
        <v>0</v>
      </c>
      <c r="AE720" s="284">
        <f>AE719*7</f>
        <v>0</v>
      </c>
      <c r="AF720" s="285">
        <f>IF(AND(AE720&gt;0,AD720&gt;0),(AD720/AE720-1)*100,0)</f>
        <v>0</v>
      </c>
      <c r="AG720" s="1199" t="str">
        <f>PROD!$AG$6</f>
        <v>Gr X H Acm</v>
      </c>
      <c r="AH720" s="298">
        <f>IF(SUM(PROD!L719:L725)&gt;0,IF(PROD!$AG$5="Gr X H",SUM(PROD!V$5:V725)*PROD!$A$1/SUM(PROD!L$5:L725),IF($AG719="Conv Kg/Doc",(SUM(PROD!V$5:V725)*PROD!$A$1/1000)/(SUM(PROD!L$5:L725)/12),IF(PROD!$O721&gt;0,SUM(PROD!V$5:V725)*PROD!$A$1/(SUM(PROD!L$5:L725)*LOOKUP(PROD!A719,TP!$A$6:$A$108,GSh!$BB$6:$BB$108)),0))),0)</f>
        <v>0</v>
      </c>
      <c r="AI720" s="298">
        <f>IF(PROD!P719&gt;0,IF($AG719="Gr X H",PROD!AE719/PROD!P719*100,IF($AG719="Conv Kg/Doc",PROD!AE719/PROD!P719*1.2,IF(PROD!$P720&gt;0,PROD!AE721/(PROD!P720*LOOKUP(PROD!$A719,TP!$A$6:$A$108,GSh!$BC$6:$BC$108)/1000),0))),0)</f>
        <v>0</v>
      </c>
      <c r="AJ720" s="328">
        <f t="shared" si="414"/>
        <v>0</v>
      </c>
      <c r="AK720" s="2027"/>
      <c r="AL720" s="1284">
        <f t="shared" si="404"/>
        <v>0</v>
      </c>
      <c r="AM720" s="1285"/>
      <c r="AN720" s="1285"/>
      <c r="AO720" s="1285"/>
      <c r="AP720" s="1285"/>
      <c r="AQ720" s="1285"/>
      <c r="AR720" s="1285"/>
      <c r="AS720" s="1286"/>
      <c r="AT720" s="1287"/>
      <c r="AU720" s="1288"/>
      <c r="AV720" s="1289"/>
      <c r="AW720" s="1290"/>
      <c r="AX720" s="1291"/>
      <c r="AY720" s="1291"/>
      <c r="AZ720" s="1292"/>
      <c r="BA720" s="1293"/>
      <c r="BB720" s="1294"/>
      <c r="BC720" s="1295"/>
      <c r="BD720" s="1296">
        <f>BD719+PROD!L720-BA720</f>
        <v>0</v>
      </c>
      <c r="BE720" s="2133"/>
      <c r="BF720" s="507" t="e">
        <f t="shared" si="405"/>
        <v>#VALUE!</v>
      </c>
      <c r="BG720" s="329"/>
      <c r="BH720" s="1018">
        <f t="shared" si="406"/>
        <v>0</v>
      </c>
    </row>
    <row r="721" spans="1:60" ht="15" customHeight="1" x14ac:dyDescent="0.3">
      <c r="A721" s="2033"/>
      <c r="B721" s="287" t="str">
        <f t="shared" si="407"/>
        <v/>
      </c>
      <c r="C721" s="288" t="str">
        <f t="shared" si="402"/>
        <v/>
      </c>
      <c r="D721" s="691"/>
      <c r="E721" s="692"/>
      <c r="F721" s="693"/>
      <c r="G721" s="694"/>
      <c r="H721" s="695"/>
      <c r="I721" s="289">
        <f>I720-SUM($D721:F721)</f>
        <v>0</v>
      </c>
      <c r="J721" s="1235" t="str">
        <f>$J$7</f>
        <v>% Mort/Sel Sem Tab :</v>
      </c>
      <c r="K721" s="1236">
        <f>K724-K717</f>
        <v>0</v>
      </c>
      <c r="L721" s="1246"/>
      <c r="M721" s="291">
        <f t="shared" si="415"/>
        <v>0</v>
      </c>
      <c r="N721" s="304" t="str">
        <f>$N$7</f>
        <v xml:space="preserve">Peso Huevo (Gr) : </v>
      </c>
      <c r="O721" s="305">
        <f>LOOKUP($A719,'Pr-Sem'!$A$6:$A$108,'Pr-Sem'!$Z$6:$Z$108)</f>
        <v>0</v>
      </c>
      <c r="P721" s="305">
        <f>IFERROR(LOOKUP($A719,TP!$A$6:$A$108,GSh!$AZ$6:$AZ$108),0)</f>
        <v>0</v>
      </c>
      <c r="Q721" s="306">
        <f>IF(AND(P721&gt;0,O721&gt;0),O721-P721,0)</f>
        <v>0</v>
      </c>
      <c r="R721" s="699"/>
      <c r="S721" s="762"/>
      <c r="T721" s="765">
        <f t="shared" si="413"/>
        <v>0</v>
      </c>
      <c r="U721" s="700"/>
      <c r="V721" s="701"/>
      <c r="W721" s="701"/>
      <c r="X721" s="295">
        <f t="shared" si="408"/>
        <v>0</v>
      </c>
      <c r="Y721" s="296">
        <f>IF(AA721&gt;0,V721,AE719/IF(Iniciar!$C$25="B X 40 K",40,IF(Iniciar!$C$25="B X 50 K",50,1))*I721/1000)</f>
        <v>0</v>
      </c>
      <c r="Z721" s="296">
        <f t="shared" si="409"/>
        <v>0</v>
      </c>
      <c r="AA721" s="297">
        <f t="shared" si="416"/>
        <v>0</v>
      </c>
      <c r="AB721" s="297">
        <f t="shared" si="403"/>
        <v>0</v>
      </c>
      <c r="AC721" s="1268" t="str">
        <f>$AC$7</f>
        <v>Kg Ave Acu :</v>
      </c>
      <c r="AD721" s="308">
        <f>IF(OR(SUM(L719:L725)&gt;0,SUM(V719:V725)&gt;0),AD720/1000+AD714,0)</f>
        <v>0</v>
      </c>
      <c r="AE721" s="309">
        <f>AE720/1000+AE714</f>
        <v>0</v>
      </c>
      <c r="AF721" s="310">
        <f>IF(AND(AE721&gt;0,AD721&gt;0),(AD721/AE721-1)*100,0)</f>
        <v>0</v>
      </c>
      <c r="AG721" s="311" t="str">
        <f>PROD!$AG$7</f>
        <v xml:space="preserve">Masa Sem H (Gr) : </v>
      </c>
      <c r="AH721" s="312">
        <f>PROD!O719/100*7*PROD!O721</f>
        <v>0</v>
      </c>
      <c r="AI721" s="312">
        <f>PROD!P719/100*7*PROD!P721</f>
        <v>0</v>
      </c>
      <c r="AJ721" s="313">
        <f t="shared" si="414"/>
        <v>0</v>
      </c>
      <c r="AK721" s="2027"/>
      <c r="AL721" s="1284">
        <f t="shared" si="404"/>
        <v>0</v>
      </c>
      <c r="AM721" s="1285"/>
      <c r="AN721" s="1285"/>
      <c r="AO721" s="1285"/>
      <c r="AP721" s="1285"/>
      <c r="AQ721" s="1285"/>
      <c r="AR721" s="1285"/>
      <c r="AS721" s="1286"/>
      <c r="AT721" s="1287"/>
      <c r="AU721" s="1288"/>
      <c r="AV721" s="1289"/>
      <c r="AW721" s="1290"/>
      <c r="AX721" s="1291"/>
      <c r="AY721" s="1291"/>
      <c r="AZ721" s="1292"/>
      <c r="BA721" s="1293"/>
      <c r="BB721" s="1294"/>
      <c r="BC721" s="1295"/>
      <c r="BD721" s="1296">
        <f>BD720+PROD!L721-BA721</f>
        <v>0</v>
      </c>
      <c r="BE721" s="2133"/>
      <c r="BF721" s="507" t="e">
        <f t="shared" si="405"/>
        <v>#VALUE!</v>
      </c>
      <c r="BG721" s="329"/>
      <c r="BH721" s="1018">
        <f t="shared" si="406"/>
        <v>0</v>
      </c>
    </row>
    <row r="722" spans="1:60" ht="15" customHeight="1" x14ac:dyDescent="0.3">
      <c r="A722" s="2033"/>
      <c r="B722" s="287" t="str">
        <f t="shared" si="407"/>
        <v/>
      </c>
      <c r="C722" s="288" t="str">
        <f t="shared" si="402"/>
        <v/>
      </c>
      <c r="D722" s="691"/>
      <c r="E722" s="692"/>
      <c r="F722" s="693"/>
      <c r="G722" s="694"/>
      <c r="H722" s="695"/>
      <c r="I722" s="289">
        <f>I721-SUM($D722:F722)</f>
        <v>0</v>
      </c>
      <c r="J722" s="1234" t="str">
        <f>$J$8</f>
        <v>% Mort Acm :</v>
      </c>
      <c r="K722" s="1231">
        <f>IF(PROD!$K$2&gt;0,SUM(D$5:D725)/PROD!$K$2,0)</f>
        <v>0</v>
      </c>
      <c r="L722" s="1246"/>
      <c r="M722" s="291">
        <f t="shared" si="415"/>
        <v>0</v>
      </c>
      <c r="N722" s="314" t="str">
        <f>N$8</f>
        <v xml:space="preserve">Peso Ave (Gr) : </v>
      </c>
      <c r="O722" s="315">
        <f>LOOKUP($A719,GSh!$BV$6:$BV$108,GSh!$BJ$6:$BJ$108)</f>
        <v>0</v>
      </c>
      <c r="P722" s="315">
        <f>IFERROR(LOOKUP($A719,TP!$A$6:$A$108,GSh!$BK$6:$BK$108),0)</f>
        <v>0</v>
      </c>
      <c r="Q722" s="316">
        <f>IF(AND(P722&gt;0,O722&gt;0),(O722/P722-1)*100,0)</f>
        <v>0</v>
      </c>
      <c r="R722" s="699"/>
      <c r="S722" s="762"/>
      <c r="T722" s="765">
        <f t="shared" si="413"/>
        <v>0</v>
      </c>
      <c r="U722" s="700"/>
      <c r="V722" s="701"/>
      <c r="W722" s="701"/>
      <c r="X722" s="295">
        <f t="shared" si="408"/>
        <v>0</v>
      </c>
      <c r="Y722" s="296">
        <f>IF(AA722&gt;0,V722,AE719/IF(Iniciar!$C$25="B X 40 K",40,IF(Iniciar!$C$25="B X 50 K",50,1))*I722/1000)</f>
        <v>0</v>
      </c>
      <c r="Z722" s="296">
        <f t="shared" si="409"/>
        <v>0</v>
      </c>
      <c r="AA722" s="297">
        <f t="shared" si="416"/>
        <v>0</v>
      </c>
      <c r="AB722" s="297">
        <f t="shared" si="403"/>
        <v>0</v>
      </c>
      <c r="AC722" s="541" t="str">
        <f>$AC$8</f>
        <v xml:space="preserve">Ton. Lote Acu : </v>
      </c>
      <c r="AD722" s="544">
        <f>SUM($V$5:$V725)*$A$1/1000000</f>
        <v>0</v>
      </c>
      <c r="AE722" s="543">
        <f>AE715+(AE719/1000000*7*(I719+I725)/2)</f>
        <v>0</v>
      </c>
      <c r="AF722" s="542">
        <f>IF(AND(AE722&gt;0,AD722&gt;0),(AD722/AE722-1)*100,0)</f>
        <v>0</v>
      </c>
      <c r="AG722" s="317" t="str">
        <f>PROD!$AG$8</f>
        <v xml:space="preserve">Masa Ac A. A (Kg) : </v>
      </c>
      <c r="AH722" s="318">
        <f>IF(PROD!$K$2&gt;0,SUM(PROD!L$5:L725)*LOOKUP(PROD!$A719,TP!$A$6:$A$108,GSh!$BB$6:$BB$108)/1000/PROD!$K$2,0)</f>
        <v>0</v>
      </c>
      <c r="AI722" s="318">
        <f>IFERROR(PROD!P720*LOOKUP(PROD!$A719,TP!$A$6:$A$108,GSh!$BC$6:$BC$108)/1000,0)</f>
        <v>0</v>
      </c>
      <c r="AJ722" s="330">
        <f t="shared" si="414"/>
        <v>0</v>
      </c>
      <c r="AK722" s="2027"/>
      <c r="AL722" s="1284">
        <f t="shared" si="404"/>
        <v>0</v>
      </c>
      <c r="AM722" s="1285"/>
      <c r="AN722" s="1285"/>
      <c r="AO722" s="1285"/>
      <c r="AP722" s="1285"/>
      <c r="AQ722" s="1285"/>
      <c r="AR722" s="1285"/>
      <c r="AS722" s="1286"/>
      <c r="AT722" s="1287"/>
      <c r="AU722" s="1288"/>
      <c r="AV722" s="1289"/>
      <c r="AW722" s="1290"/>
      <c r="AX722" s="1291"/>
      <c r="AY722" s="1291"/>
      <c r="AZ722" s="1292"/>
      <c r="BA722" s="1293"/>
      <c r="BB722" s="1294"/>
      <c r="BC722" s="1295"/>
      <c r="BD722" s="1296">
        <f>BD721+PROD!L722-BA722</f>
        <v>0</v>
      </c>
      <c r="BE722" s="2133"/>
      <c r="BF722" s="507" t="e">
        <f t="shared" si="405"/>
        <v>#VALUE!</v>
      </c>
      <c r="BG722" s="329"/>
      <c r="BH722" s="1018">
        <f t="shared" si="406"/>
        <v>0</v>
      </c>
    </row>
    <row r="723" spans="1:60" ht="15" customHeight="1" x14ac:dyDescent="0.3">
      <c r="A723" s="2033"/>
      <c r="B723" s="287" t="str">
        <f t="shared" si="407"/>
        <v/>
      </c>
      <c r="C723" s="288" t="str">
        <f t="shared" si="402"/>
        <v/>
      </c>
      <c r="D723" s="691"/>
      <c r="E723" s="692"/>
      <c r="F723" s="693"/>
      <c r="G723" s="694"/>
      <c r="H723" s="695"/>
      <c r="I723" s="289">
        <f>I722-SUM($D723:F723)</f>
        <v>0</v>
      </c>
      <c r="J723" s="1234" t="str">
        <f>$J$9</f>
        <v>% Sel Acm :</v>
      </c>
      <c r="K723" s="1231">
        <f>IF(PROD!$K$2&gt;0,SUM(E$5:E725)/PROD!$K$2,0)</f>
        <v>0</v>
      </c>
      <c r="L723" s="1246"/>
      <c r="M723" s="291">
        <f t="shared" si="415"/>
        <v>0</v>
      </c>
      <c r="N723" s="292" t="str">
        <f>$N$9</f>
        <v xml:space="preserve">Uniformidad (10% -) : </v>
      </c>
      <c r="O723" s="320">
        <f>LOOKUP($A719,'Pr-Sem'!$A$6:$A$108,'Pr-Sem'!$AH$6:$AH$108)</f>
        <v>0</v>
      </c>
      <c r="P723" s="320">
        <v>5</v>
      </c>
      <c r="Q723" s="321">
        <f>IF(AND(P723&gt;0,O723&gt;0),(1-O723/P723)*100,0)</f>
        <v>0</v>
      </c>
      <c r="R723" s="699"/>
      <c r="S723" s="762"/>
      <c r="T723" s="765">
        <f t="shared" si="413"/>
        <v>0</v>
      </c>
      <c r="U723" s="700"/>
      <c r="V723" s="701"/>
      <c r="W723" s="701"/>
      <c r="X723" s="295">
        <f t="shared" si="408"/>
        <v>0</v>
      </c>
      <c r="Y723" s="296">
        <f>IF(AA723&gt;0,V723,AE719/IF(Iniciar!$C$25="B X 40 K",40,IF(Iniciar!$C$25="B X 50 K",50,1))*I723/1000)</f>
        <v>0</v>
      </c>
      <c r="Z723" s="296">
        <f t="shared" si="409"/>
        <v>0</v>
      </c>
      <c r="AA723" s="297">
        <f t="shared" si="416"/>
        <v>0</v>
      </c>
      <c r="AB723" s="297">
        <f t="shared" si="403"/>
        <v>0</v>
      </c>
      <c r="AC723" s="2035" t="str">
        <f>$AC$9</f>
        <v xml:space="preserve">Total Litros Sem: </v>
      </c>
      <c r="AD723" s="2036"/>
      <c r="AE723" s="2050">
        <f>SUM(R719:R725)</f>
        <v>0</v>
      </c>
      <c r="AF723" s="2051"/>
      <c r="AG723" s="554" t="str">
        <f>$AG$9</f>
        <v xml:space="preserve">Indicador Eficiencia : </v>
      </c>
      <c r="AH723" s="555">
        <f>IF(AND(AE723&gt;0,O720&gt;0,O721&gt;0,SUM(L719:L725)&gt;0),(PROD!AH722/O720)*K725*100/(AE723/(SUM(L719:L725)*O721/1000)),0)</f>
        <v>0</v>
      </c>
      <c r="AI723" s="555">
        <f>IF(AND(P720&gt;0,PROD!AI721&gt;0),(PROD!AI722/P720)*(1-K724)*100/(AE720/PROD!AI721),0)</f>
        <v>0</v>
      </c>
      <c r="AJ723" s="331">
        <f t="shared" si="414"/>
        <v>0</v>
      </c>
      <c r="AK723" s="2027"/>
      <c r="AL723" s="1284">
        <f t="shared" si="404"/>
        <v>0</v>
      </c>
      <c r="AM723" s="1285"/>
      <c r="AN723" s="1285"/>
      <c r="AO723" s="1285"/>
      <c r="AP723" s="1285"/>
      <c r="AQ723" s="1285"/>
      <c r="AR723" s="1285"/>
      <c r="AS723" s="1286"/>
      <c r="AT723" s="1287"/>
      <c r="AU723" s="1288"/>
      <c r="AV723" s="1289"/>
      <c r="AW723" s="1290"/>
      <c r="AX723" s="1291"/>
      <c r="AY723" s="1291"/>
      <c r="AZ723" s="1292"/>
      <c r="BA723" s="1293"/>
      <c r="BB723" s="1294"/>
      <c r="BC723" s="1295"/>
      <c r="BD723" s="1296">
        <f>BD722+PROD!L723-BA723</f>
        <v>0</v>
      </c>
      <c r="BE723" s="2133"/>
      <c r="BF723" s="507" t="e">
        <f t="shared" si="405"/>
        <v>#VALUE!</v>
      </c>
      <c r="BG723" s="329"/>
      <c r="BH723" s="1018">
        <f t="shared" si="406"/>
        <v>0</v>
      </c>
    </row>
    <row r="724" spans="1:60" ht="15" customHeight="1" x14ac:dyDescent="0.3">
      <c r="A724" s="2033"/>
      <c r="B724" s="287" t="str">
        <f t="shared" si="407"/>
        <v/>
      </c>
      <c r="C724" s="288" t="str">
        <f t="shared" si="402"/>
        <v/>
      </c>
      <c r="D724" s="691"/>
      <c r="E724" s="692"/>
      <c r="F724" s="693"/>
      <c r="G724" s="694"/>
      <c r="H724" s="695"/>
      <c r="I724" s="289">
        <f>I723-SUM($D724:F724)</f>
        <v>0</v>
      </c>
      <c r="J724" s="1237" t="str">
        <f>$J$10</f>
        <v>% Mort/Sel Acm Tab :</v>
      </c>
      <c r="K724" s="1238">
        <f>IFERROR(LOOKUP($A719,TP!$A$6:$A$108,GSh!$AR$6:$AR$108)/100,0)</f>
        <v>0</v>
      </c>
      <c r="L724" s="1246"/>
      <c r="M724" s="291">
        <f t="shared" si="415"/>
        <v>0</v>
      </c>
      <c r="N724" s="292" t="str">
        <f>$N$10</f>
        <v xml:space="preserve">Uniformidad (C. Lote) : </v>
      </c>
      <c r="O724" s="320">
        <f>LOOKUP($A719,'Pr-Sem'!$A$6:$A$108,'Pr-Sem'!$AG$6:$AG$108)</f>
        <v>0</v>
      </c>
      <c r="P724" s="320">
        <v>90</v>
      </c>
      <c r="Q724" s="321">
        <f>IF(AND(P724&gt;0,O724&gt;0),(O724/P724-1)*100,0)</f>
        <v>0</v>
      </c>
      <c r="R724" s="699"/>
      <c r="S724" s="762"/>
      <c r="T724" s="765">
        <f t="shared" si="413"/>
        <v>0</v>
      </c>
      <c r="U724" s="700"/>
      <c r="V724" s="701"/>
      <c r="W724" s="701"/>
      <c r="X724" s="295">
        <f t="shared" si="408"/>
        <v>0</v>
      </c>
      <c r="Y724" s="296">
        <f>IF(AA724&gt;0,V724,AE719/IF(Iniciar!$C$25="B X 40 K",40,IF(Iniciar!$C$25="B X 50 K",50,1))*I724/1000)</f>
        <v>0</v>
      </c>
      <c r="Z724" s="296">
        <f t="shared" si="409"/>
        <v>0</v>
      </c>
      <c r="AA724" s="297">
        <f t="shared" si="416"/>
        <v>0</v>
      </c>
      <c r="AB724" s="297">
        <f t="shared" si="403"/>
        <v>0</v>
      </c>
      <c r="AC724" s="2037" t="str">
        <f>$AC$10</f>
        <v xml:space="preserve">Cons ml /ave día: </v>
      </c>
      <c r="AD724" s="2038"/>
      <c r="AE724" s="2056">
        <f>IFERROR(SUMPRODUCT(AB719:AB725,I719:I725)/SUM(I719:I725),0)</f>
        <v>0</v>
      </c>
      <c r="AF724" s="2057"/>
      <c r="AG724" s="311" t="str">
        <f>CONCATENATE("Costo ",Iniciar!$C$25," : ")</f>
        <v xml:space="preserve">Costo Kilos : </v>
      </c>
      <c r="AH724" s="2043">
        <f>IFERROR(SUMPRODUCT(T719:T725,V719:V725)/SUMIF(T719:T725,"&gt;0",V719:V725),0)</f>
        <v>0</v>
      </c>
      <c r="AI724" s="2043"/>
      <c r="AJ724" s="313"/>
      <c r="AK724" s="2027"/>
      <c r="AL724" s="1284">
        <f t="shared" si="404"/>
        <v>0</v>
      </c>
      <c r="AM724" s="1285"/>
      <c r="AN724" s="1285"/>
      <c r="AO724" s="1285"/>
      <c r="AP724" s="1285"/>
      <c r="AQ724" s="1285"/>
      <c r="AR724" s="1285"/>
      <c r="AS724" s="1286"/>
      <c r="AT724" s="1287"/>
      <c r="AU724" s="1288"/>
      <c r="AV724" s="1289"/>
      <c r="AW724" s="1290"/>
      <c r="AX724" s="1291"/>
      <c r="AY724" s="1291"/>
      <c r="AZ724" s="1292"/>
      <c r="BA724" s="1293"/>
      <c r="BB724" s="1294"/>
      <c r="BC724" s="1295"/>
      <c r="BD724" s="1296">
        <f>BD723+PROD!L724-BA724</f>
        <v>0</v>
      </c>
      <c r="BE724" s="2133"/>
      <c r="BF724" s="507" t="e">
        <f t="shared" si="405"/>
        <v>#VALUE!</v>
      </c>
      <c r="BG724" s="329"/>
      <c r="BH724" s="1018">
        <f t="shared" si="406"/>
        <v>0</v>
      </c>
    </row>
    <row r="725" spans="1:60" ht="15" customHeight="1" x14ac:dyDescent="0.3">
      <c r="A725" s="2034"/>
      <c r="B725" s="287" t="str">
        <f t="shared" si="407"/>
        <v/>
      </c>
      <c r="C725" s="288" t="str">
        <f t="shared" si="402"/>
        <v/>
      </c>
      <c r="D725" s="691"/>
      <c r="E725" s="692"/>
      <c r="F725" s="693"/>
      <c r="G725" s="694"/>
      <c r="H725" s="695"/>
      <c r="I725" s="289">
        <f>I724-SUM($D725:F725)</f>
        <v>0</v>
      </c>
      <c r="J725" s="1239" t="str">
        <f>$J$11</f>
        <v>% Viabilidad :</v>
      </c>
      <c r="K725" s="1240">
        <f>IF(OR(SUM(L719:L725)&gt;0,SUM(V719:V725)&gt;0),1-(K722+K723),0)</f>
        <v>0</v>
      </c>
      <c r="L725" s="1247"/>
      <c r="M725" s="1248">
        <f>IF(I725&gt;0,(L725/IF(SUM(L719:L724)&gt;0,1,7))/I725,0)</f>
        <v>0</v>
      </c>
      <c r="N725" s="1249" t="str">
        <f>$N$11</f>
        <v xml:space="preserve">Uniformidad (10% +) : </v>
      </c>
      <c r="O725" s="1250">
        <f>IF(O723&gt;0,IF(O724&gt;0,100-SUM(O723:O724),0),0)</f>
        <v>0</v>
      </c>
      <c r="P725" s="1251">
        <f>100-SUM(P723:P724)</f>
        <v>5</v>
      </c>
      <c r="Q725" s="1252">
        <f>IF(AND(P725&gt;0,O725&gt;0),(O725/P725-1)*100,0)</f>
        <v>0</v>
      </c>
      <c r="R725" s="699"/>
      <c r="S725" s="762"/>
      <c r="T725" s="765">
        <f t="shared" si="413"/>
        <v>0</v>
      </c>
      <c r="U725" s="700"/>
      <c r="V725" s="701"/>
      <c r="W725" s="701"/>
      <c r="X725" s="295">
        <f t="shared" si="408"/>
        <v>0</v>
      </c>
      <c r="Y725" s="296">
        <f>IF(AA725&gt;0,V725,AE719/IF(Iniciar!$C$25="B X 40 K",40,IF(Iniciar!$C$25="B X 50 K",50,1))*I725/1000)</f>
        <v>0</v>
      </c>
      <c r="Z725" s="296">
        <f t="shared" si="409"/>
        <v>0</v>
      </c>
      <c r="AA725" s="297">
        <f>IF(I725&gt;0,(V725/IF(SUM(V719:V724)&gt;0,1,7))*$A$1/I725,0)</f>
        <v>0</v>
      </c>
      <c r="AB725" s="297">
        <f t="shared" si="403"/>
        <v>0</v>
      </c>
      <c r="AC725" s="2039" t="str">
        <f>$AC$11</f>
        <v xml:space="preserve">Relación Agua /Alimto: </v>
      </c>
      <c r="AD725" s="2040"/>
      <c r="AE725" s="2058">
        <f>IFERROR(AE724/AD719,0)</f>
        <v>0</v>
      </c>
      <c r="AF725" s="2059"/>
      <c r="AG725" s="1269" t="s">
        <v>237</v>
      </c>
      <c r="AH725" s="1270">
        <f>IF(SUM(L719:L725)&gt;0,AH724*SUM(V719:V725)/SUM(L719:L725),0)</f>
        <v>0</v>
      </c>
      <c r="AI725" s="1270">
        <f>IF(AND($A$1&gt;0,P719&gt;0),AH724/$A$1*(AE719/P719)*100,0)</f>
        <v>0</v>
      </c>
      <c r="AJ725" s="1271">
        <f>IF(AND(AI725&gt;0,AH725&gt;0),(AH725/AI725-1)*100,0)</f>
        <v>0</v>
      </c>
      <c r="AK725" s="2028"/>
      <c r="AL725" s="1284">
        <f t="shared" si="404"/>
        <v>0</v>
      </c>
      <c r="AM725" s="1285"/>
      <c r="AN725" s="1285"/>
      <c r="AO725" s="1285"/>
      <c r="AP725" s="1285"/>
      <c r="AQ725" s="1285"/>
      <c r="AR725" s="1285"/>
      <c r="AS725" s="1286"/>
      <c r="AT725" s="1287"/>
      <c r="AU725" s="1288"/>
      <c r="AV725" s="1289"/>
      <c r="AW725" s="1290"/>
      <c r="AX725" s="1291"/>
      <c r="AY725" s="1291"/>
      <c r="AZ725" s="1292"/>
      <c r="BA725" s="1293"/>
      <c r="BB725" s="1294"/>
      <c r="BC725" s="1295"/>
      <c r="BD725" s="1296">
        <f>BD724+PROD!L725-BA725</f>
        <v>0</v>
      </c>
      <c r="BE725" s="2134"/>
      <c r="BF725" s="507" t="e">
        <f t="shared" si="405"/>
        <v>#VALUE!</v>
      </c>
      <c r="BG725" s="329"/>
      <c r="BH725" s="1018">
        <f t="shared" si="406"/>
        <v>0</v>
      </c>
    </row>
    <row r="726" spans="1:60" ht="17.25" thickBot="1" x14ac:dyDescent="0.35">
      <c r="R726" s="539"/>
      <c r="AL726" s="352"/>
      <c r="AM726" s="352"/>
      <c r="AN726" s="352"/>
      <c r="AO726" s="352"/>
      <c r="AP726" s="352"/>
      <c r="AQ726" s="352"/>
      <c r="AR726" s="352"/>
      <c r="AS726" s="352"/>
      <c r="AT726" s="352"/>
      <c r="AU726" s="352"/>
      <c r="AV726" s="352"/>
      <c r="AW726" s="352"/>
      <c r="AX726" s="352"/>
      <c r="AY726" s="352"/>
      <c r="AZ726" s="352"/>
      <c r="BA726" s="352"/>
      <c r="BB726" s="352"/>
      <c r="BC726" s="352"/>
      <c r="BD726" s="352"/>
      <c r="BE726" s="352"/>
    </row>
    <row r="727" spans="1:60" ht="13.5" customHeight="1" thickBot="1" x14ac:dyDescent="0.35">
      <c r="B727" s="1019">
        <f>SUBTOTAL(5,$B$5:$B$725)</f>
        <v>0</v>
      </c>
      <c r="C727" s="999"/>
      <c r="D727" s="2097">
        <f>SUBTOTAL(9,D5:D725)</f>
        <v>0</v>
      </c>
      <c r="E727" s="2099">
        <f>SUBTOTAL(9,E5:E725)</f>
        <v>0</v>
      </c>
      <c r="F727" s="2101">
        <f>SUBTOTAL(9,F5:F725)</f>
        <v>0</v>
      </c>
      <c r="G727" s="2107"/>
      <c r="H727" s="2108"/>
      <c r="I727" s="2105">
        <f>IFERROR(LOOKUP($B$728,$B$5:$B$725,I$5:I$725),0)</f>
        <v>0</v>
      </c>
      <c r="L727" s="2135">
        <f>SUBTOTAL(9,L5:L725)</f>
        <v>0</v>
      </c>
      <c r="M727" s="333"/>
      <c r="N727"/>
      <c r="R727" s="2130">
        <f>SUBTOTAL(9,R5:R725)</f>
        <v>0</v>
      </c>
      <c r="S727" s="333" t="s">
        <v>134</v>
      </c>
      <c r="T727" s="2149">
        <f>IFERROR(SUBTOTAL(9,BH5:BH725)/V727,0)</f>
        <v>0</v>
      </c>
      <c r="U727" s="2091">
        <f>SUBTOTAL(9,U5:U725)</f>
        <v>0</v>
      </c>
      <c r="V727" s="2093">
        <f>SUBTOTAL(9,V5:V725)</f>
        <v>0</v>
      </c>
      <c r="W727" s="2093">
        <f>SUBTOTAL(9,W5:W725)</f>
        <v>0</v>
      </c>
      <c r="X727" s="2095">
        <f>IFERROR(LOOKUP($B$728,$B$5:$B$725,X$5:X$725),0)</f>
        <v>0</v>
      </c>
      <c r="Y727" s="334"/>
      <c r="Z727" s="334"/>
      <c r="AA727" s="333"/>
      <c r="AB727" s="333"/>
      <c r="AL727" s="1299">
        <f>L727-SUM(AM727:AS727)-SUM(AW727:AZ727)-SUM(AT727:AV727)</f>
        <v>0</v>
      </c>
      <c r="AM727" s="1298">
        <f t="shared" ref="AM727:BA727" si="417">SUBTOTAL(9,AM5:AM725)</f>
        <v>0</v>
      </c>
      <c r="AN727" s="1025">
        <f t="shared" si="417"/>
        <v>0</v>
      </c>
      <c r="AO727" s="1025">
        <f t="shared" si="417"/>
        <v>0</v>
      </c>
      <c r="AP727" s="1025">
        <f t="shared" si="417"/>
        <v>0</v>
      </c>
      <c r="AQ727" s="1025">
        <f t="shared" si="417"/>
        <v>0</v>
      </c>
      <c r="AR727" s="1025">
        <f t="shared" si="417"/>
        <v>0</v>
      </c>
      <c r="AS727" s="1026">
        <f t="shared" si="417"/>
        <v>0</v>
      </c>
      <c r="AT727" s="1027">
        <f>SUBTOTAL(9,AT5:AT725)</f>
        <v>0</v>
      </c>
      <c r="AU727" s="1026">
        <f t="shared" si="417"/>
        <v>0</v>
      </c>
      <c r="AV727" s="1028">
        <f t="shared" si="417"/>
        <v>0</v>
      </c>
      <c r="AW727" s="1025">
        <f t="shared" si="417"/>
        <v>0</v>
      </c>
      <c r="AX727" s="1025">
        <f t="shared" si="417"/>
        <v>0</v>
      </c>
      <c r="AY727" s="1026">
        <f t="shared" si="417"/>
        <v>0</v>
      </c>
      <c r="AZ727" s="1028">
        <f t="shared" si="417"/>
        <v>0</v>
      </c>
      <c r="BA727" s="1029">
        <f t="shared" si="417"/>
        <v>0</v>
      </c>
      <c r="BB727" s="453" t="s">
        <v>134</v>
      </c>
      <c r="BC727" s="454" t="s">
        <v>372</v>
      </c>
      <c r="BD727" s="455" t="e">
        <f>LOOKUP(INVENTARIOS!$B$727,INVENTARIOS!$B$4:$B$724,BD$5:BD$725)</f>
        <v>#N/A</v>
      </c>
      <c r="BE727" s="453"/>
    </row>
    <row r="728" spans="1:60" ht="13.5" customHeight="1" thickBot="1" x14ac:dyDescent="0.35">
      <c r="B728" s="1020">
        <f>SUBTOTAL(4,$B$5:$B$725)</f>
        <v>0</v>
      </c>
      <c r="C728" s="999"/>
      <c r="D728" s="2098"/>
      <c r="E728" s="2100"/>
      <c r="F728" s="2102"/>
      <c r="G728" s="2107"/>
      <c r="H728" s="2108"/>
      <c r="I728" s="2106"/>
      <c r="L728" s="2136"/>
      <c r="M728" s="333"/>
      <c r="N728"/>
      <c r="R728" s="2131"/>
      <c r="S728" s="333"/>
      <c r="T728" s="2150"/>
      <c r="U728" s="2092"/>
      <c r="V728" s="2094"/>
      <c r="W728" s="2094"/>
      <c r="X728" s="2096"/>
      <c r="Y728" s="334"/>
      <c r="Z728" s="334"/>
      <c r="AA728" s="333"/>
      <c r="AB728" s="333"/>
      <c r="AL728" s="1300">
        <f t="shared" ref="AL728:AS728" si="418">IFERROR(AL727/$L727*100,0)</f>
        <v>0</v>
      </c>
      <c r="AM728" s="1301">
        <f t="shared" si="418"/>
        <v>0</v>
      </c>
      <c r="AN728" s="1302">
        <f t="shared" si="418"/>
        <v>0</v>
      </c>
      <c r="AO728" s="1302">
        <f t="shared" si="418"/>
        <v>0</v>
      </c>
      <c r="AP728" s="1302">
        <f t="shared" si="418"/>
        <v>0</v>
      </c>
      <c r="AQ728" s="1302">
        <f t="shared" si="418"/>
        <v>0</v>
      </c>
      <c r="AR728" s="1302">
        <f t="shared" si="418"/>
        <v>0</v>
      </c>
      <c r="AS728" s="1303">
        <f t="shared" si="418"/>
        <v>0</v>
      </c>
      <c r="AT728" s="1023">
        <f>IFERROR(AT727/PROD!$L$727,0)</f>
        <v>0</v>
      </c>
      <c r="AU728" s="1022">
        <f>IFERROR(AU727/PROD!$L$727,0)</f>
        <v>0</v>
      </c>
      <c r="AV728" s="1024">
        <f>IFERROR(AV727/PROD!$L$727,0)</f>
        <v>0</v>
      </c>
      <c r="AW728" s="1021">
        <f>IFERROR(AW727/PROD!$L$727,0)</f>
        <v>0</v>
      </c>
      <c r="AX728" s="1021">
        <f>IFERROR(AX727/PROD!$L$727,0)</f>
        <v>0</v>
      </c>
      <c r="AY728" s="1022">
        <f>IFERROR(AY727/PROD!$L$727,0)</f>
        <v>0</v>
      </c>
      <c r="AZ728" s="1024">
        <f>IFERROR(AZ727/PROD!$L$727,0)</f>
        <v>0</v>
      </c>
      <c r="BA728" s="352"/>
      <c r="BB728" s="352"/>
      <c r="BC728" s="352"/>
      <c r="BD728" s="352"/>
      <c r="BE728" s="352"/>
    </row>
    <row r="729" spans="1:60" x14ac:dyDescent="0.3">
      <c r="C729" s="270"/>
      <c r="D729" s="333"/>
      <c r="L729" s="333"/>
      <c r="M729" s="333"/>
      <c r="R729" s="333"/>
      <c r="S729" s="333"/>
      <c r="T729" s="333"/>
      <c r="U729" s="333"/>
      <c r="V729" s="333"/>
      <c r="W729" s="333"/>
      <c r="X729" s="333"/>
      <c r="Y729" s="333"/>
      <c r="Z729" s="333"/>
      <c r="AA729" s="333"/>
      <c r="AB729" s="333"/>
      <c r="BA729" s="352"/>
      <c r="BB729" s="352"/>
      <c r="BC729" s="352"/>
      <c r="BD729" s="352"/>
      <c r="BE729" s="352"/>
    </row>
    <row r="730" spans="1:60" x14ac:dyDescent="0.3"/>
  </sheetData>
  <sheetProtection algorithmName="SHA-512" hashValue="lO6sCjpzm2LRoFaJBkaNd1tRn6loKjtNoqoqvARigg81gM35msQHePnTqeeCqhDkUguQpMMxc4b0gIVfFoSshA==" saltValue="icQzuZkREF56pNh9H5x01Q==" spinCount="100000" sheet="1" formatCells="0" formatColumns="0" formatRows="0" autoFilter="0" pivotTables="0"/>
  <autoFilter ref="B4:B725" xr:uid="{020B5EAB-A87A-4E82-9D97-8E53EC0EAC66}"/>
  <customSheetViews>
    <customSheetView guid="{2AFB78BD-0AA0-48F7-9FB9-7ECB21AAFE3F}" scale="110" showGridLines="0" showRowCol="0" zeroValues="0" fitToPage="1" showAutoFilter="1" hiddenRows="1" hiddenColumns="1">
      <pane xSplit="2" ySplit="5" topLeftCell="D6" activePane="bottomRight" state="frozen"/>
      <selection pane="bottomRight" activeCell="D6" sqref="D6"/>
      <pageMargins left="0.70866141732283472" right="0.5" top="0.56000000000000005" bottom="0.43307086614173229" header="0.31496062992125984" footer="0.23622047244094491"/>
      <pageSetup scale="38" fitToHeight="0" orientation="landscape" r:id="rId1"/>
      <headerFooter alignWithMargins="0">
        <oddHeader>&amp;L&amp;F;  &amp;A  &amp;P DE &amp;N&amp;RImpreso en &amp;D;  &amp;T</oddHeader>
        <oddFooter>&amp;CPágina &amp;P de &amp;N</oddFooter>
      </headerFooter>
      <autoFilter ref="B5:B726" xr:uid="{79B8FBAB-36DD-4323-AD78-D931C49F1652}"/>
    </customSheetView>
  </customSheetViews>
  <mergeCells count="1073">
    <mergeCell ref="AL1:AP1"/>
    <mergeCell ref="AQ1:AS1"/>
    <mergeCell ref="AT1:AV1"/>
    <mergeCell ref="BA2:BE3"/>
    <mergeCell ref="T727:T728"/>
    <mergeCell ref="BE5:BE11"/>
    <mergeCell ref="BE117:BE123"/>
    <mergeCell ref="BE124:BE130"/>
    <mergeCell ref="BE131:BE137"/>
    <mergeCell ref="BE222:BE228"/>
    <mergeCell ref="BE229:BE235"/>
    <mergeCell ref="BE236:BE242"/>
    <mergeCell ref="BE243:BE249"/>
    <mergeCell ref="BE250:BE256"/>
    <mergeCell ref="BE152:BE158"/>
    <mergeCell ref="BE159:BE165"/>
    <mergeCell ref="BE166:BE172"/>
    <mergeCell ref="BE173:BE179"/>
    <mergeCell ref="BE180:BE186"/>
    <mergeCell ref="BE187:BE193"/>
    <mergeCell ref="BE194:BE200"/>
    <mergeCell ref="BE201:BE207"/>
    <mergeCell ref="BE145:BE151"/>
    <mergeCell ref="BE40:BE46"/>
    <mergeCell ref="BE47:BE53"/>
    <mergeCell ref="BE12:BE18"/>
    <mergeCell ref="BE19:BE25"/>
    <mergeCell ref="BE26:BE32"/>
    <mergeCell ref="BE33:BE39"/>
    <mergeCell ref="BE271:BE277"/>
    <mergeCell ref="BE54:BE60"/>
    <mergeCell ref="BE61:BE67"/>
    <mergeCell ref="BE68:BE74"/>
    <mergeCell ref="BE75:BE81"/>
    <mergeCell ref="BE82:BE88"/>
    <mergeCell ref="BE89:BE95"/>
    <mergeCell ref="BE96:BE102"/>
    <mergeCell ref="BE103:BE109"/>
    <mergeCell ref="BE110:BE116"/>
    <mergeCell ref="BE208:BE214"/>
    <mergeCell ref="BE215:BE221"/>
    <mergeCell ref="BE257:BE263"/>
    <mergeCell ref="BE264:BE270"/>
    <mergeCell ref="BE495:BE501"/>
    <mergeCell ref="BE502:BE508"/>
    <mergeCell ref="BE138:BE144"/>
    <mergeCell ref="L727:L728"/>
    <mergeCell ref="BE292:BE298"/>
    <mergeCell ref="BE299:BE305"/>
    <mergeCell ref="BE306:BE312"/>
    <mergeCell ref="BE313:BE319"/>
    <mergeCell ref="BE446:BE452"/>
    <mergeCell ref="BE460:BE466"/>
    <mergeCell ref="BE467:BE473"/>
    <mergeCell ref="BE439:BE445"/>
    <mergeCell ref="BE320:BE326"/>
    <mergeCell ref="BE509:BE515"/>
    <mergeCell ref="BE453:BE459"/>
    <mergeCell ref="BE530:BE536"/>
    <mergeCell ref="BE537:BE543"/>
    <mergeCell ref="BE544:BE550"/>
    <mergeCell ref="BE551:BE557"/>
    <mergeCell ref="BE278:BE284"/>
    <mergeCell ref="BE285:BE291"/>
    <mergeCell ref="BE558:BE564"/>
    <mergeCell ref="BE327:BE333"/>
    <mergeCell ref="BE334:BE340"/>
    <mergeCell ref="BE341:BE347"/>
    <mergeCell ref="BE348:BE354"/>
    <mergeCell ref="BE355:BE361"/>
    <mergeCell ref="BE362:BE368"/>
    <mergeCell ref="BE369:BE375"/>
    <mergeCell ref="BE376:BE382"/>
    <mergeCell ref="BE383:BE389"/>
    <mergeCell ref="BE390:BE396"/>
    <mergeCell ref="BE397:BE403"/>
    <mergeCell ref="BE404:BE410"/>
    <mergeCell ref="BE411:BE417"/>
    <mergeCell ref="BE418:BE424"/>
    <mergeCell ref="BE425:BE431"/>
    <mergeCell ref="BE432:BE438"/>
    <mergeCell ref="BE474:BE480"/>
    <mergeCell ref="BE481:BE487"/>
    <mergeCell ref="BE488:BE494"/>
    <mergeCell ref="BE516:BE522"/>
    <mergeCell ref="BE523:BE529"/>
    <mergeCell ref="R727:R728"/>
    <mergeCell ref="BE684:BE690"/>
    <mergeCell ref="BE691:BE697"/>
    <mergeCell ref="BE698:BE704"/>
    <mergeCell ref="BE705:BE711"/>
    <mergeCell ref="BE712:BE718"/>
    <mergeCell ref="BE719:BE725"/>
    <mergeCell ref="BE565:BE571"/>
    <mergeCell ref="BE572:BE578"/>
    <mergeCell ref="BE579:BE585"/>
    <mergeCell ref="BE586:BE592"/>
    <mergeCell ref="BE593:BE599"/>
    <mergeCell ref="BE600:BE606"/>
    <mergeCell ref="BE607:BE613"/>
    <mergeCell ref="BE614:BE620"/>
    <mergeCell ref="BE621:BE627"/>
    <mergeCell ref="BE628:BE634"/>
    <mergeCell ref="BE635:BE641"/>
    <mergeCell ref="BE642:BE648"/>
    <mergeCell ref="BE649:BE655"/>
    <mergeCell ref="BE656:BE662"/>
    <mergeCell ref="BE663:BE669"/>
    <mergeCell ref="BE670:BE676"/>
    <mergeCell ref="BE677:BE683"/>
    <mergeCell ref="AE723:AF723"/>
    <mergeCell ref="AE724:AF724"/>
    <mergeCell ref="AE725:AF725"/>
    <mergeCell ref="AE702:AF702"/>
    <mergeCell ref="AE703:AF703"/>
    <mergeCell ref="AE704:AF704"/>
    <mergeCell ref="AE709:AF709"/>
    <mergeCell ref="AE710:AF710"/>
    <mergeCell ref="AE711:AF711"/>
    <mergeCell ref="AE716:AF716"/>
    <mergeCell ref="AE717:AF717"/>
    <mergeCell ref="AE718:AF718"/>
    <mergeCell ref="AE681:AF681"/>
    <mergeCell ref="AE682:AF682"/>
    <mergeCell ref="AE683:AF683"/>
    <mergeCell ref="AE688:AF688"/>
    <mergeCell ref="AE689:AF689"/>
    <mergeCell ref="AE690:AF690"/>
    <mergeCell ref="AE695:AF695"/>
    <mergeCell ref="AE696:AF696"/>
    <mergeCell ref="AE697:AF697"/>
    <mergeCell ref="AE660:AF660"/>
    <mergeCell ref="AE661:AF661"/>
    <mergeCell ref="AE662:AF662"/>
    <mergeCell ref="AE667:AF667"/>
    <mergeCell ref="AE668:AF668"/>
    <mergeCell ref="AE669:AF669"/>
    <mergeCell ref="AE674:AF674"/>
    <mergeCell ref="AE675:AF675"/>
    <mergeCell ref="AE676:AF676"/>
    <mergeCell ref="AE639:AF639"/>
    <mergeCell ref="AE640:AF640"/>
    <mergeCell ref="AE641:AF641"/>
    <mergeCell ref="AE646:AF646"/>
    <mergeCell ref="AE647:AF647"/>
    <mergeCell ref="AE648:AF648"/>
    <mergeCell ref="AE653:AF653"/>
    <mergeCell ref="AE654:AF654"/>
    <mergeCell ref="AE655:AF655"/>
    <mergeCell ref="AE618:AF618"/>
    <mergeCell ref="AE619:AF619"/>
    <mergeCell ref="AE620:AF620"/>
    <mergeCell ref="AE625:AF625"/>
    <mergeCell ref="AE626:AF626"/>
    <mergeCell ref="AE627:AF627"/>
    <mergeCell ref="AE632:AF632"/>
    <mergeCell ref="AE633:AF633"/>
    <mergeCell ref="AE634:AF634"/>
    <mergeCell ref="AE597:AF597"/>
    <mergeCell ref="AE598:AF598"/>
    <mergeCell ref="AE599:AF599"/>
    <mergeCell ref="AE604:AF604"/>
    <mergeCell ref="AE605:AF605"/>
    <mergeCell ref="AE606:AF606"/>
    <mergeCell ref="AE611:AF611"/>
    <mergeCell ref="AE612:AF612"/>
    <mergeCell ref="AE613:AF613"/>
    <mergeCell ref="AE576:AF576"/>
    <mergeCell ref="AE577:AF577"/>
    <mergeCell ref="AE578:AF578"/>
    <mergeCell ref="AE583:AF583"/>
    <mergeCell ref="AE584:AF584"/>
    <mergeCell ref="AE585:AF585"/>
    <mergeCell ref="AE590:AF590"/>
    <mergeCell ref="AE591:AF591"/>
    <mergeCell ref="AE592:AF592"/>
    <mergeCell ref="AE555:AF555"/>
    <mergeCell ref="AE556:AF556"/>
    <mergeCell ref="AE557:AF557"/>
    <mergeCell ref="AE562:AF562"/>
    <mergeCell ref="AE563:AF563"/>
    <mergeCell ref="AE564:AF564"/>
    <mergeCell ref="AE569:AF569"/>
    <mergeCell ref="AE570:AF570"/>
    <mergeCell ref="AE571:AF571"/>
    <mergeCell ref="AE534:AF534"/>
    <mergeCell ref="AE535:AF535"/>
    <mergeCell ref="AE536:AF536"/>
    <mergeCell ref="AE541:AF541"/>
    <mergeCell ref="AE542:AF542"/>
    <mergeCell ref="AE543:AF543"/>
    <mergeCell ref="AE548:AF548"/>
    <mergeCell ref="AE549:AF549"/>
    <mergeCell ref="AE550:AF550"/>
    <mergeCell ref="AE513:AF513"/>
    <mergeCell ref="AE514:AF514"/>
    <mergeCell ref="AE515:AF515"/>
    <mergeCell ref="AE520:AF520"/>
    <mergeCell ref="AE521:AF521"/>
    <mergeCell ref="AE522:AF522"/>
    <mergeCell ref="AE527:AF527"/>
    <mergeCell ref="AE528:AF528"/>
    <mergeCell ref="AE529:AF529"/>
    <mergeCell ref="AE492:AF492"/>
    <mergeCell ref="AE493:AF493"/>
    <mergeCell ref="AE494:AF494"/>
    <mergeCell ref="AE499:AF499"/>
    <mergeCell ref="AE500:AF500"/>
    <mergeCell ref="AE501:AF501"/>
    <mergeCell ref="AE506:AF506"/>
    <mergeCell ref="AE507:AF507"/>
    <mergeCell ref="AE508:AF508"/>
    <mergeCell ref="AE471:AF471"/>
    <mergeCell ref="AE472:AF472"/>
    <mergeCell ref="AE473:AF473"/>
    <mergeCell ref="AE478:AF478"/>
    <mergeCell ref="AE479:AF479"/>
    <mergeCell ref="AE480:AF480"/>
    <mergeCell ref="AE485:AF485"/>
    <mergeCell ref="AE486:AF486"/>
    <mergeCell ref="AE487:AF487"/>
    <mergeCell ref="AE450:AF450"/>
    <mergeCell ref="AE451:AF451"/>
    <mergeCell ref="AE452:AF452"/>
    <mergeCell ref="AE457:AF457"/>
    <mergeCell ref="AE458:AF458"/>
    <mergeCell ref="AE459:AF459"/>
    <mergeCell ref="AE464:AF464"/>
    <mergeCell ref="AE465:AF465"/>
    <mergeCell ref="AE466:AF466"/>
    <mergeCell ref="AE429:AF429"/>
    <mergeCell ref="AE430:AF430"/>
    <mergeCell ref="AE431:AF431"/>
    <mergeCell ref="AE436:AF436"/>
    <mergeCell ref="AE437:AF437"/>
    <mergeCell ref="AE438:AF438"/>
    <mergeCell ref="AE443:AF443"/>
    <mergeCell ref="AE444:AF444"/>
    <mergeCell ref="AE445:AF445"/>
    <mergeCell ref="AE408:AF408"/>
    <mergeCell ref="AE409:AF409"/>
    <mergeCell ref="AE410:AF410"/>
    <mergeCell ref="AE415:AF415"/>
    <mergeCell ref="AE416:AF416"/>
    <mergeCell ref="AE417:AF417"/>
    <mergeCell ref="AE422:AF422"/>
    <mergeCell ref="AE423:AF423"/>
    <mergeCell ref="AE424:AF424"/>
    <mergeCell ref="AE387:AF387"/>
    <mergeCell ref="AE388:AF388"/>
    <mergeCell ref="AE389:AF389"/>
    <mergeCell ref="AE394:AF394"/>
    <mergeCell ref="AE395:AF395"/>
    <mergeCell ref="AE396:AF396"/>
    <mergeCell ref="AE401:AF401"/>
    <mergeCell ref="AE402:AF402"/>
    <mergeCell ref="AE403:AF403"/>
    <mergeCell ref="AE366:AF366"/>
    <mergeCell ref="AE367:AF367"/>
    <mergeCell ref="AE368:AF368"/>
    <mergeCell ref="AE373:AF373"/>
    <mergeCell ref="AE374:AF374"/>
    <mergeCell ref="AE375:AF375"/>
    <mergeCell ref="AE380:AF380"/>
    <mergeCell ref="AE381:AF381"/>
    <mergeCell ref="AE382:AF382"/>
    <mergeCell ref="AE345:AF345"/>
    <mergeCell ref="AE346:AF346"/>
    <mergeCell ref="AE347:AF347"/>
    <mergeCell ref="AE352:AF352"/>
    <mergeCell ref="AE353:AF353"/>
    <mergeCell ref="AE354:AF354"/>
    <mergeCell ref="AE359:AF359"/>
    <mergeCell ref="AE360:AF360"/>
    <mergeCell ref="AE361:AF361"/>
    <mergeCell ref="AE324:AF324"/>
    <mergeCell ref="AE325:AF325"/>
    <mergeCell ref="AE326:AF326"/>
    <mergeCell ref="AE331:AF331"/>
    <mergeCell ref="AE332:AF332"/>
    <mergeCell ref="AE333:AF333"/>
    <mergeCell ref="AE338:AF338"/>
    <mergeCell ref="AE339:AF339"/>
    <mergeCell ref="AE340:AF340"/>
    <mergeCell ref="AE303:AF303"/>
    <mergeCell ref="AE304:AF304"/>
    <mergeCell ref="AE305:AF305"/>
    <mergeCell ref="AE310:AF310"/>
    <mergeCell ref="AE311:AF311"/>
    <mergeCell ref="AE312:AF312"/>
    <mergeCell ref="AE317:AF317"/>
    <mergeCell ref="AE318:AF318"/>
    <mergeCell ref="AE319:AF319"/>
    <mergeCell ref="AE282:AF282"/>
    <mergeCell ref="AE283:AF283"/>
    <mergeCell ref="AE284:AF284"/>
    <mergeCell ref="AE289:AF289"/>
    <mergeCell ref="AE290:AF290"/>
    <mergeCell ref="AE291:AF291"/>
    <mergeCell ref="AE296:AF296"/>
    <mergeCell ref="AE297:AF297"/>
    <mergeCell ref="AE298:AF298"/>
    <mergeCell ref="AE261:AF261"/>
    <mergeCell ref="AE262:AF262"/>
    <mergeCell ref="AE263:AF263"/>
    <mergeCell ref="AE268:AF268"/>
    <mergeCell ref="AE269:AF269"/>
    <mergeCell ref="AE270:AF270"/>
    <mergeCell ref="AE275:AF275"/>
    <mergeCell ref="AE276:AF276"/>
    <mergeCell ref="AE277:AF277"/>
    <mergeCell ref="AE240:AF240"/>
    <mergeCell ref="AE241:AF241"/>
    <mergeCell ref="AE242:AF242"/>
    <mergeCell ref="AE247:AF247"/>
    <mergeCell ref="AE248:AF248"/>
    <mergeCell ref="AE249:AF249"/>
    <mergeCell ref="AE254:AF254"/>
    <mergeCell ref="AE255:AF255"/>
    <mergeCell ref="AE256:AF256"/>
    <mergeCell ref="AE219:AF219"/>
    <mergeCell ref="AE220:AF220"/>
    <mergeCell ref="AE221:AF221"/>
    <mergeCell ref="AE226:AF226"/>
    <mergeCell ref="AE227:AF227"/>
    <mergeCell ref="AE228:AF228"/>
    <mergeCell ref="AE233:AF233"/>
    <mergeCell ref="AE234:AF234"/>
    <mergeCell ref="AE235:AF235"/>
    <mergeCell ref="AE198:AF198"/>
    <mergeCell ref="AE199:AF199"/>
    <mergeCell ref="AE200:AF200"/>
    <mergeCell ref="AE205:AF205"/>
    <mergeCell ref="AE206:AF206"/>
    <mergeCell ref="AE207:AF207"/>
    <mergeCell ref="AE212:AF212"/>
    <mergeCell ref="AE213:AF213"/>
    <mergeCell ref="AE214:AF214"/>
    <mergeCell ref="AE177:AF177"/>
    <mergeCell ref="AE178:AF178"/>
    <mergeCell ref="AE179:AF179"/>
    <mergeCell ref="AE184:AF184"/>
    <mergeCell ref="AE185:AF185"/>
    <mergeCell ref="AE186:AF186"/>
    <mergeCell ref="AE191:AF191"/>
    <mergeCell ref="AE192:AF192"/>
    <mergeCell ref="AE193:AF193"/>
    <mergeCell ref="AE156:AF156"/>
    <mergeCell ref="AE157:AF157"/>
    <mergeCell ref="AE158:AF158"/>
    <mergeCell ref="AE163:AF163"/>
    <mergeCell ref="AE164:AF164"/>
    <mergeCell ref="AE165:AF165"/>
    <mergeCell ref="AE170:AF170"/>
    <mergeCell ref="AE171:AF171"/>
    <mergeCell ref="AE172:AF172"/>
    <mergeCell ref="AE135:AF135"/>
    <mergeCell ref="AE136:AF136"/>
    <mergeCell ref="AE137:AF137"/>
    <mergeCell ref="AE142:AF142"/>
    <mergeCell ref="AE143:AF143"/>
    <mergeCell ref="AE144:AF144"/>
    <mergeCell ref="AE149:AF149"/>
    <mergeCell ref="AE150:AF150"/>
    <mergeCell ref="AE151:AF151"/>
    <mergeCell ref="AE114:AF114"/>
    <mergeCell ref="AE115:AF115"/>
    <mergeCell ref="AE116:AF116"/>
    <mergeCell ref="AE121:AF121"/>
    <mergeCell ref="AE122:AF122"/>
    <mergeCell ref="AE123:AF123"/>
    <mergeCell ref="AE128:AF128"/>
    <mergeCell ref="AE129:AF129"/>
    <mergeCell ref="AE130:AF130"/>
    <mergeCell ref="AE44:AF44"/>
    <mergeCell ref="AE45:AF45"/>
    <mergeCell ref="AE46:AF46"/>
    <mergeCell ref="AE93:AF93"/>
    <mergeCell ref="AE94:AF94"/>
    <mergeCell ref="AE95:AF95"/>
    <mergeCell ref="AE102:AF102"/>
    <mergeCell ref="AE107:AF107"/>
    <mergeCell ref="AE108:AF108"/>
    <mergeCell ref="AE109:AF109"/>
    <mergeCell ref="AE72:AF72"/>
    <mergeCell ref="AE73:AF73"/>
    <mergeCell ref="AE74:AF74"/>
    <mergeCell ref="AE79:AF79"/>
    <mergeCell ref="AE80:AF80"/>
    <mergeCell ref="AE81:AF81"/>
    <mergeCell ref="AE86:AF86"/>
    <mergeCell ref="AE87:AF87"/>
    <mergeCell ref="AE88:AF88"/>
    <mergeCell ref="AC1:AF1"/>
    <mergeCell ref="AC2:AF2"/>
    <mergeCell ref="AI1:AJ1"/>
    <mergeCell ref="AG1:AH1"/>
    <mergeCell ref="AG2:AJ2"/>
    <mergeCell ref="AG3:AJ3"/>
    <mergeCell ref="AA3:AF3"/>
    <mergeCell ref="AH10:AI10"/>
    <mergeCell ref="AH17:AI17"/>
    <mergeCell ref="AH24:AI24"/>
    <mergeCell ref="AK5:AK11"/>
    <mergeCell ref="AK12:AK18"/>
    <mergeCell ref="AK19:AK25"/>
    <mergeCell ref="AC23:AD23"/>
    <mergeCell ref="AC24:AD24"/>
    <mergeCell ref="AC25:AD25"/>
    <mergeCell ref="AE59:AF59"/>
    <mergeCell ref="AH31:AI31"/>
    <mergeCell ref="AH38:AI38"/>
    <mergeCell ref="AH45:AI45"/>
    <mergeCell ref="AH52:AI52"/>
    <mergeCell ref="AH59:AI59"/>
    <mergeCell ref="AK26:AK32"/>
    <mergeCell ref="AK33:AK39"/>
    <mergeCell ref="AK40:AK46"/>
    <mergeCell ref="AK47:AK53"/>
    <mergeCell ref="AK54:AK60"/>
    <mergeCell ref="AE60:AF60"/>
    <mergeCell ref="AE30:AF30"/>
    <mergeCell ref="AE31:AF31"/>
    <mergeCell ref="AE32:AF32"/>
    <mergeCell ref="AE37:AF37"/>
    <mergeCell ref="AW3:AZ3"/>
    <mergeCell ref="R1:V1"/>
    <mergeCell ref="W1:AB1"/>
    <mergeCell ref="R2:V2"/>
    <mergeCell ref="W2:AB2"/>
    <mergeCell ref="R3:Z3"/>
    <mergeCell ref="D1:H1"/>
    <mergeCell ref="I1:J1"/>
    <mergeCell ref="K1:L1"/>
    <mergeCell ref="I2:J2"/>
    <mergeCell ref="K2:L2"/>
    <mergeCell ref="O1:Q2"/>
    <mergeCell ref="D2:G2"/>
    <mergeCell ref="A1:B3"/>
    <mergeCell ref="D3:K3"/>
    <mergeCell ref="U727:U728"/>
    <mergeCell ref="V727:V728"/>
    <mergeCell ref="W727:W728"/>
    <mergeCell ref="X727:X728"/>
    <mergeCell ref="D727:D728"/>
    <mergeCell ref="E727:E728"/>
    <mergeCell ref="F727:F728"/>
    <mergeCell ref="L3:Q3"/>
    <mergeCell ref="I727:I728"/>
    <mergeCell ref="G727:G728"/>
    <mergeCell ref="H727:H728"/>
    <mergeCell ref="A103:A109"/>
    <mergeCell ref="A61:A67"/>
    <mergeCell ref="A131:A137"/>
    <mergeCell ref="A243:A249"/>
    <mergeCell ref="A313:A319"/>
    <mergeCell ref="AK1:AK3"/>
    <mergeCell ref="A355:A361"/>
    <mergeCell ref="A397:A403"/>
    <mergeCell ref="A439:A445"/>
    <mergeCell ref="A481:A487"/>
    <mergeCell ref="A19:A25"/>
    <mergeCell ref="AH710:AI710"/>
    <mergeCell ref="AH717:AI717"/>
    <mergeCell ref="AH724:AI724"/>
    <mergeCell ref="AH647:AI647"/>
    <mergeCell ref="AH654:AI654"/>
    <mergeCell ref="AH661:AI661"/>
    <mergeCell ref="AH668:AI668"/>
    <mergeCell ref="AH675:AI675"/>
    <mergeCell ref="AH682:AI682"/>
    <mergeCell ref="AH689:AI689"/>
    <mergeCell ref="AH696:AI696"/>
    <mergeCell ref="AH703:AI703"/>
    <mergeCell ref="AH584:AI584"/>
    <mergeCell ref="AH591:AI591"/>
    <mergeCell ref="AH598:AI598"/>
    <mergeCell ref="AH605:AI605"/>
    <mergeCell ref="AH612:AI612"/>
    <mergeCell ref="AH619:AI619"/>
    <mergeCell ref="AH626:AI626"/>
    <mergeCell ref="AH633:AI633"/>
    <mergeCell ref="AH640:AI640"/>
    <mergeCell ref="AH521:AI521"/>
    <mergeCell ref="AH528:AI528"/>
    <mergeCell ref="AH535:AI535"/>
    <mergeCell ref="AH542:AI542"/>
    <mergeCell ref="AH549:AI549"/>
    <mergeCell ref="AH556:AI556"/>
    <mergeCell ref="AH563:AI563"/>
    <mergeCell ref="AH570:AI570"/>
    <mergeCell ref="AH577:AI577"/>
    <mergeCell ref="AH458:AI458"/>
    <mergeCell ref="AH465:AI465"/>
    <mergeCell ref="AH472:AI472"/>
    <mergeCell ref="AH479:AI479"/>
    <mergeCell ref="AH486:AI486"/>
    <mergeCell ref="AH493:AI493"/>
    <mergeCell ref="AH500:AI500"/>
    <mergeCell ref="AH507:AI507"/>
    <mergeCell ref="AH514:AI514"/>
    <mergeCell ref="AH395:AI395"/>
    <mergeCell ref="AH402:AI402"/>
    <mergeCell ref="AH409:AI409"/>
    <mergeCell ref="AH416:AI416"/>
    <mergeCell ref="AH423:AI423"/>
    <mergeCell ref="AH430:AI430"/>
    <mergeCell ref="AH437:AI437"/>
    <mergeCell ref="AH444:AI444"/>
    <mergeCell ref="AH451:AI451"/>
    <mergeCell ref="AH332:AI332"/>
    <mergeCell ref="AH339:AI339"/>
    <mergeCell ref="AH346:AI346"/>
    <mergeCell ref="AH353:AI353"/>
    <mergeCell ref="AH360:AI360"/>
    <mergeCell ref="AH367:AI367"/>
    <mergeCell ref="AH374:AI374"/>
    <mergeCell ref="AH381:AI381"/>
    <mergeCell ref="AH388:AI388"/>
    <mergeCell ref="AH269:AI269"/>
    <mergeCell ref="AH276:AI276"/>
    <mergeCell ref="AH283:AI283"/>
    <mergeCell ref="AH290:AI290"/>
    <mergeCell ref="AH297:AI297"/>
    <mergeCell ref="AH304:AI304"/>
    <mergeCell ref="AH311:AI311"/>
    <mergeCell ref="AH318:AI318"/>
    <mergeCell ref="AH325:AI325"/>
    <mergeCell ref="AC129:AD129"/>
    <mergeCell ref="AC130:AD130"/>
    <mergeCell ref="AH206:AI206"/>
    <mergeCell ref="AH213:AI213"/>
    <mergeCell ref="AH220:AI220"/>
    <mergeCell ref="AH227:AI227"/>
    <mergeCell ref="AH234:AI234"/>
    <mergeCell ref="AH241:AI241"/>
    <mergeCell ref="AH248:AI248"/>
    <mergeCell ref="AH255:AI255"/>
    <mergeCell ref="AH262:AI262"/>
    <mergeCell ref="AH73:AI73"/>
    <mergeCell ref="AH80:AI80"/>
    <mergeCell ref="AH87:AI87"/>
    <mergeCell ref="AH94:AI94"/>
    <mergeCell ref="AH101:AI101"/>
    <mergeCell ref="AH108:AI108"/>
    <mergeCell ref="AH115:AI115"/>
    <mergeCell ref="AH122:AI122"/>
    <mergeCell ref="AH129:AI129"/>
    <mergeCell ref="AH136:AI136"/>
    <mergeCell ref="AH143:AI143"/>
    <mergeCell ref="AH150:AI150"/>
    <mergeCell ref="AH157:AI157"/>
    <mergeCell ref="AH164:AI164"/>
    <mergeCell ref="AH171:AI171"/>
    <mergeCell ref="AH178:AI178"/>
    <mergeCell ref="AH185:AI185"/>
    <mergeCell ref="AH192:AI192"/>
    <mergeCell ref="AH199:AI199"/>
    <mergeCell ref="AE100:AF100"/>
    <mergeCell ref="AE101:AF101"/>
    <mergeCell ref="AC114:AD114"/>
    <mergeCell ref="AC115:AD115"/>
    <mergeCell ref="A250:A256"/>
    <mergeCell ref="A187:A193"/>
    <mergeCell ref="A152:A158"/>
    <mergeCell ref="AC136:AD136"/>
    <mergeCell ref="AC137:AD137"/>
    <mergeCell ref="AC156:AD156"/>
    <mergeCell ref="AC157:AD157"/>
    <mergeCell ref="AC67:AD67"/>
    <mergeCell ref="A68:A74"/>
    <mergeCell ref="A26:A32"/>
    <mergeCell ref="AC30:AD30"/>
    <mergeCell ref="AC31:AD31"/>
    <mergeCell ref="AC32:AD32"/>
    <mergeCell ref="A33:A39"/>
    <mergeCell ref="AC37:AD37"/>
    <mergeCell ref="AC38:AD38"/>
    <mergeCell ref="AC39:AD39"/>
    <mergeCell ref="A40:A46"/>
    <mergeCell ref="AC44:AD44"/>
    <mergeCell ref="AC45:AD45"/>
    <mergeCell ref="AC46:AD46"/>
    <mergeCell ref="AC65:AD65"/>
    <mergeCell ref="AC66:AD66"/>
    <mergeCell ref="AC116:AD116"/>
    <mergeCell ref="A117:A123"/>
    <mergeCell ref="AC121:AD121"/>
    <mergeCell ref="AC122:AD122"/>
    <mergeCell ref="AC123:AD123"/>
    <mergeCell ref="A124:A130"/>
    <mergeCell ref="AC128:AD128"/>
    <mergeCell ref="AH66:AI66"/>
    <mergeCell ref="J4:K4"/>
    <mergeCell ref="AC10:AD10"/>
    <mergeCell ref="AC11:AD11"/>
    <mergeCell ref="AC9:AD9"/>
    <mergeCell ref="A12:A18"/>
    <mergeCell ref="AC16:AD16"/>
    <mergeCell ref="AC17:AD17"/>
    <mergeCell ref="AC18:AD18"/>
    <mergeCell ref="A82:A88"/>
    <mergeCell ref="AC86:AD86"/>
    <mergeCell ref="AC93:AD93"/>
    <mergeCell ref="AC87:AD87"/>
    <mergeCell ref="AC88:AD88"/>
    <mergeCell ref="AE9:AF9"/>
    <mergeCell ref="AE10:AF10"/>
    <mergeCell ref="AE11:AF11"/>
    <mergeCell ref="AE16:AF16"/>
    <mergeCell ref="AE17:AF17"/>
    <mergeCell ref="AE18:AF18"/>
    <mergeCell ref="AE23:AF23"/>
    <mergeCell ref="AE24:AF24"/>
    <mergeCell ref="AE25:AF25"/>
    <mergeCell ref="AE51:AF51"/>
    <mergeCell ref="AE52:AF52"/>
    <mergeCell ref="AE53:AF53"/>
    <mergeCell ref="AE58:AF58"/>
    <mergeCell ref="AE65:AF65"/>
    <mergeCell ref="AE66:AF66"/>
    <mergeCell ref="AE67:AF67"/>
    <mergeCell ref="AE38:AF38"/>
    <mergeCell ref="AE39:AF39"/>
    <mergeCell ref="AC143:AD143"/>
    <mergeCell ref="AC144:AD144"/>
    <mergeCell ref="A145:A151"/>
    <mergeCell ref="AC149:AD149"/>
    <mergeCell ref="AC150:AD150"/>
    <mergeCell ref="AC151:AD151"/>
    <mergeCell ref="A5:A11"/>
    <mergeCell ref="A89:A95"/>
    <mergeCell ref="A47:A53"/>
    <mergeCell ref="AC51:AD51"/>
    <mergeCell ref="AC52:AD52"/>
    <mergeCell ref="AC53:AD53"/>
    <mergeCell ref="A54:A60"/>
    <mergeCell ref="AC58:AD58"/>
    <mergeCell ref="AC59:AD59"/>
    <mergeCell ref="AC60:AD60"/>
    <mergeCell ref="AC109:AD109"/>
    <mergeCell ref="AC72:AD72"/>
    <mergeCell ref="AC73:AD73"/>
    <mergeCell ref="AC74:AD74"/>
    <mergeCell ref="A75:A81"/>
    <mergeCell ref="AC79:AD79"/>
    <mergeCell ref="AC80:AD80"/>
    <mergeCell ref="AC81:AD81"/>
    <mergeCell ref="AC94:AD94"/>
    <mergeCell ref="AC95:AD95"/>
    <mergeCell ref="A96:A102"/>
    <mergeCell ref="AC100:AD100"/>
    <mergeCell ref="AC101:AD101"/>
    <mergeCell ref="AC102:AD102"/>
    <mergeCell ref="AC107:AD107"/>
    <mergeCell ref="AC108:AD108"/>
    <mergeCell ref="A110:A116"/>
    <mergeCell ref="AC135:AD135"/>
    <mergeCell ref="A201:A207"/>
    <mergeCell ref="AC205:AD205"/>
    <mergeCell ref="AC206:AD206"/>
    <mergeCell ref="AC207:AD207"/>
    <mergeCell ref="A166:A172"/>
    <mergeCell ref="AC170:AD170"/>
    <mergeCell ref="AC171:AD171"/>
    <mergeCell ref="AC172:AD172"/>
    <mergeCell ref="A173:A179"/>
    <mergeCell ref="AC177:AD177"/>
    <mergeCell ref="AC178:AD178"/>
    <mergeCell ref="AC179:AD179"/>
    <mergeCell ref="A180:A186"/>
    <mergeCell ref="AC185:AD185"/>
    <mergeCell ref="AC184:AD184"/>
    <mergeCell ref="AC186:AD186"/>
    <mergeCell ref="AC191:AD191"/>
    <mergeCell ref="AC192:AD192"/>
    <mergeCell ref="AC193:AD193"/>
    <mergeCell ref="A194:A200"/>
    <mergeCell ref="AC198:AD198"/>
    <mergeCell ref="AC199:AD199"/>
    <mergeCell ref="AC200:AD200"/>
    <mergeCell ref="AC158:AD158"/>
    <mergeCell ref="A159:A165"/>
    <mergeCell ref="AC163:AD163"/>
    <mergeCell ref="AC164:AD164"/>
    <mergeCell ref="AC165:AD165"/>
    <mergeCell ref="A138:A144"/>
    <mergeCell ref="AC142:AD142"/>
    <mergeCell ref="AC247:AD247"/>
    <mergeCell ref="AC248:AD248"/>
    <mergeCell ref="AC249:AD249"/>
    <mergeCell ref="A208:A214"/>
    <mergeCell ref="AC212:AD212"/>
    <mergeCell ref="AC213:AD213"/>
    <mergeCell ref="AC214:AD214"/>
    <mergeCell ref="A215:A221"/>
    <mergeCell ref="AC219:AD219"/>
    <mergeCell ref="AC220:AD220"/>
    <mergeCell ref="AC221:AD221"/>
    <mergeCell ref="A222:A228"/>
    <mergeCell ref="AC226:AD226"/>
    <mergeCell ref="AC227:AD227"/>
    <mergeCell ref="AC228:AD228"/>
    <mergeCell ref="A229:A235"/>
    <mergeCell ref="AC233:AD233"/>
    <mergeCell ref="AC234:AD234"/>
    <mergeCell ref="AC235:AD235"/>
    <mergeCell ref="A236:A242"/>
    <mergeCell ref="AC240:AD240"/>
    <mergeCell ref="AC241:AD241"/>
    <mergeCell ref="AC242:AD242"/>
    <mergeCell ref="AC254:AD254"/>
    <mergeCell ref="AC255:AD255"/>
    <mergeCell ref="AC256:AD256"/>
    <mergeCell ref="A257:A263"/>
    <mergeCell ref="AC261:AD261"/>
    <mergeCell ref="AC262:AD262"/>
    <mergeCell ref="AC263:AD263"/>
    <mergeCell ref="A264:A270"/>
    <mergeCell ref="AC268:AD268"/>
    <mergeCell ref="AC269:AD269"/>
    <mergeCell ref="AC270:AD270"/>
    <mergeCell ref="A271:A277"/>
    <mergeCell ref="AC275:AD275"/>
    <mergeCell ref="AC276:AD276"/>
    <mergeCell ref="AC277:AD277"/>
    <mergeCell ref="A299:A305"/>
    <mergeCell ref="AC303:AD303"/>
    <mergeCell ref="AC304:AD304"/>
    <mergeCell ref="AC305:AD305"/>
    <mergeCell ref="A292:A298"/>
    <mergeCell ref="AC296:AD296"/>
    <mergeCell ref="AC297:AD297"/>
    <mergeCell ref="AC298:AD298"/>
    <mergeCell ref="A285:A291"/>
    <mergeCell ref="AC289:AD289"/>
    <mergeCell ref="AC290:AD290"/>
    <mergeCell ref="AC291:AD291"/>
    <mergeCell ref="A278:A284"/>
    <mergeCell ref="AC282:AD282"/>
    <mergeCell ref="A306:A312"/>
    <mergeCell ref="AC310:AD310"/>
    <mergeCell ref="AC311:AD311"/>
    <mergeCell ref="AC312:AD312"/>
    <mergeCell ref="AC283:AD283"/>
    <mergeCell ref="AC284:AD284"/>
    <mergeCell ref="AC359:AD359"/>
    <mergeCell ref="AC360:AD360"/>
    <mergeCell ref="AC361:AD361"/>
    <mergeCell ref="A320:A326"/>
    <mergeCell ref="AC324:AD324"/>
    <mergeCell ref="AC325:AD325"/>
    <mergeCell ref="AC326:AD326"/>
    <mergeCell ref="A327:A333"/>
    <mergeCell ref="AC331:AD331"/>
    <mergeCell ref="AC332:AD332"/>
    <mergeCell ref="AC333:AD333"/>
    <mergeCell ref="A334:A340"/>
    <mergeCell ref="AC338:AD338"/>
    <mergeCell ref="AC339:AD339"/>
    <mergeCell ref="AC340:AD340"/>
    <mergeCell ref="A341:A347"/>
    <mergeCell ref="AC345:AD345"/>
    <mergeCell ref="AC346:AD346"/>
    <mergeCell ref="AC347:AD347"/>
    <mergeCell ref="A348:A354"/>
    <mergeCell ref="AC352:AD352"/>
    <mergeCell ref="AC353:AD353"/>
    <mergeCell ref="AC354:AD354"/>
    <mergeCell ref="AC317:AD317"/>
    <mergeCell ref="AC318:AD318"/>
    <mergeCell ref="AC319:AD319"/>
    <mergeCell ref="AC401:AD401"/>
    <mergeCell ref="AC402:AD402"/>
    <mergeCell ref="AC403:AD403"/>
    <mergeCell ref="A362:A368"/>
    <mergeCell ref="AC366:AD366"/>
    <mergeCell ref="AC367:AD367"/>
    <mergeCell ref="AC368:AD368"/>
    <mergeCell ref="A369:A375"/>
    <mergeCell ref="AC373:AD373"/>
    <mergeCell ref="AC374:AD374"/>
    <mergeCell ref="AC375:AD375"/>
    <mergeCell ref="A376:A382"/>
    <mergeCell ref="AC380:AD380"/>
    <mergeCell ref="AC381:AD381"/>
    <mergeCell ref="AC382:AD382"/>
    <mergeCell ref="A383:A389"/>
    <mergeCell ref="AC387:AD387"/>
    <mergeCell ref="AC388:AD388"/>
    <mergeCell ref="AC389:AD389"/>
    <mergeCell ref="A390:A396"/>
    <mergeCell ref="AC394:AD394"/>
    <mergeCell ref="AC395:AD395"/>
    <mergeCell ref="AC396:AD396"/>
    <mergeCell ref="AC443:AD443"/>
    <mergeCell ref="AC444:AD444"/>
    <mergeCell ref="AC445:AD445"/>
    <mergeCell ref="AC437:AD437"/>
    <mergeCell ref="AC438:AD438"/>
    <mergeCell ref="A404:A410"/>
    <mergeCell ref="AC408:AD408"/>
    <mergeCell ref="AC409:AD409"/>
    <mergeCell ref="AC410:AD410"/>
    <mergeCell ref="A411:A417"/>
    <mergeCell ref="AC415:AD415"/>
    <mergeCell ref="AC416:AD416"/>
    <mergeCell ref="AC417:AD417"/>
    <mergeCell ref="A418:A424"/>
    <mergeCell ref="AC422:AD422"/>
    <mergeCell ref="AC423:AD423"/>
    <mergeCell ref="AC424:AD424"/>
    <mergeCell ref="A425:A431"/>
    <mergeCell ref="AC429:AD429"/>
    <mergeCell ref="AC430:AD430"/>
    <mergeCell ref="AC431:AD431"/>
    <mergeCell ref="A432:A438"/>
    <mergeCell ref="AC436:AD436"/>
    <mergeCell ref="AC485:AD485"/>
    <mergeCell ref="AC486:AD486"/>
    <mergeCell ref="AC487:AD487"/>
    <mergeCell ref="A446:A452"/>
    <mergeCell ref="AC450:AD450"/>
    <mergeCell ref="AC451:AD451"/>
    <mergeCell ref="AC452:AD452"/>
    <mergeCell ref="A453:A459"/>
    <mergeCell ref="AC457:AD457"/>
    <mergeCell ref="AC458:AD458"/>
    <mergeCell ref="AC459:AD459"/>
    <mergeCell ref="A460:A466"/>
    <mergeCell ref="AC464:AD464"/>
    <mergeCell ref="AC465:AD465"/>
    <mergeCell ref="AC466:AD466"/>
    <mergeCell ref="A467:A473"/>
    <mergeCell ref="AC471:AD471"/>
    <mergeCell ref="AC472:AD472"/>
    <mergeCell ref="AC473:AD473"/>
    <mergeCell ref="A474:A480"/>
    <mergeCell ref="AC478:AD478"/>
    <mergeCell ref="AC479:AD479"/>
    <mergeCell ref="AC480:AD480"/>
    <mergeCell ref="A523:A529"/>
    <mergeCell ref="AC527:AD527"/>
    <mergeCell ref="AC528:AD528"/>
    <mergeCell ref="AC529:AD529"/>
    <mergeCell ref="A488:A494"/>
    <mergeCell ref="AC492:AD492"/>
    <mergeCell ref="AC493:AD493"/>
    <mergeCell ref="AC494:AD494"/>
    <mergeCell ref="A495:A501"/>
    <mergeCell ref="AC499:AD499"/>
    <mergeCell ref="AC500:AD500"/>
    <mergeCell ref="AC501:AD501"/>
    <mergeCell ref="A502:A508"/>
    <mergeCell ref="AC506:AD506"/>
    <mergeCell ref="AC507:AD507"/>
    <mergeCell ref="AC508:AD508"/>
    <mergeCell ref="A509:A515"/>
    <mergeCell ref="AC513:AD513"/>
    <mergeCell ref="AC514:AD514"/>
    <mergeCell ref="AC515:AD515"/>
    <mergeCell ref="A516:A522"/>
    <mergeCell ref="AC520:AD520"/>
    <mergeCell ref="AC521:AD521"/>
    <mergeCell ref="AC522:AD522"/>
    <mergeCell ref="A565:A571"/>
    <mergeCell ref="AC569:AD569"/>
    <mergeCell ref="AC570:AD570"/>
    <mergeCell ref="AC571:AD571"/>
    <mergeCell ref="A530:A536"/>
    <mergeCell ref="AC534:AD534"/>
    <mergeCell ref="AC535:AD535"/>
    <mergeCell ref="AC536:AD536"/>
    <mergeCell ref="A537:A543"/>
    <mergeCell ref="AC541:AD541"/>
    <mergeCell ref="AC542:AD542"/>
    <mergeCell ref="AC543:AD543"/>
    <mergeCell ref="A544:A550"/>
    <mergeCell ref="AC548:AD548"/>
    <mergeCell ref="AC549:AD549"/>
    <mergeCell ref="AC550:AD550"/>
    <mergeCell ref="A551:A557"/>
    <mergeCell ref="AC555:AD555"/>
    <mergeCell ref="AC556:AD556"/>
    <mergeCell ref="AC557:AD557"/>
    <mergeCell ref="A558:A564"/>
    <mergeCell ref="AC562:AD562"/>
    <mergeCell ref="AC563:AD563"/>
    <mergeCell ref="AC564:AD564"/>
    <mergeCell ref="A607:A613"/>
    <mergeCell ref="AC611:AD611"/>
    <mergeCell ref="AC612:AD612"/>
    <mergeCell ref="AC613:AD613"/>
    <mergeCell ref="A572:A578"/>
    <mergeCell ref="AC576:AD576"/>
    <mergeCell ref="AC577:AD577"/>
    <mergeCell ref="AC578:AD578"/>
    <mergeCell ref="A579:A585"/>
    <mergeCell ref="AC583:AD583"/>
    <mergeCell ref="AC584:AD584"/>
    <mergeCell ref="AC585:AD585"/>
    <mergeCell ref="A586:A592"/>
    <mergeCell ref="AC590:AD590"/>
    <mergeCell ref="AC591:AD591"/>
    <mergeCell ref="AC592:AD592"/>
    <mergeCell ref="A593:A599"/>
    <mergeCell ref="AC597:AD597"/>
    <mergeCell ref="AC598:AD598"/>
    <mergeCell ref="AC599:AD599"/>
    <mergeCell ref="A600:A606"/>
    <mergeCell ref="AC604:AD604"/>
    <mergeCell ref="AC605:AD605"/>
    <mergeCell ref="AC606:AD606"/>
    <mergeCell ref="AC689:AD689"/>
    <mergeCell ref="AC690:AD690"/>
    <mergeCell ref="A691:A697"/>
    <mergeCell ref="A649:A655"/>
    <mergeCell ref="AC653:AD653"/>
    <mergeCell ref="AC654:AD654"/>
    <mergeCell ref="AC655:AD655"/>
    <mergeCell ref="A614:A620"/>
    <mergeCell ref="AC618:AD618"/>
    <mergeCell ref="AC619:AD619"/>
    <mergeCell ref="AC620:AD620"/>
    <mergeCell ref="A621:A627"/>
    <mergeCell ref="AC625:AD625"/>
    <mergeCell ref="AC626:AD626"/>
    <mergeCell ref="AC627:AD627"/>
    <mergeCell ref="A628:A634"/>
    <mergeCell ref="AC632:AD632"/>
    <mergeCell ref="AC633:AD633"/>
    <mergeCell ref="AC634:AD634"/>
    <mergeCell ref="A635:A641"/>
    <mergeCell ref="AC639:AD639"/>
    <mergeCell ref="AC640:AD640"/>
    <mergeCell ref="AC641:AD641"/>
    <mergeCell ref="A642:A648"/>
    <mergeCell ref="AC646:AD646"/>
    <mergeCell ref="AC647:AD647"/>
    <mergeCell ref="AC648:AD648"/>
    <mergeCell ref="AK355:AK361"/>
    <mergeCell ref="AK362:AK368"/>
    <mergeCell ref="AK369:AK375"/>
    <mergeCell ref="AK376:AK382"/>
    <mergeCell ref="AK383:AK389"/>
    <mergeCell ref="AK390:AK396"/>
    <mergeCell ref="AK397:AK403"/>
    <mergeCell ref="AK404:AK410"/>
    <mergeCell ref="AC702:AD702"/>
    <mergeCell ref="AC703:AD703"/>
    <mergeCell ref="AC704:AD704"/>
    <mergeCell ref="A656:A662"/>
    <mergeCell ref="AC660:AD660"/>
    <mergeCell ref="AC661:AD661"/>
    <mergeCell ref="AC662:AD662"/>
    <mergeCell ref="A663:A669"/>
    <mergeCell ref="AC667:AD667"/>
    <mergeCell ref="AC668:AD668"/>
    <mergeCell ref="AC669:AD669"/>
    <mergeCell ref="A677:A683"/>
    <mergeCell ref="AC681:AD681"/>
    <mergeCell ref="AC682:AD682"/>
    <mergeCell ref="AC683:AD683"/>
    <mergeCell ref="A684:A690"/>
    <mergeCell ref="AC695:AD695"/>
    <mergeCell ref="AC696:AD696"/>
    <mergeCell ref="AC697:AD697"/>
    <mergeCell ref="A670:A676"/>
    <mergeCell ref="AC674:AD674"/>
    <mergeCell ref="AC675:AD675"/>
    <mergeCell ref="AC676:AD676"/>
    <mergeCell ref="AC688:AD688"/>
    <mergeCell ref="AK229:AK235"/>
    <mergeCell ref="AK236:AK242"/>
    <mergeCell ref="AK243:AK249"/>
    <mergeCell ref="AK250:AK256"/>
    <mergeCell ref="AK257:AK263"/>
    <mergeCell ref="AK264:AK270"/>
    <mergeCell ref="AK180:AK186"/>
    <mergeCell ref="AK187:AK193"/>
    <mergeCell ref="AK194:AK200"/>
    <mergeCell ref="AK152:AK158"/>
    <mergeCell ref="AK159:AK165"/>
    <mergeCell ref="AK166:AK172"/>
    <mergeCell ref="AK173:AK179"/>
    <mergeCell ref="AK131:AK137"/>
    <mergeCell ref="AK138:AK144"/>
    <mergeCell ref="AK145:AK151"/>
    <mergeCell ref="AK348:AK354"/>
    <mergeCell ref="A719:A725"/>
    <mergeCell ref="AC723:AD723"/>
    <mergeCell ref="AC724:AD724"/>
    <mergeCell ref="AC725:AD725"/>
    <mergeCell ref="A705:A711"/>
    <mergeCell ref="AC709:AD709"/>
    <mergeCell ref="AC710:AD710"/>
    <mergeCell ref="AC711:AD711"/>
    <mergeCell ref="A712:A718"/>
    <mergeCell ref="AC716:AD716"/>
    <mergeCell ref="AC717:AD717"/>
    <mergeCell ref="AC718:AD718"/>
    <mergeCell ref="AK271:AK277"/>
    <mergeCell ref="AK278:AK284"/>
    <mergeCell ref="AK285:AK291"/>
    <mergeCell ref="AK292:AK298"/>
    <mergeCell ref="AK299:AK305"/>
    <mergeCell ref="AK306:AK312"/>
    <mergeCell ref="AK313:AK319"/>
    <mergeCell ref="AK502:AK508"/>
    <mergeCell ref="AK509:AK515"/>
    <mergeCell ref="AK453:AK459"/>
    <mergeCell ref="AK460:AK466"/>
    <mergeCell ref="AK467:AK473"/>
    <mergeCell ref="AK474:AK480"/>
    <mergeCell ref="AK481:AK487"/>
    <mergeCell ref="AK551:AK557"/>
    <mergeCell ref="AK320:AK326"/>
    <mergeCell ref="AK327:AK333"/>
    <mergeCell ref="AK334:AK340"/>
    <mergeCell ref="AK341:AK347"/>
    <mergeCell ref="A698:A704"/>
    <mergeCell ref="AK411:AK417"/>
    <mergeCell ref="AK418:AK424"/>
    <mergeCell ref="AK425:AK431"/>
    <mergeCell ref="AK439:AK445"/>
    <mergeCell ref="AK446:AK452"/>
    <mergeCell ref="AL3:AV3"/>
    <mergeCell ref="AK677:AK683"/>
    <mergeCell ref="AK684:AK690"/>
    <mergeCell ref="AK691:AK697"/>
    <mergeCell ref="AK698:AK704"/>
    <mergeCell ref="AK488:AK494"/>
    <mergeCell ref="AK495:AK501"/>
    <mergeCell ref="AK516:AK522"/>
    <mergeCell ref="AK523:AK529"/>
    <mergeCell ref="AK530:AK536"/>
    <mergeCell ref="AK537:AK543"/>
    <mergeCell ref="AK544:AK550"/>
    <mergeCell ref="AK61:AK67"/>
    <mergeCell ref="AK68:AK74"/>
    <mergeCell ref="AK75:AK81"/>
    <mergeCell ref="AK82:AK88"/>
    <mergeCell ref="AK89:AK95"/>
    <mergeCell ref="AK96:AK102"/>
    <mergeCell ref="AK103:AK109"/>
    <mergeCell ref="AK110:AK116"/>
    <mergeCell ref="AK117:AK123"/>
    <mergeCell ref="AK124:AK130"/>
    <mergeCell ref="AK432:AK438"/>
    <mergeCell ref="AK201:AK207"/>
    <mergeCell ref="AK208:AK214"/>
    <mergeCell ref="AK215:AK221"/>
    <mergeCell ref="AK222:AK228"/>
    <mergeCell ref="AK705:AK711"/>
    <mergeCell ref="AK712:AK718"/>
    <mergeCell ref="AK719:AK725"/>
    <mergeCell ref="AK558:AK564"/>
    <mergeCell ref="AK565:AK571"/>
    <mergeCell ref="AK572:AK578"/>
    <mergeCell ref="AK579:AK585"/>
    <mergeCell ref="AK586:AK592"/>
    <mergeCell ref="AK593:AK599"/>
    <mergeCell ref="AK600:AK606"/>
    <mergeCell ref="AK607:AK613"/>
    <mergeCell ref="AK614:AK620"/>
    <mergeCell ref="AK621:AK627"/>
    <mergeCell ref="AK628:AK634"/>
    <mergeCell ref="AK635:AK641"/>
    <mergeCell ref="AK642:AK648"/>
    <mergeCell ref="AK649:AK655"/>
    <mergeCell ref="AK656:AK662"/>
    <mergeCell ref="AK663:AK669"/>
    <mergeCell ref="AK670:AK676"/>
  </mergeCells>
  <phoneticPr fontId="0" type="noConversion"/>
  <conditionalFormatting sqref="A5:BE725">
    <cfRule type="expression" dxfId="12" priority="2">
      <formula>AND(INT(($B5+1-Fnac)/7)=($B5+1-Fnac)/7)</formula>
    </cfRule>
  </conditionalFormatting>
  <conditionalFormatting sqref="B5:C725">
    <cfRule type="expression" dxfId="11" priority="1">
      <formula>AND($B5=EOMONTH($B5,0))</formula>
    </cfRule>
  </conditionalFormatting>
  <conditionalFormatting sqref="K5 K12 K19 K26 K33 K40 K47 K54 K61 K68 K75 K82 K89 K96 K103 K110 K117 K124 K131 K138 K145 K152 K159 K166 K173 K180 K187 K194 K201 K208 K215 K222 K229 K236 K243 K250 K257 K264 K271 K278 K285 K292 K299 K306 K313 K320 K327 K334 K341 K348 K355 K362 K369 K376 K383 K390 K397 K404 K411 K418 K425 K432 K439 K446 K453 K460 K467 K474 K481 K488 K495 K502 K509 K516 K523 K530 K537 K544 K551 K558 K565 K572 K579 K586 K593 K600 K607 K614 K621 K628 K635 K642 K649 K656 K663 K670 K677 K684 K691 K698 K705 K712 K719">
    <cfRule type="cellIs" dxfId="9" priority="30" operator="greaterThan">
      <formula>0.02</formula>
    </cfRule>
  </conditionalFormatting>
  <conditionalFormatting sqref="V12:V725">
    <cfRule type="expression" dxfId="8" priority="44">
      <formula>AND($Z12&lt;0)</formula>
    </cfRule>
  </conditionalFormatting>
  <dataValidations disablePrompts="1" count="13">
    <dataValidation type="whole" operator="greaterThan" allowBlank="1" showInputMessage="1" showErrorMessage="1" sqref="F47:H725" xr:uid="{00000000-0002-0000-0A00-000002000000}">
      <formula1>0</formula1>
    </dataValidation>
    <dataValidation showInputMessage="1" showErrorMessage="1" sqref="AT1" xr:uid="{00000000-0002-0000-0A00-000000000000}"/>
    <dataValidation type="list" allowBlank="1" showInputMessage="1" showErrorMessage="1" sqref="AG5" xr:uid="{00000000-0002-0000-0A00-000001000000}">
      <formula1>"Conv Kg/Doc,Conv Kg/Kg, Gr X H"</formula1>
    </dataValidation>
    <dataValidation allowBlank="1" showInputMessage="1" showErrorMessage="1" promptTitle="Producto aún no seleccionado" prompt="Producto que no ha pasado por el proceso de selección de NO conformes." sqref="AL4" xr:uid="{41B297A5-B595-4AFE-81F7-88A822D60DB9}"/>
    <dataValidation type="list" allowBlank="1" showInputMessage="1" showErrorMessage="1" sqref="AN4" xr:uid="{B86C0690-1E46-4D45-9B48-5106697E4CE5}">
      <formula1>"Extra,AAA"</formula1>
    </dataValidation>
    <dataValidation type="list" allowBlank="1" showInputMessage="1" showErrorMessage="1" sqref="AO4" xr:uid="{8AE7873C-F63B-4D24-8382-0A4D06D9E135}">
      <formula1>"AA,Super"</formula1>
    </dataValidation>
    <dataValidation type="list" allowBlank="1" showInputMessage="1" showErrorMessage="1" sqref="AS4:AV4" xr:uid="{00000000-0002-0000-1000-000005000000}">
      <formula1>"Pipo,Congolo,D"</formula1>
    </dataValidation>
    <dataValidation allowBlank="1" showInputMessage="1" showErrorMessage="1" promptTitle="Huevo Clasificado como Revoltura" prompt="Producto clasificado en tres tamaños (Grande, Mediano, Pequeño) al que se le ha extraido el producto NO conforme_x000a_" sqref="AT4:AV4" xr:uid="{00000000-0002-0000-1000-000008000000}"/>
    <dataValidation type="list" allowBlank="1" showInputMessage="1" showErrorMessage="1" sqref="AM4" xr:uid="{00000000-0002-0000-1000-000007000000}">
      <formula1>"Jumbo,AAAA,Gigante"</formula1>
    </dataValidation>
    <dataValidation type="list" allowBlank="1" showInputMessage="1" showErrorMessage="1" promptTitle="No conforme 4" prompt="Producto NO conforme que su contenido se recupera en forma líquida (Ej. Yema)" sqref="AZ4" xr:uid="{00000000-0002-0000-1000-000004000000}">
      <formula1>"Roto,Quebrado,Yemas,Vaciado"</formula1>
    </dataValidation>
    <dataValidation type="list" allowBlank="1" showInputMessage="1" showErrorMessage="1" promptTitle="No Conforme 1" prompt="Producto con anomalías en la Pigmentación de la Cáscara" sqref="AW4" xr:uid="{00000000-0002-0000-1000-000002000000}">
      <formula1>"Blanco,Pálido,Manchado,Rayado,Prob Color"</formula1>
    </dataValidation>
    <dataValidation type="list" allowBlank="1" showInputMessage="1" showErrorMessage="1" promptTitle="No Conforme 3" prompt="Producto con Cáscara Vencida (Quebrada)  pero que su contenido no se ha perdido" sqref="AY4" xr:uid="{00000000-0002-0000-1000-000001000000}">
      <formula1>"Vencido,Totiado,Fisuras,Picado"</formula1>
    </dataValidation>
    <dataValidation type="list" allowBlank="1" showInputMessage="1" showErrorMessage="1" promptTitle="No Conforme 2" prompt="Producto con Cáscara Sucia o contaminada (Ej. Materia Fecal)" sqref="AX4" xr:uid="{00000000-0002-0000-1000-000000000000}">
      <formula1>"Sucio,Deforme,Prob Cásc"</formula1>
    </dataValidation>
  </dataValidations>
  <printOptions gridLinesSet="0"/>
  <pageMargins left="0.70866141732283472" right="0.5" top="0.56000000000000005" bottom="0.43307086614173229" header="0.31496062992125984" footer="0.23622047244094491"/>
  <pageSetup scale="38" fitToHeight="0" orientation="landscape" r:id="rId2"/>
  <headerFooter alignWithMargins="0">
    <oddHeader>&amp;L&amp;F;  &amp;A  &amp;P DE &amp;N&amp;RImpreso en &amp;D;  &amp;T</oddHeader>
    <oddFooter>&amp;CPágina &amp;P de &amp;N</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cellIs" priority="36" operator="equal" id="{73AF1E25-814F-4DA2-8C52-20F4E5D0FF1D}">
            <xm:f>Var!$I$2</xm:f>
            <x14:dxf>
              <font>
                <b/>
                <i val="0"/>
                <strike val="0"/>
                <color rgb="FF222E9E"/>
              </font>
              <fill>
                <patternFill patternType="none">
                  <bgColor auto="1"/>
                </patternFill>
              </fill>
            </x14:dxf>
          </x14:cfRule>
          <xm:sqref>K1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41"/>
  <dimension ref="A1:DT730"/>
  <sheetViews>
    <sheetView showGridLines="0" showRowColHeaders="0" showZeros="0" zoomScaleNormal="100" zoomScaleSheetLayoutView="75" workbookViewId="0">
      <pane xSplit="2" ySplit="3" topLeftCell="C4" activePane="bottomRight" state="frozen"/>
      <selection pane="topRight" activeCell="C1" sqref="C1"/>
      <selection pane="bottomLeft" activeCell="A4" sqref="A4"/>
      <selection pane="bottomRight" activeCell="I4" sqref="I4"/>
    </sheetView>
  </sheetViews>
  <sheetFormatPr baseColWidth="10" defaultColWidth="0" defaultRowHeight="16.5" zeroHeight="1" x14ac:dyDescent="0.3"/>
  <cols>
    <col min="1" max="1" width="6.25" style="351" bestFit="1" customWidth="1"/>
    <col min="2" max="2" width="16.625" style="351" customWidth="1"/>
    <col min="3" max="3" width="6.875" style="332" customWidth="1"/>
    <col min="4" max="5" width="6.25" style="332" customWidth="1"/>
    <col min="6" max="6" width="6.875" style="332" customWidth="1"/>
    <col min="7" max="7" width="7.5" style="332" customWidth="1"/>
    <col min="8" max="8" width="21.125" style="332" customWidth="1"/>
    <col min="9" max="15" width="9.875" style="351" customWidth="1"/>
    <col min="16" max="16" width="12.625" style="351" customWidth="1"/>
    <col min="17" max="17" width="24" style="351" customWidth="1"/>
    <col min="18" max="19" width="9.5" style="351" customWidth="1"/>
    <col min="20" max="20" width="17.375" style="351" customWidth="1"/>
    <col min="21" max="23" width="11.5" style="351" customWidth="1"/>
    <col min="24" max="24" width="17.5" style="351" customWidth="1"/>
    <col min="25" max="27" width="11.5" style="351" customWidth="1"/>
    <col min="28" max="28" width="16.875" style="351" customWidth="1"/>
    <col min="29" max="31" width="11.5" style="351" customWidth="1"/>
    <col min="32" max="32" width="17.125" style="351" customWidth="1"/>
    <col min="33" max="35" width="11.5" style="351" customWidth="1"/>
    <col min="36" max="36" width="16.5" style="351" customWidth="1"/>
    <col min="37" max="40" width="11.5" style="351" customWidth="1"/>
    <col min="41" max="51" width="11.5" style="351" hidden="1" customWidth="1"/>
    <col min="52" max="67" width="0" style="351" hidden="1" customWidth="1"/>
    <col min="68" max="78" width="11.5" style="351" hidden="1" customWidth="1"/>
    <col min="79" max="124" width="0" style="351" hidden="1" customWidth="1"/>
    <col min="125" max="16384" width="11.5" style="351" hidden="1"/>
  </cols>
  <sheetData>
    <row r="1" spans="1:39" ht="18" customHeight="1" thickBot="1" x14ac:dyDescent="0.3">
      <c r="A1" s="2174"/>
      <c r="B1" s="2174"/>
      <c r="C1" s="2157" t="s">
        <v>378</v>
      </c>
      <c r="D1" s="2158"/>
      <c r="E1" s="2158"/>
      <c r="F1" s="2158"/>
      <c r="G1" s="2158"/>
      <c r="H1" s="2159"/>
      <c r="I1" s="2163" t="s">
        <v>220</v>
      </c>
      <c r="J1" s="2164"/>
      <c r="K1" s="709">
        <f>15*10</f>
        <v>150</v>
      </c>
      <c r="L1" s="2165" t="str">
        <f>$I$1</f>
        <v xml:space="preserve">Huevos X Arrume : </v>
      </c>
      <c r="M1" s="2166"/>
      <c r="N1" s="711">
        <f>10*30</f>
        <v>300</v>
      </c>
      <c r="O1" s="353"/>
      <c r="P1" s="352"/>
      <c r="Q1" s="352"/>
      <c r="R1" s="353"/>
      <c r="S1" s="353"/>
    </row>
    <row r="2" spans="1:39" ht="14.25" customHeight="1" thickBot="1" x14ac:dyDescent="0.3">
      <c r="A2" s="2174"/>
      <c r="B2" s="2174"/>
      <c r="C2" s="1010" t="s">
        <v>402</v>
      </c>
      <c r="D2" s="668" t="s">
        <v>403</v>
      </c>
      <c r="E2" s="2175" t="s">
        <v>346</v>
      </c>
      <c r="F2" s="2175"/>
      <c r="G2" s="2175"/>
      <c r="H2" s="2176"/>
      <c r="I2" s="2167" t="s">
        <v>221</v>
      </c>
      <c r="J2" s="2168"/>
      <c r="K2" s="710">
        <f>N2</f>
        <v>11</v>
      </c>
      <c r="L2" s="2169" t="str">
        <f>$I$2</f>
        <v xml:space="preserve"># Band. / Arrume : </v>
      </c>
      <c r="M2" s="2170"/>
      <c r="N2" s="710">
        <f>N1/30+1</f>
        <v>11</v>
      </c>
      <c r="O2" s="2156" t="s">
        <v>268</v>
      </c>
      <c r="P2" s="2156"/>
      <c r="Q2" s="2156"/>
      <c r="R2" s="2156"/>
      <c r="S2" s="2156"/>
      <c r="T2" s="2153" t="s">
        <v>379</v>
      </c>
      <c r="U2" s="2154"/>
      <c r="V2" s="2154"/>
      <c r="W2" s="2155"/>
      <c r="X2" s="2153" t="s">
        <v>380</v>
      </c>
      <c r="Y2" s="2154"/>
      <c r="Z2" s="2154"/>
      <c r="AA2" s="2155"/>
      <c r="AB2" s="2153" t="s">
        <v>381</v>
      </c>
      <c r="AC2" s="2154"/>
      <c r="AD2" s="2154"/>
      <c r="AE2" s="2155"/>
      <c r="AF2" s="2153" t="s">
        <v>382</v>
      </c>
      <c r="AG2" s="2154"/>
      <c r="AH2" s="2154"/>
      <c r="AI2" s="2155"/>
      <c r="AJ2" s="2153" t="s">
        <v>383</v>
      </c>
      <c r="AK2" s="2154"/>
      <c r="AL2" s="2154"/>
      <c r="AM2" s="2155"/>
    </row>
    <row r="3" spans="1:39" ht="41.25" thickBot="1" x14ac:dyDescent="0.3">
      <c r="A3" s="1001" t="s">
        <v>0</v>
      </c>
      <c r="B3" s="488" t="s">
        <v>267</v>
      </c>
      <c r="C3" s="1013" t="s">
        <v>404</v>
      </c>
      <c r="D3" s="1005" t="s">
        <v>395</v>
      </c>
      <c r="E3" s="1006" t="s">
        <v>405</v>
      </c>
      <c r="F3" s="1007" t="s">
        <v>406</v>
      </c>
      <c r="G3" s="1008" t="s">
        <v>349</v>
      </c>
      <c r="H3" s="1014" t="str">
        <f>Levante!AF4</f>
        <v># Documento</v>
      </c>
      <c r="I3" s="789" t="s">
        <v>363</v>
      </c>
      <c r="J3" s="788" t="s">
        <v>364</v>
      </c>
      <c r="K3" s="793" t="s">
        <v>365</v>
      </c>
      <c r="L3" s="797" t="s">
        <v>366</v>
      </c>
      <c r="M3" s="788" t="s">
        <v>367</v>
      </c>
      <c r="N3" s="798" t="s">
        <v>368</v>
      </c>
      <c r="O3" s="789" t="s">
        <v>369</v>
      </c>
      <c r="P3" s="790" t="s">
        <v>333</v>
      </c>
      <c r="Q3" s="791" t="s">
        <v>167</v>
      </c>
      <c r="R3" s="792" t="s">
        <v>370</v>
      </c>
      <c r="S3" s="793" t="s">
        <v>371</v>
      </c>
      <c r="T3" s="1009" t="s">
        <v>338</v>
      </c>
      <c r="U3" s="794" t="str">
        <f>CONCATENATE("Entrada ",T$2)</f>
        <v>Entrada INSUMO 1</v>
      </c>
      <c r="V3" s="795" t="str">
        <f>CONCATENATE("Salida ",T$2)</f>
        <v>Salida INSUMO 1</v>
      </c>
      <c r="W3" s="800" t="str">
        <f>CONCATENATE("Saldo ",T$2)</f>
        <v>Saldo INSUMO 1</v>
      </c>
      <c r="X3" s="799" t="str">
        <f>$T$3</f>
        <v># Doc Entrada</v>
      </c>
      <c r="Y3" s="794" t="str">
        <f>CONCATENATE("Entrada ",X$2)</f>
        <v>Entrada INSUMO 2</v>
      </c>
      <c r="Z3" s="795" t="str">
        <f>CONCATENATE("Salida ",X$2)</f>
        <v>Salida INSUMO 2</v>
      </c>
      <c r="AA3" s="800" t="str">
        <f>CONCATENATE("Saldo ",X$2)</f>
        <v>Saldo INSUMO 2</v>
      </c>
      <c r="AB3" s="799" t="str">
        <f>$T$3</f>
        <v># Doc Entrada</v>
      </c>
      <c r="AC3" s="794" t="str">
        <f>CONCATENATE("Entrada ",AB$2)</f>
        <v>Entrada INSUMO 3</v>
      </c>
      <c r="AD3" s="795" t="str">
        <f>CONCATENATE("Salida ",AB$2)</f>
        <v>Salida INSUMO 3</v>
      </c>
      <c r="AE3" s="800" t="str">
        <f>CONCATENATE("Saldo ",AB$2)</f>
        <v>Saldo INSUMO 3</v>
      </c>
      <c r="AF3" s="799" t="str">
        <f>$T$3</f>
        <v># Doc Entrada</v>
      </c>
      <c r="AG3" s="794" t="str">
        <f>CONCATENATE("Entrada ",AF$2)</f>
        <v>Entrada INSUMO 4</v>
      </c>
      <c r="AH3" s="795" t="str">
        <f>CONCATENATE("Salida ",AF$2)</f>
        <v>Salida INSUMO 4</v>
      </c>
      <c r="AI3" s="800" t="str">
        <f>CONCATENATE("Saldo ",AF$2)</f>
        <v>Saldo INSUMO 4</v>
      </c>
      <c r="AJ3" s="799" t="str">
        <f>$T$3</f>
        <v># Doc Entrada</v>
      </c>
      <c r="AK3" s="794" t="str">
        <f>CONCATENATE("Entrada ",AJ$2)</f>
        <v>Entrada INSUMO 5</v>
      </c>
      <c r="AL3" s="795" t="str">
        <f>CONCATENATE("Salida ",AJ$2)</f>
        <v>Salida INSUMO 5</v>
      </c>
      <c r="AM3" s="796" t="str">
        <f>CONCATENATE("Saldo ",AJ$2)</f>
        <v>Saldo INSUMO 5</v>
      </c>
    </row>
    <row r="4" spans="1:39" x14ac:dyDescent="0.3">
      <c r="A4" s="2171">
        <f>PROD!A5</f>
        <v>18</v>
      </c>
      <c r="B4" s="1304" t="str">
        <f>PROD!B5</f>
        <v/>
      </c>
      <c r="C4" s="1012">
        <f>IF($D$2="NO",0,ROUNDDOWN(PROD!V5/IF(Iniciar!$C$25="kilos",40,1),0))</f>
        <v>0</v>
      </c>
      <c r="D4" s="478">
        <f>Levante!AB125</f>
        <v>0</v>
      </c>
      <c r="E4" s="478">
        <f>Levante!AC125</f>
        <v>0</v>
      </c>
      <c r="F4" s="286">
        <f>Levante!AD125</f>
        <v>0</v>
      </c>
      <c r="G4" s="479">
        <f>Levante!AE125</f>
        <v>0</v>
      </c>
      <c r="H4" s="480">
        <f>Levante!AF125</f>
        <v>0</v>
      </c>
      <c r="I4" s="1305"/>
      <c r="J4" s="1306">
        <f>IF(K$1&gt;0,ROUNDUP(SUM(PROD!$AM5:$AM5)/K$1*K$2,0),0)</f>
        <v>0</v>
      </c>
      <c r="K4" s="1307">
        <f>I4-J4</f>
        <v>0</v>
      </c>
      <c r="L4" s="1305"/>
      <c r="M4" s="1306">
        <f>IF(N$1&gt;0,ROUNDUP((PROD!L5-PROD!AM5-PROD!AZ5)/N$1*N$2,0),0)</f>
        <v>0</v>
      </c>
      <c r="N4" s="1307">
        <f>L4-M4</f>
        <v>0</v>
      </c>
      <c r="O4" s="1308">
        <f>L4+I4</f>
        <v>0</v>
      </c>
      <c r="P4" s="1309"/>
      <c r="Q4" s="1310"/>
      <c r="R4" s="1311">
        <f>M4+J4</f>
        <v>0</v>
      </c>
      <c r="S4" s="1312">
        <f t="shared" ref="S4:S67" si="0">N4+K4</f>
        <v>0</v>
      </c>
      <c r="T4" s="715"/>
      <c r="U4" s="716"/>
      <c r="V4" s="717"/>
      <c r="W4" s="437">
        <f>U4-V4</f>
        <v>0</v>
      </c>
      <c r="X4" s="715"/>
      <c r="Y4" s="716"/>
      <c r="Z4" s="717"/>
      <c r="AA4" s="437">
        <f>Y4-Z4</f>
        <v>0</v>
      </c>
      <c r="AB4" s="715"/>
      <c r="AC4" s="716"/>
      <c r="AD4" s="717"/>
      <c r="AE4" s="437">
        <f>AC4-AD4</f>
        <v>0</v>
      </c>
      <c r="AF4" s="715"/>
      <c r="AG4" s="716"/>
      <c r="AH4" s="717"/>
      <c r="AI4" s="437">
        <f>AG4-AH4</f>
        <v>0</v>
      </c>
      <c r="AJ4" s="715"/>
      <c r="AK4" s="716"/>
      <c r="AL4" s="717"/>
      <c r="AM4" s="437">
        <f>AK4-AL4</f>
        <v>0</v>
      </c>
    </row>
    <row r="5" spans="1:39" x14ac:dyDescent="0.3">
      <c r="A5" s="2172"/>
      <c r="B5" s="1313" t="str">
        <f t="shared" ref="B5:B68" si="1">IF(B4="","",B4+1)</f>
        <v/>
      </c>
      <c r="C5" s="1011">
        <f>IF($D$2="NO",0,ROUNDDOWN(SUM(PROD!$V$5:V6)/IF(Iniciar!$C$25="kilos",40,1),0)-SUM($C$4:$C4))</f>
        <v>0</v>
      </c>
      <c r="D5" s="481">
        <f>Levante!AB126</f>
        <v>0</v>
      </c>
      <c r="E5" s="481">
        <f>Levante!AC126</f>
        <v>0</v>
      </c>
      <c r="F5" s="300">
        <f>Levante!AD126</f>
        <v>0</v>
      </c>
      <c r="G5" s="482">
        <f>Levante!AE126</f>
        <v>0</v>
      </c>
      <c r="H5" s="483">
        <f>Levante!AF126</f>
        <v>0</v>
      </c>
      <c r="I5" s="1314"/>
      <c r="J5" s="1315">
        <f>IF(K$1&gt;0,ROUNDUP(SUM(PROD!AM$5:AM6)/K$1*K$2,0),0)-SUM(J$4:J4)</f>
        <v>0</v>
      </c>
      <c r="K5" s="1316">
        <f>K4+I5-J5</f>
        <v>0</v>
      </c>
      <c r="L5" s="1314"/>
      <c r="M5" s="1315">
        <f>IF(N$1&gt;0,ROUNDUP(SUM(PROD!L$5:L6,-PROD!AM$5:AM6,-PROD!AZ$5:AZ6)/N$1*N$2,0),0)-SUM(M$4:M4)</f>
        <v>0</v>
      </c>
      <c r="N5" s="1316">
        <f t="shared" ref="N5:N68" si="2">N4+L5-M5</f>
        <v>0</v>
      </c>
      <c r="O5" s="1317">
        <f>L5+I5</f>
        <v>0</v>
      </c>
      <c r="P5" s="1318"/>
      <c r="Q5" s="1319"/>
      <c r="R5" s="1320">
        <f t="shared" ref="R5:R67" si="3">M5+J5</f>
        <v>0</v>
      </c>
      <c r="S5" s="1321">
        <f t="shared" si="0"/>
        <v>0</v>
      </c>
      <c r="T5" s="712"/>
      <c r="U5" s="713"/>
      <c r="V5" s="714"/>
      <c r="W5" s="398">
        <f t="shared" ref="W5:W17" si="4">W4+U5-V5</f>
        <v>0</v>
      </c>
      <c r="X5" s="712"/>
      <c r="Y5" s="713"/>
      <c r="Z5" s="714"/>
      <c r="AA5" s="398">
        <f t="shared" ref="AA5:AA68" si="5">AA4+Y5-Z5</f>
        <v>0</v>
      </c>
      <c r="AB5" s="712"/>
      <c r="AC5" s="713"/>
      <c r="AD5" s="714"/>
      <c r="AE5" s="398">
        <f t="shared" ref="AE5:AE68" si="6">AE4+AC5-AD5</f>
        <v>0</v>
      </c>
      <c r="AF5" s="712"/>
      <c r="AG5" s="713"/>
      <c r="AH5" s="714"/>
      <c r="AI5" s="398">
        <f t="shared" ref="AI5:AI68" si="7">AI4+AG5-AH5</f>
        <v>0</v>
      </c>
      <c r="AJ5" s="712"/>
      <c r="AK5" s="713"/>
      <c r="AL5" s="714"/>
      <c r="AM5" s="398">
        <f t="shared" ref="AM5:AM68" si="8">AM4+AK5-AL5</f>
        <v>0</v>
      </c>
    </row>
    <row r="6" spans="1:39" x14ac:dyDescent="0.3">
      <c r="A6" s="2172"/>
      <c r="B6" s="1313" t="str">
        <f t="shared" si="1"/>
        <v/>
      </c>
      <c r="C6" s="1011">
        <f>IF($D$2="NO",0,ROUNDDOWN(SUM(PROD!$V$5:V7)/IF(Iniciar!$C$25="kilos",40,1),0)-SUM($C$4:$C5))</f>
        <v>0</v>
      </c>
      <c r="D6" s="481">
        <f>Levante!AB127</f>
        <v>0</v>
      </c>
      <c r="E6" s="481">
        <f>Levante!AC127</f>
        <v>0</v>
      </c>
      <c r="F6" s="300">
        <f>Levante!AD127</f>
        <v>0</v>
      </c>
      <c r="G6" s="482">
        <f>Levante!AE127</f>
        <v>0</v>
      </c>
      <c r="H6" s="483">
        <f>Levante!AF127</f>
        <v>0</v>
      </c>
      <c r="I6" s="1314"/>
      <c r="J6" s="1315">
        <f>IF(K$1&gt;0,ROUNDUP(SUM(PROD!AM$5:AM7)/K$1*K$2,0),0)-SUM(J$4:J5)</f>
        <v>0</v>
      </c>
      <c r="K6" s="1316">
        <f>K5+I6-J6</f>
        <v>0</v>
      </c>
      <c r="L6" s="1314"/>
      <c r="M6" s="1315">
        <f>IF(N$1&gt;0,ROUNDUP(SUM(PROD!L$5:L7,-PROD!AM$5:AM7,-PROD!AZ$5:AZ7)/N$1*N$2,0),0)-SUM(M$4:M5)</f>
        <v>0</v>
      </c>
      <c r="N6" s="1316">
        <f t="shared" si="2"/>
        <v>0</v>
      </c>
      <c r="O6" s="1317">
        <f>L6+I6</f>
        <v>0</v>
      </c>
      <c r="P6" s="1318"/>
      <c r="Q6" s="1319"/>
      <c r="R6" s="1320">
        <f t="shared" si="3"/>
        <v>0</v>
      </c>
      <c r="S6" s="1321">
        <f t="shared" si="0"/>
        <v>0</v>
      </c>
      <c r="T6" s="712"/>
      <c r="U6" s="713"/>
      <c r="V6" s="714"/>
      <c r="W6" s="398">
        <f t="shared" si="4"/>
        <v>0</v>
      </c>
      <c r="X6" s="712"/>
      <c r="Y6" s="713"/>
      <c r="Z6" s="714"/>
      <c r="AA6" s="398">
        <f t="shared" si="5"/>
        <v>0</v>
      </c>
      <c r="AB6" s="712"/>
      <c r="AC6" s="713"/>
      <c r="AD6" s="714"/>
      <c r="AE6" s="398">
        <f t="shared" si="6"/>
        <v>0</v>
      </c>
      <c r="AF6" s="712"/>
      <c r="AG6" s="713"/>
      <c r="AH6" s="714"/>
      <c r="AI6" s="398">
        <f t="shared" si="7"/>
        <v>0</v>
      </c>
      <c r="AJ6" s="712"/>
      <c r="AK6" s="713"/>
      <c r="AL6" s="714"/>
      <c r="AM6" s="398">
        <f t="shared" si="8"/>
        <v>0</v>
      </c>
    </row>
    <row r="7" spans="1:39" x14ac:dyDescent="0.3">
      <c r="A7" s="2172"/>
      <c r="B7" s="1313" t="str">
        <f t="shared" si="1"/>
        <v/>
      </c>
      <c r="C7" s="1011">
        <f>IF($D$2="NO",0,ROUNDDOWN(SUM(PROD!$V$5:V8)/IF(Iniciar!$C$25="kilos",40,1),0)-SUM($C$4:$C6))</f>
        <v>0</v>
      </c>
      <c r="D7" s="481">
        <f>Levante!AB128</f>
        <v>0</v>
      </c>
      <c r="E7" s="481">
        <f>Levante!AC128</f>
        <v>0</v>
      </c>
      <c r="F7" s="300">
        <f>Levante!AD128</f>
        <v>0</v>
      </c>
      <c r="G7" s="482">
        <f>Levante!AE128</f>
        <v>0</v>
      </c>
      <c r="H7" s="483">
        <f>Levante!AF128</f>
        <v>0</v>
      </c>
      <c r="I7" s="1314"/>
      <c r="J7" s="1315">
        <f>IF(K$1&gt;0,ROUNDUP(SUM(PROD!AM$5:AM8)/K$1*K$2,0),0)-SUM(J$4:J6)</f>
        <v>0</v>
      </c>
      <c r="K7" s="1316">
        <f t="shared" ref="K7:K68" si="9">K6+I7-J7</f>
        <v>0</v>
      </c>
      <c r="L7" s="1314"/>
      <c r="M7" s="1315">
        <f>IF(N$1&gt;0,ROUNDUP(SUM(PROD!L$5:L8,-PROD!AM$5:AM8,-PROD!AZ$5:AZ8)/N$1*N$2,0),0)-SUM(M$4:M6)</f>
        <v>0</v>
      </c>
      <c r="N7" s="1316">
        <f t="shared" si="2"/>
        <v>0</v>
      </c>
      <c r="O7" s="1317">
        <f t="shared" ref="O7:O67" si="10">L7+I7</f>
        <v>0</v>
      </c>
      <c r="P7" s="1318"/>
      <c r="Q7" s="1319"/>
      <c r="R7" s="1320">
        <f t="shared" si="3"/>
        <v>0</v>
      </c>
      <c r="S7" s="1321">
        <f t="shared" si="0"/>
        <v>0</v>
      </c>
      <c r="T7" s="712"/>
      <c r="U7" s="713"/>
      <c r="V7" s="714"/>
      <c r="W7" s="398">
        <f t="shared" si="4"/>
        <v>0</v>
      </c>
      <c r="X7" s="712"/>
      <c r="Y7" s="713"/>
      <c r="Z7" s="714"/>
      <c r="AA7" s="398">
        <f t="shared" si="5"/>
        <v>0</v>
      </c>
      <c r="AB7" s="712"/>
      <c r="AC7" s="713"/>
      <c r="AD7" s="714"/>
      <c r="AE7" s="398">
        <f t="shared" si="6"/>
        <v>0</v>
      </c>
      <c r="AF7" s="712"/>
      <c r="AG7" s="713"/>
      <c r="AH7" s="714"/>
      <c r="AI7" s="398">
        <f t="shared" si="7"/>
        <v>0</v>
      </c>
      <c r="AJ7" s="712"/>
      <c r="AK7" s="713"/>
      <c r="AL7" s="714"/>
      <c r="AM7" s="398">
        <f t="shared" si="8"/>
        <v>0</v>
      </c>
    </row>
    <row r="8" spans="1:39" x14ac:dyDescent="0.3">
      <c r="A8" s="2172"/>
      <c r="B8" s="1313" t="str">
        <f t="shared" si="1"/>
        <v/>
      </c>
      <c r="C8" s="1011">
        <f>IF($D$2="NO",0,ROUNDDOWN(SUM(PROD!$V$5:V9)/IF(Iniciar!$C$25="kilos",40,1),0)-SUM($C$4:$C7))</f>
        <v>0</v>
      </c>
      <c r="D8" s="481">
        <f>Levante!AB129</f>
        <v>0</v>
      </c>
      <c r="E8" s="481">
        <f>Levante!AC129</f>
        <v>0</v>
      </c>
      <c r="F8" s="300">
        <f>Levante!AD129</f>
        <v>0</v>
      </c>
      <c r="G8" s="482">
        <f>Levante!AE129</f>
        <v>0</v>
      </c>
      <c r="H8" s="483">
        <f>Levante!AF129</f>
        <v>0</v>
      </c>
      <c r="I8" s="1314"/>
      <c r="J8" s="1315">
        <f>IF(K$1&gt;0,ROUNDUP(SUM(PROD!AM$5:AM9)/K$1*K$2,0),0)-SUM(J$4:J7)</f>
        <v>0</v>
      </c>
      <c r="K8" s="1316">
        <f t="shared" si="9"/>
        <v>0</v>
      </c>
      <c r="L8" s="1314"/>
      <c r="M8" s="1315">
        <f>IF(N$1&gt;0,ROUNDUP(SUM(PROD!L$5:L9,-PROD!AM$5:AM9,-PROD!AZ$5:AZ9)/N$1*N$2,0),0)-SUM(M$4:M7)</f>
        <v>0</v>
      </c>
      <c r="N8" s="1316">
        <f t="shared" si="2"/>
        <v>0</v>
      </c>
      <c r="O8" s="1317">
        <f t="shared" si="10"/>
        <v>0</v>
      </c>
      <c r="P8" s="1318"/>
      <c r="Q8" s="1319"/>
      <c r="R8" s="1320">
        <f t="shared" si="3"/>
        <v>0</v>
      </c>
      <c r="S8" s="1321">
        <f t="shared" si="0"/>
        <v>0</v>
      </c>
      <c r="T8" s="712"/>
      <c r="U8" s="713"/>
      <c r="V8" s="714"/>
      <c r="W8" s="398">
        <f t="shared" si="4"/>
        <v>0</v>
      </c>
      <c r="X8" s="712"/>
      <c r="Y8" s="713"/>
      <c r="Z8" s="714"/>
      <c r="AA8" s="398">
        <f t="shared" si="5"/>
        <v>0</v>
      </c>
      <c r="AB8" s="712"/>
      <c r="AC8" s="713"/>
      <c r="AD8" s="714"/>
      <c r="AE8" s="398">
        <f t="shared" si="6"/>
        <v>0</v>
      </c>
      <c r="AF8" s="712"/>
      <c r="AG8" s="713"/>
      <c r="AH8" s="714"/>
      <c r="AI8" s="398">
        <f t="shared" si="7"/>
        <v>0</v>
      </c>
      <c r="AJ8" s="712"/>
      <c r="AK8" s="713"/>
      <c r="AL8" s="714"/>
      <c r="AM8" s="398">
        <f t="shared" si="8"/>
        <v>0</v>
      </c>
    </row>
    <row r="9" spans="1:39" x14ac:dyDescent="0.3">
      <c r="A9" s="2172"/>
      <c r="B9" s="1313" t="str">
        <f t="shared" si="1"/>
        <v/>
      </c>
      <c r="C9" s="1011">
        <f>IF($D$2="NO",0,ROUNDDOWN(SUM(PROD!$V$5:V10)/IF(Iniciar!$C$25="kilos",40,1),0)-SUM($C$4:$C8))</f>
        <v>0</v>
      </c>
      <c r="D9" s="481">
        <f>Levante!AB130</f>
        <v>0</v>
      </c>
      <c r="E9" s="481">
        <f>Levante!AC130</f>
        <v>0</v>
      </c>
      <c r="F9" s="300">
        <f>Levante!AD130</f>
        <v>0</v>
      </c>
      <c r="G9" s="482">
        <f>Levante!AE130</f>
        <v>0</v>
      </c>
      <c r="H9" s="483">
        <f>Levante!AF130</f>
        <v>0</v>
      </c>
      <c r="I9" s="1314"/>
      <c r="J9" s="1315">
        <f>IF(K$1&gt;0,ROUNDUP(SUM(PROD!AM$5:AM10)/K$1*K$2,0),0)-SUM(J$4:J8)</f>
        <v>0</v>
      </c>
      <c r="K9" s="1316">
        <f t="shared" si="9"/>
        <v>0</v>
      </c>
      <c r="L9" s="1314"/>
      <c r="M9" s="1315">
        <f>IF(N$1&gt;0,ROUNDUP(SUM(PROD!L$5:L10,-PROD!AM$5:AM10,-PROD!AZ$5:AZ10)/N$1*N$2,0),0)-SUM(M$4:M8)</f>
        <v>0</v>
      </c>
      <c r="N9" s="1316">
        <f t="shared" si="2"/>
        <v>0</v>
      </c>
      <c r="O9" s="1317">
        <f t="shared" si="10"/>
        <v>0</v>
      </c>
      <c r="P9" s="1318"/>
      <c r="Q9" s="1319"/>
      <c r="R9" s="1320">
        <f t="shared" si="3"/>
        <v>0</v>
      </c>
      <c r="S9" s="1321">
        <f t="shared" si="0"/>
        <v>0</v>
      </c>
      <c r="T9" s="712"/>
      <c r="U9" s="713"/>
      <c r="V9" s="714"/>
      <c r="W9" s="398">
        <f t="shared" si="4"/>
        <v>0</v>
      </c>
      <c r="X9" s="712"/>
      <c r="Y9" s="713"/>
      <c r="Z9" s="714"/>
      <c r="AA9" s="398">
        <f t="shared" si="5"/>
        <v>0</v>
      </c>
      <c r="AB9" s="712"/>
      <c r="AC9" s="713"/>
      <c r="AD9" s="714"/>
      <c r="AE9" s="398">
        <f t="shared" si="6"/>
        <v>0</v>
      </c>
      <c r="AF9" s="712"/>
      <c r="AG9" s="713"/>
      <c r="AH9" s="714"/>
      <c r="AI9" s="398">
        <f t="shared" si="7"/>
        <v>0</v>
      </c>
      <c r="AJ9" s="712"/>
      <c r="AK9" s="713"/>
      <c r="AL9" s="714"/>
      <c r="AM9" s="398">
        <f t="shared" si="8"/>
        <v>0</v>
      </c>
    </row>
    <row r="10" spans="1:39" x14ac:dyDescent="0.3">
      <c r="A10" s="2173"/>
      <c r="B10" s="1313" t="str">
        <f t="shared" si="1"/>
        <v/>
      </c>
      <c r="C10" s="1011">
        <f>IF($D$2="NO",0,ROUNDDOWN(SUM(PROD!$V$5:V11)/IF(Iniciar!$C$25="kilos",40,1),0)-SUM($C$4:$C9))</f>
        <v>0</v>
      </c>
      <c r="D10" s="481">
        <f>Levante!AB131</f>
        <v>0</v>
      </c>
      <c r="E10" s="481">
        <f>Levante!AC131</f>
        <v>0</v>
      </c>
      <c r="F10" s="300">
        <f>Levante!AD131</f>
        <v>0</v>
      </c>
      <c r="G10" s="482">
        <f>Levante!AE131</f>
        <v>0</v>
      </c>
      <c r="H10" s="483">
        <f>Levante!AF131</f>
        <v>0</v>
      </c>
      <c r="I10" s="1314"/>
      <c r="J10" s="1315">
        <f>IF(K$1&gt;0,ROUNDUP(SUM(PROD!AM$5:AM11)/K$1*K$2,0),0)-SUM(J$4:J9)</f>
        <v>0</v>
      </c>
      <c r="K10" s="1316">
        <f t="shared" si="9"/>
        <v>0</v>
      </c>
      <c r="L10" s="1314"/>
      <c r="M10" s="1315">
        <f>IF(N$1&gt;0,ROUNDUP(SUM(PROD!L$5:L11,-PROD!AM$5:AM11,-PROD!AZ$5:AZ11)/N$1*N$2,0),0)-SUM(M$4:M9)</f>
        <v>0</v>
      </c>
      <c r="N10" s="1316">
        <f t="shared" si="2"/>
        <v>0</v>
      </c>
      <c r="O10" s="1317">
        <f t="shared" si="10"/>
        <v>0</v>
      </c>
      <c r="P10" s="1318"/>
      <c r="Q10" s="1319"/>
      <c r="R10" s="1320">
        <f t="shared" si="3"/>
        <v>0</v>
      </c>
      <c r="S10" s="1321">
        <f t="shared" si="0"/>
        <v>0</v>
      </c>
      <c r="T10" s="712"/>
      <c r="U10" s="713"/>
      <c r="V10" s="714"/>
      <c r="W10" s="398">
        <f t="shared" si="4"/>
        <v>0</v>
      </c>
      <c r="X10" s="712"/>
      <c r="Y10" s="713"/>
      <c r="Z10" s="714"/>
      <c r="AA10" s="398">
        <f t="shared" si="5"/>
        <v>0</v>
      </c>
      <c r="AB10" s="712"/>
      <c r="AC10" s="713"/>
      <c r="AD10" s="714"/>
      <c r="AE10" s="398">
        <f t="shared" si="6"/>
        <v>0</v>
      </c>
      <c r="AF10" s="712"/>
      <c r="AG10" s="713"/>
      <c r="AH10" s="714"/>
      <c r="AI10" s="398">
        <f t="shared" si="7"/>
        <v>0</v>
      </c>
      <c r="AJ10" s="712"/>
      <c r="AK10" s="713"/>
      <c r="AL10" s="714"/>
      <c r="AM10" s="398">
        <f t="shared" si="8"/>
        <v>0</v>
      </c>
    </row>
    <row r="11" spans="1:39" x14ac:dyDescent="0.3">
      <c r="A11" s="2160">
        <f>A4+1</f>
        <v>19</v>
      </c>
      <c r="B11" s="1313" t="str">
        <f t="shared" si="1"/>
        <v/>
      </c>
      <c r="C11" s="1011">
        <f>IF($D$2="NO",0,ROUNDDOWN(SUM(PROD!$V$5:V12)/IF(Iniciar!$C$25="kilos",40,1),0)-SUM($C$4:$C10))</f>
        <v>0</v>
      </c>
      <c r="D11" s="702"/>
      <c r="E11" s="702"/>
      <c r="F11" s="300">
        <f t="shared" ref="F11:F74" si="11">F10+C11+D11-E11</f>
        <v>0</v>
      </c>
      <c r="G11" s="694"/>
      <c r="H11" s="695"/>
      <c r="I11" s="1314"/>
      <c r="J11" s="1315">
        <f>IF(K$1&gt;0,ROUNDUP(SUM(PROD!AM$5:AM12)/K$1*K$2,0),0)-SUM(J$4:J10)</f>
        <v>0</v>
      </c>
      <c r="K11" s="1316">
        <f t="shared" si="9"/>
        <v>0</v>
      </c>
      <c r="L11" s="1314"/>
      <c r="M11" s="1315">
        <f>IF(N$1&gt;0,ROUNDUP(SUM(PROD!L$5:L12,-PROD!AM$5:AM12,-PROD!AZ$5:AZ12)/N$1*N$2,0),0)-SUM(M$4:M10)</f>
        <v>0</v>
      </c>
      <c r="N11" s="1316">
        <f t="shared" si="2"/>
        <v>0</v>
      </c>
      <c r="O11" s="1317">
        <f t="shared" si="10"/>
        <v>0</v>
      </c>
      <c r="P11" s="1318"/>
      <c r="Q11" s="1319"/>
      <c r="R11" s="1320">
        <f t="shared" si="3"/>
        <v>0</v>
      </c>
      <c r="S11" s="1321">
        <f t="shared" si="0"/>
        <v>0</v>
      </c>
      <c r="T11" s="712"/>
      <c r="U11" s="713"/>
      <c r="V11" s="714"/>
      <c r="W11" s="398">
        <f t="shared" si="4"/>
        <v>0</v>
      </c>
      <c r="X11" s="712"/>
      <c r="Y11" s="713"/>
      <c r="Z11" s="714"/>
      <c r="AA11" s="398">
        <f t="shared" si="5"/>
        <v>0</v>
      </c>
      <c r="AB11" s="712"/>
      <c r="AC11" s="713"/>
      <c r="AD11" s="714"/>
      <c r="AE11" s="398">
        <f t="shared" si="6"/>
        <v>0</v>
      </c>
      <c r="AF11" s="712"/>
      <c r="AG11" s="713"/>
      <c r="AH11" s="714"/>
      <c r="AI11" s="398">
        <f t="shared" si="7"/>
        <v>0</v>
      </c>
      <c r="AJ11" s="712"/>
      <c r="AK11" s="713"/>
      <c r="AL11" s="714"/>
      <c r="AM11" s="398">
        <f t="shared" si="8"/>
        <v>0</v>
      </c>
    </row>
    <row r="12" spans="1:39" x14ac:dyDescent="0.3">
      <c r="A12" s="2161"/>
      <c r="B12" s="1313" t="str">
        <f t="shared" si="1"/>
        <v/>
      </c>
      <c r="C12" s="1011">
        <f>IF($D$2="NO",0,ROUNDDOWN(SUM(PROD!$V$5:V13)/IF(Iniciar!$C$25="kilos",40,1),0)-SUM($C$4:$C11))</f>
        <v>0</v>
      </c>
      <c r="D12" s="702"/>
      <c r="E12" s="702"/>
      <c r="F12" s="300">
        <f t="shared" si="11"/>
        <v>0</v>
      </c>
      <c r="G12" s="694"/>
      <c r="H12" s="695"/>
      <c r="I12" s="1314"/>
      <c r="J12" s="1315">
        <f>IF(K$1&gt;0,ROUNDUP(SUM(PROD!AM$5:AM13)/K$1*K$2,0),0)-SUM(J$4:J11)</f>
        <v>0</v>
      </c>
      <c r="K12" s="1316">
        <f t="shared" si="9"/>
        <v>0</v>
      </c>
      <c r="L12" s="1314"/>
      <c r="M12" s="1315">
        <f>IF(N$1&gt;0,ROUNDUP(SUM(PROD!L$5:L13,-PROD!AM$5:AM13,-PROD!AZ$5:AZ13)/N$1*N$2,0),0)-SUM(M$4:M11)</f>
        <v>0</v>
      </c>
      <c r="N12" s="1316">
        <f t="shared" si="2"/>
        <v>0</v>
      </c>
      <c r="O12" s="1317">
        <f t="shared" si="10"/>
        <v>0</v>
      </c>
      <c r="P12" s="1318"/>
      <c r="Q12" s="1319"/>
      <c r="R12" s="1320">
        <f t="shared" si="3"/>
        <v>0</v>
      </c>
      <c r="S12" s="1321">
        <f t="shared" si="0"/>
        <v>0</v>
      </c>
      <c r="T12" s="712"/>
      <c r="U12" s="713"/>
      <c r="V12" s="714"/>
      <c r="W12" s="398">
        <f t="shared" si="4"/>
        <v>0</v>
      </c>
      <c r="X12" s="712"/>
      <c r="Y12" s="713"/>
      <c r="Z12" s="714"/>
      <c r="AA12" s="398">
        <f t="shared" si="5"/>
        <v>0</v>
      </c>
      <c r="AB12" s="712"/>
      <c r="AC12" s="713"/>
      <c r="AD12" s="714"/>
      <c r="AE12" s="398">
        <f t="shared" si="6"/>
        <v>0</v>
      </c>
      <c r="AF12" s="712"/>
      <c r="AG12" s="713"/>
      <c r="AH12" s="714"/>
      <c r="AI12" s="398">
        <f t="shared" si="7"/>
        <v>0</v>
      </c>
      <c r="AJ12" s="712"/>
      <c r="AK12" s="713"/>
      <c r="AL12" s="714"/>
      <c r="AM12" s="398">
        <f t="shared" si="8"/>
        <v>0</v>
      </c>
    </row>
    <row r="13" spans="1:39" x14ac:dyDescent="0.3">
      <c r="A13" s="2161"/>
      <c r="B13" s="1313" t="str">
        <f t="shared" si="1"/>
        <v/>
      </c>
      <c r="C13" s="1011">
        <f>IF($D$2="NO",0,ROUNDDOWN(SUM(PROD!$V$5:V14)/IF(Iniciar!$C$25="kilos",40,1),0)-SUM($C$4:$C12))</f>
        <v>0</v>
      </c>
      <c r="D13" s="702"/>
      <c r="E13" s="702"/>
      <c r="F13" s="300">
        <f t="shared" si="11"/>
        <v>0</v>
      </c>
      <c r="G13" s="694"/>
      <c r="H13" s="695"/>
      <c r="I13" s="1314"/>
      <c r="J13" s="1315">
        <f>IF(K$1&gt;0,ROUNDUP(SUM(PROD!AM$5:AM14)/K$1*K$2,0),0)-SUM(J$4:J12)</f>
        <v>0</v>
      </c>
      <c r="K13" s="1316">
        <f t="shared" si="9"/>
        <v>0</v>
      </c>
      <c r="L13" s="1314"/>
      <c r="M13" s="1315">
        <f>IF(N$1&gt;0,ROUNDUP(SUM(PROD!L$5:L14,-PROD!AM$5:AM14,-PROD!AZ$5:AZ14)/N$1*N$2,0),0)-SUM(M$4:M12)</f>
        <v>0</v>
      </c>
      <c r="N13" s="1316">
        <f t="shared" si="2"/>
        <v>0</v>
      </c>
      <c r="O13" s="1317">
        <f t="shared" si="10"/>
        <v>0</v>
      </c>
      <c r="P13" s="1318"/>
      <c r="Q13" s="1319"/>
      <c r="R13" s="1320">
        <f t="shared" si="3"/>
        <v>0</v>
      </c>
      <c r="S13" s="1321">
        <f t="shared" si="0"/>
        <v>0</v>
      </c>
      <c r="T13" s="712"/>
      <c r="U13" s="713"/>
      <c r="V13" s="714"/>
      <c r="W13" s="398">
        <f t="shared" si="4"/>
        <v>0</v>
      </c>
      <c r="X13" s="712"/>
      <c r="Y13" s="713"/>
      <c r="Z13" s="714"/>
      <c r="AA13" s="398">
        <f t="shared" si="5"/>
        <v>0</v>
      </c>
      <c r="AB13" s="712"/>
      <c r="AC13" s="713"/>
      <c r="AD13" s="714"/>
      <c r="AE13" s="398">
        <f t="shared" si="6"/>
        <v>0</v>
      </c>
      <c r="AF13" s="712"/>
      <c r="AG13" s="713"/>
      <c r="AH13" s="714"/>
      <c r="AI13" s="398">
        <f t="shared" si="7"/>
        <v>0</v>
      </c>
      <c r="AJ13" s="712"/>
      <c r="AK13" s="713"/>
      <c r="AL13" s="714"/>
      <c r="AM13" s="398">
        <f t="shared" si="8"/>
        <v>0</v>
      </c>
    </row>
    <row r="14" spans="1:39" x14ac:dyDescent="0.3">
      <c r="A14" s="2161"/>
      <c r="B14" s="1313" t="str">
        <f t="shared" si="1"/>
        <v/>
      </c>
      <c r="C14" s="1011">
        <f>IF($D$2="NO",0,ROUNDDOWN(SUM(PROD!$V$5:V15)/IF(Iniciar!$C$25="kilos",40,1),0)-SUM($C$4:$C13))</f>
        <v>0</v>
      </c>
      <c r="D14" s="702"/>
      <c r="E14" s="702"/>
      <c r="F14" s="300">
        <f t="shared" si="11"/>
        <v>0</v>
      </c>
      <c r="G14" s="694"/>
      <c r="H14" s="695"/>
      <c r="I14" s="1314"/>
      <c r="J14" s="1315">
        <f>IF(K$1&gt;0,ROUNDUP(SUM(PROD!AM$5:AM15)/K$1*K$2,0),0)-SUM(J$4:J13)</f>
        <v>0</v>
      </c>
      <c r="K14" s="1316">
        <f t="shared" si="9"/>
        <v>0</v>
      </c>
      <c r="L14" s="1314"/>
      <c r="M14" s="1315">
        <f>IF(N$1&gt;0,ROUNDUP(SUM(PROD!L$5:L15,-PROD!AM$5:AM15,-PROD!AZ$5:AZ15)/N$1*N$2,0),0)-SUM(M$4:M13)</f>
        <v>0</v>
      </c>
      <c r="N14" s="1316">
        <f t="shared" si="2"/>
        <v>0</v>
      </c>
      <c r="O14" s="1317">
        <f t="shared" si="10"/>
        <v>0</v>
      </c>
      <c r="P14" s="1318"/>
      <c r="Q14" s="1319"/>
      <c r="R14" s="1320">
        <f t="shared" si="3"/>
        <v>0</v>
      </c>
      <c r="S14" s="1321">
        <f t="shared" si="0"/>
        <v>0</v>
      </c>
      <c r="T14" s="712"/>
      <c r="U14" s="713"/>
      <c r="V14" s="714"/>
      <c r="W14" s="398">
        <f t="shared" si="4"/>
        <v>0</v>
      </c>
      <c r="X14" s="712"/>
      <c r="Y14" s="713"/>
      <c r="Z14" s="714"/>
      <c r="AA14" s="398">
        <f t="shared" si="5"/>
        <v>0</v>
      </c>
      <c r="AB14" s="712"/>
      <c r="AC14" s="713"/>
      <c r="AD14" s="714"/>
      <c r="AE14" s="398">
        <f t="shared" si="6"/>
        <v>0</v>
      </c>
      <c r="AF14" s="712"/>
      <c r="AG14" s="713"/>
      <c r="AH14" s="714"/>
      <c r="AI14" s="398">
        <f t="shared" si="7"/>
        <v>0</v>
      </c>
      <c r="AJ14" s="712"/>
      <c r="AK14" s="713"/>
      <c r="AL14" s="714"/>
      <c r="AM14" s="398">
        <f t="shared" si="8"/>
        <v>0</v>
      </c>
    </row>
    <row r="15" spans="1:39" x14ac:dyDescent="0.3">
      <c r="A15" s="2161"/>
      <c r="B15" s="1313" t="str">
        <f t="shared" si="1"/>
        <v/>
      </c>
      <c r="C15" s="1011">
        <f>IF($D$2="NO",0,ROUNDDOWN(SUM(PROD!$V$5:V16)/IF(Iniciar!$C$25="kilos",40,1),0)-SUM($C$4:$C14))</f>
        <v>0</v>
      </c>
      <c r="D15" s="702"/>
      <c r="E15" s="702"/>
      <c r="F15" s="300">
        <f t="shared" si="11"/>
        <v>0</v>
      </c>
      <c r="G15" s="694"/>
      <c r="H15" s="695"/>
      <c r="I15" s="1314"/>
      <c r="J15" s="1315">
        <f>IF(K$1&gt;0,ROUNDUP(SUM(PROD!AM$5:AM16)/K$1*K$2,0),0)-SUM(J$4:J14)</f>
        <v>0</v>
      </c>
      <c r="K15" s="1316">
        <f t="shared" si="9"/>
        <v>0</v>
      </c>
      <c r="L15" s="1314"/>
      <c r="M15" s="1315">
        <f>IF(N$1&gt;0,ROUNDUP(SUM(PROD!L$5:L16,-PROD!AM$5:AM16,-PROD!AZ$5:AZ16)/N$1*N$2,0),0)-SUM(M$4:M14)</f>
        <v>0</v>
      </c>
      <c r="N15" s="1316">
        <f t="shared" si="2"/>
        <v>0</v>
      </c>
      <c r="O15" s="1317">
        <f t="shared" si="10"/>
        <v>0</v>
      </c>
      <c r="P15" s="1318"/>
      <c r="Q15" s="1319"/>
      <c r="R15" s="1320">
        <f t="shared" si="3"/>
        <v>0</v>
      </c>
      <c r="S15" s="1321">
        <f t="shared" si="0"/>
        <v>0</v>
      </c>
      <c r="T15" s="712"/>
      <c r="U15" s="713"/>
      <c r="V15" s="714"/>
      <c r="W15" s="398">
        <f t="shared" si="4"/>
        <v>0</v>
      </c>
      <c r="X15" s="712"/>
      <c r="Y15" s="713"/>
      <c r="Z15" s="714"/>
      <c r="AA15" s="398">
        <f t="shared" si="5"/>
        <v>0</v>
      </c>
      <c r="AB15" s="712"/>
      <c r="AC15" s="713"/>
      <c r="AD15" s="714"/>
      <c r="AE15" s="398">
        <f t="shared" si="6"/>
        <v>0</v>
      </c>
      <c r="AF15" s="712"/>
      <c r="AG15" s="713"/>
      <c r="AH15" s="714"/>
      <c r="AI15" s="398">
        <f t="shared" si="7"/>
        <v>0</v>
      </c>
      <c r="AJ15" s="712"/>
      <c r="AK15" s="713"/>
      <c r="AL15" s="714"/>
      <c r="AM15" s="398">
        <f t="shared" si="8"/>
        <v>0</v>
      </c>
    </row>
    <row r="16" spans="1:39" x14ac:dyDescent="0.3">
      <c r="A16" s="2161"/>
      <c r="B16" s="1313" t="str">
        <f t="shared" si="1"/>
        <v/>
      </c>
      <c r="C16" s="1011">
        <f>IF($D$2="NO",0,ROUNDDOWN(SUM(PROD!$V$5:V17)/IF(Iniciar!$C$25="kilos",40,1),0)-SUM($C$4:$C15))</f>
        <v>0</v>
      </c>
      <c r="D16" s="702"/>
      <c r="E16" s="702"/>
      <c r="F16" s="300">
        <f t="shared" si="11"/>
        <v>0</v>
      </c>
      <c r="G16" s="694"/>
      <c r="H16" s="695"/>
      <c r="I16" s="1314"/>
      <c r="J16" s="1315">
        <f>IF(K$1&gt;0,ROUNDUP(SUM(PROD!AM$5:AM17)/K$1*K$2,0),0)-SUM(J$4:J15)</f>
        <v>0</v>
      </c>
      <c r="K16" s="1316">
        <f t="shared" si="9"/>
        <v>0</v>
      </c>
      <c r="L16" s="1314"/>
      <c r="M16" s="1315">
        <f>IF(N$1&gt;0,ROUNDUP(SUM(PROD!L$5:L17,-PROD!AM$5:AM17,-PROD!AZ$5:AZ17)/N$1*N$2,0),0)-SUM(M$4:M15)</f>
        <v>0</v>
      </c>
      <c r="N16" s="1316">
        <f t="shared" si="2"/>
        <v>0</v>
      </c>
      <c r="O16" s="1317">
        <f t="shared" si="10"/>
        <v>0</v>
      </c>
      <c r="P16" s="1318"/>
      <c r="Q16" s="1319"/>
      <c r="R16" s="1320">
        <f t="shared" si="3"/>
        <v>0</v>
      </c>
      <c r="S16" s="1321">
        <f t="shared" si="0"/>
        <v>0</v>
      </c>
      <c r="T16" s="712"/>
      <c r="U16" s="713"/>
      <c r="V16" s="714"/>
      <c r="W16" s="398">
        <f t="shared" si="4"/>
        <v>0</v>
      </c>
      <c r="X16" s="712"/>
      <c r="Y16" s="713"/>
      <c r="Z16" s="714"/>
      <c r="AA16" s="398">
        <f t="shared" si="5"/>
        <v>0</v>
      </c>
      <c r="AB16" s="712"/>
      <c r="AC16" s="713"/>
      <c r="AD16" s="714"/>
      <c r="AE16" s="398">
        <f t="shared" si="6"/>
        <v>0</v>
      </c>
      <c r="AF16" s="712"/>
      <c r="AG16" s="713"/>
      <c r="AH16" s="714"/>
      <c r="AI16" s="398">
        <f t="shared" si="7"/>
        <v>0</v>
      </c>
      <c r="AJ16" s="712"/>
      <c r="AK16" s="713"/>
      <c r="AL16" s="714"/>
      <c r="AM16" s="398">
        <f t="shared" si="8"/>
        <v>0</v>
      </c>
    </row>
    <row r="17" spans="1:39" x14ac:dyDescent="0.3">
      <c r="A17" s="2162"/>
      <c r="B17" s="1313" t="str">
        <f t="shared" si="1"/>
        <v/>
      </c>
      <c r="C17" s="1011">
        <f>IF($D$2="NO",0,ROUNDDOWN(SUM(PROD!$V$5:V18)/IF(Iniciar!$C$25="kilos",40,1),0)-SUM($C$4:$C16))</f>
        <v>0</v>
      </c>
      <c r="D17" s="702"/>
      <c r="E17" s="702"/>
      <c r="F17" s="300">
        <f t="shared" si="11"/>
        <v>0</v>
      </c>
      <c r="G17" s="694"/>
      <c r="H17" s="695"/>
      <c r="I17" s="1314"/>
      <c r="J17" s="1315">
        <f>IF(K$1&gt;0,ROUNDUP(SUM(PROD!AM$5:AM18)/K$1*K$2,0),0)-SUM(J$4:J16)</f>
        <v>0</v>
      </c>
      <c r="K17" s="1316">
        <f t="shared" si="9"/>
        <v>0</v>
      </c>
      <c r="L17" s="1314"/>
      <c r="M17" s="1315">
        <f>IF(N$1&gt;0,ROUNDUP(SUM(PROD!L$5:L18,-PROD!AM$5:AM18,-PROD!AZ$5:AZ18)/N$1*N$2,0),0)-SUM(M$4:M16)</f>
        <v>0</v>
      </c>
      <c r="N17" s="1316">
        <f t="shared" si="2"/>
        <v>0</v>
      </c>
      <c r="O17" s="1317">
        <f t="shared" si="10"/>
        <v>0</v>
      </c>
      <c r="P17" s="1318"/>
      <c r="Q17" s="1319"/>
      <c r="R17" s="1320">
        <f t="shared" si="3"/>
        <v>0</v>
      </c>
      <c r="S17" s="1321">
        <f t="shared" si="0"/>
        <v>0</v>
      </c>
      <c r="T17" s="712"/>
      <c r="U17" s="713"/>
      <c r="V17" s="714"/>
      <c r="W17" s="398">
        <f t="shared" si="4"/>
        <v>0</v>
      </c>
      <c r="X17" s="712"/>
      <c r="Y17" s="713"/>
      <c r="Z17" s="714"/>
      <c r="AA17" s="398">
        <f t="shared" si="5"/>
        <v>0</v>
      </c>
      <c r="AB17" s="712"/>
      <c r="AC17" s="713"/>
      <c r="AD17" s="714"/>
      <c r="AE17" s="398">
        <f t="shared" si="6"/>
        <v>0</v>
      </c>
      <c r="AF17" s="712"/>
      <c r="AG17" s="713"/>
      <c r="AH17" s="714"/>
      <c r="AI17" s="398">
        <f t="shared" si="7"/>
        <v>0</v>
      </c>
      <c r="AJ17" s="712"/>
      <c r="AK17" s="713"/>
      <c r="AL17" s="714"/>
      <c r="AM17" s="398">
        <f t="shared" si="8"/>
        <v>0</v>
      </c>
    </row>
    <row r="18" spans="1:39" ht="15.75" customHeight="1" x14ac:dyDescent="0.3">
      <c r="A18" s="2160">
        <f>A11+1</f>
        <v>20</v>
      </c>
      <c r="B18" s="1313" t="str">
        <f t="shared" si="1"/>
        <v/>
      </c>
      <c r="C18" s="1011">
        <f>IF($D$2="NO",0,ROUNDDOWN(SUM(PROD!$V$5:V19)/IF(Iniciar!$C$25="kilos",40,1),0)-SUM($C$4:$C17))</f>
        <v>0</v>
      </c>
      <c r="D18" s="702"/>
      <c r="E18" s="702"/>
      <c r="F18" s="300">
        <f t="shared" si="11"/>
        <v>0</v>
      </c>
      <c r="G18" s="694"/>
      <c r="H18" s="695"/>
      <c r="I18" s="1314"/>
      <c r="J18" s="1315">
        <f>IF(K$1&gt;0,ROUNDUP(SUM(PROD!AM$5:AM19)/K$1*K$2,0),0)-SUM(J$4:J17)</f>
        <v>0</v>
      </c>
      <c r="K18" s="1316">
        <f t="shared" si="9"/>
        <v>0</v>
      </c>
      <c r="L18" s="1314"/>
      <c r="M18" s="1315">
        <f>IF(N$1&gt;0,ROUNDUP(SUM(PROD!L$5:L19,-PROD!AM$5:AM19,-PROD!AZ$5:AZ19)/N$1*N$2,0),0)-SUM(M$4:M17)</f>
        <v>0</v>
      </c>
      <c r="N18" s="1316">
        <f t="shared" si="2"/>
        <v>0</v>
      </c>
      <c r="O18" s="1317">
        <f t="shared" si="10"/>
        <v>0</v>
      </c>
      <c r="P18" s="1318"/>
      <c r="Q18" s="1319"/>
      <c r="R18" s="1320">
        <f t="shared" si="3"/>
        <v>0</v>
      </c>
      <c r="S18" s="1316">
        <f t="shared" si="0"/>
        <v>0</v>
      </c>
      <c r="T18" s="712"/>
      <c r="U18" s="713"/>
      <c r="V18" s="714"/>
      <c r="W18" s="398">
        <f t="shared" ref="W18:W81" si="12">W17+U18-V18</f>
        <v>0</v>
      </c>
      <c r="X18" s="712"/>
      <c r="Y18" s="713"/>
      <c r="Z18" s="714"/>
      <c r="AA18" s="398">
        <f t="shared" si="5"/>
        <v>0</v>
      </c>
      <c r="AB18" s="712"/>
      <c r="AC18" s="713"/>
      <c r="AD18" s="714"/>
      <c r="AE18" s="398">
        <f t="shared" si="6"/>
        <v>0</v>
      </c>
      <c r="AF18" s="712"/>
      <c r="AG18" s="713"/>
      <c r="AH18" s="714"/>
      <c r="AI18" s="398">
        <f t="shared" si="7"/>
        <v>0</v>
      </c>
      <c r="AJ18" s="712"/>
      <c r="AK18" s="713"/>
      <c r="AL18" s="714"/>
      <c r="AM18" s="398">
        <f t="shared" si="8"/>
        <v>0</v>
      </c>
    </row>
    <row r="19" spans="1:39" ht="15.75" customHeight="1" x14ac:dyDescent="0.3">
      <c r="A19" s="2161"/>
      <c r="B19" s="1313" t="str">
        <f t="shared" si="1"/>
        <v/>
      </c>
      <c r="C19" s="1011">
        <f>IF($D$2="NO",0,ROUNDDOWN(SUM(PROD!$V$5:V20)/IF(Iniciar!$C$25="kilos",40,1),0)-SUM($C$4:$C18))</f>
        <v>0</v>
      </c>
      <c r="D19" s="702"/>
      <c r="E19" s="702"/>
      <c r="F19" s="300">
        <f t="shared" si="11"/>
        <v>0</v>
      </c>
      <c r="G19" s="694"/>
      <c r="H19" s="695"/>
      <c r="I19" s="1314"/>
      <c r="J19" s="1315">
        <f>IF(K$1&gt;0,ROUNDUP(SUM(PROD!AM$5:AM20)/K$1*K$2,0),0)-SUM(J$4:J18)</f>
        <v>0</v>
      </c>
      <c r="K19" s="1316">
        <f t="shared" si="9"/>
        <v>0</v>
      </c>
      <c r="L19" s="1314"/>
      <c r="M19" s="1315">
        <f>IF(N$1&gt;0,ROUNDUP(SUM(PROD!L$5:L20,-PROD!AM$5:AM20,-PROD!AZ$5:AZ20)/N$1*N$2,0),0)-SUM(M$4:M18)</f>
        <v>0</v>
      </c>
      <c r="N19" s="1316">
        <f t="shared" si="2"/>
        <v>0</v>
      </c>
      <c r="O19" s="1317">
        <f t="shared" si="10"/>
        <v>0</v>
      </c>
      <c r="P19" s="1318"/>
      <c r="Q19" s="1319"/>
      <c r="R19" s="1320">
        <f t="shared" si="3"/>
        <v>0</v>
      </c>
      <c r="S19" s="1316">
        <f t="shared" si="0"/>
        <v>0</v>
      </c>
      <c r="T19" s="712"/>
      <c r="U19" s="713"/>
      <c r="V19" s="714"/>
      <c r="W19" s="398">
        <f t="shared" si="12"/>
        <v>0</v>
      </c>
      <c r="X19" s="712"/>
      <c r="Y19" s="713"/>
      <c r="Z19" s="714"/>
      <c r="AA19" s="398">
        <f t="shared" si="5"/>
        <v>0</v>
      </c>
      <c r="AB19" s="712"/>
      <c r="AC19" s="713"/>
      <c r="AD19" s="714"/>
      <c r="AE19" s="398">
        <f t="shared" si="6"/>
        <v>0</v>
      </c>
      <c r="AF19" s="712"/>
      <c r="AG19" s="713"/>
      <c r="AH19" s="714"/>
      <c r="AI19" s="398">
        <f t="shared" si="7"/>
        <v>0</v>
      </c>
      <c r="AJ19" s="712"/>
      <c r="AK19" s="713"/>
      <c r="AL19" s="714"/>
      <c r="AM19" s="398">
        <f t="shared" si="8"/>
        <v>0</v>
      </c>
    </row>
    <row r="20" spans="1:39" ht="15.75" customHeight="1" x14ac:dyDescent="0.3">
      <c r="A20" s="2161"/>
      <c r="B20" s="1313" t="str">
        <f t="shared" si="1"/>
        <v/>
      </c>
      <c r="C20" s="1011">
        <f>IF($D$2="NO",0,ROUNDDOWN(SUM(PROD!$V$5:V21)/IF(Iniciar!$C$25="kilos",40,1),0)-SUM($C$4:$C19))</f>
        <v>0</v>
      </c>
      <c r="D20" s="702"/>
      <c r="E20" s="702"/>
      <c r="F20" s="300">
        <f t="shared" si="11"/>
        <v>0</v>
      </c>
      <c r="G20" s="694"/>
      <c r="H20" s="695"/>
      <c r="I20" s="1314"/>
      <c r="J20" s="1315">
        <f>IF(K$1&gt;0,ROUNDUP(SUM(PROD!AM$5:AM21)/K$1*K$2,0),0)-SUM(J$4:J19)</f>
        <v>0</v>
      </c>
      <c r="K20" s="1316">
        <f t="shared" si="9"/>
        <v>0</v>
      </c>
      <c r="L20" s="1314"/>
      <c r="M20" s="1315">
        <f>IF(N$1&gt;0,ROUNDUP(SUM(PROD!L$5:L21,-PROD!AM$5:AM21,-PROD!AZ$5:AZ21)/N$1*N$2,0),0)-SUM(M$4:M19)</f>
        <v>0</v>
      </c>
      <c r="N20" s="1316">
        <f t="shared" si="2"/>
        <v>0</v>
      </c>
      <c r="O20" s="1317">
        <f t="shared" si="10"/>
        <v>0</v>
      </c>
      <c r="P20" s="1318"/>
      <c r="Q20" s="1319"/>
      <c r="R20" s="1320">
        <f t="shared" si="3"/>
        <v>0</v>
      </c>
      <c r="S20" s="1316">
        <f t="shared" si="0"/>
        <v>0</v>
      </c>
      <c r="T20" s="712"/>
      <c r="U20" s="713"/>
      <c r="V20" s="714"/>
      <c r="W20" s="398">
        <f t="shared" si="12"/>
        <v>0</v>
      </c>
      <c r="X20" s="712"/>
      <c r="Y20" s="713"/>
      <c r="Z20" s="714"/>
      <c r="AA20" s="398">
        <f t="shared" si="5"/>
        <v>0</v>
      </c>
      <c r="AB20" s="712"/>
      <c r="AC20" s="713"/>
      <c r="AD20" s="714"/>
      <c r="AE20" s="398">
        <f t="shared" si="6"/>
        <v>0</v>
      </c>
      <c r="AF20" s="712"/>
      <c r="AG20" s="713"/>
      <c r="AH20" s="714"/>
      <c r="AI20" s="398">
        <f t="shared" si="7"/>
        <v>0</v>
      </c>
      <c r="AJ20" s="712"/>
      <c r="AK20" s="713"/>
      <c r="AL20" s="714"/>
      <c r="AM20" s="398">
        <f t="shared" si="8"/>
        <v>0</v>
      </c>
    </row>
    <row r="21" spans="1:39" ht="15.75" customHeight="1" x14ac:dyDescent="0.3">
      <c r="A21" s="2161"/>
      <c r="B21" s="1313" t="str">
        <f t="shared" si="1"/>
        <v/>
      </c>
      <c r="C21" s="1011">
        <f>IF($D$2="NO",0,ROUNDDOWN(SUM(PROD!$V$5:V22)/IF(Iniciar!$C$25="kilos",40,1),0)-SUM($C$4:$C20))</f>
        <v>0</v>
      </c>
      <c r="D21" s="702"/>
      <c r="E21" s="702"/>
      <c r="F21" s="300">
        <f t="shared" si="11"/>
        <v>0</v>
      </c>
      <c r="G21" s="694"/>
      <c r="H21" s="695"/>
      <c r="I21" s="1314"/>
      <c r="J21" s="1315">
        <f>IF(K$1&gt;0,ROUNDUP(SUM(PROD!AM$5:AM22)/K$1*K$2,0),0)-SUM(J$4:J20)</f>
        <v>0</v>
      </c>
      <c r="K21" s="1316">
        <f>K20+I21-J21</f>
        <v>0</v>
      </c>
      <c r="L21" s="1314"/>
      <c r="M21" s="1315">
        <f>IF(N$1&gt;0,ROUNDUP(SUM(PROD!L$5:L22,-PROD!AM$5:AM22,-PROD!AZ$5:AZ22)/N$1*N$2,0),0)-SUM(M$4:M20)</f>
        <v>0</v>
      </c>
      <c r="N21" s="1316">
        <f>N20+L21-M21</f>
        <v>0</v>
      </c>
      <c r="O21" s="1317">
        <f t="shared" si="10"/>
        <v>0</v>
      </c>
      <c r="P21" s="1318"/>
      <c r="Q21" s="1319"/>
      <c r="R21" s="1320">
        <f t="shared" si="3"/>
        <v>0</v>
      </c>
      <c r="S21" s="1316">
        <f t="shared" si="0"/>
        <v>0</v>
      </c>
      <c r="T21" s="712"/>
      <c r="U21" s="713"/>
      <c r="V21" s="714"/>
      <c r="W21" s="398">
        <f t="shared" si="12"/>
        <v>0</v>
      </c>
      <c r="X21" s="712"/>
      <c r="Y21" s="713"/>
      <c r="Z21" s="714"/>
      <c r="AA21" s="398">
        <f t="shared" si="5"/>
        <v>0</v>
      </c>
      <c r="AB21" s="712"/>
      <c r="AC21" s="713"/>
      <c r="AD21" s="714"/>
      <c r="AE21" s="398">
        <f t="shared" si="6"/>
        <v>0</v>
      </c>
      <c r="AF21" s="712"/>
      <c r="AG21" s="713"/>
      <c r="AH21" s="714"/>
      <c r="AI21" s="398">
        <f t="shared" si="7"/>
        <v>0</v>
      </c>
      <c r="AJ21" s="712"/>
      <c r="AK21" s="713"/>
      <c r="AL21" s="714"/>
      <c r="AM21" s="398">
        <f t="shared" si="8"/>
        <v>0</v>
      </c>
    </row>
    <row r="22" spans="1:39" ht="15.75" customHeight="1" x14ac:dyDescent="0.3">
      <c r="A22" s="2161"/>
      <c r="B22" s="1313" t="str">
        <f t="shared" si="1"/>
        <v/>
      </c>
      <c r="C22" s="1011">
        <f>IF($D$2="NO",0,ROUNDDOWN(SUM(PROD!$V$5:V23)/IF(Iniciar!$C$25="kilos",40,1),0)-SUM($C$4:$C21))</f>
        <v>0</v>
      </c>
      <c r="D22" s="702"/>
      <c r="E22" s="702"/>
      <c r="F22" s="300">
        <f t="shared" si="11"/>
        <v>0</v>
      </c>
      <c r="G22" s="694"/>
      <c r="H22" s="695"/>
      <c r="I22" s="1314"/>
      <c r="J22" s="1315">
        <f>IF(K$1&gt;0,ROUNDUP(SUM(PROD!AM$5:AM23)/K$1*K$2,0),0)-SUM(J$4:J21)</f>
        <v>0</v>
      </c>
      <c r="K22" s="1316">
        <f>K21+I22-J22</f>
        <v>0</v>
      </c>
      <c r="L22" s="1314"/>
      <c r="M22" s="1315">
        <f>IF(N$1&gt;0,ROUNDUP(SUM(PROD!L$5:L23,-PROD!AM$5:AM23,-PROD!AZ$5:AZ23)/N$1*N$2,0),0)-SUM(M$4:M21)</f>
        <v>0</v>
      </c>
      <c r="N22" s="1316">
        <f t="shared" si="2"/>
        <v>0</v>
      </c>
      <c r="O22" s="1317">
        <f t="shared" si="10"/>
        <v>0</v>
      </c>
      <c r="P22" s="1318"/>
      <c r="Q22" s="1319"/>
      <c r="R22" s="1320">
        <f t="shared" si="3"/>
        <v>0</v>
      </c>
      <c r="S22" s="1316">
        <f t="shared" si="0"/>
        <v>0</v>
      </c>
      <c r="T22" s="712"/>
      <c r="U22" s="713"/>
      <c r="V22" s="714"/>
      <c r="W22" s="398">
        <f t="shared" si="12"/>
        <v>0</v>
      </c>
      <c r="X22" s="712"/>
      <c r="Y22" s="713"/>
      <c r="Z22" s="714"/>
      <c r="AA22" s="398">
        <f t="shared" si="5"/>
        <v>0</v>
      </c>
      <c r="AB22" s="712"/>
      <c r="AC22" s="713"/>
      <c r="AD22" s="714"/>
      <c r="AE22" s="398">
        <f t="shared" si="6"/>
        <v>0</v>
      </c>
      <c r="AF22" s="712"/>
      <c r="AG22" s="713"/>
      <c r="AH22" s="714"/>
      <c r="AI22" s="398">
        <f t="shared" si="7"/>
        <v>0</v>
      </c>
      <c r="AJ22" s="712"/>
      <c r="AK22" s="713"/>
      <c r="AL22" s="714"/>
      <c r="AM22" s="398">
        <f t="shared" si="8"/>
        <v>0</v>
      </c>
    </row>
    <row r="23" spans="1:39" ht="15.75" customHeight="1" x14ac:dyDescent="0.3">
      <c r="A23" s="2161"/>
      <c r="B23" s="1313" t="str">
        <f t="shared" si="1"/>
        <v/>
      </c>
      <c r="C23" s="1011">
        <f>IF($D$2="NO",0,ROUNDDOWN(SUM(PROD!$V$5:V24)/IF(Iniciar!$C$25="kilos",40,1),0)-SUM($C$4:$C22))</f>
        <v>0</v>
      </c>
      <c r="D23" s="702"/>
      <c r="E23" s="702"/>
      <c r="F23" s="300">
        <f t="shared" si="11"/>
        <v>0</v>
      </c>
      <c r="G23" s="694"/>
      <c r="H23" s="695"/>
      <c r="I23" s="1314"/>
      <c r="J23" s="1315">
        <f>IF(K$1&gt;0,ROUNDUP(SUM(PROD!AM$5:AM24)/K$1*K$2,0),0)-SUM(J$4:J22)</f>
        <v>0</v>
      </c>
      <c r="K23" s="1316">
        <f>K22+I23-J23</f>
        <v>0</v>
      </c>
      <c r="L23" s="1314"/>
      <c r="M23" s="1315">
        <f>IF(N$1&gt;0,ROUNDUP(SUM(PROD!L$5:L24,-PROD!AM$5:AM24,-PROD!AZ$5:AZ24)/N$1*N$2,0),0)-SUM(M$4:M22)</f>
        <v>0</v>
      </c>
      <c r="N23" s="1316">
        <f t="shared" si="2"/>
        <v>0</v>
      </c>
      <c r="O23" s="1317">
        <f t="shared" si="10"/>
        <v>0</v>
      </c>
      <c r="P23" s="1318"/>
      <c r="Q23" s="1319"/>
      <c r="R23" s="1320">
        <f t="shared" si="3"/>
        <v>0</v>
      </c>
      <c r="S23" s="1316">
        <f t="shared" si="0"/>
        <v>0</v>
      </c>
      <c r="T23" s="712"/>
      <c r="U23" s="713"/>
      <c r="V23" s="714"/>
      <c r="W23" s="398">
        <f t="shared" si="12"/>
        <v>0</v>
      </c>
      <c r="X23" s="712"/>
      <c r="Y23" s="713"/>
      <c r="Z23" s="714"/>
      <c r="AA23" s="398">
        <f t="shared" si="5"/>
        <v>0</v>
      </c>
      <c r="AB23" s="712"/>
      <c r="AC23" s="713"/>
      <c r="AD23" s="714"/>
      <c r="AE23" s="398">
        <f t="shared" si="6"/>
        <v>0</v>
      </c>
      <c r="AF23" s="712"/>
      <c r="AG23" s="713"/>
      <c r="AH23" s="714"/>
      <c r="AI23" s="398">
        <f t="shared" si="7"/>
        <v>0</v>
      </c>
      <c r="AJ23" s="712"/>
      <c r="AK23" s="713"/>
      <c r="AL23" s="714"/>
      <c r="AM23" s="398">
        <f t="shared" si="8"/>
        <v>0</v>
      </c>
    </row>
    <row r="24" spans="1:39" ht="16.5" customHeight="1" x14ac:dyDescent="0.3">
      <c r="A24" s="2162"/>
      <c r="B24" s="1313" t="str">
        <f t="shared" si="1"/>
        <v/>
      </c>
      <c r="C24" s="1011">
        <f>IF($D$2="NO",0,ROUNDDOWN(SUM(PROD!$V$5:V25)/IF(Iniciar!$C$25="kilos",40,1),0)-SUM($C$4:$C23))</f>
        <v>0</v>
      </c>
      <c r="D24" s="702"/>
      <c r="E24" s="702"/>
      <c r="F24" s="300">
        <f t="shared" si="11"/>
        <v>0</v>
      </c>
      <c r="G24" s="694"/>
      <c r="H24" s="695"/>
      <c r="I24" s="1314"/>
      <c r="J24" s="1315">
        <f>IF(K$1&gt;0,ROUNDUP(SUM(PROD!AM$5:AM25)/K$1*K$2,0),0)-SUM(J$4:J23)</f>
        <v>0</v>
      </c>
      <c r="K24" s="1316">
        <f>K23+I24-J24</f>
        <v>0</v>
      </c>
      <c r="L24" s="1314"/>
      <c r="M24" s="1315">
        <f>IF(N$1&gt;0,ROUNDUP(SUM(PROD!L$5:L25,-PROD!AM$5:AM25,-PROD!AZ$5:AZ25)/N$1*N$2,0),0)-SUM(M$4:M23)</f>
        <v>0</v>
      </c>
      <c r="N24" s="1316">
        <f t="shared" si="2"/>
        <v>0</v>
      </c>
      <c r="O24" s="1317">
        <f t="shared" si="10"/>
        <v>0</v>
      </c>
      <c r="P24" s="1318"/>
      <c r="Q24" s="1319"/>
      <c r="R24" s="1320">
        <f t="shared" si="3"/>
        <v>0</v>
      </c>
      <c r="S24" s="1316">
        <f t="shared" si="0"/>
        <v>0</v>
      </c>
      <c r="T24" s="712"/>
      <c r="U24" s="713"/>
      <c r="V24" s="714"/>
      <c r="W24" s="398">
        <f t="shared" si="12"/>
        <v>0</v>
      </c>
      <c r="X24" s="712"/>
      <c r="Y24" s="713"/>
      <c r="Z24" s="714"/>
      <c r="AA24" s="398">
        <f t="shared" si="5"/>
        <v>0</v>
      </c>
      <c r="AB24" s="712"/>
      <c r="AC24" s="713"/>
      <c r="AD24" s="714"/>
      <c r="AE24" s="398">
        <f t="shared" si="6"/>
        <v>0</v>
      </c>
      <c r="AF24" s="712"/>
      <c r="AG24" s="713"/>
      <c r="AH24" s="714"/>
      <c r="AI24" s="398">
        <f t="shared" si="7"/>
        <v>0</v>
      </c>
      <c r="AJ24" s="712"/>
      <c r="AK24" s="713"/>
      <c r="AL24" s="714"/>
      <c r="AM24" s="398">
        <f t="shared" si="8"/>
        <v>0</v>
      </c>
    </row>
    <row r="25" spans="1:39" ht="16.5" customHeight="1" x14ac:dyDescent="0.3">
      <c r="A25" s="2160">
        <f>A18+1</f>
        <v>21</v>
      </c>
      <c r="B25" s="1313" t="str">
        <f t="shared" si="1"/>
        <v/>
      </c>
      <c r="C25" s="1011">
        <f>IF($D$2="NO",0,ROUNDDOWN(SUM(PROD!$V$5:V26)/IF(Iniciar!$C$25="kilos",40,1),0)-SUM($C$4:$C24))</f>
        <v>0</v>
      </c>
      <c r="D25" s="702"/>
      <c r="E25" s="702"/>
      <c r="F25" s="300">
        <f t="shared" si="11"/>
        <v>0</v>
      </c>
      <c r="G25" s="694"/>
      <c r="H25" s="695"/>
      <c r="I25" s="1314"/>
      <c r="J25" s="1315">
        <f>IF(K$1&gt;0,ROUNDUP(SUM(PROD!AM$5:AM26)/K$1*K$2,0),0)-SUM(J$4:J24)</f>
        <v>0</v>
      </c>
      <c r="K25" s="1316">
        <f>K24+I25-J25</f>
        <v>0</v>
      </c>
      <c r="L25" s="1314"/>
      <c r="M25" s="1315">
        <f>IF(N$1&gt;0,ROUNDUP(SUM(PROD!L$5:L26,-PROD!AM$5:AM26,-PROD!AZ$5:AZ26)/N$1*N$2,0),0)-SUM(M$4:M24)</f>
        <v>0</v>
      </c>
      <c r="N25" s="1316">
        <f t="shared" si="2"/>
        <v>0</v>
      </c>
      <c r="O25" s="1317">
        <f t="shared" si="10"/>
        <v>0</v>
      </c>
      <c r="P25" s="1318"/>
      <c r="Q25" s="1319"/>
      <c r="R25" s="1320">
        <f t="shared" si="3"/>
        <v>0</v>
      </c>
      <c r="S25" s="1316">
        <f t="shared" si="0"/>
        <v>0</v>
      </c>
      <c r="T25" s="712"/>
      <c r="U25" s="713"/>
      <c r="V25" s="714"/>
      <c r="W25" s="398">
        <f t="shared" si="12"/>
        <v>0</v>
      </c>
      <c r="X25" s="712"/>
      <c r="Y25" s="713"/>
      <c r="Z25" s="714"/>
      <c r="AA25" s="398">
        <f t="shared" si="5"/>
        <v>0</v>
      </c>
      <c r="AB25" s="712"/>
      <c r="AC25" s="713"/>
      <c r="AD25" s="714"/>
      <c r="AE25" s="398">
        <f t="shared" si="6"/>
        <v>0</v>
      </c>
      <c r="AF25" s="712"/>
      <c r="AG25" s="713"/>
      <c r="AH25" s="714"/>
      <c r="AI25" s="398">
        <f t="shared" si="7"/>
        <v>0</v>
      </c>
      <c r="AJ25" s="712"/>
      <c r="AK25" s="713"/>
      <c r="AL25" s="714"/>
      <c r="AM25" s="398">
        <f t="shared" si="8"/>
        <v>0</v>
      </c>
    </row>
    <row r="26" spans="1:39" ht="15.75" customHeight="1" x14ac:dyDescent="0.3">
      <c r="A26" s="2161"/>
      <c r="B26" s="1313" t="str">
        <f t="shared" si="1"/>
        <v/>
      </c>
      <c r="C26" s="1011">
        <f>IF($D$2="NO",0,ROUNDDOWN(SUM(PROD!$V$5:V27)/IF(Iniciar!$C$25="kilos",40,1),0)-SUM($C$4:$C25))</f>
        <v>0</v>
      </c>
      <c r="D26" s="702"/>
      <c r="E26" s="702"/>
      <c r="F26" s="300">
        <f t="shared" si="11"/>
        <v>0</v>
      </c>
      <c r="G26" s="694"/>
      <c r="H26" s="695"/>
      <c r="I26" s="1314"/>
      <c r="J26" s="1315">
        <f>IF(K$1&gt;0,ROUNDUP(SUM(PROD!AM$5:AM27)/K$1*K$2,0),0)-SUM(J$4:J25)</f>
        <v>0</v>
      </c>
      <c r="K26" s="1316">
        <f t="shared" si="9"/>
        <v>0</v>
      </c>
      <c r="L26" s="1314"/>
      <c r="M26" s="1315">
        <f>IF(N$1&gt;0,ROUNDUP(SUM(PROD!L$5:L27,-PROD!AM$5:AM27,-PROD!AZ$5:AZ27)/N$1*N$2,0),0)-SUM(M$4:M25)</f>
        <v>0</v>
      </c>
      <c r="N26" s="1316">
        <f t="shared" si="2"/>
        <v>0</v>
      </c>
      <c r="O26" s="1317">
        <f t="shared" si="10"/>
        <v>0</v>
      </c>
      <c r="P26" s="1318"/>
      <c r="Q26" s="1319"/>
      <c r="R26" s="1320">
        <f t="shared" si="3"/>
        <v>0</v>
      </c>
      <c r="S26" s="1316">
        <f t="shared" si="0"/>
        <v>0</v>
      </c>
      <c r="T26" s="712"/>
      <c r="U26" s="713"/>
      <c r="V26" s="714"/>
      <c r="W26" s="398">
        <f t="shared" si="12"/>
        <v>0</v>
      </c>
      <c r="X26" s="712"/>
      <c r="Y26" s="713"/>
      <c r="Z26" s="714"/>
      <c r="AA26" s="398">
        <f t="shared" si="5"/>
        <v>0</v>
      </c>
      <c r="AB26" s="712"/>
      <c r="AC26" s="713"/>
      <c r="AD26" s="714"/>
      <c r="AE26" s="398">
        <f t="shared" si="6"/>
        <v>0</v>
      </c>
      <c r="AF26" s="712"/>
      <c r="AG26" s="713"/>
      <c r="AH26" s="714"/>
      <c r="AI26" s="398">
        <f t="shared" si="7"/>
        <v>0</v>
      </c>
      <c r="AJ26" s="712"/>
      <c r="AK26" s="713"/>
      <c r="AL26" s="714"/>
      <c r="AM26" s="398">
        <f t="shared" si="8"/>
        <v>0</v>
      </c>
    </row>
    <row r="27" spans="1:39" ht="15.75" customHeight="1" x14ac:dyDescent="0.3">
      <c r="A27" s="2161"/>
      <c r="B27" s="1313" t="str">
        <f t="shared" si="1"/>
        <v/>
      </c>
      <c r="C27" s="1011">
        <f>IF($D$2="NO",0,ROUNDDOWN(SUM(PROD!$V$5:V28)/IF(Iniciar!$C$25="kilos",40,1),0)-SUM($C$4:$C26))</f>
        <v>0</v>
      </c>
      <c r="D27" s="702"/>
      <c r="E27" s="702"/>
      <c r="F27" s="300">
        <f t="shared" si="11"/>
        <v>0</v>
      </c>
      <c r="G27" s="694"/>
      <c r="H27" s="695"/>
      <c r="I27" s="1314"/>
      <c r="J27" s="1315">
        <f>IF(K$1&gt;0,ROUNDUP(SUM(PROD!AM$5:AM28)/K$1*K$2,0),0)-SUM(J$4:J26)</f>
        <v>0</v>
      </c>
      <c r="K27" s="1316">
        <f t="shared" si="9"/>
        <v>0</v>
      </c>
      <c r="L27" s="1314"/>
      <c r="M27" s="1315">
        <f>IF(N$1&gt;0,ROUNDUP(SUM(PROD!L$5:L28,-PROD!AM$5:AM28,-PROD!AZ$5:AZ28)/N$1*N$2,0),0)-SUM(M$4:M26)</f>
        <v>0</v>
      </c>
      <c r="N27" s="1316">
        <f t="shared" si="2"/>
        <v>0</v>
      </c>
      <c r="O27" s="1317">
        <f t="shared" si="10"/>
        <v>0</v>
      </c>
      <c r="P27" s="1318"/>
      <c r="Q27" s="1319"/>
      <c r="R27" s="1320">
        <f t="shared" si="3"/>
        <v>0</v>
      </c>
      <c r="S27" s="1316">
        <f t="shared" si="0"/>
        <v>0</v>
      </c>
      <c r="T27" s="712"/>
      <c r="U27" s="713"/>
      <c r="V27" s="714"/>
      <c r="W27" s="398">
        <f t="shared" si="12"/>
        <v>0</v>
      </c>
      <c r="X27" s="712"/>
      <c r="Y27" s="713"/>
      <c r="Z27" s="714"/>
      <c r="AA27" s="398">
        <f t="shared" si="5"/>
        <v>0</v>
      </c>
      <c r="AB27" s="712"/>
      <c r="AC27" s="713"/>
      <c r="AD27" s="714"/>
      <c r="AE27" s="398">
        <f t="shared" si="6"/>
        <v>0</v>
      </c>
      <c r="AF27" s="712"/>
      <c r="AG27" s="713"/>
      <c r="AH27" s="714"/>
      <c r="AI27" s="398">
        <f t="shared" si="7"/>
        <v>0</v>
      </c>
      <c r="AJ27" s="712"/>
      <c r="AK27" s="713"/>
      <c r="AL27" s="714"/>
      <c r="AM27" s="398">
        <f t="shared" si="8"/>
        <v>0</v>
      </c>
    </row>
    <row r="28" spans="1:39" ht="15.75" customHeight="1" x14ac:dyDescent="0.3">
      <c r="A28" s="2161"/>
      <c r="B28" s="1313" t="str">
        <f t="shared" si="1"/>
        <v/>
      </c>
      <c r="C28" s="1011">
        <f>IF($D$2="NO",0,ROUNDDOWN(SUM(PROD!$V$5:V29)/IF(Iniciar!$C$25="kilos",40,1),0)-SUM($C$4:$C27))</f>
        <v>0</v>
      </c>
      <c r="D28" s="702"/>
      <c r="E28" s="702"/>
      <c r="F28" s="300">
        <f t="shared" si="11"/>
        <v>0</v>
      </c>
      <c r="G28" s="694"/>
      <c r="H28" s="695"/>
      <c r="I28" s="1314"/>
      <c r="J28" s="1315">
        <f>IF(K$1&gt;0,ROUNDUP(SUM(PROD!AM$5:AM29)/K$1*K$2,0),0)-SUM(J$4:J27)</f>
        <v>0</v>
      </c>
      <c r="K28" s="1316">
        <f t="shared" si="9"/>
        <v>0</v>
      </c>
      <c r="L28" s="1314"/>
      <c r="M28" s="1315">
        <f>IF(N$1&gt;0,ROUNDUP(SUM(PROD!L$5:L29,-PROD!AM$5:AM29,-PROD!AZ$5:AZ29)/N$1*N$2,0),0)-SUM(M$4:M27)</f>
        <v>0</v>
      </c>
      <c r="N28" s="1316">
        <f t="shared" si="2"/>
        <v>0</v>
      </c>
      <c r="O28" s="1317">
        <f t="shared" si="10"/>
        <v>0</v>
      </c>
      <c r="P28" s="1318"/>
      <c r="Q28" s="1319"/>
      <c r="R28" s="1320">
        <f t="shared" si="3"/>
        <v>0</v>
      </c>
      <c r="S28" s="1316">
        <f t="shared" si="0"/>
        <v>0</v>
      </c>
      <c r="T28" s="712"/>
      <c r="U28" s="713"/>
      <c r="V28" s="714"/>
      <c r="W28" s="398">
        <f t="shared" si="12"/>
        <v>0</v>
      </c>
      <c r="X28" s="712"/>
      <c r="Y28" s="713"/>
      <c r="Z28" s="714"/>
      <c r="AA28" s="398">
        <f t="shared" si="5"/>
        <v>0</v>
      </c>
      <c r="AB28" s="712"/>
      <c r="AC28" s="713"/>
      <c r="AD28" s="714"/>
      <c r="AE28" s="398">
        <f t="shared" si="6"/>
        <v>0</v>
      </c>
      <c r="AF28" s="712"/>
      <c r="AG28" s="713"/>
      <c r="AH28" s="714"/>
      <c r="AI28" s="398">
        <f t="shared" si="7"/>
        <v>0</v>
      </c>
      <c r="AJ28" s="712"/>
      <c r="AK28" s="713"/>
      <c r="AL28" s="714"/>
      <c r="AM28" s="398">
        <f t="shared" si="8"/>
        <v>0</v>
      </c>
    </row>
    <row r="29" spans="1:39" ht="15.75" customHeight="1" x14ac:dyDescent="0.3">
      <c r="A29" s="2161"/>
      <c r="B29" s="1313" t="str">
        <f t="shared" si="1"/>
        <v/>
      </c>
      <c r="C29" s="1011">
        <f>IF($D$2="NO",0,ROUNDDOWN(SUM(PROD!$V$5:V30)/IF(Iniciar!$C$25="kilos",40,1),0)-SUM($C$4:$C28))</f>
        <v>0</v>
      </c>
      <c r="D29" s="702"/>
      <c r="E29" s="702"/>
      <c r="F29" s="300">
        <f t="shared" si="11"/>
        <v>0</v>
      </c>
      <c r="G29" s="694"/>
      <c r="H29" s="695"/>
      <c r="I29" s="1314"/>
      <c r="J29" s="1315">
        <f>IF(K$1&gt;0,ROUNDUP(SUM(PROD!AM$5:AM30)/K$1*K$2,0),0)-SUM(J$4:J28)</f>
        <v>0</v>
      </c>
      <c r="K29" s="1316">
        <f t="shared" si="9"/>
        <v>0</v>
      </c>
      <c r="L29" s="1314"/>
      <c r="M29" s="1315">
        <f>IF(N$1&gt;0,ROUNDUP(SUM(PROD!L$5:L30,-PROD!AM$5:AM30,-PROD!AZ$5:AZ30)/N$1*N$2,0),0)-SUM(M$4:M28)</f>
        <v>0</v>
      </c>
      <c r="N29" s="1316">
        <f t="shared" si="2"/>
        <v>0</v>
      </c>
      <c r="O29" s="1317">
        <f t="shared" si="10"/>
        <v>0</v>
      </c>
      <c r="P29" s="1318"/>
      <c r="Q29" s="1319"/>
      <c r="R29" s="1320">
        <f t="shared" si="3"/>
        <v>0</v>
      </c>
      <c r="S29" s="1316">
        <f t="shared" si="0"/>
        <v>0</v>
      </c>
      <c r="T29" s="712"/>
      <c r="U29" s="713"/>
      <c r="V29" s="714"/>
      <c r="W29" s="398">
        <f t="shared" si="12"/>
        <v>0</v>
      </c>
      <c r="X29" s="712"/>
      <c r="Y29" s="713"/>
      <c r="Z29" s="714"/>
      <c r="AA29" s="398">
        <f t="shared" si="5"/>
        <v>0</v>
      </c>
      <c r="AB29" s="712"/>
      <c r="AC29" s="713"/>
      <c r="AD29" s="714"/>
      <c r="AE29" s="398">
        <f t="shared" si="6"/>
        <v>0</v>
      </c>
      <c r="AF29" s="712"/>
      <c r="AG29" s="713"/>
      <c r="AH29" s="714"/>
      <c r="AI29" s="398">
        <f t="shared" si="7"/>
        <v>0</v>
      </c>
      <c r="AJ29" s="712"/>
      <c r="AK29" s="713"/>
      <c r="AL29" s="714"/>
      <c r="AM29" s="398">
        <f t="shared" si="8"/>
        <v>0</v>
      </c>
    </row>
    <row r="30" spans="1:39" ht="15.75" customHeight="1" x14ac:dyDescent="0.3">
      <c r="A30" s="2161"/>
      <c r="B30" s="1313" t="str">
        <f t="shared" si="1"/>
        <v/>
      </c>
      <c r="C30" s="1011">
        <f>IF($D$2="NO",0,ROUNDDOWN(SUM(PROD!$V$5:V31)/IF(Iniciar!$C$25="kilos",40,1),0)-SUM($C$4:$C29))</f>
        <v>0</v>
      </c>
      <c r="D30" s="702"/>
      <c r="E30" s="702"/>
      <c r="F30" s="300">
        <f t="shared" si="11"/>
        <v>0</v>
      </c>
      <c r="G30" s="694"/>
      <c r="H30" s="695"/>
      <c r="I30" s="1314"/>
      <c r="J30" s="1315">
        <f>IF(K$1&gt;0,ROUNDUP(SUM(PROD!AM$5:AM31)/K$1*K$2,0),0)-SUM(J$4:J29)</f>
        <v>0</v>
      </c>
      <c r="K30" s="1316">
        <f t="shared" si="9"/>
        <v>0</v>
      </c>
      <c r="L30" s="1314"/>
      <c r="M30" s="1315">
        <f>IF(N$1&gt;0,ROUNDUP(SUM(PROD!L$5:L31,-PROD!AM$5:AM31,-PROD!AZ$5:AZ31)/N$1*N$2,0),0)-SUM(M$4:M29)</f>
        <v>0</v>
      </c>
      <c r="N30" s="1316">
        <f t="shared" si="2"/>
        <v>0</v>
      </c>
      <c r="O30" s="1317">
        <f t="shared" si="10"/>
        <v>0</v>
      </c>
      <c r="P30" s="1318"/>
      <c r="Q30" s="1319"/>
      <c r="R30" s="1320">
        <f t="shared" si="3"/>
        <v>0</v>
      </c>
      <c r="S30" s="1316">
        <f t="shared" si="0"/>
        <v>0</v>
      </c>
      <c r="T30" s="712"/>
      <c r="U30" s="713"/>
      <c r="V30" s="714"/>
      <c r="W30" s="398">
        <f t="shared" si="12"/>
        <v>0</v>
      </c>
      <c r="X30" s="712"/>
      <c r="Y30" s="713"/>
      <c r="Z30" s="714"/>
      <c r="AA30" s="398">
        <f t="shared" si="5"/>
        <v>0</v>
      </c>
      <c r="AB30" s="712"/>
      <c r="AC30" s="713"/>
      <c r="AD30" s="714"/>
      <c r="AE30" s="398">
        <f t="shared" si="6"/>
        <v>0</v>
      </c>
      <c r="AF30" s="712"/>
      <c r="AG30" s="713"/>
      <c r="AH30" s="714"/>
      <c r="AI30" s="398">
        <f t="shared" si="7"/>
        <v>0</v>
      </c>
      <c r="AJ30" s="712"/>
      <c r="AK30" s="713"/>
      <c r="AL30" s="714"/>
      <c r="AM30" s="398">
        <f t="shared" si="8"/>
        <v>0</v>
      </c>
    </row>
    <row r="31" spans="1:39" ht="16.5" customHeight="1" x14ac:dyDescent="0.3">
      <c r="A31" s="2162"/>
      <c r="B31" s="1313" t="str">
        <f t="shared" si="1"/>
        <v/>
      </c>
      <c r="C31" s="1011">
        <f>IF($D$2="NO",0,ROUNDDOWN(SUM(PROD!$V$5:V32)/IF(Iniciar!$C$25="kilos",40,1),0)-SUM($C$4:$C30))</f>
        <v>0</v>
      </c>
      <c r="D31" s="702"/>
      <c r="E31" s="702"/>
      <c r="F31" s="300">
        <f t="shared" si="11"/>
        <v>0</v>
      </c>
      <c r="G31" s="694"/>
      <c r="H31" s="695"/>
      <c r="I31" s="1314"/>
      <c r="J31" s="1315">
        <f>IF(K$1&gt;0,ROUNDUP(SUM(PROD!AM$5:AM32)/K$1*K$2,0),0)-SUM(J$4:J30)</f>
        <v>0</v>
      </c>
      <c r="K31" s="1316">
        <f t="shared" si="9"/>
        <v>0</v>
      </c>
      <c r="L31" s="1314"/>
      <c r="M31" s="1315">
        <f>IF(N$1&gt;0,ROUNDUP(SUM(PROD!L$5:L32,-PROD!AM$5:AM32,-PROD!AZ$5:AZ32)/N$1*N$2,0),0)-SUM(M$4:M30)</f>
        <v>0</v>
      </c>
      <c r="N31" s="1316">
        <f t="shared" si="2"/>
        <v>0</v>
      </c>
      <c r="O31" s="1317">
        <f t="shared" si="10"/>
        <v>0</v>
      </c>
      <c r="P31" s="1318"/>
      <c r="Q31" s="1319"/>
      <c r="R31" s="1320">
        <f t="shared" si="3"/>
        <v>0</v>
      </c>
      <c r="S31" s="1316">
        <f t="shared" si="0"/>
        <v>0</v>
      </c>
      <c r="T31" s="712"/>
      <c r="U31" s="713"/>
      <c r="V31" s="714"/>
      <c r="W31" s="398">
        <f t="shared" si="12"/>
        <v>0</v>
      </c>
      <c r="X31" s="712"/>
      <c r="Y31" s="713"/>
      <c r="Z31" s="714"/>
      <c r="AA31" s="398">
        <f t="shared" si="5"/>
        <v>0</v>
      </c>
      <c r="AB31" s="712"/>
      <c r="AC31" s="713"/>
      <c r="AD31" s="714"/>
      <c r="AE31" s="398">
        <f t="shared" si="6"/>
        <v>0</v>
      </c>
      <c r="AF31" s="712"/>
      <c r="AG31" s="713"/>
      <c r="AH31" s="714"/>
      <c r="AI31" s="398">
        <f t="shared" si="7"/>
        <v>0</v>
      </c>
      <c r="AJ31" s="712"/>
      <c r="AK31" s="713"/>
      <c r="AL31" s="714"/>
      <c r="AM31" s="398">
        <f t="shared" si="8"/>
        <v>0</v>
      </c>
    </row>
    <row r="32" spans="1:39" ht="16.5" customHeight="1" x14ac:dyDescent="0.3">
      <c r="A32" s="2160">
        <f>A25+1</f>
        <v>22</v>
      </c>
      <c r="B32" s="1313" t="str">
        <f t="shared" si="1"/>
        <v/>
      </c>
      <c r="C32" s="1011">
        <f>IF($D$2="NO",0,ROUNDDOWN(SUM(PROD!$V$5:V33)/IF(Iniciar!$C$25="kilos",40,1),0)-SUM($C$4:$C31))</f>
        <v>0</v>
      </c>
      <c r="D32" s="702"/>
      <c r="E32" s="702"/>
      <c r="F32" s="300">
        <f t="shared" si="11"/>
        <v>0</v>
      </c>
      <c r="G32" s="694"/>
      <c r="H32" s="695"/>
      <c r="I32" s="1314"/>
      <c r="J32" s="1315">
        <f>IF(K$1&gt;0,ROUNDUP(SUM(PROD!AM$5:AM33)/K$1*K$2,0),0)-SUM(J$4:J31)</f>
        <v>0</v>
      </c>
      <c r="K32" s="1316">
        <f t="shared" si="9"/>
        <v>0</v>
      </c>
      <c r="L32" s="1314"/>
      <c r="M32" s="1315">
        <f>IF(N$1&gt;0,ROUNDUP(SUM(PROD!L$5:L33,-PROD!AM$5:AM33,-PROD!AZ$5:AZ33)/N$1*N$2,0),0)-SUM(M$4:M31)</f>
        <v>0</v>
      </c>
      <c r="N32" s="1316">
        <f t="shared" si="2"/>
        <v>0</v>
      </c>
      <c r="O32" s="1317">
        <f t="shared" si="10"/>
        <v>0</v>
      </c>
      <c r="P32" s="1318"/>
      <c r="Q32" s="1319"/>
      <c r="R32" s="1320">
        <f t="shared" si="3"/>
        <v>0</v>
      </c>
      <c r="S32" s="1316">
        <f t="shared" si="0"/>
        <v>0</v>
      </c>
      <c r="T32" s="712"/>
      <c r="U32" s="713"/>
      <c r="V32" s="714"/>
      <c r="W32" s="398">
        <f t="shared" si="12"/>
        <v>0</v>
      </c>
      <c r="X32" s="712"/>
      <c r="Y32" s="713"/>
      <c r="Z32" s="714"/>
      <c r="AA32" s="398">
        <f t="shared" si="5"/>
        <v>0</v>
      </c>
      <c r="AB32" s="712"/>
      <c r="AC32" s="713"/>
      <c r="AD32" s="714"/>
      <c r="AE32" s="398">
        <f t="shared" si="6"/>
        <v>0</v>
      </c>
      <c r="AF32" s="712"/>
      <c r="AG32" s="713"/>
      <c r="AH32" s="714"/>
      <c r="AI32" s="398">
        <f t="shared" si="7"/>
        <v>0</v>
      </c>
      <c r="AJ32" s="712"/>
      <c r="AK32" s="713"/>
      <c r="AL32" s="714"/>
      <c r="AM32" s="398">
        <f t="shared" si="8"/>
        <v>0</v>
      </c>
    </row>
    <row r="33" spans="1:39" ht="15.75" customHeight="1" x14ac:dyDescent="0.3">
      <c r="A33" s="2161"/>
      <c r="B33" s="1313" t="str">
        <f t="shared" si="1"/>
        <v/>
      </c>
      <c r="C33" s="1011">
        <f>IF($D$2="NO",0,ROUNDDOWN(SUM(PROD!$V$5:V34)/IF(Iniciar!$C$25="kilos",40,1),0)-SUM($C$4:$C32))</f>
        <v>0</v>
      </c>
      <c r="D33" s="702"/>
      <c r="E33" s="702"/>
      <c r="F33" s="300">
        <f t="shared" si="11"/>
        <v>0</v>
      </c>
      <c r="G33" s="694"/>
      <c r="H33" s="695"/>
      <c r="I33" s="1314"/>
      <c r="J33" s="1315">
        <f>IF(K$1&gt;0,ROUNDUP(SUM(PROD!AM$5:AM34)/K$1*K$2,0),0)-SUM(J$4:J32)</f>
        <v>0</v>
      </c>
      <c r="K33" s="1316">
        <f t="shared" si="9"/>
        <v>0</v>
      </c>
      <c r="L33" s="1314"/>
      <c r="M33" s="1315">
        <f>IF(N$1&gt;0,ROUNDUP(SUM(PROD!L$5:L34,-PROD!AM$5:AM34,-PROD!AZ$5:AZ34)/N$1*N$2,0),0)-SUM(M$4:M32)</f>
        <v>0</v>
      </c>
      <c r="N33" s="1316">
        <f t="shared" si="2"/>
        <v>0</v>
      </c>
      <c r="O33" s="1317">
        <f t="shared" si="10"/>
        <v>0</v>
      </c>
      <c r="P33" s="1318"/>
      <c r="Q33" s="1319"/>
      <c r="R33" s="1320">
        <f t="shared" si="3"/>
        <v>0</v>
      </c>
      <c r="S33" s="1316">
        <f t="shared" si="0"/>
        <v>0</v>
      </c>
      <c r="T33" s="712"/>
      <c r="U33" s="713"/>
      <c r="V33" s="714"/>
      <c r="W33" s="398">
        <f t="shared" si="12"/>
        <v>0</v>
      </c>
      <c r="X33" s="712"/>
      <c r="Y33" s="713"/>
      <c r="Z33" s="714"/>
      <c r="AA33" s="398">
        <f t="shared" si="5"/>
        <v>0</v>
      </c>
      <c r="AB33" s="712"/>
      <c r="AC33" s="713"/>
      <c r="AD33" s="714"/>
      <c r="AE33" s="398">
        <f t="shared" si="6"/>
        <v>0</v>
      </c>
      <c r="AF33" s="712"/>
      <c r="AG33" s="713"/>
      <c r="AH33" s="714"/>
      <c r="AI33" s="398">
        <f t="shared" si="7"/>
        <v>0</v>
      </c>
      <c r="AJ33" s="712"/>
      <c r="AK33" s="713"/>
      <c r="AL33" s="714"/>
      <c r="AM33" s="398">
        <f t="shared" si="8"/>
        <v>0</v>
      </c>
    </row>
    <row r="34" spans="1:39" ht="15.75" customHeight="1" x14ac:dyDescent="0.3">
      <c r="A34" s="2161"/>
      <c r="B34" s="1313" t="str">
        <f t="shared" si="1"/>
        <v/>
      </c>
      <c r="C34" s="1011">
        <f>IF($D$2="NO",0,ROUNDDOWN(SUM(PROD!$V$5:V35)/IF(Iniciar!$C$25="kilos",40,1),0)-SUM($C$4:$C33))</f>
        <v>0</v>
      </c>
      <c r="D34" s="702"/>
      <c r="E34" s="702"/>
      <c r="F34" s="300">
        <f t="shared" si="11"/>
        <v>0</v>
      </c>
      <c r="G34" s="694"/>
      <c r="H34" s="695"/>
      <c r="I34" s="1314"/>
      <c r="J34" s="1315">
        <f>IF(K$1&gt;0,ROUNDUP(SUM(PROD!AM$5:AM35)/K$1*K$2,0),0)-SUM(J$4:J33)</f>
        <v>0</v>
      </c>
      <c r="K34" s="1316">
        <f t="shared" si="9"/>
        <v>0</v>
      </c>
      <c r="L34" s="1314"/>
      <c r="M34" s="1315">
        <f>IF(N$1&gt;0,ROUNDUP(SUM(PROD!L$5:L35,-PROD!AM$5:AM35,-PROD!AZ$5:AZ35)/N$1*N$2,0),0)-SUM(M$4:M33)</f>
        <v>0</v>
      </c>
      <c r="N34" s="1316">
        <f t="shared" si="2"/>
        <v>0</v>
      </c>
      <c r="O34" s="1317">
        <f t="shared" si="10"/>
        <v>0</v>
      </c>
      <c r="P34" s="1318"/>
      <c r="Q34" s="1319"/>
      <c r="R34" s="1320">
        <f t="shared" si="3"/>
        <v>0</v>
      </c>
      <c r="S34" s="1316">
        <f t="shared" si="0"/>
        <v>0</v>
      </c>
      <c r="T34" s="712"/>
      <c r="U34" s="713"/>
      <c r="V34" s="714"/>
      <c r="W34" s="398">
        <f t="shared" si="12"/>
        <v>0</v>
      </c>
      <c r="X34" s="712"/>
      <c r="Y34" s="713"/>
      <c r="Z34" s="714"/>
      <c r="AA34" s="398">
        <f t="shared" si="5"/>
        <v>0</v>
      </c>
      <c r="AB34" s="712"/>
      <c r="AC34" s="713"/>
      <c r="AD34" s="714"/>
      <c r="AE34" s="398">
        <f t="shared" si="6"/>
        <v>0</v>
      </c>
      <c r="AF34" s="712"/>
      <c r="AG34" s="713"/>
      <c r="AH34" s="714"/>
      <c r="AI34" s="398">
        <f t="shared" si="7"/>
        <v>0</v>
      </c>
      <c r="AJ34" s="712"/>
      <c r="AK34" s="713"/>
      <c r="AL34" s="714"/>
      <c r="AM34" s="398">
        <f t="shared" si="8"/>
        <v>0</v>
      </c>
    </row>
    <row r="35" spans="1:39" ht="15.75" customHeight="1" x14ac:dyDescent="0.3">
      <c r="A35" s="2161"/>
      <c r="B35" s="1313" t="str">
        <f t="shared" si="1"/>
        <v/>
      </c>
      <c r="C35" s="1011">
        <f>IF($D$2="NO",0,ROUNDDOWN(SUM(PROD!$V$5:V36)/IF(Iniciar!$C$25="kilos",40,1),0)-SUM($C$4:$C34))</f>
        <v>0</v>
      </c>
      <c r="D35" s="702"/>
      <c r="E35" s="702"/>
      <c r="F35" s="300">
        <f t="shared" si="11"/>
        <v>0</v>
      </c>
      <c r="G35" s="694"/>
      <c r="H35" s="695"/>
      <c r="I35" s="1314"/>
      <c r="J35" s="1315">
        <f>IF(K$1&gt;0,ROUNDUP(SUM(PROD!AM$5:AM36)/K$1*K$2,0),0)-SUM(J$4:J34)</f>
        <v>0</v>
      </c>
      <c r="K35" s="1316">
        <f t="shared" si="9"/>
        <v>0</v>
      </c>
      <c r="L35" s="1314"/>
      <c r="M35" s="1315">
        <f>IF(N$1&gt;0,ROUNDUP(SUM(PROD!L$5:L36,-PROD!AM$5:AM36,-PROD!AZ$5:AZ36)/N$1*N$2,0),0)-SUM(M$4:M34)</f>
        <v>0</v>
      </c>
      <c r="N35" s="1316">
        <f t="shared" si="2"/>
        <v>0</v>
      </c>
      <c r="O35" s="1317">
        <f t="shared" si="10"/>
        <v>0</v>
      </c>
      <c r="P35" s="1318"/>
      <c r="Q35" s="1319"/>
      <c r="R35" s="1320">
        <f t="shared" si="3"/>
        <v>0</v>
      </c>
      <c r="S35" s="1316">
        <f t="shared" si="0"/>
        <v>0</v>
      </c>
      <c r="T35" s="712"/>
      <c r="U35" s="713"/>
      <c r="V35" s="714"/>
      <c r="W35" s="398">
        <f t="shared" si="12"/>
        <v>0</v>
      </c>
      <c r="X35" s="712"/>
      <c r="Y35" s="713"/>
      <c r="Z35" s="714"/>
      <c r="AA35" s="398">
        <f t="shared" si="5"/>
        <v>0</v>
      </c>
      <c r="AB35" s="712"/>
      <c r="AC35" s="713"/>
      <c r="AD35" s="714"/>
      <c r="AE35" s="398">
        <f t="shared" si="6"/>
        <v>0</v>
      </c>
      <c r="AF35" s="712"/>
      <c r="AG35" s="713"/>
      <c r="AH35" s="714"/>
      <c r="AI35" s="398">
        <f t="shared" si="7"/>
        <v>0</v>
      </c>
      <c r="AJ35" s="712"/>
      <c r="AK35" s="713"/>
      <c r="AL35" s="714"/>
      <c r="AM35" s="398">
        <f t="shared" si="8"/>
        <v>0</v>
      </c>
    </row>
    <row r="36" spans="1:39" ht="15.75" customHeight="1" x14ac:dyDescent="0.3">
      <c r="A36" s="2161"/>
      <c r="B36" s="1313" t="str">
        <f t="shared" si="1"/>
        <v/>
      </c>
      <c r="C36" s="1011">
        <f>IF($D$2="NO",0,ROUNDDOWN(SUM(PROD!$V$5:V37)/IF(Iniciar!$C$25="kilos",40,1),0)-SUM($C$4:$C35))</f>
        <v>0</v>
      </c>
      <c r="D36" s="702"/>
      <c r="E36" s="702"/>
      <c r="F36" s="300">
        <f t="shared" si="11"/>
        <v>0</v>
      </c>
      <c r="G36" s="694"/>
      <c r="H36" s="695"/>
      <c r="I36" s="1314"/>
      <c r="J36" s="1315">
        <f>IF(K$1&gt;0,ROUNDUP(SUM(PROD!AM$5:AM37)/K$1*K$2,0),0)-SUM(J$4:J35)</f>
        <v>0</v>
      </c>
      <c r="K36" s="1316">
        <f t="shared" si="9"/>
        <v>0</v>
      </c>
      <c r="L36" s="1314"/>
      <c r="M36" s="1315">
        <f>IF(N$1&gt;0,ROUNDUP(SUM(PROD!L$5:L37,-PROD!AM$5:AM37,-PROD!AZ$5:AZ37)/N$1*N$2,0),0)-SUM(M$4:M35)</f>
        <v>0</v>
      </c>
      <c r="N36" s="1316">
        <f t="shared" si="2"/>
        <v>0</v>
      </c>
      <c r="O36" s="1317">
        <f t="shared" si="10"/>
        <v>0</v>
      </c>
      <c r="P36" s="1318"/>
      <c r="Q36" s="1319"/>
      <c r="R36" s="1320">
        <f t="shared" si="3"/>
        <v>0</v>
      </c>
      <c r="S36" s="1316">
        <f t="shared" si="0"/>
        <v>0</v>
      </c>
      <c r="T36" s="712"/>
      <c r="U36" s="713"/>
      <c r="V36" s="714"/>
      <c r="W36" s="398">
        <f t="shared" si="12"/>
        <v>0</v>
      </c>
      <c r="X36" s="712"/>
      <c r="Y36" s="713"/>
      <c r="Z36" s="714"/>
      <c r="AA36" s="398">
        <f t="shared" si="5"/>
        <v>0</v>
      </c>
      <c r="AB36" s="712"/>
      <c r="AC36" s="713"/>
      <c r="AD36" s="714"/>
      <c r="AE36" s="398">
        <f t="shared" si="6"/>
        <v>0</v>
      </c>
      <c r="AF36" s="712"/>
      <c r="AG36" s="713"/>
      <c r="AH36" s="714"/>
      <c r="AI36" s="398">
        <f t="shared" si="7"/>
        <v>0</v>
      </c>
      <c r="AJ36" s="712"/>
      <c r="AK36" s="713"/>
      <c r="AL36" s="714"/>
      <c r="AM36" s="398">
        <f t="shared" si="8"/>
        <v>0</v>
      </c>
    </row>
    <row r="37" spans="1:39" ht="15.75" customHeight="1" x14ac:dyDescent="0.3">
      <c r="A37" s="2161"/>
      <c r="B37" s="1313" t="str">
        <f t="shared" si="1"/>
        <v/>
      </c>
      <c r="C37" s="1011">
        <f>IF($D$2="NO",0,ROUNDDOWN(SUM(PROD!$V$5:V38)/IF(Iniciar!$C$25="kilos",40,1),0)-SUM($C$4:$C36))</f>
        <v>0</v>
      </c>
      <c r="D37" s="702"/>
      <c r="E37" s="702"/>
      <c r="F37" s="300">
        <f t="shared" si="11"/>
        <v>0</v>
      </c>
      <c r="G37" s="694"/>
      <c r="H37" s="695"/>
      <c r="I37" s="1314"/>
      <c r="J37" s="1315">
        <f>IF(K$1&gt;0,ROUNDUP(SUM(PROD!AM$5:AM38)/K$1*K$2,0),0)-SUM(J$4:J36)</f>
        <v>0</v>
      </c>
      <c r="K37" s="1316">
        <f t="shared" si="9"/>
        <v>0</v>
      </c>
      <c r="L37" s="1314"/>
      <c r="M37" s="1315">
        <f>IF(N$1&gt;0,ROUNDUP(SUM(PROD!L$5:L38,-PROD!AM$5:AM38,-PROD!AZ$5:AZ38)/N$1*N$2,0),0)-SUM(M$4:M36)</f>
        <v>0</v>
      </c>
      <c r="N37" s="1316">
        <f t="shared" si="2"/>
        <v>0</v>
      </c>
      <c r="O37" s="1317">
        <f t="shared" si="10"/>
        <v>0</v>
      </c>
      <c r="P37" s="1318"/>
      <c r="Q37" s="1319"/>
      <c r="R37" s="1320">
        <f t="shared" si="3"/>
        <v>0</v>
      </c>
      <c r="S37" s="1316">
        <f t="shared" si="0"/>
        <v>0</v>
      </c>
      <c r="T37" s="712"/>
      <c r="U37" s="713"/>
      <c r="V37" s="714"/>
      <c r="W37" s="398">
        <f t="shared" si="12"/>
        <v>0</v>
      </c>
      <c r="X37" s="712"/>
      <c r="Y37" s="713"/>
      <c r="Z37" s="714"/>
      <c r="AA37" s="398">
        <f t="shared" si="5"/>
        <v>0</v>
      </c>
      <c r="AB37" s="712"/>
      <c r="AC37" s="713"/>
      <c r="AD37" s="714"/>
      <c r="AE37" s="398">
        <f t="shared" si="6"/>
        <v>0</v>
      </c>
      <c r="AF37" s="712"/>
      <c r="AG37" s="713"/>
      <c r="AH37" s="714"/>
      <c r="AI37" s="398">
        <f t="shared" si="7"/>
        <v>0</v>
      </c>
      <c r="AJ37" s="712"/>
      <c r="AK37" s="713"/>
      <c r="AL37" s="714"/>
      <c r="AM37" s="398">
        <f t="shared" si="8"/>
        <v>0</v>
      </c>
    </row>
    <row r="38" spans="1:39" ht="16.5" customHeight="1" x14ac:dyDescent="0.3">
      <c r="A38" s="2162"/>
      <c r="B38" s="1313" t="str">
        <f t="shared" si="1"/>
        <v/>
      </c>
      <c r="C38" s="1011">
        <f>IF($D$2="NO",0,ROUNDDOWN(SUM(PROD!$V$5:V39)/IF(Iniciar!$C$25="kilos",40,1),0)-SUM($C$4:$C37))</f>
        <v>0</v>
      </c>
      <c r="D38" s="702"/>
      <c r="E38" s="702">
        <v>5000</v>
      </c>
      <c r="F38" s="300">
        <f t="shared" si="11"/>
        <v>-5000</v>
      </c>
      <c r="G38" s="694"/>
      <c r="H38" s="695"/>
      <c r="I38" s="1314"/>
      <c r="J38" s="1315">
        <f>IF(K$1&gt;0,ROUNDUP(SUM(PROD!AM$5:AM39)/K$1*K$2,0),0)-SUM(J$4:J37)</f>
        <v>0</v>
      </c>
      <c r="K38" s="1316">
        <f t="shared" si="9"/>
        <v>0</v>
      </c>
      <c r="L38" s="1314"/>
      <c r="M38" s="1315">
        <f>IF(N$1&gt;0,ROUNDUP(SUM(PROD!L$5:L39,-PROD!AM$5:AM39,-PROD!AZ$5:AZ39)/N$1*N$2,0),0)-SUM(M$4:M37)</f>
        <v>0</v>
      </c>
      <c r="N38" s="1316">
        <f t="shared" si="2"/>
        <v>0</v>
      </c>
      <c r="O38" s="1317">
        <f t="shared" si="10"/>
        <v>0</v>
      </c>
      <c r="P38" s="1318"/>
      <c r="Q38" s="1319"/>
      <c r="R38" s="1320">
        <f t="shared" si="3"/>
        <v>0</v>
      </c>
      <c r="S38" s="1316">
        <f t="shared" si="0"/>
        <v>0</v>
      </c>
      <c r="T38" s="712"/>
      <c r="U38" s="713"/>
      <c r="V38" s="714"/>
      <c r="W38" s="398">
        <f t="shared" si="12"/>
        <v>0</v>
      </c>
      <c r="X38" s="712"/>
      <c r="Y38" s="713"/>
      <c r="Z38" s="714"/>
      <c r="AA38" s="398">
        <f t="shared" si="5"/>
        <v>0</v>
      </c>
      <c r="AB38" s="712"/>
      <c r="AC38" s="713"/>
      <c r="AD38" s="714"/>
      <c r="AE38" s="398">
        <f t="shared" si="6"/>
        <v>0</v>
      </c>
      <c r="AF38" s="712"/>
      <c r="AG38" s="713"/>
      <c r="AH38" s="714"/>
      <c r="AI38" s="398">
        <f t="shared" si="7"/>
        <v>0</v>
      </c>
      <c r="AJ38" s="712"/>
      <c r="AK38" s="713"/>
      <c r="AL38" s="714"/>
      <c r="AM38" s="398">
        <f t="shared" si="8"/>
        <v>0</v>
      </c>
    </row>
    <row r="39" spans="1:39" ht="16.5" customHeight="1" x14ac:dyDescent="0.3">
      <c r="A39" s="2160">
        <f>A32+1</f>
        <v>23</v>
      </c>
      <c r="B39" s="1313" t="str">
        <f t="shared" si="1"/>
        <v/>
      </c>
      <c r="C39" s="1011">
        <f>IF($D$2="NO",0,ROUNDDOWN(SUM(PROD!$V$5:V40)/IF(Iniciar!$C$25="kilos",40,1),0)-SUM($C$4:$C38))</f>
        <v>0</v>
      </c>
      <c r="D39" s="702"/>
      <c r="E39" s="702"/>
      <c r="F39" s="300">
        <f t="shared" si="11"/>
        <v>-5000</v>
      </c>
      <c r="G39" s="694"/>
      <c r="H39" s="695"/>
      <c r="I39" s="1314"/>
      <c r="J39" s="1315">
        <f>IF(K$1&gt;0,ROUNDUP(SUM(PROD!AM$5:AM40)/K$1*K$2,0),0)-SUM(J$4:J38)</f>
        <v>0</v>
      </c>
      <c r="K39" s="1316">
        <f t="shared" si="9"/>
        <v>0</v>
      </c>
      <c r="L39" s="1314"/>
      <c r="M39" s="1315">
        <f>IF(N$1&gt;0,ROUNDUP(SUM(PROD!L$5:L40,-PROD!AM$5:AM40,-PROD!AZ$5:AZ40)/N$1*N$2,0),0)-SUM(M$4:M38)</f>
        <v>0</v>
      </c>
      <c r="N39" s="1316">
        <f t="shared" si="2"/>
        <v>0</v>
      </c>
      <c r="O39" s="1317">
        <f t="shared" si="10"/>
        <v>0</v>
      </c>
      <c r="P39" s="1318"/>
      <c r="Q39" s="1319"/>
      <c r="R39" s="1320">
        <f t="shared" si="3"/>
        <v>0</v>
      </c>
      <c r="S39" s="1316">
        <f t="shared" si="0"/>
        <v>0</v>
      </c>
      <c r="T39" s="712"/>
      <c r="U39" s="713"/>
      <c r="V39" s="714"/>
      <c r="W39" s="398">
        <f t="shared" si="12"/>
        <v>0</v>
      </c>
      <c r="X39" s="712"/>
      <c r="Y39" s="713"/>
      <c r="Z39" s="714"/>
      <c r="AA39" s="398">
        <f t="shared" si="5"/>
        <v>0</v>
      </c>
      <c r="AB39" s="712"/>
      <c r="AC39" s="713"/>
      <c r="AD39" s="714"/>
      <c r="AE39" s="398">
        <f t="shared" si="6"/>
        <v>0</v>
      </c>
      <c r="AF39" s="712"/>
      <c r="AG39" s="713"/>
      <c r="AH39" s="714"/>
      <c r="AI39" s="398">
        <f t="shared" si="7"/>
        <v>0</v>
      </c>
      <c r="AJ39" s="712"/>
      <c r="AK39" s="713"/>
      <c r="AL39" s="714"/>
      <c r="AM39" s="398">
        <f t="shared" si="8"/>
        <v>0</v>
      </c>
    </row>
    <row r="40" spans="1:39" ht="15.75" customHeight="1" x14ac:dyDescent="0.3">
      <c r="A40" s="2161"/>
      <c r="B40" s="1313" t="str">
        <f t="shared" si="1"/>
        <v/>
      </c>
      <c r="C40" s="1011">
        <f>IF($D$2="NO",0,ROUNDDOWN(SUM(PROD!$V$5:V41)/IF(Iniciar!$C$25="kilos",40,1),0)-SUM($C$4:$C39))</f>
        <v>0</v>
      </c>
      <c r="D40" s="702"/>
      <c r="E40" s="702"/>
      <c r="F40" s="300">
        <f t="shared" si="11"/>
        <v>-5000</v>
      </c>
      <c r="G40" s="694"/>
      <c r="H40" s="695"/>
      <c r="I40" s="1314"/>
      <c r="J40" s="1315">
        <f>IF(K$1&gt;0,ROUNDUP(SUM(PROD!AM$5:AM41)/K$1*K$2,0),0)-SUM(J$4:J39)</f>
        <v>0</v>
      </c>
      <c r="K40" s="1316">
        <f t="shared" si="9"/>
        <v>0</v>
      </c>
      <c r="L40" s="1314"/>
      <c r="M40" s="1315">
        <f>IF(N$1&gt;0,ROUNDUP(SUM(PROD!L$5:L41,-PROD!AM$5:AM41,-PROD!AZ$5:AZ41)/N$1*N$2,0),0)-SUM(M$4:M39)</f>
        <v>0</v>
      </c>
      <c r="N40" s="1316">
        <f t="shared" si="2"/>
        <v>0</v>
      </c>
      <c r="O40" s="1317">
        <f t="shared" si="10"/>
        <v>0</v>
      </c>
      <c r="P40" s="1318"/>
      <c r="Q40" s="1319"/>
      <c r="R40" s="1320">
        <f t="shared" si="3"/>
        <v>0</v>
      </c>
      <c r="S40" s="1316">
        <f t="shared" si="0"/>
        <v>0</v>
      </c>
      <c r="T40" s="712"/>
      <c r="U40" s="713"/>
      <c r="V40" s="714"/>
      <c r="W40" s="398">
        <f t="shared" si="12"/>
        <v>0</v>
      </c>
      <c r="X40" s="712"/>
      <c r="Y40" s="713"/>
      <c r="Z40" s="714"/>
      <c r="AA40" s="398">
        <f t="shared" si="5"/>
        <v>0</v>
      </c>
      <c r="AB40" s="712"/>
      <c r="AC40" s="713"/>
      <c r="AD40" s="714"/>
      <c r="AE40" s="398">
        <f t="shared" si="6"/>
        <v>0</v>
      </c>
      <c r="AF40" s="712"/>
      <c r="AG40" s="713"/>
      <c r="AH40" s="714"/>
      <c r="AI40" s="398">
        <f t="shared" si="7"/>
        <v>0</v>
      </c>
      <c r="AJ40" s="712"/>
      <c r="AK40" s="713"/>
      <c r="AL40" s="714"/>
      <c r="AM40" s="398">
        <f t="shared" si="8"/>
        <v>0</v>
      </c>
    </row>
    <row r="41" spans="1:39" ht="15.75" customHeight="1" x14ac:dyDescent="0.3">
      <c r="A41" s="2161"/>
      <c r="B41" s="1313" t="str">
        <f t="shared" si="1"/>
        <v/>
      </c>
      <c r="C41" s="1011">
        <f>IF($D$2="NO",0,ROUNDDOWN(SUM(PROD!$V$5:V42)/IF(Iniciar!$C$25="kilos",40,1),0)-SUM($C$4:$C40))</f>
        <v>0</v>
      </c>
      <c r="D41" s="702"/>
      <c r="E41" s="702"/>
      <c r="F41" s="300">
        <f t="shared" si="11"/>
        <v>-5000</v>
      </c>
      <c r="G41" s="694"/>
      <c r="H41" s="695"/>
      <c r="I41" s="1314"/>
      <c r="J41" s="1315">
        <f>IF(K$1&gt;0,ROUNDUP(SUM(PROD!AM$5:AM42)/K$1*K$2,0),0)-SUM(J$4:J40)</f>
        <v>0</v>
      </c>
      <c r="K41" s="1316">
        <f t="shared" si="9"/>
        <v>0</v>
      </c>
      <c r="L41" s="1314"/>
      <c r="M41" s="1315">
        <f>IF(N$1&gt;0,ROUNDUP(SUM(PROD!L$5:L42,-PROD!AM$5:AM42,-PROD!AZ$5:AZ42)/N$1*N$2,0),0)-SUM(M$4:M40)</f>
        <v>0</v>
      </c>
      <c r="N41" s="1316">
        <f t="shared" si="2"/>
        <v>0</v>
      </c>
      <c r="O41" s="1317">
        <f t="shared" si="10"/>
        <v>0</v>
      </c>
      <c r="P41" s="1318"/>
      <c r="Q41" s="1319"/>
      <c r="R41" s="1320">
        <f t="shared" si="3"/>
        <v>0</v>
      </c>
      <c r="S41" s="1316">
        <f t="shared" si="0"/>
        <v>0</v>
      </c>
      <c r="T41" s="712"/>
      <c r="U41" s="713"/>
      <c r="V41" s="714"/>
      <c r="W41" s="398">
        <f t="shared" si="12"/>
        <v>0</v>
      </c>
      <c r="X41" s="712"/>
      <c r="Y41" s="713"/>
      <c r="Z41" s="714"/>
      <c r="AA41" s="398">
        <f t="shared" si="5"/>
        <v>0</v>
      </c>
      <c r="AB41" s="712"/>
      <c r="AC41" s="713"/>
      <c r="AD41" s="714"/>
      <c r="AE41" s="398">
        <f t="shared" si="6"/>
        <v>0</v>
      </c>
      <c r="AF41" s="712"/>
      <c r="AG41" s="713"/>
      <c r="AH41" s="714"/>
      <c r="AI41" s="398">
        <f t="shared" si="7"/>
        <v>0</v>
      </c>
      <c r="AJ41" s="712"/>
      <c r="AK41" s="713"/>
      <c r="AL41" s="714"/>
      <c r="AM41" s="398">
        <f t="shared" si="8"/>
        <v>0</v>
      </c>
    </row>
    <row r="42" spans="1:39" ht="15.75" customHeight="1" x14ac:dyDescent="0.3">
      <c r="A42" s="2161"/>
      <c r="B42" s="1313" t="str">
        <f t="shared" si="1"/>
        <v/>
      </c>
      <c r="C42" s="1011">
        <f>IF($D$2="NO",0,ROUNDDOWN(SUM(PROD!$V$5:V43)/IF(Iniciar!$C$25="kilos",40,1),0)-SUM($C$4:$C41))</f>
        <v>0</v>
      </c>
      <c r="D42" s="702"/>
      <c r="E42" s="702"/>
      <c r="F42" s="300">
        <f t="shared" si="11"/>
        <v>-5000</v>
      </c>
      <c r="G42" s="694"/>
      <c r="H42" s="695"/>
      <c r="I42" s="1314"/>
      <c r="J42" s="1315">
        <f>IF(K$1&gt;0,ROUNDUP(SUM(PROD!AM$5:AM43)/K$1*K$2,0),0)-SUM(J$4:J41)</f>
        <v>0</v>
      </c>
      <c r="K42" s="1316">
        <f t="shared" si="9"/>
        <v>0</v>
      </c>
      <c r="L42" s="1314"/>
      <c r="M42" s="1315">
        <f>IF(N$1&gt;0,ROUNDUP(SUM(PROD!L$5:L43,-PROD!AM$5:AM43,-PROD!AZ$5:AZ43)/N$1*N$2,0),0)-SUM(M$4:M41)</f>
        <v>0</v>
      </c>
      <c r="N42" s="1316">
        <f t="shared" si="2"/>
        <v>0</v>
      </c>
      <c r="O42" s="1317">
        <f t="shared" si="10"/>
        <v>0</v>
      </c>
      <c r="P42" s="1318"/>
      <c r="Q42" s="1319"/>
      <c r="R42" s="1320">
        <f t="shared" si="3"/>
        <v>0</v>
      </c>
      <c r="S42" s="1316">
        <f t="shared" si="0"/>
        <v>0</v>
      </c>
      <c r="T42" s="712"/>
      <c r="U42" s="713"/>
      <c r="V42" s="714"/>
      <c r="W42" s="398">
        <f t="shared" si="12"/>
        <v>0</v>
      </c>
      <c r="X42" s="712"/>
      <c r="Y42" s="713"/>
      <c r="Z42" s="714"/>
      <c r="AA42" s="398">
        <f t="shared" si="5"/>
        <v>0</v>
      </c>
      <c r="AB42" s="712"/>
      <c r="AC42" s="713"/>
      <c r="AD42" s="714"/>
      <c r="AE42" s="398">
        <f t="shared" si="6"/>
        <v>0</v>
      </c>
      <c r="AF42" s="712"/>
      <c r="AG42" s="713"/>
      <c r="AH42" s="714"/>
      <c r="AI42" s="398">
        <f t="shared" si="7"/>
        <v>0</v>
      </c>
      <c r="AJ42" s="712"/>
      <c r="AK42" s="713"/>
      <c r="AL42" s="714"/>
      <c r="AM42" s="398">
        <f t="shared" si="8"/>
        <v>0</v>
      </c>
    </row>
    <row r="43" spans="1:39" ht="15.75" customHeight="1" x14ac:dyDescent="0.3">
      <c r="A43" s="2161"/>
      <c r="B43" s="1313" t="str">
        <f t="shared" si="1"/>
        <v/>
      </c>
      <c r="C43" s="1011">
        <f>IF($D$2="NO",0,ROUNDDOWN(SUM(PROD!$V$5:V44)/IF(Iniciar!$C$25="kilos",40,1),0)-SUM($C$4:$C42))</f>
        <v>0</v>
      </c>
      <c r="D43" s="702"/>
      <c r="E43" s="702"/>
      <c r="F43" s="300">
        <f t="shared" si="11"/>
        <v>-5000</v>
      </c>
      <c r="G43" s="694"/>
      <c r="H43" s="695"/>
      <c r="I43" s="1314"/>
      <c r="J43" s="1315">
        <f>IF(K$1&gt;0,ROUNDUP(SUM(PROD!AM$5:AM44)/K$1*K$2,0),0)-SUM(J$4:J42)</f>
        <v>0</v>
      </c>
      <c r="K43" s="1316">
        <f t="shared" si="9"/>
        <v>0</v>
      </c>
      <c r="L43" s="1314"/>
      <c r="M43" s="1315">
        <f>IF(N$1&gt;0,ROUNDUP(SUM(PROD!L$5:L44,-PROD!AM$5:AM44,-PROD!AZ$5:AZ44)/N$1*N$2,0),0)-SUM(M$4:M42)</f>
        <v>0</v>
      </c>
      <c r="N43" s="1316">
        <f t="shared" si="2"/>
        <v>0</v>
      </c>
      <c r="O43" s="1317">
        <f t="shared" si="10"/>
        <v>0</v>
      </c>
      <c r="P43" s="1318"/>
      <c r="Q43" s="1319"/>
      <c r="R43" s="1320">
        <f t="shared" si="3"/>
        <v>0</v>
      </c>
      <c r="S43" s="1316">
        <f t="shared" si="0"/>
        <v>0</v>
      </c>
      <c r="T43" s="712"/>
      <c r="U43" s="713"/>
      <c r="V43" s="714"/>
      <c r="W43" s="398">
        <f t="shared" si="12"/>
        <v>0</v>
      </c>
      <c r="X43" s="712"/>
      <c r="Y43" s="713"/>
      <c r="Z43" s="714"/>
      <c r="AA43" s="398">
        <f t="shared" si="5"/>
        <v>0</v>
      </c>
      <c r="AB43" s="712"/>
      <c r="AC43" s="713"/>
      <c r="AD43" s="714"/>
      <c r="AE43" s="398">
        <f t="shared" si="6"/>
        <v>0</v>
      </c>
      <c r="AF43" s="712"/>
      <c r="AG43" s="713"/>
      <c r="AH43" s="714"/>
      <c r="AI43" s="398">
        <f t="shared" si="7"/>
        <v>0</v>
      </c>
      <c r="AJ43" s="712"/>
      <c r="AK43" s="713"/>
      <c r="AL43" s="714"/>
      <c r="AM43" s="398">
        <f t="shared" si="8"/>
        <v>0</v>
      </c>
    </row>
    <row r="44" spans="1:39" ht="15.75" customHeight="1" x14ac:dyDescent="0.3">
      <c r="A44" s="2161"/>
      <c r="B44" s="1313" t="str">
        <f t="shared" si="1"/>
        <v/>
      </c>
      <c r="C44" s="1011">
        <f>IF($D$2="NO",0,ROUNDDOWN(SUM(PROD!$V$5:V45)/IF(Iniciar!$C$25="kilos",40,1),0)-SUM($C$4:$C43))</f>
        <v>0</v>
      </c>
      <c r="D44" s="702"/>
      <c r="E44" s="702"/>
      <c r="F44" s="300">
        <f t="shared" si="11"/>
        <v>-5000</v>
      </c>
      <c r="G44" s="694"/>
      <c r="H44" s="695"/>
      <c r="I44" s="1314"/>
      <c r="J44" s="1315">
        <f>IF(K$1&gt;0,ROUNDUP(SUM(PROD!AM$5:AM45)/K$1*K$2,0),0)-SUM(J$4:J43)</f>
        <v>0</v>
      </c>
      <c r="K44" s="1316">
        <f t="shared" si="9"/>
        <v>0</v>
      </c>
      <c r="L44" s="1314"/>
      <c r="M44" s="1315">
        <f>IF(N$1&gt;0,ROUNDUP(SUM(PROD!L$5:L45,-PROD!AM$5:AM45,-PROD!AZ$5:AZ45)/N$1*N$2,0),0)-SUM(M$4:M43)</f>
        <v>0</v>
      </c>
      <c r="N44" s="1316">
        <f t="shared" si="2"/>
        <v>0</v>
      </c>
      <c r="O44" s="1317">
        <f t="shared" si="10"/>
        <v>0</v>
      </c>
      <c r="P44" s="1318"/>
      <c r="Q44" s="1319"/>
      <c r="R44" s="1320">
        <f t="shared" si="3"/>
        <v>0</v>
      </c>
      <c r="S44" s="1316">
        <f t="shared" si="0"/>
        <v>0</v>
      </c>
      <c r="T44" s="712"/>
      <c r="U44" s="713"/>
      <c r="V44" s="714"/>
      <c r="W44" s="398">
        <f t="shared" si="12"/>
        <v>0</v>
      </c>
      <c r="X44" s="712"/>
      <c r="Y44" s="713"/>
      <c r="Z44" s="714"/>
      <c r="AA44" s="398">
        <f t="shared" si="5"/>
        <v>0</v>
      </c>
      <c r="AB44" s="712"/>
      <c r="AC44" s="713"/>
      <c r="AD44" s="714"/>
      <c r="AE44" s="398">
        <f t="shared" si="6"/>
        <v>0</v>
      </c>
      <c r="AF44" s="712"/>
      <c r="AG44" s="713"/>
      <c r="AH44" s="714"/>
      <c r="AI44" s="398">
        <f t="shared" si="7"/>
        <v>0</v>
      </c>
      <c r="AJ44" s="712"/>
      <c r="AK44" s="713"/>
      <c r="AL44" s="714"/>
      <c r="AM44" s="398">
        <f t="shared" si="8"/>
        <v>0</v>
      </c>
    </row>
    <row r="45" spans="1:39" ht="16.5" customHeight="1" x14ac:dyDescent="0.3">
      <c r="A45" s="2162"/>
      <c r="B45" s="1313" t="str">
        <f t="shared" si="1"/>
        <v/>
      </c>
      <c r="C45" s="1011">
        <f>IF($D$2="NO",0,ROUNDDOWN(SUM(PROD!$V$5:V46)/IF(Iniciar!$C$25="kilos",40,1),0)-SUM($C$4:$C44))</f>
        <v>0</v>
      </c>
      <c r="D45" s="702"/>
      <c r="E45" s="702"/>
      <c r="F45" s="300">
        <f t="shared" si="11"/>
        <v>-5000</v>
      </c>
      <c r="G45" s="694"/>
      <c r="H45" s="695"/>
      <c r="I45" s="1314"/>
      <c r="J45" s="1315">
        <f>IF(K$1&gt;0,ROUNDUP(SUM(PROD!AM$5:AM46)/K$1*K$2,0),0)-SUM(J$4:J44)</f>
        <v>0</v>
      </c>
      <c r="K45" s="1316">
        <f t="shared" si="9"/>
        <v>0</v>
      </c>
      <c r="L45" s="1314"/>
      <c r="M45" s="1315">
        <f>IF(N$1&gt;0,ROUNDUP(SUM(PROD!L$5:L46,-PROD!AM$5:AM46,-PROD!AZ$5:AZ46)/N$1*N$2,0),0)-SUM(M$4:M44)</f>
        <v>0</v>
      </c>
      <c r="N45" s="1316">
        <f t="shared" si="2"/>
        <v>0</v>
      </c>
      <c r="O45" s="1317">
        <f t="shared" si="10"/>
        <v>0</v>
      </c>
      <c r="P45" s="1318"/>
      <c r="Q45" s="1319"/>
      <c r="R45" s="1320">
        <f t="shared" si="3"/>
        <v>0</v>
      </c>
      <c r="S45" s="1316">
        <f t="shared" si="0"/>
        <v>0</v>
      </c>
      <c r="T45" s="712"/>
      <c r="U45" s="713"/>
      <c r="V45" s="714"/>
      <c r="W45" s="398">
        <f t="shared" si="12"/>
        <v>0</v>
      </c>
      <c r="X45" s="712"/>
      <c r="Y45" s="713"/>
      <c r="Z45" s="714"/>
      <c r="AA45" s="398">
        <f t="shared" si="5"/>
        <v>0</v>
      </c>
      <c r="AB45" s="712"/>
      <c r="AC45" s="713"/>
      <c r="AD45" s="714"/>
      <c r="AE45" s="398">
        <f t="shared" si="6"/>
        <v>0</v>
      </c>
      <c r="AF45" s="712"/>
      <c r="AG45" s="713"/>
      <c r="AH45" s="714"/>
      <c r="AI45" s="398">
        <f t="shared" si="7"/>
        <v>0</v>
      </c>
      <c r="AJ45" s="712"/>
      <c r="AK45" s="713"/>
      <c r="AL45" s="714"/>
      <c r="AM45" s="398">
        <f t="shared" si="8"/>
        <v>0</v>
      </c>
    </row>
    <row r="46" spans="1:39" ht="16.5" customHeight="1" x14ac:dyDescent="0.3">
      <c r="A46" s="2160">
        <f>A39+1</f>
        <v>24</v>
      </c>
      <c r="B46" s="1313" t="str">
        <f t="shared" si="1"/>
        <v/>
      </c>
      <c r="C46" s="1011">
        <f>IF($D$2="NO",0,ROUNDDOWN(SUM(PROD!$V$5:V47)/IF(Iniciar!$C$25="kilos",40,1),0)-SUM($C$4:$C45))</f>
        <v>0</v>
      </c>
      <c r="D46" s="702"/>
      <c r="E46" s="702"/>
      <c r="F46" s="300">
        <f t="shared" si="11"/>
        <v>-5000</v>
      </c>
      <c r="G46" s="694"/>
      <c r="H46" s="695"/>
      <c r="I46" s="1314"/>
      <c r="J46" s="1315">
        <f>IF(K$1&gt;0,ROUNDUP(SUM(PROD!AM$5:AM47)/K$1*K$2,0),0)-SUM(J$4:J45)</f>
        <v>0</v>
      </c>
      <c r="K46" s="1316">
        <f t="shared" si="9"/>
        <v>0</v>
      </c>
      <c r="L46" s="1314"/>
      <c r="M46" s="1315">
        <f>IF(N$1&gt;0,ROUNDUP(SUM(PROD!L$5:L47,-PROD!AM$5:AM47,-PROD!AZ$5:AZ47)/N$1*N$2,0),0)-SUM(M$4:M45)</f>
        <v>0</v>
      </c>
      <c r="N46" s="1316">
        <f t="shared" si="2"/>
        <v>0</v>
      </c>
      <c r="O46" s="1317">
        <f t="shared" si="10"/>
        <v>0</v>
      </c>
      <c r="P46" s="1318"/>
      <c r="Q46" s="1319"/>
      <c r="R46" s="1320">
        <f t="shared" si="3"/>
        <v>0</v>
      </c>
      <c r="S46" s="1316">
        <f t="shared" si="0"/>
        <v>0</v>
      </c>
      <c r="T46" s="712"/>
      <c r="U46" s="713"/>
      <c r="V46" s="714"/>
      <c r="W46" s="398">
        <f t="shared" si="12"/>
        <v>0</v>
      </c>
      <c r="X46" s="712"/>
      <c r="Y46" s="713"/>
      <c r="Z46" s="714"/>
      <c r="AA46" s="398">
        <f t="shared" si="5"/>
        <v>0</v>
      </c>
      <c r="AB46" s="712"/>
      <c r="AC46" s="713"/>
      <c r="AD46" s="714"/>
      <c r="AE46" s="398">
        <f t="shared" si="6"/>
        <v>0</v>
      </c>
      <c r="AF46" s="712"/>
      <c r="AG46" s="713"/>
      <c r="AH46" s="714"/>
      <c r="AI46" s="398">
        <f t="shared" si="7"/>
        <v>0</v>
      </c>
      <c r="AJ46" s="712"/>
      <c r="AK46" s="713"/>
      <c r="AL46" s="714"/>
      <c r="AM46" s="398">
        <f t="shared" si="8"/>
        <v>0</v>
      </c>
    </row>
    <row r="47" spans="1:39" ht="15.75" customHeight="1" x14ac:dyDescent="0.3">
      <c r="A47" s="2161"/>
      <c r="B47" s="1313" t="str">
        <f t="shared" si="1"/>
        <v/>
      </c>
      <c r="C47" s="1011">
        <f>IF($D$2="NO",0,ROUNDDOWN(SUM(PROD!$V$5:V48)/IF(Iniciar!$C$25="kilos",40,1),0)-SUM($C$4:$C46))</f>
        <v>0</v>
      </c>
      <c r="D47" s="702"/>
      <c r="E47" s="702"/>
      <c r="F47" s="300">
        <f t="shared" si="11"/>
        <v>-5000</v>
      </c>
      <c r="G47" s="694"/>
      <c r="H47" s="695"/>
      <c r="I47" s="1314"/>
      <c r="J47" s="1315">
        <f>IF(K$1&gt;0,ROUNDUP(SUM(PROD!AM$5:AM48)/K$1*K$2,0),0)-SUM(J$4:J46)</f>
        <v>0</v>
      </c>
      <c r="K47" s="1316">
        <f t="shared" si="9"/>
        <v>0</v>
      </c>
      <c r="L47" s="1314"/>
      <c r="M47" s="1315">
        <f>IF(N$1&gt;0,ROUNDUP(SUM(PROD!L$5:L48,-PROD!AM$5:AM48,-PROD!AZ$5:AZ48)/N$1*N$2,0),0)-SUM(M$4:M46)</f>
        <v>0</v>
      </c>
      <c r="N47" s="1316">
        <f t="shared" si="2"/>
        <v>0</v>
      </c>
      <c r="O47" s="1317">
        <f t="shared" si="10"/>
        <v>0</v>
      </c>
      <c r="P47" s="1318"/>
      <c r="Q47" s="1319"/>
      <c r="R47" s="1320">
        <f t="shared" si="3"/>
        <v>0</v>
      </c>
      <c r="S47" s="1316">
        <f t="shared" si="0"/>
        <v>0</v>
      </c>
      <c r="T47" s="712"/>
      <c r="U47" s="713"/>
      <c r="V47" s="714"/>
      <c r="W47" s="398">
        <f t="shared" si="12"/>
        <v>0</v>
      </c>
      <c r="X47" s="712"/>
      <c r="Y47" s="713"/>
      <c r="Z47" s="714"/>
      <c r="AA47" s="398">
        <f t="shared" si="5"/>
        <v>0</v>
      </c>
      <c r="AB47" s="712"/>
      <c r="AC47" s="713"/>
      <c r="AD47" s="714"/>
      <c r="AE47" s="398">
        <f t="shared" si="6"/>
        <v>0</v>
      </c>
      <c r="AF47" s="712"/>
      <c r="AG47" s="713"/>
      <c r="AH47" s="714"/>
      <c r="AI47" s="398">
        <f t="shared" si="7"/>
        <v>0</v>
      </c>
      <c r="AJ47" s="712"/>
      <c r="AK47" s="713"/>
      <c r="AL47" s="714"/>
      <c r="AM47" s="398">
        <f t="shared" si="8"/>
        <v>0</v>
      </c>
    </row>
    <row r="48" spans="1:39" ht="15.75" customHeight="1" x14ac:dyDescent="0.3">
      <c r="A48" s="2161"/>
      <c r="B48" s="1313" t="str">
        <f t="shared" si="1"/>
        <v/>
      </c>
      <c r="C48" s="1011">
        <f>IF($D$2="NO",0,ROUNDDOWN(SUM(PROD!$V$5:V49)/IF(Iniciar!$C$25="kilos",40,1),0)-SUM($C$4:$C47))</f>
        <v>0</v>
      </c>
      <c r="D48" s="702"/>
      <c r="E48" s="702"/>
      <c r="F48" s="300">
        <f t="shared" si="11"/>
        <v>-5000</v>
      </c>
      <c r="G48" s="694"/>
      <c r="H48" s="695"/>
      <c r="I48" s="1314"/>
      <c r="J48" s="1315">
        <f>IF(K$1&gt;0,ROUNDUP(SUM(PROD!AM$5:AM49)/K$1*K$2,0),0)-SUM(J$4:J47)</f>
        <v>0</v>
      </c>
      <c r="K48" s="1316">
        <f t="shared" si="9"/>
        <v>0</v>
      </c>
      <c r="L48" s="1314"/>
      <c r="M48" s="1315">
        <f>IF(N$1&gt;0,ROUNDUP(SUM(PROD!L$5:L49,-PROD!AM$5:AM49,-PROD!AZ$5:AZ49)/N$1*N$2,0),0)-SUM(M$4:M47)</f>
        <v>0</v>
      </c>
      <c r="N48" s="1316">
        <f t="shared" si="2"/>
        <v>0</v>
      </c>
      <c r="O48" s="1317">
        <f t="shared" si="10"/>
        <v>0</v>
      </c>
      <c r="P48" s="1318"/>
      <c r="Q48" s="1319"/>
      <c r="R48" s="1320">
        <f t="shared" si="3"/>
        <v>0</v>
      </c>
      <c r="S48" s="1316">
        <f t="shared" si="0"/>
        <v>0</v>
      </c>
      <c r="T48" s="712"/>
      <c r="U48" s="713"/>
      <c r="V48" s="714"/>
      <c r="W48" s="398">
        <f t="shared" si="12"/>
        <v>0</v>
      </c>
      <c r="X48" s="712"/>
      <c r="Y48" s="713"/>
      <c r="Z48" s="714"/>
      <c r="AA48" s="398">
        <f t="shared" si="5"/>
        <v>0</v>
      </c>
      <c r="AB48" s="712"/>
      <c r="AC48" s="713"/>
      <c r="AD48" s="714"/>
      <c r="AE48" s="398">
        <f t="shared" si="6"/>
        <v>0</v>
      </c>
      <c r="AF48" s="712"/>
      <c r="AG48" s="713"/>
      <c r="AH48" s="714"/>
      <c r="AI48" s="398">
        <f t="shared" si="7"/>
        <v>0</v>
      </c>
      <c r="AJ48" s="712"/>
      <c r="AK48" s="713"/>
      <c r="AL48" s="714"/>
      <c r="AM48" s="398">
        <f t="shared" si="8"/>
        <v>0</v>
      </c>
    </row>
    <row r="49" spans="1:39" ht="15.75" customHeight="1" x14ac:dyDescent="0.3">
      <c r="A49" s="2161"/>
      <c r="B49" s="1313" t="str">
        <f t="shared" si="1"/>
        <v/>
      </c>
      <c r="C49" s="1011">
        <f>IF($D$2="NO",0,ROUNDDOWN(SUM(PROD!$V$5:V50)/IF(Iniciar!$C$25="kilos",40,1),0)-SUM($C$4:$C48))</f>
        <v>0</v>
      </c>
      <c r="D49" s="702"/>
      <c r="E49" s="702"/>
      <c r="F49" s="300">
        <f t="shared" si="11"/>
        <v>-5000</v>
      </c>
      <c r="G49" s="694"/>
      <c r="H49" s="695"/>
      <c r="I49" s="1314"/>
      <c r="J49" s="1315">
        <f>IF(K$1&gt;0,ROUNDUP(SUM(PROD!AM$5:AM50)/K$1*K$2,0),0)-SUM(J$4:J48)</f>
        <v>0</v>
      </c>
      <c r="K49" s="1316">
        <f t="shared" si="9"/>
        <v>0</v>
      </c>
      <c r="L49" s="1314"/>
      <c r="M49" s="1315">
        <f>IF(N$1&gt;0,ROUNDUP(SUM(PROD!L$5:L50,-PROD!AM$5:AM50,-PROD!AZ$5:AZ50)/N$1*N$2,0),0)-SUM(M$4:M48)</f>
        <v>0</v>
      </c>
      <c r="N49" s="1316">
        <f t="shared" si="2"/>
        <v>0</v>
      </c>
      <c r="O49" s="1317">
        <f t="shared" si="10"/>
        <v>0</v>
      </c>
      <c r="P49" s="1318"/>
      <c r="Q49" s="1319"/>
      <c r="R49" s="1320">
        <f t="shared" si="3"/>
        <v>0</v>
      </c>
      <c r="S49" s="1316">
        <f t="shared" si="0"/>
        <v>0</v>
      </c>
      <c r="T49" s="712"/>
      <c r="U49" s="713"/>
      <c r="V49" s="714"/>
      <c r="W49" s="398">
        <f t="shared" si="12"/>
        <v>0</v>
      </c>
      <c r="X49" s="712"/>
      <c r="Y49" s="713"/>
      <c r="Z49" s="714"/>
      <c r="AA49" s="398">
        <f t="shared" si="5"/>
        <v>0</v>
      </c>
      <c r="AB49" s="712"/>
      <c r="AC49" s="713"/>
      <c r="AD49" s="714"/>
      <c r="AE49" s="398">
        <f t="shared" si="6"/>
        <v>0</v>
      </c>
      <c r="AF49" s="712"/>
      <c r="AG49" s="713"/>
      <c r="AH49" s="714"/>
      <c r="AI49" s="398">
        <f t="shared" si="7"/>
        <v>0</v>
      </c>
      <c r="AJ49" s="712"/>
      <c r="AK49" s="713"/>
      <c r="AL49" s="714"/>
      <c r="AM49" s="398">
        <f t="shared" si="8"/>
        <v>0</v>
      </c>
    </row>
    <row r="50" spans="1:39" ht="15.75" customHeight="1" x14ac:dyDescent="0.3">
      <c r="A50" s="2161"/>
      <c r="B50" s="1313" t="str">
        <f t="shared" si="1"/>
        <v/>
      </c>
      <c r="C50" s="1011">
        <f>IF($D$2="NO",0,ROUNDDOWN(SUM(PROD!$V$5:V51)/IF(Iniciar!$C$25="kilos",40,1),0)-SUM($C$4:$C49))</f>
        <v>0</v>
      </c>
      <c r="D50" s="702"/>
      <c r="E50" s="702"/>
      <c r="F50" s="300">
        <f t="shared" si="11"/>
        <v>-5000</v>
      </c>
      <c r="G50" s="694"/>
      <c r="H50" s="695"/>
      <c r="I50" s="1314"/>
      <c r="J50" s="1315">
        <f>IF(K$1&gt;0,ROUNDUP(SUM(PROD!AM$5:AM51)/K$1*K$2,0),0)-SUM(J$4:J49)</f>
        <v>0</v>
      </c>
      <c r="K50" s="1316">
        <f t="shared" si="9"/>
        <v>0</v>
      </c>
      <c r="L50" s="1314"/>
      <c r="M50" s="1315">
        <f>IF(N$1&gt;0,ROUNDUP(SUM(PROD!L$5:L51,-PROD!AM$5:AM51,-PROD!AZ$5:AZ51)/N$1*N$2,0),0)-SUM(M$4:M49)</f>
        <v>0</v>
      </c>
      <c r="N50" s="1316">
        <f t="shared" si="2"/>
        <v>0</v>
      </c>
      <c r="O50" s="1317">
        <f t="shared" si="10"/>
        <v>0</v>
      </c>
      <c r="P50" s="1318"/>
      <c r="Q50" s="1319"/>
      <c r="R50" s="1320">
        <f t="shared" si="3"/>
        <v>0</v>
      </c>
      <c r="S50" s="1316">
        <f t="shared" si="0"/>
        <v>0</v>
      </c>
      <c r="T50" s="712"/>
      <c r="U50" s="713"/>
      <c r="V50" s="714"/>
      <c r="W50" s="398">
        <f t="shared" si="12"/>
        <v>0</v>
      </c>
      <c r="X50" s="712"/>
      <c r="Y50" s="713"/>
      <c r="Z50" s="714"/>
      <c r="AA50" s="398">
        <f t="shared" si="5"/>
        <v>0</v>
      </c>
      <c r="AB50" s="712"/>
      <c r="AC50" s="713"/>
      <c r="AD50" s="714"/>
      <c r="AE50" s="398">
        <f t="shared" si="6"/>
        <v>0</v>
      </c>
      <c r="AF50" s="712"/>
      <c r="AG50" s="713"/>
      <c r="AH50" s="714"/>
      <c r="AI50" s="398">
        <f t="shared" si="7"/>
        <v>0</v>
      </c>
      <c r="AJ50" s="712"/>
      <c r="AK50" s="713"/>
      <c r="AL50" s="714"/>
      <c r="AM50" s="398">
        <f t="shared" si="8"/>
        <v>0</v>
      </c>
    </row>
    <row r="51" spans="1:39" ht="15.75" customHeight="1" x14ac:dyDescent="0.3">
      <c r="A51" s="2161"/>
      <c r="B51" s="1313" t="str">
        <f t="shared" si="1"/>
        <v/>
      </c>
      <c r="C51" s="1011">
        <f>IF($D$2="NO",0,ROUNDDOWN(SUM(PROD!$V$5:V52)/IF(Iniciar!$C$25="kilos",40,1),0)-SUM($C$4:$C50))</f>
        <v>0</v>
      </c>
      <c r="D51" s="702"/>
      <c r="E51" s="702"/>
      <c r="F51" s="300">
        <f t="shared" si="11"/>
        <v>-5000</v>
      </c>
      <c r="G51" s="694"/>
      <c r="H51" s="695"/>
      <c r="I51" s="1314"/>
      <c r="J51" s="1315">
        <f>IF(K$1&gt;0,ROUNDUP(SUM(PROD!AM$5:AM52)/K$1*K$2,0),0)-SUM(J$4:J50)</f>
        <v>0</v>
      </c>
      <c r="K51" s="1316">
        <f t="shared" si="9"/>
        <v>0</v>
      </c>
      <c r="L51" s="1314"/>
      <c r="M51" s="1315">
        <f>IF(N$1&gt;0,ROUNDUP(SUM(PROD!L$5:L52,-PROD!AM$5:AM52,-PROD!AZ$5:AZ52)/N$1*N$2,0),0)-SUM(M$4:M50)</f>
        <v>0</v>
      </c>
      <c r="N51" s="1316">
        <f t="shared" si="2"/>
        <v>0</v>
      </c>
      <c r="O51" s="1317">
        <f t="shared" si="10"/>
        <v>0</v>
      </c>
      <c r="P51" s="1318"/>
      <c r="Q51" s="1319"/>
      <c r="R51" s="1320">
        <f t="shared" si="3"/>
        <v>0</v>
      </c>
      <c r="S51" s="1316">
        <f t="shared" si="0"/>
        <v>0</v>
      </c>
      <c r="T51" s="712"/>
      <c r="U51" s="713"/>
      <c r="V51" s="714"/>
      <c r="W51" s="398">
        <f t="shared" si="12"/>
        <v>0</v>
      </c>
      <c r="X51" s="712"/>
      <c r="Y51" s="713"/>
      <c r="Z51" s="714"/>
      <c r="AA51" s="398">
        <f t="shared" si="5"/>
        <v>0</v>
      </c>
      <c r="AB51" s="712"/>
      <c r="AC51" s="713"/>
      <c r="AD51" s="714"/>
      <c r="AE51" s="398">
        <f t="shared" si="6"/>
        <v>0</v>
      </c>
      <c r="AF51" s="712"/>
      <c r="AG51" s="713"/>
      <c r="AH51" s="714"/>
      <c r="AI51" s="398">
        <f t="shared" si="7"/>
        <v>0</v>
      </c>
      <c r="AJ51" s="712"/>
      <c r="AK51" s="713"/>
      <c r="AL51" s="714"/>
      <c r="AM51" s="398">
        <f t="shared" si="8"/>
        <v>0</v>
      </c>
    </row>
    <row r="52" spans="1:39" ht="16.5" customHeight="1" x14ac:dyDescent="0.3">
      <c r="A52" s="2162"/>
      <c r="B52" s="1313" t="str">
        <f t="shared" si="1"/>
        <v/>
      </c>
      <c r="C52" s="1011">
        <f>IF($D$2="NO",0,ROUNDDOWN(SUM(PROD!$V$5:V53)/IF(Iniciar!$C$25="kilos",40,1),0)-SUM($C$4:$C51))</f>
        <v>0</v>
      </c>
      <c r="D52" s="702"/>
      <c r="E52" s="702"/>
      <c r="F52" s="300">
        <f t="shared" si="11"/>
        <v>-5000</v>
      </c>
      <c r="G52" s="694"/>
      <c r="H52" s="695"/>
      <c r="I52" s="1314"/>
      <c r="J52" s="1315">
        <f>IF(K$1&gt;0,ROUNDUP(SUM(PROD!AM$5:AM53)/K$1*K$2,0),0)-SUM(J$4:J51)</f>
        <v>0</v>
      </c>
      <c r="K52" s="1316">
        <f t="shared" si="9"/>
        <v>0</v>
      </c>
      <c r="L52" s="1314"/>
      <c r="M52" s="1315">
        <f>IF(N$1&gt;0,ROUNDUP(SUM(PROD!L$5:L53,-PROD!AM$5:AM53,-PROD!AZ$5:AZ53)/N$1*N$2,0),0)-SUM(M$4:M51)</f>
        <v>0</v>
      </c>
      <c r="N52" s="1316">
        <f t="shared" si="2"/>
        <v>0</v>
      </c>
      <c r="O52" s="1317">
        <f t="shared" si="10"/>
        <v>0</v>
      </c>
      <c r="P52" s="1318"/>
      <c r="Q52" s="1319"/>
      <c r="R52" s="1320">
        <f t="shared" si="3"/>
        <v>0</v>
      </c>
      <c r="S52" s="1316">
        <f t="shared" si="0"/>
        <v>0</v>
      </c>
      <c r="T52" s="712"/>
      <c r="U52" s="713"/>
      <c r="V52" s="714"/>
      <c r="W52" s="398">
        <f t="shared" si="12"/>
        <v>0</v>
      </c>
      <c r="X52" s="712"/>
      <c r="Y52" s="713"/>
      <c r="Z52" s="714"/>
      <c r="AA52" s="398">
        <f t="shared" si="5"/>
        <v>0</v>
      </c>
      <c r="AB52" s="712"/>
      <c r="AC52" s="713"/>
      <c r="AD52" s="714"/>
      <c r="AE52" s="398">
        <f t="shared" si="6"/>
        <v>0</v>
      </c>
      <c r="AF52" s="712"/>
      <c r="AG52" s="713"/>
      <c r="AH52" s="714"/>
      <c r="AI52" s="398">
        <f t="shared" si="7"/>
        <v>0</v>
      </c>
      <c r="AJ52" s="712"/>
      <c r="AK52" s="713"/>
      <c r="AL52" s="714"/>
      <c r="AM52" s="398">
        <f t="shared" si="8"/>
        <v>0</v>
      </c>
    </row>
    <row r="53" spans="1:39" ht="16.5" customHeight="1" x14ac:dyDescent="0.3">
      <c r="A53" s="2160">
        <f>A46+1</f>
        <v>25</v>
      </c>
      <c r="B53" s="1313" t="str">
        <f t="shared" si="1"/>
        <v/>
      </c>
      <c r="C53" s="1011">
        <f>IF($D$2="NO",0,ROUNDDOWN(SUM(PROD!$V$5:V54)/IF(Iniciar!$C$25="kilos",40,1),0)-SUM($C$4:$C52))</f>
        <v>0</v>
      </c>
      <c r="D53" s="702"/>
      <c r="E53" s="702"/>
      <c r="F53" s="300">
        <f t="shared" si="11"/>
        <v>-5000</v>
      </c>
      <c r="G53" s="694"/>
      <c r="H53" s="695"/>
      <c r="I53" s="1314"/>
      <c r="J53" s="1315">
        <f>IF(K$1&gt;0,ROUNDUP(SUM(PROD!AM$5:AM54)/K$1*K$2,0),0)-SUM(J$4:J52)</f>
        <v>0</v>
      </c>
      <c r="K53" s="1316">
        <f t="shared" si="9"/>
        <v>0</v>
      </c>
      <c r="L53" s="1314"/>
      <c r="M53" s="1315">
        <f>IF(N$1&gt;0,ROUNDUP(SUM(PROD!L$5:L54,-PROD!AM$5:AM54,-PROD!AZ$5:AZ54)/N$1*N$2,0),0)-SUM(M$4:M52)</f>
        <v>0</v>
      </c>
      <c r="N53" s="1316">
        <f t="shared" si="2"/>
        <v>0</v>
      </c>
      <c r="O53" s="1317">
        <f t="shared" si="10"/>
        <v>0</v>
      </c>
      <c r="P53" s="1318"/>
      <c r="Q53" s="1319"/>
      <c r="R53" s="1320">
        <f t="shared" si="3"/>
        <v>0</v>
      </c>
      <c r="S53" s="1316">
        <f t="shared" si="0"/>
        <v>0</v>
      </c>
      <c r="T53" s="712"/>
      <c r="U53" s="713"/>
      <c r="V53" s="714"/>
      <c r="W53" s="398">
        <f t="shared" si="12"/>
        <v>0</v>
      </c>
      <c r="X53" s="712"/>
      <c r="Y53" s="713"/>
      <c r="Z53" s="714"/>
      <c r="AA53" s="398">
        <f t="shared" si="5"/>
        <v>0</v>
      </c>
      <c r="AB53" s="712"/>
      <c r="AC53" s="713"/>
      <c r="AD53" s="714"/>
      <c r="AE53" s="398">
        <f t="shared" si="6"/>
        <v>0</v>
      </c>
      <c r="AF53" s="712"/>
      <c r="AG53" s="713"/>
      <c r="AH53" s="714"/>
      <c r="AI53" s="398">
        <f t="shared" si="7"/>
        <v>0</v>
      </c>
      <c r="AJ53" s="712"/>
      <c r="AK53" s="713"/>
      <c r="AL53" s="714"/>
      <c r="AM53" s="398">
        <f t="shared" si="8"/>
        <v>0</v>
      </c>
    </row>
    <row r="54" spans="1:39" ht="15.75" customHeight="1" x14ac:dyDescent="0.3">
      <c r="A54" s="2161"/>
      <c r="B54" s="1313" t="str">
        <f t="shared" si="1"/>
        <v/>
      </c>
      <c r="C54" s="1011">
        <f>IF($D$2="NO",0,ROUNDDOWN(SUM(PROD!$V$5:V55)/IF(Iniciar!$C$25="kilos",40,1),0)-SUM($C$4:$C53))</f>
        <v>0</v>
      </c>
      <c r="D54" s="702"/>
      <c r="E54" s="702"/>
      <c r="F54" s="300">
        <f t="shared" si="11"/>
        <v>-5000</v>
      </c>
      <c r="G54" s="694"/>
      <c r="H54" s="695"/>
      <c r="I54" s="1314"/>
      <c r="J54" s="1315">
        <f>IF(K$1&gt;0,ROUNDUP(SUM(PROD!AM$5:AM55)/K$1*K$2,0),0)-SUM(J$4:J53)</f>
        <v>0</v>
      </c>
      <c r="K54" s="1316">
        <f t="shared" si="9"/>
        <v>0</v>
      </c>
      <c r="L54" s="1314"/>
      <c r="M54" s="1315">
        <f>IF(N$1&gt;0,ROUNDUP(SUM(PROD!L$5:L55,-PROD!AM$5:AM55,-PROD!AZ$5:AZ55)/N$1*N$2,0),0)-SUM(M$4:M53)</f>
        <v>0</v>
      </c>
      <c r="N54" s="1316">
        <f t="shared" si="2"/>
        <v>0</v>
      </c>
      <c r="O54" s="1317">
        <f t="shared" si="10"/>
        <v>0</v>
      </c>
      <c r="P54" s="1318"/>
      <c r="Q54" s="1319"/>
      <c r="R54" s="1320">
        <f t="shared" si="3"/>
        <v>0</v>
      </c>
      <c r="S54" s="1316">
        <f t="shared" si="0"/>
        <v>0</v>
      </c>
      <c r="T54" s="712"/>
      <c r="U54" s="713"/>
      <c r="V54" s="714"/>
      <c r="W54" s="398">
        <f t="shared" si="12"/>
        <v>0</v>
      </c>
      <c r="X54" s="712"/>
      <c r="Y54" s="713"/>
      <c r="Z54" s="714"/>
      <c r="AA54" s="398">
        <f t="shared" si="5"/>
        <v>0</v>
      </c>
      <c r="AB54" s="712"/>
      <c r="AC54" s="713"/>
      <c r="AD54" s="714"/>
      <c r="AE54" s="398">
        <f t="shared" si="6"/>
        <v>0</v>
      </c>
      <c r="AF54" s="712"/>
      <c r="AG54" s="713"/>
      <c r="AH54" s="714"/>
      <c r="AI54" s="398">
        <f t="shared" si="7"/>
        <v>0</v>
      </c>
      <c r="AJ54" s="712"/>
      <c r="AK54" s="713"/>
      <c r="AL54" s="714"/>
      <c r="AM54" s="398">
        <f t="shared" si="8"/>
        <v>0</v>
      </c>
    </row>
    <row r="55" spans="1:39" ht="15.75" customHeight="1" x14ac:dyDescent="0.3">
      <c r="A55" s="2161"/>
      <c r="B55" s="1313" t="str">
        <f t="shared" si="1"/>
        <v/>
      </c>
      <c r="C55" s="1011">
        <f>IF($D$2="NO",0,ROUNDDOWN(SUM(PROD!$V$5:V56)/IF(Iniciar!$C$25="kilos",40,1),0)-SUM($C$4:$C54))</f>
        <v>0</v>
      </c>
      <c r="D55" s="702"/>
      <c r="E55" s="702"/>
      <c r="F55" s="300">
        <f t="shared" si="11"/>
        <v>-5000</v>
      </c>
      <c r="G55" s="694"/>
      <c r="H55" s="695"/>
      <c r="I55" s="1314"/>
      <c r="J55" s="1315">
        <f>IF(K$1&gt;0,ROUNDUP(SUM(PROD!AM$5:AM56)/K$1*K$2,0),0)-SUM(J$4:J54)</f>
        <v>0</v>
      </c>
      <c r="K55" s="1316">
        <f t="shared" si="9"/>
        <v>0</v>
      </c>
      <c r="L55" s="1314"/>
      <c r="M55" s="1315">
        <f>IF(N$1&gt;0,ROUNDUP(SUM(PROD!L$5:L56,-PROD!AM$5:AM56,-PROD!AZ$5:AZ56)/N$1*N$2,0),0)-SUM(M$4:M54)</f>
        <v>0</v>
      </c>
      <c r="N55" s="1316">
        <f t="shared" si="2"/>
        <v>0</v>
      </c>
      <c r="O55" s="1317">
        <f t="shared" si="10"/>
        <v>0</v>
      </c>
      <c r="P55" s="1318"/>
      <c r="Q55" s="1319"/>
      <c r="R55" s="1320">
        <f t="shared" si="3"/>
        <v>0</v>
      </c>
      <c r="S55" s="1316">
        <f t="shared" si="0"/>
        <v>0</v>
      </c>
      <c r="T55" s="712"/>
      <c r="U55" s="713"/>
      <c r="V55" s="714"/>
      <c r="W55" s="398">
        <f t="shared" si="12"/>
        <v>0</v>
      </c>
      <c r="X55" s="712"/>
      <c r="Y55" s="713"/>
      <c r="Z55" s="714"/>
      <c r="AA55" s="398">
        <f t="shared" si="5"/>
        <v>0</v>
      </c>
      <c r="AB55" s="712"/>
      <c r="AC55" s="713"/>
      <c r="AD55" s="714"/>
      <c r="AE55" s="398">
        <f t="shared" si="6"/>
        <v>0</v>
      </c>
      <c r="AF55" s="712"/>
      <c r="AG55" s="713"/>
      <c r="AH55" s="714"/>
      <c r="AI55" s="398">
        <f t="shared" si="7"/>
        <v>0</v>
      </c>
      <c r="AJ55" s="712"/>
      <c r="AK55" s="713"/>
      <c r="AL55" s="714"/>
      <c r="AM55" s="398">
        <f t="shared" si="8"/>
        <v>0</v>
      </c>
    </row>
    <row r="56" spans="1:39" ht="15.75" customHeight="1" x14ac:dyDescent="0.3">
      <c r="A56" s="2161"/>
      <c r="B56" s="1313" t="str">
        <f t="shared" si="1"/>
        <v/>
      </c>
      <c r="C56" s="1011">
        <f>IF($D$2="NO",0,ROUNDDOWN(SUM(PROD!$V$5:V57)/IF(Iniciar!$C$25="kilos",40,1),0)-SUM($C$4:$C55))</f>
        <v>0</v>
      </c>
      <c r="D56" s="702"/>
      <c r="E56" s="702"/>
      <c r="F56" s="300">
        <f t="shared" si="11"/>
        <v>-5000</v>
      </c>
      <c r="G56" s="694"/>
      <c r="H56" s="695"/>
      <c r="I56" s="1314"/>
      <c r="J56" s="1315">
        <f>IF(K$1&gt;0,ROUNDUP(SUM(PROD!AM$5:AM57)/K$1*K$2,0),0)-SUM(J$4:J55)</f>
        <v>0</v>
      </c>
      <c r="K56" s="1316">
        <f t="shared" si="9"/>
        <v>0</v>
      </c>
      <c r="L56" s="1314"/>
      <c r="M56" s="1315">
        <f>IF(N$1&gt;0,ROUNDUP(SUM(PROD!L$5:L57,-PROD!AM$5:AM57,-PROD!AZ$5:AZ57)/N$1*N$2,0),0)-SUM(M$4:M55)</f>
        <v>0</v>
      </c>
      <c r="N56" s="1316">
        <f t="shared" si="2"/>
        <v>0</v>
      </c>
      <c r="O56" s="1317">
        <f t="shared" si="10"/>
        <v>0</v>
      </c>
      <c r="P56" s="1318"/>
      <c r="Q56" s="1319"/>
      <c r="R56" s="1320">
        <f t="shared" si="3"/>
        <v>0</v>
      </c>
      <c r="S56" s="1316">
        <f t="shared" si="0"/>
        <v>0</v>
      </c>
      <c r="T56" s="712"/>
      <c r="U56" s="713"/>
      <c r="V56" s="714"/>
      <c r="W56" s="398">
        <f t="shared" si="12"/>
        <v>0</v>
      </c>
      <c r="X56" s="712"/>
      <c r="Y56" s="713"/>
      <c r="Z56" s="714"/>
      <c r="AA56" s="398">
        <f t="shared" si="5"/>
        <v>0</v>
      </c>
      <c r="AB56" s="712"/>
      <c r="AC56" s="713"/>
      <c r="AD56" s="714"/>
      <c r="AE56" s="398">
        <f t="shared" si="6"/>
        <v>0</v>
      </c>
      <c r="AF56" s="712"/>
      <c r="AG56" s="713"/>
      <c r="AH56" s="714"/>
      <c r="AI56" s="398">
        <f t="shared" si="7"/>
        <v>0</v>
      </c>
      <c r="AJ56" s="712"/>
      <c r="AK56" s="713"/>
      <c r="AL56" s="714"/>
      <c r="AM56" s="398">
        <f t="shared" si="8"/>
        <v>0</v>
      </c>
    </row>
    <row r="57" spans="1:39" ht="15.75" customHeight="1" x14ac:dyDescent="0.3">
      <c r="A57" s="2161"/>
      <c r="B57" s="1313" t="str">
        <f t="shared" si="1"/>
        <v/>
      </c>
      <c r="C57" s="1011">
        <f>IF($D$2="NO",0,ROUNDDOWN(SUM(PROD!$V$5:V58)/IF(Iniciar!$C$25="kilos",40,1),0)-SUM($C$4:$C56))</f>
        <v>0</v>
      </c>
      <c r="D57" s="702"/>
      <c r="E57" s="702"/>
      <c r="F57" s="300">
        <f t="shared" si="11"/>
        <v>-5000</v>
      </c>
      <c r="G57" s="694"/>
      <c r="H57" s="695"/>
      <c r="I57" s="1314"/>
      <c r="J57" s="1315">
        <f>IF(K$1&gt;0,ROUNDUP(SUM(PROD!AM$5:AM58)/K$1*K$2,0),0)-SUM(J$4:J56)</f>
        <v>0</v>
      </c>
      <c r="K57" s="1316">
        <f t="shared" si="9"/>
        <v>0</v>
      </c>
      <c r="L57" s="1314"/>
      <c r="M57" s="1315">
        <f>IF(N$1&gt;0,ROUNDUP(SUM(PROD!L$5:L58,-PROD!AM$5:AM58,-PROD!AZ$5:AZ58)/N$1*N$2,0),0)-SUM(M$4:M56)</f>
        <v>0</v>
      </c>
      <c r="N57" s="1316">
        <f t="shared" si="2"/>
        <v>0</v>
      </c>
      <c r="O57" s="1317">
        <f t="shared" si="10"/>
        <v>0</v>
      </c>
      <c r="P57" s="1318"/>
      <c r="Q57" s="1319"/>
      <c r="R57" s="1320">
        <f t="shared" si="3"/>
        <v>0</v>
      </c>
      <c r="S57" s="1316">
        <f t="shared" si="0"/>
        <v>0</v>
      </c>
      <c r="T57" s="712"/>
      <c r="U57" s="713"/>
      <c r="V57" s="714"/>
      <c r="W57" s="398">
        <f t="shared" si="12"/>
        <v>0</v>
      </c>
      <c r="X57" s="712"/>
      <c r="Y57" s="713"/>
      <c r="Z57" s="714"/>
      <c r="AA57" s="398">
        <f t="shared" si="5"/>
        <v>0</v>
      </c>
      <c r="AB57" s="712"/>
      <c r="AC57" s="713"/>
      <c r="AD57" s="714"/>
      <c r="AE57" s="398">
        <f t="shared" si="6"/>
        <v>0</v>
      </c>
      <c r="AF57" s="712"/>
      <c r="AG57" s="713"/>
      <c r="AH57" s="714"/>
      <c r="AI57" s="398">
        <f t="shared" si="7"/>
        <v>0</v>
      </c>
      <c r="AJ57" s="712"/>
      <c r="AK57" s="713"/>
      <c r="AL57" s="714"/>
      <c r="AM57" s="398">
        <f t="shared" si="8"/>
        <v>0</v>
      </c>
    </row>
    <row r="58" spans="1:39" ht="15.75" customHeight="1" x14ac:dyDescent="0.3">
      <c r="A58" s="2161"/>
      <c r="B58" s="1313" t="str">
        <f t="shared" si="1"/>
        <v/>
      </c>
      <c r="C58" s="1011">
        <f>IF($D$2="NO",0,ROUNDDOWN(SUM(PROD!$V$5:V59)/IF(Iniciar!$C$25="kilos",40,1),0)-SUM($C$4:$C57))</f>
        <v>0</v>
      </c>
      <c r="D58" s="702"/>
      <c r="E58" s="702"/>
      <c r="F58" s="300">
        <f t="shared" si="11"/>
        <v>-5000</v>
      </c>
      <c r="G58" s="694"/>
      <c r="H58" s="695"/>
      <c r="I58" s="1314"/>
      <c r="J58" s="1315">
        <f>IF(K$1&gt;0,ROUNDUP(SUM(PROD!AM$5:AM59)/K$1*K$2,0),0)-SUM(J$4:J57)</f>
        <v>0</v>
      </c>
      <c r="K58" s="1316">
        <f t="shared" si="9"/>
        <v>0</v>
      </c>
      <c r="L58" s="1314"/>
      <c r="M58" s="1315">
        <f>IF(N$1&gt;0,ROUNDUP(SUM(PROD!L$5:L59,-PROD!AM$5:AM59,-PROD!AZ$5:AZ59)/N$1*N$2,0),0)-SUM(M$4:M57)</f>
        <v>0</v>
      </c>
      <c r="N58" s="1316">
        <f t="shared" si="2"/>
        <v>0</v>
      </c>
      <c r="O58" s="1317">
        <f t="shared" si="10"/>
        <v>0</v>
      </c>
      <c r="P58" s="1318"/>
      <c r="Q58" s="1319"/>
      <c r="R58" s="1320">
        <f t="shared" si="3"/>
        <v>0</v>
      </c>
      <c r="S58" s="1316">
        <f t="shared" si="0"/>
        <v>0</v>
      </c>
      <c r="T58" s="712"/>
      <c r="U58" s="713"/>
      <c r="V58" s="714"/>
      <c r="W58" s="398">
        <f t="shared" si="12"/>
        <v>0</v>
      </c>
      <c r="X58" s="712"/>
      <c r="Y58" s="713"/>
      <c r="Z58" s="714"/>
      <c r="AA58" s="398">
        <f t="shared" si="5"/>
        <v>0</v>
      </c>
      <c r="AB58" s="712"/>
      <c r="AC58" s="713"/>
      <c r="AD58" s="714"/>
      <c r="AE58" s="398">
        <f t="shared" si="6"/>
        <v>0</v>
      </c>
      <c r="AF58" s="712"/>
      <c r="AG58" s="713"/>
      <c r="AH58" s="714"/>
      <c r="AI58" s="398">
        <f t="shared" si="7"/>
        <v>0</v>
      </c>
      <c r="AJ58" s="712"/>
      <c r="AK58" s="713"/>
      <c r="AL58" s="714"/>
      <c r="AM58" s="398">
        <f t="shared" si="8"/>
        <v>0</v>
      </c>
    </row>
    <row r="59" spans="1:39" ht="16.5" customHeight="1" x14ac:dyDescent="0.3">
      <c r="A59" s="2162"/>
      <c r="B59" s="1313" t="str">
        <f t="shared" si="1"/>
        <v/>
      </c>
      <c r="C59" s="1011">
        <f>IF($D$2="NO",0,ROUNDDOWN(SUM(PROD!$V$5:V60)/IF(Iniciar!$C$25="kilos",40,1),0)-SUM($C$4:$C58))</f>
        <v>0</v>
      </c>
      <c r="D59" s="702"/>
      <c r="E59" s="702"/>
      <c r="F59" s="300">
        <f t="shared" si="11"/>
        <v>-5000</v>
      </c>
      <c r="G59" s="694"/>
      <c r="H59" s="695"/>
      <c r="I59" s="1314"/>
      <c r="J59" s="1315">
        <f>IF(K$1&gt;0,ROUNDUP(SUM(PROD!AM$5:AM60)/K$1*K$2,0),0)-SUM(J$4:J58)</f>
        <v>0</v>
      </c>
      <c r="K59" s="1316">
        <f t="shared" si="9"/>
        <v>0</v>
      </c>
      <c r="L59" s="1314"/>
      <c r="M59" s="1315">
        <f>IF(N$1&gt;0,ROUNDUP(SUM(PROD!L$5:L60,-PROD!AM$5:AM60,-PROD!AZ$5:AZ60)/N$1*N$2,0),0)-SUM(M$4:M58)</f>
        <v>0</v>
      </c>
      <c r="N59" s="1316">
        <f t="shared" si="2"/>
        <v>0</v>
      </c>
      <c r="O59" s="1317">
        <f t="shared" si="10"/>
        <v>0</v>
      </c>
      <c r="P59" s="1318"/>
      <c r="Q59" s="1319"/>
      <c r="R59" s="1320">
        <f t="shared" si="3"/>
        <v>0</v>
      </c>
      <c r="S59" s="1316">
        <f t="shared" si="0"/>
        <v>0</v>
      </c>
      <c r="T59" s="712"/>
      <c r="U59" s="713"/>
      <c r="V59" s="714"/>
      <c r="W59" s="398">
        <f t="shared" si="12"/>
        <v>0</v>
      </c>
      <c r="X59" s="712"/>
      <c r="Y59" s="713"/>
      <c r="Z59" s="714"/>
      <c r="AA59" s="398">
        <f t="shared" si="5"/>
        <v>0</v>
      </c>
      <c r="AB59" s="712"/>
      <c r="AC59" s="713"/>
      <c r="AD59" s="714"/>
      <c r="AE59" s="398">
        <f t="shared" si="6"/>
        <v>0</v>
      </c>
      <c r="AF59" s="712"/>
      <c r="AG59" s="713"/>
      <c r="AH59" s="714"/>
      <c r="AI59" s="398">
        <f t="shared" si="7"/>
        <v>0</v>
      </c>
      <c r="AJ59" s="712"/>
      <c r="AK59" s="713"/>
      <c r="AL59" s="714"/>
      <c r="AM59" s="398">
        <f t="shared" si="8"/>
        <v>0</v>
      </c>
    </row>
    <row r="60" spans="1:39" ht="16.5" customHeight="1" x14ac:dyDescent="0.3">
      <c r="A60" s="2160">
        <f>A53+1</f>
        <v>26</v>
      </c>
      <c r="B60" s="1313" t="str">
        <f t="shared" si="1"/>
        <v/>
      </c>
      <c r="C60" s="1011">
        <f>IF($D$2="NO",0,ROUNDDOWN(SUM(PROD!$V$5:V61)/IF(Iniciar!$C$25="kilos",40,1),0)-SUM($C$4:$C59))</f>
        <v>0</v>
      </c>
      <c r="D60" s="702"/>
      <c r="E60" s="702"/>
      <c r="F60" s="300">
        <f t="shared" si="11"/>
        <v>-5000</v>
      </c>
      <c r="G60" s="694"/>
      <c r="H60" s="695"/>
      <c r="I60" s="1314"/>
      <c r="J60" s="1315">
        <f>IF(K$1&gt;0,ROUNDUP(SUM(PROD!AM$5:AM61)/K$1*K$2,0),0)-SUM(J$4:J59)</f>
        <v>0</v>
      </c>
      <c r="K60" s="1316">
        <f t="shared" si="9"/>
        <v>0</v>
      </c>
      <c r="L60" s="1314"/>
      <c r="M60" s="1315">
        <f>IF(N$1&gt;0,ROUNDUP(SUM(PROD!L$5:L61,-PROD!AM$5:AM61,-PROD!AZ$5:AZ61)/N$1*N$2,0),0)-SUM(M$4:M59)</f>
        <v>0</v>
      </c>
      <c r="N60" s="1316">
        <f t="shared" si="2"/>
        <v>0</v>
      </c>
      <c r="O60" s="1317">
        <f t="shared" si="10"/>
        <v>0</v>
      </c>
      <c r="P60" s="1318"/>
      <c r="Q60" s="1319"/>
      <c r="R60" s="1320">
        <f t="shared" si="3"/>
        <v>0</v>
      </c>
      <c r="S60" s="1316">
        <f t="shared" si="0"/>
        <v>0</v>
      </c>
      <c r="T60" s="712"/>
      <c r="U60" s="713"/>
      <c r="V60" s="714"/>
      <c r="W60" s="398">
        <f t="shared" si="12"/>
        <v>0</v>
      </c>
      <c r="X60" s="712"/>
      <c r="Y60" s="713"/>
      <c r="Z60" s="714"/>
      <c r="AA60" s="398">
        <f t="shared" si="5"/>
        <v>0</v>
      </c>
      <c r="AB60" s="712"/>
      <c r="AC60" s="713"/>
      <c r="AD60" s="714"/>
      <c r="AE60" s="398">
        <f t="shared" si="6"/>
        <v>0</v>
      </c>
      <c r="AF60" s="712"/>
      <c r="AG60" s="713"/>
      <c r="AH60" s="714"/>
      <c r="AI60" s="398">
        <f t="shared" si="7"/>
        <v>0</v>
      </c>
      <c r="AJ60" s="712"/>
      <c r="AK60" s="713"/>
      <c r="AL60" s="714"/>
      <c r="AM60" s="398">
        <f t="shared" si="8"/>
        <v>0</v>
      </c>
    </row>
    <row r="61" spans="1:39" ht="15.75" customHeight="1" x14ac:dyDescent="0.3">
      <c r="A61" s="2161"/>
      <c r="B61" s="1313" t="str">
        <f t="shared" si="1"/>
        <v/>
      </c>
      <c r="C61" s="1011">
        <f>IF($D$2="NO",0,ROUNDDOWN(SUM(PROD!$V$5:V62)/IF(Iniciar!$C$25="kilos",40,1),0)-SUM($C$4:$C60))</f>
        <v>0</v>
      </c>
      <c r="D61" s="702"/>
      <c r="E61" s="702"/>
      <c r="F61" s="300">
        <f t="shared" si="11"/>
        <v>-5000</v>
      </c>
      <c r="G61" s="694"/>
      <c r="H61" s="695"/>
      <c r="I61" s="1314"/>
      <c r="J61" s="1315">
        <f>IF(K$1&gt;0,ROUNDUP(SUM(PROD!AM$5:AM62)/K$1*K$2,0),0)-SUM(J$4:J60)</f>
        <v>0</v>
      </c>
      <c r="K61" s="1316">
        <f t="shared" si="9"/>
        <v>0</v>
      </c>
      <c r="L61" s="1314"/>
      <c r="M61" s="1315">
        <f>IF(N$1&gt;0,ROUNDUP(SUM(PROD!L$5:L62,-PROD!AM$5:AM62,-PROD!AZ$5:AZ62)/N$1*N$2,0),0)-SUM(M$4:M60)</f>
        <v>0</v>
      </c>
      <c r="N61" s="1316">
        <f t="shared" si="2"/>
        <v>0</v>
      </c>
      <c r="O61" s="1317">
        <f t="shared" si="10"/>
        <v>0</v>
      </c>
      <c r="P61" s="1318"/>
      <c r="Q61" s="1319"/>
      <c r="R61" s="1320">
        <f t="shared" si="3"/>
        <v>0</v>
      </c>
      <c r="S61" s="1316">
        <f t="shared" si="0"/>
        <v>0</v>
      </c>
      <c r="T61" s="712"/>
      <c r="U61" s="713"/>
      <c r="V61" s="714"/>
      <c r="W61" s="398">
        <f t="shared" si="12"/>
        <v>0</v>
      </c>
      <c r="X61" s="712"/>
      <c r="Y61" s="713"/>
      <c r="Z61" s="714"/>
      <c r="AA61" s="398">
        <f t="shared" si="5"/>
        <v>0</v>
      </c>
      <c r="AB61" s="712"/>
      <c r="AC61" s="713"/>
      <c r="AD61" s="714"/>
      <c r="AE61" s="398">
        <f t="shared" si="6"/>
        <v>0</v>
      </c>
      <c r="AF61" s="712"/>
      <c r="AG61" s="713"/>
      <c r="AH61" s="714"/>
      <c r="AI61" s="398">
        <f t="shared" si="7"/>
        <v>0</v>
      </c>
      <c r="AJ61" s="712"/>
      <c r="AK61" s="713"/>
      <c r="AL61" s="714"/>
      <c r="AM61" s="398">
        <f t="shared" si="8"/>
        <v>0</v>
      </c>
    </row>
    <row r="62" spans="1:39" ht="15.75" customHeight="1" x14ac:dyDescent="0.3">
      <c r="A62" s="2161"/>
      <c r="B62" s="1313" t="str">
        <f t="shared" si="1"/>
        <v/>
      </c>
      <c r="C62" s="1011">
        <f>IF($D$2="NO",0,ROUNDDOWN(SUM(PROD!$V$5:V63)/IF(Iniciar!$C$25="kilos",40,1),0)-SUM($C$4:$C61))</f>
        <v>0</v>
      </c>
      <c r="D62" s="702"/>
      <c r="E62" s="702"/>
      <c r="F62" s="300">
        <f t="shared" si="11"/>
        <v>-5000</v>
      </c>
      <c r="G62" s="694"/>
      <c r="H62" s="695"/>
      <c r="I62" s="1314"/>
      <c r="J62" s="1315">
        <f>IF(K$1&gt;0,ROUNDUP(SUM(PROD!AM$5:AM63)/K$1*K$2,0),0)-SUM(J$4:J61)</f>
        <v>0</v>
      </c>
      <c r="K62" s="1316">
        <f t="shared" si="9"/>
        <v>0</v>
      </c>
      <c r="L62" s="1314"/>
      <c r="M62" s="1315">
        <f>IF(N$1&gt;0,ROUNDUP(SUM(PROD!L$5:L63,-PROD!AM$5:AM63,-PROD!AZ$5:AZ63)/N$1*N$2,0),0)-SUM(M$4:M61)</f>
        <v>0</v>
      </c>
      <c r="N62" s="1316">
        <f t="shared" si="2"/>
        <v>0</v>
      </c>
      <c r="O62" s="1317">
        <f t="shared" si="10"/>
        <v>0</v>
      </c>
      <c r="P62" s="1318"/>
      <c r="Q62" s="1319"/>
      <c r="R62" s="1320">
        <f t="shared" si="3"/>
        <v>0</v>
      </c>
      <c r="S62" s="1316">
        <f t="shared" si="0"/>
        <v>0</v>
      </c>
      <c r="T62" s="712"/>
      <c r="U62" s="713"/>
      <c r="V62" s="714"/>
      <c r="W62" s="398">
        <f t="shared" si="12"/>
        <v>0</v>
      </c>
      <c r="X62" s="712"/>
      <c r="Y62" s="713"/>
      <c r="Z62" s="714"/>
      <c r="AA62" s="398">
        <f t="shared" si="5"/>
        <v>0</v>
      </c>
      <c r="AB62" s="712"/>
      <c r="AC62" s="713"/>
      <c r="AD62" s="714"/>
      <c r="AE62" s="398">
        <f t="shared" si="6"/>
        <v>0</v>
      </c>
      <c r="AF62" s="712"/>
      <c r="AG62" s="713"/>
      <c r="AH62" s="714"/>
      <c r="AI62" s="398">
        <f t="shared" si="7"/>
        <v>0</v>
      </c>
      <c r="AJ62" s="712"/>
      <c r="AK62" s="713"/>
      <c r="AL62" s="714"/>
      <c r="AM62" s="398">
        <f t="shared" si="8"/>
        <v>0</v>
      </c>
    </row>
    <row r="63" spans="1:39" ht="15.75" customHeight="1" x14ac:dyDescent="0.3">
      <c r="A63" s="2161"/>
      <c r="B63" s="1313" t="str">
        <f t="shared" si="1"/>
        <v/>
      </c>
      <c r="C63" s="1011">
        <f>IF($D$2="NO",0,ROUNDDOWN(SUM(PROD!$V$5:V64)/IF(Iniciar!$C$25="kilos",40,1),0)-SUM($C$4:$C62))</f>
        <v>0</v>
      </c>
      <c r="D63" s="702"/>
      <c r="E63" s="702"/>
      <c r="F63" s="300">
        <f t="shared" si="11"/>
        <v>-5000</v>
      </c>
      <c r="G63" s="694"/>
      <c r="H63" s="695"/>
      <c r="I63" s="1314"/>
      <c r="J63" s="1315">
        <f>IF(K$1&gt;0,ROUNDUP(SUM(PROD!AM$5:AM64)/K$1*K$2,0),0)-SUM(J$4:J62)</f>
        <v>0</v>
      </c>
      <c r="K63" s="1316">
        <f t="shared" si="9"/>
        <v>0</v>
      </c>
      <c r="L63" s="1314"/>
      <c r="M63" s="1315">
        <f>IF(N$1&gt;0,ROUNDUP(SUM(PROD!L$5:L64,-PROD!AM$5:AM64,-PROD!AZ$5:AZ64)/N$1*N$2,0),0)-SUM(M$4:M62)</f>
        <v>0</v>
      </c>
      <c r="N63" s="1316">
        <f t="shared" si="2"/>
        <v>0</v>
      </c>
      <c r="O63" s="1317">
        <f t="shared" si="10"/>
        <v>0</v>
      </c>
      <c r="P63" s="1318"/>
      <c r="Q63" s="1319"/>
      <c r="R63" s="1320">
        <f t="shared" si="3"/>
        <v>0</v>
      </c>
      <c r="S63" s="1316">
        <f t="shared" si="0"/>
        <v>0</v>
      </c>
      <c r="T63" s="712"/>
      <c r="U63" s="713"/>
      <c r="V63" s="714"/>
      <c r="W63" s="398">
        <f t="shared" si="12"/>
        <v>0</v>
      </c>
      <c r="X63" s="712"/>
      <c r="Y63" s="713"/>
      <c r="Z63" s="714"/>
      <c r="AA63" s="398">
        <f t="shared" si="5"/>
        <v>0</v>
      </c>
      <c r="AB63" s="712"/>
      <c r="AC63" s="713"/>
      <c r="AD63" s="714"/>
      <c r="AE63" s="398">
        <f t="shared" si="6"/>
        <v>0</v>
      </c>
      <c r="AF63" s="712"/>
      <c r="AG63" s="713"/>
      <c r="AH63" s="714"/>
      <c r="AI63" s="398">
        <f t="shared" si="7"/>
        <v>0</v>
      </c>
      <c r="AJ63" s="712"/>
      <c r="AK63" s="713"/>
      <c r="AL63" s="714"/>
      <c r="AM63" s="398">
        <f t="shared" si="8"/>
        <v>0</v>
      </c>
    </row>
    <row r="64" spans="1:39" ht="15.75" customHeight="1" x14ac:dyDescent="0.3">
      <c r="A64" s="2161"/>
      <c r="B64" s="1313" t="str">
        <f t="shared" si="1"/>
        <v/>
      </c>
      <c r="C64" s="1011">
        <f>IF($D$2="NO",0,ROUNDDOWN(SUM(PROD!$V$5:V65)/IF(Iniciar!$C$25="kilos",40,1),0)-SUM($C$4:$C63))</f>
        <v>0</v>
      </c>
      <c r="D64" s="702"/>
      <c r="E64" s="702"/>
      <c r="F64" s="300">
        <f t="shared" si="11"/>
        <v>-5000</v>
      </c>
      <c r="G64" s="694"/>
      <c r="H64" s="695"/>
      <c r="I64" s="1314"/>
      <c r="J64" s="1315">
        <f>IF(K$1&gt;0,ROUNDUP(SUM(PROD!AM$5:AM65)/K$1*K$2,0),0)-SUM(J$4:J63)</f>
        <v>0</v>
      </c>
      <c r="K64" s="1316">
        <f t="shared" si="9"/>
        <v>0</v>
      </c>
      <c r="L64" s="1314"/>
      <c r="M64" s="1315">
        <f>IF(N$1&gt;0,ROUNDUP(SUM(PROD!L$5:L65,-PROD!AM$5:AM65,-PROD!AZ$5:AZ65)/N$1*N$2,0),0)-SUM(M$4:M63)</f>
        <v>0</v>
      </c>
      <c r="N64" s="1316">
        <f t="shared" si="2"/>
        <v>0</v>
      </c>
      <c r="O64" s="1317">
        <f t="shared" si="10"/>
        <v>0</v>
      </c>
      <c r="P64" s="1318"/>
      <c r="Q64" s="1319"/>
      <c r="R64" s="1320">
        <f t="shared" si="3"/>
        <v>0</v>
      </c>
      <c r="S64" s="1316">
        <f t="shared" si="0"/>
        <v>0</v>
      </c>
      <c r="T64" s="712"/>
      <c r="U64" s="713"/>
      <c r="V64" s="714"/>
      <c r="W64" s="398">
        <f t="shared" si="12"/>
        <v>0</v>
      </c>
      <c r="X64" s="712"/>
      <c r="Y64" s="713"/>
      <c r="Z64" s="714"/>
      <c r="AA64" s="398">
        <f t="shared" si="5"/>
        <v>0</v>
      </c>
      <c r="AB64" s="712"/>
      <c r="AC64" s="713"/>
      <c r="AD64" s="714"/>
      <c r="AE64" s="398">
        <f t="shared" si="6"/>
        <v>0</v>
      </c>
      <c r="AF64" s="712"/>
      <c r="AG64" s="713"/>
      <c r="AH64" s="714"/>
      <c r="AI64" s="398">
        <f t="shared" si="7"/>
        <v>0</v>
      </c>
      <c r="AJ64" s="712"/>
      <c r="AK64" s="713"/>
      <c r="AL64" s="714"/>
      <c r="AM64" s="398">
        <f t="shared" si="8"/>
        <v>0</v>
      </c>
    </row>
    <row r="65" spans="1:39" ht="15.75" customHeight="1" x14ac:dyDescent="0.3">
      <c r="A65" s="2161"/>
      <c r="B65" s="1313" t="str">
        <f t="shared" si="1"/>
        <v/>
      </c>
      <c r="C65" s="1011">
        <f>IF($D$2="NO",0,ROUNDDOWN(SUM(PROD!$V$5:V66)/IF(Iniciar!$C$25="kilos",40,1),0)-SUM($C$4:$C64))</f>
        <v>0</v>
      </c>
      <c r="D65" s="702"/>
      <c r="E65" s="702"/>
      <c r="F65" s="300">
        <f t="shared" si="11"/>
        <v>-5000</v>
      </c>
      <c r="G65" s="694"/>
      <c r="H65" s="695"/>
      <c r="I65" s="1314"/>
      <c r="J65" s="1315">
        <f>IF(K$1&gt;0,ROUNDUP(SUM(PROD!AM$5:AM66)/K$1*K$2,0),0)-SUM(J$4:J64)</f>
        <v>0</v>
      </c>
      <c r="K65" s="1316">
        <f t="shared" si="9"/>
        <v>0</v>
      </c>
      <c r="L65" s="1314"/>
      <c r="M65" s="1315">
        <f>IF(N$1&gt;0,ROUNDUP(SUM(PROD!L$5:L66,-PROD!AM$5:AM66,-PROD!AZ$5:AZ66)/N$1*N$2,0),0)-SUM(M$4:M64)</f>
        <v>0</v>
      </c>
      <c r="N65" s="1316">
        <f t="shared" si="2"/>
        <v>0</v>
      </c>
      <c r="O65" s="1317">
        <f t="shared" si="10"/>
        <v>0</v>
      </c>
      <c r="P65" s="1318"/>
      <c r="Q65" s="1319"/>
      <c r="R65" s="1320">
        <f t="shared" si="3"/>
        <v>0</v>
      </c>
      <c r="S65" s="1316">
        <f t="shared" si="0"/>
        <v>0</v>
      </c>
      <c r="T65" s="712"/>
      <c r="U65" s="713"/>
      <c r="V65" s="714"/>
      <c r="W65" s="398">
        <f t="shared" si="12"/>
        <v>0</v>
      </c>
      <c r="X65" s="712"/>
      <c r="Y65" s="713"/>
      <c r="Z65" s="714"/>
      <c r="AA65" s="398">
        <f t="shared" si="5"/>
        <v>0</v>
      </c>
      <c r="AB65" s="712"/>
      <c r="AC65" s="713"/>
      <c r="AD65" s="714"/>
      <c r="AE65" s="398">
        <f t="shared" si="6"/>
        <v>0</v>
      </c>
      <c r="AF65" s="712"/>
      <c r="AG65" s="713"/>
      <c r="AH65" s="714"/>
      <c r="AI65" s="398">
        <f t="shared" si="7"/>
        <v>0</v>
      </c>
      <c r="AJ65" s="712"/>
      <c r="AK65" s="713"/>
      <c r="AL65" s="714"/>
      <c r="AM65" s="398">
        <f t="shared" si="8"/>
        <v>0</v>
      </c>
    </row>
    <row r="66" spans="1:39" ht="16.5" customHeight="1" x14ac:dyDescent="0.3">
      <c r="A66" s="2162"/>
      <c r="B66" s="1313" t="str">
        <f t="shared" si="1"/>
        <v/>
      </c>
      <c r="C66" s="1011">
        <f>IF($D$2="NO",0,ROUNDDOWN(SUM(PROD!$V$5:V67)/IF(Iniciar!$C$25="kilos",40,1),0)-SUM($C$4:$C65))</f>
        <v>0</v>
      </c>
      <c r="D66" s="702"/>
      <c r="E66" s="702"/>
      <c r="F66" s="300">
        <f t="shared" si="11"/>
        <v>-5000</v>
      </c>
      <c r="G66" s="694"/>
      <c r="H66" s="695"/>
      <c r="I66" s="1314"/>
      <c r="J66" s="1315">
        <f>IF(K$1&gt;0,ROUNDUP(SUM(PROD!AM$5:AM67)/K$1*K$2,0),0)-SUM(J$4:J65)</f>
        <v>0</v>
      </c>
      <c r="K66" s="1316">
        <f t="shared" si="9"/>
        <v>0</v>
      </c>
      <c r="L66" s="1314"/>
      <c r="M66" s="1315">
        <f>IF(N$1&gt;0,ROUNDUP(SUM(PROD!L$5:L67,-PROD!AM$5:AM67,-PROD!AZ$5:AZ67)/N$1*N$2,0),0)-SUM(M$4:M65)</f>
        <v>0</v>
      </c>
      <c r="N66" s="1316">
        <f t="shared" si="2"/>
        <v>0</v>
      </c>
      <c r="O66" s="1317">
        <f t="shared" si="10"/>
        <v>0</v>
      </c>
      <c r="P66" s="1318"/>
      <c r="Q66" s="1319"/>
      <c r="R66" s="1320">
        <f t="shared" si="3"/>
        <v>0</v>
      </c>
      <c r="S66" s="1316">
        <f t="shared" si="0"/>
        <v>0</v>
      </c>
      <c r="T66" s="712"/>
      <c r="U66" s="713"/>
      <c r="V66" s="714"/>
      <c r="W66" s="398">
        <f t="shared" si="12"/>
        <v>0</v>
      </c>
      <c r="X66" s="712"/>
      <c r="Y66" s="713"/>
      <c r="Z66" s="714"/>
      <c r="AA66" s="398">
        <f t="shared" si="5"/>
        <v>0</v>
      </c>
      <c r="AB66" s="712"/>
      <c r="AC66" s="713"/>
      <c r="AD66" s="714"/>
      <c r="AE66" s="398">
        <f t="shared" si="6"/>
        <v>0</v>
      </c>
      <c r="AF66" s="712"/>
      <c r="AG66" s="713"/>
      <c r="AH66" s="714"/>
      <c r="AI66" s="398">
        <f t="shared" si="7"/>
        <v>0</v>
      </c>
      <c r="AJ66" s="712"/>
      <c r="AK66" s="713"/>
      <c r="AL66" s="714"/>
      <c r="AM66" s="398">
        <f t="shared" si="8"/>
        <v>0</v>
      </c>
    </row>
    <row r="67" spans="1:39" ht="16.5" customHeight="1" x14ac:dyDescent="0.3">
      <c r="A67" s="2160">
        <f>A60+1</f>
        <v>27</v>
      </c>
      <c r="B67" s="1313" t="str">
        <f t="shared" si="1"/>
        <v/>
      </c>
      <c r="C67" s="1011">
        <f>IF($D$2="NO",0,ROUNDDOWN(SUM(PROD!$V$5:V68)/IF(Iniciar!$C$25="kilos",40,1),0)-SUM($C$4:$C66))</f>
        <v>0</v>
      </c>
      <c r="D67" s="702"/>
      <c r="E67" s="702"/>
      <c r="F67" s="300">
        <f t="shared" si="11"/>
        <v>-5000</v>
      </c>
      <c r="G67" s="694"/>
      <c r="H67" s="695"/>
      <c r="I67" s="1314"/>
      <c r="J67" s="1315">
        <f>IF(K$1&gt;0,ROUNDUP(SUM(PROD!AM$5:AM68)/K$1*K$2,0),0)-SUM(J$4:J66)</f>
        <v>0</v>
      </c>
      <c r="K67" s="1316">
        <f t="shared" si="9"/>
        <v>0</v>
      </c>
      <c r="L67" s="1314"/>
      <c r="M67" s="1315">
        <f>IF(N$1&gt;0,ROUNDUP(SUM(PROD!L$5:L68,-PROD!AM$5:AM68,-PROD!AZ$5:AZ68)/N$1*N$2,0),0)-SUM(M$4:M66)</f>
        <v>0</v>
      </c>
      <c r="N67" s="1316">
        <f t="shared" si="2"/>
        <v>0</v>
      </c>
      <c r="O67" s="1317">
        <f t="shared" si="10"/>
        <v>0</v>
      </c>
      <c r="P67" s="1318"/>
      <c r="Q67" s="1319"/>
      <c r="R67" s="1320">
        <f t="shared" si="3"/>
        <v>0</v>
      </c>
      <c r="S67" s="1316">
        <f t="shared" si="0"/>
        <v>0</v>
      </c>
      <c r="T67" s="712"/>
      <c r="U67" s="713"/>
      <c r="V67" s="714"/>
      <c r="W67" s="398">
        <f t="shared" si="12"/>
        <v>0</v>
      </c>
      <c r="X67" s="712"/>
      <c r="Y67" s="713"/>
      <c r="Z67" s="714"/>
      <c r="AA67" s="398">
        <f t="shared" si="5"/>
        <v>0</v>
      </c>
      <c r="AB67" s="712"/>
      <c r="AC67" s="713"/>
      <c r="AD67" s="714"/>
      <c r="AE67" s="398">
        <f t="shared" si="6"/>
        <v>0</v>
      </c>
      <c r="AF67" s="712"/>
      <c r="AG67" s="713"/>
      <c r="AH67" s="714"/>
      <c r="AI67" s="398">
        <f t="shared" si="7"/>
        <v>0</v>
      </c>
      <c r="AJ67" s="712"/>
      <c r="AK67" s="713"/>
      <c r="AL67" s="714"/>
      <c r="AM67" s="398">
        <f t="shared" si="8"/>
        <v>0</v>
      </c>
    </row>
    <row r="68" spans="1:39" ht="15.75" customHeight="1" x14ac:dyDescent="0.3">
      <c r="A68" s="2161"/>
      <c r="B68" s="1313" t="str">
        <f t="shared" si="1"/>
        <v/>
      </c>
      <c r="C68" s="1011">
        <f>IF($D$2="NO",0,ROUNDDOWN(SUM(PROD!$V$5:V69)/IF(Iniciar!$C$25="kilos",40,1),0)-SUM($C$4:$C67))</f>
        <v>0</v>
      </c>
      <c r="D68" s="702"/>
      <c r="E68" s="702"/>
      <c r="F68" s="300">
        <f t="shared" si="11"/>
        <v>-5000</v>
      </c>
      <c r="G68" s="694"/>
      <c r="H68" s="695"/>
      <c r="I68" s="1314"/>
      <c r="J68" s="1315">
        <f>IF(K$1&gt;0,ROUNDUP(SUM(PROD!AM$5:AM69)/K$1*K$2,0),0)-SUM(J$4:J67)</f>
        <v>0</v>
      </c>
      <c r="K68" s="1316">
        <f t="shared" si="9"/>
        <v>0</v>
      </c>
      <c r="L68" s="1314"/>
      <c r="M68" s="1315">
        <f>IF(N$1&gt;0,ROUNDUP(SUM(PROD!L$5:L69,-PROD!AM$5:AM69,-PROD!AZ$5:AZ69)/N$1*N$2,0),0)-SUM(M$4:M67)</f>
        <v>0</v>
      </c>
      <c r="N68" s="1316">
        <f t="shared" si="2"/>
        <v>0</v>
      </c>
      <c r="O68" s="1317">
        <f t="shared" ref="O68:O131" si="13">L68+I68</f>
        <v>0</v>
      </c>
      <c r="P68" s="1318"/>
      <c r="Q68" s="1319"/>
      <c r="R68" s="1320">
        <f t="shared" ref="R68:R131" si="14">M68+J68</f>
        <v>0</v>
      </c>
      <c r="S68" s="1316">
        <f t="shared" ref="S68:S131" si="15">N68+K68</f>
        <v>0</v>
      </c>
      <c r="T68" s="712"/>
      <c r="U68" s="713"/>
      <c r="V68" s="714"/>
      <c r="W68" s="398">
        <f t="shared" si="12"/>
        <v>0</v>
      </c>
      <c r="X68" s="712"/>
      <c r="Y68" s="713"/>
      <c r="Z68" s="714"/>
      <c r="AA68" s="398">
        <f t="shared" si="5"/>
        <v>0</v>
      </c>
      <c r="AB68" s="712"/>
      <c r="AC68" s="713"/>
      <c r="AD68" s="714"/>
      <c r="AE68" s="398">
        <f t="shared" si="6"/>
        <v>0</v>
      </c>
      <c r="AF68" s="712"/>
      <c r="AG68" s="713"/>
      <c r="AH68" s="714"/>
      <c r="AI68" s="398">
        <f t="shared" si="7"/>
        <v>0</v>
      </c>
      <c r="AJ68" s="712"/>
      <c r="AK68" s="713"/>
      <c r="AL68" s="714"/>
      <c r="AM68" s="398">
        <f t="shared" si="8"/>
        <v>0</v>
      </c>
    </row>
    <row r="69" spans="1:39" ht="15.75" customHeight="1" x14ac:dyDescent="0.3">
      <c r="A69" s="2161"/>
      <c r="B69" s="1313" t="str">
        <f t="shared" ref="B69:B132" si="16">IF(B68="","",B68+1)</f>
        <v/>
      </c>
      <c r="C69" s="1011">
        <f>IF($D$2="NO",0,ROUNDDOWN(SUM(PROD!$V$5:V70)/IF(Iniciar!$C$25="kilos",40,1),0)-SUM($C$4:$C68))</f>
        <v>0</v>
      </c>
      <c r="D69" s="702"/>
      <c r="E69" s="702"/>
      <c r="F69" s="300">
        <f t="shared" si="11"/>
        <v>-5000</v>
      </c>
      <c r="G69" s="694"/>
      <c r="H69" s="695"/>
      <c r="I69" s="1314"/>
      <c r="J69" s="1315">
        <f>IF(K$1&gt;0,ROUNDUP(SUM(PROD!AM$5:AM70)/K$1*K$2,0),0)-SUM(J$4:J68)</f>
        <v>0</v>
      </c>
      <c r="K69" s="1316">
        <f t="shared" ref="K69:K132" si="17">K68+I69-J69</f>
        <v>0</v>
      </c>
      <c r="L69" s="1314"/>
      <c r="M69" s="1315">
        <f>IF(N$1&gt;0,ROUNDUP(SUM(PROD!L$5:L70,-PROD!AM$5:AM70,-PROD!AZ$5:AZ70)/N$1*N$2,0),0)-SUM(M$4:M68)</f>
        <v>0</v>
      </c>
      <c r="N69" s="1316">
        <f t="shared" ref="N69:N132" si="18">N68+L69-M69</f>
        <v>0</v>
      </c>
      <c r="O69" s="1317">
        <f t="shared" si="13"/>
        <v>0</v>
      </c>
      <c r="P69" s="1318"/>
      <c r="Q69" s="1319"/>
      <c r="R69" s="1320">
        <f t="shared" si="14"/>
        <v>0</v>
      </c>
      <c r="S69" s="1316">
        <f t="shared" si="15"/>
        <v>0</v>
      </c>
      <c r="T69" s="712"/>
      <c r="U69" s="713"/>
      <c r="V69" s="714"/>
      <c r="W69" s="398">
        <f t="shared" si="12"/>
        <v>0</v>
      </c>
      <c r="X69" s="712"/>
      <c r="Y69" s="713"/>
      <c r="Z69" s="714"/>
      <c r="AA69" s="398">
        <f t="shared" ref="AA69:AA132" si="19">AA68+Y69-Z69</f>
        <v>0</v>
      </c>
      <c r="AB69" s="712"/>
      <c r="AC69" s="713"/>
      <c r="AD69" s="714"/>
      <c r="AE69" s="398">
        <f t="shared" ref="AE69:AE132" si="20">AE68+AC69-AD69</f>
        <v>0</v>
      </c>
      <c r="AF69" s="712"/>
      <c r="AG69" s="713"/>
      <c r="AH69" s="714"/>
      <c r="AI69" s="398">
        <f t="shared" ref="AI69:AI132" si="21">AI68+AG69-AH69</f>
        <v>0</v>
      </c>
      <c r="AJ69" s="712"/>
      <c r="AK69" s="713"/>
      <c r="AL69" s="714"/>
      <c r="AM69" s="398">
        <f t="shared" ref="AM69:AM132" si="22">AM68+AK69-AL69</f>
        <v>0</v>
      </c>
    </row>
    <row r="70" spans="1:39" ht="15.75" customHeight="1" x14ac:dyDescent="0.3">
      <c r="A70" s="2161"/>
      <c r="B70" s="1313" t="str">
        <f t="shared" si="16"/>
        <v/>
      </c>
      <c r="C70" s="1011">
        <f>IF($D$2="NO",0,ROUNDDOWN(SUM(PROD!$V$5:V71)/IF(Iniciar!$C$25="kilos",40,1),0)-SUM($C$4:$C69))</f>
        <v>0</v>
      </c>
      <c r="D70" s="702"/>
      <c r="E70" s="702"/>
      <c r="F70" s="300">
        <f t="shared" si="11"/>
        <v>-5000</v>
      </c>
      <c r="G70" s="694"/>
      <c r="H70" s="695"/>
      <c r="I70" s="1314"/>
      <c r="J70" s="1315">
        <f>IF(K$1&gt;0,ROUNDUP(SUM(PROD!AM$5:AM71)/K$1*K$2,0),0)-SUM(J$4:J69)</f>
        <v>0</v>
      </c>
      <c r="K70" s="1316">
        <f t="shared" si="17"/>
        <v>0</v>
      </c>
      <c r="L70" s="1314"/>
      <c r="M70" s="1315">
        <f>IF(N$1&gt;0,ROUNDUP(SUM(PROD!L$5:L71,-PROD!AM$5:AM71,-PROD!AZ$5:AZ71)/N$1*N$2,0),0)-SUM(M$4:M69)</f>
        <v>0</v>
      </c>
      <c r="N70" s="1316">
        <f t="shared" si="18"/>
        <v>0</v>
      </c>
      <c r="O70" s="1317">
        <f t="shared" si="13"/>
        <v>0</v>
      </c>
      <c r="P70" s="1318"/>
      <c r="Q70" s="1319"/>
      <c r="R70" s="1320">
        <f t="shared" si="14"/>
        <v>0</v>
      </c>
      <c r="S70" s="1316">
        <f t="shared" si="15"/>
        <v>0</v>
      </c>
      <c r="T70" s="712"/>
      <c r="U70" s="713"/>
      <c r="V70" s="714"/>
      <c r="W70" s="398">
        <f t="shared" si="12"/>
        <v>0</v>
      </c>
      <c r="X70" s="712"/>
      <c r="Y70" s="713"/>
      <c r="Z70" s="714"/>
      <c r="AA70" s="398">
        <f t="shared" si="19"/>
        <v>0</v>
      </c>
      <c r="AB70" s="712"/>
      <c r="AC70" s="713"/>
      <c r="AD70" s="714"/>
      <c r="AE70" s="398">
        <f t="shared" si="20"/>
        <v>0</v>
      </c>
      <c r="AF70" s="712"/>
      <c r="AG70" s="713"/>
      <c r="AH70" s="714"/>
      <c r="AI70" s="398">
        <f t="shared" si="21"/>
        <v>0</v>
      </c>
      <c r="AJ70" s="712"/>
      <c r="AK70" s="713"/>
      <c r="AL70" s="714"/>
      <c r="AM70" s="398">
        <f t="shared" si="22"/>
        <v>0</v>
      </c>
    </row>
    <row r="71" spans="1:39" ht="15.75" customHeight="1" x14ac:dyDescent="0.3">
      <c r="A71" s="2161"/>
      <c r="B71" s="1313" t="str">
        <f t="shared" si="16"/>
        <v/>
      </c>
      <c r="C71" s="1011">
        <f>IF($D$2="NO",0,ROUNDDOWN(SUM(PROD!$V$5:V72)/IF(Iniciar!$C$25="kilos",40,1),0)-SUM($C$4:$C70))</f>
        <v>0</v>
      </c>
      <c r="D71" s="702"/>
      <c r="E71" s="702"/>
      <c r="F71" s="300">
        <f t="shared" si="11"/>
        <v>-5000</v>
      </c>
      <c r="G71" s="694"/>
      <c r="H71" s="695"/>
      <c r="I71" s="1314"/>
      <c r="J71" s="1315">
        <f>IF(K$1&gt;0,ROUNDUP(SUM(PROD!AM$5:AM72)/K$1*K$2,0),0)-SUM(J$4:J70)</f>
        <v>0</v>
      </c>
      <c r="K71" s="1316">
        <f t="shared" si="17"/>
        <v>0</v>
      </c>
      <c r="L71" s="1314"/>
      <c r="M71" s="1315">
        <f>IF(N$1&gt;0,ROUNDUP(SUM(PROD!L$5:L72,-PROD!AM$5:AM72,-PROD!AZ$5:AZ72)/N$1*N$2,0),0)-SUM(M$4:M70)</f>
        <v>0</v>
      </c>
      <c r="N71" s="1316">
        <f t="shared" si="18"/>
        <v>0</v>
      </c>
      <c r="O71" s="1317">
        <f t="shared" si="13"/>
        <v>0</v>
      </c>
      <c r="P71" s="1318"/>
      <c r="Q71" s="1319"/>
      <c r="R71" s="1320">
        <f t="shared" si="14"/>
        <v>0</v>
      </c>
      <c r="S71" s="1316">
        <f t="shared" si="15"/>
        <v>0</v>
      </c>
      <c r="T71" s="712"/>
      <c r="U71" s="713"/>
      <c r="V71" s="714"/>
      <c r="W71" s="398">
        <f t="shared" si="12"/>
        <v>0</v>
      </c>
      <c r="X71" s="712"/>
      <c r="Y71" s="713"/>
      <c r="Z71" s="714"/>
      <c r="AA71" s="398">
        <f t="shared" si="19"/>
        <v>0</v>
      </c>
      <c r="AB71" s="712"/>
      <c r="AC71" s="713"/>
      <c r="AD71" s="714"/>
      <c r="AE71" s="398">
        <f t="shared" si="20"/>
        <v>0</v>
      </c>
      <c r="AF71" s="712"/>
      <c r="AG71" s="713"/>
      <c r="AH71" s="714"/>
      <c r="AI71" s="398">
        <f t="shared" si="21"/>
        <v>0</v>
      </c>
      <c r="AJ71" s="712"/>
      <c r="AK71" s="713"/>
      <c r="AL71" s="714"/>
      <c r="AM71" s="398">
        <f t="shared" si="22"/>
        <v>0</v>
      </c>
    </row>
    <row r="72" spans="1:39" ht="15.75" customHeight="1" x14ac:dyDescent="0.3">
      <c r="A72" s="2161"/>
      <c r="B72" s="1313" t="str">
        <f t="shared" si="16"/>
        <v/>
      </c>
      <c r="C72" s="1011">
        <f>IF($D$2="NO",0,ROUNDDOWN(SUM(PROD!$V$5:V73)/IF(Iniciar!$C$25="kilos",40,1),0)-SUM($C$4:$C71))</f>
        <v>0</v>
      </c>
      <c r="D72" s="702"/>
      <c r="E72" s="702"/>
      <c r="F72" s="300">
        <f t="shared" si="11"/>
        <v>-5000</v>
      </c>
      <c r="G72" s="694"/>
      <c r="H72" s="695"/>
      <c r="I72" s="1314"/>
      <c r="J72" s="1315">
        <f>IF(K$1&gt;0,ROUNDUP(SUM(PROD!AM$5:AM73)/K$1*K$2,0),0)-SUM(J$4:J71)</f>
        <v>0</v>
      </c>
      <c r="K72" s="1316">
        <f t="shared" si="17"/>
        <v>0</v>
      </c>
      <c r="L72" s="1314"/>
      <c r="M72" s="1315">
        <f>IF(N$1&gt;0,ROUNDUP(SUM(PROD!L$5:L73,-PROD!AM$5:AM73,-PROD!AZ$5:AZ73)/N$1*N$2,0),0)-SUM(M$4:M71)</f>
        <v>0</v>
      </c>
      <c r="N72" s="1316">
        <f t="shared" si="18"/>
        <v>0</v>
      </c>
      <c r="O72" s="1317">
        <f t="shared" si="13"/>
        <v>0</v>
      </c>
      <c r="P72" s="1318"/>
      <c r="Q72" s="1319"/>
      <c r="R72" s="1320">
        <f t="shared" si="14"/>
        <v>0</v>
      </c>
      <c r="S72" s="1316">
        <f t="shared" si="15"/>
        <v>0</v>
      </c>
      <c r="T72" s="712"/>
      <c r="U72" s="713"/>
      <c r="V72" s="714"/>
      <c r="W72" s="398">
        <f t="shared" si="12"/>
        <v>0</v>
      </c>
      <c r="X72" s="712"/>
      <c r="Y72" s="713"/>
      <c r="Z72" s="714"/>
      <c r="AA72" s="398">
        <f t="shared" si="19"/>
        <v>0</v>
      </c>
      <c r="AB72" s="712"/>
      <c r="AC72" s="713"/>
      <c r="AD72" s="714"/>
      <c r="AE72" s="398">
        <f t="shared" si="20"/>
        <v>0</v>
      </c>
      <c r="AF72" s="712"/>
      <c r="AG72" s="713"/>
      <c r="AH72" s="714"/>
      <c r="AI72" s="398">
        <f t="shared" si="21"/>
        <v>0</v>
      </c>
      <c r="AJ72" s="712"/>
      <c r="AK72" s="713"/>
      <c r="AL72" s="714"/>
      <c r="AM72" s="398">
        <f t="shared" si="22"/>
        <v>0</v>
      </c>
    </row>
    <row r="73" spans="1:39" ht="16.5" customHeight="1" x14ac:dyDescent="0.3">
      <c r="A73" s="2162"/>
      <c r="B73" s="1313" t="str">
        <f t="shared" si="16"/>
        <v/>
      </c>
      <c r="C73" s="1011">
        <f>IF($D$2="NO",0,ROUNDDOWN(SUM(PROD!$V$5:V74)/IF(Iniciar!$C$25="kilos",40,1),0)-SUM($C$4:$C72))</f>
        <v>0</v>
      </c>
      <c r="D73" s="702"/>
      <c r="E73" s="702"/>
      <c r="F73" s="300">
        <f t="shared" si="11"/>
        <v>-5000</v>
      </c>
      <c r="G73" s="694"/>
      <c r="H73" s="695"/>
      <c r="I73" s="1314"/>
      <c r="J73" s="1315">
        <f>IF(K$1&gt;0,ROUNDUP(SUM(PROD!AM$5:AM74)/K$1*K$2,0),0)-SUM(J$4:J72)</f>
        <v>0</v>
      </c>
      <c r="K73" s="1316">
        <f t="shared" si="17"/>
        <v>0</v>
      </c>
      <c r="L73" s="1314"/>
      <c r="M73" s="1315">
        <f>IF(N$1&gt;0,ROUNDUP(SUM(PROD!L$5:L74,-PROD!AM$5:AM74,-PROD!AZ$5:AZ74)/N$1*N$2,0),0)-SUM(M$4:M72)</f>
        <v>0</v>
      </c>
      <c r="N73" s="1316">
        <f t="shared" si="18"/>
        <v>0</v>
      </c>
      <c r="O73" s="1317">
        <f t="shared" si="13"/>
        <v>0</v>
      </c>
      <c r="P73" s="1318"/>
      <c r="Q73" s="1319"/>
      <c r="R73" s="1320">
        <f t="shared" si="14"/>
        <v>0</v>
      </c>
      <c r="S73" s="1316">
        <f t="shared" si="15"/>
        <v>0</v>
      </c>
      <c r="T73" s="712"/>
      <c r="U73" s="713"/>
      <c r="V73" s="714"/>
      <c r="W73" s="398">
        <f t="shared" si="12"/>
        <v>0</v>
      </c>
      <c r="X73" s="712"/>
      <c r="Y73" s="713"/>
      <c r="Z73" s="714"/>
      <c r="AA73" s="398">
        <f t="shared" si="19"/>
        <v>0</v>
      </c>
      <c r="AB73" s="712"/>
      <c r="AC73" s="713"/>
      <c r="AD73" s="714"/>
      <c r="AE73" s="398">
        <f t="shared" si="20"/>
        <v>0</v>
      </c>
      <c r="AF73" s="712"/>
      <c r="AG73" s="713"/>
      <c r="AH73" s="714"/>
      <c r="AI73" s="398">
        <f t="shared" si="21"/>
        <v>0</v>
      </c>
      <c r="AJ73" s="712"/>
      <c r="AK73" s="713"/>
      <c r="AL73" s="714"/>
      <c r="AM73" s="398">
        <f t="shared" si="22"/>
        <v>0</v>
      </c>
    </row>
    <row r="74" spans="1:39" ht="16.5" customHeight="1" x14ac:dyDescent="0.3">
      <c r="A74" s="2160">
        <f>A67+1</f>
        <v>28</v>
      </c>
      <c r="B74" s="1313" t="str">
        <f t="shared" si="16"/>
        <v/>
      </c>
      <c r="C74" s="1011">
        <f>IF($D$2="NO",0,ROUNDDOWN(SUM(PROD!$V$5:V75)/IF(Iniciar!$C$25="kilos",40,1),0)-SUM($C$4:$C73))</f>
        <v>0</v>
      </c>
      <c r="D74" s="702"/>
      <c r="E74" s="702"/>
      <c r="F74" s="300">
        <f t="shared" si="11"/>
        <v>-5000</v>
      </c>
      <c r="G74" s="694"/>
      <c r="H74" s="695"/>
      <c r="I74" s="1314"/>
      <c r="J74" s="1315">
        <f>IF(K$1&gt;0,ROUNDUP(SUM(PROD!AM$5:AM75)/K$1*K$2,0),0)-SUM(J$4:J73)</f>
        <v>0</v>
      </c>
      <c r="K74" s="1316">
        <f t="shared" si="17"/>
        <v>0</v>
      </c>
      <c r="L74" s="1314"/>
      <c r="M74" s="1315">
        <f>IF(N$1&gt;0,ROUNDUP(SUM(PROD!L$5:L75,-PROD!AM$5:AM75,-PROD!AZ$5:AZ75)/N$1*N$2,0),0)-SUM(M$4:M73)</f>
        <v>0</v>
      </c>
      <c r="N74" s="1316">
        <f t="shared" si="18"/>
        <v>0</v>
      </c>
      <c r="O74" s="1317">
        <f t="shared" si="13"/>
        <v>0</v>
      </c>
      <c r="P74" s="1318"/>
      <c r="Q74" s="1319"/>
      <c r="R74" s="1320">
        <f t="shared" si="14"/>
        <v>0</v>
      </c>
      <c r="S74" s="1316">
        <f t="shared" si="15"/>
        <v>0</v>
      </c>
      <c r="T74" s="712"/>
      <c r="U74" s="713"/>
      <c r="V74" s="714"/>
      <c r="W74" s="398">
        <f t="shared" si="12"/>
        <v>0</v>
      </c>
      <c r="X74" s="712"/>
      <c r="Y74" s="713"/>
      <c r="Z74" s="714"/>
      <c r="AA74" s="398">
        <f t="shared" si="19"/>
        <v>0</v>
      </c>
      <c r="AB74" s="712"/>
      <c r="AC74" s="713"/>
      <c r="AD74" s="714"/>
      <c r="AE74" s="398">
        <f t="shared" si="20"/>
        <v>0</v>
      </c>
      <c r="AF74" s="712"/>
      <c r="AG74" s="713"/>
      <c r="AH74" s="714"/>
      <c r="AI74" s="398">
        <f t="shared" si="21"/>
        <v>0</v>
      </c>
      <c r="AJ74" s="712"/>
      <c r="AK74" s="713"/>
      <c r="AL74" s="714"/>
      <c r="AM74" s="398">
        <f t="shared" si="22"/>
        <v>0</v>
      </c>
    </row>
    <row r="75" spans="1:39" ht="15.75" customHeight="1" x14ac:dyDescent="0.3">
      <c r="A75" s="2161"/>
      <c r="B75" s="1313" t="str">
        <f t="shared" si="16"/>
        <v/>
      </c>
      <c r="C75" s="1011">
        <f>IF($D$2="NO",0,ROUNDDOWN(SUM(PROD!$V$5:V76)/IF(Iniciar!$C$25="kilos",40,1),0)-SUM($C$4:$C74))</f>
        <v>0</v>
      </c>
      <c r="D75" s="702"/>
      <c r="E75" s="702"/>
      <c r="F75" s="300">
        <f t="shared" ref="F75:F138" si="23">F74+C75+D75-E75</f>
        <v>-5000</v>
      </c>
      <c r="G75" s="694"/>
      <c r="H75" s="695"/>
      <c r="I75" s="1314"/>
      <c r="J75" s="1315">
        <f>IF(K$1&gt;0,ROUNDUP(SUM(PROD!AM$5:AM76)/K$1*K$2,0),0)-SUM(J$4:J74)</f>
        <v>0</v>
      </c>
      <c r="K75" s="1316">
        <f t="shared" si="17"/>
        <v>0</v>
      </c>
      <c r="L75" s="1314"/>
      <c r="M75" s="1315">
        <f>IF(N$1&gt;0,ROUNDUP(SUM(PROD!L$5:L76,-PROD!AM$5:AM76,-PROD!AZ$5:AZ76)/N$1*N$2,0),0)-SUM(M$4:M74)</f>
        <v>0</v>
      </c>
      <c r="N75" s="1316">
        <f t="shared" si="18"/>
        <v>0</v>
      </c>
      <c r="O75" s="1317">
        <f t="shared" si="13"/>
        <v>0</v>
      </c>
      <c r="P75" s="1318"/>
      <c r="Q75" s="1319"/>
      <c r="R75" s="1320">
        <f t="shared" si="14"/>
        <v>0</v>
      </c>
      <c r="S75" s="1316">
        <f t="shared" si="15"/>
        <v>0</v>
      </c>
      <c r="T75" s="712"/>
      <c r="U75" s="713"/>
      <c r="V75" s="714"/>
      <c r="W75" s="398">
        <f t="shared" si="12"/>
        <v>0</v>
      </c>
      <c r="X75" s="712"/>
      <c r="Y75" s="713"/>
      <c r="Z75" s="714"/>
      <c r="AA75" s="398">
        <f t="shared" si="19"/>
        <v>0</v>
      </c>
      <c r="AB75" s="712"/>
      <c r="AC75" s="713"/>
      <c r="AD75" s="714"/>
      <c r="AE75" s="398">
        <f t="shared" si="20"/>
        <v>0</v>
      </c>
      <c r="AF75" s="712"/>
      <c r="AG75" s="713"/>
      <c r="AH75" s="714"/>
      <c r="AI75" s="398">
        <f t="shared" si="21"/>
        <v>0</v>
      </c>
      <c r="AJ75" s="712"/>
      <c r="AK75" s="713"/>
      <c r="AL75" s="714"/>
      <c r="AM75" s="398">
        <f t="shared" si="22"/>
        <v>0</v>
      </c>
    </row>
    <row r="76" spans="1:39" ht="15.75" customHeight="1" x14ac:dyDescent="0.3">
      <c r="A76" s="2161"/>
      <c r="B76" s="1313" t="str">
        <f t="shared" si="16"/>
        <v/>
      </c>
      <c r="C76" s="1011">
        <f>IF($D$2="NO",0,ROUNDDOWN(SUM(PROD!$V$5:V77)/IF(Iniciar!$C$25="kilos",40,1),0)-SUM($C$4:$C75))</f>
        <v>0</v>
      </c>
      <c r="D76" s="702"/>
      <c r="E76" s="702"/>
      <c r="F76" s="300">
        <f t="shared" si="23"/>
        <v>-5000</v>
      </c>
      <c r="G76" s="694"/>
      <c r="H76" s="695"/>
      <c r="I76" s="1314"/>
      <c r="J76" s="1315">
        <f>IF(K$1&gt;0,ROUNDUP(SUM(PROD!AM$5:AM77)/K$1*K$2,0),0)-SUM(J$4:J75)</f>
        <v>0</v>
      </c>
      <c r="K76" s="1316">
        <f t="shared" si="17"/>
        <v>0</v>
      </c>
      <c r="L76" s="1314"/>
      <c r="M76" s="1315">
        <f>IF(N$1&gt;0,ROUNDUP(SUM(PROD!L$5:L77,-PROD!AM$5:AM77,-PROD!AZ$5:AZ77)/N$1*N$2,0),0)-SUM(M$4:M75)</f>
        <v>0</v>
      </c>
      <c r="N76" s="1316">
        <f t="shared" si="18"/>
        <v>0</v>
      </c>
      <c r="O76" s="1317">
        <f t="shared" si="13"/>
        <v>0</v>
      </c>
      <c r="P76" s="1318"/>
      <c r="Q76" s="1319"/>
      <c r="R76" s="1320">
        <f t="shared" si="14"/>
        <v>0</v>
      </c>
      <c r="S76" s="1316">
        <f t="shared" si="15"/>
        <v>0</v>
      </c>
      <c r="T76" s="712"/>
      <c r="U76" s="713"/>
      <c r="V76" s="714"/>
      <c r="W76" s="398">
        <f t="shared" si="12"/>
        <v>0</v>
      </c>
      <c r="X76" s="712"/>
      <c r="Y76" s="713"/>
      <c r="Z76" s="714"/>
      <c r="AA76" s="398">
        <f t="shared" si="19"/>
        <v>0</v>
      </c>
      <c r="AB76" s="712"/>
      <c r="AC76" s="713"/>
      <c r="AD76" s="714"/>
      <c r="AE76" s="398">
        <f t="shared" si="20"/>
        <v>0</v>
      </c>
      <c r="AF76" s="712"/>
      <c r="AG76" s="713"/>
      <c r="AH76" s="714"/>
      <c r="AI76" s="398">
        <f t="shared" si="21"/>
        <v>0</v>
      </c>
      <c r="AJ76" s="712"/>
      <c r="AK76" s="713"/>
      <c r="AL76" s="714"/>
      <c r="AM76" s="398">
        <f t="shared" si="22"/>
        <v>0</v>
      </c>
    </row>
    <row r="77" spans="1:39" ht="15.75" customHeight="1" x14ac:dyDescent="0.3">
      <c r="A77" s="2161"/>
      <c r="B77" s="1313" t="str">
        <f t="shared" si="16"/>
        <v/>
      </c>
      <c r="C77" s="1011">
        <f>IF($D$2="NO",0,ROUNDDOWN(SUM(PROD!$V$5:V78)/IF(Iniciar!$C$25="kilos",40,1),0)-SUM($C$4:$C76))</f>
        <v>0</v>
      </c>
      <c r="D77" s="702"/>
      <c r="E77" s="702"/>
      <c r="F77" s="300">
        <f t="shared" si="23"/>
        <v>-5000</v>
      </c>
      <c r="G77" s="694"/>
      <c r="H77" s="695"/>
      <c r="I77" s="1314"/>
      <c r="J77" s="1315">
        <f>IF(K$1&gt;0,ROUNDUP(SUM(PROD!AM$5:AM78)/K$1*K$2,0),0)-SUM(J$4:J76)</f>
        <v>0</v>
      </c>
      <c r="K77" s="1316">
        <f t="shared" si="17"/>
        <v>0</v>
      </c>
      <c r="L77" s="1314"/>
      <c r="M77" s="1315">
        <f>IF(N$1&gt;0,ROUNDUP(SUM(PROD!L$5:L78,-PROD!AM$5:AM78,-PROD!AZ$5:AZ78)/N$1*N$2,0),0)-SUM(M$4:M76)</f>
        <v>0</v>
      </c>
      <c r="N77" s="1316">
        <f t="shared" si="18"/>
        <v>0</v>
      </c>
      <c r="O77" s="1317">
        <f t="shared" si="13"/>
        <v>0</v>
      </c>
      <c r="P77" s="1318"/>
      <c r="Q77" s="1319"/>
      <c r="R77" s="1320">
        <f t="shared" si="14"/>
        <v>0</v>
      </c>
      <c r="S77" s="1316">
        <f t="shared" si="15"/>
        <v>0</v>
      </c>
      <c r="T77" s="712"/>
      <c r="U77" s="713"/>
      <c r="V77" s="714"/>
      <c r="W77" s="398">
        <f t="shared" si="12"/>
        <v>0</v>
      </c>
      <c r="X77" s="712"/>
      <c r="Y77" s="713"/>
      <c r="Z77" s="714"/>
      <c r="AA77" s="398">
        <f t="shared" si="19"/>
        <v>0</v>
      </c>
      <c r="AB77" s="712"/>
      <c r="AC77" s="713"/>
      <c r="AD77" s="714"/>
      <c r="AE77" s="398">
        <f t="shared" si="20"/>
        <v>0</v>
      </c>
      <c r="AF77" s="712"/>
      <c r="AG77" s="713"/>
      <c r="AH77" s="714"/>
      <c r="AI77" s="398">
        <f t="shared" si="21"/>
        <v>0</v>
      </c>
      <c r="AJ77" s="712"/>
      <c r="AK77" s="713"/>
      <c r="AL77" s="714"/>
      <c r="AM77" s="398">
        <f t="shared" si="22"/>
        <v>0</v>
      </c>
    </row>
    <row r="78" spans="1:39" ht="15.75" customHeight="1" x14ac:dyDescent="0.3">
      <c r="A78" s="2161"/>
      <c r="B78" s="1313" t="str">
        <f t="shared" si="16"/>
        <v/>
      </c>
      <c r="C78" s="1011">
        <f>IF($D$2="NO",0,ROUNDDOWN(SUM(PROD!$V$5:V79)/IF(Iniciar!$C$25="kilos",40,1),0)-SUM($C$4:$C77))</f>
        <v>0</v>
      </c>
      <c r="D78" s="702"/>
      <c r="E78" s="702"/>
      <c r="F78" s="300">
        <f t="shared" si="23"/>
        <v>-5000</v>
      </c>
      <c r="G78" s="694"/>
      <c r="H78" s="695"/>
      <c r="I78" s="1314"/>
      <c r="J78" s="1315">
        <f>IF(K$1&gt;0,ROUNDUP(SUM(PROD!AM$5:AM79)/K$1*K$2,0),0)-SUM(J$4:J77)</f>
        <v>0</v>
      </c>
      <c r="K78" s="1316">
        <f t="shared" si="17"/>
        <v>0</v>
      </c>
      <c r="L78" s="1314"/>
      <c r="M78" s="1315">
        <f>IF(N$1&gt;0,ROUNDUP(SUM(PROD!L$5:L79,-PROD!AM$5:AM79,-PROD!AZ$5:AZ79)/N$1*N$2,0),0)-SUM(M$4:M77)</f>
        <v>0</v>
      </c>
      <c r="N78" s="1316">
        <f t="shared" si="18"/>
        <v>0</v>
      </c>
      <c r="O78" s="1317">
        <f t="shared" si="13"/>
        <v>0</v>
      </c>
      <c r="P78" s="1318"/>
      <c r="Q78" s="1319"/>
      <c r="R78" s="1320">
        <f t="shared" si="14"/>
        <v>0</v>
      </c>
      <c r="S78" s="1316">
        <f t="shared" si="15"/>
        <v>0</v>
      </c>
      <c r="T78" s="712"/>
      <c r="U78" s="713"/>
      <c r="V78" s="714"/>
      <c r="W78" s="398">
        <f t="shared" si="12"/>
        <v>0</v>
      </c>
      <c r="X78" s="712"/>
      <c r="Y78" s="713"/>
      <c r="Z78" s="714"/>
      <c r="AA78" s="398">
        <f t="shared" si="19"/>
        <v>0</v>
      </c>
      <c r="AB78" s="712"/>
      <c r="AC78" s="713"/>
      <c r="AD78" s="714"/>
      <c r="AE78" s="398">
        <f t="shared" si="20"/>
        <v>0</v>
      </c>
      <c r="AF78" s="712"/>
      <c r="AG78" s="713"/>
      <c r="AH78" s="714"/>
      <c r="AI78" s="398">
        <f t="shared" si="21"/>
        <v>0</v>
      </c>
      <c r="AJ78" s="712"/>
      <c r="AK78" s="713"/>
      <c r="AL78" s="714"/>
      <c r="AM78" s="398">
        <f t="shared" si="22"/>
        <v>0</v>
      </c>
    </row>
    <row r="79" spans="1:39" ht="15.75" customHeight="1" x14ac:dyDescent="0.3">
      <c r="A79" s="2161"/>
      <c r="B79" s="1313" t="str">
        <f t="shared" si="16"/>
        <v/>
      </c>
      <c r="C79" s="1011">
        <f>IF($D$2="NO",0,ROUNDDOWN(SUM(PROD!$V$5:V80)/IF(Iniciar!$C$25="kilos",40,1),0)-SUM($C$4:$C78))</f>
        <v>0</v>
      </c>
      <c r="D79" s="702"/>
      <c r="E79" s="702"/>
      <c r="F79" s="300">
        <f t="shared" si="23"/>
        <v>-5000</v>
      </c>
      <c r="G79" s="694"/>
      <c r="H79" s="695"/>
      <c r="I79" s="1314"/>
      <c r="J79" s="1315">
        <f>IF(K$1&gt;0,ROUNDUP(SUM(PROD!AM$5:AM80)/K$1*K$2,0),0)-SUM(J$4:J78)</f>
        <v>0</v>
      </c>
      <c r="K79" s="1316">
        <f t="shared" si="17"/>
        <v>0</v>
      </c>
      <c r="L79" s="1314"/>
      <c r="M79" s="1315">
        <f>IF(N$1&gt;0,ROUNDUP(SUM(PROD!L$5:L80,-PROD!AM$5:AM80,-PROD!AZ$5:AZ80)/N$1*N$2,0),0)-SUM(M$4:M78)</f>
        <v>0</v>
      </c>
      <c r="N79" s="1316">
        <f t="shared" si="18"/>
        <v>0</v>
      </c>
      <c r="O79" s="1317">
        <f t="shared" si="13"/>
        <v>0</v>
      </c>
      <c r="P79" s="1318"/>
      <c r="Q79" s="1319"/>
      <c r="R79" s="1320">
        <f t="shared" si="14"/>
        <v>0</v>
      </c>
      <c r="S79" s="1316">
        <f t="shared" si="15"/>
        <v>0</v>
      </c>
      <c r="T79" s="712"/>
      <c r="U79" s="713"/>
      <c r="V79" s="714"/>
      <c r="W79" s="398">
        <f t="shared" si="12"/>
        <v>0</v>
      </c>
      <c r="X79" s="712"/>
      <c r="Y79" s="713"/>
      <c r="Z79" s="714"/>
      <c r="AA79" s="398">
        <f t="shared" si="19"/>
        <v>0</v>
      </c>
      <c r="AB79" s="712"/>
      <c r="AC79" s="713"/>
      <c r="AD79" s="714"/>
      <c r="AE79" s="398">
        <f t="shared" si="20"/>
        <v>0</v>
      </c>
      <c r="AF79" s="712"/>
      <c r="AG79" s="713"/>
      <c r="AH79" s="714"/>
      <c r="AI79" s="398">
        <f t="shared" si="21"/>
        <v>0</v>
      </c>
      <c r="AJ79" s="712"/>
      <c r="AK79" s="713"/>
      <c r="AL79" s="714"/>
      <c r="AM79" s="398">
        <f t="shared" si="22"/>
        <v>0</v>
      </c>
    </row>
    <row r="80" spans="1:39" ht="16.5" customHeight="1" x14ac:dyDescent="0.3">
      <c r="A80" s="2162"/>
      <c r="B80" s="1313" t="str">
        <f t="shared" si="16"/>
        <v/>
      </c>
      <c r="C80" s="1011">
        <f>IF($D$2="NO",0,ROUNDDOWN(SUM(PROD!$V$5:V81)/IF(Iniciar!$C$25="kilos",40,1),0)-SUM($C$4:$C79))</f>
        <v>0</v>
      </c>
      <c r="D80" s="702"/>
      <c r="E80" s="702"/>
      <c r="F80" s="300">
        <f t="shared" si="23"/>
        <v>-5000</v>
      </c>
      <c r="G80" s="694"/>
      <c r="H80" s="695"/>
      <c r="I80" s="1314"/>
      <c r="J80" s="1315">
        <f>IF(K$1&gt;0,ROUNDUP(SUM(PROD!AM$5:AM81)/K$1*K$2,0),0)-SUM(J$4:J79)</f>
        <v>0</v>
      </c>
      <c r="K80" s="1316">
        <f t="shared" si="17"/>
        <v>0</v>
      </c>
      <c r="L80" s="1314"/>
      <c r="M80" s="1315">
        <f>IF(N$1&gt;0,ROUNDUP(SUM(PROD!L$5:L81,-PROD!AM$5:AM81,-PROD!AZ$5:AZ81)/N$1*N$2,0),0)-SUM(M$4:M79)</f>
        <v>0</v>
      </c>
      <c r="N80" s="1316">
        <f t="shared" si="18"/>
        <v>0</v>
      </c>
      <c r="O80" s="1317">
        <f t="shared" si="13"/>
        <v>0</v>
      </c>
      <c r="P80" s="1318"/>
      <c r="Q80" s="1319"/>
      <c r="R80" s="1320">
        <f t="shared" si="14"/>
        <v>0</v>
      </c>
      <c r="S80" s="1316">
        <f t="shared" si="15"/>
        <v>0</v>
      </c>
      <c r="T80" s="712"/>
      <c r="U80" s="713"/>
      <c r="V80" s="714"/>
      <c r="W80" s="398">
        <f t="shared" si="12"/>
        <v>0</v>
      </c>
      <c r="X80" s="712"/>
      <c r="Y80" s="713"/>
      <c r="Z80" s="714"/>
      <c r="AA80" s="398">
        <f t="shared" si="19"/>
        <v>0</v>
      </c>
      <c r="AB80" s="712"/>
      <c r="AC80" s="713"/>
      <c r="AD80" s="714"/>
      <c r="AE80" s="398">
        <f t="shared" si="20"/>
        <v>0</v>
      </c>
      <c r="AF80" s="712"/>
      <c r="AG80" s="713"/>
      <c r="AH80" s="714"/>
      <c r="AI80" s="398">
        <f t="shared" si="21"/>
        <v>0</v>
      </c>
      <c r="AJ80" s="712"/>
      <c r="AK80" s="713"/>
      <c r="AL80" s="714"/>
      <c r="AM80" s="398">
        <f t="shared" si="22"/>
        <v>0</v>
      </c>
    </row>
    <row r="81" spans="1:39" ht="16.5" customHeight="1" x14ac:dyDescent="0.3">
      <c r="A81" s="2160">
        <f>A74+1</f>
        <v>29</v>
      </c>
      <c r="B81" s="1313" t="str">
        <f t="shared" si="16"/>
        <v/>
      </c>
      <c r="C81" s="1011">
        <f>IF($D$2="NO",0,ROUNDDOWN(SUM(PROD!$V$5:V82)/IF(Iniciar!$C$25="kilos",40,1),0)-SUM($C$4:$C80))</f>
        <v>0</v>
      </c>
      <c r="D81" s="702"/>
      <c r="E81" s="702">
        <v>10000</v>
      </c>
      <c r="F81" s="300">
        <f t="shared" si="23"/>
        <v>-15000</v>
      </c>
      <c r="G81" s="694"/>
      <c r="H81" s="695"/>
      <c r="I81" s="1314"/>
      <c r="J81" s="1315">
        <f>IF(K$1&gt;0,ROUNDUP(SUM(PROD!AM$5:AM82)/K$1*K$2,0),0)-SUM(J$4:J80)</f>
        <v>0</v>
      </c>
      <c r="K81" s="1316">
        <f t="shared" si="17"/>
        <v>0</v>
      </c>
      <c r="L81" s="1314"/>
      <c r="M81" s="1315">
        <f>IF(N$1&gt;0,ROUNDUP(SUM(PROD!L$5:L82,-PROD!AM$5:AM82,-PROD!AZ$5:AZ82)/N$1*N$2,0),0)-SUM(M$4:M80)</f>
        <v>0</v>
      </c>
      <c r="N81" s="1316">
        <f t="shared" si="18"/>
        <v>0</v>
      </c>
      <c r="O81" s="1317">
        <f t="shared" si="13"/>
        <v>0</v>
      </c>
      <c r="P81" s="1318"/>
      <c r="Q81" s="1319"/>
      <c r="R81" s="1320">
        <f t="shared" si="14"/>
        <v>0</v>
      </c>
      <c r="S81" s="1316">
        <f t="shared" si="15"/>
        <v>0</v>
      </c>
      <c r="T81" s="712"/>
      <c r="U81" s="713"/>
      <c r="V81" s="714"/>
      <c r="W81" s="398">
        <f t="shared" si="12"/>
        <v>0</v>
      </c>
      <c r="X81" s="712"/>
      <c r="Y81" s="713"/>
      <c r="Z81" s="714"/>
      <c r="AA81" s="398">
        <f t="shared" si="19"/>
        <v>0</v>
      </c>
      <c r="AB81" s="712"/>
      <c r="AC81" s="713"/>
      <c r="AD81" s="714"/>
      <c r="AE81" s="398">
        <f t="shared" si="20"/>
        <v>0</v>
      </c>
      <c r="AF81" s="712"/>
      <c r="AG81" s="713"/>
      <c r="AH81" s="714"/>
      <c r="AI81" s="398">
        <f t="shared" si="21"/>
        <v>0</v>
      </c>
      <c r="AJ81" s="712"/>
      <c r="AK81" s="713"/>
      <c r="AL81" s="714"/>
      <c r="AM81" s="398">
        <f t="shared" si="22"/>
        <v>0</v>
      </c>
    </row>
    <row r="82" spans="1:39" ht="15.75" customHeight="1" x14ac:dyDescent="0.3">
      <c r="A82" s="2161"/>
      <c r="B82" s="1313" t="str">
        <f t="shared" si="16"/>
        <v/>
      </c>
      <c r="C82" s="1011">
        <f>IF($D$2="NO",0,ROUNDDOWN(SUM(PROD!$V$5:V83)/IF(Iniciar!$C$25="kilos",40,1),0)-SUM($C$4:$C81))</f>
        <v>0</v>
      </c>
      <c r="D82" s="702"/>
      <c r="E82" s="702"/>
      <c r="F82" s="300">
        <f t="shared" si="23"/>
        <v>-15000</v>
      </c>
      <c r="G82" s="694"/>
      <c r="H82" s="695"/>
      <c r="I82" s="1314"/>
      <c r="J82" s="1315">
        <f>IF(K$1&gt;0,ROUNDUP(SUM(PROD!AM$5:AM83)/K$1*K$2,0),0)-SUM(J$4:J81)</f>
        <v>0</v>
      </c>
      <c r="K82" s="1316">
        <f t="shared" si="17"/>
        <v>0</v>
      </c>
      <c r="L82" s="1314"/>
      <c r="M82" s="1315">
        <f>IF(N$1&gt;0,ROUNDUP(SUM(PROD!L$5:L83,-PROD!AM$5:AM83,-PROD!AZ$5:AZ83)/N$1*N$2,0),0)-SUM(M$4:M81)</f>
        <v>0</v>
      </c>
      <c r="N82" s="1316">
        <f t="shared" si="18"/>
        <v>0</v>
      </c>
      <c r="O82" s="1317">
        <f t="shared" si="13"/>
        <v>0</v>
      </c>
      <c r="P82" s="1318"/>
      <c r="Q82" s="1319"/>
      <c r="R82" s="1320">
        <f t="shared" si="14"/>
        <v>0</v>
      </c>
      <c r="S82" s="1316">
        <f t="shared" si="15"/>
        <v>0</v>
      </c>
      <c r="T82" s="712"/>
      <c r="U82" s="713"/>
      <c r="V82" s="714"/>
      <c r="W82" s="398">
        <f t="shared" ref="W82:W145" si="24">W81+U82-V82</f>
        <v>0</v>
      </c>
      <c r="X82" s="712"/>
      <c r="Y82" s="713"/>
      <c r="Z82" s="714"/>
      <c r="AA82" s="398">
        <f t="shared" si="19"/>
        <v>0</v>
      </c>
      <c r="AB82" s="712"/>
      <c r="AC82" s="713"/>
      <c r="AD82" s="714"/>
      <c r="AE82" s="398">
        <f t="shared" si="20"/>
        <v>0</v>
      </c>
      <c r="AF82" s="712"/>
      <c r="AG82" s="713"/>
      <c r="AH82" s="714"/>
      <c r="AI82" s="398">
        <f t="shared" si="21"/>
        <v>0</v>
      </c>
      <c r="AJ82" s="712"/>
      <c r="AK82" s="713"/>
      <c r="AL82" s="714"/>
      <c r="AM82" s="398">
        <f t="shared" si="22"/>
        <v>0</v>
      </c>
    </row>
    <row r="83" spans="1:39" ht="15.75" customHeight="1" x14ac:dyDescent="0.3">
      <c r="A83" s="2161"/>
      <c r="B83" s="1313" t="str">
        <f t="shared" si="16"/>
        <v/>
      </c>
      <c r="C83" s="1011">
        <f>IF($D$2="NO",0,ROUNDDOWN(SUM(PROD!$V$5:V84)/IF(Iniciar!$C$25="kilos",40,1),0)-SUM($C$4:$C82))</f>
        <v>0</v>
      </c>
      <c r="D83" s="702"/>
      <c r="E83" s="702"/>
      <c r="F83" s="300">
        <f t="shared" si="23"/>
        <v>-15000</v>
      </c>
      <c r="G83" s="694"/>
      <c r="H83" s="695"/>
      <c r="I83" s="1314"/>
      <c r="J83" s="1315">
        <f>IF(K$1&gt;0,ROUNDUP(SUM(PROD!AM$5:AM84)/K$1*K$2,0),0)-SUM(J$4:J82)</f>
        <v>0</v>
      </c>
      <c r="K83" s="1316">
        <f t="shared" si="17"/>
        <v>0</v>
      </c>
      <c r="L83" s="1314"/>
      <c r="M83" s="1315">
        <f>IF(N$1&gt;0,ROUNDUP(SUM(PROD!L$5:L84,-PROD!AM$5:AM84,-PROD!AZ$5:AZ84)/N$1*N$2,0),0)-SUM(M$4:M82)</f>
        <v>0</v>
      </c>
      <c r="N83" s="1316">
        <f t="shared" si="18"/>
        <v>0</v>
      </c>
      <c r="O83" s="1317">
        <f t="shared" si="13"/>
        <v>0</v>
      </c>
      <c r="P83" s="1318"/>
      <c r="Q83" s="1319"/>
      <c r="R83" s="1320">
        <f t="shared" si="14"/>
        <v>0</v>
      </c>
      <c r="S83" s="1316">
        <f t="shared" si="15"/>
        <v>0</v>
      </c>
      <c r="T83" s="712"/>
      <c r="U83" s="713"/>
      <c r="V83" s="714"/>
      <c r="W83" s="398">
        <f t="shared" si="24"/>
        <v>0</v>
      </c>
      <c r="X83" s="712"/>
      <c r="Y83" s="713"/>
      <c r="Z83" s="714"/>
      <c r="AA83" s="398">
        <f t="shared" si="19"/>
        <v>0</v>
      </c>
      <c r="AB83" s="712"/>
      <c r="AC83" s="713"/>
      <c r="AD83" s="714"/>
      <c r="AE83" s="398">
        <f t="shared" si="20"/>
        <v>0</v>
      </c>
      <c r="AF83" s="712"/>
      <c r="AG83" s="713"/>
      <c r="AH83" s="714"/>
      <c r="AI83" s="398">
        <f t="shared" si="21"/>
        <v>0</v>
      </c>
      <c r="AJ83" s="712"/>
      <c r="AK83" s="713"/>
      <c r="AL83" s="714"/>
      <c r="AM83" s="398">
        <f t="shared" si="22"/>
        <v>0</v>
      </c>
    </row>
    <row r="84" spans="1:39" ht="15.75" customHeight="1" x14ac:dyDescent="0.3">
      <c r="A84" s="2161"/>
      <c r="B84" s="1313" t="str">
        <f t="shared" si="16"/>
        <v/>
      </c>
      <c r="C84" s="1011">
        <f>IF($D$2="NO",0,ROUNDDOWN(SUM(PROD!$V$5:V85)/IF(Iniciar!$C$25="kilos",40,1),0)-SUM($C$4:$C83))</f>
        <v>0</v>
      </c>
      <c r="D84" s="702"/>
      <c r="E84" s="702"/>
      <c r="F84" s="300">
        <f t="shared" si="23"/>
        <v>-15000</v>
      </c>
      <c r="G84" s="694"/>
      <c r="H84" s="695"/>
      <c r="I84" s="1314"/>
      <c r="J84" s="1315">
        <f>IF(K$1&gt;0,ROUNDUP(SUM(PROD!AM$5:AM85)/K$1*K$2,0),0)-SUM(J$4:J83)</f>
        <v>0</v>
      </c>
      <c r="K84" s="1316">
        <f t="shared" si="17"/>
        <v>0</v>
      </c>
      <c r="L84" s="1314"/>
      <c r="M84" s="1315">
        <f>IF(N$1&gt;0,ROUNDUP(SUM(PROD!L$5:L85,-PROD!AM$5:AM85,-PROD!AZ$5:AZ85)/N$1*N$2,0),0)-SUM(M$4:M83)</f>
        <v>0</v>
      </c>
      <c r="N84" s="1316">
        <f t="shared" si="18"/>
        <v>0</v>
      </c>
      <c r="O84" s="1317">
        <f t="shared" si="13"/>
        <v>0</v>
      </c>
      <c r="P84" s="1318"/>
      <c r="Q84" s="1319"/>
      <c r="R84" s="1320">
        <f t="shared" si="14"/>
        <v>0</v>
      </c>
      <c r="S84" s="1316">
        <f t="shared" si="15"/>
        <v>0</v>
      </c>
      <c r="T84" s="712"/>
      <c r="U84" s="713"/>
      <c r="V84" s="714"/>
      <c r="W84" s="398">
        <f t="shared" si="24"/>
        <v>0</v>
      </c>
      <c r="X84" s="712"/>
      <c r="Y84" s="713"/>
      <c r="Z84" s="714"/>
      <c r="AA84" s="398">
        <f t="shared" si="19"/>
        <v>0</v>
      </c>
      <c r="AB84" s="712"/>
      <c r="AC84" s="713"/>
      <c r="AD84" s="714"/>
      <c r="AE84" s="398">
        <f t="shared" si="20"/>
        <v>0</v>
      </c>
      <c r="AF84" s="712"/>
      <c r="AG84" s="713"/>
      <c r="AH84" s="714"/>
      <c r="AI84" s="398">
        <f t="shared" si="21"/>
        <v>0</v>
      </c>
      <c r="AJ84" s="712"/>
      <c r="AK84" s="713"/>
      <c r="AL84" s="714"/>
      <c r="AM84" s="398">
        <f t="shared" si="22"/>
        <v>0</v>
      </c>
    </row>
    <row r="85" spans="1:39" ht="15.75" customHeight="1" x14ac:dyDescent="0.3">
      <c r="A85" s="2161"/>
      <c r="B85" s="1313" t="str">
        <f t="shared" si="16"/>
        <v/>
      </c>
      <c r="C85" s="1011">
        <f>IF($D$2="NO",0,ROUNDDOWN(SUM(PROD!$V$5:V86)/IF(Iniciar!$C$25="kilos",40,1),0)-SUM($C$4:$C84))</f>
        <v>0</v>
      </c>
      <c r="D85" s="702"/>
      <c r="E85" s="702"/>
      <c r="F85" s="300">
        <f t="shared" si="23"/>
        <v>-15000</v>
      </c>
      <c r="G85" s="694"/>
      <c r="H85" s="695"/>
      <c r="I85" s="1314"/>
      <c r="J85" s="1315">
        <f>IF(K$1&gt;0,ROUNDUP(SUM(PROD!AM$5:AM86)/K$1*K$2,0),0)-SUM(J$4:J84)</f>
        <v>0</v>
      </c>
      <c r="K85" s="1316">
        <f t="shared" si="17"/>
        <v>0</v>
      </c>
      <c r="L85" s="1314"/>
      <c r="M85" s="1315">
        <f>IF(N$1&gt;0,ROUNDUP(SUM(PROD!L$5:L86,-PROD!AM$5:AM86,-PROD!AZ$5:AZ86)/N$1*N$2,0),0)-SUM(M$4:M84)</f>
        <v>0</v>
      </c>
      <c r="N85" s="1316">
        <f t="shared" si="18"/>
        <v>0</v>
      </c>
      <c r="O85" s="1317">
        <f t="shared" si="13"/>
        <v>0</v>
      </c>
      <c r="P85" s="1318"/>
      <c r="Q85" s="1319"/>
      <c r="R85" s="1320">
        <f t="shared" si="14"/>
        <v>0</v>
      </c>
      <c r="S85" s="1316">
        <f t="shared" si="15"/>
        <v>0</v>
      </c>
      <c r="T85" s="712"/>
      <c r="U85" s="713"/>
      <c r="V85" s="714"/>
      <c r="W85" s="398">
        <f t="shared" si="24"/>
        <v>0</v>
      </c>
      <c r="X85" s="712"/>
      <c r="Y85" s="713"/>
      <c r="Z85" s="714"/>
      <c r="AA85" s="398">
        <f t="shared" si="19"/>
        <v>0</v>
      </c>
      <c r="AB85" s="712"/>
      <c r="AC85" s="713"/>
      <c r="AD85" s="714"/>
      <c r="AE85" s="398">
        <f t="shared" si="20"/>
        <v>0</v>
      </c>
      <c r="AF85" s="712"/>
      <c r="AG85" s="713"/>
      <c r="AH85" s="714"/>
      <c r="AI85" s="398">
        <f t="shared" si="21"/>
        <v>0</v>
      </c>
      <c r="AJ85" s="712"/>
      <c r="AK85" s="713"/>
      <c r="AL85" s="714"/>
      <c r="AM85" s="398">
        <f t="shared" si="22"/>
        <v>0</v>
      </c>
    </row>
    <row r="86" spans="1:39" ht="15.75" customHeight="1" x14ac:dyDescent="0.3">
      <c r="A86" s="2161"/>
      <c r="B86" s="1313" t="str">
        <f t="shared" si="16"/>
        <v/>
      </c>
      <c r="C86" s="1011">
        <f>IF($D$2="NO",0,ROUNDDOWN(SUM(PROD!$V$5:V87)/IF(Iniciar!$C$25="kilos",40,1),0)-SUM($C$4:$C85))</f>
        <v>0</v>
      </c>
      <c r="D86" s="702"/>
      <c r="E86" s="702"/>
      <c r="F86" s="300">
        <f t="shared" si="23"/>
        <v>-15000</v>
      </c>
      <c r="G86" s="694"/>
      <c r="H86" s="695"/>
      <c r="I86" s="1314"/>
      <c r="J86" s="1315">
        <f>IF(K$1&gt;0,ROUNDUP(SUM(PROD!AM$5:AM87)/K$1*K$2,0),0)-SUM(J$4:J85)</f>
        <v>0</v>
      </c>
      <c r="K86" s="1316">
        <f t="shared" si="17"/>
        <v>0</v>
      </c>
      <c r="L86" s="1314"/>
      <c r="M86" s="1315">
        <f>IF(N$1&gt;0,ROUNDUP(SUM(PROD!L$5:L87,-PROD!AM$5:AM87,-PROD!AZ$5:AZ87)/N$1*N$2,0),0)-SUM(M$4:M85)</f>
        <v>0</v>
      </c>
      <c r="N86" s="1316">
        <f t="shared" si="18"/>
        <v>0</v>
      </c>
      <c r="O86" s="1317">
        <f t="shared" si="13"/>
        <v>0</v>
      </c>
      <c r="P86" s="1318"/>
      <c r="Q86" s="1319"/>
      <c r="R86" s="1320">
        <f t="shared" si="14"/>
        <v>0</v>
      </c>
      <c r="S86" s="1316">
        <f t="shared" si="15"/>
        <v>0</v>
      </c>
      <c r="T86" s="712"/>
      <c r="U86" s="713"/>
      <c r="V86" s="714"/>
      <c r="W86" s="398">
        <f t="shared" si="24"/>
        <v>0</v>
      </c>
      <c r="X86" s="712"/>
      <c r="Y86" s="713"/>
      <c r="Z86" s="714"/>
      <c r="AA86" s="398">
        <f t="shared" si="19"/>
        <v>0</v>
      </c>
      <c r="AB86" s="712"/>
      <c r="AC86" s="713"/>
      <c r="AD86" s="714"/>
      <c r="AE86" s="398">
        <f t="shared" si="20"/>
        <v>0</v>
      </c>
      <c r="AF86" s="712"/>
      <c r="AG86" s="713"/>
      <c r="AH86" s="714"/>
      <c r="AI86" s="398">
        <f t="shared" si="21"/>
        <v>0</v>
      </c>
      <c r="AJ86" s="712"/>
      <c r="AK86" s="713"/>
      <c r="AL86" s="714"/>
      <c r="AM86" s="398">
        <f t="shared" si="22"/>
        <v>0</v>
      </c>
    </row>
    <row r="87" spans="1:39" ht="16.5" customHeight="1" x14ac:dyDescent="0.3">
      <c r="A87" s="2162"/>
      <c r="B87" s="1313" t="str">
        <f t="shared" si="16"/>
        <v/>
      </c>
      <c r="C87" s="1011">
        <f>IF($D$2="NO",0,ROUNDDOWN(SUM(PROD!$V$5:V88)/IF(Iniciar!$C$25="kilos",40,1),0)-SUM($C$4:$C86))</f>
        <v>0</v>
      </c>
      <c r="D87" s="702"/>
      <c r="E87" s="702"/>
      <c r="F87" s="300">
        <f t="shared" si="23"/>
        <v>-15000</v>
      </c>
      <c r="G87" s="694"/>
      <c r="H87" s="695"/>
      <c r="I87" s="1314"/>
      <c r="J87" s="1315">
        <f>IF(K$1&gt;0,ROUNDUP(SUM(PROD!AM$5:AM88)/K$1*K$2,0),0)-SUM(J$4:J86)</f>
        <v>0</v>
      </c>
      <c r="K87" s="1316">
        <f t="shared" si="17"/>
        <v>0</v>
      </c>
      <c r="L87" s="1314"/>
      <c r="M87" s="1315">
        <f>IF(N$1&gt;0,ROUNDUP(SUM(PROD!L$5:L88,-PROD!AM$5:AM88,-PROD!AZ$5:AZ88)/N$1*N$2,0),0)-SUM(M$4:M86)</f>
        <v>0</v>
      </c>
      <c r="N87" s="1316">
        <f t="shared" si="18"/>
        <v>0</v>
      </c>
      <c r="O87" s="1317">
        <f t="shared" si="13"/>
        <v>0</v>
      </c>
      <c r="P87" s="1318"/>
      <c r="Q87" s="1319"/>
      <c r="R87" s="1320">
        <f t="shared" si="14"/>
        <v>0</v>
      </c>
      <c r="S87" s="1316">
        <f t="shared" si="15"/>
        <v>0</v>
      </c>
      <c r="T87" s="712"/>
      <c r="U87" s="713"/>
      <c r="V87" s="714"/>
      <c r="W87" s="398">
        <f t="shared" si="24"/>
        <v>0</v>
      </c>
      <c r="X87" s="712"/>
      <c r="Y87" s="713"/>
      <c r="Z87" s="714"/>
      <c r="AA87" s="398">
        <f t="shared" si="19"/>
        <v>0</v>
      </c>
      <c r="AB87" s="712"/>
      <c r="AC87" s="713"/>
      <c r="AD87" s="714"/>
      <c r="AE87" s="398">
        <f t="shared" si="20"/>
        <v>0</v>
      </c>
      <c r="AF87" s="712"/>
      <c r="AG87" s="713"/>
      <c r="AH87" s="714"/>
      <c r="AI87" s="398">
        <f t="shared" si="21"/>
        <v>0</v>
      </c>
      <c r="AJ87" s="712"/>
      <c r="AK87" s="713"/>
      <c r="AL87" s="714"/>
      <c r="AM87" s="398">
        <f t="shared" si="22"/>
        <v>0</v>
      </c>
    </row>
    <row r="88" spans="1:39" ht="16.5" customHeight="1" x14ac:dyDescent="0.3">
      <c r="A88" s="2160">
        <f>A81+1</f>
        <v>30</v>
      </c>
      <c r="B88" s="1313" t="str">
        <f t="shared" si="16"/>
        <v/>
      </c>
      <c r="C88" s="1011">
        <f>IF($D$2="NO",0,ROUNDDOWN(SUM(PROD!$V$5:V89)/IF(Iniciar!$C$25="kilos",40,1),0)-SUM($C$4:$C87))</f>
        <v>0</v>
      </c>
      <c r="D88" s="702"/>
      <c r="E88" s="702"/>
      <c r="F88" s="300">
        <f t="shared" si="23"/>
        <v>-15000</v>
      </c>
      <c r="G88" s="694"/>
      <c r="H88" s="695"/>
      <c r="I88" s="1314"/>
      <c r="J88" s="1315">
        <f>IF(K$1&gt;0,ROUNDUP(SUM(PROD!AM$5:AM89)/K$1*K$2,0),0)-SUM(J$4:J87)</f>
        <v>0</v>
      </c>
      <c r="K88" s="1316">
        <f t="shared" si="17"/>
        <v>0</v>
      </c>
      <c r="L88" s="1314"/>
      <c r="M88" s="1315">
        <f>IF(N$1&gt;0,ROUNDUP(SUM(PROD!L$5:L89,-PROD!AM$5:AM89,-PROD!AZ$5:AZ89)/N$1*N$2,0),0)-SUM(M$4:M87)</f>
        <v>0</v>
      </c>
      <c r="N88" s="1316">
        <f t="shared" si="18"/>
        <v>0</v>
      </c>
      <c r="O88" s="1317">
        <f t="shared" si="13"/>
        <v>0</v>
      </c>
      <c r="P88" s="1318"/>
      <c r="Q88" s="1319"/>
      <c r="R88" s="1320">
        <f t="shared" si="14"/>
        <v>0</v>
      </c>
      <c r="S88" s="1316">
        <f t="shared" si="15"/>
        <v>0</v>
      </c>
      <c r="T88" s="712"/>
      <c r="U88" s="713"/>
      <c r="V88" s="714"/>
      <c r="W88" s="398">
        <f t="shared" si="24"/>
        <v>0</v>
      </c>
      <c r="X88" s="712"/>
      <c r="Y88" s="713"/>
      <c r="Z88" s="714"/>
      <c r="AA88" s="398">
        <f t="shared" si="19"/>
        <v>0</v>
      </c>
      <c r="AB88" s="712"/>
      <c r="AC88" s="713"/>
      <c r="AD88" s="714"/>
      <c r="AE88" s="398">
        <f t="shared" si="20"/>
        <v>0</v>
      </c>
      <c r="AF88" s="712"/>
      <c r="AG88" s="713"/>
      <c r="AH88" s="714"/>
      <c r="AI88" s="398">
        <f t="shared" si="21"/>
        <v>0</v>
      </c>
      <c r="AJ88" s="712"/>
      <c r="AK88" s="713"/>
      <c r="AL88" s="714"/>
      <c r="AM88" s="398">
        <f t="shared" si="22"/>
        <v>0</v>
      </c>
    </row>
    <row r="89" spans="1:39" ht="15.75" customHeight="1" x14ac:dyDescent="0.3">
      <c r="A89" s="2161"/>
      <c r="B89" s="1313" t="str">
        <f t="shared" si="16"/>
        <v/>
      </c>
      <c r="C89" s="1011">
        <f>IF($D$2="NO",0,ROUNDDOWN(SUM(PROD!$V$5:V90)/IF(Iniciar!$C$25="kilos",40,1),0)-SUM($C$4:$C88))</f>
        <v>0</v>
      </c>
      <c r="D89" s="702"/>
      <c r="E89" s="702"/>
      <c r="F89" s="300">
        <f t="shared" si="23"/>
        <v>-15000</v>
      </c>
      <c r="G89" s="694"/>
      <c r="H89" s="695"/>
      <c r="I89" s="1314"/>
      <c r="J89" s="1315">
        <f>IF(K$1&gt;0,ROUNDUP(SUM(PROD!AM$5:AM90)/K$1*K$2,0),0)-SUM(J$4:J88)</f>
        <v>0</v>
      </c>
      <c r="K89" s="1316">
        <f t="shared" si="17"/>
        <v>0</v>
      </c>
      <c r="L89" s="1314"/>
      <c r="M89" s="1315">
        <f>IF(N$1&gt;0,ROUNDUP(SUM(PROD!L$5:L90,-PROD!AM$5:AM90,-PROD!AZ$5:AZ90)/N$1*N$2,0),0)-SUM(M$4:M88)</f>
        <v>0</v>
      </c>
      <c r="N89" s="1316">
        <f t="shared" si="18"/>
        <v>0</v>
      </c>
      <c r="O89" s="1317">
        <f t="shared" si="13"/>
        <v>0</v>
      </c>
      <c r="P89" s="1318"/>
      <c r="Q89" s="1319"/>
      <c r="R89" s="1320">
        <f t="shared" si="14"/>
        <v>0</v>
      </c>
      <c r="S89" s="1316">
        <f t="shared" si="15"/>
        <v>0</v>
      </c>
      <c r="T89" s="712"/>
      <c r="U89" s="713"/>
      <c r="V89" s="714"/>
      <c r="W89" s="398">
        <f t="shared" si="24"/>
        <v>0</v>
      </c>
      <c r="X89" s="712"/>
      <c r="Y89" s="713"/>
      <c r="Z89" s="714"/>
      <c r="AA89" s="398">
        <f t="shared" si="19"/>
        <v>0</v>
      </c>
      <c r="AB89" s="712"/>
      <c r="AC89" s="713"/>
      <c r="AD89" s="714"/>
      <c r="AE89" s="398">
        <f t="shared" si="20"/>
        <v>0</v>
      </c>
      <c r="AF89" s="712"/>
      <c r="AG89" s="713"/>
      <c r="AH89" s="714"/>
      <c r="AI89" s="398">
        <f t="shared" si="21"/>
        <v>0</v>
      </c>
      <c r="AJ89" s="712"/>
      <c r="AK89" s="713"/>
      <c r="AL89" s="714"/>
      <c r="AM89" s="398">
        <f t="shared" si="22"/>
        <v>0</v>
      </c>
    </row>
    <row r="90" spans="1:39" ht="15.75" customHeight="1" x14ac:dyDescent="0.3">
      <c r="A90" s="2161"/>
      <c r="B90" s="1313" t="str">
        <f t="shared" si="16"/>
        <v/>
      </c>
      <c r="C90" s="1011">
        <f>IF($D$2="NO",0,ROUNDDOWN(SUM(PROD!$V$5:V91)/IF(Iniciar!$C$25="kilos",40,1),0)-SUM($C$4:$C89))</f>
        <v>0</v>
      </c>
      <c r="D90" s="702"/>
      <c r="E90" s="702"/>
      <c r="F90" s="300">
        <f t="shared" si="23"/>
        <v>-15000</v>
      </c>
      <c r="G90" s="694"/>
      <c r="H90" s="695"/>
      <c r="I90" s="1314"/>
      <c r="J90" s="1315">
        <f>IF(K$1&gt;0,ROUNDUP(SUM(PROD!AM$5:AM91)/K$1*K$2,0),0)-SUM(J$4:J89)</f>
        <v>0</v>
      </c>
      <c r="K90" s="1316">
        <f t="shared" si="17"/>
        <v>0</v>
      </c>
      <c r="L90" s="1314"/>
      <c r="M90" s="1315">
        <f>IF(N$1&gt;0,ROUNDUP(SUM(PROD!L$5:L91,-PROD!AM$5:AM91,-PROD!AZ$5:AZ91)/N$1*N$2,0),0)-SUM(M$4:M89)</f>
        <v>0</v>
      </c>
      <c r="N90" s="1316">
        <f t="shared" si="18"/>
        <v>0</v>
      </c>
      <c r="O90" s="1317">
        <f t="shared" si="13"/>
        <v>0</v>
      </c>
      <c r="P90" s="1318"/>
      <c r="Q90" s="1319"/>
      <c r="R90" s="1320">
        <f t="shared" si="14"/>
        <v>0</v>
      </c>
      <c r="S90" s="1316">
        <f t="shared" si="15"/>
        <v>0</v>
      </c>
      <c r="T90" s="712"/>
      <c r="U90" s="713"/>
      <c r="V90" s="714"/>
      <c r="W90" s="398">
        <f t="shared" si="24"/>
        <v>0</v>
      </c>
      <c r="X90" s="712"/>
      <c r="Y90" s="713"/>
      <c r="Z90" s="714"/>
      <c r="AA90" s="398">
        <f t="shared" si="19"/>
        <v>0</v>
      </c>
      <c r="AB90" s="712"/>
      <c r="AC90" s="713"/>
      <c r="AD90" s="714"/>
      <c r="AE90" s="398">
        <f t="shared" si="20"/>
        <v>0</v>
      </c>
      <c r="AF90" s="712"/>
      <c r="AG90" s="713"/>
      <c r="AH90" s="714"/>
      <c r="AI90" s="398">
        <f t="shared" si="21"/>
        <v>0</v>
      </c>
      <c r="AJ90" s="712"/>
      <c r="AK90" s="713"/>
      <c r="AL90" s="714"/>
      <c r="AM90" s="398">
        <f t="shared" si="22"/>
        <v>0</v>
      </c>
    </row>
    <row r="91" spans="1:39" ht="15.75" customHeight="1" x14ac:dyDescent="0.3">
      <c r="A91" s="2161"/>
      <c r="B91" s="1313" t="str">
        <f t="shared" si="16"/>
        <v/>
      </c>
      <c r="C91" s="1011">
        <f>IF($D$2="NO",0,ROUNDDOWN(SUM(PROD!$V$5:V92)/IF(Iniciar!$C$25="kilos",40,1),0)-SUM($C$4:$C90))</f>
        <v>0</v>
      </c>
      <c r="D91" s="702"/>
      <c r="E91" s="702"/>
      <c r="F91" s="300">
        <f t="shared" si="23"/>
        <v>-15000</v>
      </c>
      <c r="G91" s="694"/>
      <c r="H91" s="695"/>
      <c r="I91" s="1314"/>
      <c r="J91" s="1315">
        <f>IF(K$1&gt;0,ROUNDUP(SUM(PROD!AM$5:AM92)/K$1*K$2,0),0)-SUM(J$4:J90)</f>
        <v>0</v>
      </c>
      <c r="K91" s="1316">
        <f t="shared" si="17"/>
        <v>0</v>
      </c>
      <c r="L91" s="1314"/>
      <c r="M91" s="1315">
        <f>IF(N$1&gt;0,ROUNDUP(SUM(PROD!L$5:L92,-PROD!AM$5:AM92,-PROD!AZ$5:AZ92)/N$1*N$2,0),0)-SUM(M$4:M90)</f>
        <v>0</v>
      </c>
      <c r="N91" s="1316">
        <f t="shared" si="18"/>
        <v>0</v>
      </c>
      <c r="O91" s="1317">
        <f t="shared" si="13"/>
        <v>0</v>
      </c>
      <c r="P91" s="1318"/>
      <c r="Q91" s="1319"/>
      <c r="R91" s="1320">
        <f t="shared" si="14"/>
        <v>0</v>
      </c>
      <c r="S91" s="1316">
        <f t="shared" si="15"/>
        <v>0</v>
      </c>
      <c r="T91" s="712"/>
      <c r="U91" s="713"/>
      <c r="V91" s="714"/>
      <c r="W91" s="398">
        <f t="shared" si="24"/>
        <v>0</v>
      </c>
      <c r="X91" s="712"/>
      <c r="Y91" s="713"/>
      <c r="Z91" s="714"/>
      <c r="AA91" s="398">
        <f t="shared" si="19"/>
        <v>0</v>
      </c>
      <c r="AB91" s="712"/>
      <c r="AC91" s="713"/>
      <c r="AD91" s="714"/>
      <c r="AE91" s="398">
        <f t="shared" si="20"/>
        <v>0</v>
      </c>
      <c r="AF91" s="712"/>
      <c r="AG91" s="713"/>
      <c r="AH91" s="714"/>
      <c r="AI91" s="398">
        <f t="shared" si="21"/>
        <v>0</v>
      </c>
      <c r="AJ91" s="712"/>
      <c r="AK91" s="713"/>
      <c r="AL91" s="714"/>
      <c r="AM91" s="398">
        <f t="shared" si="22"/>
        <v>0</v>
      </c>
    </row>
    <row r="92" spans="1:39" ht="15.75" customHeight="1" x14ac:dyDescent="0.3">
      <c r="A92" s="2161"/>
      <c r="B92" s="1313" t="str">
        <f t="shared" si="16"/>
        <v/>
      </c>
      <c r="C92" s="1011">
        <f>IF($D$2="NO",0,ROUNDDOWN(SUM(PROD!$V$5:V93)/IF(Iniciar!$C$25="kilos",40,1),0)-SUM($C$4:$C91))</f>
        <v>0</v>
      </c>
      <c r="D92" s="702"/>
      <c r="E92" s="702"/>
      <c r="F92" s="300">
        <f t="shared" si="23"/>
        <v>-15000</v>
      </c>
      <c r="G92" s="694"/>
      <c r="H92" s="695"/>
      <c r="I92" s="1314"/>
      <c r="J92" s="1315">
        <f>IF(K$1&gt;0,ROUNDUP(SUM(PROD!AM$5:AM93)/K$1*K$2,0),0)-SUM(J$4:J91)</f>
        <v>0</v>
      </c>
      <c r="K92" s="1316">
        <f t="shared" si="17"/>
        <v>0</v>
      </c>
      <c r="L92" s="1314"/>
      <c r="M92" s="1315">
        <f>IF(N$1&gt;0,ROUNDUP(SUM(PROD!L$5:L93,-PROD!AM$5:AM93,-PROD!AZ$5:AZ93)/N$1*N$2,0),0)-SUM(M$4:M91)</f>
        <v>0</v>
      </c>
      <c r="N92" s="1316">
        <f t="shared" si="18"/>
        <v>0</v>
      </c>
      <c r="O92" s="1317">
        <f t="shared" si="13"/>
        <v>0</v>
      </c>
      <c r="P92" s="1318"/>
      <c r="Q92" s="1319"/>
      <c r="R92" s="1320">
        <f t="shared" si="14"/>
        <v>0</v>
      </c>
      <c r="S92" s="1316">
        <f t="shared" si="15"/>
        <v>0</v>
      </c>
      <c r="T92" s="712"/>
      <c r="U92" s="713"/>
      <c r="V92" s="714"/>
      <c r="W92" s="398">
        <f t="shared" si="24"/>
        <v>0</v>
      </c>
      <c r="X92" s="712"/>
      <c r="Y92" s="713"/>
      <c r="Z92" s="714"/>
      <c r="AA92" s="398">
        <f t="shared" si="19"/>
        <v>0</v>
      </c>
      <c r="AB92" s="712"/>
      <c r="AC92" s="713"/>
      <c r="AD92" s="714"/>
      <c r="AE92" s="398">
        <f t="shared" si="20"/>
        <v>0</v>
      </c>
      <c r="AF92" s="712"/>
      <c r="AG92" s="713"/>
      <c r="AH92" s="714"/>
      <c r="AI92" s="398">
        <f t="shared" si="21"/>
        <v>0</v>
      </c>
      <c r="AJ92" s="712"/>
      <c r="AK92" s="713"/>
      <c r="AL92" s="714"/>
      <c r="AM92" s="398">
        <f t="shared" si="22"/>
        <v>0</v>
      </c>
    </row>
    <row r="93" spans="1:39" ht="15.75" customHeight="1" x14ac:dyDescent="0.3">
      <c r="A93" s="2161"/>
      <c r="B93" s="1313" t="str">
        <f t="shared" si="16"/>
        <v/>
      </c>
      <c r="C93" s="1011">
        <f>IF($D$2="NO",0,ROUNDDOWN(SUM(PROD!$V$5:V94)/IF(Iniciar!$C$25="kilos",40,1),0)-SUM($C$4:$C92))</f>
        <v>0</v>
      </c>
      <c r="D93" s="702"/>
      <c r="E93" s="702"/>
      <c r="F93" s="300">
        <f t="shared" si="23"/>
        <v>-15000</v>
      </c>
      <c r="G93" s="694"/>
      <c r="H93" s="695"/>
      <c r="I93" s="1314"/>
      <c r="J93" s="1315">
        <f>IF(K$1&gt;0,ROUNDUP(SUM(PROD!AM$5:AM94)/K$1*K$2,0),0)-SUM(J$4:J92)</f>
        <v>0</v>
      </c>
      <c r="K93" s="1316">
        <f t="shared" si="17"/>
        <v>0</v>
      </c>
      <c r="L93" s="1314"/>
      <c r="M93" s="1315">
        <f>IF(N$1&gt;0,ROUNDUP(SUM(PROD!L$5:L94,-PROD!AM$5:AM94,-PROD!AZ$5:AZ94)/N$1*N$2,0),0)-SUM(M$4:M92)</f>
        <v>0</v>
      </c>
      <c r="N93" s="1316">
        <f t="shared" si="18"/>
        <v>0</v>
      </c>
      <c r="O93" s="1317">
        <f t="shared" si="13"/>
        <v>0</v>
      </c>
      <c r="P93" s="1318"/>
      <c r="Q93" s="1319"/>
      <c r="R93" s="1320">
        <f t="shared" si="14"/>
        <v>0</v>
      </c>
      <c r="S93" s="1316">
        <f t="shared" si="15"/>
        <v>0</v>
      </c>
      <c r="T93" s="712"/>
      <c r="U93" s="713"/>
      <c r="V93" s="714"/>
      <c r="W93" s="398">
        <f t="shared" si="24"/>
        <v>0</v>
      </c>
      <c r="X93" s="712"/>
      <c r="Y93" s="713"/>
      <c r="Z93" s="714"/>
      <c r="AA93" s="398">
        <f t="shared" si="19"/>
        <v>0</v>
      </c>
      <c r="AB93" s="712"/>
      <c r="AC93" s="713"/>
      <c r="AD93" s="714"/>
      <c r="AE93" s="398">
        <f t="shared" si="20"/>
        <v>0</v>
      </c>
      <c r="AF93" s="712"/>
      <c r="AG93" s="713"/>
      <c r="AH93" s="714"/>
      <c r="AI93" s="398">
        <f t="shared" si="21"/>
        <v>0</v>
      </c>
      <c r="AJ93" s="712"/>
      <c r="AK93" s="713"/>
      <c r="AL93" s="714"/>
      <c r="AM93" s="398">
        <f t="shared" si="22"/>
        <v>0</v>
      </c>
    </row>
    <row r="94" spans="1:39" ht="16.5" customHeight="1" x14ac:dyDescent="0.3">
      <c r="A94" s="2162"/>
      <c r="B94" s="1313" t="str">
        <f t="shared" si="16"/>
        <v/>
      </c>
      <c r="C94" s="1011">
        <f>IF($D$2="NO",0,ROUNDDOWN(SUM(PROD!$V$5:V95)/IF(Iniciar!$C$25="kilos",40,1),0)-SUM($C$4:$C93))</f>
        <v>0</v>
      </c>
      <c r="D94" s="702"/>
      <c r="E94" s="702"/>
      <c r="F94" s="300">
        <f t="shared" si="23"/>
        <v>-15000</v>
      </c>
      <c r="G94" s="694"/>
      <c r="H94" s="695"/>
      <c r="I94" s="1314"/>
      <c r="J94" s="1315">
        <f>IF(K$1&gt;0,ROUNDUP(SUM(PROD!AM$5:AM95)/K$1*K$2,0),0)-SUM(J$4:J93)</f>
        <v>0</v>
      </c>
      <c r="K94" s="1316">
        <f t="shared" si="17"/>
        <v>0</v>
      </c>
      <c r="L94" s="1314"/>
      <c r="M94" s="1315">
        <f>IF(N$1&gt;0,ROUNDUP(SUM(PROD!L$5:L95,-PROD!AM$5:AM95,-PROD!AZ$5:AZ95)/N$1*N$2,0),0)-SUM(M$4:M93)</f>
        <v>0</v>
      </c>
      <c r="N94" s="1316">
        <f t="shared" si="18"/>
        <v>0</v>
      </c>
      <c r="O94" s="1317">
        <f t="shared" si="13"/>
        <v>0</v>
      </c>
      <c r="P94" s="1318"/>
      <c r="Q94" s="1319"/>
      <c r="R94" s="1320">
        <f t="shared" si="14"/>
        <v>0</v>
      </c>
      <c r="S94" s="1316">
        <f t="shared" si="15"/>
        <v>0</v>
      </c>
      <c r="T94" s="712"/>
      <c r="U94" s="713"/>
      <c r="V94" s="714"/>
      <c r="W94" s="398">
        <f t="shared" si="24"/>
        <v>0</v>
      </c>
      <c r="X94" s="712"/>
      <c r="Y94" s="713"/>
      <c r="Z94" s="714"/>
      <c r="AA94" s="398">
        <f t="shared" si="19"/>
        <v>0</v>
      </c>
      <c r="AB94" s="712"/>
      <c r="AC94" s="713"/>
      <c r="AD94" s="714"/>
      <c r="AE94" s="398">
        <f t="shared" si="20"/>
        <v>0</v>
      </c>
      <c r="AF94" s="712"/>
      <c r="AG94" s="713"/>
      <c r="AH94" s="714"/>
      <c r="AI94" s="398">
        <f t="shared" si="21"/>
        <v>0</v>
      </c>
      <c r="AJ94" s="712"/>
      <c r="AK94" s="713"/>
      <c r="AL94" s="714"/>
      <c r="AM94" s="398">
        <f t="shared" si="22"/>
        <v>0</v>
      </c>
    </row>
    <row r="95" spans="1:39" ht="16.5" customHeight="1" x14ac:dyDescent="0.3">
      <c r="A95" s="2160">
        <f>A88+1</f>
        <v>31</v>
      </c>
      <c r="B95" s="1313" t="str">
        <f t="shared" si="16"/>
        <v/>
      </c>
      <c r="C95" s="1011">
        <f>IF($D$2="NO",0,ROUNDDOWN(SUM(PROD!$V$5:V96)/IF(Iniciar!$C$25="kilos",40,1),0)-SUM($C$4:$C94))</f>
        <v>0</v>
      </c>
      <c r="D95" s="702"/>
      <c r="E95" s="702"/>
      <c r="F95" s="300">
        <f t="shared" si="23"/>
        <v>-15000</v>
      </c>
      <c r="G95" s="694"/>
      <c r="H95" s="695"/>
      <c r="I95" s="1314"/>
      <c r="J95" s="1315">
        <f>IF(K$1&gt;0,ROUNDUP(SUM(PROD!AM$5:AM96)/K$1*K$2,0),0)-SUM(J$4:J94)</f>
        <v>0</v>
      </c>
      <c r="K95" s="1316">
        <f t="shared" si="17"/>
        <v>0</v>
      </c>
      <c r="L95" s="1314"/>
      <c r="M95" s="1315">
        <f>IF(N$1&gt;0,ROUNDUP(SUM(PROD!L$5:L96,-PROD!AM$5:AM96,-PROD!AZ$5:AZ96)/N$1*N$2,0),0)-SUM(M$4:M94)</f>
        <v>0</v>
      </c>
      <c r="N95" s="1316">
        <f t="shared" si="18"/>
        <v>0</v>
      </c>
      <c r="O95" s="1317">
        <f t="shared" si="13"/>
        <v>0</v>
      </c>
      <c r="P95" s="1318"/>
      <c r="Q95" s="1319"/>
      <c r="R95" s="1320">
        <f t="shared" si="14"/>
        <v>0</v>
      </c>
      <c r="S95" s="1316">
        <f t="shared" si="15"/>
        <v>0</v>
      </c>
      <c r="T95" s="712"/>
      <c r="U95" s="713"/>
      <c r="V95" s="714"/>
      <c r="W95" s="398">
        <f t="shared" si="24"/>
        <v>0</v>
      </c>
      <c r="X95" s="712"/>
      <c r="Y95" s="713"/>
      <c r="Z95" s="714"/>
      <c r="AA95" s="398">
        <f t="shared" si="19"/>
        <v>0</v>
      </c>
      <c r="AB95" s="712"/>
      <c r="AC95" s="713"/>
      <c r="AD95" s="714"/>
      <c r="AE95" s="398">
        <f t="shared" si="20"/>
        <v>0</v>
      </c>
      <c r="AF95" s="712"/>
      <c r="AG95" s="713"/>
      <c r="AH95" s="714"/>
      <c r="AI95" s="398">
        <f t="shared" si="21"/>
        <v>0</v>
      </c>
      <c r="AJ95" s="712"/>
      <c r="AK95" s="713"/>
      <c r="AL95" s="714"/>
      <c r="AM95" s="398">
        <f t="shared" si="22"/>
        <v>0</v>
      </c>
    </row>
    <row r="96" spans="1:39" ht="15.75" customHeight="1" x14ac:dyDescent="0.3">
      <c r="A96" s="2161"/>
      <c r="B96" s="1313" t="str">
        <f t="shared" si="16"/>
        <v/>
      </c>
      <c r="C96" s="1011">
        <f>IF($D$2="NO",0,ROUNDDOWN(SUM(PROD!$V$5:V97)/IF(Iniciar!$C$25="kilos",40,1),0)-SUM($C$4:$C95))</f>
        <v>0</v>
      </c>
      <c r="D96" s="702"/>
      <c r="E96" s="702"/>
      <c r="F96" s="300">
        <f t="shared" si="23"/>
        <v>-15000</v>
      </c>
      <c r="G96" s="694"/>
      <c r="H96" s="695"/>
      <c r="I96" s="1314"/>
      <c r="J96" s="1315">
        <f>IF(K$1&gt;0,ROUNDUP(SUM(PROD!AM$5:AM97)/K$1*K$2,0),0)-SUM(J$4:J95)</f>
        <v>0</v>
      </c>
      <c r="K96" s="1316">
        <f t="shared" si="17"/>
        <v>0</v>
      </c>
      <c r="L96" s="1314"/>
      <c r="M96" s="1315">
        <f>IF(N$1&gt;0,ROUNDUP(SUM(PROD!L$5:L97,-PROD!AM$5:AM97,-PROD!AZ$5:AZ97)/N$1*N$2,0),0)-SUM(M$4:M95)</f>
        <v>0</v>
      </c>
      <c r="N96" s="1316">
        <f t="shared" si="18"/>
        <v>0</v>
      </c>
      <c r="O96" s="1317">
        <f t="shared" si="13"/>
        <v>0</v>
      </c>
      <c r="P96" s="1318"/>
      <c r="Q96" s="1319"/>
      <c r="R96" s="1320">
        <f t="shared" si="14"/>
        <v>0</v>
      </c>
      <c r="S96" s="1316">
        <f t="shared" si="15"/>
        <v>0</v>
      </c>
      <c r="T96" s="712"/>
      <c r="U96" s="713"/>
      <c r="V96" s="714"/>
      <c r="W96" s="398">
        <f t="shared" si="24"/>
        <v>0</v>
      </c>
      <c r="X96" s="712"/>
      <c r="Y96" s="713"/>
      <c r="Z96" s="714"/>
      <c r="AA96" s="398">
        <f t="shared" si="19"/>
        <v>0</v>
      </c>
      <c r="AB96" s="712"/>
      <c r="AC96" s="713"/>
      <c r="AD96" s="714"/>
      <c r="AE96" s="398">
        <f t="shared" si="20"/>
        <v>0</v>
      </c>
      <c r="AF96" s="712"/>
      <c r="AG96" s="713"/>
      <c r="AH96" s="714"/>
      <c r="AI96" s="398">
        <f t="shared" si="21"/>
        <v>0</v>
      </c>
      <c r="AJ96" s="712"/>
      <c r="AK96" s="713"/>
      <c r="AL96" s="714"/>
      <c r="AM96" s="398">
        <f t="shared" si="22"/>
        <v>0</v>
      </c>
    </row>
    <row r="97" spans="1:39" ht="15.75" customHeight="1" x14ac:dyDescent="0.3">
      <c r="A97" s="2161"/>
      <c r="B97" s="1313" t="str">
        <f t="shared" si="16"/>
        <v/>
      </c>
      <c r="C97" s="1011">
        <f>IF($D$2="NO",0,ROUNDDOWN(SUM(PROD!$V$5:V98)/IF(Iniciar!$C$25="kilos",40,1),0)-SUM($C$4:$C96))</f>
        <v>0</v>
      </c>
      <c r="D97" s="702"/>
      <c r="E97" s="702"/>
      <c r="F97" s="300">
        <f t="shared" si="23"/>
        <v>-15000</v>
      </c>
      <c r="G97" s="694"/>
      <c r="H97" s="695"/>
      <c r="I97" s="1314"/>
      <c r="J97" s="1315">
        <f>IF(K$1&gt;0,ROUNDUP(SUM(PROD!AM$5:AM98)/K$1*K$2,0),0)-SUM(J$4:J96)</f>
        <v>0</v>
      </c>
      <c r="K97" s="1316">
        <f t="shared" si="17"/>
        <v>0</v>
      </c>
      <c r="L97" s="1314"/>
      <c r="M97" s="1315">
        <f>IF(N$1&gt;0,ROUNDUP(SUM(PROD!L$5:L98,-PROD!AM$5:AM98,-PROD!AZ$5:AZ98)/N$1*N$2,0),0)-SUM(M$4:M96)</f>
        <v>0</v>
      </c>
      <c r="N97" s="1316">
        <f t="shared" si="18"/>
        <v>0</v>
      </c>
      <c r="O97" s="1317">
        <f t="shared" si="13"/>
        <v>0</v>
      </c>
      <c r="P97" s="1318"/>
      <c r="Q97" s="1319"/>
      <c r="R97" s="1320">
        <f t="shared" si="14"/>
        <v>0</v>
      </c>
      <c r="S97" s="1316">
        <f t="shared" si="15"/>
        <v>0</v>
      </c>
      <c r="T97" s="712"/>
      <c r="U97" s="713"/>
      <c r="V97" s="714"/>
      <c r="W97" s="398">
        <f t="shared" si="24"/>
        <v>0</v>
      </c>
      <c r="X97" s="712"/>
      <c r="Y97" s="713"/>
      <c r="Z97" s="714"/>
      <c r="AA97" s="398">
        <f t="shared" si="19"/>
        <v>0</v>
      </c>
      <c r="AB97" s="712"/>
      <c r="AC97" s="713"/>
      <c r="AD97" s="714"/>
      <c r="AE97" s="398">
        <f t="shared" si="20"/>
        <v>0</v>
      </c>
      <c r="AF97" s="712"/>
      <c r="AG97" s="713"/>
      <c r="AH97" s="714"/>
      <c r="AI97" s="398">
        <f t="shared" si="21"/>
        <v>0</v>
      </c>
      <c r="AJ97" s="712"/>
      <c r="AK97" s="713"/>
      <c r="AL97" s="714"/>
      <c r="AM97" s="398">
        <f t="shared" si="22"/>
        <v>0</v>
      </c>
    </row>
    <row r="98" spans="1:39" ht="15.75" customHeight="1" x14ac:dyDescent="0.3">
      <c r="A98" s="2161"/>
      <c r="B98" s="1313" t="str">
        <f t="shared" si="16"/>
        <v/>
      </c>
      <c r="C98" s="1011">
        <f>IF($D$2="NO",0,ROUNDDOWN(SUM(PROD!$V$5:V99)/IF(Iniciar!$C$25="kilos",40,1),0)-SUM($C$4:$C97))</f>
        <v>0</v>
      </c>
      <c r="D98" s="702"/>
      <c r="E98" s="702"/>
      <c r="F98" s="300">
        <f t="shared" si="23"/>
        <v>-15000</v>
      </c>
      <c r="G98" s="694"/>
      <c r="H98" s="695"/>
      <c r="I98" s="1314"/>
      <c r="J98" s="1315">
        <f>IF(K$1&gt;0,ROUNDUP(SUM(PROD!AM$5:AM99)/K$1*K$2,0),0)-SUM(J$4:J97)</f>
        <v>0</v>
      </c>
      <c r="K98" s="1316">
        <f t="shared" si="17"/>
        <v>0</v>
      </c>
      <c r="L98" s="1314"/>
      <c r="M98" s="1315">
        <f>IF(N$1&gt;0,ROUNDUP(SUM(PROD!L$5:L99,-PROD!AM$5:AM99,-PROD!AZ$5:AZ99)/N$1*N$2,0),0)-SUM(M$4:M97)</f>
        <v>0</v>
      </c>
      <c r="N98" s="1316">
        <f t="shared" si="18"/>
        <v>0</v>
      </c>
      <c r="O98" s="1317">
        <f t="shared" si="13"/>
        <v>0</v>
      </c>
      <c r="P98" s="1318"/>
      <c r="Q98" s="1319"/>
      <c r="R98" s="1320">
        <f t="shared" si="14"/>
        <v>0</v>
      </c>
      <c r="S98" s="1316">
        <f t="shared" si="15"/>
        <v>0</v>
      </c>
      <c r="T98" s="712"/>
      <c r="U98" s="713"/>
      <c r="V98" s="714"/>
      <c r="W98" s="398">
        <f t="shared" si="24"/>
        <v>0</v>
      </c>
      <c r="X98" s="712"/>
      <c r="Y98" s="713"/>
      <c r="Z98" s="714"/>
      <c r="AA98" s="398">
        <f t="shared" si="19"/>
        <v>0</v>
      </c>
      <c r="AB98" s="712"/>
      <c r="AC98" s="713"/>
      <c r="AD98" s="714"/>
      <c r="AE98" s="398">
        <f t="shared" si="20"/>
        <v>0</v>
      </c>
      <c r="AF98" s="712"/>
      <c r="AG98" s="713"/>
      <c r="AH98" s="714"/>
      <c r="AI98" s="398">
        <f t="shared" si="21"/>
        <v>0</v>
      </c>
      <c r="AJ98" s="712"/>
      <c r="AK98" s="713"/>
      <c r="AL98" s="714"/>
      <c r="AM98" s="398">
        <f t="shared" si="22"/>
        <v>0</v>
      </c>
    </row>
    <row r="99" spans="1:39" ht="15.75" customHeight="1" x14ac:dyDescent="0.3">
      <c r="A99" s="2161"/>
      <c r="B99" s="1313" t="str">
        <f t="shared" si="16"/>
        <v/>
      </c>
      <c r="C99" s="1011">
        <f>IF($D$2="NO",0,ROUNDDOWN(SUM(PROD!$V$5:V100)/IF(Iniciar!$C$25="kilos",40,1),0)-SUM($C$4:$C98))</f>
        <v>0</v>
      </c>
      <c r="D99" s="702"/>
      <c r="E99" s="702"/>
      <c r="F99" s="300">
        <f t="shared" si="23"/>
        <v>-15000</v>
      </c>
      <c r="G99" s="694"/>
      <c r="H99" s="695"/>
      <c r="I99" s="1314"/>
      <c r="J99" s="1315">
        <f>IF(K$1&gt;0,ROUNDUP(SUM(PROD!AM$5:AM100)/K$1*K$2,0),0)-SUM(J$4:J98)</f>
        <v>0</v>
      </c>
      <c r="K99" s="1316">
        <f t="shared" si="17"/>
        <v>0</v>
      </c>
      <c r="L99" s="1314"/>
      <c r="M99" s="1315">
        <f>IF(N$1&gt;0,ROUNDUP(SUM(PROD!L$5:L100,-PROD!AM$5:AM100,-PROD!AZ$5:AZ100)/N$1*N$2,0),0)-SUM(M$4:M98)</f>
        <v>0</v>
      </c>
      <c r="N99" s="1316">
        <f t="shared" si="18"/>
        <v>0</v>
      </c>
      <c r="O99" s="1317">
        <f t="shared" si="13"/>
        <v>0</v>
      </c>
      <c r="P99" s="1318"/>
      <c r="Q99" s="1319"/>
      <c r="R99" s="1320">
        <f t="shared" si="14"/>
        <v>0</v>
      </c>
      <c r="S99" s="1316">
        <f t="shared" si="15"/>
        <v>0</v>
      </c>
      <c r="T99" s="712"/>
      <c r="U99" s="713"/>
      <c r="V99" s="714"/>
      <c r="W99" s="398">
        <f t="shared" si="24"/>
        <v>0</v>
      </c>
      <c r="X99" s="712"/>
      <c r="Y99" s="713"/>
      <c r="Z99" s="714"/>
      <c r="AA99" s="398">
        <f t="shared" si="19"/>
        <v>0</v>
      </c>
      <c r="AB99" s="712"/>
      <c r="AC99" s="713"/>
      <c r="AD99" s="714"/>
      <c r="AE99" s="398">
        <f t="shared" si="20"/>
        <v>0</v>
      </c>
      <c r="AF99" s="712"/>
      <c r="AG99" s="713"/>
      <c r="AH99" s="714"/>
      <c r="AI99" s="398">
        <f t="shared" si="21"/>
        <v>0</v>
      </c>
      <c r="AJ99" s="712"/>
      <c r="AK99" s="713"/>
      <c r="AL99" s="714"/>
      <c r="AM99" s="398">
        <f t="shared" si="22"/>
        <v>0</v>
      </c>
    </row>
    <row r="100" spans="1:39" ht="15.75" customHeight="1" x14ac:dyDescent="0.3">
      <c r="A100" s="2161"/>
      <c r="B100" s="1313" t="str">
        <f t="shared" si="16"/>
        <v/>
      </c>
      <c r="C100" s="1011">
        <f>IF($D$2="NO",0,ROUNDDOWN(SUM(PROD!$V$5:V101)/IF(Iniciar!$C$25="kilos",40,1),0)-SUM($C$4:$C99))</f>
        <v>0</v>
      </c>
      <c r="D100" s="702"/>
      <c r="E100" s="702"/>
      <c r="F100" s="300">
        <f t="shared" si="23"/>
        <v>-15000</v>
      </c>
      <c r="G100" s="694"/>
      <c r="H100" s="695"/>
      <c r="I100" s="1314"/>
      <c r="J100" s="1315">
        <f>IF(K$1&gt;0,ROUNDUP(SUM(PROD!AM$5:AM101)/K$1*K$2,0),0)-SUM(J$4:J99)</f>
        <v>0</v>
      </c>
      <c r="K100" s="1316">
        <f t="shared" si="17"/>
        <v>0</v>
      </c>
      <c r="L100" s="1314"/>
      <c r="M100" s="1315">
        <f>IF(N$1&gt;0,ROUNDUP(SUM(PROD!L$5:L101,-PROD!AM$5:AM101,-PROD!AZ$5:AZ101)/N$1*N$2,0),0)-SUM(M$4:M99)</f>
        <v>0</v>
      </c>
      <c r="N100" s="1316">
        <f t="shared" si="18"/>
        <v>0</v>
      </c>
      <c r="O100" s="1317">
        <f t="shared" si="13"/>
        <v>0</v>
      </c>
      <c r="P100" s="1318"/>
      <c r="Q100" s="1319"/>
      <c r="R100" s="1320">
        <f t="shared" si="14"/>
        <v>0</v>
      </c>
      <c r="S100" s="1316">
        <f t="shared" si="15"/>
        <v>0</v>
      </c>
      <c r="T100" s="712"/>
      <c r="U100" s="713"/>
      <c r="V100" s="714"/>
      <c r="W100" s="398">
        <f t="shared" si="24"/>
        <v>0</v>
      </c>
      <c r="X100" s="712"/>
      <c r="Y100" s="713"/>
      <c r="Z100" s="714"/>
      <c r="AA100" s="398">
        <f t="shared" si="19"/>
        <v>0</v>
      </c>
      <c r="AB100" s="712"/>
      <c r="AC100" s="713"/>
      <c r="AD100" s="714"/>
      <c r="AE100" s="398">
        <f t="shared" si="20"/>
        <v>0</v>
      </c>
      <c r="AF100" s="712"/>
      <c r="AG100" s="713"/>
      <c r="AH100" s="714"/>
      <c r="AI100" s="398">
        <f t="shared" si="21"/>
        <v>0</v>
      </c>
      <c r="AJ100" s="712"/>
      <c r="AK100" s="713"/>
      <c r="AL100" s="714"/>
      <c r="AM100" s="398">
        <f t="shared" si="22"/>
        <v>0</v>
      </c>
    </row>
    <row r="101" spans="1:39" ht="16.5" customHeight="1" x14ac:dyDescent="0.3">
      <c r="A101" s="2162"/>
      <c r="B101" s="1313" t="str">
        <f t="shared" si="16"/>
        <v/>
      </c>
      <c r="C101" s="1011">
        <f>IF($D$2="NO",0,ROUNDDOWN(SUM(PROD!$V$5:V102)/IF(Iniciar!$C$25="kilos",40,1),0)-SUM($C$4:$C100))</f>
        <v>0</v>
      </c>
      <c r="D101" s="702"/>
      <c r="E101" s="702"/>
      <c r="F101" s="300">
        <f t="shared" si="23"/>
        <v>-15000</v>
      </c>
      <c r="G101" s="694"/>
      <c r="H101" s="695"/>
      <c r="I101" s="1314"/>
      <c r="J101" s="1315">
        <f>IF(K$1&gt;0,ROUNDUP(SUM(PROD!AM$5:AM102)/K$1*K$2,0),0)-SUM(J$4:J100)</f>
        <v>0</v>
      </c>
      <c r="K101" s="1316">
        <f t="shared" si="17"/>
        <v>0</v>
      </c>
      <c r="L101" s="1314"/>
      <c r="M101" s="1315">
        <f>IF(N$1&gt;0,ROUNDUP(SUM(PROD!L$5:L102,-PROD!AM$5:AM102,-PROD!AZ$5:AZ102)/N$1*N$2,0),0)-SUM(M$4:M100)</f>
        <v>0</v>
      </c>
      <c r="N101" s="1316">
        <f t="shared" si="18"/>
        <v>0</v>
      </c>
      <c r="O101" s="1317">
        <f t="shared" si="13"/>
        <v>0</v>
      </c>
      <c r="P101" s="1318"/>
      <c r="Q101" s="1319"/>
      <c r="R101" s="1320">
        <f t="shared" si="14"/>
        <v>0</v>
      </c>
      <c r="S101" s="1316">
        <f t="shared" si="15"/>
        <v>0</v>
      </c>
      <c r="T101" s="712"/>
      <c r="U101" s="713"/>
      <c r="V101" s="714"/>
      <c r="W101" s="398">
        <f t="shared" si="24"/>
        <v>0</v>
      </c>
      <c r="X101" s="712"/>
      <c r="Y101" s="713"/>
      <c r="Z101" s="714"/>
      <c r="AA101" s="398">
        <f t="shared" si="19"/>
        <v>0</v>
      </c>
      <c r="AB101" s="712"/>
      <c r="AC101" s="713"/>
      <c r="AD101" s="714"/>
      <c r="AE101" s="398">
        <f t="shared" si="20"/>
        <v>0</v>
      </c>
      <c r="AF101" s="712"/>
      <c r="AG101" s="713"/>
      <c r="AH101" s="714"/>
      <c r="AI101" s="398">
        <f t="shared" si="21"/>
        <v>0</v>
      </c>
      <c r="AJ101" s="712"/>
      <c r="AK101" s="713"/>
      <c r="AL101" s="714"/>
      <c r="AM101" s="398">
        <f t="shared" si="22"/>
        <v>0</v>
      </c>
    </row>
    <row r="102" spans="1:39" ht="16.5" customHeight="1" x14ac:dyDescent="0.3">
      <c r="A102" s="2160">
        <f>A95+1</f>
        <v>32</v>
      </c>
      <c r="B102" s="1313" t="str">
        <f t="shared" si="16"/>
        <v/>
      </c>
      <c r="C102" s="1011">
        <f>IF($D$2="NO",0,ROUNDDOWN(SUM(PROD!$V$5:V103)/IF(Iniciar!$C$25="kilos",40,1),0)-SUM($C$4:$C101))</f>
        <v>0</v>
      </c>
      <c r="D102" s="702"/>
      <c r="E102" s="702"/>
      <c r="F102" s="300">
        <f t="shared" si="23"/>
        <v>-15000</v>
      </c>
      <c r="G102" s="694"/>
      <c r="H102" s="695"/>
      <c r="I102" s="1314"/>
      <c r="J102" s="1315">
        <f>IF(K$1&gt;0,ROUNDUP(SUM(PROD!AM$5:AM103)/K$1*K$2,0),0)-SUM(J$4:J101)</f>
        <v>0</v>
      </c>
      <c r="K102" s="1316">
        <f t="shared" si="17"/>
        <v>0</v>
      </c>
      <c r="L102" s="1314"/>
      <c r="M102" s="1315">
        <f>IF(N$1&gt;0,ROUNDUP(SUM(PROD!L$5:L103,-PROD!AM$5:AM103,-PROD!AZ$5:AZ103)/N$1*N$2,0),0)-SUM(M$4:M101)</f>
        <v>0</v>
      </c>
      <c r="N102" s="1316">
        <f t="shared" si="18"/>
        <v>0</v>
      </c>
      <c r="O102" s="1317">
        <f t="shared" si="13"/>
        <v>0</v>
      </c>
      <c r="P102" s="1318"/>
      <c r="Q102" s="1319"/>
      <c r="R102" s="1320">
        <f t="shared" si="14"/>
        <v>0</v>
      </c>
      <c r="S102" s="1316">
        <f t="shared" si="15"/>
        <v>0</v>
      </c>
      <c r="T102" s="712"/>
      <c r="U102" s="713"/>
      <c r="V102" s="714"/>
      <c r="W102" s="398">
        <f t="shared" si="24"/>
        <v>0</v>
      </c>
      <c r="X102" s="712"/>
      <c r="Y102" s="713"/>
      <c r="Z102" s="714"/>
      <c r="AA102" s="398">
        <f t="shared" si="19"/>
        <v>0</v>
      </c>
      <c r="AB102" s="712"/>
      <c r="AC102" s="713"/>
      <c r="AD102" s="714"/>
      <c r="AE102" s="398">
        <f t="shared" si="20"/>
        <v>0</v>
      </c>
      <c r="AF102" s="712"/>
      <c r="AG102" s="713"/>
      <c r="AH102" s="714"/>
      <c r="AI102" s="398">
        <f t="shared" si="21"/>
        <v>0</v>
      </c>
      <c r="AJ102" s="712"/>
      <c r="AK102" s="713"/>
      <c r="AL102" s="714"/>
      <c r="AM102" s="398">
        <f t="shared" si="22"/>
        <v>0</v>
      </c>
    </row>
    <row r="103" spans="1:39" ht="15.75" customHeight="1" x14ac:dyDescent="0.3">
      <c r="A103" s="2161"/>
      <c r="B103" s="1313" t="str">
        <f t="shared" si="16"/>
        <v/>
      </c>
      <c r="C103" s="1011">
        <f>IF($D$2="NO",0,ROUNDDOWN(SUM(PROD!$V$5:V104)/IF(Iniciar!$C$25="kilos",40,1),0)-SUM($C$4:$C102))</f>
        <v>0</v>
      </c>
      <c r="D103" s="702"/>
      <c r="E103" s="702"/>
      <c r="F103" s="300">
        <f t="shared" si="23"/>
        <v>-15000</v>
      </c>
      <c r="G103" s="694"/>
      <c r="H103" s="695"/>
      <c r="I103" s="1314"/>
      <c r="J103" s="1315">
        <f>IF(K$1&gt;0,ROUNDUP(SUM(PROD!AM$5:AM104)/K$1*K$2,0),0)-SUM(J$4:J102)</f>
        <v>0</v>
      </c>
      <c r="K103" s="1316">
        <f t="shared" si="17"/>
        <v>0</v>
      </c>
      <c r="L103" s="1314"/>
      <c r="M103" s="1315">
        <f>IF(N$1&gt;0,ROUNDUP(SUM(PROD!L$5:L104,-PROD!AM$5:AM104,-PROD!AZ$5:AZ104)/N$1*N$2,0),0)-SUM(M$4:M102)</f>
        <v>0</v>
      </c>
      <c r="N103" s="1316">
        <f t="shared" si="18"/>
        <v>0</v>
      </c>
      <c r="O103" s="1317">
        <f t="shared" si="13"/>
        <v>0</v>
      </c>
      <c r="P103" s="1318"/>
      <c r="Q103" s="1319"/>
      <c r="R103" s="1320">
        <f t="shared" si="14"/>
        <v>0</v>
      </c>
      <c r="S103" s="1316">
        <f t="shared" si="15"/>
        <v>0</v>
      </c>
      <c r="T103" s="712"/>
      <c r="U103" s="713"/>
      <c r="V103" s="714"/>
      <c r="W103" s="398">
        <f t="shared" si="24"/>
        <v>0</v>
      </c>
      <c r="X103" s="712"/>
      <c r="Y103" s="713"/>
      <c r="Z103" s="714"/>
      <c r="AA103" s="398">
        <f t="shared" si="19"/>
        <v>0</v>
      </c>
      <c r="AB103" s="712"/>
      <c r="AC103" s="713"/>
      <c r="AD103" s="714"/>
      <c r="AE103" s="398">
        <f t="shared" si="20"/>
        <v>0</v>
      </c>
      <c r="AF103" s="712"/>
      <c r="AG103" s="713"/>
      <c r="AH103" s="714"/>
      <c r="AI103" s="398">
        <f t="shared" si="21"/>
        <v>0</v>
      </c>
      <c r="AJ103" s="712"/>
      <c r="AK103" s="713"/>
      <c r="AL103" s="714"/>
      <c r="AM103" s="398">
        <f t="shared" si="22"/>
        <v>0</v>
      </c>
    </row>
    <row r="104" spans="1:39" ht="15.75" customHeight="1" x14ac:dyDescent="0.3">
      <c r="A104" s="2161"/>
      <c r="B104" s="1313" t="str">
        <f t="shared" si="16"/>
        <v/>
      </c>
      <c r="C104" s="1011">
        <f>IF($D$2="NO",0,ROUNDDOWN(SUM(PROD!$V$5:V105)/IF(Iniciar!$C$25="kilos",40,1),0)-SUM($C$4:$C103))</f>
        <v>0</v>
      </c>
      <c r="D104" s="702"/>
      <c r="E104" s="702"/>
      <c r="F104" s="300">
        <f t="shared" si="23"/>
        <v>-15000</v>
      </c>
      <c r="G104" s="694"/>
      <c r="H104" s="695"/>
      <c r="I104" s="1314"/>
      <c r="J104" s="1315">
        <f>IF(K$1&gt;0,ROUNDUP(SUM(PROD!AM$5:AM105)/K$1*K$2,0),0)-SUM(J$4:J103)</f>
        <v>0</v>
      </c>
      <c r="K104" s="1316">
        <f t="shared" si="17"/>
        <v>0</v>
      </c>
      <c r="L104" s="1314"/>
      <c r="M104" s="1315">
        <f>IF(N$1&gt;0,ROUNDUP(SUM(PROD!L$5:L105,-PROD!AM$5:AM105,-PROD!AZ$5:AZ105)/N$1*N$2,0),0)-SUM(M$4:M103)</f>
        <v>0</v>
      </c>
      <c r="N104" s="1316">
        <f t="shared" si="18"/>
        <v>0</v>
      </c>
      <c r="O104" s="1317">
        <f t="shared" si="13"/>
        <v>0</v>
      </c>
      <c r="P104" s="1318"/>
      <c r="Q104" s="1319"/>
      <c r="R104" s="1320">
        <f t="shared" si="14"/>
        <v>0</v>
      </c>
      <c r="S104" s="1316">
        <f t="shared" si="15"/>
        <v>0</v>
      </c>
      <c r="T104" s="712"/>
      <c r="U104" s="713"/>
      <c r="V104" s="714"/>
      <c r="W104" s="398">
        <f t="shared" si="24"/>
        <v>0</v>
      </c>
      <c r="X104" s="712"/>
      <c r="Y104" s="713"/>
      <c r="Z104" s="714"/>
      <c r="AA104" s="398">
        <f t="shared" si="19"/>
        <v>0</v>
      </c>
      <c r="AB104" s="712"/>
      <c r="AC104" s="713"/>
      <c r="AD104" s="714"/>
      <c r="AE104" s="398">
        <f t="shared" si="20"/>
        <v>0</v>
      </c>
      <c r="AF104" s="712"/>
      <c r="AG104" s="713"/>
      <c r="AH104" s="714"/>
      <c r="AI104" s="398">
        <f t="shared" si="21"/>
        <v>0</v>
      </c>
      <c r="AJ104" s="712"/>
      <c r="AK104" s="713"/>
      <c r="AL104" s="714"/>
      <c r="AM104" s="398">
        <f t="shared" si="22"/>
        <v>0</v>
      </c>
    </row>
    <row r="105" spans="1:39" ht="15.75" customHeight="1" x14ac:dyDescent="0.3">
      <c r="A105" s="2161"/>
      <c r="B105" s="1313" t="str">
        <f t="shared" si="16"/>
        <v/>
      </c>
      <c r="C105" s="1011">
        <f>IF($D$2="NO",0,ROUNDDOWN(SUM(PROD!$V$5:V106)/IF(Iniciar!$C$25="kilos",40,1),0)-SUM($C$4:$C104))</f>
        <v>0</v>
      </c>
      <c r="D105" s="702"/>
      <c r="E105" s="702"/>
      <c r="F105" s="300">
        <f t="shared" si="23"/>
        <v>-15000</v>
      </c>
      <c r="G105" s="694"/>
      <c r="H105" s="695"/>
      <c r="I105" s="1314"/>
      <c r="J105" s="1315">
        <f>IF(K$1&gt;0,ROUNDUP(SUM(PROD!AM$5:AM106)/K$1*K$2,0),0)-SUM(J$4:J104)</f>
        <v>0</v>
      </c>
      <c r="K105" s="1316">
        <f t="shared" si="17"/>
        <v>0</v>
      </c>
      <c r="L105" s="1314"/>
      <c r="M105" s="1315">
        <f>IF(N$1&gt;0,ROUNDUP(SUM(PROD!L$5:L106,-PROD!AM$5:AM106,-PROD!AZ$5:AZ106)/N$1*N$2,0),0)-SUM(M$4:M104)</f>
        <v>0</v>
      </c>
      <c r="N105" s="1316">
        <f t="shared" si="18"/>
        <v>0</v>
      </c>
      <c r="O105" s="1317">
        <f t="shared" si="13"/>
        <v>0</v>
      </c>
      <c r="P105" s="1318"/>
      <c r="Q105" s="1319"/>
      <c r="R105" s="1320">
        <f t="shared" si="14"/>
        <v>0</v>
      </c>
      <c r="S105" s="1316">
        <f t="shared" si="15"/>
        <v>0</v>
      </c>
      <c r="T105" s="712"/>
      <c r="U105" s="713"/>
      <c r="V105" s="714"/>
      <c r="W105" s="398">
        <f t="shared" si="24"/>
        <v>0</v>
      </c>
      <c r="X105" s="712"/>
      <c r="Y105" s="713"/>
      <c r="Z105" s="714"/>
      <c r="AA105" s="398">
        <f t="shared" si="19"/>
        <v>0</v>
      </c>
      <c r="AB105" s="712"/>
      <c r="AC105" s="713"/>
      <c r="AD105" s="714"/>
      <c r="AE105" s="398">
        <f t="shared" si="20"/>
        <v>0</v>
      </c>
      <c r="AF105" s="712"/>
      <c r="AG105" s="713"/>
      <c r="AH105" s="714"/>
      <c r="AI105" s="398">
        <f t="shared" si="21"/>
        <v>0</v>
      </c>
      <c r="AJ105" s="712"/>
      <c r="AK105" s="713"/>
      <c r="AL105" s="714"/>
      <c r="AM105" s="398">
        <f t="shared" si="22"/>
        <v>0</v>
      </c>
    </row>
    <row r="106" spans="1:39" ht="15.75" customHeight="1" x14ac:dyDescent="0.3">
      <c r="A106" s="2161"/>
      <c r="B106" s="1313" t="str">
        <f t="shared" si="16"/>
        <v/>
      </c>
      <c r="C106" s="1011">
        <f>IF($D$2="NO",0,ROUNDDOWN(SUM(PROD!$V$5:V107)/IF(Iniciar!$C$25="kilos",40,1),0)-SUM($C$4:$C105))</f>
        <v>0</v>
      </c>
      <c r="D106" s="702"/>
      <c r="E106" s="702"/>
      <c r="F106" s="300">
        <f t="shared" si="23"/>
        <v>-15000</v>
      </c>
      <c r="G106" s="694"/>
      <c r="H106" s="695"/>
      <c r="I106" s="1314"/>
      <c r="J106" s="1315">
        <f>IF(K$1&gt;0,ROUNDUP(SUM(PROD!AM$5:AM107)/K$1*K$2,0),0)-SUM(J$4:J105)</f>
        <v>0</v>
      </c>
      <c r="K106" s="1316">
        <f t="shared" si="17"/>
        <v>0</v>
      </c>
      <c r="L106" s="1314"/>
      <c r="M106" s="1315">
        <f>IF(N$1&gt;0,ROUNDUP(SUM(PROD!L$5:L107,-PROD!AM$5:AM107,-PROD!AZ$5:AZ107)/N$1*N$2,0),0)-SUM(M$4:M105)</f>
        <v>0</v>
      </c>
      <c r="N106" s="1316">
        <f t="shared" si="18"/>
        <v>0</v>
      </c>
      <c r="O106" s="1317">
        <f t="shared" si="13"/>
        <v>0</v>
      </c>
      <c r="P106" s="1318"/>
      <c r="Q106" s="1319"/>
      <c r="R106" s="1320">
        <f t="shared" si="14"/>
        <v>0</v>
      </c>
      <c r="S106" s="1316">
        <f t="shared" si="15"/>
        <v>0</v>
      </c>
      <c r="T106" s="712"/>
      <c r="U106" s="713"/>
      <c r="V106" s="714"/>
      <c r="W106" s="398">
        <f t="shared" si="24"/>
        <v>0</v>
      </c>
      <c r="X106" s="712"/>
      <c r="Y106" s="713"/>
      <c r="Z106" s="714"/>
      <c r="AA106" s="398">
        <f t="shared" si="19"/>
        <v>0</v>
      </c>
      <c r="AB106" s="712"/>
      <c r="AC106" s="713"/>
      <c r="AD106" s="714"/>
      <c r="AE106" s="398">
        <f t="shared" si="20"/>
        <v>0</v>
      </c>
      <c r="AF106" s="712"/>
      <c r="AG106" s="713"/>
      <c r="AH106" s="714"/>
      <c r="AI106" s="398">
        <f t="shared" si="21"/>
        <v>0</v>
      </c>
      <c r="AJ106" s="712"/>
      <c r="AK106" s="713"/>
      <c r="AL106" s="714"/>
      <c r="AM106" s="398">
        <f t="shared" si="22"/>
        <v>0</v>
      </c>
    </row>
    <row r="107" spans="1:39" ht="15.75" customHeight="1" x14ac:dyDescent="0.3">
      <c r="A107" s="2161"/>
      <c r="B107" s="1313" t="str">
        <f t="shared" si="16"/>
        <v/>
      </c>
      <c r="C107" s="1011">
        <f>IF($D$2="NO",0,ROUNDDOWN(SUM(PROD!$V$5:V108)/IF(Iniciar!$C$25="kilos",40,1),0)-SUM($C$4:$C106))</f>
        <v>0</v>
      </c>
      <c r="D107" s="702"/>
      <c r="E107" s="702"/>
      <c r="F107" s="300">
        <f t="shared" si="23"/>
        <v>-15000</v>
      </c>
      <c r="G107" s="694"/>
      <c r="H107" s="695"/>
      <c r="I107" s="1314"/>
      <c r="J107" s="1315">
        <f>IF(K$1&gt;0,ROUNDUP(SUM(PROD!AM$5:AM108)/K$1*K$2,0),0)-SUM(J$4:J106)</f>
        <v>0</v>
      </c>
      <c r="K107" s="1316">
        <f t="shared" si="17"/>
        <v>0</v>
      </c>
      <c r="L107" s="1314"/>
      <c r="M107" s="1315">
        <f>IF(N$1&gt;0,ROUNDUP(SUM(PROD!L$5:L108,-PROD!AM$5:AM108,-PROD!AZ$5:AZ108)/N$1*N$2,0),0)-SUM(M$4:M106)</f>
        <v>0</v>
      </c>
      <c r="N107" s="1316">
        <f t="shared" si="18"/>
        <v>0</v>
      </c>
      <c r="O107" s="1317">
        <f t="shared" si="13"/>
        <v>0</v>
      </c>
      <c r="P107" s="1318"/>
      <c r="Q107" s="1319"/>
      <c r="R107" s="1320">
        <f t="shared" si="14"/>
        <v>0</v>
      </c>
      <c r="S107" s="1316">
        <f t="shared" si="15"/>
        <v>0</v>
      </c>
      <c r="T107" s="712"/>
      <c r="U107" s="713"/>
      <c r="V107" s="714"/>
      <c r="W107" s="398">
        <f t="shared" si="24"/>
        <v>0</v>
      </c>
      <c r="X107" s="712"/>
      <c r="Y107" s="713"/>
      <c r="Z107" s="714"/>
      <c r="AA107" s="398">
        <f t="shared" si="19"/>
        <v>0</v>
      </c>
      <c r="AB107" s="712"/>
      <c r="AC107" s="713"/>
      <c r="AD107" s="714"/>
      <c r="AE107" s="398">
        <f t="shared" si="20"/>
        <v>0</v>
      </c>
      <c r="AF107" s="712"/>
      <c r="AG107" s="713"/>
      <c r="AH107" s="714"/>
      <c r="AI107" s="398">
        <f t="shared" si="21"/>
        <v>0</v>
      </c>
      <c r="AJ107" s="712"/>
      <c r="AK107" s="713"/>
      <c r="AL107" s="714"/>
      <c r="AM107" s="398">
        <f t="shared" si="22"/>
        <v>0</v>
      </c>
    </row>
    <row r="108" spans="1:39" ht="16.5" customHeight="1" x14ac:dyDescent="0.3">
      <c r="A108" s="2162"/>
      <c r="B108" s="1313" t="str">
        <f t="shared" si="16"/>
        <v/>
      </c>
      <c r="C108" s="1011">
        <f>IF($D$2="NO",0,ROUNDDOWN(SUM(PROD!$V$5:V109)/IF(Iniciar!$C$25="kilos",40,1),0)-SUM($C$4:$C107))</f>
        <v>0</v>
      </c>
      <c r="D108" s="702"/>
      <c r="E108" s="702"/>
      <c r="F108" s="300">
        <f t="shared" si="23"/>
        <v>-15000</v>
      </c>
      <c r="G108" s="694"/>
      <c r="H108" s="695"/>
      <c r="I108" s="1314"/>
      <c r="J108" s="1315">
        <f>IF(K$1&gt;0,ROUNDUP(SUM(PROD!AM$5:AM109)/K$1*K$2,0),0)-SUM(J$4:J107)</f>
        <v>0</v>
      </c>
      <c r="K108" s="1316">
        <f t="shared" si="17"/>
        <v>0</v>
      </c>
      <c r="L108" s="1314"/>
      <c r="M108" s="1315">
        <f>IF(N$1&gt;0,ROUNDUP(SUM(PROD!L$5:L109,-PROD!AM$5:AM109,-PROD!AZ$5:AZ109)/N$1*N$2,0),0)-SUM(M$4:M107)</f>
        <v>0</v>
      </c>
      <c r="N108" s="1316">
        <f t="shared" si="18"/>
        <v>0</v>
      </c>
      <c r="O108" s="1317">
        <f t="shared" si="13"/>
        <v>0</v>
      </c>
      <c r="P108" s="1318"/>
      <c r="Q108" s="1319"/>
      <c r="R108" s="1320">
        <f t="shared" si="14"/>
        <v>0</v>
      </c>
      <c r="S108" s="1316">
        <f t="shared" si="15"/>
        <v>0</v>
      </c>
      <c r="T108" s="712"/>
      <c r="U108" s="713"/>
      <c r="V108" s="714"/>
      <c r="W108" s="398">
        <f t="shared" si="24"/>
        <v>0</v>
      </c>
      <c r="X108" s="712"/>
      <c r="Y108" s="713"/>
      <c r="Z108" s="714"/>
      <c r="AA108" s="398">
        <f t="shared" si="19"/>
        <v>0</v>
      </c>
      <c r="AB108" s="712"/>
      <c r="AC108" s="713"/>
      <c r="AD108" s="714"/>
      <c r="AE108" s="398">
        <f t="shared" si="20"/>
        <v>0</v>
      </c>
      <c r="AF108" s="712"/>
      <c r="AG108" s="713"/>
      <c r="AH108" s="714"/>
      <c r="AI108" s="398">
        <f t="shared" si="21"/>
        <v>0</v>
      </c>
      <c r="AJ108" s="712"/>
      <c r="AK108" s="713"/>
      <c r="AL108" s="714"/>
      <c r="AM108" s="398">
        <f t="shared" si="22"/>
        <v>0</v>
      </c>
    </row>
    <row r="109" spans="1:39" ht="16.5" customHeight="1" x14ac:dyDescent="0.3">
      <c r="A109" s="2160">
        <f>A102+1</f>
        <v>33</v>
      </c>
      <c r="B109" s="1313" t="str">
        <f t="shared" si="16"/>
        <v/>
      </c>
      <c r="C109" s="1011">
        <f>IF($D$2="NO",0,ROUNDDOWN(SUM(PROD!$V$5:V110)/IF(Iniciar!$C$25="kilos",40,1),0)-SUM($C$4:$C108))</f>
        <v>0</v>
      </c>
      <c r="D109" s="702"/>
      <c r="E109" s="702"/>
      <c r="F109" s="300">
        <f t="shared" si="23"/>
        <v>-15000</v>
      </c>
      <c r="G109" s="694"/>
      <c r="H109" s="695"/>
      <c r="I109" s="1314"/>
      <c r="J109" s="1315">
        <f>IF(K$1&gt;0,ROUNDUP(SUM(PROD!AM$5:AM110)/K$1*K$2,0),0)-SUM(J$4:J108)</f>
        <v>0</v>
      </c>
      <c r="K109" s="1316">
        <f t="shared" si="17"/>
        <v>0</v>
      </c>
      <c r="L109" s="1314"/>
      <c r="M109" s="1315">
        <f>IF(N$1&gt;0,ROUNDUP(SUM(PROD!L$5:L110,-PROD!AM$5:AM110,-PROD!AZ$5:AZ110)/N$1*N$2,0),0)-SUM(M$4:M108)</f>
        <v>0</v>
      </c>
      <c r="N109" s="1316">
        <f t="shared" si="18"/>
        <v>0</v>
      </c>
      <c r="O109" s="1317">
        <f t="shared" si="13"/>
        <v>0</v>
      </c>
      <c r="P109" s="1318"/>
      <c r="Q109" s="1319"/>
      <c r="R109" s="1320">
        <f t="shared" si="14"/>
        <v>0</v>
      </c>
      <c r="S109" s="1316">
        <f t="shared" si="15"/>
        <v>0</v>
      </c>
      <c r="T109" s="712"/>
      <c r="U109" s="713"/>
      <c r="V109" s="714"/>
      <c r="W109" s="398">
        <f t="shared" si="24"/>
        <v>0</v>
      </c>
      <c r="X109" s="712"/>
      <c r="Y109" s="713"/>
      <c r="Z109" s="714"/>
      <c r="AA109" s="398">
        <f t="shared" si="19"/>
        <v>0</v>
      </c>
      <c r="AB109" s="712"/>
      <c r="AC109" s="713"/>
      <c r="AD109" s="714"/>
      <c r="AE109" s="398">
        <f t="shared" si="20"/>
        <v>0</v>
      </c>
      <c r="AF109" s="712"/>
      <c r="AG109" s="713"/>
      <c r="AH109" s="714"/>
      <c r="AI109" s="398">
        <f t="shared" si="21"/>
        <v>0</v>
      </c>
      <c r="AJ109" s="712"/>
      <c r="AK109" s="713"/>
      <c r="AL109" s="714"/>
      <c r="AM109" s="398">
        <f t="shared" si="22"/>
        <v>0</v>
      </c>
    </row>
    <row r="110" spans="1:39" ht="15.75" customHeight="1" x14ac:dyDescent="0.3">
      <c r="A110" s="2161"/>
      <c r="B110" s="1313" t="str">
        <f t="shared" si="16"/>
        <v/>
      </c>
      <c r="C110" s="1011">
        <f>IF($D$2="NO",0,ROUNDDOWN(SUM(PROD!$V$5:V111)/IF(Iniciar!$C$25="kilos",40,1),0)-SUM($C$4:$C109))</f>
        <v>0</v>
      </c>
      <c r="D110" s="702"/>
      <c r="E110" s="702"/>
      <c r="F110" s="300">
        <f t="shared" si="23"/>
        <v>-15000</v>
      </c>
      <c r="G110" s="694"/>
      <c r="H110" s="695"/>
      <c r="I110" s="1314"/>
      <c r="J110" s="1315">
        <f>IF(K$1&gt;0,ROUNDUP(SUM(PROD!AM$5:AM111)/K$1*K$2,0),0)-SUM(J$4:J109)</f>
        <v>0</v>
      </c>
      <c r="K110" s="1316">
        <f t="shared" si="17"/>
        <v>0</v>
      </c>
      <c r="L110" s="1314"/>
      <c r="M110" s="1315">
        <f>IF(N$1&gt;0,ROUNDUP(SUM(PROD!L$5:L111,-PROD!AM$5:AM111,-PROD!AZ$5:AZ111)/N$1*N$2,0),0)-SUM(M$4:M109)</f>
        <v>0</v>
      </c>
      <c r="N110" s="1316">
        <f t="shared" si="18"/>
        <v>0</v>
      </c>
      <c r="O110" s="1317">
        <f t="shared" si="13"/>
        <v>0</v>
      </c>
      <c r="P110" s="1318"/>
      <c r="Q110" s="1319"/>
      <c r="R110" s="1320">
        <f t="shared" si="14"/>
        <v>0</v>
      </c>
      <c r="S110" s="1316">
        <f t="shared" si="15"/>
        <v>0</v>
      </c>
      <c r="T110" s="712"/>
      <c r="U110" s="713"/>
      <c r="V110" s="714"/>
      <c r="W110" s="398">
        <f t="shared" si="24"/>
        <v>0</v>
      </c>
      <c r="X110" s="712"/>
      <c r="Y110" s="713"/>
      <c r="Z110" s="714"/>
      <c r="AA110" s="398">
        <f t="shared" si="19"/>
        <v>0</v>
      </c>
      <c r="AB110" s="712"/>
      <c r="AC110" s="713"/>
      <c r="AD110" s="714"/>
      <c r="AE110" s="398">
        <f t="shared" si="20"/>
        <v>0</v>
      </c>
      <c r="AF110" s="712"/>
      <c r="AG110" s="713"/>
      <c r="AH110" s="714"/>
      <c r="AI110" s="398">
        <f t="shared" si="21"/>
        <v>0</v>
      </c>
      <c r="AJ110" s="712"/>
      <c r="AK110" s="713"/>
      <c r="AL110" s="714"/>
      <c r="AM110" s="398">
        <f t="shared" si="22"/>
        <v>0</v>
      </c>
    </row>
    <row r="111" spans="1:39" ht="15.75" customHeight="1" x14ac:dyDescent="0.3">
      <c r="A111" s="2161"/>
      <c r="B111" s="1313" t="str">
        <f t="shared" si="16"/>
        <v/>
      </c>
      <c r="C111" s="1011">
        <f>IF($D$2="NO",0,ROUNDDOWN(SUM(PROD!$V$5:V112)/IF(Iniciar!$C$25="kilos",40,1),0)-SUM($C$4:$C110))</f>
        <v>0</v>
      </c>
      <c r="D111" s="702"/>
      <c r="E111" s="702"/>
      <c r="F111" s="300">
        <f t="shared" si="23"/>
        <v>-15000</v>
      </c>
      <c r="G111" s="694"/>
      <c r="H111" s="695"/>
      <c r="I111" s="1314"/>
      <c r="J111" s="1315">
        <f>IF(K$1&gt;0,ROUNDUP(SUM(PROD!AM$5:AM112)/K$1*K$2,0),0)-SUM(J$4:J110)</f>
        <v>0</v>
      </c>
      <c r="K111" s="1316">
        <f t="shared" si="17"/>
        <v>0</v>
      </c>
      <c r="L111" s="1314"/>
      <c r="M111" s="1315">
        <f>IF(N$1&gt;0,ROUNDUP(SUM(PROD!L$5:L112,-PROD!AM$5:AM112,-PROD!AZ$5:AZ112)/N$1*N$2,0),0)-SUM(M$4:M110)</f>
        <v>0</v>
      </c>
      <c r="N111" s="1316">
        <f t="shared" si="18"/>
        <v>0</v>
      </c>
      <c r="O111" s="1317">
        <f t="shared" si="13"/>
        <v>0</v>
      </c>
      <c r="P111" s="1318"/>
      <c r="Q111" s="1319"/>
      <c r="R111" s="1320">
        <f t="shared" si="14"/>
        <v>0</v>
      </c>
      <c r="S111" s="1316">
        <f t="shared" si="15"/>
        <v>0</v>
      </c>
      <c r="T111" s="712"/>
      <c r="U111" s="713"/>
      <c r="V111" s="714"/>
      <c r="W111" s="398">
        <f t="shared" si="24"/>
        <v>0</v>
      </c>
      <c r="X111" s="712"/>
      <c r="Y111" s="713"/>
      <c r="Z111" s="714"/>
      <c r="AA111" s="398">
        <f t="shared" si="19"/>
        <v>0</v>
      </c>
      <c r="AB111" s="712"/>
      <c r="AC111" s="713"/>
      <c r="AD111" s="714"/>
      <c r="AE111" s="398">
        <f t="shared" si="20"/>
        <v>0</v>
      </c>
      <c r="AF111" s="712"/>
      <c r="AG111" s="713"/>
      <c r="AH111" s="714"/>
      <c r="AI111" s="398">
        <f t="shared" si="21"/>
        <v>0</v>
      </c>
      <c r="AJ111" s="712"/>
      <c r="AK111" s="713"/>
      <c r="AL111" s="714"/>
      <c r="AM111" s="398">
        <f t="shared" si="22"/>
        <v>0</v>
      </c>
    </row>
    <row r="112" spans="1:39" ht="15.75" customHeight="1" x14ac:dyDescent="0.3">
      <c r="A112" s="2161"/>
      <c r="B112" s="1313" t="str">
        <f t="shared" si="16"/>
        <v/>
      </c>
      <c r="C112" s="1011">
        <f>IF($D$2="NO",0,ROUNDDOWN(SUM(PROD!$V$5:V113)/IF(Iniciar!$C$25="kilos",40,1),0)-SUM($C$4:$C111))</f>
        <v>0</v>
      </c>
      <c r="D112" s="702"/>
      <c r="E112" s="702"/>
      <c r="F112" s="300">
        <f t="shared" si="23"/>
        <v>-15000</v>
      </c>
      <c r="G112" s="694"/>
      <c r="H112" s="695"/>
      <c r="I112" s="1314"/>
      <c r="J112" s="1315">
        <f>IF(K$1&gt;0,ROUNDUP(SUM(PROD!AM$5:AM113)/K$1*K$2,0),0)-SUM(J$4:J111)</f>
        <v>0</v>
      </c>
      <c r="K112" s="1316">
        <f t="shared" si="17"/>
        <v>0</v>
      </c>
      <c r="L112" s="1314"/>
      <c r="M112" s="1315">
        <f>IF(N$1&gt;0,ROUNDUP(SUM(PROD!L$5:L113,-PROD!AM$5:AM113,-PROD!AZ$5:AZ113)/N$1*N$2,0),0)-SUM(M$4:M111)</f>
        <v>0</v>
      </c>
      <c r="N112" s="1316">
        <f t="shared" si="18"/>
        <v>0</v>
      </c>
      <c r="O112" s="1317">
        <f t="shared" si="13"/>
        <v>0</v>
      </c>
      <c r="P112" s="1318"/>
      <c r="Q112" s="1319"/>
      <c r="R112" s="1320">
        <f t="shared" si="14"/>
        <v>0</v>
      </c>
      <c r="S112" s="1316">
        <f t="shared" si="15"/>
        <v>0</v>
      </c>
      <c r="T112" s="712"/>
      <c r="U112" s="713"/>
      <c r="V112" s="714"/>
      <c r="W112" s="398">
        <f t="shared" si="24"/>
        <v>0</v>
      </c>
      <c r="X112" s="712"/>
      <c r="Y112" s="713"/>
      <c r="Z112" s="714"/>
      <c r="AA112" s="398">
        <f t="shared" si="19"/>
        <v>0</v>
      </c>
      <c r="AB112" s="712"/>
      <c r="AC112" s="713"/>
      <c r="AD112" s="714"/>
      <c r="AE112" s="398">
        <f t="shared" si="20"/>
        <v>0</v>
      </c>
      <c r="AF112" s="712"/>
      <c r="AG112" s="713"/>
      <c r="AH112" s="714"/>
      <c r="AI112" s="398">
        <f t="shared" si="21"/>
        <v>0</v>
      </c>
      <c r="AJ112" s="712"/>
      <c r="AK112" s="713"/>
      <c r="AL112" s="714"/>
      <c r="AM112" s="398">
        <f t="shared" si="22"/>
        <v>0</v>
      </c>
    </row>
    <row r="113" spans="1:39" ht="15.75" customHeight="1" x14ac:dyDescent="0.3">
      <c r="A113" s="2161"/>
      <c r="B113" s="1313" t="str">
        <f t="shared" si="16"/>
        <v/>
      </c>
      <c r="C113" s="1011">
        <f>IF($D$2="NO",0,ROUNDDOWN(SUM(PROD!$V$5:V114)/IF(Iniciar!$C$25="kilos",40,1),0)-SUM($C$4:$C112))</f>
        <v>0</v>
      </c>
      <c r="D113" s="702"/>
      <c r="E113" s="702"/>
      <c r="F113" s="300">
        <f t="shared" si="23"/>
        <v>-15000</v>
      </c>
      <c r="G113" s="694"/>
      <c r="H113" s="695"/>
      <c r="I113" s="1314"/>
      <c r="J113" s="1315">
        <f>IF(K$1&gt;0,ROUNDUP(SUM(PROD!AM$5:AM114)/K$1*K$2,0),0)-SUM(J$4:J112)</f>
        <v>0</v>
      </c>
      <c r="K113" s="1316">
        <f t="shared" si="17"/>
        <v>0</v>
      </c>
      <c r="L113" s="1314"/>
      <c r="M113" s="1315">
        <f>IF(N$1&gt;0,ROUNDUP(SUM(PROD!L$5:L114,-PROD!AM$5:AM114,-PROD!AZ$5:AZ114)/N$1*N$2,0),0)-SUM(M$4:M112)</f>
        <v>0</v>
      </c>
      <c r="N113" s="1316">
        <f t="shared" si="18"/>
        <v>0</v>
      </c>
      <c r="O113" s="1317">
        <f t="shared" si="13"/>
        <v>0</v>
      </c>
      <c r="P113" s="1318"/>
      <c r="Q113" s="1319"/>
      <c r="R113" s="1320">
        <f t="shared" si="14"/>
        <v>0</v>
      </c>
      <c r="S113" s="1316">
        <f t="shared" si="15"/>
        <v>0</v>
      </c>
      <c r="T113" s="712"/>
      <c r="U113" s="713"/>
      <c r="V113" s="714"/>
      <c r="W113" s="398">
        <f t="shared" si="24"/>
        <v>0</v>
      </c>
      <c r="X113" s="712"/>
      <c r="Y113" s="713"/>
      <c r="Z113" s="714"/>
      <c r="AA113" s="398">
        <f t="shared" si="19"/>
        <v>0</v>
      </c>
      <c r="AB113" s="712"/>
      <c r="AC113" s="713"/>
      <c r="AD113" s="714"/>
      <c r="AE113" s="398">
        <f t="shared" si="20"/>
        <v>0</v>
      </c>
      <c r="AF113" s="712"/>
      <c r="AG113" s="713"/>
      <c r="AH113" s="714"/>
      <c r="AI113" s="398">
        <f t="shared" si="21"/>
        <v>0</v>
      </c>
      <c r="AJ113" s="712"/>
      <c r="AK113" s="713"/>
      <c r="AL113" s="714"/>
      <c r="AM113" s="398">
        <f t="shared" si="22"/>
        <v>0</v>
      </c>
    </row>
    <row r="114" spans="1:39" ht="15.75" customHeight="1" x14ac:dyDescent="0.3">
      <c r="A114" s="2161"/>
      <c r="B114" s="1313" t="str">
        <f t="shared" si="16"/>
        <v/>
      </c>
      <c r="C114" s="1011">
        <f>IF($D$2="NO",0,ROUNDDOWN(SUM(PROD!$V$5:V115)/IF(Iniciar!$C$25="kilos",40,1),0)-SUM($C$4:$C113))</f>
        <v>0</v>
      </c>
      <c r="D114" s="702"/>
      <c r="E114" s="702"/>
      <c r="F114" s="300">
        <f t="shared" si="23"/>
        <v>-15000</v>
      </c>
      <c r="G114" s="694"/>
      <c r="H114" s="695"/>
      <c r="I114" s="1314"/>
      <c r="J114" s="1315">
        <f>IF(K$1&gt;0,ROUNDUP(SUM(PROD!AM$5:AM115)/K$1*K$2,0),0)-SUM(J$4:J113)</f>
        <v>0</v>
      </c>
      <c r="K114" s="1316">
        <f t="shared" si="17"/>
        <v>0</v>
      </c>
      <c r="L114" s="1314"/>
      <c r="M114" s="1315">
        <f>IF(N$1&gt;0,ROUNDUP(SUM(PROD!L$5:L115,-PROD!AM$5:AM115,-PROD!AZ$5:AZ115)/N$1*N$2,0),0)-SUM(M$4:M113)</f>
        <v>0</v>
      </c>
      <c r="N114" s="1316">
        <f t="shared" si="18"/>
        <v>0</v>
      </c>
      <c r="O114" s="1317">
        <f t="shared" si="13"/>
        <v>0</v>
      </c>
      <c r="P114" s="1318"/>
      <c r="Q114" s="1319"/>
      <c r="R114" s="1320">
        <f t="shared" si="14"/>
        <v>0</v>
      </c>
      <c r="S114" s="1316">
        <f t="shared" si="15"/>
        <v>0</v>
      </c>
      <c r="T114" s="712"/>
      <c r="U114" s="713"/>
      <c r="V114" s="714"/>
      <c r="W114" s="398">
        <f t="shared" si="24"/>
        <v>0</v>
      </c>
      <c r="X114" s="712"/>
      <c r="Y114" s="713"/>
      <c r="Z114" s="714"/>
      <c r="AA114" s="398">
        <f t="shared" si="19"/>
        <v>0</v>
      </c>
      <c r="AB114" s="712"/>
      <c r="AC114" s="713"/>
      <c r="AD114" s="714"/>
      <c r="AE114" s="398">
        <f t="shared" si="20"/>
        <v>0</v>
      </c>
      <c r="AF114" s="712"/>
      <c r="AG114" s="713"/>
      <c r="AH114" s="714"/>
      <c r="AI114" s="398">
        <f t="shared" si="21"/>
        <v>0</v>
      </c>
      <c r="AJ114" s="712"/>
      <c r="AK114" s="713"/>
      <c r="AL114" s="714"/>
      <c r="AM114" s="398">
        <f t="shared" si="22"/>
        <v>0</v>
      </c>
    </row>
    <row r="115" spans="1:39" ht="16.5" customHeight="1" x14ac:dyDescent="0.3">
      <c r="A115" s="2162"/>
      <c r="B115" s="1313" t="str">
        <f t="shared" si="16"/>
        <v/>
      </c>
      <c r="C115" s="1011">
        <f>IF($D$2="NO",0,ROUNDDOWN(SUM(PROD!$V$5:V116)/IF(Iniciar!$C$25="kilos",40,1),0)-SUM($C$4:$C114))</f>
        <v>0</v>
      </c>
      <c r="D115" s="702"/>
      <c r="E115" s="702"/>
      <c r="F115" s="300">
        <f t="shared" si="23"/>
        <v>-15000</v>
      </c>
      <c r="G115" s="694"/>
      <c r="H115" s="695"/>
      <c r="I115" s="1314"/>
      <c r="J115" s="1315">
        <f>IF(K$1&gt;0,ROUNDUP(SUM(PROD!AM$5:AM116)/K$1*K$2,0),0)-SUM(J$4:J114)</f>
        <v>0</v>
      </c>
      <c r="K115" s="1316">
        <f t="shared" si="17"/>
        <v>0</v>
      </c>
      <c r="L115" s="1314"/>
      <c r="M115" s="1315">
        <f>IF(N$1&gt;0,ROUNDUP(SUM(PROD!L$5:L116,-PROD!AM$5:AM116,-PROD!AZ$5:AZ116)/N$1*N$2,0),0)-SUM(M$4:M114)</f>
        <v>0</v>
      </c>
      <c r="N115" s="1316">
        <f t="shared" si="18"/>
        <v>0</v>
      </c>
      <c r="O115" s="1317">
        <f t="shared" si="13"/>
        <v>0</v>
      </c>
      <c r="P115" s="1318"/>
      <c r="Q115" s="1319"/>
      <c r="R115" s="1320">
        <f t="shared" si="14"/>
        <v>0</v>
      </c>
      <c r="S115" s="1316">
        <f t="shared" si="15"/>
        <v>0</v>
      </c>
      <c r="T115" s="712"/>
      <c r="U115" s="713"/>
      <c r="V115" s="714"/>
      <c r="W115" s="398">
        <f t="shared" si="24"/>
        <v>0</v>
      </c>
      <c r="X115" s="712"/>
      <c r="Y115" s="713"/>
      <c r="Z115" s="714"/>
      <c r="AA115" s="398">
        <f t="shared" si="19"/>
        <v>0</v>
      </c>
      <c r="AB115" s="712"/>
      <c r="AC115" s="713"/>
      <c r="AD115" s="714"/>
      <c r="AE115" s="398">
        <f t="shared" si="20"/>
        <v>0</v>
      </c>
      <c r="AF115" s="712"/>
      <c r="AG115" s="713"/>
      <c r="AH115" s="714"/>
      <c r="AI115" s="398">
        <f t="shared" si="21"/>
        <v>0</v>
      </c>
      <c r="AJ115" s="712"/>
      <c r="AK115" s="713"/>
      <c r="AL115" s="714"/>
      <c r="AM115" s="398">
        <f t="shared" si="22"/>
        <v>0</v>
      </c>
    </row>
    <row r="116" spans="1:39" ht="16.5" customHeight="1" x14ac:dyDescent="0.3">
      <c r="A116" s="2160">
        <f>A109+1</f>
        <v>34</v>
      </c>
      <c r="B116" s="1313" t="str">
        <f t="shared" si="16"/>
        <v/>
      </c>
      <c r="C116" s="1011">
        <f>IF($D$2="NO",0,ROUNDDOWN(SUM(PROD!$V$5:V117)/IF(Iniciar!$C$25="kilos",40,1),0)-SUM($C$4:$C115))</f>
        <v>0</v>
      </c>
      <c r="D116" s="702"/>
      <c r="E116" s="702"/>
      <c r="F116" s="300">
        <f t="shared" si="23"/>
        <v>-15000</v>
      </c>
      <c r="G116" s="694"/>
      <c r="H116" s="695"/>
      <c r="I116" s="1314"/>
      <c r="J116" s="1315">
        <f>IF(K$1&gt;0,ROUNDUP(SUM(PROD!AM$5:AM117)/K$1*K$2,0),0)-SUM(J$4:J115)</f>
        <v>0</v>
      </c>
      <c r="K116" s="1316">
        <f t="shared" si="17"/>
        <v>0</v>
      </c>
      <c r="L116" s="1314"/>
      <c r="M116" s="1315">
        <f>IF(N$1&gt;0,ROUNDUP(SUM(PROD!L$5:L117,-PROD!AM$5:AM117,-PROD!AZ$5:AZ117)/N$1*N$2,0),0)-SUM(M$4:M115)</f>
        <v>0</v>
      </c>
      <c r="N116" s="1316">
        <f t="shared" si="18"/>
        <v>0</v>
      </c>
      <c r="O116" s="1317">
        <f t="shared" si="13"/>
        <v>0</v>
      </c>
      <c r="P116" s="1318"/>
      <c r="Q116" s="1319"/>
      <c r="R116" s="1320">
        <f t="shared" si="14"/>
        <v>0</v>
      </c>
      <c r="S116" s="1316">
        <f t="shared" si="15"/>
        <v>0</v>
      </c>
      <c r="T116" s="712"/>
      <c r="U116" s="713"/>
      <c r="V116" s="714"/>
      <c r="W116" s="398">
        <f t="shared" si="24"/>
        <v>0</v>
      </c>
      <c r="X116" s="712"/>
      <c r="Y116" s="713"/>
      <c r="Z116" s="714"/>
      <c r="AA116" s="398">
        <f t="shared" si="19"/>
        <v>0</v>
      </c>
      <c r="AB116" s="712"/>
      <c r="AC116" s="713"/>
      <c r="AD116" s="714"/>
      <c r="AE116" s="398">
        <f t="shared" si="20"/>
        <v>0</v>
      </c>
      <c r="AF116" s="712"/>
      <c r="AG116" s="713"/>
      <c r="AH116" s="714"/>
      <c r="AI116" s="398">
        <f t="shared" si="21"/>
        <v>0</v>
      </c>
      <c r="AJ116" s="712"/>
      <c r="AK116" s="713"/>
      <c r="AL116" s="714"/>
      <c r="AM116" s="398">
        <f t="shared" si="22"/>
        <v>0</v>
      </c>
    </row>
    <row r="117" spans="1:39" ht="15.75" customHeight="1" x14ac:dyDescent="0.3">
      <c r="A117" s="2161"/>
      <c r="B117" s="1313" t="str">
        <f t="shared" si="16"/>
        <v/>
      </c>
      <c r="C117" s="1011">
        <f>IF($D$2="NO",0,ROUNDDOWN(SUM(PROD!$V$5:V118)/IF(Iniciar!$C$25="kilos",40,1),0)-SUM($C$4:$C116))</f>
        <v>0</v>
      </c>
      <c r="D117" s="702"/>
      <c r="E117" s="702"/>
      <c r="F117" s="300">
        <f t="shared" si="23"/>
        <v>-15000</v>
      </c>
      <c r="G117" s="694"/>
      <c r="H117" s="695"/>
      <c r="I117" s="1314"/>
      <c r="J117" s="1315">
        <f>IF(K$1&gt;0,ROUNDUP(SUM(PROD!AM$5:AM118)/K$1*K$2,0),0)-SUM(J$4:J116)</f>
        <v>0</v>
      </c>
      <c r="K117" s="1316">
        <f t="shared" si="17"/>
        <v>0</v>
      </c>
      <c r="L117" s="1314"/>
      <c r="M117" s="1315">
        <f>IF(N$1&gt;0,ROUNDUP(SUM(PROD!L$5:L118,-PROD!AM$5:AM118,-PROD!AZ$5:AZ118)/N$1*N$2,0),0)-SUM(M$4:M116)</f>
        <v>0</v>
      </c>
      <c r="N117" s="1316">
        <f t="shared" si="18"/>
        <v>0</v>
      </c>
      <c r="O117" s="1317">
        <f t="shared" si="13"/>
        <v>0</v>
      </c>
      <c r="P117" s="1318"/>
      <c r="Q117" s="1319"/>
      <c r="R117" s="1320">
        <f t="shared" si="14"/>
        <v>0</v>
      </c>
      <c r="S117" s="1316">
        <f t="shared" si="15"/>
        <v>0</v>
      </c>
      <c r="T117" s="712"/>
      <c r="U117" s="713"/>
      <c r="V117" s="714"/>
      <c r="W117" s="398">
        <f t="shared" si="24"/>
        <v>0</v>
      </c>
      <c r="X117" s="712"/>
      <c r="Y117" s="713"/>
      <c r="Z117" s="714"/>
      <c r="AA117" s="398">
        <f t="shared" si="19"/>
        <v>0</v>
      </c>
      <c r="AB117" s="712"/>
      <c r="AC117" s="713"/>
      <c r="AD117" s="714"/>
      <c r="AE117" s="398">
        <f t="shared" si="20"/>
        <v>0</v>
      </c>
      <c r="AF117" s="712"/>
      <c r="AG117" s="713"/>
      <c r="AH117" s="714"/>
      <c r="AI117" s="398">
        <f t="shared" si="21"/>
        <v>0</v>
      </c>
      <c r="AJ117" s="712"/>
      <c r="AK117" s="713"/>
      <c r="AL117" s="714"/>
      <c r="AM117" s="398">
        <f t="shared" si="22"/>
        <v>0</v>
      </c>
    </row>
    <row r="118" spans="1:39" ht="15.75" customHeight="1" x14ac:dyDescent="0.3">
      <c r="A118" s="2161"/>
      <c r="B118" s="1313" t="str">
        <f t="shared" si="16"/>
        <v/>
      </c>
      <c r="C118" s="1011">
        <f>IF($D$2="NO",0,ROUNDDOWN(SUM(PROD!$V$5:V119)/IF(Iniciar!$C$25="kilos",40,1),0)-SUM($C$4:$C117))</f>
        <v>0</v>
      </c>
      <c r="D118" s="702"/>
      <c r="E118" s="702"/>
      <c r="F118" s="300">
        <f t="shared" si="23"/>
        <v>-15000</v>
      </c>
      <c r="G118" s="694"/>
      <c r="H118" s="695"/>
      <c r="I118" s="1314"/>
      <c r="J118" s="1315">
        <f>IF(K$1&gt;0,ROUNDUP(SUM(PROD!AM$5:AM119)/K$1*K$2,0),0)-SUM(J$4:J117)</f>
        <v>0</v>
      </c>
      <c r="K118" s="1316">
        <f t="shared" si="17"/>
        <v>0</v>
      </c>
      <c r="L118" s="1314"/>
      <c r="M118" s="1315">
        <f>IF(N$1&gt;0,ROUNDUP(SUM(PROD!L$5:L119,-PROD!AM$5:AM119,-PROD!AZ$5:AZ119)/N$1*N$2,0),0)-SUM(M$4:M117)</f>
        <v>0</v>
      </c>
      <c r="N118" s="1316">
        <f t="shared" si="18"/>
        <v>0</v>
      </c>
      <c r="O118" s="1317">
        <f t="shared" si="13"/>
        <v>0</v>
      </c>
      <c r="P118" s="1318"/>
      <c r="Q118" s="1319"/>
      <c r="R118" s="1320">
        <f t="shared" si="14"/>
        <v>0</v>
      </c>
      <c r="S118" s="1316">
        <f t="shared" si="15"/>
        <v>0</v>
      </c>
      <c r="T118" s="712"/>
      <c r="U118" s="713"/>
      <c r="V118" s="714"/>
      <c r="W118" s="398">
        <f t="shared" si="24"/>
        <v>0</v>
      </c>
      <c r="X118" s="712"/>
      <c r="Y118" s="713"/>
      <c r="Z118" s="714"/>
      <c r="AA118" s="398">
        <f t="shared" si="19"/>
        <v>0</v>
      </c>
      <c r="AB118" s="712"/>
      <c r="AC118" s="713"/>
      <c r="AD118" s="714"/>
      <c r="AE118" s="398">
        <f t="shared" si="20"/>
        <v>0</v>
      </c>
      <c r="AF118" s="712"/>
      <c r="AG118" s="713"/>
      <c r="AH118" s="714"/>
      <c r="AI118" s="398">
        <f t="shared" si="21"/>
        <v>0</v>
      </c>
      <c r="AJ118" s="712"/>
      <c r="AK118" s="713"/>
      <c r="AL118" s="714"/>
      <c r="AM118" s="398">
        <f t="shared" si="22"/>
        <v>0</v>
      </c>
    </row>
    <row r="119" spans="1:39" ht="15.75" customHeight="1" x14ac:dyDescent="0.3">
      <c r="A119" s="2161"/>
      <c r="B119" s="1313" t="str">
        <f t="shared" si="16"/>
        <v/>
      </c>
      <c r="C119" s="1011">
        <f>IF($D$2="NO",0,ROUNDDOWN(SUM(PROD!$V$5:V120)/IF(Iniciar!$C$25="kilos",40,1),0)-SUM($C$4:$C118))</f>
        <v>0</v>
      </c>
      <c r="D119" s="702"/>
      <c r="E119" s="702"/>
      <c r="F119" s="300">
        <f t="shared" si="23"/>
        <v>-15000</v>
      </c>
      <c r="G119" s="694"/>
      <c r="H119" s="695"/>
      <c r="I119" s="1314"/>
      <c r="J119" s="1315">
        <f>IF(K$1&gt;0,ROUNDUP(SUM(PROD!AM$5:AM120)/K$1*K$2,0),0)-SUM(J$4:J118)</f>
        <v>0</v>
      </c>
      <c r="K119" s="1316">
        <f t="shared" si="17"/>
        <v>0</v>
      </c>
      <c r="L119" s="1314"/>
      <c r="M119" s="1315">
        <f>IF(N$1&gt;0,ROUNDUP(SUM(PROD!L$5:L120,-PROD!AM$5:AM120,-PROD!AZ$5:AZ120)/N$1*N$2,0),0)-SUM(M$4:M118)</f>
        <v>0</v>
      </c>
      <c r="N119" s="1316">
        <f t="shared" si="18"/>
        <v>0</v>
      </c>
      <c r="O119" s="1317">
        <f t="shared" si="13"/>
        <v>0</v>
      </c>
      <c r="P119" s="1318"/>
      <c r="Q119" s="1319"/>
      <c r="R119" s="1320">
        <f t="shared" si="14"/>
        <v>0</v>
      </c>
      <c r="S119" s="1316">
        <f t="shared" si="15"/>
        <v>0</v>
      </c>
      <c r="T119" s="712"/>
      <c r="U119" s="713"/>
      <c r="V119" s="714"/>
      <c r="W119" s="398">
        <f t="shared" si="24"/>
        <v>0</v>
      </c>
      <c r="X119" s="712"/>
      <c r="Y119" s="713"/>
      <c r="Z119" s="714"/>
      <c r="AA119" s="398">
        <f t="shared" si="19"/>
        <v>0</v>
      </c>
      <c r="AB119" s="712"/>
      <c r="AC119" s="713"/>
      <c r="AD119" s="714"/>
      <c r="AE119" s="398">
        <f t="shared" si="20"/>
        <v>0</v>
      </c>
      <c r="AF119" s="712"/>
      <c r="AG119" s="713"/>
      <c r="AH119" s="714"/>
      <c r="AI119" s="398">
        <f t="shared" si="21"/>
        <v>0</v>
      </c>
      <c r="AJ119" s="712"/>
      <c r="AK119" s="713"/>
      <c r="AL119" s="714"/>
      <c r="AM119" s="398">
        <f t="shared" si="22"/>
        <v>0</v>
      </c>
    </row>
    <row r="120" spans="1:39" ht="15.75" customHeight="1" x14ac:dyDescent="0.3">
      <c r="A120" s="2161"/>
      <c r="B120" s="1313" t="str">
        <f t="shared" si="16"/>
        <v/>
      </c>
      <c r="C120" s="1011">
        <f>IF($D$2="NO",0,ROUNDDOWN(SUM(PROD!$V$5:V121)/IF(Iniciar!$C$25="kilos",40,1),0)-SUM($C$4:$C119))</f>
        <v>0</v>
      </c>
      <c r="D120" s="702"/>
      <c r="E120" s="702"/>
      <c r="F120" s="300">
        <f t="shared" si="23"/>
        <v>-15000</v>
      </c>
      <c r="G120" s="694"/>
      <c r="H120" s="695"/>
      <c r="I120" s="1314"/>
      <c r="J120" s="1315">
        <f>IF(K$1&gt;0,ROUNDUP(SUM(PROD!AM$5:AM121)/K$1*K$2,0),0)-SUM(J$4:J119)</f>
        <v>0</v>
      </c>
      <c r="K120" s="1316">
        <f t="shared" si="17"/>
        <v>0</v>
      </c>
      <c r="L120" s="1314"/>
      <c r="M120" s="1315">
        <f>IF(N$1&gt;0,ROUNDUP(SUM(PROD!L$5:L121,-PROD!AM$5:AM121,-PROD!AZ$5:AZ121)/N$1*N$2,0),0)-SUM(M$4:M119)</f>
        <v>0</v>
      </c>
      <c r="N120" s="1316">
        <f t="shared" si="18"/>
        <v>0</v>
      </c>
      <c r="O120" s="1317">
        <f t="shared" si="13"/>
        <v>0</v>
      </c>
      <c r="P120" s="1318"/>
      <c r="Q120" s="1319"/>
      <c r="R120" s="1320">
        <f t="shared" si="14"/>
        <v>0</v>
      </c>
      <c r="S120" s="1316">
        <f t="shared" si="15"/>
        <v>0</v>
      </c>
      <c r="T120" s="712"/>
      <c r="U120" s="713"/>
      <c r="V120" s="714"/>
      <c r="W120" s="398">
        <f t="shared" si="24"/>
        <v>0</v>
      </c>
      <c r="X120" s="712"/>
      <c r="Y120" s="713"/>
      <c r="Z120" s="714"/>
      <c r="AA120" s="398">
        <f t="shared" si="19"/>
        <v>0</v>
      </c>
      <c r="AB120" s="712"/>
      <c r="AC120" s="713"/>
      <c r="AD120" s="714"/>
      <c r="AE120" s="398">
        <f t="shared" si="20"/>
        <v>0</v>
      </c>
      <c r="AF120" s="712"/>
      <c r="AG120" s="713"/>
      <c r="AH120" s="714"/>
      <c r="AI120" s="398">
        <f t="shared" si="21"/>
        <v>0</v>
      </c>
      <c r="AJ120" s="712"/>
      <c r="AK120" s="713"/>
      <c r="AL120" s="714"/>
      <c r="AM120" s="398">
        <f t="shared" si="22"/>
        <v>0</v>
      </c>
    </row>
    <row r="121" spans="1:39" ht="15.75" customHeight="1" x14ac:dyDescent="0.3">
      <c r="A121" s="2161"/>
      <c r="B121" s="1313" t="str">
        <f t="shared" si="16"/>
        <v/>
      </c>
      <c r="C121" s="1011">
        <f>IF($D$2="NO",0,ROUNDDOWN(SUM(PROD!$V$5:V122)/IF(Iniciar!$C$25="kilos",40,1),0)-SUM($C$4:$C120))</f>
        <v>0</v>
      </c>
      <c r="D121" s="702"/>
      <c r="E121" s="702"/>
      <c r="F121" s="300">
        <f t="shared" si="23"/>
        <v>-15000</v>
      </c>
      <c r="G121" s="694"/>
      <c r="H121" s="695"/>
      <c r="I121" s="1314"/>
      <c r="J121" s="1315">
        <f>IF(K$1&gt;0,ROUNDUP(SUM(PROD!AM$5:AM122)/K$1*K$2,0),0)-SUM(J$4:J120)</f>
        <v>0</v>
      </c>
      <c r="K121" s="1316">
        <f t="shared" si="17"/>
        <v>0</v>
      </c>
      <c r="L121" s="1314"/>
      <c r="M121" s="1315">
        <f>IF(N$1&gt;0,ROUNDUP(SUM(PROD!L$5:L122,-PROD!AM$5:AM122,-PROD!AZ$5:AZ122)/N$1*N$2,0),0)-SUM(M$4:M120)</f>
        <v>0</v>
      </c>
      <c r="N121" s="1316">
        <f t="shared" si="18"/>
        <v>0</v>
      </c>
      <c r="O121" s="1317">
        <f t="shared" si="13"/>
        <v>0</v>
      </c>
      <c r="P121" s="1318"/>
      <c r="Q121" s="1319"/>
      <c r="R121" s="1320">
        <f t="shared" si="14"/>
        <v>0</v>
      </c>
      <c r="S121" s="1316">
        <f t="shared" si="15"/>
        <v>0</v>
      </c>
      <c r="T121" s="712"/>
      <c r="U121" s="713"/>
      <c r="V121" s="714"/>
      <c r="W121" s="398">
        <f t="shared" si="24"/>
        <v>0</v>
      </c>
      <c r="X121" s="712"/>
      <c r="Y121" s="713"/>
      <c r="Z121" s="714"/>
      <c r="AA121" s="398">
        <f t="shared" si="19"/>
        <v>0</v>
      </c>
      <c r="AB121" s="712"/>
      <c r="AC121" s="713"/>
      <c r="AD121" s="714"/>
      <c r="AE121" s="398">
        <f t="shared" si="20"/>
        <v>0</v>
      </c>
      <c r="AF121" s="712"/>
      <c r="AG121" s="713"/>
      <c r="AH121" s="714"/>
      <c r="AI121" s="398">
        <f t="shared" si="21"/>
        <v>0</v>
      </c>
      <c r="AJ121" s="712"/>
      <c r="AK121" s="713"/>
      <c r="AL121" s="714"/>
      <c r="AM121" s="398">
        <f t="shared" si="22"/>
        <v>0</v>
      </c>
    </row>
    <row r="122" spans="1:39" ht="16.5" customHeight="1" x14ac:dyDescent="0.3">
      <c r="A122" s="2162"/>
      <c r="B122" s="1313" t="str">
        <f t="shared" si="16"/>
        <v/>
      </c>
      <c r="C122" s="1011">
        <f>IF($D$2="NO",0,ROUNDDOWN(SUM(PROD!$V$5:V123)/IF(Iniciar!$C$25="kilos",40,1),0)-SUM($C$4:$C121))</f>
        <v>0</v>
      </c>
      <c r="D122" s="702"/>
      <c r="E122" s="702"/>
      <c r="F122" s="300">
        <f t="shared" si="23"/>
        <v>-15000</v>
      </c>
      <c r="G122" s="694"/>
      <c r="H122" s="695"/>
      <c r="I122" s="1314"/>
      <c r="J122" s="1315">
        <f>IF(K$1&gt;0,ROUNDUP(SUM(PROD!AM$5:AM123)/K$1*K$2,0),0)-SUM(J$4:J121)</f>
        <v>0</v>
      </c>
      <c r="K122" s="1316">
        <f t="shared" si="17"/>
        <v>0</v>
      </c>
      <c r="L122" s="1314"/>
      <c r="M122" s="1315">
        <f>IF(N$1&gt;0,ROUNDUP(SUM(PROD!L$5:L123,-PROD!AM$5:AM123,-PROD!AZ$5:AZ123)/N$1*N$2,0),0)-SUM(M$4:M121)</f>
        <v>0</v>
      </c>
      <c r="N122" s="1316">
        <f t="shared" si="18"/>
        <v>0</v>
      </c>
      <c r="O122" s="1317">
        <f t="shared" si="13"/>
        <v>0</v>
      </c>
      <c r="P122" s="1318"/>
      <c r="Q122" s="1319"/>
      <c r="R122" s="1320">
        <f t="shared" si="14"/>
        <v>0</v>
      </c>
      <c r="S122" s="1316">
        <f t="shared" si="15"/>
        <v>0</v>
      </c>
      <c r="T122" s="712"/>
      <c r="U122" s="713"/>
      <c r="V122" s="714"/>
      <c r="W122" s="398">
        <f t="shared" si="24"/>
        <v>0</v>
      </c>
      <c r="X122" s="712"/>
      <c r="Y122" s="713"/>
      <c r="Z122" s="714"/>
      <c r="AA122" s="398">
        <f t="shared" si="19"/>
        <v>0</v>
      </c>
      <c r="AB122" s="712"/>
      <c r="AC122" s="713"/>
      <c r="AD122" s="714"/>
      <c r="AE122" s="398">
        <f t="shared" si="20"/>
        <v>0</v>
      </c>
      <c r="AF122" s="712"/>
      <c r="AG122" s="713"/>
      <c r="AH122" s="714"/>
      <c r="AI122" s="398">
        <f t="shared" si="21"/>
        <v>0</v>
      </c>
      <c r="AJ122" s="712"/>
      <c r="AK122" s="713"/>
      <c r="AL122" s="714"/>
      <c r="AM122" s="398">
        <f t="shared" si="22"/>
        <v>0</v>
      </c>
    </row>
    <row r="123" spans="1:39" ht="16.5" customHeight="1" x14ac:dyDescent="0.3">
      <c r="A123" s="2160">
        <f>A116+1</f>
        <v>35</v>
      </c>
      <c r="B123" s="1313" t="str">
        <f t="shared" si="16"/>
        <v/>
      </c>
      <c r="C123" s="1011">
        <f>IF($D$2="NO",0,ROUNDDOWN(SUM(PROD!$V$5:V124)/IF(Iniciar!$C$25="kilos",40,1),0)-SUM($C$4:$C122))</f>
        <v>0</v>
      </c>
      <c r="D123" s="702"/>
      <c r="E123" s="702"/>
      <c r="F123" s="300">
        <f t="shared" si="23"/>
        <v>-15000</v>
      </c>
      <c r="G123" s="694"/>
      <c r="H123" s="695"/>
      <c r="I123" s="1314"/>
      <c r="J123" s="1315">
        <f>IF(K$1&gt;0,ROUNDUP(SUM(PROD!AM$5:AM124)/K$1*K$2,0),0)-SUM(J$4:J122)</f>
        <v>0</v>
      </c>
      <c r="K123" s="1316">
        <f t="shared" si="17"/>
        <v>0</v>
      </c>
      <c r="L123" s="1314"/>
      <c r="M123" s="1315">
        <f>IF(N$1&gt;0,ROUNDUP(SUM(PROD!L$5:L124,-PROD!AM$5:AM124,-PROD!AZ$5:AZ124)/N$1*N$2,0),0)-SUM(M$4:M122)</f>
        <v>0</v>
      </c>
      <c r="N123" s="1316">
        <f t="shared" si="18"/>
        <v>0</v>
      </c>
      <c r="O123" s="1317">
        <f t="shared" si="13"/>
        <v>0</v>
      </c>
      <c r="P123" s="1318"/>
      <c r="Q123" s="1319"/>
      <c r="R123" s="1320">
        <f t="shared" si="14"/>
        <v>0</v>
      </c>
      <c r="S123" s="1316">
        <f t="shared" si="15"/>
        <v>0</v>
      </c>
      <c r="T123" s="712"/>
      <c r="U123" s="713"/>
      <c r="V123" s="714"/>
      <c r="W123" s="398">
        <f t="shared" si="24"/>
        <v>0</v>
      </c>
      <c r="X123" s="712"/>
      <c r="Y123" s="713"/>
      <c r="Z123" s="714"/>
      <c r="AA123" s="398">
        <f t="shared" si="19"/>
        <v>0</v>
      </c>
      <c r="AB123" s="712"/>
      <c r="AC123" s="713"/>
      <c r="AD123" s="714"/>
      <c r="AE123" s="398">
        <f t="shared" si="20"/>
        <v>0</v>
      </c>
      <c r="AF123" s="712"/>
      <c r="AG123" s="713"/>
      <c r="AH123" s="714"/>
      <c r="AI123" s="398">
        <f t="shared" si="21"/>
        <v>0</v>
      </c>
      <c r="AJ123" s="712"/>
      <c r="AK123" s="713"/>
      <c r="AL123" s="714"/>
      <c r="AM123" s="398">
        <f t="shared" si="22"/>
        <v>0</v>
      </c>
    </row>
    <row r="124" spans="1:39" ht="15.75" customHeight="1" x14ac:dyDescent="0.3">
      <c r="A124" s="2161"/>
      <c r="B124" s="1313" t="str">
        <f t="shared" si="16"/>
        <v/>
      </c>
      <c r="C124" s="1011">
        <f>IF($D$2="NO",0,ROUNDDOWN(SUM(PROD!$V$5:V125)/IF(Iniciar!$C$25="kilos",40,1),0)-SUM($C$4:$C123))</f>
        <v>0</v>
      </c>
      <c r="D124" s="702"/>
      <c r="E124" s="702"/>
      <c r="F124" s="300">
        <f t="shared" si="23"/>
        <v>-15000</v>
      </c>
      <c r="G124" s="694"/>
      <c r="H124" s="695"/>
      <c r="I124" s="1314"/>
      <c r="J124" s="1315">
        <f>IF(K$1&gt;0,ROUNDUP(SUM(PROD!AM$5:AM125)/K$1*K$2,0),0)-SUM(J$4:J123)</f>
        <v>0</v>
      </c>
      <c r="K124" s="1316">
        <f t="shared" si="17"/>
        <v>0</v>
      </c>
      <c r="L124" s="1314"/>
      <c r="M124" s="1315">
        <f>IF(N$1&gt;0,ROUNDUP(SUM(PROD!L$5:L125,-PROD!AM$5:AM125,-PROD!AZ$5:AZ125)/N$1*N$2,0),0)-SUM(M$4:M123)</f>
        <v>0</v>
      </c>
      <c r="N124" s="1316">
        <f t="shared" si="18"/>
        <v>0</v>
      </c>
      <c r="O124" s="1317">
        <f t="shared" si="13"/>
        <v>0</v>
      </c>
      <c r="P124" s="1318"/>
      <c r="Q124" s="1319"/>
      <c r="R124" s="1320">
        <f t="shared" si="14"/>
        <v>0</v>
      </c>
      <c r="S124" s="1316">
        <f t="shared" si="15"/>
        <v>0</v>
      </c>
      <c r="T124" s="712"/>
      <c r="U124" s="713"/>
      <c r="V124" s="714"/>
      <c r="W124" s="398">
        <f t="shared" si="24"/>
        <v>0</v>
      </c>
      <c r="X124" s="712"/>
      <c r="Y124" s="713"/>
      <c r="Z124" s="714"/>
      <c r="AA124" s="398">
        <f t="shared" si="19"/>
        <v>0</v>
      </c>
      <c r="AB124" s="712"/>
      <c r="AC124" s="713"/>
      <c r="AD124" s="714"/>
      <c r="AE124" s="398">
        <f t="shared" si="20"/>
        <v>0</v>
      </c>
      <c r="AF124" s="712"/>
      <c r="AG124" s="713"/>
      <c r="AH124" s="714"/>
      <c r="AI124" s="398">
        <f t="shared" si="21"/>
        <v>0</v>
      </c>
      <c r="AJ124" s="712"/>
      <c r="AK124" s="713"/>
      <c r="AL124" s="714"/>
      <c r="AM124" s="398">
        <f t="shared" si="22"/>
        <v>0</v>
      </c>
    </row>
    <row r="125" spans="1:39" ht="15.75" customHeight="1" x14ac:dyDescent="0.3">
      <c r="A125" s="2161"/>
      <c r="B125" s="1313" t="str">
        <f t="shared" si="16"/>
        <v/>
      </c>
      <c r="C125" s="1011">
        <f>IF($D$2="NO",0,ROUNDDOWN(SUM(PROD!$V$5:V126)/IF(Iniciar!$C$25="kilos",40,1),0)-SUM($C$4:$C124))</f>
        <v>0</v>
      </c>
      <c r="D125" s="702"/>
      <c r="E125" s="702"/>
      <c r="F125" s="300">
        <f t="shared" si="23"/>
        <v>-15000</v>
      </c>
      <c r="G125" s="694"/>
      <c r="H125" s="695"/>
      <c r="I125" s="1314"/>
      <c r="J125" s="1315">
        <f>IF(K$1&gt;0,ROUNDUP(SUM(PROD!AM$5:AM126)/K$1*K$2,0),0)-SUM(J$4:J124)</f>
        <v>0</v>
      </c>
      <c r="K125" s="1316">
        <f t="shared" si="17"/>
        <v>0</v>
      </c>
      <c r="L125" s="1314"/>
      <c r="M125" s="1315">
        <f>IF(N$1&gt;0,ROUNDUP(SUM(PROD!L$5:L126,-PROD!AM$5:AM126,-PROD!AZ$5:AZ126)/N$1*N$2,0),0)-SUM(M$4:M124)</f>
        <v>0</v>
      </c>
      <c r="N125" s="1316">
        <f t="shared" si="18"/>
        <v>0</v>
      </c>
      <c r="O125" s="1317">
        <f t="shared" si="13"/>
        <v>0</v>
      </c>
      <c r="P125" s="1318"/>
      <c r="Q125" s="1319"/>
      <c r="R125" s="1320">
        <f t="shared" si="14"/>
        <v>0</v>
      </c>
      <c r="S125" s="1316">
        <f t="shared" si="15"/>
        <v>0</v>
      </c>
      <c r="T125" s="712"/>
      <c r="U125" s="713"/>
      <c r="V125" s="714"/>
      <c r="W125" s="398">
        <f t="shared" si="24"/>
        <v>0</v>
      </c>
      <c r="X125" s="712"/>
      <c r="Y125" s="713"/>
      <c r="Z125" s="714"/>
      <c r="AA125" s="398">
        <f t="shared" si="19"/>
        <v>0</v>
      </c>
      <c r="AB125" s="712"/>
      <c r="AC125" s="713"/>
      <c r="AD125" s="714"/>
      <c r="AE125" s="398">
        <f t="shared" si="20"/>
        <v>0</v>
      </c>
      <c r="AF125" s="712"/>
      <c r="AG125" s="713"/>
      <c r="AH125" s="714"/>
      <c r="AI125" s="398">
        <f t="shared" si="21"/>
        <v>0</v>
      </c>
      <c r="AJ125" s="712"/>
      <c r="AK125" s="713"/>
      <c r="AL125" s="714"/>
      <c r="AM125" s="398">
        <f t="shared" si="22"/>
        <v>0</v>
      </c>
    </row>
    <row r="126" spans="1:39" ht="15.75" customHeight="1" x14ac:dyDescent="0.3">
      <c r="A126" s="2161"/>
      <c r="B126" s="1313" t="str">
        <f t="shared" si="16"/>
        <v/>
      </c>
      <c r="C126" s="1011">
        <f>IF($D$2="NO",0,ROUNDDOWN(SUM(PROD!$V$5:V127)/IF(Iniciar!$C$25="kilos",40,1),0)-SUM($C$4:$C125))</f>
        <v>0</v>
      </c>
      <c r="D126" s="702"/>
      <c r="E126" s="702"/>
      <c r="F126" s="300">
        <f t="shared" si="23"/>
        <v>-15000</v>
      </c>
      <c r="G126" s="694"/>
      <c r="H126" s="695"/>
      <c r="I126" s="1314"/>
      <c r="J126" s="1315">
        <f>IF(K$1&gt;0,ROUNDUP(SUM(PROD!AM$5:AM127)/K$1*K$2,0),0)-SUM(J$4:J125)</f>
        <v>0</v>
      </c>
      <c r="K126" s="1316">
        <f t="shared" si="17"/>
        <v>0</v>
      </c>
      <c r="L126" s="1314"/>
      <c r="M126" s="1315">
        <f>IF(N$1&gt;0,ROUNDUP(SUM(PROD!L$5:L127,-PROD!AM$5:AM127,-PROD!AZ$5:AZ127)/N$1*N$2,0),0)-SUM(M$4:M125)</f>
        <v>0</v>
      </c>
      <c r="N126" s="1316">
        <f t="shared" si="18"/>
        <v>0</v>
      </c>
      <c r="O126" s="1317">
        <f t="shared" si="13"/>
        <v>0</v>
      </c>
      <c r="P126" s="1318"/>
      <c r="Q126" s="1319"/>
      <c r="R126" s="1320">
        <f t="shared" si="14"/>
        <v>0</v>
      </c>
      <c r="S126" s="1316">
        <f t="shared" si="15"/>
        <v>0</v>
      </c>
      <c r="T126" s="712"/>
      <c r="U126" s="713"/>
      <c r="V126" s="714"/>
      <c r="W126" s="398">
        <f t="shared" si="24"/>
        <v>0</v>
      </c>
      <c r="X126" s="712"/>
      <c r="Y126" s="713"/>
      <c r="Z126" s="714"/>
      <c r="AA126" s="398">
        <f t="shared" si="19"/>
        <v>0</v>
      </c>
      <c r="AB126" s="712"/>
      <c r="AC126" s="713"/>
      <c r="AD126" s="714"/>
      <c r="AE126" s="398">
        <f t="shared" si="20"/>
        <v>0</v>
      </c>
      <c r="AF126" s="712"/>
      <c r="AG126" s="713"/>
      <c r="AH126" s="714"/>
      <c r="AI126" s="398">
        <f t="shared" si="21"/>
        <v>0</v>
      </c>
      <c r="AJ126" s="712"/>
      <c r="AK126" s="713"/>
      <c r="AL126" s="714"/>
      <c r="AM126" s="398">
        <f t="shared" si="22"/>
        <v>0</v>
      </c>
    </row>
    <row r="127" spans="1:39" ht="15.75" customHeight="1" x14ac:dyDescent="0.3">
      <c r="A127" s="2161"/>
      <c r="B127" s="1313" t="str">
        <f t="shared" si="16"/>
        <v/>
      </c>
      <c r="C127" s="1011">
        <f>IF($D$2="NO",0,ROUNDDOWN(SUM(PROD!$V$5:V128)/IF(Iniciar!$C$25="kilos",40,1),0)-SUM($C$4:$C126))</f>
        <v>0</v>
      </c>
      <c r="D127" s="702"/>
      <c r="E127" s="702"/>
      <c r="F127" s="300">
        <f t="shared" si="23"/>
        <v>-15000</v>
      </c>
      <c r="G127" s="694"/>
      <c r="H127" s="695"/>
      <c r="I127" s="1314"/>
      <c r="J127" s="1315">
        <f>IF(K$1&gt;0,ROUNDUP(SUM(PROD!AM$5:AM128)/K$1*K$2,0),0)-SUM(J$4:J126)</f>
        <v>0</v>
      </c>
      <c r="K127" s="1316">
        <f t="shared" si="17"/>
        <v>0</v>
      </c>
      <c r="L127" s="1314"/>
      <c r="M127" s="1315">
        <f>IF(N$1&gt;0,ROUNDUP(SUM(PROD!L$5:L128,-PROD!AM$5:AM128,-PROD!AZ$5:AZ128)/N$1*N$2,0),0)-SUM(M$4:M126)</f>
        <v>0</v>
      </c>
      <c r="N127" s="1316">
        <f t="shared" si="18"/>
        <v>0</v>
      </c>
      <c r="O127" s="1317">
        <f t="shared" si="13"/>
        <v>0</v>
      </c>
      <c r="P127" s="1318"/>
      <c r="Q127" s="1319"/>
      <c r="R127" s="1320">
        <f t="shared" si="14"/>
        <v>0</v>
      </c>
      <c r="S127" s="1316">
        <f t="shared" si="15"/>
        <v>0</v>
      </c>
      <c r="T127" s="712"/>
      <c r="U127" s="713"/>
      <c r="V127" s="714"/>
      <c r="W127" s="398">
        <f t="shared" si="24"/>
        <v>0</v>
      </c>
      <c r="X127" s="712"/>
      <c r="Y127" s="713"/>
      <c r="Z127" s="714"/>
      <c r="AA127" s="398">
        <f t="shared" si="19"/>
        <v>0</v>
      </c>
      <c r="AB127" s="712"/>
      <c r="AC127" s="713"/>
      <c r="AD127" s="714"/>
      <c r="AE127" s="398">
        <f t="shared" si="20"/>
        <v>0</v>
      </c>
      <c r="AF127" s="712"/>
      <c r="AG127" s="713"/>
      <c r="AH127" s="714"/>
      <c r="AI127" s="398">
        <f t="shared" si="21"/>
        <v>0</v>
      </c>
      <c r="AJ127" s="712"/>
      <c r="AK127" s="713"/>
      <c r="AL127" s="714"/>
      <c r="AM127" s="398">
        <f t="shared" si="22"/>
        <v>0</v>
      </c>
    </row>
    <row r="128" spans="1:39" ht="15.75" customHeight="1" x14ac:dyDescent="0.3">
      <c r="A128" s="2161"/>
      <c r="B128" s="1313" t="str">
        <f t="shared" si="16"/>
        <v/>
      </c>
      <c r="C128" s="1011">
        <f>IF($D$2="NO",0,ROUNDDOWN(SUM(PROD!$V$5:V129)/IF(Iniciar!$C$25="kilos",40,1),0)-SUM($C$4:$C127))</f>
        <v>0</v>
      </c>
      <c r="D128" s="702"/>
      <c r="E128" s="702"/>
      <c r="F128" s="300">
        <f t="shared" si="23"/>
        <v>-15000</v>
      </c>
      <c r="G128" s="694"/>
      <c r="H128" s="695"/>
      <c r="I128" s="1314"/>
      <c r="J128" s="1315">
        <f>IF(K$1&gt;0,ROUNDUP(SUM(PROD!AM$5:AM129)/K$1*K$2,0),0)-SUM(J$4:J127)</f>
        <v>0</v>
      </c>
      <c r="K128" s="1316">
        <f t="shared" si="17"/>
        <v>0</v>
      </c>
      <c r="L128" s="1314"/>
      <c r="M128" s="1315">
        <f>IF(N$1&gt;0,ROUNDUP(SUM(PROD!L$5:L129,-PROD!AM$5:AM129,-PROD!AZ$5:AZ129)/N$1*N$2,0),0)-SUM(M$4:M127)</f>
        <v>0</v>
      </c>
      <c r="N128" s="1316">
        <f t="shared" si="18"/>
        <v>0</v>
      </c>
      <c r="O128" s="1317">
        <f t="shared" si="13"/>
        <v>0</v>
      </c>
      <c r="P128" s="1318"/>
      <c r="Q128" s="1319"/>
      <c r="R128" s="1320">
        <f t="shared" si="14"/>
        <v>0</v>
      </c>
      <c r="S128" s="1316">
        <f t="shared" si="15"/>
        <v>0</v>
      </c>
      <c r="T128" s="712"/>
      <c r="U128" s="713"/>
      <c r="V128" s="714"/>
      <c r="W128" s="398">
        <f t="shared" si="24"/>
        <v>0</v>
      </c>
      <c r="X128" s="712"/>
      <c r="Y128" s="713"/>
      <c r="Z128" s="714"/>
      <c r="AA128" s="398">
        <f t="shared" si="19"/>
        <v>0</v>
      </c>
      <c r="AB128" s="712"/>
      <c r="AC128" s="713"/>
      <c r="AD128" s="714"/>
      <c r="AE128" s="398">
        <f t="shared" si="20"/>
        <v>0</v>
      </c>
      <c r="AF128" s="712"/>
      <c r="AG128" s="713"/>
      <c r="AH128" s="714"/>
      <c r="AI128" s="398">
        <f t="shared" si="21"/>
        <v>0</v>
      </c>
      <c r="AJ128" s="712"/>
      <c r="AK128" s="713"/>
      <c r="AL128" s="714"/>
      <c r="AM128" s="398">
        <f t="shared" si="22"/>
        <v>0</v>
      </c>
    </row>
    <row r="129" spans="1:39" ht="16.5" customHeight="1" x14ac:dyDescent="0.3">
      <c r="A129" s="2162"/>
      <c r="B129" s="1313" t="str">
        <f t="shared" si="16"/>
        <v/>
      </c>
      <c r="C129" s="1011">
        <f>IF($D$2="NO",0,ROUNDDOWN(SUM(PROD!$V$5:V130)/IF(Iniciar!$C$25="kilos",40,1),0)-SUM($C$4:$C128))</f>
        <v>0</v>
      </c>
      <c r="D129" s="702"/>
      <c r="E129" s="702"/>
      <c r="F129" s="300">
        <f t="shared" si="23"/>
        <v>-15000</v>
      </c>
      <c r="G129" s="694"/>
      <c r="H129" s="695"/>
      <c r="I129" s="1314"/>
      <c r="J129" s="1315">
        <f>IF(K$1&gt;0,ROUNDUP(SUM(PROD!AM$5:AM130)/K$1*K$2,0),0)-SUM(J$4:J128)</f>
        <v>0</v>
      </c>
      <c r="K129" s="1316">
        <f t="shared" si="17"/>
        <v>0</v>
      </c>
      <c r="L129" s="1314"/>
      <c r="M129" s="1315">
        <f>IF(N$1&gt;0,ROUNDUP(SUM(PROD!L$5:L130,-PROD!AM$5:AM130,-PROD!AZ$5:AZ130)/N$1*N$2,0),0)-SUM(M$4:M128)</f>
        <v>0</v>
      </c>
      <c r="N129" s="1316">
        <f t="shared" si="18"/>
        <v>0</v>
      </c>
      <c r="O129" s="1317">
        <f t="shared" si="13"/>
        <v>0</v>
      </c>
      <c r="P129" s="1318"/>
      <c r="Q129" s="1319"/>
      <c r="R129" s="1320">
        <f t="shared" si="14"/>
        <v>0</v>
      </c>
      <c r="S129" s="1316">
        <f t="shared" si="15"/>
        <v>0</v>
      </c>
      <c r="T129" s="712"/>
      <c r="U129" s="713"/>
      <c r="V129" s="714"/>
      <c r="W129" s="398">
        <f t="shared" si="24"/>
        <v>0</v>
      </c>
      <c r="X129" s="712"/>
      <c r="Y129" s="713"/>
      <c r="Z129" s="714"/>
      <c r="AA129" s="398">
        <f t="shared" si="19"/>
        <v>0</v>
      </c>
      <c r="AB129" s="712"/>
      <c r="AC129" s="713"/>
      <c r="AD129" s="714"/>
      <c r="AE129" s="398">
        <f t="shared" si="20"/>
        <v>0</v>
      </c>
      <c r="AF129" s="712"/>
      <c r="AG129" s="713"/>
      <c r="AH129" s="714"/>
      <c r="AI129" s="398">
        <f t="shared" si="21"/>
        <v>0</v>
      </c>
      <c r="AJ129" s="712"/>
      <c r="AK129" s="713"/>
      <c r="AL129" s="714"/>
      <c r="AM129" s="398">
        <f t="shared" si="22"/>
        <v>0</v>
      </c>
    </row>
    <row r="130" spans="1:39" ht="16.5" customHeight="1" x14ac:dyDescent="0.3">
      <c r="A130" s="2160">
        <f>A123+1</f>
        <v>36</v>
      </c>
      <c r="B130" s="1313" t="str">
        <f t="shared" si="16"/>
        <v/>
      </c>
      <c r="C130" s="1011">
        <f>IF($D$2="NO",0,ROUNDDOWN(SUM(PROD!$V$5:V131)/IF(Iniciar!$C$25="kilos",40,1),0)-SUM($C$4:$C129))</f>
        <v>0</v>
      </c>
      <c r="D130" s="702"/>
      <c r="E130" s="702"/>
      <c r="F130" s="300">
        <f t="shared" si="23"/>
        <v>-15000</v>
      </c>
      <c r="G130" s="694"/>
      <c r="H130" s="695"/>
      <c r="I130" s="1314"/>
      <c r="J130" s="1315">
        <f>IF(K$1&gt;0,ROUNDUP(SUM(PROD!AM$5:AM131)/K$1*K$2,0),0)-SUM(J$4:J129)</f>
        <v>0</v>
      </c>
      <c r="K130" s="1316">
        <f t="shared" si="17"/>
        <v>0</v>
      </c>
      <c r="L130" s="1314"/>
      <c r="M130" s="1315">
        <f>IF(N$1&gt;0,ROUNDUP(SUM(PROD!L$5:L131,-PROD!AM$5:AM131,-PROD!AZ$5:AZ131)/N$1*N$2,0),0)-SUM(M$4:M129)</f>
        <v>0</v>
      </c>
      <c r="N130" s="1316">
        <f t="shared" si="18"/>
        <v>0</v>
      </c>
      <c r="O130" s="1317">
        <f t="shared" si="13"/>
        <v>0</v>
      </c>
      <c r="P130" s="1318"/>
      <c r="Q130" s="1319"/>
      <c r="R130" s="1320">
        <f t="shared" si="14"/>
        <v>0</v>
      </c>
      <c r="S130" s="1316">
        <f t="shared" si="15"/>
        <v>0</v>
      </c>
      <c r="T130" s="712"/>
      <c r="U130" s="713"/>
      <c r="V130" s="714"/>
      <c r="W130" s="398">
        <f t="shared" si="24"/>
        <v>0</v>
      </c>
      <c r="X130" s="712"/>
      <c r="Y130" s="713"/>
      <c r="Z130" s="714"/>
      <c r="AA130" s="398">
        <f t="shared" si="19"/>
        <v>0</v>
      </c>
      <c r="AB130" s="712"/>
      <c r="AC130" s="713"/>
      <c r="AD130" s="714"/>
      <c r="AE130" s="398">
        <f t="shared" si="20"/>
        <v>0</v>
      </c>
      <c r="AF130" s="712"/>
      <c r="AG130" s="713"/>
      <c r="AH130" s="714"/>
      <c r="AI130" s="398">
        <f t="shared" si="21"/>
        <v>0</v>
      </c>
      <c r="AJ130" s="712"/>
      <c r="AK130" s="713"/>
      <c r="AL130" s="714"/>
      <c r="AM130" s="398">
        <f t="shared" si="22"/>
        <v>0</v>
      </c>
    </row>
    <row r="131" spans="1:39" ht="15.75" customHeight="1" x14ac:dyDescent="0.3">
      <c r="A131" s="2161"/>
      <c r="B131" s="1313" t="str">
        <f t="shared" si="16"/>
        <v/>
      </c>
      <c r="C131" s="1011">
        <f>IF($D$2="NO",0,ROUNDDOWN(SUM(PROD!$V$5:V132)/IF(Iniciar!$C$25="kilos",40,1),0)-SUM($C$4:$C130))</f>
        <v>0</v>
      </c>
      <c r="D131" s="702"/>
      <c r="E131" s="702"/>
      <c r="F131" s="300">
        <f t="shared" si="23"/>
        <v>-15000</v>
      </c>
      <c r="G131" s="694"/>
      <c r="H131" s="695"/>
      <c r="I131" s="1314"/>
      <c r="J131" s="1315">
        <f>IF(K$1&gt;0,ROUNDUP(SUM(PROD!AM$5:AM132)/K$1*K$2,0),0)-SUM(J$4:J130)</f>
        <v>0</v>
      </c>
      <c r="K131" s="1316">
        <f t="shared" si="17"/>
        <v>0</v>
      </c>
      <c r="L131" s="1314"/>
      <c r="M131" s="1315">
        <f>IF(N$1&gt;0,ROUNDUP(SUM(PROD!L$5:L132,-PROD!AM$5:AM132,-PROD!AZ$5:AZ132)/N$1*N$2,0),0)-SUM(M$4:M130)</f>
        <v>0</v>
      </c>
      <c r="N131" s="1316">
        <f t="shared" si="18"/>
        <v>0</v>
      </c>
      <c r="O131" s="1317">
        <f t="shared" si="13"/>
        <v>0</v>
      </c>
      <c r="P131" s="1318"/>
      <c r="Q131" s="1319"/>
      <c r="R131" s="1320">
        <f t="shared" si="14"/>
        <v>0</v>
      </c>
      <c r="S131" s="1316">
        <f t="shared" si="15"/>
        <v>0</v>
      </c>
      <c r="T131" s="712"/>
      <c r="U131" s="713"/>
      <c r="V131" s="714"/>
      <c r="W131" s="398">
        <f t="shared" si="24"/>
        <v>0</v>
      </c>
      <c r="X131" s="712"/>
      <c r="Y131" s="713"/>
      <c r="Z131" s="714"/>
      <c r="AA131" s="398">
        <f t="shared" si="19"/>
        <v>0</v>
      </c>
      <c r="AB131" s="712"/>
      <c r="AC131" s="713"/>
      <c r="AD131" s="714"/>
      <c r="AE131" s="398">
        <f t="shared" si="20"/>
        <v>0</v>
      </c>
      <c r="AF131" s="712"/>
      <c r="AG131" s="713"/>
      <c r="AH131" s="714"/>
      <c r="AI131" s="398">
        <f t="shared" si="21"/>
        <v>0</v>
      </c>
      <c r="AJ131" s="712"/>
      <c r="AK131" s="713"/>
      <c r="AL131" s="714"/>
      <c r="AM131" s="398">
        <f t="shared" si="22"/>
        <v>0</v>
      </c>
    </row>
    <row r="132" spans="1:39" ht="15.75" customHeight="1" x14ac:dyDescent="0.3">
      <c r="A132" s="2161"/>
      <c r="B132" s="1313" t="str">
        <f t="shared" si="16"/>
        <v/>
      </c>
      <c r="C132" s="1011">
        <f>IF($D$2="NO",0,ROUNDDOWN(SUM(PROD!$V$5:V133)/IF(Iniciar!$C$25="kilos",40,1),0)-SUM($C$4:$C131))</f>
        <v>0</v>
      </c>
      <c r="D132" s="702"/>
      <c r="E132" s="702"/>
      <c r="F132" s="300">
        <f t="shared" si="23"/>
        <v>-15000</v>
      </c>
      <c r="G132" s="694"/>
      <c r="H132" s="695"/>
      <c r="I132" s="1314"/>
      <c r="J132" s="1315">
        <f>IF(K$1&gt;0,ROUNDUP(SUM(PROD!AM$5:AM133)/K$1*K$2,0),0)-SUM(J$4:J131)</f>
        <v>0</v>
      </c>
      <c r="K132" s="1316">
        <f t="shared" si="17"/>
        <v>0</v>
      </c>
      <c r="L132" s="1314"/>
      <c r="M132" s="1315">
        <f>IF(N$1&gt;0,ROUNDUP(SUM(PROD!L$5:L133,-PROD!AM$5:AM133,-PROD!AZ$5:AZ133)/N$1*N$2,0),0)-SUM(M$4:M131)</f>
        <v>0</v>
      </c>
      <c r="N132" s="1316">
        <f t="shared" si="18"/>
        <v>0</v>
      </c>
      <c r="O132" s="1317">
        <f t="shared" ref="O132:O195" si="25">L132+I132</f>
        <v>0</v>
      </c>
      <c r="P132" s="1318"/>
      <c r="Q132" s="1319"/>
      <c r="R132" s="1320">
        <f t="shared" ref="R132:R195" si="26">M132+J132</f>
        <v>0</v>
      </c>
      <c r="S132" s="1316">
        <f t="shared" ref="S132:S195" si="27">N132+K132</f>
        <v>0</v>
      </c>
      <c r="T132" s="712"/>
      <c r="U132" s="713"/>
      <c r="V132" s="714"/>
      <c r="W132" s="398">
        <f t="shared" si="24"/>
        <v>0</v>
      </c>
      <c r="X132" s="712"/>
      <c r="Y132" s="713"/>
      <c r="Z132" s="714"/>
      <c r="AA132" s="398">
        <f t="shared" si="19"/>
        <v>0</v>
      </c>
      <c r="AB132" s="712"/>
      <c r="AC132" s="713"/>
      <c r="AD132" s="714"/>
      <c r="AE132" s="398">
        <f t="shared" si="20"/>
        <v>0</v>
      </c>
      <c r="AF132" s="712"/>
      <c r="AG132" s="713"/>
      <c r="AH132" s="714"/>
      <c r="AI132" s="398">
        <f t="shared" si="21"/>
        <v>0</v>
      </c>
      <c r="AJ132" s="712"/>
      <c r="AK132" s="713"/>
      <c r="AL132" s="714"/>
      <c r="AM132" s="398">
        <f t="shared" si="22"/>
        <v>0</v>
      </c>
    </row>
    <row r="133" spans="1:39" ht="15.75" customHeight="1" x14ac:dyDescent="0.3">
      <c r="A133" s="2161"/>
      <c r="B133" s="1313" t="str">
        <f t="shared" ref="B133:B196" si="28">IF(B132="","",B132+1)</f>
        <v/>
      </c>
      <c r="C133" s="1011">
        <f>IF($D$2="NO",0,ROUNDDOWN(SUM(PROD!$V$5:V134)/IF(Iniciar!$C$25="kilos",40,1),0)-SUM($C$4:$C132))</f>
        <v>0</v>
      </c>
      <c r="D133" s="702"/>
      <c r="E133" s="702"/>
      <c r="F133" s="300">
        <f t="shared" si="23"/>
        <v>-15000</v>
      </c>
      <c r="G133" s="694"/>
      <c r="H133" s="695"/>
      <c r="I133" s="1314"/>
      <c r="J133" s="1315">
        <f>IF(K$1&gt;0,ROUNDUP(SUM(PROD!AM$5:AM134)/K$1*K$2,0),0)-SUM(J$4:J132)</f>
        <v>0</v>
      </c>
      <c r="K133" s="1316">
        <f t="shared" ref="K133:K196" si="29">K132+I133-J133</f>
        <v>0</v>
      </c>
      <c r="L133" s="1314"/>
      <c r="M133" s="1315">
        <f>IF(N$1&gt;0,ROUNDUP(SUM(PROD!L$5:L134,-PROD!AM$5:AM134,-PROD!AZ$5:AZ134)/N$1*N$2,0),0)-SUM(M$4:M132)</f>
        <v>0</v>
      </c>
      <c r="N133" s="1316">
        <f t="shared" ref="N133:N196" si="30">N132+L133-M133</f>
        <v>0</v>
      </c>
      <c r="O133" s="1317">
        <f t="shared" si="25"/>
        <v>0</v>
      </c>
      <c r="P133" s="1318"/>
      <c r="Q133" s="1319"/>
      <c r="R133" s="1320">
        <f t="shared" si="26"/>
        <v>0</v>
      </c>
      <c r="S133" s="1316">
        <f t="shared" si="27"/>
        <v>0</v>
      </c>
      <c r="T133" s="712"/>
      <c r="U133" s="713"/>
      <c r="V133" s="714"/>
      <c r="W133" s="398">
        <f t="shared" si="24"/>
        <v>0</v>
      </c>
      <c r="X133" s="712"/>
      <c r="Y133" s="713"/>
      <c r="Z133" s="714"/>
      <c r="AA133" s="398">
        <f t="shared" ref="AA133:AA196" si="31">AA132+Y133-Z133</f>
        <v>0</v>
      </c>
      <c r="AB133" s="712"/>
      <c r="AC133" s="713"/>
      <c r="AD133" s="714"/>
      <c r="AE133" s="398">
        <f t="shared" ref="AE133:AE196" si="32">AE132+AC133-AD133</f>
        <v>0</v>
      </c>
      <c r="AF133" s="712"/>
      <c r="AG133" s="713"/>
      <c r="AH133" s="714"/>
      <c r="AI133" s="398">
        <f t="shared" ref="AI133:AI196" si="33">AI132+AG133-AH133</f>
        <v>0</v>
      </c>
      <c r="AJ133" s="712"/>
      <c r="AK133" s="713"/>
      <c r="AL133" s="714"/>
      <c r="AM133" s="398">
        <f t="shared" ref="AM133:AM196" si="34">AM132+AK133-AL133</f>
        <v>0</v>
      </c>
    </row>
    <row r="134" spans="1:39" ht="15.75" customHeight="1" x14ac:dyDescent="0.3">
      <c r="A134" s="2161"/>
      <c r="B134" s="1313" t="str">
        <f t="shared" si="28"/>
        <v/>
      </c>
      <c r="C134" s="1011">
        <f>IF($D$2="NO",0,ROUNDDOWN(SUM(PROD!$V$5:V135)/IF(Iniciar!$C$25="kilos",40,1),0)-SUM($C$4:$C133))</f>
        <v>0</v>
      </c>
      <c r="D134" s="702"/>
      <c r="E134" s="702"/>
      <c r="F134" s="300">
        <f t="shared" si="23"/>
        <v>-15000</v>
      </c>
      <c r="G134" s="694"/>
      <c r="H134" s="695"/>
      <c r="I134" s="1314"/>
      <c r="J134" s="1315">
        <f>IF(K$1&gt;0,ROUNDUP(SUM(PROD!AM$5:AM135)/K$1*K$2,0),0)-SUM(J$4:J133)</f>
        <v>0</v>
      </c>
      <c r="K134" s="1316">
        <f t="shared" si="29"/>
        <v>0</v>
      </c>
      <c r="L134" s="1314"/>
      <c r="M134" s="1315">
        <f>IF(N$1&gt;0,ROUNDUP(SUM(PROD!L$5:L135,-PROD!AM$5:AM135,-PROD!AZ$5:AZ135)/N$1*N$2,0),0)-SUM(M$4:M133)</f>
        <v>0</v>
      </c>
      <c r="N134" s="1316">
        <f t="shared" si="30"/>
        <v>0</v>
      </c>
      <c r="O134" s="1317">
        <f t="shared" si="25"/>
        <v>0</v>
      </c>
      <c r="P134" s="1318"/>
      <c r="Q134" s="1319"/>
      <c r="R134" s="1320">
        <f t="shared" si="26"/>
        <v>0</v>
      </c>
      <c r="S134" s="1316">
        <f t="shared" si="27"/>
        <v>0</v>
      </c>
      <c r="T134" s="712"/>
      <c r="U134" s="713"/>
      <c r="V134" s="714"/>
      <c r="W134" s="398">
        <f t="shared" si="24"/>
        <v>0</v>
      </c>
      <c r="X134" s="712"/>
      <c r="Y134" s="713"/>
      <c r="Z134" s="714"/>
      <c r="AA134" s="398">
        <f t="shared" si="31"/>
        <v>0</v>
      </c>
      <c r="AB134" s="712"/>
      <c r="AC134" s="713"/>
      <c r="AD134" s="714"/>
      <c r="AE134" s="398">
        <f t="shared" si="32"/>
        <v>0</v>
      </c>
      <c r="AF134" s="712"/>
      <c r="AG134" s="713"/>
      <c r="AH134" s="714"/>
      <c r="AI134" s="398">
        <f t="shared" si="33"/>
        <v>0</v>
      </c>
      <c r="AJ134" s="712"/>
      <c r="AK134" s="713"/>
      <c r="AL134" s="714"/>
      <c r="AM134" s="398">
        <f t="shared" si="34"/>
        <v>0</v>
      </c>
    </row>
    <row r="135" spans="1:39" ht="15.75" customHeight="1" x14ac:dyDescent="0.3">
      <c r="A135" s="2161"/>
      <c r="B135" s="1313" t="str">
        <f t="shared" si="28"/>
        <v/>
      </c>
      <c r="C135" s="1011">
        <f>IF($D$2="NO",0,ROUNDDOWN(SUM(PROD!$V$5:V136)/IF(Iniciar!$C$25="kilos",40,1),0)-SUM($C$4:$C134))</f>
        <v>0</v>
      </c>
      <c r="D135" s="702"/>
      <c r="E135" s="702"/>
      <c r="F135" s="300">
        <f t="shared" si="23"/>
        <v>-15000</v>
      </c>
      <c r="G135" s="694"/>
      <c r="H135" s="695"/>
      <c r="I135" s="1314"/>
      <c r="J135" s="1315">
        <f>IF(K$1&gt;0,ROUNDUP(SUM(PROD!AM$5:AM136)/K$1*K$2,0),0)-SUM(J$4:J134)</f>
        <v>0</v>
      </c>
      <c r="K135" s="1316">
        <f t="shared" si="29"/>
        <v>0</v>
      </c>
      <c r="L135" s="1314"/>
      <c r="M135" s="1315">
        <f>IF(N$1&gt;0,ROUNDUP(SUM(PROD!L$5:L136,-PROD!AM$5:AM136,-PROD!AZ$5:AZ136)/N$1*N$2,0),0)-SUM(M$4:M134)</f>
        <v>0</v>
      </c>
      <c r="N135" s="1316">
        <f t="shared" si="30"/>
        <v>0</v>
      </c>
      <c r="O135" s="1317">
        <f t="shared" si="25"/>
        <v>0</v>
      </c>
      <c r="P135" s="1318"/>
      <c r="Q135" s="1319"/>
      <c r="R135" s="1320">
        <f t="shared" si="26"/>
        <v>0</v>
      </c>
      <c r="S135" s="1316">
        <f t="shared" si="27"/>
        <v>0</v>
      </c>
      <c r="T135" s="712"/>
      <c r="U135" s="713"/>
      <c r="V135" s="714"/>
      <c r="W135" s="398">
        <f t="shared" si="24"/>
        <v>0</v>
      </c>
      <c r="X135" s="712"/>
      <c r="Y135" s="713"/>
      <c r="Z135" s="714"/>
      <c r="AA135" s="398">
        <f t="shared" si="31"/>
        <v>0</v>
      </c>
      <c r="AB135" s="712"/>
      <c r="AC135" s="713"/>
      <c r="AD135" s="714"/>
      <c r="AE135" s="398">
        <f t="shared" si="32"/>
        <v>0</v>
      </c>
      <c r="AF135" s="712"/>
      <c r="AG135" s="713"/>
      <c r="AH135" s="714"/>
      <c r="AI135" s="398">
        <f t="shared" si="33"/>
        <v>0</v>
      </c>
      <c r="AJ135" s="712"/>
      <c r="AK135" s="713"/>
      <c r="AL135" s="714"/>
      <c r="AM135" s="398">
        <f t="shared" si="34"/>
        <v>0</v>
      </c>
    </row>
    <row r="136" spans="1:39" ht="16.5" customHeight="1" x14ac:dyDescent="0.3">
      <c r="A136" s="2162"/>
      <c r="B136" s="1313" t="str">
        <f t="shared" si="28"/>
        <v/>
      </c>
      <c r="C136" s="1011">
        <f>IF($D$2="NO",0,ROUNDDOWN(SUM(PROD!$V$5:V137)/IF(Iniciar!$C$25="kilos",40,1),0)-SUM($C$4:$C135))</f>
        <v>0</v>
      </c>
      <c r="D136" s="702"/>
      <c r="E136" s="702"/>
      <c r="F136" s="300">
        <f t="shared" si="23"/>
        <v>-15000</v>
      </c>
      <c r="G136" s="694"/>
      <c r="H136" s="695"/>
      <c r="I136" s="1314"/>
      <c r="J136" s="1315">
        <f>IF(K$1&gt;0,ROUNDUP(SUM(PROD!AM$5:AM137)/K$1*K$2,0),0)-SUM(J$4:J135)</f>
        <v>0</v>
      </c>
      <c r="K136" s="1316">
        <f t="shared" si="29"/>
        <v>0</v>
      </c>
      <c r="L136" s="1314"/>
      <c r="M136" s="1315">
        <f>IF(N$1&gt;0,ROUNDUP(SUM(PROD!L$5:L137,-PROD!AM$5:AM137,-PROD!AZ$5:AZ137)/N$1*N$2,0),0)-SUM(M$4:M135)</f>
        <v>0</v>
      </c>
      <c r="N136" s="1316">
        <f t="shared" si="30"/>
        <v>0</v>
      </c>
      <c r="O136" s="1317">
        <f t="shared" si="25"/>
        <v>0</v>
      </c>
      <c r="P136" s="1318"/>
      <c r="Q136" s="1319"/>
      <c r="R136" s="1320">
        <f t="shared" si="26"/>
        <v>0</v>
      </c>
      <c r="S136" s="1316">
        <f t="shared" si="27"/>
        <v>0</v>
      </c>
      <c r="T136" s="712"/>
      <c r="U136" s="713"/>
      <c r="V136" s="714"/>
      <c r="W136" s="398">
        <f t="shared" si="24"/>
        <v>0</v>
      </c>
      <c r="X136" s="712"/>
      <c r="Y136" s="713"/>
      <c r="Z136" s="714"/>
      <c r="AA136" s="398">
        <f t="shared" si="31"/>
        <v>0</v>
      </c>
      <c r="AB136" s="712"/>
      <c r="AC136" s="713"/>
      <c r="AD136" s="714"/>
      <c r="AE136" s="398">
        <f t="shared" si="32"/>
        <v>0</v>
      </c>
      <c r="AF136" s="712"/>
      <c r="AG136" s="713"/>
      <c r="AH136" s="714"/>
      <c r="AI136" s="398">
        <f t="shared" si="33"/>
        <v>0</v>
      </c>
      <c r="AJ136" s="712"/>
      <c r="AK136" s="713"/>
      <c r="AL136" s="714"/>
      <c r="AM136" s="398">
        <f t="shared" si="34"/>
        <v>0</v>
      </c>
    </row>
    <row r="137" spans="1:39" ht="16.5" customHeight="1" x14ac:dyDescent="0.3">
      <c r="A137" s="2160">
        <f>A130+1</f>
        <v>37</v>
      </c>
      <c r="B137" s="1313" t="str">
        <f t="shared" si="28"/>
        <v/>
      </c>
      <c r="C137" s="1011">
        <f>IF($D$2="NO",0,ROUNDDOWN(SUM(PROD!$V$5:V138)/IF(Iniciar!$C$25="kilos",40,1),0)-SUM($C$4:$C136))</f>
        <v>0</v>
      </c>
      <c r="D137" s="702"/>
      <c r="E137" s="702"/>
      <c r="F137" s="300">
        <f t="shared" si="23"/>
        <v>-15000</v>
      </c>
      <c r="G137" s="694"/>
      <c r="H137" s="695"/>
      <c r="I137" s="1314"/>
      <c r="J137" s="1315">
        <f>IF(K$1&gt;0,ROUNDUP(SUM(PROD!AM$5:AM138)/K$1*K$2,0),0)-SUM(J$4:J136)</f>
        <v>0</v>
      </c>
      <c r="K137" s="1316">
        <f t="shared" si="29"/>
        <v>0</v>
      </c>
      <c r="L137" s="1314"/>
      <c r="M137" s="1315">
        <f>IF(N$1&gt;0,ROUNDUP(SUM(PROD!L$5:L138,-PROD!AM$5:AM138,-PROD!AZ$5:AZ138)/N$1*N$2,0),0)-SUM(M$4:M136)</f>
        <v>0</v>
      </c>
      <c r="N137" s="1316">
        <f t="shared" si="30"/>
        <v>0</v>
      </c>
      <c r="O137" s="1317">
        <f t="shared" si="25"/>
        <v>0</v>
      </c>
      <c r="P137" s="1318"/>
      <c r="Q137" s="1319"/>
      <c r="R137" s="1320">
        <f t="shared" si="26"/>
        <v>0</v>
      </c>
      <c r="S137" s="1316">
        <f t="shared" si="27"/>
        <v>0</v>
      </c>
      <c r="T137" s="712"/>
      <c r="U137" s="713"/>
      <c r="V137" s="714"/>
      <c r="W137" s="398">
        <f t="shared" si="24"/>
        <v>0</v>
      </c>
      <c r="X137" s="712"/>
      <c r="Y137" s="713"/>
      <c r="Z137" s="714"/>
      <c r="AA137" s="398">
        <f t="shared" si="31"/>
        <v>0</v>
      </c>
      <c r="AB137" s="712"/>
      <c r="AC137" s="713"/>
      <c r="AD137" s="714"/>
      <c r="AE137" s="398">
        <f t="shared" si="32"/>
        <v>0</v>
      </c>
      <c r="AF137" s="712"/>
      <c r="AG137" s="713"/>
      <c r="AH137" s="714"/>
      <c r="AI137" s="398">
        <f t="shared" si="33"/>
        <v>0</v>
      </c>
      <c r="AJ137" s="712"/>
      <c r="AK137" s="713"/>
      <c r="AL137" s="714"/>
      <c r="AM137" s="398">
        <f t="shared" si="34"/>
        <v>0</v>
      </c>
    </row>
    <row r="138" spans="1:39" ht="15.75" customHeight="1" x14ac:dyDescent="0.3">
      <c r="A138" s="2161"/>
      <c r="B138" s="1313" t="str">
        <f t="shared" si="28"/>
        <v/>
      </c>
      <c r="C138" s="1011">
        <f>IF($D$2="NO",0,ROUNDDOWN(SUM(PROD!$V$5:V139)/IF(Iniciar!$C$25="kilos",40,1),0)-SUM($C$4:$C137))</f>
        <v>0</v>
      </c>
      <c r="D138" s="702"/>
      <c r="E138" s="702"/>
      <c r="F138" s="300">
        <f t="shared" si="23"/>
        <v>-15000</v>
      </c>
      <c r="G138" s="694"/>
      <c r="H138" s="695"/>
      <c r="I138" s="1314"/>
      <c r="J138" s="1315">
        <f>IF(K$1&gt;0,ROUNDUP(SUM(PROD!AM$5:AM139)/K$1*K$2,0),0)-SUM(J$4:J137)</f>
        <v>0</v>
      </c>
      <c r="K138" s="1316">
        <f t="shared" si="29"/>
        <v>0</v>
      </c>
      <c r="L138" s="1314"/>
      <c r="M138" s="1315">
        <f>IF(N$1&gt;0,ROUNDUP(SUM(PROD!L$5:L139,-PROD!AM$5:AM139,-PROD!AZ$5:AZ139)/N$1*N$2,0),0)-SUM(M$4:M137)</f>
        <v>0</v>
      </c>
      <c r="N138" s="1316">
        <f t="shared" si="30"/>
        <v>0</v>
      </c>
      <c r="O138" s="1317">
        <f t="shared" si="25"/>
        <v>0</v>
      </c>
      <c r="P138" s="1318"/>
      <c r="Q138" s="1319"/>
      <c r="R138" s="1320">
        <f t="shared" si="26"/>
        <v>0</v>
      </c>
      <c r="S138" s="1316">
        <f t="shared" si="27"/>
        <v>0</v>
      </c>
      <c r="T138" s="712"/>
      <c r="U138" s="713"/>
      <c r="V138" s="714"/>
      <c r="W138" s="398">
        <f t="shared" si="24"/>
        <v>0</v>
      </c>
      <c r="X138" s="712"/>
      <c r="Y138" s="713"/>
      <c r="Z138" s="714"/>
      <c r="AA138" s="398">
        <f t="shared" si="31"/>
        <v>0</v>
      </c>
      <c r="AB138" s="712"/>
      <c r="AC138" s="713"/>
      <c r="AD138" s="714"/>
      <c r="AE138" s="398">
        <f t="shared" si="32"/>
        <v>0</v>
      </c>
      <c r="AF138" s="712"/>
      <c r="AG138" s="713"/>
      <c r="AH138" s="714"/>
      <c r="AI138" s="398">
        <f t="shared" si="33"/>
        <v>0</v>
      </c>
      <c r="AJ138" s="712"/>
      <c r="AK138" s="713"/>
      <c r="AL138" s="714"/>
      <c r="AM138" s="398">
        <f t="shared" si="34"/>
        <v>0</v>
      </c>
    </row>
    <row r="139" spans="1:39" ht="15.75" customHeight="1" x14ac:dyDescent="0.3">
      <c r="A139" s="2161"/>
      <c r="B139" s="1313" t="str">
        <f t="shared" si="28"/>
        <v/>
      </c>
      <c r="C139" s="1011">
        <f>IF($D$2="NO",0,ROUNDDOWN(SUM(PROD!$V$5:V140)/IF(Iniciar!$C$25="kilos",40,1),0)-SUM($C$4:$C138))</f>
        <v>0</v>
      </c>
      <c r="D139" s="702"/>
      <c r="E139" s="702"/>
      <c r="F139" s="300">
        <f t="shared" ref="F139:F202" si="35">F138+C139+D139-E139</f>
        <v>-15000</v>
      </c>
      <c r="G139" s="694"/>
      <c r="H139" s="695"/>
      <c r="I139" s="1314"/>
      <c r="J139" s="1315">
        <f>IF(K$1&gt;0,ROUNDUP(SUM(PROD!AM$5:AM140)/K$1*K$2,0),0)-SUM(J$4:J138)</f>
        <v>0</v>
      </c>
      <c r="K139" s="1316">
        <f t="shared" si="29"/>
        <v>0</v>
      </c>
      <c r="L139" s="1314"/>
      <c r="M139" s="1315">
        <f>IF(N$1&gt;0,ROUNDUP(SUM(PROD!L$5:L140,-PROD!AM$5:AM140,-PROD!AZ$5:AZ140)/N$1*N$2,0),0)-SUM(M$4:M138)</f>
        <v>0</v>
      </c>
      <c r="N139" s="1316">
        <f t="shared" si="30"/>
        <v>0</v>
      </c>
      <c r="O139" s="1317">
        <f t="shared" si="25"/>
        <v>0</v>
      </c>
      <c r="P139" s="1318"/>
      <c r="Q139" s="1319"/>
      <c r="R139" s="1320">
        <f t="shared" si="26"/>
        <v>0</v>
      </c>
      <c r="S139" s="1316">
        <f t="shared" si="27"/>
        <v>0</v>
      </c>
      <c r="T139" s="712"/>
      <c r="U139" s="713"/>
      <c r="V139" s="714"/>
      <c r="W139" s="398">
        <f t="shared" si="24"/>
        <v>0</v>
      </c>
      <c r="X139" s="712"/>
      <c r="Y139" s="713"/>
      <c r="Z139" s="714"/>
      <c r="AA139" s="398">
        <f t="shared" si="31"/>
        <v>0</v>
      </c>
      <c r="AB139" s="712"/>
      <c r="AC139" s="713"/>
      <c r="AD139" s="714"/>
      <c r="AE139" s="398">
        <f t="shared" si="32"/>
        <v>0</v>
      </c>
      <c r="AF139" s="712"/>
      <c r="AG139" s="713"/>
      <c r="AH139" s="714"/>
      <c r="AI139" s="398">
        <f t="shared" si="33"/>
        <v>0</v>
      </c>
      <c r="AJ139" s="712"/>
      <c r="AK139" s="713"/>
      <c r="AL139" s="714"/>
      <c r="AM139" s="398">
        <f t="shared" si="34"/>
        <v>0</v>
      </c>
    </row>
    <row r="140" spans="1:39" ht="15.75" customHeight="1" x14ac:dyDescent="0.3">
      <c r="A140" s="2161"/>
      <c r="B140" s="1313" t="str">
        <f t="shared" si="28"/>
        <v/>
      </c>
      <c r="C140" s="1011">
        <f>IF($D$2="NO",0,ROUNDDOWN(SUM(PROD!$V$5:V141)/IF(Iniciar!$C$25="kilos",40,1),0)-SUM($C$4:$C139))</f>
        <v>0</v>
      </c>
      <c r="D140" s="702"/>
      <c r="E140" s="702"/>
      <c r="F140" s="300">
        <f t="shared" si="35"/>
        <v>-15000</v>
      </c>
      <c r="G140" s="694"/>
      <c r="H140" s="695"/>
      <c r="I140" s="1314"/>
      <c r="J140" s="1315">
        <f>IF(K$1&gt;0,ROUNDUP(SUM(PROD!AM$5:AM141)/K$1*K$2,0),0)-SUM(J$4:J139)</f>
        <v>0</v>
      </c>
      <c r="K140" s="1316">
        <f t="shared" si="29"/>
        <v>0</v>
      </c>
      <c r="L140" s="1314"/>
      <c r="M140" s="1315">
        <f>IF(N$1&gt;0,ROUNDUP(SUM(PROD!L$5:L141,-PROD!AM$5:AM141,-PROD!AZ$5:AZ141)/N$1*N$2,0),0)-SUM(M$4:M139)</f>
        <v>0</v>
      </c>
      <c r="N140" s="1316">
        <f t="shared" si="30"/>
        <v>0</v>
      </c>
      <c r="O140" s="1317">
        <f t="shared" si="25"/>
        <v>0</v>
      </c>
      <c r="P140" s="1318"/>
      <c r="Q140" s="1319"/>
      <c r="R140" s="1320">
        <f t="shared" si="26"/>
        <v>0</v>
      </c>
      <c r="S140" s="1316">
        <f t="shared" si="27"/>
        <v>0</v>
      </c>
      <c r="T140" s="712"/>
      <c r="U140" s="713"/>
      <c r="V140" s="714"/>
      <c r="W140" s="398">
        <f t="shared" si="24"/>
        <v>0</v>
      </c>
      <c r="X140" s="712"/>
      <c r="Y140" s="713"/>
      <c r="Z140" s="714"/>
      <c r="AA140" s="398">
        <f t="shared" si="31"/>
        <v>0</v>
      </c>
      <c r="AB140" s="712"/>
      <c r="AC140" s="713"/>
      <c r="AD140" s="714"/>
      <c r="AE140" s="398">
        <f t="shared" si="32"/>
        <v>0</v>
      </c>
      <c r="AF140" s="712"/>
      <c r="AG140" s="713"/>
      <c r="AH140" s="714"/>
      <c r="AI140" s="398">
        <f t="shared" si="33"/>
        <v>0</v>
      </c>
      <c r="AJ140" s="712"/>
      <c r="AK140" s="713"/>
      <c r="AL140" s="714"/>
      <c r="AM140" s="398">
        <f t="shared" si="34"/>
        <v>0</v>
      </c>
    </row>
    <row r="141" spans="1:39" ht="15.75" customHeight="1" x14ac:dyDescent="0.3">
      <c r="A141" s="2161"/>
      <c r="B141" s="1313" t="str">
        <f t="shared" si="28"/>
        <v/>
      </c>
      <c r="C141" s="1011">
        <f>IF($D$2="NO",0,ROUNDDOWN(SUM(PROD!$V$5:V142)/IF(Iniciar!$C$25="kilos",40,1),0)-SUM($C$4:$C140))</f>
        <v>0</v>
      </c>
      <c r="D141" s="702"/>
      <c r="E141" s="702"/>
      <c r="F141" s="300">
        <f t="shared" si="35"/>
        <v>-15000</v>
      </c>
      <c r="G141" s="694"/>
      <c r="H141" s="695"/>
      <c r="I141" s="1314"/>
      <c r="J141" s="1315">
        <f>IF(K$1&gt;0,ROUNDUP(SUM(PROD!AM$5:AM142)/K$1*K$2,0),0)-SUM(J$4:J140)</f>
        <v>0</v>
      </c>
      <c r="K141" s="1316">
        <f t="shared" si="29"/>
        <v>0</v>
      </c>
      <c r="L141" s="1314"/>
      <c r="M141" s="1315">
        <f>IF(N$1&gt;0,ROUNDUP(SUM(PROD!L$5:L142,-PROD!AM$5:AM142,-PROD!AZ$5:AZ142)/N$1*N$2,0),0)-SUM(M$4:M140)</f>
        <v>0</v>
      </c>
      <c r="N141" s="1316">
        <f t="shared" si="30"/>
        <v>0</v>
      </c>
      <c r="O141" s="1317">
        <f t="shared" si="25"/>
        <v>0</v>
      </c>
      <c r="P141" s="1318"/>
      <c r="Q141" s="1319"/>
      <c r="R141" s="1320">
        <f t="shared" si="26"/>
        <v>0</v>
      </c>
      <c r="S141" s="1316">
        <f t="shared" si="27"/>
        <v>0</v>
      </c>
      <c r="T141" s="712"/>
      <c r="U141" s="713"/>
      <c r="V141" s="714"/>
      <c r="W141" s="398">
        <f t="shared" si="24"/>
        <v>0</v>
      </c>
      <c r="X141" s="712"/>
      <c r="Y141" s="713"/>
      <c r="Z141" s="714"/>
      <c r="AA141" s="398">
        <f t="shared" si="31"/>
        <v>0</v>
      </c>
      <c r="AB141" s="712"/>
      <c r="AC141" s="713"/>
      <c r="AD141" s="714"/>
      <c r="AE141" s="398">
        <f t="shared" si="32"/>
        <v>0</v>
      </c>
      <c r="AF141" s="712"/>
      <c r="AG141" s="713"/>
      <c r="AH141" s="714"/>
      <c r="AI141" s="398">
        <f t="shared" si="33"/>
        <v>0</v>
      </c>
      <c r="AJ141" s="712"/>
      <c r="AK141" s="713"/>
      <c r="AL141" s="714"/>
      <c r="AM141" s="398">
        <f t="shared" si="34"/>
        <v>0</v>
      </c>
    </row>
    <row r="142" spans="1:39" ht="15.75" customHeight="1" x14ac:dyDescent="0.3">
      <c r="A142" s="2161"/>
      <c r="B142" s="1313" t="str">
        <f t="shared" si="28"/>
        <v/>
      </c>
      <c r="C142" s="1011">
        <f>IF($D$2="NO",0,ROUNDDOWN(SUM(PROD!$V$5:V143)/IF(Iniciar!$C$25="kilos",40,1),0)-SUM($C$4:$C141))</f>
        <v>0</v>
      </c>
      <c r="D142" s="702"/>
      <c r="E142" s="702"/>
      <c r="F142" s="300">
        <f t="shared" si="35"/>
        <v>-15000</v>
      </c>
      <c r="G142" s="694"/>
      <c r="H142" s="695"/>
      <c r="I142" s="1314"/>
      <c r="J142" s="1315">
        <f>IF(K$1&gt;0,ROUNDUP(SUM(PROD!AM$5:AM143)/K$1*K$2,0),0)-SUM(J$4:J141)</f>
        <v>0</v>
      </c>
      <c r="K142" s="1316">
        <f t="shared" si="29"/>
        <v>0</v>
      </c>
      <c r="L142" s="1314"/>
      <c r="M142" s="1315">
        <f>IF(N$1&gt;0,ROUNDUP(SUM(PROD!L$5:L143,-PROD!AM$5:AM143,-PROD!AZ$5:AZ143)/N$1*N$2,0),0)-SUM(M$4:M141)</f>
        <v>0</v>
      </c>
      <c r="N142" s="1316">
        <f t="shared" si="30"/>
        <v>0</v>
      </c>
      <c r="O142" s="1317">
        <f t="shared" si="25"/>
        <v>0</v>
      </c>
      <c r="P142" s="1318"/>
      <c r="Q142" s="1319"/>
      <c r="R142" s="1320">
        <f t="shared" si="26"/>
        <v>0</v>
      </c>
      <c r="S142" s="1316">
        <f t="shared" si="27"/>
        <v>0</v>
      </c>
      <c r="T142" s="712"/>
      <c r="U142" s="713"/>
      <c r="V142" s="714"/>
      <c r="W142" s="398">
        <f t="shared" si="24"/>
        <v>0</v>
      </c>
      <c r="X142" s="712"/>
      <c r="Y142" s="713"/>
      <c r="Z142" s="714"/>
      <c r="AA142" s="398">
        <f t="shared" si="31"/>
        <v>0</v>
      </c>
      <c r="AB142" s="712"/>
      <c r="AC142" s="713"/>
      <c r="AD142" s="714"/>
      <c r="AE142" s="398">
        <f t="shared" si="32"/>
        <v>0</v>
      </c>
      <c r="AF142" s="712"/>
      <c r="AG142" s="713"/>
      <c r="AH142" s="714"/>
      <c r="AI142" s="398">
        <f t="shared" si="33"/>
        <v>0</v>
      </c>
      <c r="AJ142" s="712"/>
      <c r="AK142" s="713"/>
      <c r="AL142" s="714"/>
      <c r="AM142" s="398">
        <f t="shared" si="34"/>
        <v>0</v>
      </c>
    </row>
    <row r="143" spans="1:39" ht="16.5" customHeight="1" x14ac:dyDescent="0.3">
      <c r="A143" s="2162"/>
      <c r="B143" s="1313" t="str">
        <f t="shared" si="28"/>
        <v/>
      </c>
      <c r="C143" s="1011">
        <f>IF($D$2="NO",0,ROUNDDOWN(SUM(PROD!$V$5:V144)/IF(Iniciar!$C$25="kilos",40,1),0)-SUM($C$4:$C142))</f>
        <v>0</v>
      </c>
      <c r="D143" s="702"/>
      <c r="E143" s="702"/>
      <c r="F143" s="300">
        <f t="shared" si="35"/>
        <v>-15000</v>
      </c>
      <c r="G143" s="694"/>
      <c r="H143" s="695"/>
      <c r="I143" s="1314"/>
      <c r="J143" s="1315">
        <f>IF(K$1&gt;0,ROUNDUP(SUM(PROD!AM$5:AM144)/K$1*K$2,0),0)-SUM(J$4:J142)</f>
        <v>0</v>
      </c>
      <c r="K143" s="1316">
        <f t="shared" si="29"/>
        <v>0</v>
      </c>
      <c r="L143" s="1314"/>
      <c r="M143" s="1315">
        <f>IF(N$1&gt;0,ROUNDUP(SUM(PROD!L$5:L144,-PROD!AM$5:AM144,-PROD!AZ$5:AZ144)/N$1*N$2,0),0)-SUM(M$4:M142)</f>
        <v>0</v>
      </c>
      <c r="N143" s="1316">
        <f t="shared" si="30"/>
        <v>0</v>
      </c>
      <c r="O143" s="1317">
        <f t="shared" si="25"/>
        <v>0</v>
      </c>
      <c r="P143" s="1318"/>
      <c r="Q143" s="1319"/>
      <c r="R143" s="1320">
        <f t="shared" si="26"/>
        <v>0</v>
      </c>
      <c r="S143" s="1316">
        <f t="shared" si="27"/>
        <v>0</v>
      </c>
      <c r="T143" s="712"/>
      <c r="U143" s="713"/>
      <c r="V143" s="714"/>
      <c r="W143" s="398">
        <f t="shared" si="24"/>
        <v>0</v>
      </c>
      <c r="X143" s="712"/>
      <c r="Y143" s="713"/>
      <c r="Z143" s="714"/>
      <c r="AA143" s="398">
        <f t="shared" si="31"/>
        <v>0</v>
      </c>
      <c r="AB143" s="712"/>
      <c r="AC143" s="713"/>
      <c r="AD143" s="714"/>
      <c r="AE143" s="398">
        <f t="shared" si="32"/>
        <v>0</v>
      </c>
      <c r="AF143" s="712"/>
      <c r="AG143" s="713"/>
      <c r="AH143" s="714"/>
      <c r="AI143" s="398">
        <f t="shared" si="33"/>
        <v>0</v>
      </c>
      <c r="AJ143" s="712"/>
      <c r="AK143" s="713"/>
      <c r="AL143" s="714"/>
      <c r="AM143" s="398">
        <f t="shared" si="34"/>
        <v>0</v>
      </c>
    </row>
    <row r="144" spans="1:39" ht="16.5" customHeight="1" x14ac:dyDescent="0.3">
      <c r="A144" s="2160">
        <f>A137+1</f>
        <v>38</v>
      </c>
      <c r="B144" s="1313" t="str">
        <f t="shared" si="28"/>
        <v/>
      </c>
      <c r="C144" s="1011">
        <f>IF($D$2="NO",0,ROUNDDOWN(SUM(PROD!$V$5:V145)/IF(Iniciar!$C$25="kilos",40,1),0)-SUM($C$4:$C143))</f>
        <v>0</v>
      </c>
      <c r="D144" s="702"/>
      <c r="E144" s="702"/>
      <c r="F144" s="300">
        <f t="shared" si="35"/>
        <v>-15000</v>
      </c>
      <c r="G144" s="694"/>
      <c r="H144" s="695"/>
      <c r="I144" s="1314"/>
      <c r="J144" s="1315">
        <f>IF(K$1&gt;0,ROUNDUP(SUM(PROD!AM$5:AM145)/K$1*K$2,0),0)-SUM(J$4:J143)</f>
        <v>0</v>
      </c>
      <c r="K144" s="1316">
        <f t="shared" si="29"/>
        <v>0</v>
      </c>
      <c r="L144" s="1314"/>
      <c r="M144" s="1315">
        <f>IF(N$1&gt;0,ROUNDUP(SUM(PROD!L$5:L145,-PROD!AM$5:AM145,-PROD!AZ$5:AZ145)/N$1*N$2,0),0)-SUM(M$4:M143)</f>
        <v>0</v>
      </c>
      <c r="N144" s="1316">
        <f t="shared" si="30"/>
        <v>0</v>
      </c>
      <c r="O144" s="1317">
        <f t="shared" si="25"/>
        <v>0</v>
      </c>
      <c r="P144" s="1318"/>
      <c r="Q144" s="1319"/>
      <c r="R144" s="1320">
        <f t="shared" si="26"/>
        <v>0</v>
      </c>
      <c r="S144" s="1316">
        <f t="shared" si="27"/>
        <v>0</v>
      </c>
      <c r="T144" s="712"/>
      <c r="U144" s="713"/>
      <c r="V144" s="714"/>
      <c r="W144" s="398">
        <f t="shared" si="24"/>
        <v>0</v>
      </c>
      <c r="X144" s="712"/>
      <c r="Y144" s="713"/>
      <c r="Z144" s="714"/>
      <c r="AA144" s="398">
        <f t="shared" si="31"/>
        <v>0</v>
      </c>
      <c r="AB144" s="712"/>
      <c r="AC144" s="713"/>
      <c r="AD144" s="714"/>
      <c r="AE144" s="398">
        <f t="shared" si="32"/>
        <v>0</v>
      </c>
      <c r="AF144" s="712"/>
      <c r="AG144" s="713"/>
      <c r="AH144" s="714"/>
      <c r="AI144" s="398">
        <f t="shared" si="33"/>
        <v>0</v>
      </c>
      <c r="AJ144" s="712"/>
      <c r="AK144" s="713"/>
      <c r="AL144" s="714"/>
      <c r="AM144" s="398">
        <f t="shared" si="34"/>
        <v>0</v>
      </c>
    </row>
    <row r="145" spans="1:39" ht="15.75" customHeight="1" x14ac:dyDescent="0.3">
      <c r="A145" s="2161"/>
      <c r="B145" s="1313" t="str">
        <f t="shared" si="28"/>
        <v/>
      </c>
      <c r="C145" s="1011">
        <f>IF($D$2="NO",0,ROUNDDOWN(SUM(PROD!$V$5:V146)/IF(Iniciar!$C$25="kilos",40,1),0)-SUM($C$4:$C144))</f>
        <v>0</v>
      </c>
      <c r="D145" s="702"/>
      <c r="E145" s="702"/>
      <c r="F145" s="300">
        <f t="shared" si="35"/>
        <v>-15000</v>
      </c>
      <c r="G145" s="694"/>
      <c r="H145" s="695"/>
      <c r="I145" s="1314"/>
      <c r="J145" s="1315">
        <f>IF(K$1&gt;0,ROUNDUP(SUM(PROD!AM$5:AM146)/K$1*K$2,0),0)-SUM(J$4:J144)</f>
        <v>0</v>
      </c>
      <c r="K145" s="1316">
        <f t="shared" si="29"/>
        <v>0</v>
      </c>
      <c r="L145" s="1314"/>
      <c r="M145" s="1315">
        <f>IF(N$1&gt;0,ROUNDUP(SUM(PROD!L$5:L146,-PROD!AM$5:AM146,-PROD!AZ$5:AZ146)/N$1*N$2,0),0)-SUM(M$4:M144)</f>
        <v>0</v>
      </c>
      <c r="N145" s="1316">
        <f t="shared" si="30"/>
        <v>0</v>
      </c>
      <c r="O145" s="1317">
        <f t="shared" si="25"/>
        <v>0</v>
      </c>
      <c r="P145" s="1318"/>
      <c r="Q145" s="1319"/>
      <c r="R145" s="1320">
        <f t="shared" si="26"/>
        <v>0</v>
      </c>
      <c r="S145" s="1316">
        <f t="shared" si="27"/>
        <v>0</v>
      </c>
      <c r="T145" s="712"/>
      <c r="U145" s="713"/>
      <c r="V145" s="714"/>
      <c r="W145" s="398">
        <f t="shared" si="24"/>
        <v>0</v>
      </c>
      <c r="X145" s="712"/>
      <c r="Y145" s="713"/>
      <c r="Z145" s="714"/>
      <c r="AA145" s="398">
        <f t="shared" si="31"/>
        <v>0</v>
      </c>
      <c r="AB145" s="712"/>
      <c r="AC145" s="713"/>
      <c r="AD145" s="714"/>
      <c r="AE145" s="398">
        <f t="shared" si="32"/>
        <v>0</v>
      </c>
      <c r="AF145" s="712"/>
      <c r="AG145" s="713"/>
      <c r="AH145" s="714"/>
      <c r="AI145" s="398">
        <f t="shared" si="33"/>
        <v>0</v>
      </c>
      <c r="AJ145" s="712"/>
      <c r="AK145" s="713"/>
      <c r="AL145" s="714"/>
      <c r="AM145" s="398">
        <f t="shared" si="34"/>
        <v>0</v>
      </c>
    </row>
    <row r="146" spans="1:39" ht="15.75" customHeight="1" x14ac:dyDescent="0.3">
      <c r="A146" s="2161"/>
      <c r="B146" s="1313" t="str">
        <f t="shared" si="28"/>
        <v/>
      </c>
      <c r="C146" s="1011">
        <f>IF($D$2="NO",0,ROUNDDOWN(SUM(PROD!$V$5:V147)/IF(Iniciar!$C$25="kilos",40,1),0)-SUM($C$4:$C145))</f>
        <v>0</v>
      </c>
      <c r="D146" s="702"/>
      <c r="E146" s="702"/>
      <c r="F146" s="300">
        <f t="shared" si="35"/>
        <v>-15000</v>
      </c>
      <c r="G146" s="694"/>
      <c r="H146" s="695"/>
      <c r="I146" s="1314"/>
      <c r="J146" s="1315">
        <f>IF(K$1&gt;0,ROUNDUP(SUM(PROD!AM$5:AM147)/K$1*K$2,0),0)-SUM(J$4:J145)</f>
        <v>0</v>
      </c>
      <c r="K146" s="1316">
        <f t="shared" si="29"/>
        <v>0</v>
      </c>
      <c r="L146" s="1314"/>
      <c r="M146" s="1315">
        <f>IF(N$1&gt;0,ROUNDUP(SUM(PROD!L$5:L147,-PROD!AM$5:AM147,-PROD!AZ$5:AZ147)/N$1*N$2,0),0)-SUM(M$4:M145)</f>
        <v>0</v>
      </c>
      <c r="N146" s="1316">
        <f t="shared" si="30"/>
        <v>0</v>
      </c>
      <c r="O146" s="1317">
        <f t="shared" si="25"/>
        <v>0</v>
      </c>
      <c r="P146" s="1318"/>
      <c r="Q146" s="1319"/>
      <c r="R146" s="1320">
        <f t="shared" si="26"/>
        <v>0</v>
      </c>
      <c r="S146" s="1316">
        <f t="shared" si="27"/>
        <v>0</v>
      </c>
      <c r="T146" s="712"/>
      <c r="U146" s="713"/>
      <c r="V146" s="714"/>
      <c r="W146" s="398">
        <f t="shared" ref="W146:W209" si="36">W145+U146-V146</f>
        <v>0</v>
      </c>
      <c r="X146" s="712"/>
      <c r="Y146" s="713"/>
      <c r="Z146" s="714"/>
      <c r="AA146" s="398">
        <f t="shared" si="31"/>
        <v>0</v>
      </c>
      <c r="AB146" s="712"/>
      <c r="AC146" s="713"/>
      <c r="AD146" s="714"/>
      <c r="AE146" s="398">
        <f t="shared" si="32"/>
        <v>0</v>
      </c>
      <c r="AF146" s="712"/>
      <c r="AG146" s="713"/>
      <c r="AH146" s="714"/>
      <c r="AI146" s="398">
        <f t="shared" si="33"/>
        <v>0</v>
      </c>
      <c r="AJ146" s="712"/>
      <c r="AK146" s="713"/>
      <c r="AL146" s="714"/>
      <c r="AM146" s="398">
        <f t="shared" si="34"/>
        <v>0</v>
      </c>
    </row>
    <row r="147" spans="1:39" ht="15.75" customHeight="1" x14ac:dyDescent="0.3">
      <c r="A147" s="2161"/>
      <c r="B147" s="1313" t="str">
        <f t="shared" si="28"/>
        <v/>
      </c>
      <c r="C147" s="1011">
        <f>IF($D$2="NO",0,ROUNDDOWN(SUM(PROD!$V$5:V148)/IF(Iniciar!$C$25="kilos",40,1),0)-SUM($C$4:$C146))</f>
        <v>0</v>
      </c>
      <c r="D147" s="702"/>
      <c r="E147" s="702"/>
      <c r="F147" s="300">
        <f t="shared" si="35"/>
        <v>-15000</v>
      </c>
      <c r="G147" s="694"/>
      <c r="H147" s="695"/>
      <c r="I147" s="1314"/>
      <c r="J147" s="1315">
        <f>IF(K$1&gt;0,ROUNDUP(SUM(PROD!AM$5:AM148)/K$1*K$2,0),0)-SUM(J$4:J146)</f>
        <v>0</v>
      </c>
      <c r="K147" s="1316">
        <f t="shared" si="29"/>
        <v>0</v>
      </c>
      <c r="L147" s="1314"/>
      <c r="M147" s="1315">
        <f>IF(N$1&gt;0,ROUNDUP(SUM(PROD!L$5:L148,-PROD!AM$5:AM148,-PROD!AZ$5:AZ148)/N$1*N$2,0),0)-SUM(M$4:M146)</f>
        <v>0</v>
      </c>
      <c r="N147" s="1316">
        <f t="shared" si="30"/>
        <v>0</v>
      </c>
      <c r="O147" s="1317">
        <f t="shared" si="25"/>
        <v>0</v>
      </c>
      <c r="P147" s="1318"/>
      <c r="Q147" s="1319"/>
      <c r="R147" s="1320">
        <f t="shared" si="26"/>
        <v>0</v>
      </c>
      <c r="S147" s="1316">
        <f t="shared" si="27"/>
        <v>0</v>
      </c>
      <c r="T147" s="712"/>
      <c r="U147" s="713"/>
      <c r="V147" s="714"/>
      <c r="W147" s="398">
        <f t="shared" si="36"/>
        <v>0</v>
      </c>
      <c r="X147" s="712"/>
      <c r="Y147" s="713"/>
      <c r="Z147" s="714"/>
      <c r="AA147" s="398">
        <f t="shared" si="31"/>
        <v>0</v>
      </c>
      <c r="AB147" s="712"/>
      <c r="AC147" s="713"/>
      <c r="AD147" s="714"/>
      <c r="AE147" s="398">
        <f t="shared" si="32"/>
        <v>0</v>
      </c>
      <c r="AF147" s="712"/>
      <c r="AG147" s="713"/>
      <c r="AH147" s="714"/>
      <c r="AI147" s="398">
        <f t="shared" si="33"/>
        <v>0</v>
      </c>
      <c r="AJ147" s="712"/>
      <c r="AK147" s="713"/>
      <c r="AL147" s="714"/>
      <c r="AM147" s="398">
        <f t="shared" si="34"/>
        <v>0</v>
      </c>
    </row>
    <row r="148" spans="1:39" ht="15.75" customHeight="1" x14ac:dyDescent="0.3">
      <c r="A148" s="2161"/>
      <c r="B148" s="1313" t="str">
        <f t="shared" si="28"/>
        <v/>
      </c>
      <c r="C148" s="1011">
        <f>IF($D$2="NO",0,ROUNDDOWN(SUM(PROD!$V$5:V149)/IF(Iniciar!$C$25="kilos",40,1),0)-SUM($C$4:$C147))</f>
        <v>0</v>
      </c>
      <c r="D148" s="702"/>
      <c r="E148" s="702"/>
      <c r="F148" s="300">
        <f t="shared" si="35"/>
        <v>-15000</v>
      </c>
      <c r="G148" s="694"/>
      <c r="H148" s="695"/>
      <c r="I148" s="1314"/>
      <c r="J148" s="1315">
        <f>IF(K$1&gt;0,ROUNDUP(SUM(PROD!AM$5:AM149)/K$1*K$2,0),0)-SUM(J$4:J147)</f>
        <v>0</v>
      </c>
      <c r="K148" s="1316">
        <f t="shared" si="29"/>
        <v>0</v>
      </c>
      <c r="L148" s="1314"/>
      <c r="M148" s="1315">
        <f>IF(N$1&gt;0,ROUNDUP(SUM(PROD!L$5:L149,-PROD!AM$5:AM149,-PROD!AZ$5:AZ149)/N$1*N$2,0),0)-SUM(M$4:M147)</f>
        <v>0</v>
      </c>
      <c r="N148" s="1316">
        <f t="shared" si="30"/>
        <v>0</v>
      </c>
      <c r="O148" s="1317">
        <f t="shared" si="25"/>
        <v>0</v>
      </c>
      <c r="P148" s="1318"/>
      <c r="Q148" s="1319"/>
      <c r="R148" s="1320">
        <f t="shared" si="26"/>
        <v>0</v>
      </c>
      <c r="S148" s="1316">
        <f t="shared" si="27"/>
        <v>0</v>
      </c>
      <c r="T148" s="712"/>
      <c r="U148" s="713"/>
      <c r="V148" s="714"/>
      <c r="W148" s="398">
        <f t="shared" si="36"/>
        <v>0</v>
      </c>
      <c r="X148" s="712"/>
      <c r="Y148" s="713"/>
      <c r="Z148" s="714"/>
      <c r="AA148" s="398">
        <f t="shared" si="31"/>
        <v>0</v>
      </c>
      <c r="AB148" s="712"/>
      <c r="AC148" s="713"/>
      <c r="AD148" s="714"/>
      <c r="AE148" s="398">
        <f t="shared" si="32"/>
        <v>0</v>
      </c>
      <c r="AF148" s="712"/>
      <c r="AG148" s="713"/>
      <c r="AH148" s="714"/>
      <c r="AI148" s="398">
        <f t="shared" si="33"/>
        <v>0</v>
      </c>
      <c r="AJ148" s="712"/>
      <c r="AK148" s="713"/>
      <c r="AL148" s="714"/>
      <c r="AM148" s="398">
        <f t="shared" si="34"/>
        <v>0</v>
      </c>
    </row>
    <row r="149" spans="1:39" ht="15.75" customHeight="1" x14ac:dyDescent="0.3">
      <c r="A149" s="2161"/>
      <c r="B149" s="1313" t="str">
        <f t="shared" si="28"/>
        <v/>
      </c>
      <c r="C149" s="1011">
        <f>IF($D$2="NO",0,ROUNDDOWN(SUM(PROD!$V$5:V150)/IF(Iniciar!$C$25="kilos",40,1),0)-SUM($C$4:$C148))</f>
        <v>0</v>
      </c>
      <c r="D149" s="702"/>
      <c r="E149" s="702"/>
      <c r="F149" s="300">
        <f t="shared" si="35"/>
        <v>-15000</v>
      </c>
      <c r="G149" s="694"/>
      <c r="H149" s="695"/>
      <c r="I149" s="1314"/>
      <c r="J149" s="1315">
        <f>IF(K$1&gt;0,ROUNDUP(SUM(PROD!AM$5:AM150)/K$1*K$2,0),0)-SUM(J$4:J148)</f>
        <v>0</v>
      </c>
      <c r="K149" s="1316">
        <f t="shared" si="29"/>
        <v>0</v>
      </c>
      <c r="L149" s="1314"/>
      <c r="M149" s="1315">
        <f>IF(N$1&gt;0,ROUNDUP(SUM(PROD!L$5:L150,-PROD!AM$5:AM150,-PROD!AZ$5:AZ150)/N$1*N$2,0),0)-SUM(M$4:M148)</f>
        <v>0</v>
      </c>
      <c r="N149" s="1316">
        <f t="shared" si="30"/>
        <v>0</v>
      </c>
      <c r="O149" s="1317">
        <f t="shared" si="25"/>
        <v>0</v>
      </c>
      <c r="P149" s="1318"/>
      <c r="Q149" s="1319"/>
      <c r="R149" s="1320">
        <f t="shared" si="26"/>
        <v>0</v>
      </c>
      <c r="S149" s="1316">
        <f t="shared" si="27"/>
        <v>0</v>
      </c>
      <c r="T149" s="712"/>
      <c r="U149" s="713"/>
      <c r="V149" s="714"/>
      <c r="W149" s="398">
        <f t="shared" si="36"/>
        <v>0</v>
      </c>
      <c r="X149" s="712"/>
      <c r="Y149" s="713"/>
      <c r="Z149" s="714"/>
      <c r="AA149" s="398">
        <f t="shared" si="31"/>
        <v>0</v>
      </c>
      <c r="AB149" s="712"/>
      <c r="AC149" s="713"/>
      <c r="AD149" s="714"/>
      <c r="AE149" s="398">
        <f t="shared" si="32"/>
        <v>0</v>
      </c>
      <c r="AF149" s="712"/>
      <c r="AG149" s="713"/>
      <c r="AH149" s="714"/>
      <c r="AI149" s="398">
        <f t="shared" si="33"/>
        <v>0</v>
      </c>
      <c r="AJ149" s="712"/>
      <c r="AK149" s="713"/>
      <c r="AL149" s="714"/>
      <c r="AM149" s="398">
        <f t="shared" si="34"/>
        <v>0</v>
      </c>
    </row>
    <row r="150" spans="1:39" ht="16.5" customHeight="1" x14ac:dyDescent="0.3">
      <c r="A150" s="2162"/>
      <c r="B150" s="1313" t="str">
        <f t="shared" si="28"/>
        <v/>
      </c>
      <c r="C150" s="1011">
        <f>IF($D$2="NO",0,ROUNDDOWN(SUM(PROD!$V$5:V151)/IF(Iniciar!$C$25="kilos",40,1),0)-SUM($C$4:$C149))</f>
        <v>0</v>
      </c>
      <c r="D150" s="702"/>
      <c r="E150" s="702"/>
      <c r="F150" s="300">
        <f t="shared" si="35"/>
        <v>-15000</v>
      </c>
      <c r="G150" s="694"/>
      <c r="H150" s="695"/>
      <c r="I150" s="1314"/>
      <c r="J150" s="1315">
        <f>IF(K$1&gt;0,ROUNDUP(SUM(PROD!AM$5:AM151)/K$1*K$2,0),0)-SUM(J$4:J149)</f>
        <v>0</v>
      </c>
      <c r="K150" s="1316">
        <f t="shared" si="29"/>
        <v>0</v>
      </c>
      <c r="L150" s="1314"/>
      <c r="M150" s="1315">
        <f>IF(N$1&gt;0,ROUNDUP(SUM(PROD!L$5:L151,-PROD!AM$5:AM151,-PROD!AZ$5:AZ151)/N$1*N$2,0),0)-SUM(M$4:M149)</f>
        <v>0</v>
      </c>
      <c r="N150" s="1316">
        <f t="shared" si="30"/>
        <v>0</v>
      </c>
      <c r="O150" s="1317">
        <f t="shared" si="25"/>
        <v>0</v>
      </c>
      <c r="P150" s="1318"/>
      <c r="Q150" s="1319"/>
      <c r="R150" s="1320">
        <f t="shared" si="26"/>
        <v>0</v>
      </c>
      <c r="S150" s="1316">
        <f t="shared" si="27"/>
        <v>0</v>
      </c>
      <c r="T150" s="712"/>
      <c r="U150" s="713"/>
      <c r="V150" s="714"/>
      <c r="W150" s="398">
        <f t="shared" si="36"/>
        <v>0</v>
      </c>
      <c r="X150" s="712"/>
      <c r="Y150" s="713"/>
      <c r="Z150" s="714"/>
      <c r="AA150" s="398">
        <f t="shared" si="31"/>
        <v>0</v>
      </c>
      <c r="AB150" s="712"/>
      <c r="AC150" s="713"/>
      <c r="AD150" s="714"/>
      <c r="AE150" s="398">
        <f t="shared" si="32"/>
        <v>0</v>
      </c>
      <c r="AF150" s="712"/>
      <c r="AG150" s="713"/>
      <c r="AH150" s="714"/>
      <c r="AI150" s="398">
        <f t="shared" si="33"/>
        <v>0</v>
      </c>
      <c r="AJ150" s="712"/>
      <c r="AK150" s="713"/>
      <c r="AL150" s="714"/>
      <c r="AM150" s="398">
        <f t="shared" si="34"/>
        <v>0</v>
      </c>
    </row>
    <row r="151" spans="1:39" ht="16.5" customHeight="1" x14ac:dyDescent="0.3">
      <c r="A151" s="2160">
        <f>A144+1</f>
        <v>39</v>
      </c>
      <c r="B151" s="1313" t="str">
        <f t="shared" si="28"/>
        <v/>
      </c>
      <c r="C151" s="1011">
        <f>IF($D$2="NO",0,ROUNDDOWN(SUM(PROD!$V$5:V152)/IF(Iniciar!$C$25="kilos",40,1),0)-SUM($C$4:$C150))</f>
        <v>0</v>
      </c>
      <c r="D151" s="702"/>
      <c r="E151" s="702"/>
      <c r="F151" s="300">
        <f t="shared" si="35"/>
        <v>-15000</v>
      </c>
      <c r="G151" s="694"/>
      <c r="H151" s="695"/>
      <c r="I151" s="1314"/>
      <c r="J151" s="1315">
        <f>IF(K$1&gt;0,ROUNDUP(SUM(PROD!AM$5:AM152)/K$1*K$2,0),0)-SUM(J$4:J150)</f>
        <v>0</v>
      </c>
      <c r="K151" s="1316">
        <f t="shared" si="29"/>
        <v>0</v>
      </c>
      <c r="L151" s="1314"/>
      <c r="M151" s="1315">
        <f>IF(N$1&gt;0,ROUNDUP(SUM(PROD!L$5:L152,-PROD!AM$5:AM152,-PROD!AZ$5:AZ152)/N$1*N$2,0),0)-SUM(M$4:M150)</f>
        <v>0</v>
      </c>
      <c r="N151" s="1316">
        <f t="shared" si="30"/>
        <v>0</v>
      </c>
      <c r="O151" s="1317">
        <f t="shared" si="25"/>
        <v>0</v>
      </c>
      <c r="P151" s="1318"/>
      <c r="Q151" s="1319"/>
      <c r="R151" s="1320">
        <f t="shared" si="26"/>
        <v>0</v>
      </c>
      <c r="S151" s="1316">
        <f t="shared" si="27"/>
        <v>0</v>
      </c>
      <c r="T151" s="712"/>
      <c r="U151" s="713"/>
      <c r="V151" s="714"/>
      <c r="W151" s="398">
        <f t="shared" si="36"/>
        <v>0</v>
      </c>
      <c r="X151" s="712"/>
      <c r="Y151" s="713"/>
      <c r="Z151" s="714"/>
      <c r="AA151" s="398">
        <f t="shared" si="31"/>
        <v>0</v>
      </c>
      <c r="AB151" s="712"/>
      <c r="AC151" s="713"/>
      <c r="AD151" s="714"/>
      <c r="AE151" s="398">
        <f t="shared" si="32"/>
        <v>0</v>
      </c>
      <c r="AF151" s="712"/>
      <c r="AG151" s="713"/>
      <c r="AH151" s="714"/>
      <c r="AI151" s="398">
        <f t="shared" si="33"/>
        <v>0</v>
      </c>
      <c r="AJ151" s="712"/>
      <c r="AK151" s="713"/>
      <c r="AL151" s="714"/>
      <c r="AM151" s="398">
        <f t="shared" si="34"/>
        <v>0</v>
      </c>
    </row>
    <row r="152" spans="1:39" ht="15.75" customHeight="1" x14ac:dyDescent="0.3">
      <c r="A152" s="2161"/>
      <c r="B152" s="1313" t="str">
        <f t="shared" si="28"/>
        <v/>
      </c>
      <c r="C152" s="1011">
        <f>IF($D$2="NO",0,ROUNDDOWN(SUM(PROD!$V$5:V153)/IF(Iniciar!$C$25="kilos",40,1),0)-SUM($C$4:$C151))</f>
        <v>0</v>
      </c>
      <c r="D152" s="702"/>
      <c r="E152" s="702"/>
      <c r="F152" s="300">
        <f t="shared" si="35"/>
        <v>-15000</v>
      </c>
      <c r="G152" s="694"/>
      <c r="H152" s="695"/>
      <c r="I152" s="1314"/>
      <c r="J152" s="1315">
        <f>IF(K$1&gt;0,ROUNDUP(SUM(PROD!AM$5:AM153)/K$1*K$2,0),0)-SUM(J$4:J151)</f>
        <v>0</v>
      </c>
      <c r="K152" s="1316">
        <f t="shared" si="29"/>
        <v>0</v>
      </c>
      <c r="L152" s="1314"/>
      <c r="M152" s="1315">
        <f>IF(N$1&gt;0,ROUNDUP(SUM(PROD!L$5:L153,-PROD!AM$5:AM153,-PROD!AZ$5:AZ153)/N$1*N$2,0),0)-SUM(M$4:M151)</f>
        <v>0</v>
      </c>
      <c r="N152" s="1316">
        <f t="shared" si="30"/>
        <v>0</v>
      </c>
      <c r="O152" s="1317">
        <f t="shared" si="25"/>
        <v>0</v>
      </c>
      <c r="P152" s="1318"/>
      <c r="Q152" s="1319"/>
      <c r="R152" s="1320">
        <f t="shared" si="26"/>
        <v>0</v>
      </c>
      <c r="S152" s="1316">
        <f t="shared" si="27"/>
        <v>0</v>
      </c>
      <c r="T152" s="712"/>
      <c r="U152" s="713"/>
      <c r="V152" s="714"/>
      <c r="W152" s="398">
        <f t="shared" si="36"/>
        <v>0</v>
      </c>
      <c r="X152" s="712"/>
      <c r="Y152" s="713"/>
      <c r="Z152" s="714"/>
      <c r="AA152" s="398">
        <f t="shared" si="31"/>
        <v>0</v>
      </c>
      <c r="AB152" s="712"/>
      <c r="AC152" s="713"/>
      <c r="AD152" s="714"/>
      <c r="AE152" s="398">
        <f t="shared" si="32"/>
        <v>0</v>
      </c>
      <c r="AF152" s="712"/>
      <c r="AG152" s="713"/>
      <c r="AH152" s="714"/>
      <c r="AI152" s="398">
        <f t="shared" si="33"/>
        <v>0</v>
      </c>
      <c r="AJ152" s="712"/>
      <c r="AK152" s="713"/>
      <c r="AL152" s="714"/>
      <c r="AM152" s="398">
        <f t="shared" si="34"/>
        <v>0</v>
      </c>
    </row>
    <row r="153" spans="1:39" ht="15.75" customHeight="1" x14ac:dyDescent="0.3">
      <c r="A153" s="2161"/>
      <c r="B153" s="1313" t="str">
        <f t="shared" si="28"/>
        <v/>
      </c>
      <c r="C153" s="1011">
        <f>IF($D$2="NO",0,ROUNDDOWN(SUM(PROD!$V$5:V154)/IF(Iniciar!$C$25="kilos",40,1),0)-SUM($C$4:$C152))</f>
        <v>0</v>
      </c>
      <c r="D153" s="702"/>
      <c r="E153" s="702"/>
      <c r="F153" s="300">
        <f t="shared" si="35"/>
        <v>-15000</v>
      </c>
      <c r="G153" s="694"/>
      <c r="H153" s="695"/>
      <c r="I153" s="1314"/>
      <c r="J153" s="1315">
        <f>IF(K$1&gt;0,ROUNDUP(SUM(PROD!AM$5:AM154)/K$1*K$2,0),0)-SUM(J$4:J152)</f>
        <v>0</v>
      </c>
      <c r="K153" s="1316">
        <f t="shared" si="29"/>
        <v>0</v>
      </c>
      <c r="L153" s="1314"/>
      <c r="M153" s="1315">
        <f>IF(N$1&gt;0,ROUNDUP(SUM(PROD!L$5:L154,-PROD!AM$5:AM154,-PROD!AZ$5:AZ154)/N$1*N$2,0),0)-SUM(M$4:M152)</f>
        <v>0</v>
      </c>
      <c r="N153" s="1316">
        <f t="shared" si="30"/>
        <v>0</v>
      </c>
      <c r="O153" s="1317">
        <f t="shared" si="25"/>
        <v>0</v>
      </c>
      <c r="P153" s="1318"/>
      <c r="Q153" s="1319"/>
      <c r="R153" s="1320">
        <f t="shared" si="26"/>
        <v>0</v>
      </c>
      <c r="S153" s="1316">
        <f t="shared" si="27"/>
        <v>0</v>
      </c>
      <c r="T153" s="712"/>
      <c r="U153" s="713"/>
      <c r="V153" s="714"/>
      <c r="W153" s="398">
        <f t="shared" si="36"/>
        <v>0</v>
      </c>
      <c r="X153" s="712"/>
      <c r="Y153" s="713"/>
      <c r="Z153" s="714"/>
      <c r="AA153" s="398">
        <f t="shared" si="31"/>
        <v>0</v>
      </c>
      <c r="AB153" s="712"/>
      <c r="AC153" s="713"/>
      <c r="AD153" s="714"/>
      <c r="AE153" s="398">
        <f t="shared" si="32"/>
        <v>0</v>
      </c>
      <c r="AF153" s="712"/>
      <c r="AG153" s="713"/>
      <c r="AH153" s="714"/>
      <c r="AI153" s="398">
        <f t="shared" si="33"/>
        <v>0</v>
      </c>
      <c r="AJ153" s="712"/>
      <c r="AK153" s="713"/>
      <c r="AL153" s="714"/>
      <c r="AM153" s="398">
        <f t="shared" si="34"/>
        <v>0</v>
      </c>
    </row>
    <row r="154" spans="1:39" ht="15.75" customHeight="1" x14ac:dyDescent="0.3">
      <c r="A154" s="2161"/>
      <c r="B154" s="1313" t="str">
        <f t="shared" si="28"/>
        <v/>
      </c>
      <c r="C154" s="1011">
        <f>IF($D$2="NO",0,ROUNDDOWN(SUM(PROD!$V$5:V155)/IF(Iniciar!$C$25="kilos",40,1),0)-SUM($C$4:$C153))</f>
        <v>0</v>
      </c>
      <c r="D154" s="702"/>
      <c r="E154" s="702"/>
      <c r="F154" s="300">
        <f t="shared" si="35"/>
        <v>-15000</v>
      </c>
      <c r="G154" s="694"/>
      <c r="H154" s="695"/>
      <c r="I154" s="1314"/>
      <c r="J154" s="1315">
        <f>IF(K$1&gt;0,ROUNDUP(SUM(PROD!AM$5:AM155)/K$1*K$2,0),0)-SUM(J$4:J153)</f>
        <v>0</v>
      </c>
      <c r="K154" s="1316">
        <f t="shared" si="29"/>
        <v>0</v>
      </c>
      <c r="L154" s="1314"/>
      <c r="M154" s="1315">
        <f>IF(N$1&gt;0,ROUNDUP(SUM(PROD!L$5:L155,-PROD!AM$5:AM155,-PROD!AZ$5:AZ155)/N$1*N$2,0),0)-SUM(M$4:M153)</f>
        <v>0</v>
      </c>
      <c r="N154" s="1316">
        <f t="shared" si="30"/>
        <v>0</v>
      </c>
      <c r="O154" s="1317">
        <f t="shared" si="25"/>
        <v>0</v>
      </c>
      <c r="P154" s="1318"/>
      <c r="Q154" s="1319"/>
      <c r="R154" s="1320">
        <f t="shared" si="26"/>
        <v>0</v>
      </c>
      <c r="S154" s="1316">
        <f t="shared" si="27"/>
        <v>0</v>
      </c>
      <c r="T154" s="712"/>
      <c r="U154" s="713"/>
      <c r="V154" s="714"/>
      <c r="W154" s="398">
        <f t="shared" si="36"/>
        <v>0</v>
      </c>
      <c r="X154" s="712"/>
      <c r="Y154" s="713"/>
      <c r="Z154" s="714"/>
      <c r="AA154" s="398">
        <f t="shared" si="31"/>
        <v>0</v>
      </c>
      <c r="AB154" s="712"/>
      <c r="AC154" s="713"/>
      <c r="AD154" s="714"/>
      <c r="AE154" s="398">
        <f t="shared" si="32"/>
        <v>0</v>
      </c>
      <c r="AF154" s="712"/>
      <c r="AG154" s="713"/>
      <c r="AH154" s="714"/>
      <c r="AI154" s="398">
        <f t="shared" si="33"/>
        <v>0</v>
      </c>
      <c r="AJ154" s="712"/>
      <c r="AK154" s="713"/>
      <c r="AL154" s="714"/>
      <c r="AM154" s="398">
        <f t="shared" si="34"/>
        <v>0</v>
      </c>
    </row>
    <row r="155" spans="1:39" ht="15.75" customHeight="1" x14ac:dyDescent="0.3">
      <c r="A155" s="2161"/>
      <c r="B155" s="1313" t="str">
        <f t="shared" si="28"/>
        <v/>
      </c>
      <c r="C155" s="1011">
        <f>IF($D$2="NO",0,ROUNDDOWN(SUM(PROD!$V$5:V156)/IF(Iniciar!$C$25="kilos",40,1),0)-SUM($C$4:$C154))</f>
        <v>0</v>
      </c>
      <c r="D155" s="702"/>
      <c r="E155" s="702"/>
      <c r="F155" s="300">
        <f t="shared" si="35"/>
        <v>-15000</v>
      </c>
      <c r="G155" s="694"/>
      <c r="H155" s="695"/>
      <c r="I155" s="1314"/>
      <c r="J155" s="1315">
        <f>IF(K$1&gt;0,ROUNDUP(SUM(PROD!AM$5:AM156)/K$1*K$2,0),0)-SUM(J$4:J154)</f>
        <v>0</v>
      </c>
      <c r="K155" s="1316">
        <f t="shared" si="29"/>
        <v>0</v>
      </c>
      <c r="L155" s="1314"/>
      <c r="M155" s="1315">
        <f>IF(N$1&gt;0,ROUNDUP(SUM(PROD!L$5:L156,-PROD!AM$5:AM156,-PROD!AZ$5:AZ156)/N$1*N$2,0),0)-SUM(M$4:M154)</f>
        <v>0</v>
      </c>
      <c r="N155" s="1316">
        <f t="shared" si="30"/>
        <v>0</v>
      </c>
      <c r="O155" s="1317">
        <f t="shared" si="25"/>
        <v>0</v>
      </c>
      <c r="P155" s="1318"/>
      <c r="Q155" s="1319"/>
      <c r="R155" s="1320">
        <f t="shared" si="26"/>
        <v>0</v>
      </c>
      <c r="S155" s="1316">
        <f t="shared" si="27"/>
        <v>0</v>
      </c>
      <c r="T155" s="712"/>
      <c r="U155" s="713"/>
      <c r="V155" s="714"/>
      <c r="W155" s="398">
        <f t="shared" si="36"/>
        <v>0</v>
      </c>
      <c r="X155" s="712"/>
      <c r="Y155" s="713"/>
      <c r="Z155" s="714"/>
      <c r="AA155" s="398">
        <f t="shared" si="31"/>
        <v>0</v>
      </c>
      <c r="AB155" s="712"/>
      <c r="AC155" s="713"/>
      <c r="AD155" s="714"/>
      <c r="AE155" s="398">
        <f t="shared" si="32"/>
        <v>0</v>
      </c>
      <c r="AF155" s="712"/>
      <c r="AG155" s="713"/>
      <c r="AH155" s="714"/>
      <c r="AI155" s="398">
        <f t="shared" si="33"/>
        <v>0</v>
      </c>
      <c r="AJ155" s="712"/>
      <c r="AK155" s="713"/>
      <c r="AL155" s="714"/>
      <c r="AM155" s="398">
        <f t="shared" si="34"/>
        <v>0</v>
      </c>
    </row>
    <row r="156" spans="1:39" ht="15.75" customHeight="1" x14ac:dyDescent="0.3">
      <c r="A156" s="2161"/>
      <c r="B156" s="1313" t="str">
        <f t="shared" si="28"/>
        <v/>
      </c>
      <c r="C156" s="1011">
        <f>IF($D$2="NO",0,ROUNDDOWN(SUM(PROD!$V$5:V157)/IF(Iniciar!$C$25="kilos",40,1),0)-SUM($C$4:$C155))</f>
        <v>0</v>
      </c>
      <c r="D156" s="702"/>
      <c r="E156" s="702"/>
      <c r="F156" s="300">
        <f t="shared" si="35"/>
        <v>-15000</v>
      </c>
      <c r="G156" s="694"/>
      <c r="H156" s="695"/>
      <c r="I156" s="1314"/>
      <c r="J156" s="1315">
        <f>IF(K$1&gt;0,ROUNDUP(SUM(PROD!AM$5:AM157)/K$1*K$2,0),0)-SUM(J$4:J155)</f>
        <v>0</v>
      </c>
      <c r="K156" s="1316">
        <f t="shared" si="29"/>
        <v>0</v>
      </c>
      <c r="L156" s="1314"/>
      <c r="M156" s="1315">
        <f>IF(N$1&gt;0,ROUNDUP(SUM(PROD!L$5:L157,-PROD!AM$5:AM157,-PROD!AZ$5:AZ157)/N$1*N$2,0),0)-SUM(M$4:M155)</f>
        <v>0</v>
      </c>
      <c r="N156" s="1316">
        <f t="shared" si="30"/>
        <v>0</v>
      </c>
      <c r="O156" s="1317">
        <f t="shared" si="25"/>
        <v>0</v>
      </c>
      <c r="P156" s="1318"/>
      <c r="Q156" s="1319"/>
      <c r="R156" s="1320">
        <f t="shared" si="26"/>
        <v>0</v>
      </c>
      <c r="S156" s="1316">
        <f t="shared" si="27"/>
        <v>0</v>
      </c>
      <c r="T156" s="712"/>
      <c r="U156" s="713"/>
      <c r="V156" s="714"/>
      <c r="W156" s="398">
        <f t="shared" si="36"/>
        <v>0</v>
      </c>
      <c r="X156" s="712"/>
      <c r="Y156" s="713"/>
      <c r="Z156" s="714"/>
      <c r="AA156" s="398">
        <f t="shared" si="31"/>
        <v>0</v>
      </c>
      <c r="AB156" s="712"/>
      <c r="AC156" s="713"/>
      <c r="AD156" s="714"/>
      <c r="AE156" s="398">
        <f t="shared" si="32"/>
        <v>0</v>
      </c>
      <c r="AF156" s="712"/>
      <c r="AG156" s="713"/>
      <c r="AH156" s="714"/>
      <c r="AI156" s="398">
        <f t="shared" si="33"/>
        <v>0</v>
      </c>
      <c r="AJ156" s="712"/>
      <c r="AK156" s="713"/>
      <c r="AL156" s="714"/>
      <c r="AM156" s="398">
        <f t="shared" si="34"/>
        <v>0</v>
      </c>
    </row>
    <row r="157" spans="1:39" ht="16.5" customHeight="1" x14ac:dyDescent="0.3">
      <c r="A157" s="2162"/>
      <c r="B157" s="1313" t="str">
        <f t="shared" si="28"/>
        <v/>
      </c>
      <c r="C157" s="1011">
        <f>IF($D$2="NO",0,ROUNDDOWN(SUM(PROD!$V$5:V158)/IF(Iniciar!$C$25="kilos",40,1),0)-SUM($C$4:$C156))</f>
        <v>0</v>
      </c>
      <c r="D157" s="702"/>
      <c r="E157" s="702"/>
      <c r="F157" s="300">
        <f t="shared" si="35"/>
        <v>-15000</v>
      </c>
      <c r="G157" s="694"/>
      <c r="H157" s="695"/>
      <c r="I157" s="1314"/>
      <c r="J157" s="1315">
        <f>IF(K$1&gt;0,ROUNDUP(SUM(PROD!AM$5:AM158)/K$1*K$2,0),0)-SUM(J$4:J156)</f>
        <v>0</v>
      </c>
      <c r="K157" s="1316">
        <f t="shared" si="29"/>
        <v>0</v>
      </c>
      <c r="L157" s="1314"/>
      <c r="M157" s="1315">
        <f>IF(N$1&gt;0,ROUNDUP(SUM(PROD!L$5:L158,-PROD!AM$5:AM158,-PROD!AZ$5:AZ158)/N$1*N$2,0),0)-SUM(M$4:M156)</f>
        <v>0</v>
      </c>
      <c r="N157" s="1316">
        <f t="shared" si="30"/>
        <v>0</v>
      </c>
      <c r="O157" s="1317">
        <f t="shared" si="25"/>
        <v>0</v>
      </c>
      <c r="P157" s="1318"/>
      <c r="Q157" s="1319"/>
      <c r="R157" s="1320">
        <f t="shared" si="26"/>
        <v>0</v>
      </c>
      <c r="S157" s="1316">
        <f t="shared" si="27"/>
        <v>0</v>
      </c>
      <c r="T157" s="712"/>
      <c r="U157" s="713"/>
      <c r="V157" s="714"/>
      <c r="W157" s="398">
        <f t="shared" si="36"/>
        <v>0</v>
      </c>
      <c r="X157" s="712"/>
      <c r="Y157" s="713"/>
      <c r="Z157" s="714"/>
      <c r="AA157" s="398">
        <f t="shared" si="31"/>
        <v>0</v>
      </c>
      <c r="AB157" s="712"/>
      <c r="AC157" s="713"/>
      <c r="AD157" s="714"/>
      <c r="AE157" s="398">
        <f t="shared" si="32"/>
        <v>0</v>
      </c>
      <c r="AF157" s="712"/>
      <c r="AG157" s="713"/>
      <c r="AH157" s="714"/>
      <c r="AI157" s="398">
        <f t="shared" si="33"/>
        <v>0</v>
      </c>
      <c r="AJ157" s="712"/>
      <c r="AK157" s="713"/>
      <c r="AL157" s="714"/>
      <c r="AM157" s="398">
        <f t="shared" si="34"/>
        <v>0</v>
      </c>
    </row>
    <row r="158" spans="1:39" ht="16.5" customHeight="1" x14ac:dyDescent="0.3">
      <c r="A158" s="2160">
        <f>A151+1</f>
        <v>40</v>
      </c>
      <c r="B158" s="1313" t="str">
        <f t="shared" si="28"/>
        <v/>
      </c>
      <c r="C158" s="1011">
        <f>IF($D$2="NO",0,ROUNDDOWN(SUM(PROD!$V$5:V159)/IF(Iniciar!$C$25="kilos",40,1),0)-SUM($C$4:$C157))</f>
        <v>0</v>
      </c>
      <c r="D158" s="702"/>
      <c r="E158" s="702"/>
      <c r="F158" s="300">
        <f t="shared" si="35"/>
        <v>-15000</v>
      </c>
      <c r="G158" s="694"/>
      <c r="H158" s="695"/>
      <c r="I158" s="1314"/>
      <c r="J158" s="1315">
        <f>IF(K$1&gt;0,ROUNDUP(SUM(PROD!AM$5:AM159)/K$1*K$2,0),0)-SUM(J$4:J157)</f>
        <v>0</v>
      </c>
      <c r="K158" s="1316">
        <f t="shared" si="29"/>
        <v>0</v>
      </c>
      <c r="L158" s="1314"/>
      <c r="M158" s="1315">
        <f>IF(N$1&gt;0,ROUNDUP(SUM(PROD!L$5:L159,-PROD!AM$5:AM159,-PROD!AZ$5:AZ159)/N$1*N$2,0),0)-SUM(M$4:M157)</f>
        <v>0</v>
      </c>
      <c r="N158" s="1316">
        <f t="shared" si="30"/>
        <v>0</v>
      </c>
      <c r="O158" s="1317">
        <f t="shared" si="25"/>
        <v>0</v>
      </c>
      <c r="P158" s="1318"/>
      <c r="Q158" s="1319"/>
      <c r="R158" s="1320">
        <f t="shared" si="26"/>
        <v>0</v>
      </c>
      <c r="S158" s="1316">
        <f t="shared" si="27"/>
        <v>0</v>
      </c>
      <c r="T158" s="712"/>
      <c r="U158" s="713"/>
      <c r="V158" s="714"/>
      <c r="W158" s="398">
        <f t="shared" si="36"/>
        <v>0</v>
      </c>
      <c r="X158" s="712"/>
      <c r="Y158" s="713"/>
      <c r="Z158" s="714"/>
      <c r="AA158" s="398">
        <f t="shared" si="31"/>
        <v>0</v>
      </c>
      <c r="AB158" s="712"/>
      <c r="AC158" s="713"/>
      <c r="AD158" s="714"/>
      <c r="AE158" s="398">
        <f t="shared" si="32"/>
        <v>0</v>
      </c>
      <c r="AF158" s="712"/>
      <c r="AG158" s="713"/>
      <c r="AH158" s="714"/>
      <c r="AI158" s="398">
        <f t="shared" si="33"/>
        <v>0</v>
      </c>
      <c r="AJ158" s="712"/>
      <c r="AK158" s="713"/>
      <c r="AL158" s="714"/>
      <c r="AM158" s="398">
        <f t="shared" si="34"/>
        <v>0</v>
      </c>
    </row>
    <row r="159" spans="1:39" ht="15.75" customHeight="1" x14ac:dyDescent="0.3">
      <c r="A159" s="2161"/>
      <c r="B159" s="1313" t="str">
        <f t="shared" si="28"/>
        <v/>
      </c>
      <c r="C159" s="1011">
        <f>IF($D$2="NO",0,ROUNDDOWN(SUM(PROD!$V$5:V160)/IF(Iniciar!$C$25="kilos",40,1),0)-SUM($C$4:$C158))</f>
        <v>0</v>
      </c>
      <c r="D159" s="702"/>
      <c r="E159" s="702"/>
      <c r="F159" s="300">
        <f t="shared" si="35"/>
        <v>-15000</v>
      </c>
      <c r="G159" s="694"/>
      <c r="H159" s="695"/>
      <c r="I159" s="1314"/>
      <c r="J159" s="1315">
        <f>IF(K$1&gt;0,ROUNDUP(SUM(PROD!AM$5:AM160)/K$1*K$2,0),0)-SUM(J$4:J158)</f>
        <v>0</v>
      </c>
      <c r="K159" s="1316">
        <f t="shared" si="29"/>
        <v>0</v>
      </c>
      <c r="L159" s="1314"/>
      <c r="M159" s="1315">
        <f>IF(N$1&gt;0,ROUNDUP(SUM(PROD!L$5:L160,-PROD!AM$5:AM160,-PROD!AZ$5:AZ160)/N$1*N$2,0),0)-SUM(M$4:M158)</f>
        <v>0</v>
      </c>
      <c r="N159" s="1316">
        <f t="shared" si="30"/>
        <v>0</v>
      </c>
      <c r="O159" s="1317">
        <f t="shared" si="25"/>
        <v>0</v>
      </c>
      <c r="P159" s="1318"/>
      <c r="Q159" s="1319"/>
      <c r="R159" s="1320">
        <f t="shared" si="26"/>
        <v>0</v>
      </c>
      <c r="S159" s="1316">
        <f t="shared" si="27"/>
        <v>0</v>
      </c>
      <c r="T159" s="712"/>
      <c r="U159" s="713"/>
      <c r="V159" s="714"/>
      <c r="W159" s="398">
        <f t="shared" si="36"/>
        <v>0</v>
      </c>
      <c r="X159" s="712"/>
      <c r="Y159" s="713"/>
      <c r="Z159" s="714"/>
      <c r="AA159" s="398">
        <f t="shared" si="31"/>
        <v>0</v>
      </c>
      <c r="AB159" s="712"/>
      <c r="AC159" s="713"/>
      <c r="AD159" s="714"/>
      <c r="AE159" s="398">
        <f t="shared" si="32"/>
        <v>0</v>
      </c>
      <c r="AF159" s="712"/>
      <c r="AG159" s="713"/>
      <c r="AH159" s="714"/>
      <c r="AI159" s="398">
        <f t="shared" si="33"/>
        <v>0</v>
      </c>
      <c r="AJ159" s="712"/>
      <c r="AK159" s="713"/>
      <c r="AL159" s="714"/>
      <c r="AM159" s="398">
        <f t="shared" si="34"/>
        <v>0</v>
      </c>
    </row>
    <row r="160" spans="1:39" ht="15.75" customHeight="1" x14ac:dyDescent="0.3">
      <c r="A160" s="2161"/>
      <c r="B160" s="1313" t="str">
        <f t="shared" si="28"/>
        <v/>
      </c>
      <c r="C160" s="1011">
        <f>IF($D$2="NO",0,ROUNDDOWN(SUM(PROD!$V$5:V161)/IF(Iniciar!$C$25="kilos",40,1),0)-SUM($C$4:$C159))</f>
        <v>0</v>
      </c>
      <c r="D160" s="702"/>
      <c r="E160" s="702"/>
      <c r="F160" s="300">
        <f t="shared" si="35"/>
        <v>-15000</v>
      </c>
      <c r="G160" s="694"/>
      <c r="H160" s="695"/>
      <c r="I160" s="1314"/>
      <c r="J160" s="1315">
        <f>IF(K$1&gt;0,ROUNDUP(SUM(PROD!AM$5:AM161)/K$1*K$2,0),0)-SUM(J$4:J159)</f>
        <v>0</v>
      </c>
      <c r="K160" s="1316">
        <f t="shared" si="29"/>
        <v>0</v>
      </c>
      <c r="L160" s="1314"/>
      <c r="M160" s="1315">
        <f>IF(N$1&gt;0,ROUNDUP(SUM(PROD!L$5:L161,-PROD!AM$5:AM161,-PROD!AZ$5:AZ161)/N$1*N$2,0),0)-SUM(M$4:M159)</f>
        <v>0</v>
      </c>
      <c r="N160" s="1316">
        <f t="shared" si="30"/>
        <v>0</v>
      </c>
      <c r="O160" s="1317">
        <f t="shared" si="25"/>
        <v>0</v>
      </c>
      <c r="P160" s="1318"/>
      <c r="Q160" s="1319"/>
      <c r="R160" s="1320">
        <f t="shared" si="26"/>
        <v>0</v>
      </c>
      <c r="S160" s="1316">
        <f t="shared" si="27"/>
        <v>0</v>
      </c>
      <c r="T160" s="712"/>
      <c r="U160" s="713"/>
      <c r="V160" s="714"/>
      <c r="W160" s="398">
        <f t="shared" si="36"/>
        <v>0</v>
      </c>
      <c r="X160" s="712"/>
      <c r="Y160" s="713"/>
      <c r="Z160" s="714"/>
      <c r="AA160" s="398">
        <f t="shared" si="31"/>
        <v>0</v>
      </c>
      <c r="AB160" s="712"/>
      <c r="AC160" s="713"/>
      <c r="AD160" s="714"/>
      <c r="AE160" s="398">
        <f t="shared" si="32"/>
        <v>0</v>
      </c>
      <c r="AF160" s="712"/>
      <c r="AG160" s="713"/>
      <c r="AH160" s="714"/>
      <c r="AI160" s="398">
        <f t="shared" si="33"/>
        <v>0</v>
      </c>
      <c r="AJ160" s="712"/>
      <c r="AK160" s="713"/>
      <c r="AL160" s="714"/>
      <c r="AM160" s="398">
        <f t="shared" si="34"/>
        <v>0</v>
      </c>
    </row>
    <row r="161" spans="1:39" ht="15.75" customHeight="1" x14ac:dyDescent="0.3">
      <c r="A161" s="2161"/>
      <c r="B161" s="1313" t="str">
        <f t="shared" si="28"/>
        <v/>
      </c>
      <c r="C161" s="1011">
        <f>IF($D$2="NO",0,ROUNDDOWN(SUM(PROD!$V$5:V162)/IF(Iniciar!$C$25="kilos",40,1),0)-SUM($C$4:$C160))</f>
        <v>0</v>
      </c>
      <c r="D161" s="702"/>
      <c r="E161" s="702"/>
      <c r="F161" s="300">
        <f t="shared" si="35"/>
        <v>-15000</v>
      </c>
      <c r="G161" s="694"/>
      <c r="H161" s="695"/>
      <c r="I161" s="1314"/>
      <c r="J161" s="1315">
        <f>IF(K$1&gt;0,ROUNDUP(SUM(PROD!AM$5:AM162)/K$1*K$2,0),0)-SUM(J$4:J160)</f>
        <v>0</v>
      </c>
      <c r="K161" s="1316">
        <f t="shared" si="29"/>
        <v>0</v>
      </c>
      <c r="L161" s="1314"/>
      <c r="M161" s="1315">
        <f>IF(N$1&gt;0,ROUNDUP(SUM(PROD!L$5:L162,-PROD!AM$5:AM162,-PROD!AZ$5:AZ162)/N$1*N$2,0),0)-SUM(M$4:M160)</f>
        <v>0</v>
      </c>
      <c r="N161" s="1316">
        <f t="shared" si="30"/>
        <v>0</v>
      </c>
      <c r="O161" s="1317">
        <f t="shared" si="25"/>
        <v>0</v>
      </c>
      <c r="P161" s="1318"/>
      <c r="Q161" s="1319"/>
      <c r="R161" s="1320">
        <f t="shared" si="26"/>
        <v>0</v>
      </c>
      <c r="S161" s="1316">
        <f t="shared" si="27"/>
        <v>0</v>
      </c>
      <c r="T161" s="712"/>
      <c r="U161" s="713"/>
      <c r="V161" s="714"/>
      <c r="W161" s="398">
        <f t="shared" si="36"/>
        <v>0</v>
      </c>
      <c r="X161" s="712"/>
      <c r="Y161" s="713"/>
      <c r="Z161" s="714"/>
      <c r="AA161" s="398">
        <f t="shared" si="31"/>
        <v>0</v>
      </c>
      <c r="AB161" s="712"/>
      <c r="AC161" s="713"/>
      <c r="AD161" s="714"/>
      <c r="AE161" s="398">
        <f t="shared" si="32"/>
        <v>0</v>
      </c>
      <c r="AF161" s="712"/>
      <c r="AG161" s="713"/>
      <c r="AH161" s="714"/>
      <c r="AI161" s="398">
        <f t="shared" si="33"/>
        <v>0</v>
      </c>
      <c r="AJ161" s="712"/>
      <c r="AK161" s="713"/>
      <c r="AL161" s="714"/>
      <c r="AM161" s="398">
        <f t="shared" si="34"/>
        <v>0</v>
      </c>
    </row>
    <row r="162" spans="1:39" ht="15.75" customHeight="1" x14ac:dyDescent="0.3">
      <c r="A162" s="2161"/>
      <c r="B162" s="1313" t="str">
        <f t="shared" si="28"/>
        <v/>
      </c>
      <c r="C162" s="1011">
        <f>IF($D$2="NO",0,ROUNDDOWN(SUM(PROD!$V$5:V163)/IF(Iniciar!$C$25="kilos",40,1),0)-SUM($C$4:$C161))</f>
        <v>0</v>
      </c>
      <c r="D162" s="702"/>
      <c r="E162" s="702"/>
      <c r="F162" s="300">
        <f t="shared" si="35"/>
        <v>-15000</v>
      </c>
      <c r="G162" s="694"/>
      <c r="H162" s="695"/>
      <c r="I162" s="1314"/>
      <c r="J162" s="1315">
        <f>IF(K$1&gt;0,ROUNDUP(SUM(PROD!AM$5:AM163)/K$1*K$2,0),0)-SUM(J$4:J161)</f>
        <v>0</v>
      </c>
      <c r="K162" s="1316">
        <f t="shared" si="29"/>
        <v>0</v>
      </c>
      <c r="L162" s="1314"/>
      <c r="M162" s="1315">
        <f>IF(N$1&gt;0,ROUNDUP(SUM(PROD!L$5:L163,-PROD!AM$5:AM163,-PROD!AZ$5:AZ163)/N$1*N$2,0),0)-SUM(M$4:M161)</f>
        <v>0</v>
      </c>
      <c r="N162" s="1316">
        <f t="shared" si="30"/>
        <v>0</v>
      </c>
      <c r="O162" s="1317">
        <f t="shared" si="25"/>
        <v>0</v>
      </c>
      <c r="P162" s="1318"/>
      <c r="Q162" s="1319"/>
      <c r="R162" s="1320">
        <f t="shared" si="26"/>
        <v>0</v>
      </c>
      <c r="S162" s="1316">
        <f t="shared" si="27"/>
        <v>0</v>
      </c>
      <c r="T162" s="712"/>
      <c r="U162" s="713"/>
      <c r="V162" s="714"/>
      <c r="W162" s="398">
        <f t="shared" si="36"/>
        <v>0</v>
      </c>
      <c r="X162" s="712"/>
      <c r="Y162" s="713"/>
      <c r="Z162" s="714"/>
      <c r="AA162" s="398">
        <f t="shared" si="31"/>
        <v>0</v>
      </c>
      <c r="AB162" s="712"/>
      <c r="AC162" s="713"/>
      <c r="AD162" s="714"/>
      <c r="AE162" s="398">
        <f t="shared" si="32"/>
        <v>0</v>
      </c>
      <c r="AF162" s="712"/>
      <c r="AG162" s="713"/>
      <c r="AH162" s="714"/>
      <c r="AI162" s="398">
        <f t="shared" si="33"/>
        <v>0</v>
      </c>
      <c r="AJ162" s="712"/>
      <c r="AK162" s="713"/>
      <c r="AL162" s="714"/>
      <c r="AM162" s="398">
        <f t="shared" si="34"/>
        <v>0</v>
      </c>
    </row>
    <row r="163" spans="1:39" ht="15.75" customHeight="1" x14ac:dyDescent="0.3">
      <c r="A163" s="2161"/>
      <c r="B163" s="1313" t="str">
        <f t="shared" si="28"/>
        <v/>
      </c>
      <c r="C163" s="1011">
        <f>IF($D$2="NO",0,ROUNDDOWN(SUM(PROD!$V$5:V164)/IF(Iniciar!$C$25="kilos",40,1),0)-SUM($C$4:$C162))</f>
        <v>0</v>
      </c>
      <c r="D163" s="702"/>
      <c r="E163" s="702"/>
      <c r="F163" s="300">
        <f t="shared" si="35"/>
        <v>-15000</v>
      </c>
      <c r="G163" s="694"/>
      <c r="H163" s="695"/>
      <c r="I163" s="1314"/>
      <c r="J163" s="1315">
        <f>IF(K$1&gt;0,ROUNDUP(SUM(PROD!AM$5:AM164)/K$1*K$2,0),0)-SUM(J$4:J162)</f>
        <v>0</v>
      </c>
      <c r="K163" s="1316">
        <f t="shared" si="29"/>
        <v>0</v>
      </c>
      <c r="L163" s="1314"/>
      <c r="M163" s="1315">
        <f>IF(N$1&gt;0,ROUNDUP(SUM(PROD!L$5:L164,-PROD!AM$5:AM164,-PROD!AZ$5:AZ164)/N$1*N$2,0),0)-SUM(M$4:M162)</f>
        <v>0</v>
      </c>
      <c r="N163" s="1316">
        <f t="shared" si="30"/>
        <v>0</v>
      </c>
      <c r="O163" s="1317">
        <f t="shared" si="25"/>
        <v>0</v>
      </c>
      <c r="P163" s="1318"/>
      <c r="Q163" s="1319"/>
      <c r="R163" s="1320">
        <f t="shared" si="26"/>
        <v>0</v>
      </c>
      <c r="S163" s="1316">
        <f t="shared" si="27"/>
        <v>0</v>
      </c>
      <c r="T163" s="712"/>
      <c r="U163" s="713"/>
      <c r="V163" s="714"/>
      <c r="W163" s="398">
        <f t="shared" si="36"/>
        <v>0</v>
      </c>
      <c r="X163" s="712"/>
      <c r="Y163" s="713"/>
      <c r="Z163" s="714"/>
      <c r="AA163" s="398">
        <f t="shared" si="31"/>
        <v>0</v>
      </c>
      <c r="AB163" s="712"/>
      <c r="AC163" s="713"/>
      <c r="AD163" s="714"/>
      <c r="AE163" s="398">
        <f t="shared" si="32"/>
        <v>0</v>
      </c>
      <c r="AF163" s="712"/>
      <c r="AG163" s="713"/>
      <c r="AH163" s="714"/>
      <c r="AI163" s="398">
        <f t="shared" si="33"/>
        <v>0</v>
      </c>
      <c r="AJ163" s="712"/>
      <c r="AK163" s="713"/>
      <c r="AL163" s="714"/>
      <c r="AM163" s="398">
        <f t="shared" si="34"/>
        <v>0</v>
      </c>
    </row>
    <row r="164" spans="1:39" ht="16.5" customHeight="1" x14ac:dyDescent="0.3">
      <c r="A164" s="2162"/>
      <c r="B164" s="1313" t="str">
        <f t="shared" si="28"/>
        <v/>
      </c>
      <c r="C164" s="1011">
        <f>IF($D$2="NO",0,ROUNDDOWN(SUM(PROD!$V$5:V165)/IF(Iniciar!$C$25="kilos",40,1),0)-SUM($C$4:$C163))</f>
        <v>0</v>
      </c>
      <c r="D164" s="702"/>
      <c r="E164" s="702"/>
      <c r="F164" s="300">
        <f t="shared" si="35"/>
        <v>-15000</v>
      </c>
      <c r="G164" s="694"/>
      <c r="H164" s="695"/>
      <c r="I164" s="1314"/>
      <c r="J164" s="1315">
        <f>IF(K$1&gt;0,ROUNDUP(SUM(PROD!AM$5:AM165)/K$1*K$2,0),0)-SUM(J$4:J163)</f>
        <v>0</v>
      </c>
      <c r="K164" s="1316">
        <f t="shared" si="29"/>
        <v>0</v>
      </c>
      <c r="L164" s="1314"/>
      <c r="M164" s="1315">
        <f>IF(N$1&gt;0,ROUNDUP(SUM(PROD!L$5:L165,-PROD!AM$5:AM165,-PROD!AZ$5:AZ165)/N$1*N$2,0),0)-SUM(M$4:M163)</f>
        <v>0</v>
      </c>
      <c r="N164" s="1316">
        <f t="shared" si="30"/>
        <v>0</v>
      </c>
      <c r="O164" s="1317">
        <f t="shared" si="25"/>
        <v>0</v>
      </c>
      <c r="P164" s="1318"/>
      <c r="Q164" s="1319"/>
      <c r="R164" s="1320">
        <f t="shared" si="26"/>
        <v>0</v>
      </c>
      <c r="S164" s="1316">
        <f t="shared" si="27"/>
        <v>0</v>
      </c>
      <c r="T164" s="712"/>
      <c r="U164" s="713"/>
      <c r="V164" s="714"/>
      <c r="W164" s="398">
        <f t="shared" si="36"/>
        <v>0</v>
      </c>
      <c r="X164" s="712"/>
      <c r="Y164" s="713"/>
      <c r="Z164" s="714"/>
      <c r="AA164" s="398">
        <f t="shared" si="31"/>
        <v>0</v>
      </c>
      <c r="AB164" s="712"/>
      <c r="AC164" s="713"/>
      <c r="AD164" s="714"/>
      <c r="AE164" s="398">
        <f t="shared" si="32"/>
        <v>0</v>
      </c>
      <c r="AF164" s="712"/>
      <c r="AG164" s="713"/>
      <c r="AH164" s="714"/>
      <c r="AI164" s="398">
        <f t="shared" si="33"/>
        <v>0</v>
      </c>
      <c r="AJ164" s="712"/>
      <c r="AK164" s="713"/>
      <c r="AL164" s="714"/>
      <c r="AM164" s="398">
        <f t="shared" si="34"/>
        <v>0</v>
      </c>
    </row>
    <row r="165" spans="1:39" ht="16.5" customHeight="1" x14ac:dyDescent="0.3">
      <c r="A165" s="2160">
        <f>A158+1</f>
        <v>41</v>
      </c>
      <c r="B165" s="1313" t="str">
        <f t="shared" si="28"/>
        <v/>
      </c>
      <c r="C165" s="1011">
        <f>IF($D$2="NO",0,ROUNDDOWN(SUM(PROD!$V$5:V166)/IF(Iniciar!$C$25="kilos",40,1),0)-SUM($C$4:$C164))</f>
        <v>0</v>
      </c>
      <c r="D165" s="702"/>
      <c r="E165" s="702">
        <v>20000</v>
      </c>
      <c r="F165" s="300">
        <f t="shared" si="35"/>
        <v>-35000</v>
      </c>
      <c r="G165" s="694"/>
      <c r="H165" s="695"/>
      <c r="I165" s="1314"/>
      <c r="J165" s="1315">
        <f>IF(K$1&gt;0,ROUNDUP(SUM(PROD!AM$5:AM166)/K$1*K$2,0),0)-SUM(J$4:J164)</f>
        <v>0</v>
      </c>
      <c r="K165" s="1316">
        <f t="shared" si="29"/>
        <v>0</v>
      </c>
      <c r="L165" s="1314"/>
      <c r="M165" s="1315">
        <f>IF(N$1&gt;0,ROUNDUP(SUM(PROD!L$5:L166,-PROD!AM$5:AM166,-PROD!AZ$5:AZ166)/N$1*N$2,0),0)-SUM(M$4:M164)</f>
        <v>0</v>
      </c>
      <c r="N165" s="1316">
        <f t="shared" si="30"/>
        <v>0</v>
      </c>
      <c r="O165" s="1317">
        <f t="shared" si="25"/>
        <v>0</v>
      </c>
      <c r="P165" s="1318"/>
      <c r="Q165" s="1319"/>
      <c r="R165" s="1320">
        <f t="shared" si="26"/>
        <v>0</v>
      </c>
      <c r="S165" s="1316">
        <f t="shared" si="27"/>
        <v>0</v>
      </c>
      <c r="T165" s="712"/>
      <c r="U165" s="713"/>
      <c r="V165" s="714"/>
      <c r="W165" s="398">
        <f t="shared" si="36"/>
        <v>0</v>
      </c>
      <c r="X165" s="712"/>
      <c r="Y165" s="713"/>
      <c r="Z165" s="714"/>
      <c r="AA165" s="398">
        <f t="shared" si="31"/>
        <v>0</v>
      </c>
      <c r="AB165" s="712"/>
      <c r="AC165" s="713"/>
      <c r="AD165" s="714"/>
      <c r="AE165" s="398">
        <f t="shared" si="32"/>
        <v>0</v>
      </c>
      <c r="AF165" s="712"/>
      <c r="AG165" s="713"/>
      <c r="AH165" s="714"/>
      <c r="AI165" s="398">
        <f t="shared" si="33"/>
        <v>0</v>
      </c>
      <c r="AJ165" s="712"/>
      <c r="AK165" s="713"/>
      <c r="AL165" s="714"/>
      <c r="AM165" s="398">
        <f t="shared" si="34"/>
        <v>0</v>
      </c>
    </row>
    <row r="166" spans="1:39" ht="15.75" customHeight="1" x14ac:dyDescent="0.3">
      <c r="A166" s="2161"/>
      <c r="B166" s="1313" t="str">
        <f t="shared" si="28"/>
        <v/>
      </c>
      <c r="C166" s="1011">
        <f>IF($D$2="NO",0,ROUNDDOWN(SUM(PROD!$V$5:V167)/IF(Iniciar!$C$25="kilos",40,1),0)-SUM($C$4:$C165))</f>
        <v>0</v>
      </c>
      <c r="D166" s="702"/>
      <c r="E166" s="702"/>
      <c r="F166" s="300">
        <f t="shared" si="35"/>
        <v>-35000</v>
      </c>
      <c r="G166" s="694"/>
      <c r="H166" s="695"/>
      <c r="I166" s="1314"/>
      <c r="J166" s="1315">
        <f>IF(K$1&gt;0,ROUNDUP(SUM(PROD!AM$5:AM167)/K$1*K$2,0),0)-SUM(J$4:J165)</f>
        <v>0</v>
      </c>
      <c r="K166" s="1316">
        <f t="shared" si="29"/>
        <v>0</v>
      </c>
      <c r="L166" s="1314"/>
      <c r="M166" s="1315">
        <f>IF(N$1&gt;0,ROUNDUP(SUM(PROD!L$5:L167,-PROD!AM$5:AM167,-PROD!AZ$5:AZ167)/N$1*N$2,0),0)-SUM(M$4:M165)</f>
        <v>0</v>
      </c>
      <c r="N166" s="1316">
        <f t="shared" si="30"/>
        <v>0</v>
      </c>
      <c r="O166" s="1317">
        <f t="shared" si="25"/>
        <v>0</v>
      </c>
      <c r="P166" s="1318"/>
      <c r="Q166" s="1319"/>
      <c r="R166" s="1320">
        <f t="shared" si="26"/>
        <v>0</v>
      </c>
      <c r="S166" s="1316">
        <f t="shared" si="27"/>
        <v>0</v>
      </c>
      <c r="T166" s="712"/>
      <c r="U166" s="713"/>
      <c r="V166" s="714"/>
      <c r="W166" s="398">
        <f t="shared" si="36"/>
        <v>0</v>
      </c>
      <c r="X166" s="712"/>
      <c r="Y166" s="713"/>
      <c r="Z166" s="714"/>
      <c r="AA166" s="398">
        <f t="shared" si="31"/>
        <v>0</v>
      </c>
      <c r="AB166" s="712"/>
      <c r="AC166" s="713"/>
      <c r="AD166" s="714"/>
      <c r="AE166" s="398">
        <f t="shared" si="32"/>
        <v>0</v>
      </c>
      <c r="AF166" s="712"/>
      <c r="AG166" s="713"/>
      <c r="AH166" s="714"/>
      <c r="AI166" s="398">
        <f t="shared" si="33"/>
        <v>0</v>
      </c>
      <c r="AJ166" s="712"/>
      <c r="AK166" s="713"/>
      <c r="AL166" s="714"/>
      <c r="AM166" s="398">
        <f t="shared" si="34"/>
        <v>0</v>
      </c>
    </row>
    <row r="167" spans="1:39" ht="15.75" customHeight="1" x14ac:dyDescent="0.3">
      <c r="A167" s="2161"/>
      <c r="B167" s="1313" t="str">
        <f t="shared" si="28"/>
        <v/>
      </c>
      <c r="C167" s="1011">
        <f>IF($D$2="NO",0,ROUNDDOWN(SUM(PROD!$V$5:V168)/IF(Iniciar!$C$25="kilos",40,1),0)-SUM($C$4:$C166))</f>
        <v>0</v>
      </c>
      <c r="D167" s="702"/>
      <c r="E167" s="702"/>
      <c r="F167" s="300">
        <f t="shared" si="35"/>
        <v>-35000</v>
      </c>
      <c r="G167" s="694"/>
      <c r="H167" s="695"/>
      <c r="I167" s="1314"/>
      <c r="J167" s="1315">
        <f>IF(K$1&gt;0,ROUNDUP(SUM(PROD!AM$5:AM168)/K$1*K$2,0),0)-SUM(J$4:J166)</f>
        <v>0</v>
      </c>
      <c r="K167" s="1316">
        <f t="shared" si="29"/>
        <v>0</v>
      </c>
      <c r="L167" s="1314"/>
      <c r="M167" s="1315">
        <f>IF(N$1&gt;0,ROUNDUP(SUM(PROD!L$5:L168,-PROD!AM$5:AM168,-PROD!AZ$5:AZ168)/N$1*N$2,0),0)-SUM(M$4:M166)</f>
        <v>0</v>
      </c>
      <c r="N167" s="1316">
        <f t="shared" si="30"/>
        <v>0</v>
      </c>
      <c r="O167" s="1317">
        <f t="shared" si="25"/>
        <v>0</v>
      </c>
      <c r="P167" s="1318"/>
      <c r="Q167" s="1319"/>
      <c r="R167" s="1320">
        <f t="shared" si="26"/>
        <v>0</v>
      </c>
      <c r="S167" s="1316">
        <f t="shared" si="27"/>
        <v>0</v>
      </c>
      <c r="T167" s="712"/>
      <c r="U167" s="713"/>
      <c r="V167" s="714"/>
      <c r="W167" s="398">
        <f t="shared" si="36"/>
        <v>0</v>
      </c>
      <c r="X167" s="712"/>
      <c r="Y167" s="713"/>
      <c r="Z167" s="714"/>
      <c r="AA167" s="398">
        <f t="shared" si="31"/>
        <v>0</v>
      </c>
      <c r="AB167" s="712"/>
      <c r="AC167" s="713"/>
      <c r="AD167" s="714"/>
      <c r="AE167" s="398">
        <f t="shared" si="32"/>
        <v>0</v>
      </c>
      <c r="AF167" s="712"/>
      <c r="AG167" s="713"/>
      <c r="AH167" s="714"/>
      <c r="AI167" s="398">
        <f t="shared" si="33"/>
        <v>0</v>
      </c>
      <c r="AJ167" s="712"/>
      <c r="AK167" s="713"/>
      <c r="AL167" s="714"/>
      <c r="AM167" s="398">
        <f t="shared" si="34"/>
        <v>0</v>
      </c>
    </row>
    <row r="168" spans="1:39" ht="15.75" customHeight="1" x14ac:dyDescent="0.3">
      <c r="A168" s="2161"/>
      <c r="B168" s="1313" t="str">
        <f t="shared" si="28"/>
        <v/>
      </c>
      <c r="C168" s="1011">
        <f>IF($D$2="NO",0,ROUNDDOWN(SUM(PROD!$V$5:V169)/IF(Iniciar!$C$25="kilos",40,1),0)-SUM($C$4:$C167))</f>
        <v>0</v>
      </c>
      <c r="D168" s="702"/>
      <c r="E168" s="702"/>
      <c r="F168" s="300">
        <f t="shared" si="35"/>
        <v>-35000</v>
      </c>
      <c r="G168" s="694"/>
      <c r="H168" s="695"/>
      <c r="I168" s="1314"/>
      <c r="J168" s="1315">
        <f>IF(K$1&gt;0,ROUNDUP(SUM(PROD!AM$5:AM169)/K$1*K$2,0),0)-SUM(J$4:J167)</f>
        <v>0</v>
      </c>
      <c r="K168" s="1316">
        <f t="shared" si="29"/>
        <v>0</v>
      </c>
      <c r="L168" s="1314"/>
      <c r="M168" s="1315">
        <f>IF(N$1&gt;0,ROUNDUP(SUM(PROD!L$5:L169,-PROD!AM$5:AM169,-PROD!AZ$5:AZ169)/N$1*N$2,0),0)-SUM(M$4:M167)</f>
        <v>0</v>
      </c>
      <c r="N168" s="1316">
        <f t="shared" si="30"/>
        <v>0</v>
      </c>
      <c r="O168" s="1317">
        <f t="shared" si="25"/>
        <v>0</v>
      </c>
      <c r="P168" s="1318"/>
      <c r="Q168" s="1319"/>
      <c r="R168" s="1320">
        <f t="shared" si="26"/>
        <v>0</v>
      </c>
      <c r="S168" s="1316">
        <f t="shared" si="27"/>
        <v>0</v>
      </c>
      <c r="T168" s="712"/>
      <c r="U168" s="713"/>
      <c r="V168" s="714"/>
      <c r="W168" s="398">
        <f t="shared" si="36"/>
        <v>0</v>
      </c>
      <c r="X168" s="712"/>
      <c r="Y168" s="713"/>
      <c r="Z168" s="714"/>
      <c r="AA168" s="398">
        <f t="shared" si="31"/>
        <v>0</v>
      </c>
      <c r="AB168" s="712"/>
      <c r="AC168" s="713"/>
      <c r="AD168" s="714"/>
      <c r="AE168" s="398">
        <f t="shared" si="32"/>
        <v>0</v>
      </c>
      <c r="AF168" s="712"/>
      <c r="AG168" s="713"/>
      <c r="AH168" s="714"/>
      <c r="AI168" s="398">
        <f t="shared" si="33"/>
        <v>0</v>
      </c>
      <c r="AJ168" s="712"/>
      <c r="AK168" s="713"/>
      <c r="AL168" s="714"/>
      <c r="AM168" s="398">
        <f t="shared" si="34"/>
        <v>0</v>
      </c>
    </row>
    <row r="169" spans="1:39" ht="15.75" customHeight="1" x14ac:dyDescent="0.3">
      <c r="A169" s="2161"/>
      <c r="B169" s="1313" t="str">
        <f t="shared" si="28"/>
        <v/>
      </c>
      <c r="C169" s="1011">
        <f>IF($D$2="NO",0,ROUNDDOWN(SUM(PROD!$V$5:V170)/IF(Iniciar!$C$25="kilos",40,1),0)-SUM($C$4:$C168))</f>
        <v>0</v>
      </c>
      <c r="D169" s="702"/>
      <c r="E169" s="702"/>
      <c r="F169" s="300">
        <f t="shared" si="35"/>
        <v>-35000</v>
      </c>
      <c r="G169" s="694"/>
      <c r="H169" s="695"/>
      <c r="I169" s="1314"/>
      <c r="J169" s="1315">
        <f>IF(K$1&gt;0,ROUNDUP(SUM(PROD!AM$5:AM170)/K$1*K$2,0),0)-SUM(J$4:J168)</f>
        <v>0</v>
      </c>
      <c r="K169" s="1316">
        <f t="shared" si="29"/>
        <v>0</v>
      </c>
      <c r="L169" s="1314"/>
      <c r="M169" s="1315">
        <f>IF(N$1&gt;0,ROUNDUP(SUM(PROD!L$5:L170,-PROD!AM$5:AM170,-PROD!AZ$5:AZ170)/N$1*N$2,0),0)-SUM(M$4:M168)</f>
        <v>0</v>
      </c>
      <c r="N169" s="1316">
        <f t="shared" si="30"/>
        <v>0</v>
      </c>
      <c r="O169" s="1317">
        <f t="shared" si="25"/>
        <v>0</v>
      </c>
      <c r="P169" s="1318"/>
      <c r="Q169" s="1319"/>
      <c r="R169" s="1320">
        <f t="shared" si="26"/>
        <v>0</v>
      </c>
      <c r="S169" s="1316">
        <f t="shared" si="27"/>
        <v>0</v>
      </c>
      <c r="T169" s="712"/>
      <c r="U169" s="713"/>
      <c r="V169" s="714"/>
      <c r="W169" s="398">
        <f t="shared" si="36"/>
        <v>0</v>
      </c>
      <c r="X169" s="712"/>
      <c r="Y169" s="713"/>
      <c r="Z169" s="714"/>
      <c r="AA169" s="398">
        <f t="shared" si="31"/>
        <v>0</v>
      </c>
      <c r="AB169" s="712"/>
      <c r="AC169" s="713"/>
      <c r="AD169" s="714"/>
      <c r="AE169" s="398">
        <f t="shared" si="32"/>
        <v>0</v>
      </c>
      <c r="AF169" s="712"/>
      <c r="AG169" s="713"/>
      <c r="AH169" s="714"/>
      <c r="AI169" s="398">
        <f t="shared" si="33"/>
        <v>0</v>
      </c>
      <c r="AJ169" s="712"/>
      <c r="AK169" s="713"/>
      <c r="AL169" s="714"/>
      <c r="AM169" s="398">
        <f t="shared" si="34"/>
        <v>0</v>
      </c>
    </row>
    <row r="170" spans="1:39" ht="15.75" customHeight="1" x14ac:dyDescent="0.3">
      <c r="A170" s="2161"/>
      <c r="B170" s="1313" t="str">
        <f t="shared" si="28"/>
        <v/>
      </c>
      <c r="C170" s="1011">
        <f>IF($D$2="NO",0,ROUNDDOWN(SUM(PROD!$V$5:V171)/IF(Iniciar!$C$25="kilos",40,1),0)-SUM($C$4:$C169))</f>
        <v>0</v>
      </c>
      <c r="D170" s="702"/>
      <c r="E170" s="702"/>
      <c r="F170" s="300">
        <f t="shared" si="35"/>
        <v>-35000</v>
      </c>
      <c r="G170" s="694"/>
      <c r="H170" s="695"/>
      <c r="I170" s="1314"/>
      <c r="J170" s="1315">
        <f>IF(K$1&gt;0,ROUNDUP(SUM(PROD!AM$5:AM171)/K$1*K$2,0),0)-SUM(J$4:J169)</f>
        <v>0</v>
      </c>
      <c r="K170" s="1316">
        <f t="shared" si="29"/>
        <v>0</v>
      </c>
      <c r="L170" s="1314"/>
      <c r="M170" s="1315">
        <f>IF(N$1&gt;0,ROUNDUP(SUM(PROD!L$5:L171,-PROD!AM$5:AM171,-PROD!AZ$5:AZ171)/N$1*N$2,0),0)-SUM(M$4:M169)</f>
        <v>0</v>
      </c>
      <c r="N170" s="1316">
        <f t="shared" si="30"/>
        <v>0</v>
      </c>
      <c r="O170" s="1317">
        <f t="shared" si="25"/>
        <v>0</v>
      </c>
      <c r="P170" s="1318"/>
      <c r="Q170" s="1319"/>
      <c r="R170" s="1320">
        <f t="shared" si="26"/>
        <v>0</v>
      </c>
      <c r="S170" s="1316">
        <f t="shared" si="27"/>
        <v>0</v>
      </c>
      <c r="T170" s="712"/>
      <c r="U170" s="713"/>
      <c r="V170" s="714"/>
      <c r="W170" s="398">
        <f t="shared" si="36"/>
        <v>0</v>
      </c>
      <c r="X170" s="712"/>
      <c r="Y170" s="713"/>
      <c r="Z170" s="714"/>
      <c r="AA170" s="398">
        <f t="shared" si="31"/>
        <v>0</v>
      </c>
      <c r="AB170" s="712"/>
      <c r="AC170" s="713"/>
      <c r="AD170" s="714"/>
      <c r="AE170" s="398">
        <f t="shared" si="32"/>
        <v>0</v>
      </c>
      <c r="AF170" s="712"/>
      <c r="AG170" s="713"/>
      <c r="AH170" s="714"/>
      <c r="AI170" s="398">
        <f t="shared" si="33"/>
        <v>0</v>
      </c>
      <c r="AJ170" s="712"/>
      <c r="AK170" s="713"/>
      <c r="AL170" s="714"/>
      <c r="AM170" s="398">
        <f t="shared" si="34"/>
        <v>0</v>
      </c>
    </row>
    <row r="171" spans="1:39" ht="16.5" customHeight="1" x14ac:dyDescent="0.3">
      <c r="A171" s="2162"/>
      <c r="B171" s="1313" t="str">
        <f t="shared" si="28"/>
        <v/>
      </c>
      <c r="C171" s="1011">
        <f>IF($D$2="NO",0,ROUNDDOWN(SUM(PROD!$V$5:V172)/IF(Iniciar!$C$25="kilos",40,1),0)-SUM($C$4:$C170))</f>
        <v>0</v>
      </c>
      <c r="D171" s="702"/>
      <c r="E171" s="702"/>
      <c r="F171" s="300">
        <f t="shared" si="35"/>
        <v>-35000</v>
      </c>
      <c r="G171" s="694"/>
      <c r="H171" s="695"/>
      <c r="I171" s="1314"/>
      <c r="J171" s="1315">
        <f>IF(K$1&gt;0,ROUNDUP(SUM(PROD!AM$5:AM172)/K$1*K$2,0),0)-SUM(J$4:J170)</f>
        <v>0</v>
      </c>
      <c r="K171" s="1316">
        <f t="shared" si="29"/>
        <v>0</v>
      </c>
      <c r="L171" s="1314"/>
      <c r="M171" s="1315">
        <f>IF(N$1&gt;0,ROUNDUP(SUM(PROD!L$5:L172,-PROD!AM$5:AM172,-PROD!AZ$5:AZ172)/N$1*N$2,0),0)-SUM(M$4:M170)</f>
        <v>0</v>
      </c>
      <c r="N171" s="1316">
        <f t="shared" si="30"/>
        <v>0</v>
      </c>
      <c r="O171" s="1317">
        <f t="shared" si="25"/>
        <v>0</v>
      </c>
      <c r="P171" s="1318"/>
      <c r="Q171" s="1319"/>
      <c r="R171" s="1320">
        <f t="shared" si="26"/>
        <v>0</v>
      </c>
      <c r="S171" s="1316">
        <f t="shared" si="27"/>
        <v>0</v>
      </c>
      <c r="T171" s="712"/>
      <c r="U171" s="713"/>
      <c r="V171" s="714"/>
      <c r="W171" s="398">
        <f t="shared" si="36"/>
        <v>0</v>
      </c>
      <c r="X171" s="712"/>
      <c r="Y171" s="713"/>
      <c r="Z171" s="714"/>
      <c r="AA171" s="398">
        <f t="shared" si="31"/>
        <v>0</v>
      </c>
      <c r="AB171" s="712"/>
      <c r="AC171" s="713"/>
      <c r="AD171" s="714"/>
      <c r="AE171" s="398">
        <f t="shared" si="32"/>
        <v>0</v>
      </c>
      <c r="AF171" s="712"/>
      <c r="AG171" s="713"/>
      <c r="AH171" s="714"/>
      <c r="AI171" s="398">
        <f t="shared" si="33"/>
        <v>0</v>
      </c>
      <c r="AJ171" s="712"/>
      <c r="AK171" s="713"/>
      <c r="AL171" s="714"/>
      <c r="AM171" s="398">
        <f t="shared" si="34"/>
        <v>0</v>
      </c>
    </row>
    <row r="172" spans="1:39" ht="16.5" customHeight="1" x14ac:dyDescent="0.3">
      <c r="A172" s="2160">
        <f>A165+1</f>
        <v>42</v>
      </c>
      <c r="B172" s="1313" t="str">
        <f t="shared" si="28"/>
        <v/>
      </c>
      <c r="C172" s="1011">
        <f>IF($D$2="NO",0,ROUNDDOWN(SUM(PROD!$V$5:V173)/IF(Iniciar!$C$25="kilos",40,1),0)-SUM($C$4:$C171))</f>
        <v>0</v>
      </c>
      <c r="D172" s="702"/>
      <c r="E172" s="702"/>
      <c r="F172" s="300">
        <f t="shared" si="35"/>
        <v>-35000</v>
      </c>
      <c r="G172" s="694"/>
      <c r="H172" s="695"/>
      <c r="I172" s="1314"/>
      <c r="J172" s="1315">
        <f>IF(K$1&gt;0,ROUNDUP(SUM(PROD!AM$5:AM173)/K$1*K$2,0),0)-SUM(J$4:J171)</f>
        <v>0</v>
      </c>
      <c r="K172" s="1316">
        <f t="shared" si="29"/>
        <v>0</v>
      </c>
      <c r="L172" s="1314"/>
      <c r="M172" s="1315">
        <f>IF(N$1&gt;0,ROUNDUP(SUM(PROD!L$5:L173,-PROD!AM$5:AM173,-PROD!AZ$5:AZ173)/N$1*N$2,0),0)-SUM(M$4:M171)</f>
        <v>0</v>
      </c>
      <c r="N172" s="1316">
        <f t="shared" si="30"/>
        <v>0</v>
      </c>
      <c r="O172" s="1317">
        <f t="shared" si="25"/>
        <v>0</v>
      </c>
      <c r="P172" s="1318"/>
      <c r="Q172" s="1319"/>
      <c r="R172" s="1320">
        <f t="shared" si="26"/>
        <v>0</v>
      </c>
      <c r="S172" s="1316">
        <f t="shared" si="27"/>
        <v>0</v>
      </c>
      <c r="T172" s="712"/>
      <c r="U172" s="713"/>
      <c r="V172" s="714"/>
      <c r="W172" s="398">
        <f t="shared" si="36"/>
        <v>0</v>
      </c>
      <c r="X172" s="712"/>
      <c r="Y172" s="713"/>
      <c r="Z172" s="714"/>
      <c r="AA172" s="398">
        <f t="shared" si="31"/>
        <v>0</v>
      </c>
      <c r="AB172" s="712"/>
      <c r="AC172" s="713"/>
      <c r="AD172" s="714"/>
      <c r="AE172" s="398">
        <f t="shared" si="32"/>
        <v>0</v>
      </c>
      <c r="AF172" s="712"/>
      <c r="AG172" s="713"/>
      <c r="AH172" s="714"/>
      <c r="AI172" s="398">
        <f t="shared" si="33"/>
        <v>0</v>
      </c>
      <c r="AJ172" s="712"/>
      <c r="AK172" s="713"/>
      <c r="AL172" s="714"/>
      <c r="AM172" s="398">
        <f t="shared" si="34"/>
        <v>0</v>
      </c>
    </row>
    <row r="173" spans="1:39" ht="15.75" customHeight="1" x14ac:dyDescent="0.3">
      <c r="A173" s="2161"/>
      <c r="B173" s="1313" t="str">
        <f t="shared" si="28"/>
        <v/>
      </c>
      <c r="C173" s="1011">
        <f>IF($D$2="NO",0,ROUNDDOWN(SUM(PROD!$V$5:V174)/IF(Iniciar!$C$25="kilos",40,1),0)-SUM($C$4:$C172))</f>
        <v>0</v>
      </c>
      <c r="D173" s="702"/>
      <c r="E173" s="702"/>
      <c r="F173" s="300">
        <f t="shared" si="35"/>
        <v>-35000</v>
      </c>
      <c r="G173" s="694"/>
      <c r="H173" s="695"/>
      <c r="I173" s="1314"/>
      <c r="J173" s="1315">
        <f>IF(K$1&gt;0,ROUNDUP(SUM(PROD!AM$5:AM174)/K$1*K$2,0),0)-SUM(J$4:J172)</f>
        <v>0</v>
      </c>
      <c r="K173" s="1316">
        <f t="shared" si="29"/>
        <v>0</v>
      </c>
      <c r="L173" s="1314"/>
      <c r="M173" s="1315">
        <f>IF(N$1&gt;0,ROUNDUP(SUM(PROD!L$5:L174,-PROD!AM$5:AM174,-PROD!AZ$5:AZ174)/N$1*N$2,0),0)-SUM(M$4:M172)</f>
        <v>0</v>
      </c>
      <c r="N173" s="1316">
        <f t="shared" si="30"/>
        <v>0</v>
      </c>
      <c r="O173" s="1317">
        <f t="shared" si="25"/>
        <v>0</v>
      </c>
      <c r="P173" s="1318"/>
      <c r="Q173" s="1319"/>
      <c r="R173" s="1320">
        <f t="shared" si="26"/>
        <v>0</v>
      </c>
      <c r="S173" s="1316">
        <f t="shared" si="27"/>
        <v>0</v>
      </c>
      <c r="T173" s="712"/>
      <c r="U173" s="713"/>
      <c r="V173" s="714"/>
      <c r="W173" s="398">
        <f t="shared" si="36"/>
        <v>0</v>
      </c>
      <c r="X173" s="712"/>
      <c r="Y173" s="713"/>
      <c r="Z173" s="714"/>
      <c r="AA173" s="398">
        <f t="shared" si="31"/>
        <v>0</v>
      </c>
      <c r="AB173" s="712"/>
      <c r="AC173" s="713"/>
      <c r="AD173" s="714"/>
      <c r="AE173" s="398">
        <f t="shared" si="32"/>
        <v>0</v>
      </c>
      <c r="AF173" s="712"/>
      <c r="AG173" s="713"/>
      <c r="AH173" s="714"/>
      <c r="AI173" s="398">
        <f t="shared" si="33"/>
        <v>0</v>
      </c>
      <c r="AJ173" s="712"/>
      <c r="AK173" s="713"/>
      <c r="AL173" s="714"/>
      <c r="AM173" s="398">
        <f t="shared" si="34"/>
        <v>0</v>
      </c>
    </row>
    <row r="174" spans="1:39" ht="15.75" customHeight="1" x14ac:dyDescent="0.3">
      <c r="A174" s="2161"/>
      <c r="B174" s="1313" t="str">
        <f t="shared" si="28"/>
        <v/>
      </c>
      <c r="C174" s="1011">
        <f>IF($D$2="NO",0,ROUNDDOWN(SUM(PROD!$V$5:V175)/IF(Iniciar!$C$25="kilos",40,1),0)-SUM($C$4:$C173))</f>
        <v>0</v>
      </c>
      <c r="D174" s="702"/>
      <c r="E174" s="702"/>
      <c r="F174" s="300">
        <f t="shared" si="35"/>
        <v>-35000</v>
      </c>
      <c r="G174" s="694"/>
      <c r="H174" s="695"/>
      <c r="I174" s="1314"/>
      <c r="J174" s="1315">
        <f>IF(K$1&gt;0,ROUNDUP(SUM(PROD!AM$5:AM175)/K$1*K$2,0),0)-SUM(J$4:J173)</f>
        <v>0</v>
      </c>
      <c r="K174" s="1316">
        <f t="shared" si="29"/>
        <v>0</v>
      </c>
      <c r="L174" s="1314"/>
      <c r="M174" s="1315">
        <f>IF(N$1&gt;0,ROUNDUP(SUM(PROD!L$5:L175,-PROD!AM$5:AM175,-PROD!AZ$5:AZ175)/N$1*N$2,0),0)-SUM(M$4:M173)</f>
        <v>0</v>
      </c>
      <c r="N174" s="1316">
        <f t="shared" si="30"/>
        <v>0</v>
      </c>
      <c r="O174" s="1317">
        <f t="shared" si="25"/>
        <v>0</v>
      </c>
      <c r="P174" s="1318"/>
      <c r="Q174" s="1319"/>
      <c r="R174" s="1320">
        <f t="shared" si="26"/>
        <v>0</v>
      </c>
      <c r="S174" s="1316">
        <f t="shared" si="27"/>
        <v>0</v>
      </c>
      <c r="T174" s="712"/>
      <c r="U174" s="713"/>
      <c r="V174" s="714"/>
      <c r="W174" s="398">
        <f t="shared" si="36"/>
        <v>0</v>
      </c>
      <c r="X174" s="712"/>
      <c r="Y174" s="713"/>
      <c r="Z174" s="714"/>
      <c r="AA174" s="398">
        <f t="shared" si="31"/>
        <v>0</v>
      </c>
      <c r="AB174" s="712"/>
      <c r="AC174" s="713"/>
      <c r="AD174" s="714"/>
      <c r="AE174" s="398">
        <f t="shared" si="32"/>
        <v>0</v>
      </c>
      <c r="AF174" s="712"/>
      <c r="AG174" s="713"/>
      <c r="AH174" s="714"/>
      <c r="AI174" s="398">
        <f t="shared" si="33"/>
        <v>0</v>
      </c>
      <c r="AJ174" s="712"/>
      <c r="AK174" s="713"/>
      <c r="AL174" s="714"/>
      <c r="AM174" s="398">
        <f t="shared" si="34"/>
        <v>0</v>
      </c>
    </row>
    <row r="175" spans="1:39" ht="15.75" customHeight="1" x14ac:dyDescent="0.3">
      <c r="A175" s="2161"/>
      <c r="B175" s="1313" t="str">
        <f t="shared" si="28"/>
        <v/>
      </c>
      <c r="C175" s="1011">
        <f>IF($D$2="NO",0,ROUNDDOWN(SUM(PROD!$V$5:V176)/IF(Iniciar!$C$25="kilos",40,1),0)-SUM($C$4:$C174))</f>
        <v>0</v>
      </c>
      <c r="D175" s="702"/>
      <c r="E175" s="702"/>
      <c r="F175" s="300">
        <f t="shared" si="35"/>
        <v>-35000</v>
      </c>
      <c r="G175" s="694"/>
      <c r="H175" s="695"/>
      <c r="I175" s="1314"/>
      <c r="J175" s="1315">
        <f>IF(K$1&gt;0,ROUNDUP(SUM(PROD!AM$5:AM176)/K$1*K$2,0),0)-SUM(J$4:J174)</f>
        <v>0</v>
      </c>
      <c r="K175" s="1316">
        <f t="shared" si="29"/>
        <v>0</v>
      </c>
      <c r="L175" s="1314"/>
      <c r="M175" s="1315">
        <f>IF(N$1&gt;0,ROUNDUP(SUM(PROD!L$5:L176,-PROD!AM$5:AM176,-PROD!AZ$5:AZ176)/N$1*N$2,0),0)-SUM(M$4:M174)</f>
        <v>0</v>
      </c>
      <c r="N175" s="1316">
        <f t="shared" si="30"/>
        <v>0</v>
      </c>
      <c r="O175" s="1317">
        <f t="shared" si="25"/>
        <v>0</v>
      </c>
      <c r="P175" s="1318"/>
      <c r="Q175" s="1319"/>
      <c r="R175" s="1320">
        <f t="shared" si="26"/>
        <v>0</v>
      </c>
      <c r="S175" s="1316">
        <f t="shared" si="27"/>
        <v>0</v>
      </c>
      <c r="T175" s="712"/>
      <c r="U175" s="713"/>
      <c r="V175" s="714"/>
      <c r="W175" s="398">
        <f t="shared" si="36"/>
        <v>0</v>
      </c>
      <c r="X175" s="712"/>
      <c r="Y175" s="713"/>
      <c r="Z175" s="714"/>
      <c r="AA175" s="398">
        <f t="shared" si="31"/>
        <v>0</v>
      </c>
      <c r="AB175" s="712"/>
      <c r="AC175" s="713"/>
      <c r="AD175" s="714"/>
      <c r="AE175" s="398">
        <f t="shared" si="32"/>
        <v>0</v>
      </c>
      <c r="AF175" s="712"/>
      <c r="AG175" s="713"/>
      <c r="AH175" s="714"/>
      <c r="AI175" s="398">
        <f t="shared" si="33"/>
        <v>0</v>
      </c>
      <c r="AJ175" s="712"/>
      <c r="AK175" s="713"/>
      <c r="AL175" s="714"/>
      <c r="AM175" s="398">
        <f t="shared" si="34"/>
        <v>0</v>
      </c>
    </row>
    <row r="176" spans="1:39" ht="15.75" customHeight="1" x14ac:dyDescent="0.3">
      <c r="A176" s="2161"/>
      <c r="B176" s="1313" t="str">
        <f t="shared" si="28"/>
        <v/>
      </c>
      <c r="C176" s="1011">
        <f>IF($D$2="NO",0,ROUNDDOWN(SUM(PROD!$V$5:V177)/IF(Iniciar!$C$25="kilos",40,1),0)-SUM($C$4:$C175))</f>
        <v>0</v>
      </c>
      <c r="D176" s="702"/>
      <c r="E176" s="702"/>
      <c r="F176" s="300">
        <f t="shared" si="35"/>
        <v>-35000</v>
      </c>
      <c r="G176" s="694"/>
      <c r="H176" s="695"/>
      <c r="I176" s="1314"/>
      <c r="J176" s="1315">
        <f>IF(K$1&gt;0,ROUNDUP(SUM(PROD!AM$5:AM177)/K$1*K$2,0),0)-SUM(J$4:J175)</f>
        <v>0</v>
      </c>
      <c r="K176" s="1316">
        <f t="shared" si="29"/>
        <v>0</v>
      </c>
      <c r="L176" s="1314"/>
      <c r="M176" s="1315">
        <f>IF(N$1&gt;0,ROUNDUP(SUM(PROD!L$5:L177,-PROD!AM$5:AM177,-PROD!AZ$5:AZ177)/N$1*N$2,0),0)-SUM(M$4:M175)</f>
        <v>0</v>
      </c>
      <c r="N176" s="1316">
        <f t="shared" si="30"/>
        <v>0</v>
      </c>
      <c r="O176" s="1317">
        <f t="shared" si="25"/>
        <v>0</v>
      </c>
      <c r="P176" s="1318"/>
      <c r="Q176" s="1319"/>
      <c r="R176" s="1320">
        <f t="shared" si="26"/>
        <v>0</v>
      </c>
      <c r="S176" s="1316">
        <f t="shared" si="27"/>
        <v>0</v>
      </c>
      <c r="T176" s="712"/>
      <c r="U176" s="713"/>
      <c r="V176" s="714"/>
      <c r="W176" s="398">
        <f t="shared" si="36"/>
        <v>0</v>
      </c>
      <c r="X176" s="712"/>
      <c r="Y176" s="713"/>
      <c r="Z176" s="714"/>
      <c r="AA176" s="398">
        <f t="shared" si="31"/>
        <v>0</v>
      </c>
      <c r="AB176" s="712"/>
      <c r="AC176" s="713"/>
      <c r="AD176" s="714"/>
      <c r="AE176" s="398">
        <f t="shared" si="32"/>
        <v>0</v>
      </c>
      <c r="AF176" s="712"/>
      <c r="AG176" s="713"/>
      <c r="AH176" s="714"/>
      <c r="AI176" s="398">
        <f t="shared" si="33"/>
        <v>0</v>
      </c>
      <c r="AJ176" s="712"/>
      <c r="AK176" s="713"/>
      <c r="AL176" s="714"/>
      <c r="AM176" s="398">
        <f t="shared" si="34"/>
        <v>0</v>
      </c>
    </row>
    <row r="177" spans="1:39" ht="15.75" customHeight="1" x14ac:dyDescent="0.3">
      <c r="A177" s="2161"/>
      <c r="B177" s="1313" t="str">
        <f t="shared" si="28"/>
        <v/>
      </c>
      <c r="C177" s="1011">
        <f>IF($D$2="NO",0,ROUNDDOWN(SUM(PROD!$V$5:V178)/IF(Iniciar!$C$25="kilos",40,1),0)-SUM($C$4:$C176))</f>
        <v>0</v>
      </c>
      <c r="D177" s="702"/>
      <c r="E177" s="702"/>
      <c r="F177" s="300">
        <f t="shared" si="35"/>
        <v>-35000</v>
      </c>
      <c r="G177" s="694"/>
      <c r="H177" s="695"/>
      <c r="I177" s="1314"/>
      <c r="J177" s="1315">
        <f>IF(K$1&gt;0,ROUNDUP(SUM(PROD!AM$5:AM178)/K$1*K$2,0),0)-SUM(J$4:J176)</f>
        <v>0</v>
      </c>
      <c r="K177" s="1316">
        <f t="shared" si="29"/>
        <v>0</v>
      </c>
      <c r="L177" s="1314"/>
      <c r="M177" s="1315">
        <f>IF(N$1&gt;0,ROUNDUP(SUM(PROD!L$5:L178,-PROD!AM$5:AM178,-PROD!AZ$5:AZ178)/N$1*N$2,0),0)-SUM(M$4:M176)</f>
        <v>0</v>
      </c>
      <c r="N177" s="1316">
        <f t="shared" si="30"/>
        <v>0</v>
      </c>
      <c r="O177" s="1317">
        <f t="shared" si="25"/>
        <v>0</v>
      </c>
      <c r="P177" s="1318"/>
      <c r="Q177" s="1319"/>
      <c r="R177" s="1320">
        <f t="shared" si="26"/>
        <v>0</v>
      </c>
      <c r="S177" s="1316">
        <f t="shared" si="27"/>
        <v>0</v>
      </c>
      <c r="T177" s="712"/>
      <c r="U177" s="713"/>
      <c r="V177" s="714"/>
      <c r="W177" s="398">
        <f t="shared" si="36"/>
        <v>0</v>
      </c>
      <c r="X177" s="712"/>
      <c r="Y177" s="713"/>
      <c r="Z177" s="714"/>
      <c r="AA177" s="398">
        <f t="shared" si="31"/>
        <v>0</v>
      </c>
      <c r="AB177" s="712"/>
      <c r="AC177" s="713"/>
      <c r="AD177" s="714"/>
      <c r="AE177" s="398">
        <f t="shared" si="32"/>
        <v>0</v>
      </c>
      <c r="AF177" s="712"/>
      <c r="AG177" s="713"/>
      <c r="AH177" s="714"/>
      <c r="AI177" s="398">
        <f t="shared" si="33"/>
        <v>0</v>
      </c>
      <c r="AJ177" s="712"/>
      <c r="AK177" s="713"/>
      <c r="AL177" s="714"/>
      <c r="AM177" s="398">
        <f t="shared" si="34"/>
        <v>0</v>
      </c>
    </row>
    <row r="178" spans="1:39" ht="16.5" customHeight="1" x14ac:dyDescent="0.3">
      <c r="A178" s="2162"/>
      <c r="B178" s="1313" t="str">
        <f t="shared" si="28"/>
        <v/>
      </c>
      <c r="C178" s="1011">
        <f>IF($D$2="NO",0,ROUNDDOWN(SUM(PROD!$V$5:V179)/IF(Iniciar!$C$25="kilos",40,1),0)-SUM($C$4:$C177))</f>
        <v>0</v>
      </c>
      <c r="D178" s="702"/>
      <c r="E178" s="702"/>
      <c r="F178" s="300">
        <f t="shared" si="35"/>
        <v>-35000</v>
      </c>
      <c r="G178" s="694"/>
      <c r="H178" s="695"/>
      <c r="I178" s="1314"/>
      <c r="J178" s="1315">
        <f>IF(K$1&gt;0,ROUNDUP(SUM(PROD!AM$5:AM179)/K$1*K$2,0),0)-SUM(J$4:J177)</f>
        <v>0</v>
      </c>
      <c r="K178" s="1316">
        <f t="shared" si="29"/>
        <v>0</v>
      </c>
      <c r="L178" s="1314"/>
      <c r="M178" s="1315">
        <f>IF(N$1&gt;0,ROUNDUP(SUM(PROD!L$5:L179,-PROD!AM$5:AM179,-PROD!AZ$5:AZ179)/N$1*N$2,0),0)-SUM(M$4:M177)</f>
        <v>0</v>
      </c>
      <c r="N178" s="1316">
        <f t="shared" si="30"/>
        <v>0</v>
      </c>
      <c r="O178" s="1317">
        <f t="shared" si="25"/>
        <v>0</v>
      </c>
      <c r="P178" s="1318"/>
      <c r="Q178" s="1319"/>
      <c r="R178" s="1320">
        <f t="shared" si="26"/>
        <v>0</v>
      </c>
      <c r="S178" s="1316">
        <f t="shared" si="27"/>
        <v>0</v>
      </c>
      <c r="T178" s="712"/>
      <c r="U178" s="713"/>
      <c r="V178" s="714"/>
      <c r="W178" s="398">
        <f t="shared" si="36"/>
        <v>0</v>
      </c>
      <c r="X178" s="712"/>
      <c r="Y178" s="713"/>
      <c r="Z178" s="714"/>
      <c r="AA178" s="398">
        <f t="shared" si="31"/>
        <v>0</v>
      </c>
      <c r="AB178" s="712"/>
      <c r="AC178" s="713"/>
      <c r="AD178" s="714"/>
      <c r="AE178" s="398">
        <f t="shared" si="32"/>
        <v>0</v>
      </c>
      <c r="AF178" s="712"/>
      <c r="AG178" s="713"/>
      <c r="AH178" s="714"/>
      <c r="AI178" s="398">
        <f t="shared" si="33"/>
        <v>0</v>
      </c>
      <c r="AJ178" s="712"/>
      <c r="AK178" s="713"/>
      <c r="AL178" s="714"/>
      <c r="AM178" s="398">
        <f t="shared" si="34"/>
        <v>0</v>
      </c>
    </row>
    <row r="179" spans="1:39" ht="16.5" customHeight="1" x14ac:dyDescent="0.3">
      <c r="A179" s="2160">
        <f>A172+1</f>
        <v>43</v>
      </c>
      <c r="B179" s="1313" t="str">
        <f t="shared" si="28"/>
        <v/>
      </c>
      <c r="C179" s="1011">
        <f>IF($D$2="NO",0,ROUNDDOWN(SUM(PROD!$V$5:V180)/IF(Iniciar!$C$25="kilos",40,1),0)-SUM($C$4:$C178))</f>
        <v>0</v>
      </c>
      <c r="D179" s="702"/>
      <c r="E179" s="702"/>
      <c r="F179" s="300">
        <f t="shared" si="35"/>
        <v>-35000</v>
      </c>
      <c r="G179" s="694"/>
      <c r="H179" s="695"/>
      <c r="I179" s="1314"/>
      <c r="J179" s="1315">
        <f>IF(K$1&gt;0,ROUNDUP(SUM(PROD!AM$5:AM180)/K$1*K$2,0),0)-SUM(J$4:J178)</f>
        <v>0</v>
      </c>
      <c r="K179" s="1316">
        <f t="shared" si="29"/>
        <v>0</v>
      </c>
      <c r="L179" s="1314"/>
      <c r="M179" s="1315">
        <f>IF(N$1&gt;0,ROUNDUP(SUM(PROD!L$5:L180,-PROD!AM$5:AM180,-PROD!AZ$5:AZ180)/N$1*N$2,0),0)-SUM(M$4:M178)</f>
        <v>0</v>
      </c>
      <c r="N179" s="1316">
        <f t="shared" si="30"/>
        <v>0</v>
      </c>
      <c r="O179" s="1317">
        <f t="shared" si="25"/>
        <v>0</v>
      </c>
      <c r="P179" s="1318"/>
      <c r="Q179" s="1319"/>
      <c r="R179" s="1320">
        <f t="shared" si="26"/>
        <v>0</v>
      </c>
      <c r="S179" s="1316">
        <f t="shared" si="27"/>
        <v>0</v>
      </c>
      <c r="T179" s="712"/>
      <c r="U179" s="713"/>
      <c r="V179" s="714"/>
      <c r="W179" s="398">
        <f t="shared" si="36"/>
        <v>0</v>
      </c>
      <c r="X179" s="712"/>
      <c r="Y179" s="713"/>
      <c r="Z179" s="714"/>
      <c r="AA179" s="398">
        <f t="shared" si="31"/>
        <v>0</v>
      </c>
      <c r="AB179" s="712"/>
      <c r="AC179" s="713"/>
      <c r="AD179" s="714"/>
      <c r="AE179" s="398">
        <f t="shared" si="32"/>
        <v>0</v>
      </c>
      <c r="AF179" s="712"/>
      <c r="AG179" s="713"/>
      <c r="AH179" s="714"/>
      <c r="AI179" s="398">
        <f t="shared" si="33"/>
        <v>0</v>
      </c>
      <c r="AJ179" s="712"/>
      <c r="AK179" s="713"/>
      <c r="AL179" s="714"/>
      <c r="AM179" s="398">
        <f t="shared" si="34"/>
        <v>0</v>
      </c>
    </row>
    <row r="180" spans="1:39" ht="15.75" customHeight="1" x14ac:dyDescent="0.3">
      <c r="A180" s="2161"/>
      <c r="B180" s="1313" t="str">
        <f t="shared" si="28"/>
        <v/>
      </c>
      <c r="C180" s="1011">
        <f>IF($D$2="NO",0,ROUNDDOWN(SUM(PROD!$V$5:V181)/IF(Iniciar!$C$25="kilos",40,1),0)-SUM($C$4:$C179))</f>
        <v>0</v>
      </c>
      <c r="D180" s="702"/>
      <c r="E180" s="702"/>
      <c r="F180" s="300">
        <f t="shared" si="35"/>
        <v>-35000</v>
      </c>
      <c r="G180" s="694"/>
      <c r="H180" s="695"/>
      <c r="I180" s="1314"/>
      <c r="J180" s="1315">
        <f>IF(K$1&gt;0,ROUNDUP(SUM(PROD!AM$5:AM181)/K$1*K$2,0),0)-SUM(J$4:J179)</f>
        <v>0</v>
      </c>
      <c r="K180" s="1316">
        <f t="shared" si="29"/>
        <v>0</v>
      </c>
      <c r="L180" s="1314"/>
      <c r="M180" s="1315">
        <f>IF(N$1&gt;0,ROUNDUP(SUM(PROD!L$5:L181,-PROD!AM$5:AM181,-PROD!AZ$5:AZ181)/N$1*N$2,0),0)-SUM(M$4:M179)</f>
        <v>0</v>
      </c>
      <c r="N180" s="1316">
        <f t="shared" si="30"/>
        <v>0</v>
      </c>
      <c r="O180" s="1317">
        <f t="shared" si="25"/>
        <v>0</v>
      </c>
      <c r="P180" s="1318"/>
      <c r="Q180" s="1319"/>
      <c r="R180" s="1320">
        <f t="shared" si="26"/>
        <v>0</v>
      </c>
      <c r="S180" s="1316">
        <f t="shared" si="27"/>
        <v>0</v>
      </c>
      <c r="T180" s="712"/>
      <c r="U180" s="713"/>
      <c r="V180" s="714"/>
      <c r="W180" s="398">
        <f t="shared" si="36"/>
        <v>0</v>
      </c>
      <c r="X180" s="712"/>
      <c r="Y180" s="713"/>
      <c r="Z180" s="714"/>
      <c r="AA180" s="398">
        <f t="shared" si="31"/>
        <v>0</v>
      </c>
      <c r="AB180" s="712"/>
      <c r="AC180" s="713"/>
      <c r="AD180" s="714"/>
      <c r="AE180" s="398">
        <f t="shared" si="32"/>
        <v>0</v>
      </c>
      <c r="AF180" s="712"/>
      <c r="AG180" s="713"/>
      <c r="AH180" s="714"/>
      <c r="AI180" s="398">
        <f t="shared" si="33"/>
        <v>0</v>
      </c>
      <c r="AJ180" s="712"/>
      <c r="AK180" s="713"/>
      <c r="AL180" s="714"/>
      <c r="AM180" s="398">
        <f t="shared" si="34"/>
        <v>0</v>
      </c>
    </row>
    <row r="181" spans="1:39" ht="15.75" customHeight="1" x14ac:dyDescent="0.3">
      <c r="A181" s="2161"/>
      <c r="B181" s="1313" t="str">
        <f t="shared" si="28"/>
        <v/>
      </c>
      <c r="C181" s="1011">
        <f>IF($D$2="NO",0,ROUNDDOWN(SUM(PROD!$V$5:V182)/IF(Iniciar!$C$25="kilos",40,1),0)-SUM($C$4:$C180))</f>
        <v>0</v>
      </c>
      <c r="D181" s="702"/>
      <c r="E181" s="702"/>
      <c r="F181" s="300">
        <f t="shared" si="35"/>
        <v>-35000</v>
      </c>
      <c r="G181" s="694"/>
      <c r="H181" s="695"/>
      <c r="I181" s="1314"/>
      <c r="J181" s="1315">
        <f>IF(K$1&gt;0,ROUNDUP(SUM(PROD!AM$5:AM182)/K$1*K$2,0),0)-SUM(J$4:J180)</f>
        <v>0</v>
      </c>
      <c r="K181" s="1316">
        <f t="shared" si="29"/>
        <v>0</v>
      </c>
      <c r="L181" s="1314"/>
      <c r="M181" s="1315">
        <f>IF(N$1&gt;0,ROUNDUP(SUM(PROD!L$5:L182,-PROD!AM$5:AM182,-PROD!AZ$5:AZ182)/N$1*N$2,0),0)-SUM(M$4:M180)</f>
        <v>0</v>
      </c>
      <c r="N181" s="1316">
        <f t="shared" si="30"/>
        <v>0</v>
      </c>
      <c r="O181" s="1317">
        <f t="shared" si="25"/>
        <v>0</v>
      </c>
      <c r="P181" s="1318"/>
      <c r="Q181" s="1319"/>
      <c r="R181" s="1320">
        <f t="shared" si="26"/>
        <v>0</v>
      </c>
      <c r="S181" s="1316">
        <f t="shared" si="27"/>
        <v>0</v>
      </c>
      <c r="T181" s="712"/>
      <c r="U181" s="713"/>
      <c r="V181" s="714"/>
      <c r="W181" s="398">
        <f t="shared" si="36"/>
        <v>0</v>
      </c>
      <c r="X181" s="712"/>
      <c r="Y181" s="713"/>
      <c r="Z181" s="714"/>
      <c r="AA181" s="398">
        <f t="shared" si="31"/>
        <v>0</v>
      </c>
      <c r="AB181" s="712"/>
      <c r="AC181" s="713"/>
      <c r="AD181" s="714"/>
      <c r="AE181" s="398">
        <f t="shared" si="32"/>
        <v>0</v>
      </c>
      <c r="AF181" s="712"/>
      <c r="AG181" s="713"/>
      <c r="AH181" s="714"/>
      <c r="AI181" s="398">
        <f t="shared" si="33"/>
        <v>0</v>
      </c>
      <c r="AJ181" s="712"/>
      <c r="AK181" s="713"/>
      <c r="AL181" s="714"/>
      <c r="AM181" s="398">
        <f t="shared" si="34"/>
        <v>0</v>
      </c>
    </row>
    <row r="182" spans="1:39" ht="15.75" customHeight="1" x14ac:dyDescent="0.3">
      <c r="A182" s="2161"/>
      <c r="B182" s="1313" t="str">
        <f t="shared" si="28"/>
        <v/>
      </c>
      <c r="C182" s="1011">
        <f>IF($D$2="NO",0,ROUNDDOWN(SUM(PROD!$V$5:V183)/IF(Iniciar!$C$25="kilos",40,1),0)-SUM($C$4:$C181))</f>
        <v>0</v>
      </c>
      <c r="D182" s="702"/>
      <c r="E182" s="702"/>
      <c r="F182" s="300">
        <f t="shared" si="35"/>
        <v>-35000</v>
      </c>
      <c r="G182" s="694"/>
      <c r="H182" s="695"/>
      <c r="I182" s="1314"/>
      <c r="J182" s="1315">
        <f>IF(K$1&gt;0,ROUNDUP(SUM(PROD!AM$5:AM183)/K$1*K$2,0),0)-SUM(J$4:J181)</f>
        <v>0</v>
      </c>
      <c r="K182" s="1316">
        <f t="shared" si="29"/>
        <v>0</v>
      </c>
      <c r="L182" s="1314"/>
      <c r="M182" s="1315">
        <f>IF(N$1&gt;0,ROUNDUP(SUM(PROD!L$5:L183,-PROD!AM$5:AM183,-PROD!AZ$5:AZ183)/N$1*N$2,0),0)-SUM(M$4:M181)</f>
        <v>0</v>
      </c>
      <c r="N182" s="1316">
        <f t="shared" si="30"/>
        <v>0</v>
      </c>
      <c r="O182" s="1317">
        <f t="shared" si="25"/>
        <v>0</v>
      </c>
      <c r="P182" s="1318"/>
      <c r="Q182" s="1319"/>
      <c r="R182" s="1320">
        <f t="shared" si="26"/>
        <v>0</v>
      </c>
      <c r="S182" s="1316">
        <f t="shared" si="27"/>
        <v>0</v>
      </c>
      <c r="T182" s="712"/>
      <c r="U182" s="713"/>
      <c r="V182" s="714"/>
      <c r="W182" s="398">
        <f t="shared" si="36"/>
        <v>0</v>
      </c>
      <c r="X182" s="712"/>
      <c r="Y182" s="713"/>
      <c r="Z182" s="714"/>
      <c r="AA182" s="398">
        <f t="shared" si="31"/>
        <v>0</v>
      </c>
      <c r="AB182" s="712"/>
      <c r="AC182" s="713"/>
      <c r="AD182" s="714"/>
      <c r="AE182" s="398">
        <f t="shared" si="32"/>
        <v>0</v>
      </c>
      <c r="AF182" s="712"/>
      <c r="AG182" s="713"/>
      <c r="AH182" s="714"/>
      <c r="AI182" s="398">
        <f t="shared" si="33"/>
        <v>0</v>
      </c>
      <c r="AJ182" s="712"/>
      <c r="AK182" s="713"/>
      <c r="AL182" s="714"/>
      <c r="AM182" s="398">
        <f t="shared" si="34"/>
        <v>0</v>
      </c>
    </row>
    <row r="183" spans="1:39" ht="15.75" customHeight="1" x14ac:dyDescent="0.3">
      <c r="A183" s="2161"/>
      <c r="B183" s="1313" t="str">
        <f t="shared" si="28"/>
        <v/>
      </c>
      <c r="C183" s="1011">
        <f>IF($D$2="NO",0,ROUNDDOWN(SUM(PROD!$V$5:V184)/IF(Iniciar!$C$25="kilos",40,1),0)-SUM($C$4:$C182))</f>
        <v>0</v>
      </c>
      <c r="D183" s="702"/>
      <c r="E183" s="702"/>
      <c r="F183" s="300">
        <f t="shared" si="35"/>
        <v>-35000</v>
      </c>
      <c r="G183" s="694"/>
      <c r="H183" s="695"/>
      <c r="I183" s="1314"/>
      <c r="J183" s="1315">
        <f>IF(K$1&gt;0,ROUNDUP(SUM(PROD!AM$5:AM184)/K$1*K$2,0),0)-SUM(J$4:J182)</f>
        <v>0</v>
      </c>
      <c r="K183" s="1316">
        <f t="shared" si="29"/>
        <v>0</v>
      </c>
      <c r="L183" s="1314"/>
      <c r="M183" s="1315">
        <f>IF(N$1&gt;0,ROUNDUP(SUM(PROD!L$5:L184,-PROD!AM$5:AM184,-PROD!AZ$5:AZ184)/N$1*N$2,0),0)-SUM(M$4:M182)</f>
        <v>0</v>
      </c>
      <c r="N183" s="1316">
        <f t="shared" si="30"/>
        <v>0</v>
      </c>
      <c r="O183" s="1317">
        <f t="shared" si="25"/>
        <v>0</v>
      </c>
      <c r="P183" s="1318"/>
      <c r="Q183" s="1319"/>
      <c r="R183" s="1320">
        <f t="shared" si="26"/>
        <v>0</v>
      </c>
      <c r="S183" s="1316">
        <f t="shared" si="27"/>
        <v>0</v>
      </c>
      <c r="T183" s="712"/>
      <c r="U183" s="713"/>
      <c r="V183" s="714"/>
      <c r="W183" s="398">
        <f t="shared" si="36"/>
        <v>0</v>
      </c>
      <c r="X183" s="712"/>
      <c r="Y183" s="713"/>
      <c r="Z183" s="714"/>
      <c r="AA183" s="398">
        <f t="shared" si="31"/>
        <v>0</v>
      </c>
      <c r="AB183" s="712"/>
      <c r="AC183" s="713"/>
      <c r="AD183" s="714"/>
      <c r="AE183" s="398">
        <f t="shared" si="32"/>
        <v>0</v>
      </c>
      <c r="AF183" s="712"/>
      <c r="AG183" s="713"/>
      <c r="AH183" s="714"/>
      <c r="AI183" s="398">
        <f t="shared" si="33"/>
        <v>0</v>
      </c>
      <c r="AJ183" s="712"/>
      <c r="AK183" s="713"/>
      <c r="AL183" s="714"/>
      <c r="AM183" s="398">
        <f t="shared" si="34"/>
        <v>0</v>
      </c>
    </row>
    <row r="184" spans="1:39" ht="15.75" customHeight="1" x14ac:dyDescent="0.3">
      <c r="A184" s="2161"/>
      <c r="B184" s="1313" t="str">
        <f t="shared" si="28"/>
        <v/>
      </c>
      <c r="C184" s="1011">
        <f>IF($D$2="NO",0,ROUNDDOWN(SUM(PROD!$V$5:V185)/IF(Iniciar!$C$25="kilos",40,1),0)-SUM($C$4:$C183))</f>
        <v>0</v>
      </c>
      <c r="D184" s="702"/>
      <c r="E184" s="702"/>
      <c r="F184" s="300">
        <f t="shared" si="35"/>
        <v>-35000</v>
      </c>
      <c r="G184" s="694"/>
      <c r="H184" s="695"/>
      <c r="I184" s="1314"/>
      <c r="J184" s="1315">
        <f>IF(K$1&gt;0,ROUNDUP(SUM(PROD!AM$5:AM185)/K$1*K$2,0),0)-SUM(J$4:J183)</f>
        <v>0</v>
      </c>
      <c r="K184" s="1316">
        <f t="shared" si="29"/>
        <v>0</v>
      </c>
      <c r="L184" s="1314"/>
      <c r="M184" s="1315">
        <f>IF(N$1&gt;0,ROUNDUP(SUM(PROD!L$5:L185,-PROD!AM$5:AM185,-PROD!AZ$5:AZ185)/N$1*N$2,0),0)-SUM(M$4:M183)</f>
        <v>0</v>
      </c>
      <c r="N184" s="1316">
        <f t="shared" si="30"/>
        <v>0</v>
      </c>
      <c r="O184" s="1317">
        <f t="shared" si="25"/>
        <v>0</v>
      </c>
      <c r="P184" s="1318"/>
      <c r="Q184" s="1319"/>
      <c r="R184" s="1320">
        <f t="shared" si="26"/>
        <v>0</v>
      </c>
      <c r="S184" s="1316">
        <f t="shared" si="27"/>
        <v>0</v>
      </c>
      <c r="T184" s="712"/>
      <c r="U184" s="713"/>
      <c r="V184" s="714"/>
      <c r="W184" s="398">
        <f t="shared" si="36"/>
        <v>0</v>
      </c>
      <c r="X184" s="712"/>
      <c r="Y184" s="713"/>
      <c r="Z184" s="714"/>
      <c r="AA184" s="398">
        <f t="shared" si="31"/>
        <v>0</v>
      </c>
      <c r="AB184" s="712"/>
      <c r="AC184" s="713"/>
      <c r="AD184" s="714"/>
      <c r="AE184" s="398">
        <f t="shared" si="32"/>
        <v>0</v>
      </c>
      <c r="AF184" s="712"/>
      <c r="AG184" s="713"/>
      <c r="AH184" s="714"/>
      <c r="AI184" s="398">
        <f t="shared" si="33"/>
        <v>0</v>
      </c>
      <c r="AJ184" s="712"/>
      <c r="AK184" s="713"/>
      <c r="AL184" s="714"/>
      <c r="AM184" s="398">
        <f t="shared" si="34"/>
        <v>0</v>
      </c>
    </row>
    <row r="185" spans="1:39" ht="16.5" customHeight="1" x14ac:dyDescent="0.3">
      <c r="A185" s="2162"/>
      <c r="B185" s="1313" t="str">
        <f t="shared" si="28"/>
        <v/>
      </c>
      <c r="C185" s="1011">
        <f>IF($D$2="NO",0,ROUNDDOWN(SUM(PROD!$V$5:V186)/IF(Iniciar!$C$25="kilos",40,1),0)-SUM($C$4:$C184))</f>
        <v>0</v>
      </c>
      <c r="D185" s="702"/>
      <c r="E185" s="702"/>
      <c r="F185" s="300">
        <f t="shared" si="35"/>
        <v>-35000</v>
      </c>
      <c r="G185" s="694"/>
      <c r="H185" s="695"/>
      <c r="I185" s="1314"/>
      <c r="J185" s="1315">
        <f>IF(K$1&gt;0,ROUNDUP(SUM(PROD!AM$5:AM186)/K$1*K$2,0),0)-SUM(J$4:J184)</f>
        <v>0</v>
      </c>
      <c r="K185" s="1316">
        <f t="shared" si="29"/>
        <v>0</v>
      </c>
      <c r="L185" s="1314"/>
      <c r="M185" s="1315">
        <f>IF(N$1&gt;0,ROUNDUP(SUM(PROD!L$5:L186,-PROD!AM$5:AM186,-PROD!AZ$5:AZ186)/N$1*N$2,0),0)-SUM(M$4:M184)</f>
        <v>0</v>
      </c>
      <c r="N185" s="1316">
        <f t="shared" si="30"/>
        <v>0</v>
      </c>
      <c r="O185" s="1317">
        <f t="shared" si="25"/>
        <v>0</v>
      </c>
      <c r="P185" s="1318"/>
      <c r="Q185" s="1319"/>
      <c r="R185" s="1320">
        <f t="shared" si="26"/>
        <v>0</v>
      </c>
      <c r="S185" s="1316">
        <f t="shared" si="27"/>
        <v>0</v>
      </c>
      <c r="T185" s="712"/>
      <c r="U185" s="713"/>
      <c r="V185" s="714"/>
      <c r="W185" s="398">
        <f t="shared" si="36"/>
        <v>0</v>
      </c>
      <c r="X185" s="712"/>
      <c r="Y185" s="713"/>
      <c r="Z185" s="714"/>
      <c r="AA185" s="398">
        <f t="shared" si="31"/>
        <v>0</v>
      </c>
      <c r="AB185" s="712"/>
      <c r="AC185" s="713"/>
      <c r="AD185" s="714"/>
      <c r="AE185" s="398">
        <f t="shared" si="32"/>
        <v>0</v>
      </c>
      <c r="AF185" s="712"/>
      <c r="AG185" s="713"/>
      <c r="AH185" s="714"/>
      <c r="AI185" s="398">
        <f t="shared" si="33"/>
        <v>0</v>
      </c>
      <c r="AJ185" s="712"/>
      <c r="AK185" s="713"/>
      <c r="AL185" s="714"/>
      <c r="AM185" s="398">
        <f t="shared" si="34"/>
        <v>0</v>
      </c>
    </row>
    <row r="186" spans="1:39" ht="16.5" customHeight="1" x14ac:dyDescent="0.3">
      <c r="A186" s="2160">
        <f>A179+1</f>
        <v>44</v>
      </c>
      <c r="B186" s="1313" t="str">
        <f t="shared" si="28"/>
        <v/>
      </c>
      <c r="C186" s="1011">
        <f>IF($D$2="NO",0,ROUNDDOWN(SUM(PROD!$V$5:V187)/IF(Iniciar!$C$25="kilos",40,1),0)-SUM($C$4:$C185))</f>
        <v>0</v>
      </c>
      <c r="D186" s="702"/>
      <c r="E186" s="702"/>
      <c r="F186" s="300">
        <f t="shared" si="35"/>
        <v>-35000</v>
      </c>
      <c r="G186" s="694"/>
      <c r="H186" s="695"/>
      <c r="I186" s="1314"/>
      <c r="J186" s="1315">
        <f>IF(K$1&gt;0,ROUNDUP(SUM(PROD!AM$5:AM187)/K$1*K$2,0),0)-SUM(J$4:J185)</f>
        <v>0</v>
      </c>
      <c r="K186" s="1316">
        <f t="shared" si="29"/>
        <v>0</v>
      </c>
      <c r="L186" s="1314"/>
      <c r="M186" s="1315">
        <f>IF(N$1&gt;0,ROUNDUP(SUM(PROD!L$5:L187,-PROD!AM$5:AM187,-PROD!AZ$5:AZ187)/N$1*N$2,0),0)-SUM(M$4:M185)</f>
        <v>0</v>
      </c>
      <c r="N186" s="1316">
        <f t="shared" si="30"/>
        <v>0</v>
      </c>
      <c r="O186" s="1317">
        <f t="shared" si="25"/>
        <v>0</v>
      </c>
      <c r="P186" s="1318"/>
      <c r="Q186" s="1319"/>
      <c r="R186" s="1320">
        <f t="shared" si="26"/>
        <v>0</v>
      </c>
      <c r="S186" s="1316">
        <f t="shared" si="27"/>
        <v>0</v>
      </c>
      <c r="T186" s="712"/>
      <c r="U186" s="713"/>
      <c r="V186" s="714"/>
      <c r="W186" s="398">
        <f t="shared" si="36"/>
        <v>0</v>
      </c>
      <c r="X186" s="712"/>
      <c r="Y186" s="713"/>
      <c r="Z186" s="714"/>
      <c r="AA186" s="398">
        <f t="shared" si="31"/>
        <v>0</v>
      </c>
      <c r="AB186" s="712"/>
      <c r="AC186" s="713"/>
      <c r="AD186" s="714"/>
      <c r="AE186" s="398">
        <f t="shared" si="32"/>
        <v>0</v>
      </c>
      <c r="AF186" s="712"/>
      <c r="AG186" s="713"/>
      <c r="AH186" s="714"/>
      <c r="AI186" s="398">
        <f t="shared" si="33"/>
        <v>0</v>
      </c>
      <c r="AJ186" s="712"/>
      <c r="AK186" s="713"/>
      <c r="AL186" s="714"/>
      <c r="AM186" s="398">
        <f t="shared" si="34"/>
        <v>0</v>
      </c>
    </row>
    <row r="187" spans="1:39" ht="15.75" customHeight="1" x14ac:dyDescent="0.3">
      <c r="A187" s="2161"/>
      <c r="B187" s="1313" t="str">
        <f t="shared" si="28"/>
        <v/>
      </c>
      <c r="C187" s="1011">
        <f>IF($D$2="NO",0,ROUNDDOWN(SUM(PROD!$V$5:V188)/IF(Iniciar!$C$25="kilos",40,1),0)-SUM($C$4:$C186))</f>
        <v>0</v>
      </c>
      <c r="D187" s="702"/>
      <c r="E187" s="702"/>
      <c r="F187" s="300">
        <f t="shared" si="35"/>
        <v>-35000</v>
      </c>
      <c r="G187" s="694"/>
      <c r="H187" s="695"/>
      <c r="I187" s="1314"/>
      <c r="J187" s="1315">
        <f>IF(K$1&gt;0,ROUNDUP(SUM(PROD!AM$5:AM188)/K$1*K$2,0),0)-SUM(J$4:J186)</f>
        <v>0</v>
      </c>
      <c r="K187" s="1316">
        <f t="shared" si="29"/>
        <v>0</v>
      </c>
      <c r="L187" s="1314"/>
      <c r="M187" s="1315">
        <f>IF(N$1&gt;0,ROUNDUP(SUM(PROD!L$5:L188,-PROD!AM$5:AM188,-PROD!AZ$5:AZ188)/N$1*N$2,0),0)-SUM(M$4:M186)</f>
        <v>0</v>
      </c>
      <c r="N187" s="1316">
        <f t="shared" si="30"/>
        <v>0</v>
      </c>
      <c r="O187" s="1317">
        <f t="shared" si="25"/>
        <v>0</v>
      </c>
      <c r="P187" s="1318"/>
      <c r="Q187" s="1319"/>
      <c r="R187" s="1320">
        <f t="shared" si="26"/>
        <v>0</v>
      </c>
      <c r="S187" s="1316">
        <f t="shared" si="27"/>
        <v>0</v>
      </c>
      <c r="T187" s="712"/>
      <c r="U187" s="713"/>
      <c r="V187" s="714"/>
      <c r="W187" s="398">
        <f t="shared" si="36"/>
        <v>0</v>
      </c>
      <c r="X187" s="712"/>
      <c r="Y187" s="713"/>
      <c r="Z187" s="714"/>
      <c r="AA187" s="398">
        <f t="shared" si="31"/>
        <v>0</v>
      </c>
      <c r="AB187" s="712"/>
      <c r="AC187" s="713"/>
      <c r="AD187" s="714"/>
      <c r="AE187" s="398">
        <f t="shared" si="32"/>
        <v>0</v>
      </c>
      <c r="AF187" s="712"/>
      <c r="AG187" s="713"/>
      <c r="AH187" s="714"/>
      <c r="AI187" s="398">
        <f t="shared" si="33"/>
        <v>0</v>
      </c>
      <c r="AJ187" s="712"/>
      <c r="AK187" s="713"/>
      <c r="AL187" s="714"/>
      <c r="AM187" s="398">
        <f t="shared" si="34"/>
        <v>0</v>
      </c>
    </row>
    <row r="188" spans="1:39" ht="15.75" customHeight="1" x14ac:dyDescent="0.3">
      <c r="A188" s="2161"/>
      <c r="B188" s="1313" t="str">
        <f t="shared" si="28"/>
        <v/>
      </c>
      <c r="C188" s="1011">
        <f>IF($D$2="NO",0,ROUNDDOWN(SUM(PROD!$V$5:V189)/IF(Iniciar!$C$25="kilos",40,1),0)-SUM($C$4:$C187))</f>
        <v>0</v>
      </c>
      <c r="D188" s="702"/>
      <c r="E188" s="702"/>
      <c r="F188" s="300">
        <f t="shared" si="35"/>
        <v>-35000</v>
      </c>
      <c r="G188" s="694"/>
      <c r="H188" s="695"/>
      <c r="I188" s="1314"/>
      <c r="J188" s="1315">
        <f>IF(K$1&gt;0,ROUNDUP(SUM(PROD!AM$5:AM189)/K$1*K$2,0),0)-SUM(J$4:J187)</f>
        <v>0</v>
      </c>
      <c r="K188" s="1316">
        <f t="shared" si="29"/>
        <v>0</v>
      </c>
      <c r="L188" s="1314"/>
      <c r="M188" s="1315">
        <f>IF(N$1&gt;0,ROUNDUP(SUM(PROD!L$5:L189,-PROD!AM$5:AM189,-PROD!AZ$5:AZ189)/N$1*N$2,0),0)-SUM(M$4:M187)</f>
        <v>0</v>
      </c>
      <c r="N188" s="1316">
        <f t="shared" si="30"/>
        <v>0</v>
      </c>
      <c r="O188" s="1317">
        <f t="shared" si="25"/>
        <v>0</v>
      </c>
      <c r="P188" s="1318"/>
      <c r="Q188" s="1319"/>
      <c r="R188" s="1320">
        <f t="shared" si="26"/>
        <v>0</v>
      </c>
      <c r="S188" s="1316">
        <f t="shared" si="27"/>
        <v>0</v>
      </c>
      <c r="T188" s="712"/>
      <c r="U188" s="713"/>
      <c r="V188" s="714"/>
      <c r="W188" s="398">
        <f t="shared" si="36"/>
        <v>0</v>
      </c>
      <c r="X188" s="712"/>
      <c r="Y188" s="713"/>
      <c r="Z188" s="714"/>
      <c r="AA188" s="398">
        <f t="shared" si="31"/>
        <v>0</v>
      </c>
      <c r="AB188" s="712"/>
      <c r="AC188" s="713"/>
      <c r="AD188" s="714"/>
      <c r="AE188" s="398">
        <f t="shared" si="32"/>
        <v>0</v>
      </c>
      <c r="AF188" s="712"/>
      <c r="AG188" s="713"/>
      <c r="AH188" s="714"/>
      <c r="AI188" s="398">
        <f t="shared" si="33"/>
        <v>0</v>
      </c>
      <c r="AJ188" s="712"/>
      <c r="AK188" s="713"/>
      <c r="AL188" s="714"/>
      <c r="AM188" s="398">
        <f t="shared" si="34"/>
        <v>0</v>
      </c>
    </row>
    <row r="189" spans="1:39" ht="15.75" customHeight="1" x14ac:dyDescent="0.3">
      <c r="A189" s="2161"/>
      <c r="B189" s="1313" t="str">
        <f t="shared" si="28"/>
        <v/>
      </c>
      <c r="C189" s="1011">
        <f>IF($D$2="NO",0,ROUNDDOWN(SUM(PROD!$V$5:V190)/IF(Iniciar!$C$25="kilos",40,1),0)-SUM($C$4:$C188))</f>
        <v>0</v>
      </c>
      <c r="D189" s="702"/>
      <c r="E189" s="702"/>
      <c r="F189" s="300">
        <f t="shared" si="35"/>
        <v>-35000</v>
      </c>
      <c r="G189" s="694"/>
      <c r="H189" s="695"/>
      <c r="I189" s="1314"/>
      <c r="J189" s="1315">
        <f>IF(K$1&gt;0,ROUNDUP(SUM(PROD!AM$5:AM190)/K$1*K$2,0),0)-SUM(J$4:J188)</f>
        <v>0</v>
      </c>
      <c r="K189" s="1316">
        <f t="shared" si="29"/>
        <v>0</v>
      </c>
      <c r="L189" s="1314"/>
      <c r="M189" s="1315">
        <f>IF(N$1&gt;0,ROUNDUP(SUM(PROD!L$5:L190,-PROD!AM$5:AM190,-PROD!AZ$5:AZ190)/N$1*N$2,0),0)-SUM(M$4:M188)</f>
        <v>0</v>
      </c>
      <c r="N189" s="1316">
        <f t="shared" si="30"/>
        <v>0</v>
      </c>
      <c r="O189" s="1317">
        <f t="shared" si="25"/>
        <v>0</v>
      </c>
      <c r="P189" s="1318"/>
      <c r="Q189" s="1319"/>
      <c r="R189" s="1320">
        <f t="shared" si="26"/>
        <v>0</v>
      </c>
      <c r="S189" s="1316">
        <f t="shared" si="27"/>
        <v>0</v>
      </c>
      <c r="T189" s="712"/>
      <c r="U189" s="713"/>
      <c r="V189" s="714"/>
      <c r="W189" s="398">
        <f t="shared" si="36"/>
        <v>0</v>
      </c>
      <c r="X189" s="712"/>
      <c r="Y189" s="713"/>
      <c r="Z189" s="714"/>
      <c r="AA189" s="398">
        <f t="shared" si="31"/>
        <v>0</v>
      </c>
      <c r="AB189" s="712"/>
      <c r="AC189" s="713"/>
      <c r="AD189" s="714"/>
      <c r="AE189" s="398">
        <f t="shared" si="32"/>
        <v>0</v>
      </c>
      <c r="AF189" s="712"/>
      <c r="AG189" s="713"/>
      <c r="AH189" s="714"/>
      <c r="AI189" s="398">
        <f t="shared" si="33"/>
        <v>0</v>
      </c>
      <c r="AJ189" s="712"/>
      <c r="AK189" s="713"/>
      <c r="AL189" s="714"/>
      <c r="AM189" s="398">
        <f t="shared" si="34"/>
        <v>0</v>
      </c>
    </row>
    <row r="190" spans="1:39" ht="15.75" customHeight="1" x14ac:dyDescent="0.3">
      <c r="A190" s="2161"/>
      <c r="B190" s="1313" t="str">
        <f t="shared" si="28"/>
        <v/>
      </c>
      <c r="C190" s="1011">
        <f>IF($D$2="NO",0,ROUNDDOWN(SUM(PROD!$V$5:V191)/IF(Iniciar!$C$25="kilos",40,1),0)-SUM($C$4:$C189))</f>
        <v>0</v>
      </c>
      <c r="D190" s="702"/>
      <c r="E190" s="702"/>
      <c r="F190" s="300">
        <f t="shared" si="35"/>
        <v>-35000</v>
      </c>
      <c r="G190" s="694"/>
      <c r="H190" s="695"/>
      <c r="I190" s="1314"/>
      <c r="J190" s="1315">
        <f>IF(K$1&gt;0,ROUNDUP(SUM(PROD!AM$5:AM191)/K$1*K$2,0),0)-SUM(J$4:J189)</f>
        <v>0</v>
      </c>
      <c r="K190" s="1316">
        <f t="shared" si="29"/>
        <v>0</v>
      </c>
      <c r="L190" s="1314"/>
      <c r="M190" s="1315">
        <f>IF(N$1&gt;0,ROUNDUP(SUM(PROD!L$5:L191,-PROD!AM$5:AM191,-PROD!AZ$5:AZ191)/N$1*N$2,0),0)-SUM(M$4:M189)</f>
        <v>0</v>
      </c>
      <c r="N190" s="1316">
        <f t="shared" si="30"/>
        <v>0</v>
      </c>
      <c r="O190" s="1317">
        <f t="shared" si="25"/>
        <v>0</v>
      </c>
      <c r="P190" s="1318"/>
      <c r="Q190" s="1319"/>
      <c r="R190" s="1320">
        <f t="shared" si="26"/>
        <v>0</v>
      </c>
      <c r="S190" s="1316">
        <f t="shared" si="27"/>
        <v>0</v>
      </c>
      <c r="T190" s="712"/>
      <c r="U190" s="713"/>
      <c r="V190" s="714"/>
      <c r="W190" s="398">
        <f t="shared" si="36"/>
        <v>0</v>
      </c>
      <c r="X190" s="712"/>
      <c r="Y190" s="713"/>
      <c r="Z190" s="714"/>
      <c r="AA190" s="398">
        <f t="shared" si="31"/>
        <v>0</v>
      </c>
      <c r="AB190" s="712"/>
      <c r="AC190" s="713"/>
      <c r="AD190" s="714"/>
      <c r="AE190" s="398">
        <f t="shared" si="32"/>
        <v>0</v>
      </c>
      <c r="AF190" s="712"/>
      <c r="AG190" s="713"/>
      <c r="AH190" s="714"/>
      <c r="AI190" s="398">
        <f t="shared" si="33"/>
        <v>0</v>
      </c>
      <c r="AJ190" s="712"/>
      <c r="AK190" s="713"/>
      <c r="AL190" s="714"/>
      <c r="AM190" s="398">
        <f t="shared" si="34"/>
        <v>0</v>
      </c>
    </row>
    <row r="191" spans="1:39" ht="15.75" customHeight="1" x14ac:dyDescent="0.3">
      <c r="A191" s="2161"/>
      <c r="B191" s="1313" t="str">
        <f t="shared" si="28"/>
        <v/>
      </c>
      <c r="C191" s="1011">
        <f>IF($D$2="NO",0,ROUNDDOWN(SUM(PROD!$V$5:V192)/IF(Iniciar!$C$25="kilos",40,1),0)-SUM($C$4:$C190))</f>
        <v>0</v>
      </c>
      <c r="D191" s="702"/>
      <c r="E191" s="702"/>
      <c r="F191" s="300">
        <f t="shared" si="35"/>
        <v>-35000</v>
      </c>
      <c r="G191" s="694"/>
      <c r="H191" s="695"/>
      <c r="I191" s="1314"/>
      <c r="J191" s="1315">
        <f>IF(K$1&gt;0,ROUNDUP(SUM(PROD!AM$5:AM192)/K$1*K$2,0),0)-SUM(J$4:J190)</f>
        <v>0</v>
      </c>
      <c r="K191" s="1316">
        <f t="shared" si="29"/>
        <v>0</v>
      </c>
      <c r="L191" s="1314"/>
      <c r="M191" s="1315">
        <f>IF(N$1&gt;0,ROUNDUP(SUM(PROD!L$5:L192,-PROD!AM$5:AM192,-PROD!AZ$5:AZ192)/N$1*N$2,0),0)-SUM(M$4:M190)</f>
        <v>0</v>
      </c>
      <c r="N191" s="1316">
        <f t="shared" si="30"/>
        <v>0</v>
      </c>
      <c r="O191" s="1317">
        <f t="shared" si="25"/>
        <v>0</v>
      </c>
      <c r="P191" s="1318"/>
      <c r="Q191" s="1319"/>
      <c r="R191" s="1320">
        <f t="shared" si="26"/>
        <v>0</v>
      </c>
      <c r="S191" s="1316">
        <f t="shared" si="27"/>
        <v>0</v>
      </c>
      <c r="T191" s="712"/>
      <c r="U191" s="713"/>
      <c r="V191" s="714"/>
      <c r="W191" s="398">
        <f t="shared" si="36"/>
        <v>0</v>
      </c>
      <c r="X191" s="712"/>
      <c r="Y191" s="713"/>
      <c r="Z191" s="714"/>
      <c r="AA191" s="398">
        <f t="shared" si="31"/>
        <v>0</v>
      </c>
      <c r="AB191" s="712"/>
      <c r="AC191" s="713"/>
      <c r="AD191" s="714"/>
      <c r="AE191" s="398">
        <f t="shared" si="32"/>
        <v>0</v>
      </c>
      <c r="AF191" s="712"/>
      <c r="AG191" s="713"/>
      <c r="AH191" s="714"/>
      <c r="AI191" s="398">
        <f t="shared" si="33"/>
        <v>0</v>
      </c>
      <c r="AJ191" s="712"/>
      <c r="AK191" s="713"/>
      <c r="AL191" s="714"/>
      <c r="AM191" s="398">
        <f t="shared" si="34"/>
        <v>0</v>
      </c>
    </row>
    <row r="192" spans="1:39" ht="16.5" customHeight="1" x14ac:dyDescent="0.3">
      <c r="A192" s="2162"/>
      <c r="B192" s="1313" t="str">
        <f t="shared" si="28"/>
        <v/>
      </c>
      <c r="C192" s="1011">
        <f>IF($D$2="NO",0,ROUNDDOWN(SUM(PROD!$V$5:V193)/IF(Iniciar!$C$25="kilos",40,1),0)-SUM($C$4:$C191))</f>
        <v>0</v>
      </c>
      <c r="D192" s="702"/>
      <c r="E192" s="702"/>
      <c r="F192" s="300">
        <f t="shared" si="35"/>
        <v>-35000</v>
      </c>
      <c r="G192" s="694"/>
      <c r="H192" s="695"/>
      <c r="I192" s="1314"/>
      <c r="J192" s="1315">
        <f>IF(K$1&gt;0,ROUNDUP(SUM(PROD!AM$5:AM193)/K$1*K$2,0),0)-SUM(J$4:J191)</f>
        <v>0</v>
      </c>
      <c r="K192" s="1316">
        <f t="shared" si="29"/>
        <v>0</v>
      </c>
      <c r="L192" s="1314"/>
      <c r="M192" s="1315">
        <f>IF(N$1&gt;0,ROUNDUP(SUM(PROD!L$5:L193,-PROD!AM$5:AM193,-PROD!AZ$5:AZ193)/N$1*N$2,0),0)-SUM(M$4:M191)</f>
        <v>0</v>
      </c>
      <c r="N192" s="1316">
        <f t="shared" si="30"/>
        <v>0</v>
      </c>
      <c r="O192" s="1317">
        <f t="shared" si="25"/>
        <v>0</v>
      </c>
      <c r="P192" s="1318"/>
      <c r="Q192" s="1319"/>
      <c r="R192" s="1320">
        <f t="shared" si="26"/>
        <v>0</v>
      </c>
      <c r="S192" s="1316">
        <f t="shared" si="27"/>
        <v>0</v>
      </c>
      <c r="T192" s="712"/>
      <c r="U192" s="713"/>
      <c r="V192" s="714"/>
      <c r="W192" s="398">
        <f t="shared" si="36"/>
        <v>0</v>
      </c>
      <c r="X192" s="712"/>
      <c r="Y192" s="713"/>
      <c r="Z192" s="714"/>
      <c r="AA192" s="398">
        <f t="shared" si="31"/>
        <v>0</v>
      </c>
      <c r="AB192" s="712"/>
      <c r="AC192" s="713"/>
      <c r="AD192" s="714"/>
      <c r="AE192" s="398">
        <f t="shared" si="32"/>
        <v>0</v>
      </c>
      <c r="AF192" s="712"/>
      <c r="AG192" s="713"/>
      <c r="AH192" s="714"/>
      <c r="AI192" s="398">
        <f t="shared" si="33"/>
        <v>0</v>
      </c>
      <c r="AJ192" s="712"/>
      <c r="AK192" s="713"/>
      <c r="AL192" s="714"/>
      <c r="AM192" s="398">
        <f t="shared" si="34"/>
        <v>0</v>
      </c>
    </row>
    <row r="193" spans="1:39" ht="16.5" customHeight="1" x14ac:dyDescent="0.3">
      <c r="A193" s="2160">
        <f>A186+1</f>
        <v>45</v>
      </c>
      <c r="B193" s="1313" t="str">
        <f t="shared" si="28"/>
        <v/>
      </c>
      <c r="C193" s="1011">
        <f>IF($D$2="NO",0,ROUNDDOWN(SUM(PROD!$V$5:V194)/IF(Iniciar!$C$25="kilos",40,1),0)-SUM($C$4:$C192))</f>
        <v>0</v>
      </c>
      <c r="D193" s="702"/>
      <c r="E193" s="702"/>
      <c r="F193" s="300">
        <f t="shared" si="35"/>
        <v>-35000</v>
      </c>
      <c r="G193" s="694"/>
      <c r="H193" s="695"/>
      <c r="I193" s="1314"/>
      <c r="J193" s="1315">
        <f>IF(K$1&gt;0,ROUNDUP(SUM(PROD!AM$5:AM194)/K$1*K$2,0),0)-SUM(J$4:J192)</f>
        <v>0</v>
      </c>
      <c r="K193" s="1316">
        <f t="shared" si="29"/>
        <v>0</v>
      </c>
      <c r="L193" s="1314"/>
      <c r="M193" s="1315">
        <f>IF(N$1&gt;0,ROUNDUP(SUM(PROD!L$5:L194,-PROD!AM$5:AM194,-PROD!AZ$5:AZ194)/N$1*N$2,0),0)-SUM(M$4:M192)</f>
        <v>0</v>
      </c>
      <c r="N193" s="1316">
        <f t="shared" si="30"/>
        <v>0</v>
      </c>
      <c r="O193" s="1317">
        <f t="shared" si="25"/>
        <v>0</v>
      </c>
      <c r="P193" s="1318"/>
      <c r="Q193" s="1319"/>
      <c r="R193" s="1320">
        <f t="shared" si="26"/>
        <v>0</v>
      </c>
      <c r="S193" s="1316">
        <f t="shared" si="27"/>
        <v>0</v>
      </c>
      <c r="T193" s="712"/>
      <c r="U193" s="713"/>
      <c r="V193" s="714"/>
      <c r="W193" s="398">
        <f t="shared" si="36"/>
        <v>0</v>
      </c>
      <c r="X193" s="712"/>
      <c r="Y193" s="713"/>
      <c r="Z193" s="714"/>
      <c r="AA193" s="398">
        <f t="shared" si="31"/>
        <v>0</v>
      </c>
      <c r="AB193" s="712"/>
      <c r="AC193" s="713"/>
      <c r="AD193" s="714"/>
      <c r="AE193" s="398">
        <f t="shared" si="32"/>
        <v>0</v>
      </c>
      <c r="AF193" s="712"/>
      <c r="AG193" s="713"/>
      <c r="AH193" s="714"/>
      <c r="AI193" s="398">
        <f t="shared" si="33"/>
        <v>0</v>
      </c>
      <c r="AJ193" s="712"/>
      <c r="AK193" s="713"/>
      <c r="AL193" s="714"/>
      <c r="AM193" s="398">
        <f t="shared" si="34"/>
        <v>0</v>
      </c>
    </row>
    <row r="194" spans="1:39" ht="15.75" customHeight="1" x14ac:dyDescent="0.3">
      <c r="A194" s="2161"/>
      <c r="B194" s="1313" t="str">
        <f t="shared" si="28"/>
        <v/>
      </c>
      <c r="C194" s="1011">
        <f>IF($D$2="NO",0,ROUNDDOWN(SUM(PROD!$V$5:V195)/IF(Iniciar!$C$25="kilos",40,1),0)-SUM($C$4:$C193))</f>
        <v>0</v>
      </c>
      <c r="D194" s="702"/>
      <c r="E194" s="702"/>
      <c r="F194" s="300">
        <f t="shared" si="35"/>
        <v>-35000</v>
      </c>
      <c r="G194" s="694"/>
      <c r="H194" s="695"/>
      <c r="I194" s="1314"/>
      <c r="J194" s="1315">
        <f>IF(K$1&gt;0,ROUNDUP(SUM(PROD!AM$5:AM195)/K$1*K$2,0),0)-SUM(J$4:J193)</f>
        <v>0</v>
      </c>
      <c r="K194" s="1316">
        <f t="shared" si="29"/>
        <v>0</v>
      </c>
      <c r="L194" s="1314"/>
      <c r="M194" s="1315">
        <f>IF(N$1&gt;0,ROUNDUP(SUM(PROD!L$5:L195,-PROD!AM$5:AM195,-PROD!AZ$5:AZ195)/N$1*N$2,0),0)-SUM(M$4:M193)</f>
        <v>0</v>
      </c>
      <c r="N194" s="1316">
        <f t="shared" si="30"/>
        <v>0</v>
      </c>
      <c r="O194" s="1317">
        <f t="shared" si="25"/>
        <v>0</v>
      </c>
      <c r="P194" s="1318"/>
      <c r="Q194" s="1319"/>
      <c r="R194" s="1320">
        <f t="shared" si="26"/>
        <v>0</v>
      </c>
      <c r="S194" s="1316">
        <f t="shared" si="27"/>
        <v>0</v>
      </c>
      <c r="T194" s="712"/>
      <c r="U194" s="713"/>
      <c r="V194" s="714"/>
      <c r="W194" s="398">
        <f t="shared" si="36"/>
        <v>0</v>
      </c>
      <c r="X194" s="712"/>
      <c r="Y194" s="713"/>
      <c r="Z194" s="714"/>
      <c r="AA194" s="398">
        <f t="shared" si="31"/>
        <v>0</v>
      </c>
      <c r="AB194" s="712"/>
      <c r="AC194" s="713"/>
      <c r="AD194" s="714"/>
      <c r="AE194" s="398">
        <f t="shared" si="32"/>
        <v>0</v>
      </c>
      <c r="AF194" s="712"/>
      <c r="AG194" s="713"/>
      <c r="AH194" s="714"/>
      <c r="AI194" s="398">
        <f t="shared" si="33"/>
        <v>0</v>
      </c>
      <c r="AJ194" s="712"/>
      <c r="AK194" s="713"/>
      <c r="AL194" s="714"/>
      <c r="AM194" s="398">
        <f t="shared" si="34"/>
        <v>0</v>
      </c>
    </row>
    <row r="195" spans="1:39" ht="15.75" customHeight="1" x14ac:dyDescent="0.3">
      <c r="A195" s="2161"/>
      <c r="B195" s="1313" t="str">
        <f t="shared" si="28"/>
        <v/>
      </c>
      <c r="C195" s="1011">
        <f>IF($D$2="NO",0,ROUNDDOWN(SUM(PROD!$V$5:V196)/IF(Iniciar!$C$25="kilos",40,1),0)-SUM($C$4:$C194))</f>
        <v>0</v>
      </c>
      <c r="D195" s="702"/>
      <c r="E195" s="702"/>
      <c r="F195" s="300">
        <f t="shared" si="35"/>
        <v>-35000</v>
      </c>
      <c r="G195" s="694"/>
      <c r="H195" s="695"/>
      <c r="I195" s="1314"/>
      <c r="J195" s="1315">
        <f>IF(K$1&gt;0,ROUNDUP(SUM(PROD!AM$5:AM196)/K$1*K$2,0),0)-SUM(J$4:J194)</f>
        <v>0</v>
      </c>
      <c r="K195" s="1316">
        <f t="shared" si="29"/>
        <v>0</v>
      </c>
      <c r="L195" s="1314"/>
      <c r="M195" s="1315">
        <f>IF(N$1&gt;0,ROUNDUP(SUM(PROD!L$5:L196,-PROD!AM$5:AM196,-PROD!AZ$5:AZ196)/N$1*N$2,0),0)-SUM(M$4:M194)</f>
        <v>0</v>
      </c>
      <c r="N195" s="1316">
        <f t="shared" si="30"/>
        <v>0</v>
      </c>
      <c r="O195" s="1317">
        <f t="shared" si="25"/>
        <v>0</v>
      </c>
      <c r="P195" s="1318"/>
      <c r="Q195" s="1319"/>
      <c r="R195" s="1320">
        <f t="shared" si="26"/>
        <v>0</v>
      </c>
      <c r="S195" s="1316">
        <f t="shared" si="27"/>
        <v>0</v>
      </c>
      <c r="T195" s="712"/>
      <c r="U195" s="713"/>
      <c r="V195" s="714"/>
      <c r="W195" s="398">
        <f t="shared" si="36"/>
        <v>0</v>
      </c>
      <c r="X195" s="712"/>
      <c r="Y195" s="713"/>
      <c r="Z195" s="714"/>
      <c r="AA195" s="398">
        <f t="shared" si="31"/>
        <v>0</v>
      </c>
      <c r="AB195" s="712"/>
      <c r="AC195" s="713"/>
      <c r="AD195" s="714"/>
      <c r="AE195" s="398">
        <f t="shared" si="32"/>
        <v>0</v>
      </c>
      <c r="AF195" s="712"/>
      <c r="AG195" s="713"/>
      <c r="AH195" s="714"/>
      <c r="AI195" s="398">
        <f t="shared" si="33"/>
        <v>0</v>
      </c>
      <c r="AJ195" s="712"/>
      <c r="AK195" s="713"/>
      <c r="AL195" s="714"/>
      <c r="AM195" s="398">
        <f t="shared" si="34"/>
        <v>0</v>
      </c>
    </row>
    <row r="196" spans="1:39" ht="15.75" customHeight="1" x14ac:dyDescent="0.3">
      <c r="A196" s="2161"/>
      <c r="B196" s="1313" t="str">
        <f t="shared" si="28"/>
        <v/>
      </c>
      <c r="C196" s="1011">
        <f>IF($D$2="NO",0,ROUNDDOWN(SUM(PROD!$V$5:V197)/IF(Iniciar!$C$25="kilos",40,1),0)-SUM($C$4:$C195))</f>
        <v>0</v>
      </c>
      <c r="D196" s="702"/>
      <c r="E196" s="702"/>
      <c r="F196" s="300">
        <f t="shared" si="35"/>
        <v>-35000</v>
      </c>
      <c r="G196" s="694"/>
      <c r="H196" s="695"/>
      <c r="I196" s="1314"/>
      <c r="J196" s="1315">
        <f>IF(K$1&gt;0,ROUNDUP(SUM(PROD!AM$5:AM197)/K$1*K$2,0),0)-SUM(J$4:J195)</f>
        <v>0</v>
      </c>
      <c r="K196" s="1316">
        <f t="shared" si="29"/>
        <v>0</v>
      </c>
      <c r="L196" s="1314"/>
      <c r="M196" s="1315">
        <f>IF(N$1&gt;0,ROUNDUP(SUM(PROD!L$5:L197,-PROD!AM$5:AM197,-PROD!AZ$5:AZ197)/N$1*N$2,0),0)-SUM(M$4:M195)</f>
        <v>0</v>
      </c>
      <c r="N196" s="1316">
        <f t="shared" si="30"/>
        <v>0</v>
      </c>
      <c r="O196" s="1317">
        <f t="shared" ref="O196:O259" si="37">L196+I196</f>
        <v>0</v>
      </c>
      <c r="P196" s="1318"/>
      <c r="Q196" s="1319"/>
      <c r="R196" s="1320">
        <f t="shared" ref="R196:R259" si="38">M196+J196</f>
        <v>0</v>
      </c>
      <c r="S196" s="1316">
        <f t="shared" ref="S196:S259" si="39">N196+K196</f>
        <v>0</v>
      </c>
      <c r="T196" s="712"/>
      <c r="U196" s="713"/>
      <c r="V196" s="714"/>
      <c r="W196" s="398">
        <f t="shared" si="36"/>
        <v>0</v>
      </c>
      <c r="X196" s="712"/>
      <c r="Y196" s="713"/>
      <c r="Z196" s="714"/>
      <c r="AA196" s="398">
        <f t="shared" si="31"/>
        <v>0</v>
      </c>
      <c r="AB196" s="712"/>
      <c r="AC196" s="713"/>
      <c r="AD196" s="714"/>
      <c r="AE196" s="398">
        <f t="shared" si="32"/>
        <v>0</v>
      </c>
      <c r="AF196" s="712"/>
      <c r="AG196" s="713"/>
      <c r="AH196" s="714"/>
      <c r="AI196" s="398">
        <f t="shared" si="33"/>
        <v>0</v>
      </c>
      <c r="AJ196" s="712"/>
      <c r="AK196" s="713"/>
      <c r="AL196" s="714"/>
      <c r="AM196" s="398">
        <f t="shared" si="34"/>
        <v>0</v>
      </c>
    </row>
    <row r="197" spans="1:39" ht="15.75" customHeight="1" x14ac:dyDescent="0.3">
      <c r="A197" s="2161"/>
      <c r="B197" s="1313" t="str">
        <f t="shared" ref="B197:B260" si="40">IF(B196="","",B196+1)</f>
        <v/>
      </c>
      <c r="C197" s="1011">
        <f>IF($D$2="NO",0,ROUNDDOWN(SUM(PROD!$V$5:V198)/IF(Iniciar!$C$25="kilos",40,1),0)-SUM($C$4:$C196))</f>
        <v>0</v>
      </c>
      <c r="D197" s="702"/>
      <c r="E197" s="702"/>
      <c r="F197" s="300">
        <f t="shared" si="35"/>
        <v>-35000</v>
      </c>
      <c r="G197" s="694"/>
      <c r="H197" s="695"/>
      <c r="I197" s="1314"/>
      <c r="J197" s="1315">
        <f>IF(K$1&gt;0,ROUNDUP(SUM(PROD!AM$5:AM198)/K$1*K$2,0),0)-SUM(J$4:J196)</f>
        <v>0</v>
      </c>
      <c r="K197" s="1316">
        <f t="shared" ref="K197:K220" si="41">K196+I197-J197</f>
        <v>0</v>
      </c>
      <c r="L197" s="1314"/>
      <c r="M197" s="1315">
        <f>IF(N$1&gt;0,ROUNDUP(SUM(PROD!L$5:L198,-PROD!AM$5:AM198,-PROD!AZ$5:AZ198)/N$1*N$2,0),0)-SUM(M$4:M196)</f>
        <v>0</v>
      </c>
      <c r="N197" s="1316">
        <f t="shared" ref="N197:N220" si="42">N196+L197-M197</f>
        <v>0</v>
      </c>
      <c r="O197" s="1317">
        <f t="shared" si="37"/>
        <v>0</v>
      </c>
      <c r="P197" s="1318"/>
      <c r="Q197" s="1319"/>
      <c r="R197" s="1320">
        <f t="shared" si="38"/>
        <v>0</v>
      </c>
      <c r="S197" s="1316">
        <f t="shared" si="39"/>
        <v>0</v>
      </c>
      <c r="T197" s="712"/>
      <c r="U197" s="713"/>
      <c r="V197" s="714"/>
      <c r="W197" s="398">
        <f t="shared" si="36"/>
        <v>0</v>
      </c>
      <c r="X197" s="712"/>
      <c r="Y197" s="713"/>
      <c r="Z197" s="714"/>
      <c r="AA197" s="398">
        <f t="shared" ref="AA197:AA260" si="43">AA196+Y197-Z197</f>
        <v>0</v>
      </c>
      <c r="AB197" s="712"/>
      <c r="AC197" s="713"/>
      <c r="AD197" s="714"/>
      <c r="AE197" s="398">
        <f t="shared" ref="AE197:AE260" si="44">AE196+AC197-AD197</f>
        <v>0</v>
      </c>
      <c r="AF197" s="712"/>
      <c r="AG197" s="713"/>
      <c r="AH197" s="714"/>
      <c r="AI197" s="398">
        <f t="shared" ref="AI197:AI260" si="45">AI196+AG197-AH197</f>
        <v>0</v>
      </c>
      <c r="AJ197" s="712"/>
      <c r="AK197" s="713"/>
      <c r="AL197" s="714"/>
      <c r="AM197" s="398">
        <f t="shared" ref="AM197:AM260" si="46">AM196+AK197-AL197</f>
        <v>0</v>
      </c>
    </row>
    <row r="198" spans="1:39" ht="15.75" customHeight="1" x14ac:dyDescent="0.3">
      <c r="A198" s="2161"/>
      <c r="B198" s="1313" t="str">
        <f t="shared" si="40"/>
        <v/>
      </c>
      <c r="C198" s="1011">
        <f>IF($D$2="NO",0,ROUNDDOWN(SUM(PROD!$V$5:V199)/IF(Iniciar!$C$25="kilos",40,1),0)-SUM($C$4:$C197))</f>
        <v>0</v>
      </c>
      <c r="D198" s="702"/>
      <c r="E198" s="702"/>
      <c r="F198" s="300">
        <f t="shared" si="35"/>
        <v>-35000</v>
      </c>
      <c r="G198" s="694"/>
      <c r="H198" s="695"/>
      <c r="I198" s="1314"/>
      <c r="J198" s="1315">
        <f>IF(K$1&gt;0,ROUNDUP(SUM(PROD!AM$5:AM199)/K$1*K$2,0),0)-SUM(J$4:J197)</f>
        <v>0</v>
      </c>
      <c r="K198" s="1316">
        <f t="shared" si="41"/>
        <v>0</v>
      </c>
      <c r="L198" s="1314"/>
      <c r="M198" s="1315">
        <f>IF(N$1&gt;0,ROUNDUP(SUM(PROD!L$5:L199,-PROD!AM$5:AM199,-PROD!AZ$5:AZ199)/N$1*N$2,0),0)-SUM(M$4:M197)</f>
        <v>0</v>
      </c>
      <c r="N198" s="1316">
        <f t="shared" si="42"/>
        <v>0</v>
      </c>
      <c r="O198" s="1317">
        <f t="shared" si="37"/>
        <v>0</v>
      </c>
      <c r="P198" s="1318"/>
      <c r="Q198" s="1319"/>
      <c r="R198" s="1320">
        <f t="shared" si="38"/>
        <v>0</v>
      </c>
      <c r="S198" s="1316">
        <f t="shared" si="39"/>
        <v>0</v>
      </c>
      <c r="T198" s="712"/>
      <c r="U198" s="713"/>
      <c r="V198" s="714"/>
      <c r="W198" s="398">
        <f t="shared" si="36"/>
        <v>0</v>
      </c>
      <c r="X198" s="712"/>
      <c r="Y198" s="713"/>
      <c r="Z198" s="714"/>
      <c r="AA198" s="398">
        <f t="shared" si="43"/>
        <v>0</v>
      </c>
      <c r="AB198" s="712"/>
      <c r="AC198" s="713"/>
      <c r="AD198" s="714"/>
      <c r="AE198" s="398">
        <f t="shared" si="44"/>
        <v>0</v>
      </c>
      <c r="AF198" s="712"/>
      <c r="AG198" s="713"/>
      <c r="AH198" s="714"/>
      <c r="AI198" s="398">
        <f t="shared" si="45"/>
        <v>0</v>
      </c>
      <c r="AJ198" s="712"/>
      <c r="AK198" s="713"/>
      <c r="AL198" s="714"/>
      <c r="AM198" s="398">
        <f t="shared" si="46"/>
        <v>0</v>
      </c>
    </row>
    <row r="199" spans="1:39" ht="16.5" customHeight="1" x14ac:dyDescent="0.3">
      <c r="A199" s="2162"/>
      <c r="B199" s="1313" t="str">
        <f t="shared" si="40"/>
        <v/>
      </c>
      <c r="C199" s="1011">
        <f>IF($D$2="NO",0,ROUNDDOWN(SUM(PROD!$V$5:V200)/IF(Iniciar!$C$25="kilos",40,1),0)-SUM($C$4:$C198))</f>
        <v>0</v>
      </c>
      <c r="D199" s="702"/>
      <c r="E199" s="702"/>
      <c r="F199" s="300">
        <f t="shared" si="35"/>
        <v>-35000</v>
      </c>
      <c r="G199" s="694"/>
      <c r="H199" s="695"/>
      <c r="I199" s="1314"/>
      <c r="J199" s="1315">
        <f>IF(K$1&gt;0,ROUNDUP(SUM(PROD!AM$5:AM200)/K$1*K$2,0),0)-SUM(J$4:J198)</f>
        <v>0</v>
      </c>
      <c r="K199" s="1316">
        <f t="shared" si="41"/>
        <v>0</v>
      </c>
      <c r="L199" s="1314"/>
      <c r="M199" s="1315">
        <f>IF(N$1&gt;0,ROUNDUP(SUM(PROD!L$5:L200,-PROD!AM$5:AM200,-PROD!AZ$5:AZ200)/N$1*N$2,0),0)-SUM(M$4:M198)</f>
        <v>0</v>
      </c>
      <c r="N199" s="1316">
        <f t="shared" si="42"/>
        <v>0</v>
      </c>
      <c r="O199" s="1317">
        <f t="shared" si="37"/>
        <v>0</v>
      </c>
      <c r="P199" s="1318"/>
      <c r="Q199" s="1319"/>
      <c r="R199" s="1320">
        <f t="shared" si="38"/>
        <v>0</v>
      </c>
      <c r="S199" s="1316">
        <f t="shared" si="39"/>
        <v>0</v>
      </c>
      <c r="T199" s="712"/>
      <c r="U199" s="713"/>
      <c r="V199" s="714"/>
      <c r="W199" s="398">
        <f t="shared" si="36"/>
        <v>0</v>
      </c>
      <c r="X199" s="712"/>
      <c r="Y199" s="713"/>
      <c r="Z199" s="714"/>
      <c r="AA199" s="398">
        <f t="shared" si="43"/>
        <v>0</v>
      </c>
      <c r="AB199" s="712"/>
      <c r="AC199" s="713"/>
      <c r="AD199" s="714"/>
      <c r="AE199" s="398">
        <f t="shared" si="44"/>
        <v>0</v>
      </c>
      <c r="AF199" s="712"/>
      <c r="AG199" s="713"/>
      <c r="AH199" s="714"/>
      <c r="AI199" s="398">
        <f t="shared" si="45"/>
        <v>0</v>
      </c>
      <c r="AJ199" s="712"/>
      <c r="AK199" s="713"/>
      <c r="AL199" s="714"/>
      <c r="AM199" s="398">
        <f t="shared" si="46"/>
        <v>0</v>
      </c>
    </row>
    <row r="200" spans="1:39" ht="16.5" customHeight="1" x14ac:dyDescent="0.3">
      <c r="A200" s="2160">
        <f>A193+1</f>
        <v>46</v>
      </c>
      <c r="B200" s="1313" t="str">
        <f t="shared" si="40"/>
        <v/>
      </c>
      <c r="C200" s="1011">
        <f>IF($D$2="NO",0,ROUNDDOWN(SUM(PROD!$V$5:V201)/IF(Iniciar!$C$25="kilos",40,1),0)-SUM($C$4:$C199))</f>
        <v>0</v>
      </c>
      <c r="D200" s="702"/>
      <c r="E200" s="702"/>
      <c r="F200" s="300">
        <f t="shared" si="35"/>
        <v>-35000</v>
      </c>
      <c r="G200" s="694"/>
      <c r="H200" s="695"/>
      <c r="I200" s="1314"/>
      <c r="J200" s="1315">
        <f>IF(K$1&gt;0,ROUNDUP(SUM(PROD!AM$5:AM201)/K$1*K$2,0),0)-SUM(J$4:J199)</f>
        <v>0</v>
      </c>
      <c r="K200" s="1316">
        <f t="shared" si="41"/>
        <v>0</v>
      </c>
      <c r="L200" s="1314"/>
      <c r="M200" s="1315">
        <f>IF(N$1&gt;0,ROUNDUP(SUM(PROD!L$5:L201,-PROD!AM$5:AM201,-PROD!AZ$5:AZ201)/N$1*N$2,0),0)-SUM(M$4:M199)</f>
        <v>0</v>
      </c>
      <c r="N200" s="1316">
        <f t="shared" si="42"/>
        <v>0</v>
      </c>
      <c r="O200" s="1317">
        <f t="shared" si="37"/>
        <v>0</v>
      </c>
      <c r="P200" s="1318"/>
      <c r="Q200" s="1319"/>
      <c r="R200" s="1320">
        <f t="shared" si="38"/>
        <v>0</v>
      </c>
      <c r="S200" s="1316">
        <f t="shared" si="39"/>
        <v>0</v>
      </c>
      <c r="T200" s="712"/>
      <c r="U200" s="713"/>
      <c r="V200" s="714"/>
      <c r="W200" s="398">
        <f t="shared" si="36"/>
        <v>0</v>
      </c>
      <c r="X200" s="712"/>
      <c r="Y200" s="713"/>
      <c r="Z200" s="714"/>
      <c r="AA200" s="398">
        <f t="shared" si="43"/>
        <v>0</v>
      </c>
      <c r="AB200" s="712"/>
      <c r="AC200" s="713"/>
      <c r="AD200" s="714"/>
      <c r="AE200" s="398">
        <f t="shared" si="44"/>
        <v>0</v>
      </c>
      <c r="AF200" s="712"/>
      <c r="AG200" s="713"/>
      <c r="AH200" s="714"/>
      <c r="AI200" s="398">
        <f t="shared" si="45"/>
        <v>0</v>
      </c>
      <c r="AJ200" s="712"/>
      <c r="AK200" s="713"/>
      <c r="AL200" s="714"/>
      <c r="AM200" s="398">
        <f t="shared" si="46"/>
        <v>0</v>
      </c>
    </row>
    <row r="201" spans="1:39" ht="15.75" customHeight="1" x14ac:dyDescent="0.3">
      <c r="A201" s="2161"/>
      <c r="B201" s="1313" t="str">
        <f t="shared" si="40"/>
        <v/>
      </c>
      <c r="C201" s="1011">
        <f>IF($D$2="NO",0,ROUNDDOWN(SUM(PROD!$V$5:V202)/IF(Iniciar!$C$25="kilos",40,1),0)-SUM($C$4:$C200))</f>
        <v>0</v>
      </c>
      <c r="D201" s="702"/>
      <c r="E201" s="702"/>
      <c r="F201" s="300">
        <f t="shared" si="35"/>
        <v>-35000</v>
      </c>
      <c r="G201" s="694"/>
      <c r="H201" s="695"/>
      <c r="I201" s="1314"/>
      <c r="J201" s="1315">
        <f>IF(K$1&gt;0,ROUNDUP(SUM(PROD!AM$5:AM202)/K$1*K$2,0),0)-SUM(J$4:J200)</f>
        <v>0</v>
      </c>
      <c r="K201" s="1316">
        <f t="shared" si="41"/>
        <v>0</v>
      </c>
      <c r="L201" s="1314"/>
      <c r="M201" s="1315">
        <f>IF(N$1&gt;0,ROUNDUP(SUM(PROD!L$5:L202,-PROD!AM$5:AM202,-PROD!AZ$5:AZ202)/N$1*N$2,0),0)-SUM(M$4:M200)</f>
        <v>0</v>
      </c>
      <c r="N201" s="1316">
        <f t="shared" si="42"/>
        <v>0</v>
      </c>
      <c r="O201" s="1317">
        <f t="shared" si="37"/>
        <v>0</v>
      </c>
      <c r="P201" s="1318"/>
      <c r="Q201" s="1319"/>
      <c r="R201" s="1320">
        <f t="shared" si="38"/>
        <v>0</v>
      </c>
      <c r="S201" s="1316">
        <f t="shared" si="39"/>
        <v>0</v>
      </c>
      <c r="T201" s="712"/>
      <c r="U201" s="713"/>
      <c r="V201" s="714"/>
      <c r="W201" s="398">
        <f t="shared" si="36"/>
        <v>0</v>
      </c>
      <c r="X201" s="712"/>
      <c r="Y201" s="713"/>
      <c r="Z201" s="714"/>
      <c r="AA201" s="398">
        <f t="shared" si="43"/>
        <v>0</v>
      </c>
      <c r="AB201" s="712"/>
      <c r="AC201" s="713"/>
      <c r="AD201" s="714"/>
      <c r="AE201" s="398">
        <f t="shared" si="44"/>
        <v>0</v>
      </c>
      <c r="AF201" s="712"/>
      <c r="AG201" s="713"/>
      <c r="AH201" s="714"/>
      <c r="AI201" s="398">
        <f t="shared" si="45"/>
        <v>0</v>
      </c>
      <c r="AJ201" s="712"/>
      <c r="AK201" s="713"/>
      <c r="AL201" s="714"/>
      <c r="AM201" s="398">
        <f t="shared" si="46"/>
        <v>0</v>
      </c>
    </row>
    <row r="202" spans="1:39" ht="15.75" customHeight="1" x14ac:dyDescent="0.3">
      <c r="A202" s="2161"/>
      <c r="B202" s="1313" t="str">
        <f t="shared" si="40"/>
        <v/>
      </c>
      <c r="C202" s="1011">
        <f>IF($D$2="NO",0,ROUNDDOWN(SUM(PROD!$V$5:V203)/IF(Iniciar!$C$25="kilos",40,1),0)-SUM($C$4:$C201))</f>
        <v>0</v>
      </c>
      <c r="D202" s="702"/>
      <c r="E202" s="702"/>
      <c r="F202" s="300">
        <f t="shared" si="35"/>
        <v>-35000</v>
      </c>
      <c r="G202" s="694"/>
      <c r="H202" s="695"/>
      <c r="I202" s="1314"/>
      <c r="J202" s="1315">
        <f>IF(K$1&gt;0,ROUNDUP(SUM(PROD!AM$5:AM203)/K$1*K$2,0),0)-SUM(J$4:J201)</f>
        <v>0</v>
      </c>
      <c r="K202" s="1316">
        <f t="shared" si="41"/>
        <v>0</v>
      </c>
      <c r="L202" s="1314"/>
      <c r="M202" s="1315">
        <f>IF(N$1&gt;0,ROUNDUP(SUM(PROD!L$5:L203,-PROD!AM$5:AM203,-PROD!AZ$5:AZ203)/N$1*N$2,0),0)-SUM(M$4:M201)</f>
        <v>0</v>
      </c>
      <c r="N202" s="1316">
        <f t="shared" si="42"/>
        <v>0</v>
      </c>
      <c r="O202" s="1317">
        <f t="shared" si="37"/>
        <v>0</v>
      </c>
      <c r="P202" s="1318"/>
      <c r="Q202" s="1319"/>
      <c r="R202" s="1320">
        <f t="shared" si="38"/>
        <v>0</v>
      </c>
      <c r="S202" s="1316">
        <f t="shared" si="39"/>
        <v>0</v>
      </c>
      <c r="T202" s="712"/>
      <c r="U202" s="713"/>
      <c r="V202" s="714"/>
      <c r="W202" s="398">
        <f t="shared" si="36"/>
        <v>0</v>
      </c>
      <c r="X202" s="712"/>
      <c r="Y202" s="713"/>
      <c r="Z202" s="714"/>
      <c r="AA202" s="398">
        <f t="shared" si="43"/>
        <v>0</v>
      </c>
      <c r="AB202" s="712"/>
      <c r="AC202" s="713"/>
      <c r="AD202" s="714"/>
      <c r="AE202" s="398">
        <f t="shared" si="44"/>
        <v>0</v>
      </c>
      <c r="AF202" s="712"/>
      <c r="AG202" s="713"/>
      <c r="AH202" s="714"/>
      <c r="AI202" s="398">
        <f t="shared" si="45"/>
        <v>0</v>
      </c>
      <c r="AJ202" s="712"/>
      <c r="AK202" s="713"/>
      <c r="AL202" s="714"/>
      <c r="AM202" s="398">
        <f t="shared" si="46"/>
        <v>0</v>
      </c>
    </row>
    <row r="203" spans="1:39" ht="15.75" customHeight="1" x14ac:dyDescent="0.3">
      <c r="A203" s="2161"/>
      <c r="B203" s="1313" t="str">
        <f t="shared" si="40"/>
        <v/>
      </c>
      <c r="C203" s="1011">
        <f>IF($D$2="NO",0,ROUNDDOWN(SUM(PROD!$V$5:V204)/IF(Iniciar!$C$25="kilos",40,1),0)-SUM($C$4:$C202))</f>
        <v>0</v>
      </c>
      <c r="D203" s="702"/>
      <c r="E203" s="702"/>
      <c r="F203" s="300">
        <f t="shared" ref="F203:F266" si="47">F202+C203+D203-E203</f>
        <v>-35000</v>
      </c>
      <c r="G203" s="694"/>
      <c r="H203" s="695"/>
      <c r="I203" s="1314"/>
      <c r="J203" s="1315">
        <f>IF(K$1&gt;0,ROUNDUP(SUM(PROD!AM$5:AM204)/K$1*K$2,0),0)-SUM(J$4:J202)</f>
        <v>0</v>
      </c>
      <c r="K203" s="1316">
        <f t="shared" si="41"/>
        <v>0</v>
      </c>
      <c r="L203" s="1314"/>
      <c r="M203" s="1315">
        <f>IF(N$1&gt;0,ROUNDUP(SUM(PROD!L$5:L204,-PROD!AM$5:AM204,-PROD!AZ$5:AZ204)/N$1*N$2,0),0)-SUM(M$4:M202)</f>
        <v>0</v>
      </c>
      <c r="N203" s="1316">
        <f t="shared" si="42"/>
        <v>0</v>
      </c>
      <c r="O203" s="1317">
        <f t="shared" si="37"/>
        <v>0</v>
      </c>
      <c r="P203" s="1318"/>
      <c r="Q203" s="1319"/>
      <c r="R203" s="1320">
        <f t="shared" si="38"/>
        <v>0</v>
      </c>
      <c r="S203" s="1316">
        <f t="shared" si="39"/>
        <v>0</v>
      </c>
      <c r="T203" s="712"/>
      <c r="U203" s="713"/>
      <c r="V203" s="714"/>
      <c r="W203" s="398">
        <f t="shared" si="36"/>
        <v>0</v>
      </c>
      <c r="X203" s="712"/>
      <c r="Y203" s="713"/>
      <c r="Z203" s="714"/>
      <c r="AA203" s="398">
        <f t="shared" si="43"/>
        <v>0</v>
      </c>
      <c r="AB203" s="712"/>
      <c r="AC203" s="713"/>
      <c r="AD203" s="714"/>
      <c r="AE203" s="398">
        <f t="shared" si="44"/>
        <v>0</v>
      </c>
      <c r="AF203" s="712"/>
      <c r="AG203" s="713"/>
      <c r="AH203" s="714"/>
      <c r="AI203" s="398">
        <f t="shared" si="45"/>
        <v>0</v>
      </c>
      <c r="AJ203" s="712"/>
      <c r="AK203" s="713"/>
      <c r="AL203" s="714"/>
      <c r="AM203" s="398">
        <f t="shared" si="46"/>
        <v>0</v>
      </c>
    </row>
    <row r="204" spans="1:39" ht="15.75" customHeight="1" x14ac:dyDescent="0.3">
      <c r="A204" s="2161"/>
      <c r="B204" s="1313" t="str">
        <f t="shared" si="40"/>
        <v/>
      </c>
      <c r="C204" s="1011">
        <f>IF($D$2="NO",0,ROUNDDOWN(SUM(PROD!$V$5:V205)/IF(Iniciar!$C$25="kilos",40,1),0)-SUM($C$4:$C203))</f>
        <v>0</v>
      </c>
      <c r="D204" s="702"/>
      <c r="E204" s="702"/>
      <c r="F204" s="300">
        <f t="shared" si="47"/>
        <v>-35000</v>
      </c>
      <c r="G204" s="694"/>
      <c r="H204" s="695"/>
      <c r="I204" s="1314"/>
      <c r="J204" s="1315">
        <f>IF(K$1&gt;0,ROUNDUP(SUM(PROD!AM$5:AM205)/K$1*K$2,0),0)-SUM(J$4:J203)</f>
        <v>0</v>
      </c>
      <c r="K204" s="1316">
        <f t="shared" si="41"/>
        <v>0</v>
      </c>
      <c r="L204" s="1314"/>
      <c r="M204" s="1315">
        <f>IF(N$1&gt;0,ROUNDUP(SUM(PROD!L$5:L205,-PROD!AM$5:AM205,-PROD!AZ$5:AZ205)/N$1*N$2,0),0)-SUM(M$4:M203)</f>
        <v>0</v>
      </c>
      <c r="N204" s="1316">
        <f t="shared" si="42"/>
        <v>0</v>
      </c>
      <c r="O204" s="1317">
        <f t="shared" si="37"/>
        <v>0</v>
      </c>
      <c r="P204" s="1318"/>
      <c r="Q204" s="1319"/>
      <c r="R204" s="1320">
        <f t="shared" si="38"/>
        <v>0</v>
      </c>
      <c r="S204" s="1316">
        <f t="shared" si="39"/>
        <v>0</v>
      </c>
      <c r="T204" s="712"/>
      <c r="U204" s="713"/>
      <c r="V204" s="714"/>
      <c r="W204" s="398">
        <f t="shared" si="36"/>
        <v>0</v>
      </c>
      <c r="X204" s="712"/>
      <c r="Y204" s="713"/>
      <c r="Z204" s="714"/>
      <c r="AA204" s="398">
        <f t="shared" si="43"/>
        <v>0</v>
      </c>
      <c r="AB204" s="712"/>
      <c r="AC204" s="713"/>
      <c r="AD204" s="714"/>
      <c r="AE204" s="398">
        <f t="shared" si="44"/>
        <v>0</v>
      </c>
      <c r="AF204" s="712"/>
      <c r="AG204" s="713"/>
      <c r="AH204" s="714"/>
      <c r="AI204" s="398">
        <f t="shared" si="45"/>
        <v>0</v>
      </c>
      <c r="AJ204" s="712"/>
      <c r="AK204" s="713"/>
      <c r="AL204" s="714"/>
      <c r="AM204" s="398">
        <f t="shared" si="46"/>
        <v>0</v>
      </c>
    </row>
    <row r="205" spans="1:39" ht="15.75" customHeight="1" x14ac:dyDescent="0.3">
      <c r="A205" s="2161"/>
      <c r="B205" s="1313" t="str">
        <f t="shared" si="40"/>
        <v/>
      </c>
      <c r="C205" s="1011">
        <f>IF($D$2="NO",0,ROUNDDOWN(SUM(PROD!$V$5:V206)/IF(Iniciar!$C$25="kilos",40,1),0)-SUM($C$4:$C204))</f>
        <v>0</v>
      </c>
      <c r="D205" s="702"/>
      <c r="E205" s="702"/>
      <c r="F205" s="300">
        <f t="shared" si="47"/>
        <v>-35000</v>
      </c>
      <c r="G205" s="694"/>
      <c r="H205" s="695"/>
      <c r="I205" s="1314"/>
      <c r="J205" s="1315">
        <f>IF(K$1&gt;0,ROUNDUP(SUM(PROD!AM$5:AM206)/K$1*K$2,0),0)-SUM(J$4:J204)</f>
        <v>0</v>
      </c>
      <c r="K205" s="1316">
        <f t="shared" si="41"/>
        <v>0</v>
      </c>
      <c r="L205" s="1314"/>
      <c r="M205" s="1315">
        <f>IF(N$1&gt;0,ROUNDUP(SUM(PROD!L$5:L206,-PROD!AM$5:AM206,-PROD!AZ$5:AZ206)/N$1*N$2,0),0)-SUM(M$4:M204)</f>
        <v>0</v>
      </c>
      <c r="N205" s="1316">
        <f t="shared" si="42"/>
        <v>0</v>
      </c>
      <c r="O205" s="1317">
        <f t="shared" si="37"/>
        <v>0</v>
      </c>
      <c r="P205" s="1318"/>
      <c r="Q205" s="1319"/>
      <c r="R205" s="1320">
        <f t="shared" si="38"/>
        <v>0</v>
      </c>
      <c r="S205" s="1316">
        <f t="shared" si="39"/>
        <v>0</v>
      </c>
      <c r="T205" s="712"/>
      <c r="U205" s="713"/>
      <c r="V205" s="714"/>
      <c r="W205" s="398">
        <f t="shared" si="36"/>
        <v>0</v>
      </c>
      <c r="X205" s="712"/>
      <c r="Y205" s="713"/>
      <c r="Z205" s="714"/>
      <c r="AA205" s="398">
        <f t="shared" si="43"/>
        <v>0</v>
      </c>
      <c r="AB205" s="712"/>
      <c r="AC205" s="713"/>
      <c r="AD205" s="714"/>
      <c r="AE205" s="398">
        <f t="shared" si="44"/>
        <v>0</v>
      </c>
      <c r="AF205" s="712"/>
      <c r="AG205" s="713"/>
      <c r="AH205" s="714"/>
      <c r="AI205" s="398">
        <f t="shared" si="45"/>
        <v>0</v>
      </c>
      <c r="AJ205" s="712"/>
      <c r="AK205" s="713"/>
      <c r="AL205" s="714"/>
      <c r="AM205" s="398">
        <f t="shared" si="46"/>
        <v>0</v>
      </c>
    </row>
    <row r="206" spans="1:39" ht="16.5" customHeight="1" x14ac:dyDescent="0.3">
      <c r="A206" s="2162"/>
      <c r="B206" s="1313" t="str">
        <f t="shared" si="40"/>
        <v/>
      </c>
      <c r="C206" s="1011">
        <f>IF($D$2="NO",0,ROUNDDOWN(SUM(PROD!$V$5:V207)/IF(Iniciar!$C$25="kilos",40,1),0)-SUM($C$4:$C205))</f>
        <v>0</v>
      </c>
      <c r="D206" s="702"/>
      <c r="E206" s="702"/>
      <c r="F206" s="300">
        <f t="shared" si="47"/>
        <v>-35000</v>
      </c>
      <c r="G206" s="694"/>
      <c r="H206" s="695"/>
      <c r="I206" s="1314"/>
      <c r="J206" s="1315">
        <f>IF(K$1&gt;0,ROUNDUP(SUM(PROD!AM$5:AM207)/K$1*K$2,0),0)-SUM(J$4:J205)</f>
        <v>0</v>
      </c>
      <c r="K206" s="1316">
        <f t="shared" si="41"/>
        <v>0</v>
      </c>
      <c r="L206" s="1314"/>
      <c r="M206" s="1315">
        <f>IF(N$1&gt;0,ROUNDUP(SUM(PROD!L$5:L207,-PROD!AM$5:AM207,-PROD!AZ$5:AZ207)/N$1*N$2,0),0)-SUM(M$4:M205)</f>
        <v>0</v>
      </c>
      <c r="N206" s="1316">
        <f t="shared" si="42"/>
        <v>0</v>
      </c>
      <c r="O206" s="1317">
        <f t="shared" si="37"/>
        <v>0</v>
      </c>
      <c r="P206" s="1318"/>
      <c r="Q206" s="1319"/>
      <c r="R206" s="1320">
        <f t="shared" si="38"/>
        <v>0</v>
      </c>
      <c r="S206" s="1316">
        <f t="shared" si="39"/>
        <v>0</v>
      </c>
      <c r="T206" s="712"/>
      <c r="U206" s="713"/>
      <c r="V206" s="714"/>
      <c r="W206" s="398">
        <f t="shared" si="36"/>
        <v>0</v>
      </c>
      <c r="X206" s="712"/>
      <c r="Y206" s="713"/>
      <c r="Z206" s="714"/>
      <c r="AA206" s="398">
        <f t="shared" si="43"/>
        <v>0</v>
      </c>
      <c r="AB206" s="712"/>
      <c r="AC206" s="713"/>
      <c r="AD206" s="714"/>
      <c r="AE206" s="398">
        <f t="shared" si="44"/>
        <v>0</v>
      </c>
      <c r="AF206" s="712"/>
      <c r="AG206" s="713"/>
      <c r="AH206" s="714"/>
      <c r="AI206" s="398">
        <f t="shared" si="45"/>
        <v>0</v>
      </c>
      <c r="AJ206" s="712"/>
      <c r="AK206" s="713"/>
      <c r="AL206" s="714"/>
      <c r="AM206" s="398">
        <f t="shared" si="46"/>
        <v>0</v>
      </c>
    </row>
    <row r="207" spans="1:39" ht="16.5" customHeight="1" x14ac:dyDescent="0.3">
      <c r="A207" s="2160">
        <f>A200+1</f>
        <v>47</v>
      </c>
      <c r="B207" s="1313" t="str">
        <f t="shared" si="40"/>
        <v/>
      </c>
      <c r="C207" s="1011">
        <f>IF($D$2="NO",0,ROUNDDOWN(SUM(PROD!$V$5:V208)/IF(Iniciar!$C$25="kilos",40,1),0)-SUM($C$4:$C206))</f>
        <v>0</v>
      </c>
      <c r="D207" s="702"/>
      <c r="E207" s="702"/>
      <c r="F207" s="300">
        <f t="shared" si="47"/>
        <v>-35000</v>
      </c>
      <c r="G207" s="694"/>
      <c r="H207" s="695"/>
      <c r="I207" s="1314"/>
      <c r="J207" s="1315">
        <f>IF(K$1&gt;0,ROUNDUP(SUM(PROD!AM$5:AM208)/K$1*K$2,0),0)-SUM(J$4:J206)</f>
        <v>0</v>
      </c>
      <c r="K207" s="1316">
        <f t="shared" si="41"/>
        <v>0</v>
      </c>
      <c r="L207" s="1314"/>
      <c r="M207" s="1315">
        <f>IF(N$1&gt;0,ROUNDUP(SUM(PROD!L$5:L208,-PROD!AM$5:AM208,-PROD!AZ$5:AZ208)/N$1*N$2,0),0)-SUM(M$4:M206)</f>
        <v>0</v>
      </c>
      <c r="N207" s="1316">
        <f t="shared" si="42"/>
        <v>0</v>
      </c>
      <c r="O207" s="1317">
        <f t="shared" si="37"/>
        <v>0</v>
      </c>
      <c r="P207" s="1318"/>
      <c r="Q207" s="1319"/>
      <c r="R207" s="1320">
        <f t="shared" si="38"/>
        <v>0</v>
      </c>
      <c r="S207" s="1316">
        <f t="shared" si="39"/>
        <v>0</v>
      </c>
      <c r="T207" s="712"/>
      <c r="U207" s="713"/>
      <c r="V207" s="714"/>
      <c r="W207" s="398">
        <f t="shared" si="36"/>
        <v>0</v>
      </c>
      <c r="X207" s="712"/>
      <c r="Y207" s="713"/>
      <c r="Z207" s="714"/>
      <c r="AA207" s="398">
        <f t="shared" si="43"/>
        <v>0</v>
      </c>
      <c r="AB207" s="712"/>
      <c r="AC207" s="713"/>
      <c r="AD207" s="714"/>
      <c r="AE207" s="398">
        <f t="shared" si="44"/>
        <v>0</v>
      </c>
      <c r="AF207" s="712"/>
      <c r="AG207" s="713"/>
      <c r="AH207" s="714"/>
      <c r="AI207" s="398">
        <f t="shared" si="45"/>
        <v>0</v>
      </c>
      <c r="AJ207" s="712"/>
      <c r="AK207" s="713"/>
      <c r="AL207" s="714"/>
      <c r="AM207" s="398">
        <f t="shared" si="46"/>
        <v>0</v>
      </c>
    </row>
    <row r="208" spans="1:39" ht="15.75" customHeight="1" x14ac:dyDescent="0.3">
      <c r="A208" s="2161"/>
      <c r="B208" s="1313" t="str">
        <f t="shared" si="40"/>
        <v/>
      </c>
      <c r="C208" s="1011">
        <f>IF($D$2="NO",0,ROUNDDOWN(SUM(PROD!$V$5:V209)/IF(Iniciar!$C$25="kilos",40,1),0)-SUM($C$4:$C207))</f>
        <v>0</v>
      </c>
      <c r="D208" s="702"/>
      <c r="E208" s="702"/>
      <c r="F208" s="300">
        <f t="shared" si="47"/>
        <v>-35000</v>
      </c>
      <c r="G208" s="694"/>
      <c r="H208" s="695"/>
      <c r="I208" s="1314"/>
      <c r="J208" s="1315">
        <f>IF(K$1&gt;0,ROUNDUP(SUM(PROD!AM$5:AM209)/K$1*K$2,0),0)-SUM(J$4:J207)</f>
        <v>0</v>
      </c>
      <c r="K208" s="1316">
        <f t="shared" si="41"/>
        <v>0</v>
      </c>
      <c r="L208" s="1314"/>
      <c r="M208" s="1315">
        <f>IF(N$1&gt;0,ROUNDUP(SUM(PROD!L$5:L209,-PROD!AM$5:AM209,-PROD!AZ$5:AZ209)/N$1*N$2,0),0)-SUM(M$4:M207)</f>
        <v>0</v>
      </c>
      <c r="N208" s="1316">
        <f t="shared" si="42"/>
        <v>0</v>
      </c>
      <c r="O208" s="1317">
        <f t="shared" si="37"/>
        <v>0</v>
      </c>
      <c r="P208" s="1318"/>
      <c r="Q208" s="1319"/>
      <c r="R208" s="1320">
        <f t="shared" si="38"/>
        <v>0</v>
      </c>
      <c r="S208" s="1316">
        <f t="shared" si="39"/>
        <v>0</v>
      </c>
      <c r="T208" s="712"/>
      <c r="U208" s="713"/>
      <c r="V208" s="714"/>
      <c r="W208" s="398">
        <f t="shared" si="36"/>
        <v>0</v>
      </c>
      <c r="X208" s="712"/>
      <c r="Y208" s="713"/>
      <c r="Z208" s="714"/>
      <c r="AA208" s="398">
        <f t="shared" si="43"/>
        <v>0</v>
      </c>
      <c r="AB208" s="712"/>
      <c r="AC208" s="713"/>
      <c r="AD208" s="714"/>
      <c r="AE208" s="398">
        <f t="shared" si="44"/>
        <v>0</v>
      </c>
      <c r="AF208" s="712"/>
      <c r="AG208" s="713"/>
      <c r="AH208" s="714"/>
      <c r="AI208" s="398">
        <f t="shared" si="45"/>
        <v>0</v>
      </c>
      <c r="AJ208" s="712"/>
      <c r="AK208" s="713"/>
      <c r="AL208" s="714"/>
      <c r="AM208" s="398">
        <f t="shared" si="46"/>
        <v>0</v>
      </c>
    </row>
    <row r="209" spans="1:39" ht="15.75" customHeight="1" x14ac:dyDescent="0.3">
      <c r="A209" s="2161"/>
      <c r="B209" s="1313" t="str">
        <f t="shared" si="40"/>
        <v/>
      </c>
      <c r="C209" s="1011">
        <f>IF($D$2="NO",0,ROUNDDOWN(SUM(PROD!$V$5:V210)/IF(Iniciar!$C$25="kilos",40,1),0)-SUM($C$4:$C208))</f>
        <v>0</v>
      </c>
      <c r="D209" s="702"/>
      <c r="E209" s="702"/>
      <c r="F209" s="300">
        <f t="shared" si="47"/>
        <v>-35000</v>
      </c>
      <c r="G209" s="694"/>
      <c r="H209" s="695"/>
      <c r="I209" s="1314"/>
      <c r="J209" s="1315">
        <f>IF(K$1&gt;0,ROUNDUP(SUM(PROD!AM$5:AM210)/K$1*K$2,0),0)-SUM(J$4:J208)</f>
        <v>0</v>
      </c>
      <c r="K209" s="1316">
        <f t="shared" si="41"/>
        <v>0</v>
      </c>
      <c r="L209" s="1314"/>
      <c r="M209" s="1315">
        <f>IF(N$1&gt;0,ROUNDUP(SUM(PROD!L$5:L210,-PROD!AM$5:AM210,-PROD!AZ$5:AZ210)/N$1*N$2,0),0)-SUM(M$4:M208)</f>
        <v>0</v>
      </c>
      <c r="N209" s="1316">
        <f t="shared" si="42"/>
        <v>0</v>
      </c>
      <c r="O209" s="1317">
        <f t="shared" si="37"/>
        <v>0</v>
      </c>
      <c r="P209" s="1318"/>
      <c r="Q209" s="1319"/>
      <c r="R209" s="1320">
        <f t="shared" si="38"/>
        <v>0</v>
      </c>
      <c r="S209" s="1316">
        <f t="shared" si="39"/>
        <v>0</v>
      </c>
      <c r="T209" s="712"/>
      <c r="U209" s="713"/>
      <c r="V209" s="714"/>
      <c r="W209" s="398">
        <f t="shared" si="36"/>
        <v>0</v>
      </c>
      <c r="X209" s="712"/>
      <c r="Y209" s="713"/>
      <c r="Z209" s="714"/>
      <c r="AA209" s="398">
        <f t="shared" si="43"/>
        <v>0</v>
      </c>
      <c r="AB209" s="712"/>
      <c r="AC209" s="713"/>
      <c r="AD209" s="714"/>
      <c r="AE209" s="398">
        <f t="shared" si="44"/>
        <v>0</v>
      </c>
      <c r="AF209" s="712"/>
      <c r="AG209" s="713"/>
      <c r="AH209" s="714"/>
      <c r="AI209" s="398">
        <f t="shared" si="45"/>
        <v>0</v>
      </c>
      <c r="AJ209" s="712"/>
      <c r="AK209" s="713"/>
      <c r="AL209" s="714"/>
      <c r="AM209" s="398">
        <f t="shared" si="46"/>
        <v>0</v>
      </c>
    </row>
    <row r="210" spans="1:39" ht="15.75" customHeight="1" x14ac:dyDescent="0.3">
      <c r="A210" s="2161"/>
      <c r="B210" s="1313" t="str">
        <f t="shared" si="40"/>
        <v/>
      </c>
      <c r="C210" s="1011">
        <f>IF($D$2="NO",0,ROUNDDOWN(SUM(PROD!$V$5:V211)/IF(Iniciar!$C$25="kilos",40,1),0)-SUM($C$4:$C209))</f>
        <v>0</v>
      </c>
      <c r="D210" s="702"/>
      <c r="E210" s="702"/>
      <c r="F210" s="300">
        <f t="shared" si="47"/>
        <v>-35000</v>
      </c>
      <c r="G210" s="694"/>
      <c r="H210" s="695"/>
      <c r="I210" s="1314"/>
      <c r="J210" s="1315">
        <f>IF(K$1&gt;0,ROUNDUP(SUM(PROD!AM$5:AM211)/K$1*K$2,0),0)-SUM(J$4:J209)</f>
        <v>0</v>
      </c>
      <c r="K210" s="1316">
        <f t="shared" si="41"/>
        <v>0</v>
      </c>
      <c r="L210" s="1314"/>
      <c r="M210" s="1315">
        <f>IF(N$1&gt;0,ROUNDUP(SUM(PROD!L$5:L211,-PROD!AM$5:AM211,-PROD!AZ$5:AZ211)/N$1*N$2,0),0)-SUM(M$4:M209)</f>
        <v>0</v>
      </c>
      <c r="N210" s="1316">
        <f t="shared" si="42"/>
        <v>0</v>
      </c>
      <c r="O210" s="1317">
        <f t="shared" si="37"/>
        <v>0</v>
      </c>
      <c r="P210" s="1318"/>
      <c r="Q210" s="1319"/>
      <c r="R210" s="1320">
        <f t="shared" si="38"/>
        <v>0</v>
      </c>
      <c r="S210" s="1316">
        <f t="shared" si="39"/>
        <v>0</v>
      </c>
      <c r="T210" s="712"/>
      <c r="U210" s="713"/>
      <c r="V210" s="714"/>
      <c r="W210" s="398">
        <f t="shared" ref="W210:W273" si="48">W209+U210-V210</f>
        <v>0</v>
      </c>
      <c r="X210" s="712"/>
      <c r="Y210" s="713"/>
      <c r="Z210" s="714"/>
      <c r="AA210" s="398">
        <f t="shared" si="43"/>
        <v>0</v>
      </c>
      <c r="AB210" s="712"/>
      <c r="AC210" s="713"/>
      <c r="AD210" s="714"/>
      <c r="AE210" s="398">
        <f t="shared" si="44"/>
        <v>0</v>
      </c>
      <c r="AF210" s="712"/>
      <c r="AG210" s="713"/>
      <c r="AH210" s="714"/>
      <c r="AI210" s="398">
        <f t="shared" si="45"/>
        <v>0</v>
      </c>
      <c r="AJ210" s="712"/>
      <c r="AK210" s="713"/>
      <c r="AL210" s="714"/>
      <c r="AM210" s="398">
        <f t="shared" si="46"/>
        <v>0</v>
      </c>
    </row>
    <row r="211" spans="1:39" ht="15.75" customHeight="1" x14ac:dyDescent="0.3">
      <c r="A211" s="2161"/>
      <c r="B211" s="1313" t="str">
        <f t="shared" si="40"/>
        <v/>
      </c>
      <c r="C211" s="1011">
        <f>IF($D$2="NO",0,ROUNDDOWN(SUM(PROD!$V$5:V212)/IF(Iniciar!$C$25="kilos",40,1),0)-SUM($C$4:$C210))</f>
        <v>0</v>
      </c>
      <c r="D211" s="702"/>
      <c r="E211" s="702"/>
      <c r="F211" s="300">
        <f t="shared" si="47"/>
        <v>-35000</v>
      </c>
      <c r="G211" s="694"/>
      <c r="H211" s="695"/>
      <c r="I211" s="1314"/>
      <c r="J211" s="1315">
        <f>IF(K$1&gt;0,ROUNDUP(SUM(PROD!AM$5:AM212)/K$1*K$2,0),0)-SUM(J$4:J210)</f>
        <v>0</v>
      </c>
      <c r="K211" s="1316">
        <f t="shared" si="41"/>
        <v>0</v>
      </c>
      <c r="L211" s="1314"/>
      <c r="M211" s="1315">
        <f>IF(N$1&gt;0,ROUNDUP(SUM(PROD!L$5:L212,-PROD!AM$5:AM212,-PROD!AZ$5:AZ212)/N$1*N$2,0),0)-SUM(M$4:M210)</f>
        <v>0</v>
      </c>
      <c r="N211" s="1316">
        <f t="shared" si="42"/>
        <v>0</v>
      </c>
      <c r="O211" s="1317">
        <f t="shared" si="37"/>
        <v>0</v>
      </c>
      <c r="P211" s="1318"/>
      <c r="Q211" s="1319"/>
      <c r="R211" s="1320">
        <f t="shared" si="38"/>
        <v>0</v>
      </c>
      <c r="S211" s="1316">
        <f t="shared" si="39"/>
        <v>0</v>
      </c>
      <c r="T211" s="712"/>
      <c r="U211" s="713"/>
      <c r="V211" s="714"/>
      <c r="W211" s="398">
        <f t="shared" si="48"/>
        <v>0</v>
      </c>
      <c r="X211" s="712"/>
      <c r="Y211" s="713"/>
      <c r="Z211" s="714"/>
      <c r="AA211" s="398">
        <f t="shared" si="43"/>
        <v>0</v>
      </c>
      <c r="AB211" s="712"/>
      <c r="AC211" s="713"/>
      <c r="AD211" s="714"/>
      <c r="AE211" s="398">
        <f t="shared" si="44"/>
        <v>0</v>
      </c>
      <c r="AF211" s="712"/>
      <c r="AG211" s="713"/>
      <c r="AH211" s="714"/>
      <c r="AI211" s="398">
        <f t="shared" si="45"/>
        <v>0</v>
      </c>
      <c r="AJ211" s="712"/>
      <c r="AK211" s="713"/>
      <c r="AL211" s="714"/>
      <c r="AM211" s="398">
        <f t="shared" si="46"/>
        <v>0</v>
      </c>
    </row>
    <row r="212" spans="1:39" ht="15.75" customHeight="1" x14ac:dyDescent="0.3">
      <c r="A212" s="2161"/>
      <c r="B212" s="1313" t="str">
        <f t="shared" si="40"/>
        <v/>
      </c>
      <c r="C212" s="1011">
        <f>IF($D$2="NO",0,ROUNDDOWN(SUM(PROD!$V$5:V213)/IF(Iniciar!$C$25="kilos",40,1),0)-SUM($C$4:$C211))</f>
        <v>0</v>
      </c>
      <c r="D212" s="702"/>
      <c r="E212" s="702"/>
      <c r="F212" s="300">
        <f t="shared" si="47"/>
        <v>-35000</v>
      </c>
      <c r="G212" s="694"/>
      <c r="H212" s="695"/>
      <c r="I212" s="1314"/>
      <c r="J212" s="1315">
        <f>IF(K$1&gt;0,ROUNDUP(SUM(PROD!AM$5:AM213)/K$1*K$2,0),0)-SUM(J$4:J211)</f>
        <v>0</v>
      </c>
      <c r="K212" s="1316">
        <f t="shared" si="41"/>
        <v>0</v>
      </c>
      <c r="L212" s="1314"/>
      <c r="M212" s="1315">
        <f>IF(N$1&gt;0,ROUNDUP(SUM(PROD!L$5:L213,-PROD!AM$5:AM213,-PROD!AZ$5:AZ213)/N$1*N$2,0),0)-SUM(M$4:M211)</f>
        <v>0</v>
      </c>
      <c r="N212" s="1316">
        <f t="shared" si="42"/>
        <v>0</v>
      </c>
      <c r="O212" s="1317">
        <f t="shared" si="37"/>
        <v>0</v>
      </c>
      <c r="P212" s="1318"/>
      <c r="Q212" s="1319"/>
      <c r="R212" s="1320">
        <f t="shared" si="38"/>
        <v>0</v>
      </c>
      <c r="S212" s="1316">
        <f t="shared" si="39"/>
        <v>0</v>
      </c>
      <c r="T212" s="712"/>
      <c r="U212" s="713"/>
      <c r="V212" s="714"/>
      <c r="W212" s="398">
        <f t="shared" si="48"/>
        <v>0</v>
      </c>
      <c r="X212" s="712"/>
      <c r="Y212" s="713"/>
      <c r="Z212" s="714"/>
      <c r="AA212" s="398">
        <f t="shared" si="43"/>
        <v>0</v>
      </c>
      <c r="AB212" s="712"/>
      <c r="AC212" s="713"/>
      <c r="AD212" s="714"/>
      <c r="AE212" s="398">
        <f t="shared" si="44"/>
        <v>0</v>
      </c>
      <c r="AF212" s="712"/>
      <c r="AG212" s="713"/>
      <c r="AH212" s="714"/>
      <c r="AI212" s="398">
        <f t="shared" si="45"/>
        <v>0</v>
      </c>
      <c r="AJ212" s="712"/>
      <c r="AK212" s="713"/>
      <c r="AL212" s="714"/>
      <c r="AM212" s="398">
        <f t="shared" si="46"/>
        <v>0</v>
      </c>
    </row>
    <row r="213" spans="1:39" ht="16.5" customHeight="1" x14ac:dyDescent="0.3">
      <c r="A213" s="2162"/>
      <c r="B213" s="1313" t="str">
        <f t="shared" si="40"/>
        <v/>
      </c>
      <c r="C213" s="1011">
        <f>IF($D$2="NO",0,ROUNDDOWN(SUM(PROD!$V$5:V214)/IF(Iniciar!$C$25="kilos",40,1),0)-SUM($C$4:$C212))</f>
        <v>0</v>
      </c>
      <c r="D213" s="702"/>
      <c r="E213" s="702"/>
      <c r="F213" s="300">
        <f t="shared" si="47"/>
        <v>-35000</v>
      </c>
      <c r="G213" s="694"/>
      <c r="H213" s="695"/>
      <c r="I213" s="1314"/>
      <c r="J213" s="1315">
        <f>IF(K$1&gt;0,ROUNDUP(SUM(PROD!AM$5:AM214)/K$1*K$2,0),0)-SUM(J$4:J212)</f>
        <v>0</v>
      </c>
      <c r="K213" s="1316">
        <f t="shared" si="41"/>
        <v>0</v>
      </c>
      <c r="L213" s="1314"/>
      <c r="M213" s="1315">
        <f>IF(N$1&gt;0,ROUNDUP(SUM(PROD!L$5:L214,-PROD!AM$5:AM214,-PROD!AZ$5:AZ214)/N$1*N$2,0),0)-SUM(M$4:M212)</f>
        <v>0</v>
      </c>
      <c r="N213" s="1316">
        <f t="shared" si="42"/>
        <v>0</v>
      </c>
      <c r="O213" s="1317">
        <f t="shared" si="37"/>
        <v>0</v>
      </c>
      <c r="P213" s="1318"/>
      <c r="Q213" s="1319"/>
      <c r="R213" s="1320">
        <f t="shared" si="38"/>
        <v>0</v>
      </c>
      <c r="S213" s="1316">
        <f t="shared" si="39"/>
        <v>0</v>
      </c>
      <c r="T213" s="712"/>
      <c r="U213" s="713"/>
      <c r="V213" s="714"/>
      <c r="W213" s="398">
        <f t="shared" si="48"/>
        <v>0</v>
      </c>
      <c r="X213" s="712"/>
      <c r="Y213" s="713"/>
      <c r="Z213" s="714"/>
      <c r="AA213" s="398">
        <f t="shared" si="43"/>
        <v>0</v>
      </c>
      <c r="AB213" s="712"/>
      <c r="AC213" s="713"/>
      <c r="AD213" s="714"/>
      <c r="AE213" s="398">
        <f t="shared" si="44"/>
        <v>0</v>
      </c>
      <c r="AF213" s="712"/>
      <c r="AG213" s="713"/>
      <c r="AH213" s="714"/>
      <c r="AI213" s="398">
        <f t="shared" si="45"/>
        <v>0</v>
      </c>
      <c r="AJ213" s="712"/>
      <c r="AK213" s="713"/>
      <c r="AL213" s="714"/>
      <c r="AM213" s="398">
        <f t="shared" si="46"/>
        <v>0</v>
      </c>
    </row>
    <row r="214" spans="1:39" ht="16.5" customHeight="1" x14ac:dyDescent="0.3">
      <c r="A214" s="2160">
        <f>A207+1</f>
        <v>48</v>
      </c>
      <c r="B214" s="1313" t="str">
        <f t="shared" si="40"/>
        <v/>
      </c>
      <c r="C214" s="1011">
        <f>IF($D$2="NO",0,ROUNDDOWN(SUM(PROD!$V$5:V215)/IF(Iniciar!$C$25="kilos",40,1),0)-SUM($C$4:$C213))</f>
        <v>0</v>
      </c>
      <c r="D214" s="702"/>
      <c r="E214" s="702"/>
      <c r="F214" s="300">
        <f t="shared" si="47"/>
        <v>-35000</v>
      </c>
      <c r="G214" s="694"/>
      <c r="H214" s="695"/>
      <c r="I214" s="1314"/>
      <c r="J214" s="1315">
        <f>IF(K$1&gt;0,ROUNDUP(SUM(PROD!AM$5:AM215)/K$1*K$2,0),0)-SUM(J$4:J213)</f>
        <v>0</v>
      </c>
      <c r="K214" s="1316">
        <f t="shared" si="41"/>
        <v>0</v>
      </c>
      <c r="L214" s="1314"/>
      <c r="M214" s="1315">
        <f>IF(N$1&gt;0,ROUNDUP(SUM(PROD!L$5:L215,-PROD!AM$5:AM215,-PROD!AZ$5:AZ215)/N$1*N$2,0),0)-SUM(M$4:M213)</f>
        <v>0</v>
      </c>
      <c r="N214" s="1316">
        <f t="shared" si="42"/>
        <v>0</v>
      </c>
      <c r="O214" s="1317">
        <f t="shared" si="37"/>
        <v>0</v>
      </c>
      <c r="P214" s="1318"/>
      <c r="Q214" s="1319"/>
      <c r="R214" s="1320">
        <f t="shared" si="38"/>
        <v>0</v>
      </c>
      <c r="S214" s="1316">
        <f t="shared" si="39"/>
        <v>0</v>
      </c>
      <c r="T214" s="712"/>
      <c r="U214" s="713"/>
      <c r="V214" s="714"/>
      <c r="W214" s="398">
        <f t="shared" si="48"/>
        <v>0</v>
      </c>
      <c r="X214" s="712"/>
      <c r="Y214" s="713"/>
      <c r="Z214" s="714"/>
      <c r="AA214" s="398">
        <f t="shared" si="43"/>
        <v>0</v>
      </c>
      <c r="AB214" s="712"/>
      <c r="AC214" s="713"/>
      <c r="AD214" s="714"/>
      <c r="AE214" s="398">
        <f t="shared" si="44"/>
        <v>0</v>
      </c>
      <c r="AF214" s="712"/>
      <c r="AG214" s="713"/>
      <c r="AH214" s="714"/>
      <c r="AI214" s="398">
        <f t="shared" si="45"/>
        <v>0</v>
      </c>
      <c r="AJ214" s="712"/>
      <c r="AK214" s="713"/>
      <c r="AL214" s="714"/>
      <c r="AM214" s="398">
        <f t="shared" si="46"/>
        <v>0</v>
      </c>
    </row>
    <row r="215" spans="1:39" ht="15.75" customHeight="1" x14ac:dyDescent="0.3">
      <c r="A215" s="2161"/>
      <c r="B215" s="1313" t="str">
        <f t="shared" si="40"/>
        <v/>
      </c>
      <c r="C215" s="1011">
        <f>IF($D$2="NO",0,ROUNDDOWN(SUM(PROD!$V$5:V216)/IF(Iniciar!$C$25="kilos",40,1),0)-SUM($C$4:$C214))</f>
        <v>0</v>
      </c>
      <c r="D215" s="702"/>
      <c r="E215" s="702"/>
      <c r="F215" s="300">
        <f t="shared" si="47"/>
        <v>-35000</v>
      </c>
      <c r="G215" s="694"/>
      <c r="H215" s="695"/>
      <c r="I215" s="1314"/>
      <c r="J215" s="1315">
        <f>IF(K$1&gt;0,ROUNDUP(SUM(PROD!AM$5:AM216)/K$1*K$2,0),0)-SUM(J$4:J214)</f>
        <v>0</v>
      </c>
      <c r="K215" s="1316">
        <f t="shared" si="41"/>
        <v>0</v>
      </c>
      <c r="L215" s="1314"/>
      <c r="M215" s="1315">
        <f>IF(N$1&gt;0,ROUNDUP(SUM(PROD!L$5:L216,-PROD!AM$5:AM216,-PROD!AZ$5:AZ216)/N$1*N$2,0),0)-SUM(M$4:M214)</f>
        <v>0</v>
      </c>
      <c r="N215" s="1316">
        <f t="shared" si="42"/>
        <v>0</v>
      </c>
      <c r="O215" s="1317">
        <f t="shared" si="37"/>
        <v>0</v>
      </c>
      <c r="P215" s="1318"/>
      <c r="Q215" s="1319"/>
      <c r="R215" s="1320">
        <f t="shared" si="38"/>
        <v>0</v>
      </c>
      <c r="S215" s="1316">
        <f t="shared" si="39"/>
        <v>0</v>
      </c>
      <c r="T215" s="712"/>
      <c r="U215" s="713"/>
      <c r="V215" s="714"/>
      <c r="W215" s="398">
        <f t="shared" si="48"/>
        <v>0</v>
      </c>
      <c r="X215" s="712"/>
      <c r="Y215" s="713"/>
      <c r="Z215" s="714"/>
      <c r="AA215" s="398">
        <f t="shared" si="43"/>
        <v>0</v>
      </c>
      <c r="AB215" s="712"/>
      <c r="AC215" s="713"/>
      <c r="AD215" s="714"/>
      <c r="AE215" s="398">
        <f t="shared" si="44"/>
        <v>0</v>
      </c>
      <c r="AF215" s="712"/>
      <c r="AG215" s="713"/>
      <c r="AH215" s="714"/>
      <c r="AI215" s="398">
        <f t="shared" si="45"/>
        <v>0</v>
      </c>
      <c r="AJ215" s="712"/>
      <c r="AK215" s="713"/>
      <c r="AL215" s="714"/>
      <c r="AM215" s="398">
        <f t="shared" si="46"/>
        <v>0</v>
      </c>
    </row>
    <row r="216" spans="1:39" ht="15.75" customHeight="1" x14ac:dyDescent="0.3">
      <c r="A216" s="2161"/>
      <c r="B216" s="1313" t="str">
        <f t="shared" si="40"/>
        <v/>
      </c>
      <c r="C216" s="1011">
        <f>IF($D$2="NO",0,ROUNDDOWN(SUM(PROD!$V$5:V217)/IF(Iniciar!$C$25="kilos",40,1),0)-SUM($C$4:$C215))</f>
        <v>0</v>
      </c>
      <c r="D216" s="702"/>
      <c r="E216" s="702"/>
      <c r="F216" s="300">
        <f t="shared" si="47"/>
        <v>-35000</v>
      </c>
      <c r="G216" s="694"/>
      <c r="H216" s="695"/>
      <c r="I216" s="1314"/>
      <c r="J216" s="1315">
        <f>IF(K$1&gt;0,ROUNDUP(SUM(PROD!AM$5:AM217)/K$1*K$2,0),0)-SUM(J$4:J215)</f>
        <v>0</v>
      </c>
      <c r="K216" s="1316">
        <f t="shared" si="41"/>
        <v>0</v>
      </c>
      <c r="L216" s="1314"/>
      <c r="M216" s="1315">
        <f>IF(N$1&gt;0,ROUNDUP(SUM(PROD!L$5:L217,-PROD!AM$5:AM217,-PROD!AZ$5:AZ217)/N$1*N$2,0),0)-SUM(M$4:M215)</f>
        <v>0</v>
      </c>
      <c r="N216" s="1316">
        <f t="shared" si="42"/>
        <v>0</v>
      </c>
      <c r="O216" s="1317">
        <f t="shared" si="37"/>
        <v>0</v>
      </c>
      <c r="P216" s="1318"/>
      <c r="Q216" s="1319"/>
      <c r="R216" s="1320">
        <f t="shared" si="38"/>
        <v>0</v>
      </c>
      <c r="S216" s="1316">
        <f t="shared" si="39"/>
        <v>0</v>
      </c>
      <c r="T216" s="712"/>
      <c r="U216" s="713"/>
      <c r="V216" s="714"/>
      <c r="W216" s="398">
        <f t="shared" si="48"/>
        <v>0</v>
      </c>
      <c r="X216" s="712"/>
      <c r="Y216" s="713"/>
      <c r="Z216" s="714"/>
      <c r="AA216" s="398">
        <f t="shared" si="43"/>
        <v>0</v>
      </c>
      <c r="AB216" s="712"/>
      <c r="AC216" s="713"/>
      <c r="AD216" s="714"/>
      <c r="AE216" s="398">
        <f t="shared" si="44"/>
        <v>0</v>
      </c>
      <c r="AF216" s="712"/>
      <c r="AG216" s="713"/>
      <c r="AH216" s="714"/>
      <c r="AI216" s="398">
        <f t="shared" si="45"/>
        <v>0</v>
      </c>
      <c r="AJ216" s="712"/>
      <c r="AK216" s="713"/>
      <c r="AL216" s="714"/>
      <c r="AM216" s="398">
        <f t="shared" si="46"/>
        <v>0</v>
      </c>
    </row>
    <row r="217" spans="1:39" ht="15.75" customHeight="1" x14ac:dyDescent="0.3">
      <c r="A217" s="2161"/>
      <c r="B217" s="1313" t="str">
        <f t="shared" si="40"/>
        <v/>
      </c>
      <c r="C217" s="1011">
        <f>IF($D$2="NO",0,ROUNDDOWN(SUM(PROD!$V$5:V218)/IF(Iniciar!$C$25="kilos",40,1),0)-SUM($C$4:$C216))</f>
        <v>0</v>
      </c>
      <c r="D217" s="702"/>
      <c r="E217" s="702"/>
      <c r="F217" s="300">
        <f t="shared" si="47"/>
        <v>-35000</v>
      </c>
      <c r="G217" s="694"/>
      <c r="H217" s="695"/>
      <c r="I217" s="1314"/>
      <c r="J217" s="1315">
        <f>IF(K$1&gt;0,ROUNDUP(SUM(PROD!AM$5:AM218)/K$1*K$2,0),0)-SUM(J$4:J216)</f>
        <v>0</v>
      </c>
      <c r="K217" s="1316">
        <f t="shared" si="41"/>
        <v>0</v>
      </c>
      <c r="L217" s="1314"/>
      <c r="M217" s="1315">
        <f>IF(N$1&gt;0,ROUNDUP(SUM(PROD!L$5:L218,-PROD!AM$5:AM218,-PROD!AZ$5:AZ218)/N$1*N$2,0),0)-SUM(M$4:M216)</f>
        <v>0</v>
      </c>
      <c r="N217" s="1316">
        <f t="shared" si="42"/>
        <v>0</v>
      </c>
      <c r="O217" s="1317">
        <f t="shared" si="37"/>
        <v>0</v>
      </c>
      <c r="P217" s="1318"/>
      <c r="Q217" s="1319"/>
      <c r="R217" s="1320">
        <f t="shared" si="38"/>
        <v>0</v>
      </c>
      <c r="S217" s="1316">
        <f t="shared" si="39"/>
        <v>0</v>
      </c>
      <c r="T217" s="712"/>
      <c r="U217" s="713"/>
      <c r="V217" s="714"/>
      <c r="W217" s="398">
        <f t="shared" si="48"/>
        <v>0</v>
      </c>
      <c r="X217" s="712"/>
      <c r="Y217" s="713"/>
      <c r="Z217" s="714"/>
      <c r="AA217" s="398">
        <f t="shared" si="43"/>
        <v>0</v>
      </c>
      <c r="AB217" s="712"/>
      <c r="AC217" s="713"/>
      <c r="AD217" s="714"/>
      <c r="AE217" s="398">
        <f t="shared" si="44"/>
        <v>0</v>
      </c>
      <c r="AF217" s="712"/>
      <c r="AG217" s="713"/>
      <c r="AH217" s="714"/>
      <c r="AI217" s="398">
        <f t="shared" si="45"/>
        <v>0</v>
      </c>
      <c r="AJ217" s="712"/>
      <c r="AK217" s="713"/>
      <c r="AL217" s="714"/>
      <c r="AM217" s="398">
        <f t="shared" si="46"/>
        <v>0</v>
      </c>
    </row>
    <row r="218" spans="1:39" ht="15.75" customHeight="1" x14ac:dyDescent="0.3">
      <c r="A218" s="2161"/>
      <c r="B218" s="1313" t="str">
        <f t="shared" si="40"/>
        <v/>
      </c>
      <c r="C218" s="1011">
        <f>IF($D$2="NO",0,ROUNDDOWN(SUM(PROD!$V$5:V219)/IF(Iniciar!$C$25="kilos",40,1),0)-SUM($C$4:$C217))</f>
        <v>0</v>
      </c>
      <c r="D218" s="702"/>
      <c r="E218" s="702"/>
      <c r="F218" s="300">
        <f t="shared" si="47"/>
        <v>-35000</v>
      </c>
      <c r="G218" s="694"/>
      <c r="H218" s="695"/>
      <c r="I218" s="1314"/>
      <c r="J218" s="1315">
        <f>IF(K$1&gt;0,ROUNDUP(SUM(PROD!AM$5:AM219)/K$1*K$2,0),0)-SUM(J$4:J217)</f>
        <v>0</v>
      </c>
      <c r="K218" s="1316">
        <f t="shared" si="41"/>
        <v>0</v>
      </c>
      <c r="L218" s="1314"/>
      <c r="M218" s="1315">
        <f>IF(N$1&gt;0,ROUNDUP(SUM(PROD!L$5:L219,-PROD!AM$5:AM219,-PROD!AZ$5:AZ219)/N$1*N$2,0),0)-SUM(M$4:M217)</f>
        <v>0</v>
      </c>
      <c r="N218" s="1316">
        <f t="shared" si="42"/>
        <v>0</v>
      </c>
      <c r="O218" s="1317">
        <f t="shared" si="37"/>
        <v>0</v>
      </c>
      <c r="P218" s="1318"/>
      <c r="Q218" s="1319"/>
      <c r="R218" s="1320">
        <f t="shared" si="38"/>
        <v>0</v>
      </c>
      <c r="S218" s="1316">
        <f t="shared" si="39"/>
        <v>0</v>
      </c>
      <c r="T218" s="712"/>
      <c r="U218" s="713"/>
      <c r="V218" s="714"/>
      <c r="W218" s="398">
        <f t="shared" si="48"/>
        <v>0</v>
      </c>
      <c r="X218" s="712"/>
      <c r="Y218" s="713"/>
      <c r="Z218" s="714"/>
      <c r="AA218" s="398">
        <f t="shared" si="43"/>
        <v>0</v>
      </c>
      <c r="AB218" s="712"/>
      <c r="AC218" s="713"/>
      <c r="AD218" s="714"/>
      <c r="AE218" s="398">
        <f t="shared" si="44"/>
        <v>0</v>
      </c>
      <c r="AF218" s="712"/>
      <c r="AG218" s="713"/>
      <c r="AH218" s="714"/>
      <c r="AI218" s="398">
        <f t="shared" si="45"/>
        <v>0</v>
      </c>
      <c r="AJ218" s="712"/>
      <c r="AK218" s="713"/>
      <c r="AL218" s="714"/>
      <c r="AM218" s="398">
        <f t="shared" si="46"/>
        <v>0</v>
      </c>
    </row>
    <row r="219" spans="1:39" ht="15.75" customHeight="1" x14ac:dyDescent="0.3">
      <c r="A219" s="2161"/>
      <c r="B219" s="1313" t="str">
        <f t="shared" si="40"/>
        <v/>
      </c>
      <c r="C219" s="1011">
        <f>IF($D$2="NO",0,ROUNDDOWN(SUM(PROD!$V$5:V220)/IF(Iniciar!$C$25="kilos",40,1),0)-SUM($C$4:$C218))</f>
        <v>0</v>
      </c>
      <c r="D219" s="702"/>
      <c r="E219" s="702"/>
      <c r="F219" s="300">
        <f t="shared" si="47"/>
        <v>-35000</v>
      </c>
      <c r="G219" s="694"/>
      <c r="H219" s="695"/>
      <c r="I219" s="1314"/>
      <c r="J219" s="1315">
        <f>IF(K$1&gt;0,ROUNDUP(SUM(PROD!AM$5:AM220)/K$1*K$2,0),0)-SUM(J$4:J218)</f>
        <v>0</v>
      </c>
      <c r="K219" s="1316">
        <f t="shared" si="41"/>
        <v>0</v>
      </c>
      <c r="L219" s="1314"/>
      <c r="M219" s="1315">
        <f>IF(N$1&gt;0,ROUNDUP(SUM(PROD!L$5:L220,-PROD!AM$5:AM220,-PROD!AZ$5:AZ220)/N$1*N$2,0),0)-SUM(M$4:M218)</f>
        <v>0</v>
      </c>
      <c r="N219" s="1316">
        <f t="shared" si="42"/>
        <v>0</v>
      </c>
      <c r="O219" s="1317">
        <f t="shared" si="37"/>
        <v>0</v>
      </c>
      <c r="P219" s="1318"/>
      <c r="Q219" s="1319"/>
      <c r="R219" s="1320">
        <f t="shared" si="38"/>
        <v>0</v>
      </c>
      <c r="S219" s="1316">
        <f t="shared" si="39"/>
        <v>0</v>
      </c>
      <c r="T219" s="712"/>
      <c r="U219" s="713"/>
      <c r="V219" s="714"/>
      <c r="W219" s="398">
        <f t="shared" si="48"/>
        <v>0</v>
      </c>
      <c r="X219" s="712"/>
      <c r="Y219" s="713"/>
      <c r="Z219" s="714"/>
      <c r="AA219" s="398">
        <f t="shared" si="43"/>
        <v>0</v>
      </c>
      <c r="AB219" s="712"/>
      <c r="AC219" s="713"/>
      <c r="AD219" s="714"/>
      <c r="AE219" s="398">
        <f t="shared" si="44"/>
        <v>0</v>
      </c>
      <c r="AF219" s="712"/>
      <c r="AG219" s="713"/>
      <c r="AH219" s="714"/>
      <c r="AI219" s="398">
        <f t="shared" si="45"/>
        <v>0</v>
      </c>
      <c r="AJ219" s="712"/>
      <c r="AK219" s="713"/>
      <c r="AL219" s="714"/>
      <c r="AM219" s="398">
        <f t="shared" si="46"/>
        <v>0</v>
      </c>
    </row>
    <row r="220" spans="1:39" ht="16.5" customHeight="1" x14ac:dyDescent="0.3">
      <c r="A220" s="2162"/>
      <c r="B220" s="1313" t="str">
        <f t="shared" si="40"/>
        <v/>
      </c>
      <c r="C220" s="1011">
        <f>IF($D$2="NO",0,ROUNDDOWN(SUM(PROD!$V$5:V221)/IF(Iniciar!$C$25="kilos",40,1),0)-SUM($C$4:$C219))</f>
        <v>0</v>
      </c>
      <c r="D220" s="702"/>
      <c r="E220" s="702"/>
      <c r="F220" s="300">
        <f t="shared" si="47"/>
        <v>-35000</v>
      </c>
      <c r="G220" s="694"/>
      <c r="H220" s="695"/>
      <c r="I220" s="1314"/>
      <c r="J220" s="1315">
        <f>IF(K$1&gt;0,ROUNDUP(SUM(PROD!AM$5:AM221)/K$1*K$2,0),0)-SUM(J$4:J219)</f>
        <v>0</v>
      </c>
      <c r="K220" s="1316">
        <f t="shared" si="41"/>
        <v>0</v>
      </c>
      <c r="L220" s="1314"/>
      <c r="M220" s="1315">
        <f>IF(N$1&gt;0,ROUNDUP(SUM(PROD!L$5:L221,-PROD!AM$5:AM221,-PROD!AZ$5:AZ221)/N$1*N$2,0),0)-SUM(M$4:M219)</f>
        <v>0</v>
      </c>
      <c r="N220" s="1316">
        <f t="shared" si="42"/>
        <v>0</v>
      </c>
      <c r="O220" s="1317">
        <f t="shared" si="37"/>
        <v>0</v>
      </c>
      <c r="P220" s="1318"/>
      <c r="Q220" s="1319"/>
      <c r="R220" s="1320">
        <f t="shared" si="38"/>
        <v>0</v>
      </c>
      <c r="S220" s="1316">
        <f t="shared" si="39"/>
        <v>0</v>
      </c>
      <c r="T220" s="712"/>
      <c r="U220" s="713"/>
      <c r="V220" s="714"/>
      <c r="W220" s="398">
        <f t="shared" si="48"/>
        <v>0</v>
      </c>
      <c r="X220" s="712"/>
      <c r="Y220" s="713"/>
      <c r="Z220" s="714"/>
      <c r="AA220" s="398">
        <f t="shared" si="43"/>
        <v>0</v>
      </c>
      <c r="AB220" s="712"/>
      <c r="AC220" s="713"/>
      <c r="AD220" s="714"/>
      <c r="AE220" s="398">
        <f t="shared" si="44"/>
        <v>0</v>
      </c>
      <c r="AF220" s="712"/>
      <c r="AG220" s="713"/>
      <c r="AH220" s="714"/>
      <c r="AI220" s="398">
        <f t="shared" si="45"/>
        <v>0</v>
      </c>
      <c r="AJ220" s="712"/>
      <c r="AK220" s="713"/>
      <c r="AL220" s="714"/>
      <c r="AM220" s="398">
        <f t="shared" si="46"/>
        <v>0</v>
      </c>
    </row>
    <row r="221" spans="1:39" ht="16.5" customHeight="1" x14ac:dyDescent="0.3">
      <c r="A221" s="2160">
        <f>A214+1</f>
        <v>49</v>
      </c>
      <c r="B221" s="1313" t="str">
        <f t="shared" si="40"/>
        <v/>
      </c>
      <c r="C221" s="1011">
        <f>IF($D$2="NO",0,ROUNDDOWN(SUM(PROD!$V$5:V222)/IF(Iniciar!$C$25="kilos",40,1),0)-SUM($C$4:$C220))</f>
        <v>0</v>
      </c>
      <c r="D221" s="702"/>
      <c r="E221" s="702"/>
      <c r="F221" s="300">
        <f t="shared" si="47"/>
        <v>-35000</v>
      </c>
      <c r="G221" s="694"/>
      <c r="H221" s="695"/>
      <c r="I221" s="1314"/>
      <c r="J221" s="1315">
        <f>IF(K$1&gt;0,ROUNDUP(SUM(PROD!AM$5:AM222)/K$1*K$2,0),0)-SUM(J$4:J220)</f>
        <v>0</v>
      </c>
      <c r="K221" s="1316">
        <f t="shared" ref="K221:K283" si="49">K220+I221-J221</f>
        <v>0</v>
      </c>
      <c r="L221" s="1314"/>
      <c r="M221" s="1315">
        <f>IF(N$1&gt;0,ROUNDUP(SUM(PROD!L$5:L222,-PROD!AM$5:AM222,-PROD!AZ$5:AZ222)/N$1*N$2,0),0)-SUM(M$4:M220)</f>
        <v>0</v>
      </c>
      <c r="N221" s="1316">
        <f t="shared" ref="N221:N283" si="50">N220+L221-M221</f>
        <v>0</v>
      </c>
      <c r="O221" s="1317">
        <f t="shared" si="37"/>
        <v>0</v>
      </c>
      <c r="P221" s="1318"/>
      <c r="Q221" s="1319"/>
      <c r="R221" s="1320">
        <f t="shared" si="38"/>
        <v>0</v>
      </c>
      <c r="S221" s="1316">
        <f t="shared" si="39"/>
        <v>0</v>
      </c>
      <c r="T221" s="712"/>
      <c r="U221" s="713"/>
      <c r="V221" s="714"/>
      <c r="W221" s="398">
        <f t="shared" si="48"/>
        <v>0</v>
      </c>
      <c r="X221" s="712"/>
      <c r="Y221" s="713"/>
      <c r="Z221" s="714"/>
      <c r="AA221" s="398">
        <f t="shared" si="43"/>
        <v>0</v>
      </c>
      <c r="AB221" s="712"/>
      <c r="AC221" s="713"/>
      <c r="AD221" s="714"/>
      <c r="AE221" s="398">
        <f t="shared" si="44"/>
        <v>0</v>
      </c>
      <c r="AF221" s="712"/>
      <c r="AG221" s="713"/>
      <c r="AH221" s="714"/>
      <c r="AI221" s="398">
        <f t="shared" si="45"/>
        <v>0</v>
      </c>
      <c r="AJ221" s="712"/>
      <c r="AK221" s="713"/>
      <c r="AL221" s="714"/>
      <c r="AM221" s="398">
        <f t="shared" si="46"/>
        <v>0</v>
      </c>
    </row>
    <row r="222" spans="1:39" ht="15.75" customHeight="1" x14ac:dyDescent="0.3">
      <c r="A222" s="2161"/>
      <c r="B222" s="1313" t="str">
        <f t="shared" si="40"/>
        <v/>
      </c>
      <c r="C222" s="1011">
        <f>IF($D$2="NO",0,ROUNDDOWN(SUM(PROD!$V$5:V223)/IF(Iniciar!$C$25="kilos",40,1),0)-SUM($C$4:$C221))</f>
        <v>0</v>
      </c>
      <c r="D222" s="702"/>
      <c r="E222" s="702"/>
      <c r="F222" s="300">
        <f t="shared" si="47"/>
        <v>-35000</v>
      </c>
      <c r="G222" s="694"/>
      <c r="H222" s="695"/>
      <c r="I222" s="1314"/>
      <c r="J222" s="1315">
        <f>IF(K$1&gt;0,ROUNDUP(SUM(PROD!AM$5:AM223)/K$1*K$2,0),0)-SUM(J$4:J221)</f>
        <v>0</v>
      </c>
      <c r="K222" s="1316">
        <f t="shared" si="49"/>
        <v>0</v>
      </c>
      <c r="L222" s="1314"/>
      <c r="M222" s="1315">
        <f>IF(N$1&gt;0,ROUNDUP(SUM(PROD!L$5:L223,-PROD!AM$5:AM223,-PROD!AZ$5:AZ223)/N$1*N$2,0),0)-SUM(M$4:M221)</f>
        <v>0</v>
      </c>
      <c r="N222" s="1316">
        <f t="shared" si="50"/>
        <v>0</v>
      </c>
      <c r="O222" s="1317">
        <f t="shared" si="37"/>
        <v>0</v>
      </c>
      <c r="P222" s="1318"/>
      <c r="Q222" s="1319"/>
      <c r="R222" s="1320">
        <f t="shared" si="38"/>
        <v>0</v>
      </c>
      <c r="S222" s="1316">
        <f t="shared" si="39"/>
        <v>0</v>
      </c>
      <c r="T222" s="712"/>
      <c r="U222" s="713"/>
      <c r="V222" s="714"/>
      <c r="W222" s="398">
        <f t="shared" si="48"/>
        <v>0</v>
      </c>
      <c r="X222" s="712"/>
      <c r="Y222" s="713"/>
      <c r="Z222" s="714"/>
      <c r="AA222" s="398">
        <f t="shared" si="43"/>
        <v>0</v>
      </c>
      <c r="AB222" s="712"/>
      <c r="AC222" s="713"/>
      <c r="AD222" s="714"/>
      <c r="AE222" s="398">
        <f t="shared" si="44"/>
        <v>0</v>
      </c>
      <c r="AF222" s="712"/>
      <c r="AG222" s="713"/>
      <c r="AH222" s="714"/>
      <c r="AI222" s="398">
        <f t="shared" si="45"/>
        <v>0</v>
      </c>
      <c r="AJ222" s="712"/>
      <c r="AK222" s="713"/>
      <c r="AL222" s="714"/>
      <c r="AM222" s="398">
        <f t="shared" si="46"/>
        <v>0</v>
      </c>
    </row>
    <row r="223" spans="1:39" ht="15.75" customHeight="1" x14ac:dyDescent="0.3">
      <c r="A223" s="2161"/>
      <c r="B223" s="1313" t="str">
        <f t="shared" si="40"/>
        <v/>
      </c>
      <c r="C223" s="1011">
        <f>IF($D$2="NO",0,ROUNDDOWN(SUM(PROD!$V$5:V224)/IF(Iniciar!$C$25="kilos",40,1),0)-SUM($C$4:$C222))</f>
        <v>0</v>
      </c>
      <c r="D223" s="702"/>
      <c r="E223" s="702"/>
      <c r="F223" s="300">
        <f t="shared" si="47"/>
        <v>-35000</v>
      </c>
      <c r="G223" s="694"/>
      <c r="H223" s="695"/>
      <c r="I223" s="1314"/>
      <c r="J223" s="1315">
        <f>IF(K$1&gt;0,ROUNDUP(SUM(PROD!AM$5:AM224)/K$1*K$2,0),0)-SUM(J$4:J222)</f>
        <v>0</v>
      </c>
      <c r="K223" s="1316">
        <f t="shared" si="49"/>
        <v>0</v>
      </c>
      <c r="L223" s="1314"/>
      <c r="M223" s="1315">
        <f>IF(N$1&gt;0,ROUNDUP(SUM(PROD!L$5:L224,-PROD!AM$5:AM224,-PROD!AZ$5:AZ224)/N$1*N$2,0),0)-SUM(M$4:M222)</f>
        <v>0</v>
      </c>
      <c r="N223" s="1316">
        <f t="shared" si="50"/>
        <v>0</v>
      </c>
      <c r="O223" s="1317">
        <f t="shared" si="37"/>
        <v>0</v>
      </c>
      <c r="P223" s="1318"/>
      <c r="Q223" s="1319"/>
      <c r="R223" s="1320">
        <f t="shared" si="38"/>
        <v>0</v>
      </c>
      <c r="S223" s="1316">
        <f t="shared" si="39"/>
        <v>0</v>
      </c>
      <c r="T223" s="712"/>
      <c r="U223" s="713"/>
      <c r="V223" s="714"/>
      <c r="W223" s="398">
        <f t="shared" si="48"/>
        <v>0</v>
      </c>
      <c r="X223" s="712"/>
      <c r="Y223" s="713"/>
      <c r="Z223" s="714"/>
      <c r="AA223" s="398">
        <f t="shared" si="43"/>
        <v>0</v>
      </c>
      <c r="AB223" s="712"/>
      <c r="AC223" s="713"/>
      <c r="AD223" s="714"/>
      <c r="AE223" s="398">
        <f t="shared" si="44"/>
        <v>0</v>
      </c>
      <c r="AF223" s="712"/>
      <c r="AG223" s="713"/>
      <c r="AH223" s="714"/>
      <c r="AI223" s="398">
        <f t="shared" si="45"/>
        <v>0</v>
      </c>
      <c r="AJ223" s="712"/>
      <c r="AK223" s="713"/>
      <c r="AL223" s="714"/>
      <c r="AM223" s="398">
        <f t="shared" si="46"/>
        <v>0</v>
      </c>
    </row>
    <row r="224" spans="1:39" ht="15.75" customHeight="1" x14ac:dyDescent="0.3">
      <c r="A224" s="2161"/>
      <c r="B224" s="1313" t="str">
        <f t="shared" si="40"/>
        <v/>
      </c>
      <c r="C224" s="1011">
        <f>IF($D$2="NO",0,ROUNDDOWN(SUM(PROD!$V$5:V225)/IF(Iniciar!$C$25="kilos",40,1),0)-SUM($C$4:$C223))</f>
        <v>0</v>
      </c>
      <c r="D224" s="702"/>
      <c r="E224" s="702"/>
      <c r="F224" s="300">
        <f t="shared" si="47"/>
        <v>-35000</v>
      </c>
      <c r="G224" s="694"/>
      <c r="H224" s="695"/>
      <c r="I224" s="1314"/>
      <c r="J224" s="1315">
        <f>IF(K$1&gt;0,ROUNDUP(SUM(PROD!AM$5:AM225)/K$1*K$2,0),0)-SUM(J$4:J223)</f>
        <v>0</v>
      </c>
      <c r="K224" s="1316">
        <f t="shared" si="49"/>
        <v>0</v>
      </c>
      <c r="L224" s="1314"/>
      <c r="M224" s="1315">
        <f>IF(N$1&gt;0,ROUNDUP(SUM(PROD!L$5:L225,-PROD!AM$5:AM225,-PROD!AZ$5:AZ225)/N$1*N$2,0),0)-SUM(M$4:M223)</f>
        <v>0</v>
      </c>
      <c r="N224" s="1316">
        <f t="shared" si="50"/>
        <v>0</v>
      </c>
      <c r="O224" s="1317">
        <f t="shared" si="37"/>
        <v>0</v>
      </c>
      <c r="P224" s="1318"/>
      <c r="Q224" s="1319"/>
      <c r="R224" s="1320">
        <f t="shared" si="38"/>
        <v>0</v>
      </c>
      <c r="S224" s="1316">
        <f t="shared" si="39"/>
        <v>0</v>
      </c>
      <c r="T224" s="712"/>
      <c r="U224" s="713"/>
      <c r="V224" s="714"/>
      <c r="W224" s="398">
        <f t="shared" si="48"/>
        <v>0</v>
      </c>
      <c r="X224" s="712"/>
      <c r="Y224" s="713"/>
      <c r="Z224" s="714"/>
      <c r="AA224" s="398">
        <f t="shared" si="43"/>
        <v>0</v>
      </c>
      <c r="AB224" s="712"/>
      <c r="AC224" s="713"/>
      <c r="AD224" s="714"/>
      <c r="AE224" s="398">
        <f t="shared" si="44"/>
        <v>0</v>
      </c>
      <c r="AF224" s="712"/>
      <c r="AG224" s="713"/>
      <c r="AH224" s="714"/>
      <c r="AI224" s="398">
        <f t="shared" si="45"/>
        <v>0</v>
      </c>
      <c r="AJ224" s="712"/>
      <c r="AK224" s="713"/>
      <c r="AL224" s="714"/>
      <c r="AM224" s="398">
        <f t="shared" si="46"/>
        <v>0</v>
      </c>
    </row>
    <row r="225" spans="1:39" ht="15.75" customHeight="1" x14ac:dyDescent="0.3">
      <c r="A225" s="2161"/>
      <c r="B225" s="1313" t="str">
        <f t="shared" si="40"/>
        <v/>
      </c>
      <c r="C225" s="1011">
        <f>IF($D$2="NO",0,ROUNDDOWN(SUM(PROD!$V$5:V226)/IF(Iniciar!$C$25="kilos",40,1),0)-SUM($C$4:$C224))</f>
        <v>0</v>
      </c>
      <c r="D225" s="702"/>
      <c r="E225" s="702"/>
      <c r="F225" s="300">
        <f t="shared" si="47"/>
        <v>-35000</v>
      </c>
      <c r="G225" s="694"/>
      <c r="H225" s="695"/>
      <c r="I225" s="1314"/>
      <c r="J225" s="1315">
        <f>IF(K$1&gt;0,ROUNDUP(SUM(PROD!AM$5:AM226)/K$1*K$2,0),0)-SUM(J$4:J224)</f>
        <v>0</v>
      </c>
      <c r="K225" s="1316">
        <f t="shared" si="49"/>
        <v>0</v>
      </c>
      <c r="L225" s="1314"/>
      <c r="M225" s="1315">
        <f>IF(N$1&gt;0,ROUNDUP(SUM(PROD!L$5:L226,-PROD!AM$5:AM226,-PROD!AZ$5:AZ226)/N$1*N$2,0),0)-SUM(M$4:M224)</f>
        <v>0</v>
      </c>
      <c r="N225" s="1316">
        <f t="shared" si="50"/>
        <v>0</v>
      </c>
      <c r="O225" s="1317">
        <f t="shared" si="37"/>
        <v>0</v>
      </c>
      <c r="P225" s="1318"/>
      <c r="Q225" s="1319"/>
      <c r="R225" s="1320">
        <f t="shared" si="38"/>
        <v>0</v>
      </c>
      <c r="S225" s="1316">
        <f t="shared" si="39"/>
        <v>0</v>
      </c>
      <c r="T225" s="712"/>
      <c r="U225" s="713"/>
      <c r="V225" s="714"/>
      <c r="W225" s="398">
        <f t="shared" si="48"/>
        <v>0</v>
      </c>
      <c r="X225" s="712"/>
      <c r="Y225" s="713"/>
      <c r="Z225" s="714"/>
      <c r="AA225" s="398">
        <f t="shared" si="43"/>
        <v>0</v>
      </c>
      <c r="AB225" s="712"/>
      <c r="AC225" s="713"/>
      <c r="AD225" s="714"/>
      <c r="AE225" s="398">
        <f t="shared" si="44"/>
        <v>0</v>
      </c>
      <c r="AF225" s="712"/>
      <c r="AG225" s="713"/>
      <c r="AH225" s="714"/>
      <c r="AI225" s="398">
        <f t="shared" si="45"/>
        <v>0</v>
      </c>
      <c r="AJ225" s="712"/>
      <c r="AK225" s="713"/>
      <c r="AL225" s="714"/>
      <c r="AM225" s="398">
        <f t="shared" si="46"/>
        <v>0</v>
      </c>
    </row>
    <row r="226" spans="1:39" ht="15.75" customHeight="1" x14ac:dyDescent="0.3">
      <c r="A226" s="2161"/>
      <c r="B226" s="1313" t="str">
        <f t="shared" si="40"/>
        <v/>
      </c>
      <c r="C226" s="1011">
        <f>IF($D$2="NO",0,ROUNDDOWN(SUM(PROD!$V$5:V227)/IF(Iniciar!$C$25="kilos",40,1),0)-SUM($C$4:$C225))</f>
        <v>0</v>
      </c>
      <c r="D226" s="702"/>
      <c r="E226" s="702"/>
      <c r="F226" s="300">
        <f t="shared" si="47"/>
        <v>-35000</v>
      </c>
      <c r="G226" s="694"/>
      <c r="H226" s="695"/>
      <c r="I226" s="1314"/>
      <c r="J226" s="1315">
        <f>IF(K$1&gt;0,ROUNDUP(SUM(PROD!AM$5:AM227)/K$1*K$2,0),0)-SUM(J$4:J225)</f>
        <v>0</v>
      </c>
      <c r="K226" s="1316">
        <f t="shared" si="49"/>
        <v>0</v>
      </c>
      <c r="L226" s="1314"/>
      <c r="M226" s="1315">
        <f>IF(N$1&gt;0,ROUNDUP(SUM(PROD!L$5:L227,-PROD!AM$5:AM227,-PROD!AZ$5:AZ227)/N$1*N$2,0),0)-SUM(M$4:M225)</f>
        <v>0</v>
      </c>
      <c r="N226" s="1316">
        <f t="shared" si="50"/>
        <v>0</v>
      </c>
      <c r="O226" s="1317">
        <f t="shared" si="37"/>
        <v>0</v>
      </c>
      <c r="P226" s="1318"/>
      <c r="Q226" s="1319"/>
      <c r="R226" s="1320">
        <f t="shared" si="38"/>
        <v>0</v>
      </c>
      <c r="S226" s="1316">
        <f t="shared" si="39"/>
        <v>0</v>
      </c>
      <c r="T226" s="712"/>
      <c r="U226" s="713"/>
      <c r="V226" s="714"/>
      <c r="W226" s="398">
        <f t="shared" si="48"/>
        <v>0</v>
      </c>
      <c r="X226" s="712"/>
      <c r="Y226" s="713"/>
      <c r="Z226" s="714"/>
      <c r="AA226" s="398">
        <f t="shared" si="43"/>
        <v>0</v>
      </c>
      <c r="AB226" s="712"/>
      <c r="AC226" s="713"/>
      <c r="AD226" s="714"/>
      <c r="AE226" s="398">
        <f t="shared" si="44"/>
        <v>0</v>
      </c>
      <c r="AF226" s="712"/>
      <c r="AG226" s="713"/>
      <c r="AH226" s="714"/>
      <c r="AI226" s="398">
        <f t="shared" si="45"/>
        <v>0</v>
      </c>
      <c r="AJ226" s="712"/>
      <c r="AK226" s="713"/>
      <c r="AL226" s="714"/>
      <c r="AM226" s="398">
        <f t="shared" si="46"/>
        <v>0</v>
      </c>
    </row>
    <row r="227" spans="1:39" ht="16.5" customHeight="1" x14ac:dyDescent="0.3">
      <c r="A227" s="2162"/>
      <c r="B227" s="1313" t="str">
        <f t="shared" si="40"/>
        <v/>
      </c>
      <c r="C227" s="1011">
        <f>IF($D$2="NO",0,ROUNDDOWN(SUM(PROD!$V$5:V228)/IF(Iniciar!$C$25="kilos",40,1),0)-SUM($C$4:$C226))</f>
        <v>0</v>
      </c>
      <c r="D227" s="702"/>
      <c r="E227" s="702"/>
      <c r="F227" s="300">
        <f t="shared" si="47"/>
        <v>-35000</v>
      </c>
      <c r="G227" s="694"/>
      <c r="H227" s="695"/>
      <c r="I227" s="1314"/>
      <c r="J227" s="1315">
        <f>IF(K$1&gt;0,ROUNDUP(SUM(PROD!AM$5:AM228)/K$1*K$2,0),0)-SUM(J$4:J226)</f>
        <v>0</v>
      </c>
      <c r="K227" s="1316">
        <f t="shared" si="49"/>
        <v>0</v>
      </c>
      <c r="L227" s="1314"/>
      <c r="M227" s="1315">
        <f>IF(N$1&gt;0,ROUNDUP(SUM(PROD!L$5:L228,-PROD!AM$5:AM228,-PROD!AZ$5:AZ228)/N$1*N$2,0),0)-SUM(M$4:M226)</f>
        <v>0</v>
      </c>
      <c r="N227" s="1316">
        <f t="shared" si="50"/>
        <v>0</v>
      </c>
      <c r="O227" s="1317">
        <f t="shared" si="37"/>
        <v>0</v>
      </c>
      <c r="P227" s="1318"/>
      <c r="Q227" s="1319"/>
      <c r="R227" s="1320">
        <f t="shared" si="38"/>
        <v>0</v>
      </c>
      <c r="S227" s="1316">
        <f t="shared" si="39"/>
        <v>0</v>
      </c>
      <c r="T227" s="712"/>
      <c r="U227" s="713"/>
      <c r="V227" s="714"/>
      <c r="W227" s="398">
        <f t="shared" si="48"/>
        <v>0</v>
      </c>
      <c r="X227" s="712"/>
      <c r="Y227" s="713"/>
      <c r="Z227" s="714"/>
      <c r="AA227" s="398">
        <f t="shared" si="43"/>
        <v>0</v>
      </c>
      <c r="AB227" s="712"/>
      <c r="AC227" s="713"/>
      <c r="AD227" s="714"/>
      <c r="AE227" s="398">
        <f t="shared" si="44"/>
        <v>0</v>
      </c>
      <c r="AF227" s="712"/>
      <c r="AG227" s="713"/>
      <c r="AH227" s="714"/>
      <c r="AI227" s="398">
        <f t="shared" si="45"/>
        <v>0</v>
      </c>
      <c r="AJ227" s="712"/>
      <c r="AK227" s="713"/>
      <c r="AL227" s="714"/>
      <c r="AM227" s="398">
        <f t="shared" si="46"/>
        <v>0</v>
      </c>
    </row>
    <row r="228" spans="1:39" ht="16.5" customHeight="1" x14ac:dyDescent="0.3">
      <c r="A228" s="2160">
        <f>A221+1</f>
        <v>50</v>
      </c>
      <c r="B228" s="1313" t="str">
        <f t="shared" si="40"/>
        <v/>
      </c>
      <c r="C228" s="1011">
        <f>IF($D$2="NO",0,ROUNDDOWN(SUM(PROD!$V$5:V229)/IF(Iniciar!$C$25="kilos",40,1),0)-SUM($C$4:$C227))</f>
        <v>0</v>
      </c>
      <c r="D228" s="702"/>
      <c r="E228" s="702"/>
      <c r="F228" s="300">
        <f t="shared" si="47"/>
        <v>-35000</v>
      </c>
      <c r="G228" s="694"/>
      <c r="H228" s="695"/>
      <c r="I228" s="1314"/>
      <c r="J228" s="1315">
        <f>IF(K$1&gt;0,ROUNDUP(SUM(PROD!AM$5:AM229)/K$1*K$2,0),0)-SUM(J$4:J227)</f>
        <v>0</v>
      </c>
      <c r="K228" s="1316">
        <f t="shared" si="49"/>
        <v>0</v>
      </c>
      <c r="L228" s="1314"/>
      <c r="M228" s="1315">
        <f>IF(N$1&gt;0,ROUNDUP(SUM(PROD!L$5:L229,-PROD!AM$5:AM229,-PROD!AZ$5:AZ229)/N$1*N$2,0),0)-SUM(M$4:M227)</f>
        <v>0</v>
      </c>
      <c r="N228" s="1316">
        <f t="shared" si="50"/>
        <v>0</v>
      </c>
      <c r="O228" s="1317">
        <f t="shared" si="37"/>
        <v>0</v>
      </c>
      <c r="P228" s="1318"/>
      <c r="Q228" s="1319"/>
      <c r="R228" s="1320">
        <f t="shared" si="38"/>
        <v>0</v>
      </c>
      <c r="S228" s="1316">
        <f t="shared" si="39"/>
        <v>0</v>
      </c>
      <c r="T228" s="712"/>
      <c r="U228" s="713"/>
      <c r="V228" s="714"/>
      <c r="W228" s="398">
        <f t="shared" si="48"/>
        <v>0</v>
      </c>
      <c r="X228" s="712"/>
      <c r="Y228" s="713"/>
      <c r="Z228" s="714"/>
      <c r="AA228" s="398">
        <f t="shared" si="43"/>
        <v>0</v>
      </c>
      <c r="AB228" s="712"/>
      <c r="AC228" s="713"/>
      <c r="AD228" s="714"/>
      <c r="AE228" s="398">
        <f t="shared" si="44"/>
        <v>0</v>
      </c>
      <c r="AF228" s="712"/>
      <c r="AG228" s="713"/>
      <c r="AH228" s="714"/>
      <c r="AI228" s="398">
        <f t="shared" si="45"/>
        <v>0</v>
      </c>
      <c r="AJ228" s="712"/>
      <c r="AK228" s="713"/>
      <c r="AL228" s="714"/>
      <c r="AM228" s="398">
        <f t="shared" si="46"/>
        <v>0</v>
      </c>
    </row>
    <row r="229" spans="1:39" ht="15.75" customHeight="1" x14ac:dyDescent="0.3">
      <c r="A229" s="2161"/>
      <c r="B229" s="1313" t="str">
        <f t="shared" si="40"/>
        <v/>
      </c>
      <c r="C229" s="1011">
        <f>IF($D$2="NO",0,ROUNDDOWN(SUM(PROD!$V$5:V230)/IF(Iniciar!$C$25="kilos",40,1),0)-SUM($C$4:$C228))</f>
        <v>0</v>
      </c>
      <c r="D229" s="702"/>
      <c r="E229" s="702"/>
      <c r="F229" s="300">
        <f t="shared" si="47"/>
        <v>-35000</v>
      </c>
      <c r="G229" s="694"/>
      <c r="H229" s="695"/>
      <c r="I229" s="1314"/>
      <c r="J229" s="1315">
        <f>IF(K$1&gt;0,ROUNDUP(SUM(PROD!AM$5:AM230)/K$1*K$2,0),0)-SUM(J$4:J228)</f>
        <v>0</v>
      </c>
      <c r="K229" s="1316">
        <f t="shared" si="49"/>
        <v>0</v>
      </c>
      <c r="L229" s="1314"/>
      <c r="M229" s="1315">
        <f>IF(N$1&gt;0,ROUNDUP(SUM(PROD!L$5:L230,-PROD!AM$5:AM230,-PROD!AZ$5:AZ230)/N$1*N$2,0),0)-SUM(M$4:M228)</f>
        <v>0</v>
      </c>
      <c r="N229" s="1316">
        <f t="shared" si="50"/>
        <v>0</v>
      </c>
      <c r="O229" s="1317">
        <f t="shared" si="37"/>
        <v>0</v>
      </c>
      <c r="P229" s="1318"/>
      <c r="Q229" s="1319"/>
      <c r="R229" s="1320">
        <f t="shared" si="38"/>
        <v>0</v>
      </c>
      <c r="S229" s="1316">
        <f t="shared" si="39"/>
        <v>0</v>
      </c>
      <c r="T229" s="712"/>
      <c r="U229" s="713"/>
      <c r="V229" s="714"/>
      <c r="W229" s="398">
        <f t="shared" si="48"/>
        <v>0</v>
      </c>
      <c r="X229" s="712"/>
      <c r="Y229" s="713"/>
      <c r="Z229" s="714"/>
      <c r="AA229" s="398">
        <f t="shared" si="43"/>
        <v>0</v>
      </c>
      <c r="AB229" s="712"/>
      <c r="AC229" s="713"/>
      <c r="AD229" s="714"/>
      <c r="AE229" s="398">
        <f t="shared" si="44"/>
        <v>0</v>
      </c>
      <c r="AF229" s="712"/>
      <c r="AG229" s="713"/>
      <c r="AH229" s="714"/>
      <c r="AI229" s="398">
        <f t="shared" si="45"/>
        <v>0</v>
      </c>
      <c r="AJ229" s="712"/>
      <c r="AK229" s="713"/>
      <c r="AL229" s="714"/>
      <c r="AM229" s="398">
        <f t="shared" si="46"/>
        <v>0</v>
      </c>
    </row>
    <row r="230" spans="1:39" ht="15.75" customHeight="1" x14ac:dyDescent="0.3">
      <c r="A230" s="2161"/>
      <c r="B230" s="1313" t="str">
        <f t="shared" si="40"/>
        <v/>
      </c>
      <c r="C230" s="1011">
        <f>IF($D$2="NO",0,ROUNDDOWN(SUM(PROD!$V$5:V231)/IF(Iniciar!$C$25="kilos",40,1),0)-SUM($C$4:$C229))</f>
        <v>0</v>
      </c>
      <c r="D230" s="702"/>
      <c r="E230" s="702"/>
      <c r="F230" s="300">
        <f t="shared" si="47"/>
        <v>-35000</v>
      </c>
      <c r="G230" s="694"/>
      <c r="H230" s="695"/>
      <c r="I230" s="1314"/>
      <c r="J230" s="1315">
        <f>IF(K$1&gt;0,ROUNDUP(SUM(PROD!AM$5:AM231)/K$1*K$2,0),0)-SUM(J$4:J229)</f>
        <v>0</v>
      </c>
      <c r="K230" s="1316">
        <f t="shared" si="49"/>
        <v>0</v>
      </c>
      <c r="L230" s="1314"/>
      <c r="M230" s="1315">
        <f>IF(N$1&gt;0,ROUNDUP(SUM(PROD!L$5:L231,-PROD!AM$5:AM231,-PROD!AZ$5:AZ231)/N$1*N$2,0),0)-SUM(M$4:M229)</f>
        <v>0</v>
      </c>
      <c r="N230" s="1316">
        <f t="shared" si="50"/>
        <v>0</v>
      </c>
      <c r="O230" s="1317">
        <f t="shared" si="37"/>
        <v>0</v>
      </c>
      <c r="P230" s="1318"/>
      <c r="Q230" s="1319"/>
      <c r="R230" s="1320">
        <f t="shared" si="38"/>
        <v>0</v>
      </c>
      <c r="S230" s="1316">
        <f t="shared" si="39"/>
        <v>0</v>
      </c>
      <c r="T230" s="712"/>
      <c r="U230" s="713"/>
      <c r="V230" s="714"/>
      <c r="W230" s="398">
        <f t="shared" si="48"/>
        <v>0</v>
      </c>
      <c r="X230" s="712"/>
      <c r="Y230" s="713"/>
      <c r="Z230" s="714"/>
      <c r="AA230" s="398">
        <f t="shared" si="43"/>
        <v>0</v>
      </c>
      <c r="AB230" s="712"/>
      <c r="AC230" s="713"/>
      <c r="AD230" s="714"/>
      <c r="AE230" s="398">
        <f t="shared" si="44"/>
        <v>0</v>
      </c>
      <c r="AF230" s="712"/>
      <c r="AG230" s="713"/>
      <c r="AH230" s="714"/>
      <c r="AI230" s="398">
        <f t="shared" si="45"/>
        <v>0</v>
      </c>
      <c r="AJ230" s="712"/>
      <c r="AK230" s="713"/>
      <c r="AL230" s="714"/>
      <c r="AM230" s="398">
        <f t="shared" si="46"/>
        <v>0</v>
      </c>
    </row>
    <row r="231" spans="1:39" ht="15.75" customHeight="1" x14ac:dyDescent="0.3">
      <c r="A231" s="2161"/>
      <c r="B231" s="1313" t="str">
        <f t="shared" si="40"/>
        <v/>
      </c>
      <c r="C231" s="1011">
        <f>IF($D$2="NO",0,ROUNDDOWN(SUM(PROD!$V$5:V232)/IF(Iniciar!$C$25="kilos",40,1),0)-SUM($C$4:$C230))</f>
        <v>0</v>
      </c>
      <c r="D231" s="702"/>
      <c r="E231" s="702"/>
      <c r="F231" s="300">
        <f t="shared" si="47"/>
        <v>-35000</v>
      </c>
      <c r="G231" s="694"/>
      <c r="H231" s="695"/>
      <c r="I231" s="1314"/>
      <c r="J231" s="1315">
        <f>IF(K$1&gt;0,ROUNDUP(SUM(PROD!AM$5:AM232)/K$1*K$2,0),0)-SUM(J$4:J230)</f>
        <v>0</v>
      </c>
      <c r="K231" s="1316">
        <f t="shared" si="49"/>
        <v>0</v>
      </c>
      <c r="L231" s="1314"/>
      <c r="M231" s="1315">
        <f>IF(N$1&gt;0,ROUNDUP(SUM(PROD!L$5:L232,-PROD!AM$5:AM232,-PROD!AZ$5:AZ232)/N$1*N$2,0),0)-SUM(M$4:M230)</f>
        <v>0</v>
      </c>
      <c r="N231" s="1316">
        <f t="shared" si="50"/>
        <v>0</v>
      </c>
      <c r="O231" s="1317">
        <f t="shared" si="37"/>
        <v>0</v>
      </c>
      <c r="P231" s="1318"/>
      <c r="Q231" s="1319"/>
      <c r="R231" s="1320">
        <f t="shared" si="38"/>
        <v>0</v>
      </c>
      <c r="S231" s="1316">
        <f t="shared" si="39"/>
        <v>0</v>
      </c>
      <c r="T231" s="712"/>
      <c r="U231" s="713"/>
      <c r="V231" s="714"/>
      <c r="W231" s="398">
        <f t="shared" si="48"/>
        <v>0</v>
      </c>
      <c r="X231" s="712"/>
      <c r="Y231" s="713"/>
      <c r="Z231" s="714"/>
      <c r="AA231" s="398">
        <f t="shared" si="43"/>
        <v>0</v>
      </c>
      <c r="AB231" s="712"/>
      <c r="AC231" s="713"/>
      <c r="AD231" s="714"/>
      <c r="AE231" s="398">
        <f t="shared" si="44"/>
        <v>0</v>
      </c>
      <c r="AF231" s="712"/>
      <c r="AG231" s="713"/>
      <c r="AH231" s="714"/>
      <c r="AI231" s="398">
        <f t="shared" si="45"/>
        <v>0</v>
      </c>
      <c r="AJ231" s="712"/>
      <c r="AK231" s="713"/>
      <c r="AL231" s="714"/>
      <c r="AM231" s="398">
        <f t="shared" si="46"/>
        <v>0</v>
      </c>
    </row>
    <row r="232" spans="1:39" ht="15.75" customHeight="1" x14ac:dyDescent="0.3">
      <c r="A232" s="2161"/>
      <c r="B232" s="1313" t="str">
        <f t="shared" si="40"/>
        <v/>
      </c>
      <c r="C232" s="1011">
        <f>IF($D$2="NO",0,ROUNDDOWN(SUM(PROD!$V$5:V233)/IF(Iniciar!$C$25="kilos",40,1),0)-SUM($C$4:$C231))</f>
        <v>0</v>
      </c>
      <c r="D232" s="702"/>
      <c r="E232" s="702"/>
      <c r="F232" s="300">
        <f t="shared" si="47"/>
        <v>-35000</v>
      </c>
      <c r="G232" s="694"/>
      <c r="H232" s="695"/>
      <c r="I232" s="1314"/>
      <c r="J232" s="1315">
        <f>IF(K$1&gt;0,ROUNDUP(SUM(PROD!AM$5:AM233)/K$1*K$2,0),0)-SUM(J$4:J231)</f>
        <v>0</v>
      </c>
      <c r="K232" s="1316">
        <f t="shared" si="49"/>
        <v>0</v>
      </c>
      <c r="L232" s="1314"/>
      <c r="M232" s="1315">
        <f>IF(N$1&gt;0,ROUNDUP(SUM(PROD!L$5:L233,-PROD!AM$5:AM233,-PROD!AZ$5:AZ233)/N$1*N$2,0),0)-SUM(M$4:M231)</f>
        <v>0</v>
      </c>
      <c r="N232" s="1316">
        <f t="shared" si="50"/>
        <v>0</v>
      </c>
      <c r="O232" s="1317">
        <f t="shared" si="37"/>
        <v>0</v>
      </c>
      <c r="P232" s="1318"/>
      <c r="Q232" s="1319"/>
      <c r="R232" s="1320">
        <f t="shared" si="38"/>
        <v>0</v>
      </c>
      <c r="S232" s="1316">
        <f t="shared" si="39"/>
        <v>0</v>
      </c>
      <c r="T232" s="712"/>
      <c r="U232" s="713"/>
      <c r="V232" s="714"/>
      <c r="W232" s="398">
        <f t="shared" si="48"/>
        <v>0</v>
      </c>
      <c r="X232" s="712"/>
      <c r="Y232" s="713"/>
      <c r="Z232" s="714"/>
      <c r="AA232" s="398">
        <f t="shared" si="43"/>
        <v>0</v>
      </c>
      <c r="AB232" s="712"/>
      <c r="AC232" s="713"/>
      <c r="AD232" s="714"/>
      <c r="AE232" s="398">
        <f t="shared" si="44"/>
        <v>0</v>
      </c>
      <c r="AF232" s="712"/>
      <c r="AG232" s="713"/>
      <c r="AH232" s="714"/>
      <c r="AI232" s="398">
        <f t="shared" si="45"/>
        <v>0</v>
      </c>
      <c r="AJ232" s="712"/>
      <c r="AK232" s="713"/>
      <c r="AL232" s="714"/>
      <c r="AM232" s="398">
        <f t="shared" si="46"/>
        <v>0</v>
      </c>
    </row>
    <row r="233" spans="1:39" ht="15.75" customHeight="1" x14ac:dyDescent="0.3">
      <c r="A233" s="2161"/>
      <c r="B233" s="1313" t="str">
        <f t="shared" si="40"/>
        <v/>
      </c>
      <c r="C233" s="1011">
        <f>IF($D$2="NO",0,ROUNDDOWN(SUM(PROD!$V$5:V234)/IF(Iniciar!$C$25="kilos",40,1),0)-SUM($C$4:$C232))</f>
        <v>0</v>
      </c>
      <c r="D233" s="702"/>
      <c r="E233" s="702"/>
      <c r="F233" s="300">
        <f t="shared" si="47"/>
        <v>-35000</v>
      </c>
      <c r="G233" s="694"/>
      <c r="H233" s="695"/>
      <c r="I233" s="1314"/>
      <c r="J233" s="1315">
        <f>IF(K$1&gt;0,ROUNDUP(SUM(PROD!AM$5:AM234)/K$1*K$2,0),0)-SUM(J$4:J232)</f>
        <v>0</v>
      </c>
      <c r="K233" s="1316">
        <f t="shared" si="49"/>
        <v>0</v>
      </c>
      <c r="L233" s="1314"/>
      <c r="M233" s="1315">
        <f>IF(N$1&gt;0,ROUNDUP(SUM(PROD!L$5:L234,-PROD!AM$5:AM234,-PROD!AZ$5:AZ234)/N$1*N$2,0),0)-SUM(M$4:M232)</f>
        <v>0</v>
      </c>
      <c r="N233" s="1316">
        <f t="shared" si="50"/>
        <v>0</v>
      </c>
      <c r="O233" s="1317">
        <f t="shared" si="37"/>
        <v>0</v>
      </c>
      <c r="P233" s="1318"/>
      <c r="Q233" s="1319"/>
      <c r="R233" s="1320">
        <f t="shared" si="38"/>
        <v>0</v>
      </c>
      <c r="S233" s="1316">
        <f t="shared" si="39"/>
        <v>0</v>
      </c>
      <c r="T233" s="712"/>
      <c r="U233" s="713"/>
      <c r="V233" s="714"/>
      <c r="W233" s="398">
        <f t="shared" si="48"/>
        <v>0</v>
      </c>
      <c r="X233" s="712"/>
      <c r="Y233" s="713"/>
      <c r="Z233" s="714"/>
      <c r="AA233" s="398">
        <f t="shared" si="43"/>
        <v>0</v>
      </c>
      <c r="AB233" s="712"/>
      <c r="AC233" s="713"/>
      <c r="AD233" s="714"/>
      <c r="AE233" s="398">
        <f t="shared" si="44"/>
        <v>0</v>
      </c>
      <c r="AF233" s="712"/>
      <c r="AG233" s="713"/>
      <c r="AH233" s="714"/>
      <c r="AI233" s="398">
        <f t="shared" si="45"/>
        <v>0</v>
      </c>
      <c r="AJ233" s="712"/>
      <c r="AK233" s="713"/>
      <c r="AL233" s="714"/>
      <c r="AM233" s="398">
        <f t="shared" si="46"/>
        <v>0</v>
      </c>
    </row>
    <row r="234" spans="1:39" ht="16.5" customHeight="1" x14ac:dyDescent="0.3">
      <c r="A234" s="2162"/>
      <c r="B234" s="1313" t="str">
        <f t="shared" si="40"/>
        <v/>
      </c>
      <c r="C234" s="1011">
        <f>IF($D$2="NO",0,ROUNDDOWN(SUM(PROD!$V$5:V235)/IF(Iniciar!$C$25="kilos",40,1),0)-SUM($C$4:$C233))</f>
        <v>0</v>
      </c>
      <c r="D234" s="702"/>
      <c r="E234" s="702"/>
      <c r="F234" s="300">
        <f t="shared" si="47"/>
        <v>-35000</v>
      </c>
      <c r="G234" s="694"/>
      <c r="H234" s="695"/>
      <c r="I234" s="1314"/>
      <c r="J234" s="1315">
        <f>IF(K$1&gt;0,ROUNDUP(SUM(PROD!AM$5:AM235)/K$1*K$2,0),0)-SUM(J$4:J233)</f>
        <v>0</v>
      </c>
      <c r="K234" s="1316">
        <f t="shared" si="49"/>
        <v>0</v>
      </c>
      <c r="L234" s="1314"/>
      <c r="M234" s="1315">
        <f>IF(N$1&gt;0,ROUNDUP(SUM(PROD!L$5:L235,-PROD!AM$5:AM235,-PROD!AZ$5:AZ235)/N$1*N$2,0),0)-SUM(M$4:M233)</f>
        <v>0</v>
      </c>
      <c r="N234" s="1316">
        <f t="shared" si="50"/>
        <v>0</v>
      </c>
      <c r="O234" s="1317">
        <f t="shared" si="37"/>
        <v>0</v>
      </c>
      <c r="P234" s="1318"/>
      <c r="Q234" s="1319"/>
      <c r="R234" s="1320">
        <f t="shared" si="38"/>
        <v>0</v>
      </c>
      <c r="S234" s="1316">
        <f t="shared" si="39"/>
        <v>0</v>
      </c>
      <c r="T234" s="712"/>
      <c r="U234" s="713"/>
      <c r="V234" s="714"/>
      <c r="W234" s="398">
        <f t="shared" si="48"/>
        <v>0</v>
      </c>
      <c r="X234" s="712"/>
      <c r="Y234" s="713"/>
      <c r="Z234" s="714"/>
      <c r="AA234" s="398">
        <f t="shared" si="43"/>
        <v>0</v>
      </c>
      <c r="AB234" s="712"/>
      <c r="AC234" s="713"/>
      <c r="AD234" s="714"/>
      <c r="AE234" s="398">
        <f t="shared" si="44"/>
        <v>0</v>
      </c>
      <c r="AF234" s="712"/>
      <c r="AG234" s="713"/>
      <c r="AH234" s="714"/>
      <c r="AI234" s="398">
        <f t="shared" si="45"/>
        <v>0</v>
      </c>
      <c r="AJ234" s="712"/>
      <c r="AK234" s="713"/>
      <c r="AL234" s="714"/>
      <c r="AM234" s="398">
        <f t="shared" si="46"/>
        <v>0</v>
      </c>
    </row>
    <row r="235" spans="1:39" ht="16.5" customHeight="1" x14ac:dyDescent="0.3">
      <c r="A235" s="2160">
        <f>A228+1</f>
        <v>51</v>
      </c>
      <c r="B235" s="1313" t="str">
        <f t="shared" si="40"/>
        <v/>
      </c>
      <c r="C235" s="1011">
        <f>IF($D$2="NO",0,ROUNDDOWN(SUM(PROD!$V$5:V236)/IF(Iniciar!$C$25="kilos",40,1),0)-SUM($C$4:$C234))</f>
        <v>0</v>
      </c>
      <c r="D235" s="702"/>
      <c r="E235" s="702"/>
      <c r="F235" s="300">
        <f t="shared" si="47"/>
        <v>-35000</v>
      </c>
      <c r="G235" s="694"/>
      <c r="H235" s="695"/>
      <c r="I235" s="1314"/>
      <c r="J235" s="1315">
        <f>IF(K$1&gt;0,ROUNDUP(SUM(PROD!AM$5:AM236)/K$1*K$2,0),0)-SUM(J$4:J234)</f>
        <v>0</v>
      </c>
      <c r="K235" s="1316">
        <f t="shared" si="49"/>
        <v>0</v>
      </c>
      <c r="L235" s="1314"/>
      <c r="M235" s="1315">
        <f>IF(N$1&gt;0,ROUNDUP(SUM(PROD!L$5:L236,-PROD!AM$5:AM236,-PROD!AZ$5:AZ236)/N$1*N$2,0),0)-SUM(M$4:M234)</f>
        <v>0</v>
      </c>
      <c r="N235" s="1316">
        <f t="shared" si="50"/>
        <v>0</v>
      </c>
      <c r="O235" s="1317">
        <f t="shared" si="37"/>
        <v>0</v>
      </c>
      <c r="P235" s="1318"/>
      <c r="Q235" s="1319"/>
      <c r="R235" s="1320">
        <f t="shared" si="38"/>
        <v>0</v>
      </c>
      <c r="S235" s="1316">
        <f t="shared" si="39"/>
        <v>0</v>
      </c>
      <c r="T235" s="712"/>
      <c r="U235" s="713"/>
      <c r="V235" s="714"/>
      <c r="W235" s="398">
        <f t="shared" si="48"/>
        <v>0</v>
      </c>
      <c r="X235" s="712"/>
      <c r="Y235" s="713"/>
      <c r="Z235" s="714"/>
      <c r="AA235" s="398">
        <f t="shared" si="43"/>
        <v>0</v>
      </c>
      <c r="AB235" s="712"/>
      <c r="AC235" s="713"/>
      <c r="AD235" s="714"/>
      <c r="AE235" s="398">
        <f t="shared" si="44"/>
        <v>0</v>
      </c>
      <c r="AF235" s="712"/>
      <c r="AG235" s="713"/>
      <c r="AH235" s="714"/>
      <c r="AI235" s="398">
        <f t="shared" si="45"/>
        <v>0</v>
      </c>
      <c r="AJ235" s="712"/>
      <c r="AK235" s="713"/>
      <c r="AL235" s="714"/>
      <c r="AM235" s="398">
        <f t="shared" si="46"/>
        <v>0</v>
      </c>
    </row>
    <row r="236" spans="1:39" ht="15.75" customHeight="1" x14ac:dyDescent="0.3">
      <c r="A236" s="2161"/>
      <c r="B236" s="1313" t="str">
        <f t="shared" si="40"/>
        <v/>
      </c>
      <c r="C236" s="1011">
        <f>IF($D$2="NO",0,ROUNDDOWN(SUM(PROD!$V$5:V237)/IF(Iniciar!$C$25="kilos",40,1),0)-SUM($C$4:$C235))</f>
        <v>0</v>
      </c>
      <c r="D236" s="702"/>
      <c r="E236" s="702"/>
      <c r="F236" s="300">
        <f t="shared" si="47"/>
        <v>-35000</v>
      </c>
      <c r="G236" s="694"/>
      <c r="H236" s="695"/>
      <c r="I236" s="1314"/>
      <c r="J236" s="1315">
        <f>IF(K$1&gt;0,ROUNDUP(SUM(PROD!AM$5:AM237)/K$1*K$2,0),0)-SUM(J$4:J235)</f>
        <v>0</v>
      </c>
      <c r="K236" s="1316">
        <f t="shared" si="49"/>
        <v>0</v>
      </c>
      <c r="L236" s="1314"/>
      <c r="M236" s="1315">
        <f>IF(N$1&gt;0,ROUNDUP(SUM(PROD!L$5:L237,-PROD!AM$5:AM237,-PROD!AZ$5:AZ237)/N$1*N$2,0),0)-SUM(M$4:M235)</f>
        <v>0</v>
      </c>
      <c r="N236" s="1316">
        <f t="shared" si="50"/>
        <v>0</v>
      </c>
      <c r="O236" s="1317">
        <f t="shared" si="37"/>
        <v>0</v>
      </c>
      <c r="P236" s="1318"/>
      <c r="Q236" s="1319"/>
      <c r="R236" s="1320">
        <f t="shared" si="38"/>
        <v>0</v>
      </c>
      <c r="S236" s="1316">
        <f t="shared" si="39"/>
        <v>0</v>
      </c>
      <c r="T236" s="712"/>
      <c r="U236" s="713"/>
      <c r="V236" s="714"/>
      <c r="W236" s="398">
        <f t="shared" si="48"/>
        <v>0</v>
      </c>
      <c r="X236" s="712"/>
      <c r="Y236" s="713"/>
      <c r="Z236" s="714"/>
      <c r="AA236" s="398">
        <f t="shared" si="43"/>
        <v>0</v>
      </c>
      <c r="AB236" s="712"/>
      <c r="AC236" s="713"/>
      <c r="AD236" s="714"/>
      <c r="AE236" s="398">
        <f t="shared" si="44"/>
        <v>0</v>
      </c>
      <c r="AF236" s="712"/>
      <c r="AG236" s="713"/>
      <c r="AH236" s="714"/>
      <c r="AI236" s="398">
        <f t="shared" si="45"/>
        <v>0</v>
      </c>
      <c r="AJ236" s="712"/>
      <c r="AK236" s="713"/>
      <c r="AL236" s="714"/>
      <c r="AM236" s="398">
        <f t="shared" si="46"/>
        <v>0</v>
      </c>
    </row>
    <row r="237" spans="1:39" ht="15.75" customHeight="1" x14ac:dyDescent="0.3">
      <c r="A237" s="2161"/>
      <c r="B237" s="1313" t="str">
        <f t="shared" si="40"/>
        <v/>
      </c>
      <c r="C237" s="1011">
        <f>IF($D$2="NO",0,ROUNDDOWN(SUM(PROD!$V$5:V238)/IF(Iniciar!$C$25="kilos",40,1),0)-SUM($C$4:$C236))</f>
        <v>0</v>
      </c>
      <c r="D237" s="702"/>
      <c r="E237" s="702"/>
      <c r="F237" s="300">
        <f t="shared" si="47"/>
        <v>-35000</v>
      </c>
      <c r="G237" s="694"/>
      <c r="H237" s="695"/>
      <c r="I237" s="1314"/>
      <c r="J237" s="1315">
        <f>IF(K$1&gt;0,ROUNDUP(SUM(PROD!AM$5:AM238)/K$1*K$2,0),0)-SUM(J$4:J236)</f>
        <v>0</v>
      </c>
      <c r="K237" s="1316">
        <f t="shared" si="49"/>
        <v>0</v>
      </c>
      <c r="L237" s="1314"/>
      <c r="M237" s="1315">
        <f>IF(N$1&gt;0,ROUNDUP(SUM(PROD!L$5:L238,-PROD!AM$5:AM238,-PROD!AZ$5:AZ238)/N$1*N$2,0),0)-SUM(M$4:M236)</f>
        <v>0</v>
      </c>
      <c r="N237" s="1316">
        <f t="shared" si="50"/>
        <v>0</v>
      </c>
      <c r="O237" s="1317">
        <f t="shared" si="37"/>
        <v>0</v>
      </c>
      <c r="P237" s="1318"/>
      <c r="Q237" s="1319"/>
      <c r="R237" s="1320">
        <f t="shared" si="38"/>
        <v>0</v>
      </c>
      <c r="S237" s="1316">
        <f t="shared" si="39"/>
        <v>0</v>
      </c>
      <c r="T237" s="712"/>
      <c r="U237" s="713"/>
      <c r="V237" s="714"/>
      <c r="W237" s="398">
        <f t="shared" si="48"/>
        <v>0</v>
      </c>
      <c r="X237" s="712"/>
      <c r="Y237" s="713"/>
      <c r="Z237" s="714"/>
      <c r="AA237" s="398">
        <f t="shared" si="43"/>
        <v>0</v>
      </c>
      <c r="AB237" s="712"/>
      <c r="AC237" s="713"/>
      <c r="AD237" s="714"/>
      <c r="AE237" s="398">
        <f t="shared" si="44"/>
        <v>0</v>
      </c>
      <c r="AF237" s="712"/>
      <c r="AG237" s="713"/>
      <c r="AH237" s="714"/>
      <c r="AI237" s="398">
        <f t="shared" si="45"/>
        <v>0</v>
      </c>
      <c r="AJ237" s="712"/>
      <c r="AK237" s="713"/>
      <c r="AL237" s="714"/>
      <c r="AM237" s="398">
        <f t="shared" si="46"/>
        <v>0</v>
      </c>
    </row>
    <row r="238" spans="1:39" ht="15.75" customHeight="1" x14ac:dyDescent="0.3">
      <c r="A238" s="2161"/>
      <c r="B238" s="1313" t="str">
        <f t="shared" si="40"/>
        <v/>
      </c>
      <c r="C238" s="1011">
        <f>IF($D$2="NO",0,ROUNDDOWN(SUM(PROD!$V$5:V239)/IF(Iniciar!$C$25="kilos",40,1),0)-SUM($C$4:$C237))</f>
        <v>0</v>
      </c>
      <c r="D238" s="702"/>
      <c r="E238" s="702"/>
      <c r="F238" s="300">
        <f t="shared" si="47"/>
        <v>-35000</v>
      </c>
      <c r="G238" s="694"/>
      <c r="H238" s="695"/>
      <c r="I238" s="1314"/>
      <c r="J238" s="1315">
        <f>IF(K$1&gt;0,ROUNDUP(SUM(PROD!AM$5:AM239)/K$1*K$2,0),0)-SUM(J$4:J237)</f>
        <v>0</v>
      </c>
      <c r="K238" s="1316">
        <f t="shared" si="49"/>
        <v>0</v>
      </c>
      <c r="L238" s="1314"/>
      <c r="M238" s="1315">
        <f>IF(N$1&gt;0,ROUNDUP(SUM(PROD!L$5:L239,-PROD!AM$5:AM239,-PROD!AZ$5:AZ239)/N$1*N$2,0),0)-SUM(M$4:M237)</f>
        <v>0</v>
      </c>
      <c r="N238" s="1316">
        <f t="shared" si="50"/>
        <v>0</v>
      </c>
      <c r="O238" s="1317">
        <f t="shared" si="37"/>
        <v>0</v>
      </c>
      <c r="P238" s="1318"/>
      <c r="Q238" s="1319"/>
      <c r="R238" s="1320">
        <f t="shared" si="38"/>
        <v>0</v>
      </c>
      <c r="S238" s="1316">
        <f t="shared" si="39"/>
        <v>0</v>
      </c>
      <c r="T238" s="712"/>
      <c r="U238" s="713"/>
      <c r="V238" s="714"/>
      <c r="W238" s="398">
        <f t="shared" si="48"/>
        <v>0</v>
      </c>
      <c r="X238" s="712"/>
      <c r="Y238" s="713"/>
      <c r="Z238" s="714"/>
      <c r="AA238" s="398">
        <f t="shared" si="43"/>
        <v>0</v>
      </c>
      <c r="AB238" s="712"/>
      <c r="AC238" s="713"/>
      <c r="AD238" s="714"/>
      <c r="AE238" s="398">
        <f t="shared" si="44"/>
        <v>0</v>
      </c>
      <c r="AF238" s="712"/>
      <c r="AG238" s="713"/>
      <c r="AH238" s="714"/>
      <c r="AI238" s="398">
        <f t="shared" si="45"/>
        <v>0</v>
      </c>
      <c r="AJ238" s="712"/>
      <c r="AK238" s="713"/>
      <c r="AL238" s="714"/>
      <c r="AM238" s="398">
        <f t="shared" si="46"/>
        <v>0</v>
      </c>
    </row>
    <row r="239" spans="1:39" ht="15.75" customHeight="1" x14ac:dyDescent="0.3">
      <c r="A239" s="2161"/>
      <c r="B239" s="1313" t="str">
        <f t="shared" si="40"/>
        <v/>
      </c>
      <c r="C239" s="1011">
        <f>IF($D$2="NO",0,ROUNDDOWN(SUM(PROD!$V$5:V240)/IF(Iniciar!$C$25="kilos",40,1),0)-SUM($C$4:$C238))</f>
        <v>0</v>
      </c>
      <c r="D239" s="702"/>
      <c r="E239" s="702"/>
      <c r="F239" s="300">
        <f t="shared" si="47"/>
        <v>-35000</v>
      </c>
      <c r="G239" s="694"/>
      <c r="H239" s="695"/>
      <c r="I239" s="1314"/>
      <c r="J239" s="1315">
        <f>IF(K$1&gt;0,ROUNDUP(SUM(PROD!AM$5:AM240)/K$1*K$2,0),0)-SUM(J$4:J238)</f>
        <v>0</v>
      </c>
      <c r="K239" s="1316">
        <f t="shared" si="49"/>
        <v>0</v>
      </c>
      <c r="L239" s="1314"/>
      <c r="M239" s="1315">
        <f>IF(N$1&gt;0,ROUNDUP(SUM(PROD!L$5:L240,-PROD!AM$5:AM240,-PROD!AZ$5:AZ240)/N$1*N$2,0),0)-SUM(M$4:M238)</f>
        <v>0</v>
      </c>
      <c r="N239" s="1316">
        <f t="shared" si="50"/>
        <v>0</v>
      </c>
      <c r="O239" s="1317">
        <f t="shared" si="37"/>
        <v>0</v>
      </c>
      <c r="P239" s="1318"/>
      <c r="Q239" s="1319"/>
      <c r="R239" s="1320">
        <f t="shared" si="38"/>
        <v>0</v>
      </c>
      <c r="S239" s="1316">
        <f t="shared" si="39"/>
        <v>0</v>
      </c>
      <c r="T239" s="712"/>
      <c r="U239" s="713"/>
      <c r="V239" s="714"/>
      <c r="W239" s="398">
        <f t="shared" si="48"/>
        <v>0</v>
      </c>
      <c r="X239" s="712"/>
      <c r="Y239" s="713"/>
      <c r="Z239" s="714"/>
      <c r="AA239" s="398">
        <f t="shared" si="43"/>
        <v>0</v>
      </c>
      <c r="AB239" s="712"/>
      <c r="AC239" s="713"/>
      <c r="AD239" s="714"/>
      <c r="AE239" s="398">
        <f t="shared" si="44"/>
        <v>0</v>
      </c>
      <c r="AF239" s="712"/>
      <c r="AG239" s="713"/>
      <c r="AH239" s="714"/>
      <c r="AI239" s="398">
        <f t="shared" si="45"/>
        <v>0</v>
      </c>
      <c r="AJ239" s="712"/>
      <c r="AK239" s="713"/>
      <c r="AL239" s="714"/>
      <c r="AM239" s="398">
        <f t="shared" si="46"/>
        <v>0</v>
      </c>
    </row>
    <row r="240" spans="1:39" ht="15.75" customHeight="1" x14ac:dyDescent="0.3">
      <c r="A240" s="2161"/>
      <c r="B240" s="1313" t="str">
        <f t="shared" si="40"/>
        <v/>
      </c>
      <c r="C240" s="1011">
        <f>IF($D$2="NO",0,ROUNDDOWN(SUM(PROD!$V$5:V241)/IF(Iniciar!$C$25="kilos",40,1),0)-SUM($C$4:$C239))</f>
        <v>0</v>
      </c>
      <c r="D240" s="702"/>
      <c r="E240" s="702"/>
      <c r="F240" s="300">
        <f t="shared" si="47"/>
        <v>-35000</v>
      </c>
      <c r="G240" s="694"/>
      <c r="H240" s="695"/>
      <c r="I240" s="1314"/>
      <c r="J240" s="1315">
        <f>IF(K$1&gt;0,ROUNDUP(SUM(PROD!AM$5:AM241)/K$1*K$2,0),0)-SUM(J$4:J239)</f>
        <v>0</v>
      </c>
      <c r="K240" s="1316">
        <f t="shared" si="49"/>
        <v>0</v>
      </c>
      <c r="L240" s="1314"/>
      <c r="M240" s="1315">
        <f>IF(N$1&gt;0,ROUNDUP(SUM(PROD!L$5:L241,-PROD!AM$5:AM241,-PROD!AZ$5:AZ241)/N$1*N$2,0),0)-SUM(M$4:M239)</f>
        <v>0</v>
      </c>
      <c r="N240" s="1316">
        <f t="shared" si="50"/>
        <v>0</v>
      </c>
      <c r="O240" s="1317">
        <f t="shared" si="37"/>
        <v>0</v>
      </c>
      <c r="P240" s="1318"/>
      <c r="Q240" s="1319"/>
      <c r="R240" s="1320">
        <f t="shared" si="38"/>
        <v>0</v>
      </c>
      <c r="S240" s="1316">
        <f t="shared" si="39"/>
        <v>0</v>
      </c>
      <c r="T240" s="712"/>
      <c r="U240" s="713"/>
      <c r="V240" s="714"/>
      <c r="W240" s="398">
        <f t="shared" si="48"/>
        <v>0</v>
      </c>
      <c r="X240" s="712"/>
      <c r="Y240" s="713"/>
      <c r="Z240" s="714"/>
      <c r="AA240" s="398">
        <f t="shared" si="43"/>
        <v>0</v>
      </c>
      <c r="AB240" s="712"/>
      <c r="AC240" s="713"/>
      <c r="AD240" s="714"/>
      <c r="AE240" s="398">
        <f t="shared" si="44"/>
        <v>0</v>
      </c>
      <c r="AF240" s="712"/>
      <c r="AG240" s="713"/>
      <c r="AH240" s="714"/>
      <c r="AI240" s="398">
        <f t="shared" si="45"/>
        <v>0</v>
      </c>
      <c r="AJ240" s="712"/>
      <c r="AK240" s="713"/>
      <c r="AL240" s="714"/>
      <c r="AM240" s="398">
        <f t="shared" si="46"/>
        <v>0</v>
      </c>
    </row>
    <row r="241" spans="1:39" ht="16.5" customHeight="1" x14ac:dyDescent="0.3">
      <c r="A241" s="2162"/>
      <c r="B241" s="1313" t="str">
        <f t="shared" si="40"/>
        <v/>
      </c>
      <c r="C241" s="1011">
        <f>IF($D$2="NO",0,ROUNDDOWN(SUM(PROD!$V$5:V242)/IF(Iniciar!$C$25="kilos",40,1),0)-SUM($C$4:$C240))</f>
        <v>0</v>
      </c>
      <c r="D241" s="702"/>
      <c r="E241" s="702"/>
      <c r="F241" s="300">
        <f t="shared" si="47"/>
        <v>-35000</v>
      </c>
      <c r="G241" s="694"/>
      <c r="H241" s="695"/>
      <c r="I241" s="1314"/>
      <c r="J241" s="1315">
        <f>IF(K$1&gt;0,ROUNDUP(SUM(PROD!AM$5:AM242)/K$1*K$2,0),0)-SUM(J$4:J240)</f>
        <v>0</v>
      </c>
      <c r="K241" s="1316">
        <f t="shared" si="49"/>
        <v>0</v>
      </c>
      <c r="L241" s="1314"/>
      <c r="M241" s="1315">
        <f>IF(N$1&gt;0,ROUNDUP(SUM(PROD!L$5:L242,-PROD!AM$5:AM242,-PROD!AZ$5:AZ242)/N$1*N$2,0),0)-SUM(M$4:M240)</f>
        <v>0</v>
      </c>
      <c r="N241" s="1316">
        <f t="shared" si="50"/>
        <v>0</v>
      </c>
      <c r="O241" s="1317">
        <f t="shared" si="37"/>
        <v>0</v>
      </c>
      <c r="P241" s="1318"/>
      <c r="Q241" s="1319"/>
      <c r="R241" s="1320">
        <f t="shared" si="38"/>
        <v>0</v>
      </c>
      <c r="S241" s="1316">
        <f t="shared" si="39"/>
        <v>0</v>
      </c>
      <c r="T241" s="712"/>
      <c r="U241" s="713"/>
      <c r="V241" s="714"/>
      <c r="W241" s="398">
        <f t="shared" si="48"/>
        <v>0</v>
      </c>
      <c r="X241" s="712"/>
      <c r="Y241" s="713"/>
      <c r="Z241" s="714"/>
      <c r="AA241" s="398">
        <f t="shared" si="43"/>
        <v>0</v>
      </c>
      <c r="AB241" s="712"/>
      <c r="AC241" s="713"/>
      <c r="AD241" s="714"/>
      <c r="AE241" s="398">
        <f t="shared" si="44"/>
        <v>0</v>
      </c>
      <c r="AF241" s="712"/>
      <c r="AG241" s="713"/>
      <c r="AH241" s="714"/>
      <c r="AI241" s="398">
        <f t="shared" si="45"/>
        <v>0</v>
      </c>
      <c r="AJ241" s="712"/>
      <c r="AK241" s="713"/>
      <c r="AL241" s="714"/>
      <c r="AM241" s="398">
        <f t="shared" si="46"/>
        <v>0</v>
      </c>
    </row>
    <row r="242" spans="1:39" ht="16.5" customHeight="1" x14ac:dyDescent="0.3">
      <c r="A242" s="2160">
        <f>A235+1</f>
        <v>52</v>
      </c>
      <c r="B242" s="1313" t="str">
        <f t="shared" si="40"/>
        <v/>
      </c>
      <c r="C242" s="1011">
        <f>IF($D$2="NO",0,ROUNDDOWN(SUM(PROD!$V$5:V243)/IF(Iniciar!$C$25="kilos",40,1),0)-SUM($C$4:$C241))</f>
        <v>0</v>
      </c>
      <c r="D242" s="702"/>
      <c r="E242" s="702"/>
      <c r="F242" s="300">
        <f t="shared" si="47"/>
        <v>-35000</v>
      </c>
      <c r="G242" s="694"/>
      <c r="H242" s="695"/>
      <c r="I242" s="1314"/>
      <c r="J242" s="1315">
        <f>IF(K$1&gt;0,ROUNDUP(SUM(PROD!AM$5:AM243)/K$1*K$2,0),0)-SUM(J$4:J241)</f>
        <v>0</v>
      </c>
      <c r="K242" s="1316">
        <f t="shared" si="49"/>
        <v>0</v>
      </c>
      <c r="L242" s="1314"/>
      <c r="M242" s="1315">
        <f>IF(N$1&gt;0,ROUNDUP(SUM(PROD!L$5:L243,-PROD!AM$5:AM243,-PROD!AZ$5:AZ243)/N$1*N$2,0),0)-SUM(M$4:M241)</f>
        <v>0</v>
      </c>
      <c r="N242" s="1316">
        <f t="shared" si="50"/>
        <v>0</v>
      </c>
      <c r="O242" s="1317">
        <f t="shared" si="37"/>
        <v>0</v>
      </c>
      <c r="P242" s="1318"/>
      <c r="Q242" s="1319"/>
      <c r="R242" s="1320">
        <f t="shared" si="38"/>
        <v>0</v>
      </c>
      <c r="S242" s="1316">
        <f t="shared" si="39"/>
        <v>0</v>
      </c>
      <c r="T242" s="712"/>
      <c r="U242" s="713"/>
      <c r="V242" s="714"/>
      <c r="W242" s="398">
        <f t="shared" si="48"/>
        <v>0</v>
      </c>
      <c r="X242" s="712"/>
      <c r="Y242" s="713"/>
      <c r="Z242" s="714"/>
      <c r="AA242" s="398">
        <f t="shared" si="43"/>
        <v>0</v>
      </c>
      <c r="AB242" s="712"/>
      <c r="AC242" s="713"/>
      <c r="AD242" s="714"/>
      <c r="AE242" s="398">
        <f t="shared" si="44"/>
        <v>0</v>
      </c>
      <c r="AF242" s="712"/>
      <c r="AG242" s="713"/>
      <c r="AH242" s="714"/>
      <c r="AI242" s="398">
        <f t="shared" si="45"/>
        <v>0</v>
      </c>
      <c r="AJ242" s="712"/>
      <c r="AK242" s="713"/>
      <c r="AL242" s="714"/>
      <c r="AM242" s="398">
        <f t="shared" si="46"/>
        <v>0</v>
      </c>
    </row>
    <row r="243" spans="1:39" ht="15.75" customHeight="1" x14ac:dyDescent="0.3">
      <c r="A243" s="2161"/>
      <c r="B243" s="1313" t="str">
        <f t="shared" si="40"/>
        <v/>
      </c>
      <c r="C243" s="1011">
        <f>IF($D$2="NO",0,ROUNDDOWN(SUM(PROD!$V$5:V244)/IF(Iniciar!$C$25="kilos",40,1),0)-SUM($C$4:$C242))</f>
        <v>0</v>
      </c>
      <c r="D243" s="702"/>
      <c r="E243" s="702"/>
      <c r="F243" s="300">
        <f t="shared" si="47"/>
        <v>-35000</v>
      </c>
      <c r="G243" s="694"/>
      <c r="H243" s="695"/>
      <c r="I243" s="1314"/>
      <c r="J243" s="1315">
        <f>IF(K$1&gt;0,ROUNDUP(SUM(PROD!AM$5:AM244)/K$1*K$2,0),0)-SUM(J$4:J242)</f>
        <v>0</v>
      </c>
      <c r="K243" s="1316">
        <f t="shared" si="49"/>
        <v>0</v>
      </c>
      <c r="L243" s="1314"/>
      <c r="M243" s="1315">
        <f>IF(N$1&gt;0,ROUNDUP(SUM(PROD!L$5:L244,-PROD!AM$5:AM244,-PROD!AZ$5:AZ244)/N$1*N$2,0),0)-SUM(M$4:M242)</f>
        <v>0</v>
      </c>
      <c r="N243" s="1316">
        <f t="shared" si="50"/>
        <v>0</v>
      </c>
      <c r="O243" s="1317">
        <f t="shared" si="37"/>
        <v>0</v>
      </c>
      <c r="P243" s="1318"/>
      <c r="Q243" s="1319"/>
      <c r="R243" s="1320">
        <f t="shared" si="38"/>
        <v>0</v>
      </c>
      <c r="S243" s="1316">
        <f t="shared" si="39"/>
        <v>0</v>
      </c>
      <c r="T243" s="712"/>
      <c r="U243" s="713"/>
      <c r="V243" s="714"/>
      <c r="W243" s="398">
        <f t="shared" si="48"/>
        <v>0</v>
      </c>
      <c r="X243" s="712"/>
      <c r="Y243" s="713"/>
      <c r="Z243" s="714"/>
      <c r="AA243" s="398">
        <f t="shared" si="43"/>
        <v>0</v>
      </c>
      <c r="AB243" s="712"/>
      <c r="AC243" s="713"/>
      <c r="AD243" s="714"/>
      <c r="AE243" s="398">
        <f t="shared" si="44"/>
        <v>0</v>
      </c>
      <c r="AF243" s="712"/>
      <c r="AG243" s="713"/>
      <c r="AH243" s="714"/>
      <c r="AI243" s="398">
        <f t="shared" si="45"/>
        <v>0</v>
      </c>
      <c r="AJ243" s="712"/>
      <c r="AK243" s="713"/>
      <c r="AL243" s="714"/>
      <c r="AM243" s="398">
        <f t="shared" si="46"/>
        <v>0</v>
      </c>
    </row>
    <row r="244" spans="1:39" ht="15.75" customHeight="1" x14ac:dyDescent="0.3">
      <c r="A244" s="2161"/>
      <c r="B244" s="1313" t="str">
        <f t="shared" si="40"/>
        <v/>
      </c>
      <c r="C244" s="1011">
        <f>IF($D$2="NO",0,ROUNDDOWN(SUM(PROD!$V$5:V245)/IF(Iniciar!$C$25="kilos",40,1),0)-SUM($C$4:$C243))</f>
        <v>0</v>
      </c>
      <c r="D244" s="702"/>
      <c r="E244" s="702"/>
      <c r="F244" s="300">
        <f t="shared" si="47"/>
        <v>-35000</v>
      </c>
      <c r="G244" s="694"/>
      <c r="H244" s="695"/>
      <c r="I244" s="1314"/>
      <c r="J244" s="1315">
        <f>IF(K$1&gt;0,ROUNDUP(SUM(PROD!AM$5:AM245)/K$1*K$2,0),0)-SUM(J$4:J243)</f>
        <v>0</v>
      </c>
      <c r="K244" s="1316">
        <f t="shared" si="49"/>
        <v>0</v>
      </c>
      <c r="L244" s="1314"/>
      <c r="M244" s="1315">
        <f>IF(N$1&gt;0,ROUNDUP(SUM(PROD!L$5:L245,-PROD!AM$5:AM245,-PROD!AZ$5:AZ245)/N$1*N$2,0),0)-SUM(M$4:M243)</f>
        <v>0</v>
      </c>
      <c r="N244" s="1316">
        <f t="shared" si="50"/>
        <v>0</v>
      </c>
      <c r="O244" s="1317">
        <f t="shared" si="37"/>
        <v>0</v>
      </c>
      <c r="P244" s="1318"/>
      <c r="Q244" s="1319"/>
      <c r="R244" s="1320">
        <f t="shared" si="38"/>
        <v>0</v>
      </c>
      <c r="S244" s="1316">
        <f t="shared" si="39"/>
        <v>0</v>
      </c>
      <c r="T244" s="712"/>
      <c r="U244" s="713"/>
      <c r="V244" s="714"/>
      <c r="W244" s="398">
        <f t="shared" si="48"/>
        <v>0</v>
      </c>
      <c r="X244" s="712"/>
      <c r="Y244" s="713"/>
      <c r="Z244" s="714"/>
      <c r="AA244" s="398">
        <f t="shared" si="43"/>
        <v>0</v>
      </c>
      <c r="AB244" s="712"/>
      <c r="AC244" s="713"/>
      <c r="AD244" s="714"/>
      <c r="AE244" s="398">
        <f t="shared" si="44"/>
        <v>0</v>
      </c>
      <c r="AF244" s="712"/>
      <c r="AG244" s="713"/>
      <c r="AH244" s="714"/>
      <c r="AI244" s="398">
        <f t="shared" si="45"/>
        <v>0</v>
      </c>
      <c r="AJ244" s="712"/>
      <c r="AK244" s="713"/>
      <c r="AL244" s="714"/>
      <c r="AM244" s="398">
        <f t="shared" si="46"/>
        <v>0</v>
      </c>
    </row>
    <row r="245" spans="1:39" ht="15.75" customHeight="1" x14ac:dyDescent="0.3">
      <c r="A245" s="2161"/>
      <c r="B245" s="1313" t="str">
        <f t="shared" si="40"/>
        <v/>
      </c>
      <c r="C245" s="1011">
        <f>IF($D$2="NO",0,ROUNDDOWN(SUM(PROD!$V$5:V246)/IF(Iniciar!$C$25="kilos",40,1),0)-SUM($C$4:$C244))</f>
        <v>0</v>
      </c>
      <c r="D245" s="702"/>
      <c r="E245" s="702"/>
      <c r="F245" s="300">
        <f t="shared" si="47"/>
        <v>-35000</v>
      </c>
      <c r="G245" s="694"/>
      <c r="H245" s="695"/>
      <c r="I245" s="1314"/>
      <c r="J245" s="1315">
        <f>IF(K$1&gt;0,ROUNDUP(SUM(PROD!AM$5:AM246)/K$1*K$2,0),0)-SUM(J$4:J244)</f>
        <v>0</v>
      </c>
      <c r="K245" s="1316">
        <f t="shared" si="49"/>
        <v>0</v>
      </c>
      <c r="L245" s="1314"/>
      <c r="M245" s="1315">
        <f>IF(N$1&gt;0,ROUNDUP(SUM(PROD!L$5:L246,-PROD!AM$5:AM246,-PROD!AZ$5:AZ246)/N$1*N$2,0),0)-SUM(M$4:M244)</f>
        <v>0</v>
      </c>
      <c r="N245" s="1316">
        <f t="shared" si="50"/>
        <v>0</v>
      </c>
      <c r="O245" s="1317">
        <f t="shared" si="37"/>
        <v>0</v>
      </c>
      <c r="P245" s="1318"/>
      <c r="Q245" s="1319"/>
      <c r="R245" s="1320">
        <f t="shared" si="38"/>
        <v>0</v>
      </c>
      <c r="S245" s="1316">
        <f t="shared" si="39"/>
        <v>0</v>
      </c>
      <c r="T245" s="712"/>
      <c r="U245" s="713"/>
      <c r="V245" s="714"/>
      <c r="W245" s="398">
        <f t="shared" si="48"/>
        <v>0</v>
      </c>
      <c r="X245" s="712"/>
      <c r="Y245" s="713"/>
      <c r="Z245" s="714"/>
      <c r="AA245" s="398">
        <f t="shared" si="43"/>
        <v>0</v>
      </c>
      <c r="AB245" s="712"/>
      <c r="AC245" s="713"/>
      <c r="AD245" s="714"/>
      <c r="AE245" s="398">
        <f t="shared" si="44"/>
        <v>0</v>
      </c>
      <c r="AF245" s="712"/>
      <c r="AG245" s="713"/>
      <c r="AH245" s="714"/>
      <c r="AI245" s="398">
        <f t="shared" si="45"/>
        <v>0</v>
      </c>
      <c r="AJ245" s="712"/>
      <c r="AK245" s="713"/>
      <c r="AL245" s="714"/>
      <c r="AM245" s="398">
        <f t="shared" si="46"/>
        <v>0</v>
      </c>
    </row>
    <row r="246" spans="1:39" ht="15.75" customHeight="1" x14ac:dyDescent="0.3">
      <c r="A246" s="2161"/>
      <c r="B246" s="1313" t="str">
        <f t="shared" si="40"/>
        <v/>
      </c>
      <c r="C246" s="1011">
        <f>IF($D$2="NO",0,ROUNDDOWN(SUM(PROD!$V$5:V247)/IF(Iniciar!$C$25="kilos",40,1),0)-SUM($C$4:$C245))</f>
        <v>0</v>
      </c>
      <c r="D246" s="702"/>
      <c r="E246" s="702"/>
      <c r="F246" s="300">
        <f t="shared" si="47"/>
        <v>-35000</v>
      </c>
      <c r="G246" s="694"/>
      <c r="H246" s="695"/>
      <c r="I246" s="1314"/>
      <c r="J246" s="1315">
        <f>IF(K$1&gt;0,ROUNDUP(SUM(PROD!AM$5:AM247)/K$1*K$2,0),0)-SUM(J$4:J245)</f>
        <v>0</v>
      </c>
      <c r="K246" s="1316">
        <f t="shared" si="49"/>
        <v>0</v>
      </c>
      <c r="L246" s="1314"/>
      <c r="M246" s="1315">
        <f>IF(N$1&gt;0,ROUNDUP(SUM(PROD!L$5:L247,-PROD!AM$5:AM247,-PROD!AZ$5:AZ247)/N$1*N$2,0),0)-SUM(M$4:M245)</f>
        <v>0</v>
      </c>
      <c r="N246" s="1316">
        <f t="shared" si="50"/>
        <v>0</v>
      </c>
      <c r="O246" s="1317">
        <f t="shared" si="37"/>
        <v>0</v>
      </c>
      <c r="P246" s="1318"/>
      <c r="Q246" s="1319"/>
      <c r="R246" s="1320">
        <f t="shared" si="38"/>
        <v>0</v>
      </c>
      <c r="S246" s="1316">
        <f t="shared" si="39"/>
        <v>0</v>
      </c>
      <c r="T246" s="712"/>
      <c r="U246" s="713"/>
      <c r="V246" s="714"/>
      <c r="W246" s="398">
        <f t="shared" si="48"/>
        <v>0</v>
      </c>
      <c r="X246" s="712"/>
      <c r="Y246" s="713"/>
      <c r="Z246" s="714"/>
      <c r="AA246" s="398">
        <f t="shared" si="43"/>
        <v>0</v>
      </c>
      <c r="AB246" s="712"/>
      <c r="AC246" s="713"/>
      <c r="AD246" s="714"/>
      <c r="AE246" s="398">
        <f t="shared" si="44"/>
        <v>0</v>
      </c>
      <c r="AF246" s="712"/>
      <c r="AG246" s="713"/>
      <c r="AH246" s="714"/>
      <c r="AI246" s="398">
        <f t="shared" si="45"/>
        <v>0</v>
      </c>
      <c r="AJ246" s="712"/>
      <c r="AK246" s="713"/>
      <c r="AL246" s="714"/>
      <c r="AM246" s="398">
        <f t="shared" si="46"/>
        <v>0</v>
      </c>
    </row>
    <row r="247" spans="1:39" ht="15.75" customHeight="1" x14ac:dyDescent="0.3">
      <c r="A247" s="2161"/>
      <c r="B247" s="1313" t="str">
        <f t="shared" si="40"/>
        <v/>
      </c>
      <c r="C247" s="1011">
        <f>IF($D$2="NO",0,ROUNDDOWN(SUM(PROD!$V$5:V248)/IF(Iniciar!$C$25="kilos",40,1),0)-SUM($C$4:$C246))</f>
        <v>0</v>
      </c>
      <c r="D247" s="702"/>
      <c r="E247" s="702"/>
      <c r="F247" s="300">
        <f t="shared" si="47"/>
        <v>-35000</v>
      </c>
      <c r="G247" s="694"/>
      <c r="H247" s="695"/>
      <c r="I247" s="1314"/>
      <c r="J247" s="1315">
        <f>IF(K$1&gt;0,ROUNDUP(SUM(PROD!AM$5:AM248)/K$1*K$2,0),0)-SUM(J$4:J246)</f>
        <v>0</v>
      </c>
      <c r="K247" s="1316">
        <f t="shared" si="49"/>
        <v>0</v>
      </c>
      <c r="L247" s="1314"/>
      <c r="M247" s="1315">
        <f>IF(N$1&gt;0,ROUNDUP(SUM(PROD!L$5:L248,-PROD!AM$5:AM248,-PROD!AZ$5:AZ248)/N$1*N$2,0),0)-SUM(M$4:M246)</f>
        <v>0</v>
      </c>
      <c r="N247" s="1316">
        <f t="shared" si="50"/>
        <v>0</v>
      </c>
      <c r="O247" s="1317">
        <f t="shared" si="37"/>
        <v>0</v>
      </c>
      <c r="P247" s="1318"/>
      <c r="Q247" s="1319"/>
      <c r="R247" s="1320">
        <f t="shared" si="38"/>
        <v>0</v>
      </c>
      <c r="S247" s="1316">
        <f t="shared" si="39"/>
        <v>0</v>
      </c>
      <c r="T247" s="712"/>
      <c r="U247" s="713"/>
      <c r="V247" s="714"/>
      <c r="W247" s="398">
        <f t="shared" si="48"/>
        <v>0</v>
      </c>
      <c r="X247" s="712"/>
      <c r="Y247" s="713"/>
      <c r="Z247" s="714"/>
      <c r="AA247" s="398">
        <f t="shared" si="43"/>
        <v>0</v>
      </c>
      <c r="AB247" s="712"/>
      <c r="AC247" s="713"/>
      <c r="AD247" s="714"/>
      <c r="AE247" s="398">
        <f t="shared" si="44"/>
        <v>0</v>
      </c>
      <c r="AF247" s="712"/>
      <c r="AG247" s="713"/>
      <c r="AH247" s="714"/>
      <c r="AI247" s="398">
        <f t="shared" si="45"/>
        <v>0</v>
      </c>
      <c r="AJ247" s="712"/>
      <c r="AK247" s="713"/>
      <c r="AL247" s="714"/>
      <c r="AM247" s="398">
        <f t="shared" si="46"/>
        <v>0</v>
      </c>
    </row>
    <row r="248" spans="1:39" ht="16.5" customHeight="1" x14ac:dyDescent="0.3">
      <c r="A248" s="2162"/>
      <c r="B248" s="1313" t="str">
        <f t="shared" si="40"/>
        <v/>
      </c>
      <c r="C248" s="1011">
        <f>IF($D$2="NO",0,ROUNDDOWN(SUM(PROD!$V$5:V249)/IF(Iniciar!$C$25="kilos",40,1),0)-SUM($C$4:$C247))</f>
        <v>0</v>
      </c>
      <c r="D248" s="702"/>
      <c r="E248" s="702"/>
      <c r="F248" s="300">
        <f t="shared" si="47"/>
        <v>-35000</v>
      </c>
      <c r="G248" s="694"/>
      <c r="H248" s="695"/>
      <c r="I248" s="1314"/>
      <c r="J248" s="1315">
        <f>IF(K$1&gt;0,ROUNDUP(SUM(PROD!AM$5:AM249)/K$1*K$2,0),0)-SUM(J$4:J247)</f>
        <v>0</v>
      </c>
      <c r="K248" s="1316">
        <f t="shared" si="49"/>
        <v>0</v>
      </c>
      <c r="L248" s="1314"/>
      <c r="M248" s="1315">
        <f>IF(N$1&gt;0,ROUNDUP(SUM(PROD!L$5:L249,-PROD!AM$5:AM249,-PROD!AZ$5:AZ249)/N$1*N$2,0),0)-SUM(M$4:M247)</f>
        <v>0</v>
      </c>
      <c r="N248" s="1316">
        <f t="shared" si="50"/>
        <v>0</v>
      </c>
      <c r="O248" s="1317">
        <f t="shared" si="37"/>
        <v>0</v>
      </c>
      <c r="P248" s="1318"/>
      <c r="Q248" s="1319"/>
      <c r="R248" s="1320">
        <f t="shared" si="38"/>
        <v>0</v>
      </c>
      <c r="S248" s="1316">
        <f t="shared" si="39"/>
        <v>0</v>
      </c>
      <c r="T248" s="712"/>
      <c r="U248" s="713"/>
      <c r="V248" s="714"/>
      <c r="W248" s="398">
        <f t="shared" si="48"/>
        <v>0</v>
      </c>
      <c r="X248" s="712"/>
      <c r="Y248" s="713"/>
      <c r="Z248" s="714"/>
      <c r="AA248" s="398">
        <f t="shared" si="43"/>
        <v>0</v>
      </c>
      <c r="AB248" s="712"/>
      <c r="AC248" s="713"/>
      <c r="AD248" s="714"/>
      <c r="AE248" s="398">
        <f t="shared" si="44"/>
        <v>0</v>
      </c>
      <c r="AF248" s="712"/>
      <c r="AG248" s="713"/>
      <c r="AH248" s="714"/>
      <c r="AI248" s="398">
        <f t="shared" si="45"/>
        <v>0</v>
      </c>
      <c r="AJ248" s="712"/>
      <c r="AK248" s="713"/>
      <c r="AL248" s="714"/>
      <c r="AM248" s="398">
        <f t="shared" si="46"/>
        <v>0</v>
      </c>
    </row>
    <row r="249" spans="1:39" ht="16.5" customHeight="1" x14ac:dyDescent="0.3">
      <c r="A249" s="2160">
        <f>A242+1</f>
        <v>53</v>
      </c>
      <c r="B249" s="1313" t="str">
        <f t="shared" si="40"/>
        <v/>
      </c>
      <c r="C249" s="1011">
        <f>IF($D$2="NO",0,ROUNDDOWN(SUM(PROD!$V$5:V250)/IF(Iniciar!$C$25="kilos",40,1),0)-SUM($C$4:$C248))</f>
        <v>0</v>
      </c>
      <c r="D249" s="702"/>
      <c r="E249" s="702"/>
      <c r="F249" s="300">
        <f t="shared" si="47"/>
        <v>-35000</v>
      </c>
      <c r="G249" s="694"/>
      <c r="H249" s="695"/>
      <c r="I249" s="1314"/>
      <c r="J249" s="1315">
        <f>IF(K$1&gt;0,ROUNDUP(SUM(PROD!AM$5:AM250)/K$1*K$2,0),0)-SUM(J$4:J248)</f>
        <v>0</v>
      </c>
      <c r="K249" s="1316">
        <f t="shared" si="49"/>
        <v>0</v>
      </c>
      <c r="L249" s="1314"/>
      <c r="M249" s="1315">
        <f>IF(N$1&gt;0,ROUNDUP(SUM(PROD!L$5:L250,-PROD!AM$5:AM250,-PROD!AZ$5:AZ250)/N$1*N$2,0),0)-SUM(M$4:M248)</f>
        <v>0</v>
      </c>
      <c r="N249" s="1316">
        <f t="shared" si="50"/>
        <v>0</v>
      </c>
      <c r="O249" s="1317">
        <f t="shared" si="37"/>
        <v>0</v>
      </c>
      <c r="P249" s="1318"/>
      <c r="Q249" s="1319"/>
      <c r="R249" s="1320">
        <f t="shared" si="38"/>
        <v>0</v>
      </c>
      <c r="S249" s="1316">
        <f t="shared" si="39"/>
        <v>0</v>
      </c>
      <c r="T249" s="712"/>
      <c r="U249" s="713"/>
      <c r="V249" s="714"/>
      <c r="W249" s="398">
        <f t="shared" si="48"/>
        <v>0</v>
      </c>
      <c r="X249" s="712"/>
      <c r="Y249" s="713"/>
      <c r="Z249" s="714"/>
      <c r="AA249" s="398">
        <f t="shared" si="43"/>
        <v>0</v>
      </c>
      <c r="AB249" s="712"/>
      <c r="AC249" s="713"/>
      <c r="AD249" s="714"/>
      <c r="AE249" s="398">
        <f t="shared" si="44"/>
        <v>0</v>
      </c>
      <c r="AF249" s="712"/>
      <c r="AG249" s="713"/>
      <c r="AH249" s="714"/>
      <c r="AI249" s="398">
        <f t="shared" si="45"/>
        <v>0</v>
      </c>
      <c r="AJ249" s="712"/>
      <c r="AK249" s="713"/>
      <c r="AL249" s="714"/>
      <c r="AM249" s="398">
        <f t="shared" si="46"/>
        <v>0</v>
      </c>
    </row>
    <row r="250" spans="1:39" ht="15.75" customHeight="1" x14ac:dyDescent="0.3">
      <c r="A250" s="2161"/>
      <c r="B250" s="1313" t="str">
        <f t="shared" si="40"/>
        <v/>
      </c>
      <c r="C250" s="1011">
        <f>IF($D$2="NO",0,ROUNDDOWN(SUM(PROD!$V$5:V251)/IF(Iniciar!$C$25="kilos",40,1),0)-SUM($C$4:$C249))</f>
        <v>0</v>
      </c>
      <c r="D250" s="702"/>
      <c r="E250" s="702"/>
      <c r="F250" s="300">
        <f t="shared" si="47"/>
        <v>-35000</v>
      </c>
      <c r="G250" s="694"/>
      <c r="H250" s="695"/>
      <c r="I250" s="1314"/>
      <c r="J250" s="1315">
        <f>IF(K$1&gt;0,ROUNDUP(SUM(PROD!AM$5:AM251)/K$1*K$2,0),0)-SUM(J$4:J249)</f>
        <v>0</v>
      </c>
      <c r="K250" s="1316">
        <f t="shared" si="49"/>
        <v>0</v>
      </c>
      <c r="L250" s="1314"/>
      <c r="M250" s="1315">
        <f>IF(N$1&gt;0,ROUNDUP(SUM(PROD!L$5:L251,-PROD!AM$5:AM251,-PROD!AZ$5:AZ251)/N$1*N$2,0),0)-SUM(M$4:M249)</f>
        <v>0</v>
      </c>
      <c r="N250" s="1316">
        <f t="shared" si="50"/>
        <v>0</v>
      </c>
      <c r="O250" s="1317">
        <f t="shared" si="37"/>
        <v>0</v>
      </c>
      <c r="P250" s="1318"/>
      <c r="Q250" s="1319"/>
      <c r="R250" s="1320">
        <f t="shared" si="38"/>
        <v>0</v>
      </c>
      <c r="S250" s="1316">
        <f t="shared" si="39"/>
        <v>0</v>
      </c>
      <c r="T250" s="712"/>
      <c r="U250" s="713"/>
      <c r="V250" s="714"/>
      <c r="W250" s="398">
        <f t="shared" si="48"/>
        <v>0</v>
      </c>
      <c r="X250" s="712"/>
      <c r="Y250" s="713"/>
      <c r="Z250" s="714"/>
      <c r="AA250" s="398">
        <f t="shared" si="43"/>
        <v>0</v>
      </c>
      <c r="AB250" s="712"/>
      <c r="AC250" s="713"/>
      <c r="AD250" s="714"/>
      <c r="AE250" s="398">
        <f t="shared" si="44"/>
        <v>0</v>
      </c>
      <c r="AF250" s="712"/>
      <c r="AG250" s="713"/>
      <c r="AH250" s="714"/>
      <c r="AI250" s="398">
        <f t="shared" si="45"/>
        <v>0</v>
      </c>
      <c r="AJ250" s="712"/>
      <c r="AK250" s="713"/>
      <c r="AL250" s="714"/>
      <c r="AM250" s="398">
        <f t="shared" si="46"/>
        <v>0</v>
      </c>
    </row>
    <row r="251" spans="1:39" ht="15.75" customHeight="1" x14ac:dyDescent="0.3">
      <c r="A251" s="2161"/>
      <c r="B251" s="1313" t="str">
        <f t="shared" si="40"/>
        <v/>
      </c>
      <c r="C251" s="1011">
        <f>IF($D$2="NO",0,ROUNDDOWN(SUM(PROD!$V$5:V252)/IF(Iniciar!$C$25="kilos",40,1),0)-SUM($C$4:$C250))</f>
        <v>0</v>
      </c>
      <c r="D251" s="702"/>
      <c r="E251" s="702"/>
      <c r="F251" s="300">
        <f t="shared" si="47"/>
        <v>-35000</v>
      </c>
      <c r="G251" s="694"/>
      <c r="H251" s="695"/>
      <c r="I251" s="1314"/>
      <c r="J251" s="1315">
        <f>IF(K$1&gt;0,ROUNDUP(SUM(PROD!AM$5:AM252)/K$1*K$2,0),0)-SUM(J$4:J250)</f>
        <v>0</v>
      </c>
      <c r="K251" s="1316">
        <f t="shared" si="49"/>
        <v>0</v>
      </c>
      <c r="L251" s="1314"/>
      <c r="M251" s="1315">
        <f>IF(N$1&gt;0,ROUNDUP(SUM(PROD!L$5:L252,-PROD!AM$5:AM252,-PROD!AZ$5:AZ252)/N$1*N$2,0),0)-SUM(M$4:M250)</f>
        <v>0</v>
      </c>
      <c r="N251" s="1316">
        <f t="shared" si="50"/>
        <v>0</v>
      </c>
      <c r="O251" s="1317">
        <f t="shared" si="37"/>
        <v>0</v>
      </c>
      <c r="P251" s="1318"/>
      <c r="Q251" s="1319"/>
      <c r="R251" s="1320">
        <f t="shared" si="38"/>
        <v>0</v>
      </c>
      <c r="S251" s="1316">
        <f t="shared" si="39"/>
        <v>0</v>
      </c>
      <c r="T251" s="712"/>
      <c r="U251" s="713"/>
      <c r="V251" s="714"/>
      <c r="W251" s="398">
        <f t="shared" si="48"/>
        <v>0</v>
      </c>
      <c r="X251" s="712"/>
      <c r="Y251" s="713"/>
      <c r="Z251" s="714"/>
      <c r="AA251" s="398">
        <f t="shared" si="43"/>
        <v>0</v>
      </c>
      <c r="AB251" s="712"/>
      <c r="AC251" s="713"/>
      <c r="AD251" s="714"/>
      <c r="AE251" s="398">
        <f t="shared" si="44"/>
        <v>0</v>
      </c>
      <c r="AF251" s="712"/>
      <c r="AG251" s="713"/>
      <c r="AH251" s="714"/>
      <c r="AI251" s="398">
        <f t="shared" si="45"/>
        <v>0</v>
      </c>
      <c r="AJ251" s="712"/>
      <c r="AK251" s="713"/>
      <c r="AL251" s="714"/>
      <c r="AM251" s="398">
        <f t="shared" si="46"/>
        <v>0</v>
      </c>
    </row>
    <row r="252" spans="1:39" ht="15.75" customHeight="1" x14ac:dyDescent="0.3">
      <c r="A252" s="2161"/>
      <c r="B252" s="1313" t="str">
        <f t="shared" si="40"/>
        <v/>
      </c>
      <c r="C252" s="1011">
        <f>IF($D$2="NO",0,ROUNDDOWN(SUM(PROD!$V$5:V253)/IF(Iniciar!$C$25="kilos",40,1),0)-SUM($C$4:$C251))</f>
        <v>0</v>
      </c>
      <c r="D252" s="702"/>
      <c r="E252" s="702"/>
      <c r="F252" s="300">
        <f t="shared" si="47"/>
        <v>-35000</v>
      </c>
      <c r="G252" s="694"/>
      <c r="H252" s="695"/>
      <c r="I252" s="1314"/>
      <c r="J252" s="1315">
        <f>IF(K$1&gt;0,ROUNDUP(SUM(PROD!AM$5:AM253)/K$1*K$2,0),0)-SUM(J$4:J251)</f>
        <v>0</v>
      </c>
      <c r="K252" s="1316">
        <f t="shared" si="49"/>
        <v>0</v>
      </c>
      <c r="L252" s="1314"/>
      <c r="M252" s="1315">
        <f>IF(N$1&gt;0,ROUNDUP(SUM(PROD!L$5:L253,-PROD!AM$5:AM253,-PROD!AZ$5:AZ253)/N$1*N$2,0),0)-SUM(M$4:M251)</f>
        <v>0</v>
      </c>
      <c r="N252" s="1316">
        <f t="shared" si="50"/>
        <v>0</v>
      </c>
      <c r="O252" s="1317">
        <f t="shared" si="37"/>
        <v>0</v>
      </c>
      <c r="P252" s="1318"/>
      <c r="Q252" s="1319"/>
      <c r="R252" s="1320">
        <f t="shared" si="38"/>
        <v>0</v>
      </c>
      <c r="S252" s="1316">
        <f t="shared" si="39"/>
        <v>0</v>
      </c>
      <c r="T252" s="712"/>
      <c r="U252" s="713"/>
      <c r="V252" s="714"/>
      <c r="W252" s="398">
        <f t="shared" si="48"/>
        <v>0</v>
      </c>
      <c r="X252" s="712"/>
      <c r="Y252" s="713"/>
      <c r="Z252" s="714"/>
      <c r="AA252" s="398">
        <f t="shared" si="43"/>
        <v>0</v>
      </c>
      <c r="AB252" s="712"/>
      <c r="AC252" s="713"/>
      <c r="AD252" s="714"/>
      <c r="AE252" s="398">
        <f t="shared" si="44"/>
        <v>0</v>
      </c>
      <c r="AF252" s="712"/>
      <c r="AG252" s="713"/>
      <c r="AH252" s="714"/>
      <c r="AI252" s="398">
        <f t="shared" si="45"/>
        <v>0</v>
      </c>
      <c r="AJ252" s="712"/>
      <c r="AK252" s="713"/>
      <c r="AL252" s="714"/>
      <c r="AM252" s="398">
        <f t="shared" si="46"/>
        <v>0</v>
      </c>
    </row>
    <row r="253" spans="1:39" ht="15.75" customHeight="1" x14ac:dyDescent="0.3">
      <c r="A253" s="2161"/>
      <c r="B253" s="1313" t="str">
        <f t="shared" si="40"/>
        <v/>
      </c>
      <c r="C253" s="1011">
        <f>IF($D$2="NO",0,ROUNDDOWN(SUM(PROD!$V$5:V254)/IF(Iniciar!$C$25="kilos",40,1),0)-SUM($C$4:$C252))</f>
        <v>0</v>
      </c>
      <c r="D253" s="702"/>
      <c r="E253" s="702"/>
      <c r="F253" s="300">
        <f t="shared" si="47"/>
        <v>-35000</v>
      </c>
      <c r="G253" s="694"/>
      <c r="H253" s="695"/>
      <c r="I253" s="1314"/>
      <c r="J253" s="1315">
        <f>IF(K$1&gt;0,ROUNDUP(SUM(PROD!AM$5:AM254)/K$1*K$2,0),0)-SUM(J$4:J252)</f>
        <v>0</v>
      </c>
      <c r="K253" s="1316">
        <f t="shared" si="49"/>
        <v>0</v>
      </c>
      <c r="L253" s="1314"/>
      <c r="M253" s="1315">
        <f>IF(N$1&gt;0,ROUNDUP(SUM(PROD!L$5:L254,-PROD!AM$5:AM254,-PROD!AZ$5:AZ254)/N$1*N$2,0),0)-SUM(M$4:M252)</f>
        <v>0</v>
      </c>
      <c r="N253" s="1316">
        <f t="shared" si="50"/>
        <v>0</v>
      </c>
      <c r="O253" s="1317">
        <f t="shared" si="37"/>
        <v>0</v>
      </c>
      <c r="P253" s="1318"/>
      <c r="Q253" s="1319"/>
      <c r="R253" s="1320">
        <f t="shared" si="38"/>
        <v>0</v>
      </c>
      <c r="S253" s="1316">
        <f t="shared" si="39"/>
        <v>0</v>
      </c>
      <c r="T253" s="712"/>
      <c r="U253" s="713"/>
      <c r="V253" s="714"/>
      <c r="W253" s="398">
        <f t="shared" si="48"/>
        <v>0</v>
      </c>
      <c r="X253" s="712"/>
      <c r="Y253" s="713"/>
      <c r="Z253" s="714"/>
      <c r="AA253" s="398">
        <f t="shared" si="43"/>
        <v>0</v>
      </c>
      <c r="AB253" s="712"/>
      <c r="AC253" s="713"/>
      <c r="AD253" s="714"/>
      <c r="AE253" s="398">
        <f t="shared" si="44"/>
        <v>0</v>
      </c>
      <c r="AF253" s="712"/>
      <c r="AG253" s="713"/>
      <c r="AH253" s="714"/>
      <c r="AI253" s="398">
        <f t="shared" si="45"/>
        <v>0</v>
      </c>
      <c r="AJ253" s="712"/>
      <c r="AK253" s="713"/>
      <c r="AL253" s="714"/>
      <c r="AM253" s="398">
        <f t="shared" si="46"/>
        <v>0</v>
      </c>
    </row>
    <row r="254" spans="1:39" ht="15.75" customHeight="1" x14ac:dyDescent="0.3">
      <c r="A254" s="2161"/>
      <c r="B254" s="1313" t="str">
        <f t="shared" si="40"/>
        <v/>
      </c>
      <c r="C254" s="1011">
        <f>IF($D$2="NO",0,ROUNDDOWN(SUM(PROD!$V$5:V255)/IF(Iniciar!$C$25="kilos",40,1),0)-SUM($C$4:$C253))</f>
        <v>0</v>
      </c>
      <c r="D254" s="702"/>
      <c r="E254" s="702"/>
      <c r="F254" s="300">
        <f t="shared" si="47"/>
        <v>-35000</v>
      </c>
      <c r="G254" s="694"/>
      <c r="H254" s="695"/>
      <c r="I254" s="1314"/>
      <c r="J254" s="1315">
        <f>IF(K$1&gt;0,ROUNDUP(SUM(PROD!AM$5:AM255)/K$1*K$2,0),0)-SUM(J$4:J253)</f>
        <v>0</v>
      </c>
      <c r="K254" s="1316">
        <f t="shared" si="49"/>
        <v>0</v>
      </c>
      <c r="L254" s="1314"/>
      <c r="M254" s="1315">
        <f>IF(N$1&gt;0,ROUNDUP(SUM(PROD!L$5:L255,-PROD!AM$5:AM255,-PROD!AZ$5:AZ255)/N$1*N$2,0),0)-SUM(M$4:M253)</f>
        <v>0</v>
      </c>
      <c r="N254" s="1316">
        <f t="shared" si="50"/>
        <v>0</v>
      </c>
      <c r="O254" s="1317">
        <f t="shared" si="37"/>
        <v>0</v>
      </c>
      <c r="P254" s="1318"/>
      <c r="Q254" s="1319"/>
      <c r="R254" s="1320">
        <f t="shared" si="38"/>
        <v>0</v>
      </c>
      <c r="S254" s="1316">
        <f t="shared" si="39"/>
        <v>0</v>
      </c>
      <c r="T254" s="712"/>
      <c r="U254" s="713"/>
      <c r="V254" s="714"/>
      <c r="W254" s="398">
        <f t="shared" si="48"/>
        <v>0</v>
      </c>
      <c r="X254" s="712"/>
      <c r="Y254" s="713"/>
      <c r="Z254" s="714"/>
      <c r="AA254" s="398">
        <f t="shared" si="43"/>
        <v>0</v>
      </c>
      <c r="AB254" s="712"/>
      <c r="AC254" s="713"/>
      <c r="AD254" s="714"/>
      <c r="AE254" s="398">
        <f t="shared" si="44"/>
        <v>0</v>
      </c>
      <c r="AF254" s="712"/>
      <c r="AG254" s="713"/>
      <c r="AH254" s="714"/>
      <c r="AI254" s="398">
        <f t="shared" si="45"/>
        <v>0</v>
      </c>
      <c r="AJ254" s="712"/>
      <c r="AK254" s="713"/>
      <c r="AL254" s="714"/>
      <c r="AM254" s="398">
        <f t="shared" si="46"/>
        <v>0</v>
      </c>
    </row>
    <row r="255" spans="1:39" ht="16.5" customHeight="1" x14ac:dyDescent="0.3">
      <c r="A255" s="2162"/>
      <c r="B255" s="1313" t="str">
        <f t="shared" si="40"/>
        <v/>
      </c>
      <c r="C255" s="1011">
        <f>IF($D$2="NO",0,ROUNDDOWN(SUM(PROD!$V$5:V256)/IF(Iniciar!$C$25="kilos",40,1),0)-SUM($C$4:$C254))</f>
        <v>0</v>
      </c>
      <c r="D255" s="702"/>
      <c r="E255" s="702"/>
      <c r="F255" s="300">
        <f t="shared" si="47"/>
        <v>-35000</v>
      </c>
      <c r="G255" s="694"/>
      <c r="H255" s="695"/>
      <c r="I255" s="1314"/>
      <c r="J255" s="1315">
        <f>IF(K$1&gt;0,ROUNDUP(SUM(PROD!AM$5:AM256)/K$1*K$2,0),0)-SUM(J$4:J254)</f>
        <v>0</v>
      </c>
      <c r="K255" s="1316">
        <f t="shared" si="49"/>
        <v>0</v>
      </c>
      <c r="L255" s="1314"/>
      <c r="M255" s="1315">
        <f>IF(N$1&gt;0,ROUNDUP(SUM(PROD!L$5:L256,-PROD!AM$5:AM256,-PROD!AZ$5:AZ256)/N$1*N$2,0),0)-SUM(M$4:M254)</f>
        <v>0</v>
      </c>
      <c r="N255" s="1316">
        <f t="shared" si="50"/>
        <v>0</v>
      </c>
      <c r="O255" s="1317">
        <f t="shared" si="37"/>
        <v>0</v>
      </c>
      <c r="P255" s="1318"/>
      <c r="Q255" s="1319"/>
      <c r="R255" s="1320">
        <f t="shared" si="38"/>
        <v>0</v>
      </c>
      <c r="S255" s="1316">
        <f t="shared" si="39"/>
        <v>0</v>
      </c>
      <c r="T255" s="712"/>
      <c r="U255" s="713"/>
      <c r="V255" s="714"/>
      <c r="W255" s="398">
        <f t="shared" si="48"/>
        <v>0</v>
      </c>
      <c r="X255" s="712"/>
      <c r="Y255" s="713"/>
      <c r="Z255" s="714"/>
      <c r="AA255" s="398">
        <f t="shared" si="43"/>
        <v>0</v>
      </c>
      <c r="AB255" s="712"/>
      <c r="AC255" s="713"/>
      <c r="AD255" s="714"/>
      <c r="AE255" s="398">
        <f t="shared" si="44"/>
        <v>0</v>
      </c>
      <c r="AF255" s="712"/>
      <c r="AG255" s="713"/>
      <c r="AH255" s="714"/>
      <c r="AI255" s="398">
        <f t="shared" si="45"/>
        <v>0</v>
      </c>
      <c r="AJ255" s="712"/>
      <c r="AK255" s="713"/>
      <c r="AL255" s="714"/>
      <c r="AM255" s="398">
        <f t="shared" si="46"/>
        <v>0</v>
      </c>
    </row>
    <row r="256" spans="1:39" ht="16.5" customHeight="1" x14ac:dyDescent="0.3">
      <c r="A256" s="2160">
        <f>A249+1</f>
        <v>54</v>
      </c>
      <c r="B256" s="1313" t="str">
        <f t="shared" si="40"/>
        <v/>
      </c>
      <c r="C256" s="1011">
        <f>IF($D$2="NO",0,ROUNDDOWN(SUM(PROD!$V$5:V257)/IF(Iniciar!$C$25="kilos",40,1),0)-SUM($C$4:$C255))</f>
        <v>0</v>
      </c>
      <c r="D256" s="702"/>
      <c r="E256" s="702"/>
      <c r="F256" s="300">
        <f t="shared" si="47"/>
        <v>-35000</v>
      </c>
      <c r="G256" s="694"/>
      <c r="H256" s="695"/>
      <c r="I256" s="1314"/>
      <c r="J256" s="1315">
        <f>IF(K$1&gt;0,ROUNDUP(SUM(PROD!AM$5:AM257)/K$1*K$2,0),0)-SUM(J$4:J255)</f>
        <v>0</v>
      </c>
      <c r="K256" s="1316">
        <f t="shared" si="49"/>
        <v>0</v>
      </c>
      <c r="L256" s="1314"/>
      <c r="M256" s="1315">
        <f>IF(N$1&gt;0,ROUNDUP(SUM(PROD!L$5:L257,-PROD!AM$5:AM257,-PROD!AZ$5:AZ257)/N$1*N$2,0),0)-SUM(M$4:M255)</f>
        <v>0</v>
      </c>
      <c r="N256" s="1316">
        <f t="shared" si="50"/>
        <v>0</v>
      </c>
      <c r="O256" s="1317">
        <f t="shared" si="37"/>
        <v>0</v>
      </c>
      <c r="P256" s="1318"/>
      <c r="Q256" s="1319"/>
      <c r="R256" s="1320">
        <f t="shared" si="38"/>
        <v>0</v>
      </c>
      <c r="S256" s="1316">
        <f t="shared" si="39"/>
        <v>0</v>
      </c>
      <c r="T256" s="712"/>
      <c r="U256" s="713"/>
      <c r="V256" s="714"/>
      <c r="W256" s="398">
        <f t="shared" si="48"/>
        <v>0</v>
      </c>
      <c r="X256" s="712"/>
      <c r="Y256" s="713"/>
      <c r="Z256" s="714"/>
      <c r="AA256" s="398">
        <f t="shared" si="43"/>
        <v>0</v>
      </c>
      <c r="AB256" s="712"/>
      <c r="AC256" s="713"/>
      <c r="AD256" s="714"/>
      <c r="AE256" s="398">
        <f t="shared" si="44"/>
        <v>0</v>
      </c>
      <c r="AF256" s="712"/>
      <c r="AG256" s="713"/>
      <c r="AH256" s="714"/>
      <c r="AI256" s="398">
        <f t="shared" si="45"/>
        <v>0</v>
      </c>
      <c r="AJ256" s="712"/>
      <c r="AK256" s="713"/>
      <c r="AL256" s="714"/>
      <c r="AM256" s="398">
        <f t="shared" si="46"/>
        <v>0</v>
      </c>
    </row>
    <row r="257" spans="1:39" ht="15.75" customHeight="1" x14ac:dyDescent="0.3">
      <c r="A257" s="2161"/>
      <c r="B257" s="1313" t="str">
        <f t="shared" si="40"/>
        <v/>
      </c>
      <c r="C257" s="1011">
        <f>IF($D$2="NO",0,ROUNDDOWN(SUM(PROD!$V$5:V258)/IF(Iniciar!$C$25="kilos",40,1),0)-SUM($C$4:$C256))</f>
        <v>0</v>
      </c>
      <c r="D257" s="702"/>
      <c r="E257" s="702"/>
      <c r="F257" s="300">
        <f t="shared" si="47"/>
        <v>-35000</v>
      </c>
      <c r="G257" s="694"/>
      <c r="H257" s="695"/>
      <c r="I257" s="1314"/>
      <c r="J257" s="1315">
        <f>IF(K$1&gt;0,ROUNDUP(SUM(PROD!AM$5:AM258)/K$1*K$2,0),0)-SUM(J$4:J256)</f>
        <v>0</v>
      </c>
      <c r="K257" s="1316">
        <f t="shared" si="49"/>
        <v>0</v>
      </c>
      <c r="L257" s="1314"/>
      <c r="M257" s="1315">
        <f>IF(N$1&gt;0,ROUNDUP(SUM(PROD!L$5:L258,-PROD!AM$5:AM258,-PROD!AZ$5:AZ258)/N$1*N$2,0),0)-SUM(M$4:M256)</f>
        <v>0</v>
      </c>
      <c r="N257" s="1316">
        <f t="shared" si="50"/>
        <v>0</v>
      </c>
      <c r="O257" s="1317">
        <f t="shared" si="37"/>
        <v>0</v>
      </c>
      <c r="P257" s="1318"/>
      <c r="Q257" s="1319"/>
      <c r="R257" s="1320">
        <f t="shared" si="38"/>
        <v>0</v>
      </c>
      <c r="S257" s="1316">
        <f t="shared" si="39"/>
        <v>0</v>
      </c>
      <c r="T257" s="712"/>
      <c r="U257" s="713"/>
      <c r="V257" s="714"/>
      <c r="W257" s="398">
        <f t="shared" si="48"/>
        <v>0</v>
      </c>
      <c r="X257" s="712"/>
      <c r="Y257" s="713"/>
      <c r="Z257" s="714"/>
      <c r="AA257" s="398">
        <f t="shared" si="43"/>
        <v>0</v>
      </c>
      <c r="AB257" s="712"/>
      <c r="AC257" s="713"/>
      <c r="AD257" s="714"/>
      <c r="AE257" s="398">
        <f t="shared" si="44"/>
        <v>0</v>
      </c>
      <c r="AF257" s="712"/>
      <c r="AG257" s="713"/>
      <c r="AH257" s="714"/>
      <c r="AI257" s="398">
        <f t="shared" si="45"/>
        <v>0</v>
      </c>
      <c r="AJ257" s="712"/>
      <c r="AK257" s="713"/>
      <c r="AL257" s="714"/>
      <c r="AM257" s="398">
        <f t="shared" si="46"/>
        <v>0</v>
      </c>
    </row>
    <row r="258" spans="1:39" ht="15.75" customHeight="1" x14ac:dyDescent="0.3">
      <c r="A258" s="2161"/>
      <c r="B258" s="1313" t="str">
        <f t="shared" si="40"/>
        <v/>
      </c>
      <c r="C258" s="1011">
        <f>IF($D$2="NO",0,ROUNDDOWN(SUM(PROD!$V$5:V259)/IF(Iniciar!$C$25="kilos",40,1),0)-SUM($C$4:$C257))</f>
        <v>0</v>
      </c>
      <c r="D258" s="702"/>
      <c r="E258" s="702"/>
      <c r="F258" s="300">
        <f t="shared" si="47"/>
        <v>-35000</v>
      </c>
      <c r="G258" s="694"/>
      <c r="H258" s="695"/>
      <c r="I258" s="1314"/>
      <c r="J258" s="1315">
        <f>IF(K$1&gt;0,ROUNDUP(SUM(PROD!AM$5:AM259)/K$1*K$2,0),0)-SUM(J$4:J257)</f>
        <v>0</v>
      </c>
      <c r="K258" s="1316">
        <f t="shared" si="49"/>
        <v>0</v>
      </c>
      <c r="L258" s="1314"/>
      <c r="M258" s="1315">
        <f>IF(N$1&gt;0,ROUNDUP(SUM(PROD!L$5:L259,-PROD!AM$5:AM259,-PROD!AZ$5:AZ259)/N$1*N$2,0),0)-SUM(M$4:M257)</f>
        <v>0</v>
      </c>
      <c r="N258" s="1316">
        <f t="shared" si="50"/>
        <v>0</v>
      </c>
      <c r="O258" s="1317">
        <f t="shared" si="37"/>
        <v>0</v>
      </c>
      <c r="P258" s="1318"/>
      <c r="Q258" s="1319"/>
      <c r="R258" s="1320">
        <f t="shared" si="38"/>
        <v>0</v>
      </c>
      <c r="S258" s="1316">
        <f t="shared" si="39"/>
        <v>0</v>
      </c>
      <c r="T258" s="712"/>
      <c r="U258" s="713"/>
      <c r="V258" s="714"/>
      <c r="W258" s="398">
        <f t="shared" si="48"/>
        <v>0</v>
      </c>
      <c r="X258" s="712"/>
      <c r="Y258" s="713"/>
      <c r="Z258" s="714"/>
      <c r="AA258" s="398">
        <f t="shared" si="43"/>
        <v>0</v>
      </c>
      <c r="AB258" s="712"/>
      <c r="AC258" s="713"/>
      <c r="AD258" s="714"/>
      <c r="AE258" s="398">
        <f t="shared" si="44"/>
        <v>0</v>
      </c>
      <c r="AF258" s="712"/>
      <c r="AG258" s="713"/>
      <c r="AH258" s="714"/>
      <c r="AI258" s="398">
        <f t="shared" si="45"/>
        <v>0</v>
      </c>
      <c r="AJ258" s="712"/>
      <c r="AK258" s="713"/>
      <c r="AL258" s="714"/>
      <c r="AM258" s="398">
        <f t="shared" si="46"/>
        <v>0</v>
      </c>
    </row>
    <row r="259" spans="1:39" ht="15.75" customHeight="1" x14ac:dyDescent="0.3">
      <c r="A259" s="2161"/>
      <c r="B259" s="1313" t="str">
        <f t="shared" si="40"/>
        <v/>
      </c>
      <c r="C259" s="1011">
        <f>IF($D$2="NO",0,ROUNDDOWN(SUM(PROD!$V$5:V260)/IF(Iniciar!$C$25="kilos",40,1),0)-SUM($C$4:$C258))</f>
        <v>0</v>
      </c>
      <c r="D259" s="702"/>
      <c r="E259" s="702"/>
      <c r="F259" s="300">
        <f t="shared" si="47"/>
        <v>-35000</v>
      </c>
      <c r="G259" s="694"/>
      <c r="H259" s="695"/>
      <c r="I259" s="1314"/>
      <c r="J259" s="1315">
        <f>IF(K$1&gt;0,ROUNDUP(SUM(PROD!AM$5:AM260)/K$1*K$2,0),0)-SUM(J$4:J258)</f>
        <v>0</v>
      </c>
      <c r="K259" s="1316">
        <f t="shared" si="49"/>
        <v>0</v>
      </c>
      <c r="L259" s="1314"/>
      <c r="M259" s="1315">
        <f>IF(N$1&gt;0,ROUNDUP(SUM(PROD!L$5:L260,-PROD!AM$5:AM260,-PROD!AZ$5:AZ260)/N$1*N$2,0),0)-SUM(M$4:M258)</f>
        <v>0</v>
      </c>
      <c r="N259" s="1316">
        <f t="shared" si="50"/>
        <v>0</v>
      </c>
      <c r="O259" s="1317">
        <f t="shared" si="37"/>
        <v>0</v>
      </c>
      <c r="P259" s="1318"/>
      <c r="Q259" s="1319"/>
      <c r="R259" s="1320">
        <f t="shared" si="38"/>
        <v>0</v>
      </c>
      <c r="S259" s="1316">
        <f t="shared" si="39"/>
        <v>0</v>
      </c>
      <c r="T259" s="712"/>
      <c r="U259" s="713"/>
      <c r="V259" s="714"/>
      <c r="W259" s="398">
        <f t="shared" si="48"/>
        <v>0</v>
      </c>
      <c r="X259" s="712"/>
      <c r="Y259" s="713"/>
      <c r="Z259" s="714"/>
      <c r="AA259" s="398">
        <f t="shared" si="43"/>
        <v>0</v>
      </c>
      <c r="AB259" s="712"/>
      <c r="AC259" s="713"/>
      <c r="AD259" s="714"/>
      <c r="AE259" s="398">
        <f t="shared" si="44"/>
        <v>0</v>
      </c>
      <c r="AF259" s="712"/>
      <c r="AG259" s="713"/>
      <c r="AH259" s="714"/>
      <c r="AI259" s="398">
        <f t="shared" si="45"/>
        <v>0</v>
      </c>
      <c r="AJ259" s="712"/>
      <c r="AK259" s="713"/>
      <c r="AL259" s="714"/>
      <c r="AM259" s="398">
        <f t="shared" si="46"/>
        <v>0</v>
      </c>
    </row>
    <row r="260" spans="1:39" ht="15.75" customHeight="1" x14ac:dyDescent="0.3">
      <c r="A260" s="2161"/>
      <c r="B260" s="1313" t="str">
        <f t="shared" si="40"/>
        <v/>
      </c>
      <c r="C260" s="1011">
        <f>IF($D$2="NO",0,ROUNDDOWN(SUM(PROD!$V$5:V261)/IF(Iniciar!$C$25="kilos",40,1),0)-SUM($C$4:$C259))</f>
        <v>0</v>
      </c>
      <c r="D260" s="702"/>
      <c r="E260" s="702"/>
      <c r="F260" s="300">
        <f t="shared" si="47"/>
        <v>-35000</v>
      </c>
      <c r="G260" s="694"/>
      <c r="H260" s="695"/>
      <c r="I260" s="1314"/>
      <c r="J260" s="1315">
        <f>IF(K$1&gt;0,ROUNDUP(SUM(PROD!AM$5:AM261)/K$1*K$2,0),0)-SUM(J$4:J259)</f>
        <v>0</v>
      </c>
      <c r="K260" s="1316">
        <f t="shared" si="49"/>
        <v>0</v>
      </c>
      <c r="L260" s="1314"/>
      <c r="M260" s="1315">
        <f>IF(N$1&gt;0,ROUNDUP(SUM(PROD!L$5:L261,-PROD!AM$5:AM261,-PROD!AZ$5:AZ261)/N$1*N$2,0),0)-SUM(M$4:M259)</f>
        <v>0</v>
      </c>
      <c r="N260" s="1316">
        <f t="shared" si="50"/>
        <v>0</v>
      </c>
      <c r="O260" s="1317">
        <f t="shared" ref="O260:O323" si="51">L260+I260</f>
        <v>0</v>
      </c>
      <c r="P260" s="1318"/>
      <c r="Q260" s="1319"/>
      <c r="R260" s="1320">
        <f t="shared" ref="R260:R323" si="52">M260+J260</f>
        <v>0</v>
      </c>
      <c r="S260" s="1316">
        <f t="shared" ref="S260:S323" si="53">N260+K260</f>
        <v>0</v>
      </c>
      <c r="T260" s="712"/>
      <c r="U260" s="713"/>
      <c r="V260" s="714"/>
      <c r="W260" s="398">
        <f t="shared" si="48"/>
        <v>0</v>
      </c>
      <c r="X260" s="712"/>
      <c r="Y260" s="713"/>
      <c r="Z260" s="714"/>
      <c r="AA260" s="398">
        <f t="shared" si="43"/>
        <v>0</v>
      </c>
      <c r="AB260" s="712"/>
      <c r="AC260" s="713"/>
      <c r="AD260" s="714"/>
      <c r="AE260" s="398">
        <f t="shared" si="44"/>
        <v>0</v>
      </c>
      <c r="AF260" s="712"/>
      <c r="AG260" s="713"/>
      <c r="AH260" s="714"/>
      <c r="AI260" s="398">
        <f t="shared" si="45"/>
        <v>0</v>
      </c>
      <c r="AJ260" s="712"/>
      <c r="AK260" s="713"/>
      <c r="AL260" s="714"/>
      <c r="AM260" s="398">
        <f t="shared" si="46"/>
        <v>0</v>
      </c>
    </row>
    <row r="261" spans="1:39" ht="15.75" customHeight="1" x14ac:dyDescent="0.3">
      <c r="A261" s="2161"/>
      <c r="B261" s="1313" t="str">
        <f t="shared" ref="B261:B324" si="54">IF(B260="","",B260+1)</f>
        <v/>
      </c>
      <c r="C261" s="1011">
        <f>IF($D$2="NO",0,ROUNDDOWN(SUM(PROD!$V$5:V262)/IF(Iniciar!$C$25="kilos",40,1),0)-SUM($C$4:$C260))</f>
        <v>0</v>
      </c>
      <c r="D261" s="702"/>
      <c r="E261" s="702"/>
      <c r="F261" s="300">
        <f t="shared" si="47"/>
        <v>-35000</v>
      </c>
      <c r="G261" s="694"/>
      <c r="H261" s="695"/>
      <c r="I261" s="1314"/>
      <c r="J261" s="1315">
        <f>IF(K$1&gt;0,ROUNDUP(SUM(PROD!AM$5:AM262)/K$1*K$2,0),0)-SUM(J$4:J260)</f>
        <v>0</v>
      </c>
      <c r="K261" s="1316">
        <f t="shared" si="49"/>
        <v>0</v>
      </c>
      <c r="L261" s="1314"/>
      <c r="M261" s="1315">
        <f>IF(N$1&gt;0,ROUNDUP(SUM(PROD!L$5:L262,-PROD!AM$5:AM262,-PROD!AZ$5:AZ262)/N$1*N$2,0),0)-SUM(M$4:M260)</f>
        <v>0</v>
      </c>
      <c r="N261" s="1316">
        <f t="shared" si="50"/>
        <v>0</v>
      </c>
      <c r="O261" s="1317">
        <f t="shared" si="51"/>
        <v>0</v>
      </c>
      <c r="P261" s="1318"/>
      <c r="Q261" s="1319"/>
      <c r="R261" s="1320">
        <f t="shared" si="52"/>
        <v>0</v>
      </c>
      <c r="S261" s="1316">
        <f t="shared" si="53"/>
        <v>0</v>
      </c>
      <c r="T261" s="712"/>
      <c r="U261" s="713"/>
      <c r="V261" s="714"/>
      <c r="W261" s="398">
        <f t="shared" si="48"/>
        <v>0</v>
      </c>
      <c r="X261" s="712"/>
      <c r="Y261" s="713"/>
      <c r="Z261" s="714"/>
      <c r="AA261" s="398">
        <f t="shared" ref="AA261:AA324" si="55">AA260+Y261-Z261</f>
        <v>0</v>
      </c>
      <c r="AB261" s="712"/>
      <c r="AC261" s="713"/>
      <c r="AD261" s="714"/>
      <c r="AE261" s="398">
        <f t="shared" ref="AE261:AE324" si="56">AE260+AC261-AD261</f>
        <v>0</v>
      </c>
      <c r="AF261" s="712"/>
      <c r="AG261" s="713"/>
      <c r="AH261" s="714"/>
      <c r="AI261" s="398">
        <f t="shared" ref="AI261:AI324" si="57">AI260+AG261-AH261</f>
        <v>0</v>
      </c>
      <c r="AJ261" s="712"/>
      <c r="AK261" s="713"/>
      <c r="AL261" s="714"/>
      <c r="AM261" s="398">
        <f t="shared" ref="AM261:AM324" si="58">AM260+AK261-AL261</f>
        <v>0</v>
      </c>
    </row>
    <row r="262" spans="1:39" ht="16.5" customHeight="1" x14ac:dyDescent="0.3">
      <c r="A262" s="2162"/>
      <c r="B262" s="1313" t="str">
        <f t="shared" si="54"/>
        <v/>
      </c>
      <c r="C262" s="1011">
        <f>IF($D$2="NO",0,ROUNDDOWN(SUM(PROD!$V$5:V263)/IF(Iniciar!$C$25="kilos",40,1),0)-SUM($C$4:$C261))</f>
        <v>0</v>
      </c>
      <c r="D262" s="702"/>
      <c r="E262" s="702"/>
      <c r="F262" s="300">
        <f t="shared" si="47"/>
        <v>-35000</v>
      </c>
      <c r="G262" s="694"/>
      <c r="H262" s="695"/>
      <c r="I262" s="1314"/>
      <c r="J262" s="1315">
        <f>IF(K$1&gt;0,ROUNDUP(SUM(PROD!AM$5:AM263)/K$1*K$2,0),0)-SUM(J$4:J261)</f>
        <v>0</v>
      </c>
      <c r="K262" s="1316">
        <f t="shared" si="49"/>
        <v>0</v>
      </c>
      <c r="L262" s="1314"/>
      <c r="M262" s="1315">
        <f>IF(N$1&gt;0,ROUNDUP(SUM(PROD!L$5:L263,-PROD!AM$5:AM263,-PROD!AZ$5:AZ263)/N$1*N$2,0),0)-SUM(M$4:M261)</f>
        <v>0</v>
      </c>
      <c r="N262" s="1316">
        <f t="shared" si="50"/>
        <v>0</v>
      </c>
      <c r="O262" s="1317">
        <f t="shared" si="51"/>
        <v>0</v>
      </c>
      <c r="P262" s="1318"/>
      <c r="Q262" s="1319"/>
      <c r="R262" s="1320">
        <f t="shared" si="52"/>
        <v>0</v>
      </c>
      <c r="S262" s="1316">
        <f t="shared" si="53"/>
        <v>0</v>
      </c>
      <c r="T262" s="712"/>
      <c r="U262" s="713"/>
      <c r="V262" s="714"/>
      <c r="W262" s="398">
        <f t="shared" si="48"/>
        <v>0</v>
      </c>
      <c r="X262" s="712"/>
      <c r="Y262" s="713"/>
      <c r="Z262" s="714"/>
      <c r="AA262" s="398">
        <f t="shared" si="55"/>
        <v>0</v>
      </c>
      <c r="AB262" s="712"/>
      <c r="AC262" s="713"/>
      <c r="AD262" s="714"/>
      <c r="AE262" s="398">
        <f t="shared" si="56"/>
        <v>0</v>
      </c>
      <c r="AF262" s="712"/>
      <c r="AG262" s="713"/>
      <c r="AH262" s="714"/>
      <c r="AI262" s="398">
        <f t="shared" si="57"/>
        <v>0</v>
      </c>
      <c r="AJ262" s="712"/>
      <c r="AK262" s="713"/>
      <c r="AL262" s="714"/>
      <c r="AM262" s="398">
        <f t="shared" si="58"/>
        <v>0</v>
      </c>
    </row>
    <row r="263" spans="1:39" ht="16.5" customHeight="1" x14ac:dyDescent="0.3">
      <c r="A263" s="2160">
        <f>A256+1</f>
        <v>55</v>
      </c>
      <c r="B263" s="1313" t="str">
        <f t="shared" si="54"/>
        <v/>
      </c>
      <c r="C263" s="1011">
        <f>IF($D$2="NO",0,ROUNDDOWN(SUM(PROD!$V$5:V264)/IF(Iniciar!$C$25="kilos",40,1),0)-SUM($C$4:$C262))</f>
        <v>0</v>
      </c>
      <c r="D263" s="702"/>
      <c r="E263" s="702"/>
      <c r="F263" s="300">
        <f t="shared" si="47"/>
        <v>-35000</v>
      </c>
      <c r="G263" s="694"/>
      <c r="H263" s="695"/>
      <c r="I263" s="1314"/>
      <c r="J263" s="1315">
        <f>IF(K$1&gt;0,ROUNDUP(SUM(PROD!AM$5:AM264)/K$1*K$2,0),0)-SUM(J$4:J262)</f>
        <v>0</v>
      </c>
      <c r="K263" s="1316">
        <f t="shared" si="49"/>
        <v>0</v>
      </c>
      <c r="L263" s="1314"/>
      <c r="M263" s="1315">
        <f>IF(N$1&gt;0,ROUNDUP(SUM(PROD!L$5:L264,-PROD!AM$5:AM264,-PROD!AZ$5:AZ264)/N$1*N$2,0),0)-SUM(M$4:M262)</f>
        <v>0</v>
      </c>
      <c r="N263" s="1316">
        <f t="shared" si="50"/>
        <v>0</v>
      </c>
      <c r="O263" s="1317">
        <f t="shared" si="51"/>
        <v>0</v>
      </c>
      <c r="P263" s="1318"/>
      <c r="Q263" s="1319"/>
      <c r="R263" s="1320">
        <f t="shared" si="52"/>
        <v>0</v>
      </c>
      <c r="S263" s="1316">
        <f t="shared" si="53"/>
        <v>0</v>
      </c>
      <c r="T263" s="712"/>
      <c r="U263" s="713"/>
      <c r="V263" s="714"/>
      <c r="W263" s="398">
        <f t="shared" si="48"/>
        <v>0</v>
      </c>
      <c r="X263" s="712"/>
      <c r="Y263" s="713"/>
      <c r="Z263" s="714"/>
      <c r="AA263" s="398">
        <f t="shared" si="55"/>
        <v>0</v>
      </c>
      <c r="AB263" s="712"/>
      <c r="AC263" s="713"/>
      <c r="AD263" s="714"/>
      <c r="AE263" s="398">
        <f t="shared" si="56"/>
        <v>0</v>
      </c>
      <c r="AF263" s="712"/>
      <c r="AG263" s="713"/>
      <c r="AH263" s="714"/>
      <c r="AI263" s="398">
        <f t="shared" si="57"/>
        <v>0</v>
      </c>
      <c r="AJ263" s="712"/>
      <c r="AK263" s="713"/>
      <c r="AL263" s="714"/>
      <c r="AM263" s="398">
        <f t="shared" si="58"/>
        <v>0</v>
      </c>
    </row>
    <row r="264" spans="1:39" ht="15.75" customHeight="1" x14ac:dyDescent="0.3">
      <c r="A264" s="2161"/>
      <c r="B264" s="1313" t="str">
        <f t="shared" si="54"/>
        <v/>
      </c>
      <c r="C264" s="1011">
        <f>IF($D$2="NO",0,ROUNDDOWN(SUM(PROD!$V$5:V265)/IF(Iniciar!$C$25="kilos",40,1),0)-SUM($C$4:$C263))</f>
        <v>0</v>
      </c>
      <c r="D264" s="702"/>
      <c r="E264" s="702"/>
      <c r="F264" s="300">
        <f t="shared" si="47"/>
        <v>-35000</v>
      </c>
      <c r="G264" s="694"/>
      <c r="H264" s="695"/>
      <c r="I264" s="1314"/>
      <c r="J264" s="1315">
        <f>IF(K$1&gt;0,ROUNDUP(SUM(PROD!AM$5:AM265)/K$1*K$2,0),0)-SUM(J$4:J263)</f>
        <v>0</v>
      </c>
      <c r="K264" s="1316">
        <f t="shared" si="49"/>
        <v>0</v>
      </c>
      <c r="L264" s="1314"/>
      <c r="M264" s="1315">
        <f>IF(N$1&gt;0,ROUNDUP(SUM(PROD!L$5:L265,-PROD!AM$5:AM265,-PROD!AZ$5:AZ265)/N$1*N$2,0),0)-SUM(M$4:M263)</f>
        <v>0</v>
      </c>
      <c r="N264" s="1316">
        <f t="shared" si="50"/>
        <v>0</v>
      </c>
      <c r="O264" s="1317">
        <f t="shared" si="51"/>
        <v>0</v>
      </c>
      <c r="P264" s="1318"/>
      <c r="Q264" s="1319"/>
      <c r="R264" s="1320">
        <f t="shared" si="52"/>
        <v>0</v>
      </c>
      <c r="S264" s="1316">
        <f t="shared" si="53"/>
        <v>0</v>
      </c>
      <c r="T264" s="712"/>
      <c r="U264" s="713"/>
      <c r="V264" s="714"/>
      <c r="W264" s="398">
        <f t="shared" si="48"/>
        <v>0</v>
      </c>
      <c r="X264" s="712"/>
      <c r="Y264" s="713"/>
      <c r="Z264" s="714"/>
      <c r="AA264" s="398">
        <f t="shared" si="55"/>
        <v>0</v>
      </c>
      <c r="AB264" s="712"/>
      <c r="AC264" s="713"/>
      <c r="AD264" s="714"/>
      <c r="AE264" s="398">
        <f t="shared" si="56"/>
        <v>0</v>
      </c>
      <c r="AF264" s="712"/>
      <c r="AG264" s="713"/>
      <c r="AH264" s="714"/>
      <c r="AI264" s="398">
        <f t="shared" si="57"/>
        <v>0</v>
      </c>
      <c r="AJ264" s="712"/>
      <c r="AK264" s="713"/>
      <c r="AL264" s="714"/>
      <c r="AM264" s="398">
        <f t="shared" si="58"/>
        <v>0</v>
      </c>
    </row>
    <row r="265" spans="1:39" ht="15.75" customHeight="1" x14ac:dyDescent="0.3">
      <c r="A265" s="2161"/>
      <c r="B265" s="1313" t="str">
        <f t="shared" si="54"/>
        <v/>
      </c>
      <c r="C265" s="1011">
        <f>IF($D$2="NO",0,ROUNDDOWN(SUM(PROD!$V$5:V266)/IF(Iniciar!$C$25="kilos",40,1),0)-SUM($C$4:$C264))</f>
        <v>0</v>
      </c>
      <c r="D265" s="702"/>
      <c r="E265" s="702"/>
      <c r="F265" s="300">
        <f t="shared" si="47"/>
        <v>-35000</v>
      </c>
      <c r="G265" s="694"/>
      <c r="H265" s="695"/>
      <c r="I265" s="1314"/>
      <c r="J265" s="1315">
        <f>IF(K$1&gt;0,ROUNDUP(SUM(PROD!AM$5:AM266)/K$1*K$2,0),0)-SUM(J$4:J264)</f>
        <v>0</v>
      </c>
      <c r="K265" s="1316">
        <f t="shared" si="49"/>
        <v>0</v>
      </c>
      <c r="L265" s="1314"/>
      <c r="M265" s="1315">
        <f>IF(N$1&gt;0,ROUNDUP(SUM(PROD!L$5:L266,-PROD!AM$5:AM266,-PROD!AZ$5:AZ266)/N$1*N$2,0),0)-SUM(M$4:M264)</f>
        <v>0</v>
      </c>
      <c r="N265" s="1316">
        <f t="shared" si="50"/>
        <v>0</v>
      </c>
      <c r="O265" s="1317">
        <f t="shared" si="51"/>
        <v>0</v>
      </c>
      <c r="P265" s="1318"/>
      <c r="Q265" s="1319"/>
      <c r="R265" s="1320">
        <f t="shared" si="52"/>
        <v>0</v>
      </c>
      <c r="S265" s="1316">
        <f t="shared" si="53"/>
        <v>0</v>
      </c>
      <c r="T265" s="712"/>
      <c r="U265" s="713"/>
      <c r="V265" s="714"/>
      <c r="W265" s="398">
        <f t="shared" si="48"/>
        <v>0</v>
      </c>
      <c r="X265" s="712"/>
      <c r="Y265" s="713"/>
      <c r="Z265" s="714"/>
      <c r="AA265" s="398">
        <f t="shared" si="55"/>
        <v>0</v>
      </c>
      <c r="AB265" s="712"/>
      <c r="AC265" s="713"/>
      <c r="AD265" s="714"/>
      <c r="AE265" s="398">
        <f t="shared" si="56"/>
        <v>0</v>
      </c>
      <c r="AF265" s="712"/>
      <c r="AG265" s="713"/>
      <c r="AH265" s="714"/>
      <c r="AI265" s="398">
        <f t="shared" si="57"/>
        <v>0</v>
      </c>
      <c r="AJ265" s="712"/>
      <c r="AK265" s="713"/>
      <c r="AL265" s="714"/>
      <c r="AM265" s="398">
        <f t="shared" si="58"/>
        <v>0</v>
      </c>
    </row>
    <row r="266" spans="1:39" ht="15.75" customHeight="1" x14ac:dyDescent="0.3">
      <c r="A266" s="2161"/>
      <c r="B266" s="1313" t="str">
        <f t="shared" si="54"/>
        <v/>
      </c>
      <c r="C266" s="1011">
        <f>IF($D$2="NO",0,ROUNDDOWN(SUM(PROD!$V$5:V267)/IF(Iniciar!$C$25="kilos",40,1),0)-SUM($C$4:$C265))</f>
        <v>0</v>
      </c>
      <c r="D266" s="702"/>
      <c r="E266" s="702"/>
      <c r="F266" s="300">
        <f t="shared" si="47"/>
        <v>-35000</v>
      </c>
      <c r="G266" s="694"/>
      <c r="H266" s="695"/>
      <c r="I266" s="1314"/>
      <c r="J266" s="1315">
        <f>IF(K$1&gt;0,ROUNDUP(SUM(PROD!AM$5:AM267)/K$1*K$2,0),0)-SUM(J$4:J265)</f>
        <v>0</v>
      </c>
      <c r="K266" s="1316">
        <f t="shared" si="49"/>
        <v>0</v>
      </c>
      <c r="L266" s="1314"/>
      <c r="M266" s="1315">
        <f>IF(N$1&gt;0,ROUNDUP(SUM(PROD!L$5:L267,-PROD!AM$5:AM267,-PROD!AZ$5:AZ267)/N$1*N$2,0),0)-SUM(M$4:M265)</f>
        <v>0</v>
      </c>
      <c r="N266" s="1316">
        <f t="shared" si="50"/>
        <v>0</v>
      </c>
      <c r="O266" s="1317">
        <f t="shared" si="51"/>
        <v>0</v>
      </c>
      <c r="P266" s="1318"/>
      <c r="Q266" s="1319"/>
      <c r="R266" s="1320">
        <f t="shared" si="52"/>
        <v>0</v>
      </c>
      <c r="S266" s="1316">
        <f t="shared" si="53"/>
        <v>0</v>
      </c>
      <c r="T266" s="712"/>
      <c r="U266" s="713"/>
      <c r="V266" s="714"/>
      <c r="W266" s="398">
        <f t="shared" si="48"/>
        <v>0</v>
      </c>
      <c r="X266" s="712"/>
      <c r="Y266" s="713"/>
      <c r="Z266" s="714"/>
      <c r="AA266" s="398">
        <f t="shared" si="55"/>
        <v>0</v>
      </c>
      <c r="AB266" s="712"/>
      <c r="AC266" s="713"/>
      <c r="AD266" s="714"/>
      <c r="AE266" s="398">
        <f t="shared" si="56"/>
        <v>0</v>
      </c>
      <c r="AF266" s="712"/>
      <c r="AG266" s="713"/>
      <c r="AH266" s="714"/>
      <c r="AI266" s="398">
        <f t="shared" si="57"/>
        <v>0</v>
      </c>
      <c r="AJ266" s="712"/>
      <c r="AK266" s="713"/>
      <c r="AL266" s="714"/>
      <c r="AM266" s="398">
        <f t="shared" si="58"/>
        <v>0</v>
      </c>
    </row>
    <row r="267" spans="1:39" ht="15.75" customHeight="1" x14ac:dyDescent="0.3">
      <c r="A267" s="2161"/>
      <c r="B267" s="1313" t="str">
        <f t="shared" si="54"/>
        <v/>
      </c>
      <c r="C267" s="1011">
        <f>IF($D$2="NO",0,ROUNDDOWN(SUM(PROD!$V$5:V268)/IF(Iniciar!$C$25="kilos",40,1),0)-SUM($C$4:$C266))</f>
        <v>0</v>
      </c>
      <c r="D267" s="702"/>
      <c r="E267" s="702"/>
      <c r="F267" s="300">
        <f t="shared" ref="F267:F330" si="59">F266+C267+D267-E267</f>
        <v>-35000</v>
      </c>
      <c r="G267" s="694"/>
      <c r="H267" s="695"/>
      <c r="I267" s="1314"/>
      <c r="J267" s="1315">
        <f>IF(K$1&gt;0,ROUNDUP(SUM(PROD!AM$5:AM268)/K$1*K$2,0),0)-SUM(J$4:J266)</f>
        <v>0</v>
      </c>
      <c r="K267" s="1316">
        <f t="shared" si="49"/>
        <v>0</v>
      </c>
      <c r="L267" s="1314"/>
      <c r="M267" s="1315">
        <f>IF(N$1&gt;0,ROUNDUP(SUM(PROD!L$5:L268,-PROD!AM$5:AM268,-PROD!AZ$5:AZ268)/N$1*N$2,0),0)-SUM(M$4:M266)</f>
        <v>0</v>
      </c>
      <c r="N267" s="1316">
        <f t="shared" si="50"/>
        <v>0</v>
      </c>
      <c r="O267" s="1317">
        <f t="shared" si="51"/>
        <v>0</v>
      </c>
      <c r="P267" s="1318"/>
      <c r="Q267" s="1319"/>
      <c r="R267" s="1320">
        <f t="shared" si="52"/>
        <v>0</v>
      </c>
      <c r="S267" s="1316">
        <f t="shared" si="53"/>
        <v>0</v>
      </c>
      <c r="T267" s="712"/>
      <c r="U267" s="713"/>
      <c r="V267" s="714"/>
      <c r="W267" s="398">
        <f t="shared" si="48"/>
        <v>0</v>
      </c>
      <c r="X267" s="712"/>
      <c r="Y267" s="713"/>
      <c r="Z267" s="714"/>
      <c r="AA267" s="398">
        <f t="shared" si="55"/>
        <v>0</v>
      </c>
      <c r="AB267" s="712"/>
      <c r="AC267" s="713"/>
      <c r="AD267" s="714"/>
      <c r="AE267" s="398">
        <f t="shared" si="56"/>
        <v>0</v>
      </c>
      <c r="AF267" s="712"/>
      <c r="AG267" s="713"/>
      <c r="AH267" s="714"/>
      <c r="AI267" s="398">
        <f t="shared" si="57"/>
        <v>0</v>
      </c>
      <c r="AJ267" s="712"/>
      <c r="AK267" s="713"/>
      <c r="AL267" s="714"/>
      <c r="AM267" s="398">
        <f t="shared" si="58"/>
        <v>0</v>
      </c>
    </row>
    <row r="268" spans="1:39" ht="15.75" customHeight="1" x14ac:dyDescent="0.3">
      <c r="A268" s="2161"/>
      <c r="B268" s="1313" t="str">
        <f t="shared" si="54"/>
        <v/>
      </c>
      <c r="C268" s="1011">
        <f>IF($D$2="NO",0,ROUNDDOWN(SUM(PROD!$V$5:V269)/IF(Iniciar!$C$25="kilos",40,1),0)-SUM($C$4:$C267))</f>
        <v>0</v>
      </c>
      <c r="D268" s="702"/>
      <c r="E268" s="702"/>
      <c r="F268" s="300">
        <f t="shared" si="59"/>
        <v>-35000</v>
      </c>
      <c r="G268" s="694"/>
      <c r="H268" s="695"/>
      <c r="I268" s="1314"/>
      <c r="J268" s="1315">
        <f>IF(K$1&gt;0,ROUNDUP(SUM(PROD!AM$5:AM269)/K$1*K$2,0),0)-SUM(J$4:J267)</f>
        <v>0</v>
      </c>
      <c r="K268" s="1316">
        <f t="shared" si="49"/>
        <v>0</v>
      </c>
      <c r="L268" s="1314"/>
      <c r="M268" s="1315">
        <f>IF(N$1&gt;0,ROUNDUP(SUM(PROD!L$5:L269,-PROD!AM$5:AM269,-PROD!AZ$5:AZ269)/N$1*N$2,0),0)-SUM(M$4:M267)</f>
        <v>0</v>
      </c>
      <c r="N268" s="1316">
        <f t="shared" si="50"/>
        <v>0</v>
      </c>
      <c r="O268" s="1317">
        <f t="shared" si="51"/>
        <v>0</v>
      </c>
      <c r="P268" s="1318"/>
      <c r="Q268" s="1319"/>
      <c r="R268" s="1320">
        <f t="shared" si="52"/>
        <v>0</v>
      </c>
      <c r="S268" s="1316">
        <f t="shared" si="53"/>
        <v>0</v>
      </c>
      <c r="T268" s="712"/>
      <c r="U268" s="713"/>
      <c r="V268" s="714"/>
      <c r="W268" s="398">
        <f t="shared" si="48"/>
        <v>0</v>
      </c>
      <c r="X268" s="712"/>
      <c r="Y268" s="713"/>
      <c r="Z268" s="714"/>
      <c r="AA268" s="398">
        <f t="shared" si="55"/>
        <v>0</v>
      </c>
      <c r="AB268" s="712"/>
      <c r="AC268" s="713"/>
      <c r="AD268" s="714"/>
      <c r="AE268" s="398">
        <f t="shared" si="56"/>
        <v>0</v>
      </c>
      <c r="AF268" s="712"/>
      <c r="AG268" s="713"/>
      <c r="AH268" s="714"/>
      <c r="AI268" s="398">
        <f t="shared" si="57"/>
        <v>0</v>
      </c>
      <c r="AJ268" s="712"/>
      <c r="AK268" s="713"/>
      <c r="AL268" s="714"/>
      <c r="AM268" s="398">
        <f t="shared" si="58"/>
        <v>0</v>
      </c>
    </row>
    <row r="269" spans="1:39" ht="16.5" customHeight="1" x14ac:dyDescent="0.3">
      <c r="A269" s="2162"/>
      <c r="B269" s="1313" t="str">
        <f t="shared" si="54"/>
        <v/>
      </c>
      <c r="C269" s="1011">
        <f>IF($D$2="NO",0,ROUNDDOWN(SUM(PROD!$V$5:V270)/IF(Iniciar!$C$25="kilos",40,1),0)-SUM($C$4:$C268))</f>
        <v>0</v>
      </c>
      <c r="D269" s="702"/>
      <c r="E269" s="702"/>
      <c r="F269" s="300">
        <f t="shared" si="59"/>
        <v>-35000</v>
      </c>
      <c r="G269" s="694"/>
      <c r="H269" s="695"/>
      <c r="I269" s="1314"/>
      <c r="J269" s="1315">
        <f>IF(K$1&gt;0,ROUNDUP(SUM(PROD!AM$5:AM270)/K$1*K$2,0),0)-SUM(J$4:J268)</f>
        <v>0</v>
      </c>
      <c r="K269" s="1316">
        <f t="shared" si="49"/>
        <v>0</v>
      </c>
      <c r="L269" s="1314"/>
      <c r="M269" s="1315">
        <f>IF(N$1&gt;0,ROUNDUP(SUM(PROD!L$5:L270,-PROD!AM$5:AM270,-PROD!AZ$5:AZ270)/N$1*N$2,0),0)-SUM(M$4:M268)</f>
        <v>0</v>
      </c>
      <c r="N269" s="1316">
        <f t="shared" si="50"/>
        <v>0</v>
      </c>
      <c r="O269" s="1317">
        <f t="shared" si="51"/>
        <v>0</v>
      </c>
      <c r="P269" s="1318"/>
      <c r="Q269" s="1319"/>
      <c r="R269" s="1320">
        <f t="shared" si="52"/>
        <v>0</v>
      </c>
      <c r="S269" s="1316">
        <f t="shared" si="53"/>
        <v>0</v>
      </c>
      <c r="T269" s="712"/>
      <c r="U269" s="713"/>
      <c r="V269" s="714"/>
      <c r="W269" s="398">
        <f t="shared" si="48"/>
        <v>0</v>
      </c>
      <c r="X269" s="712"/>
      <c r="Y269" s="713"/>
      <c r="Z269" s="714"/>
      <c r="AA269" s="398">
        <f t="shared" si="55"/>
        <v>0</v>
      </c>
      <c r="AB269" s="712"/>
      <c r="AC269" s="713"/>
      <c r="AD269" s="714"/>
      <c r="AE269" s="398">
        <f t="shared" si="56"/>
        <v>0</v>
      </c>
      <c r="AF269" s="712"/>
      <c r="AG269" s="713"/>
      <c r="AH269" s="714"/>
      <c r="AI269" s="398">
        <f t="shared" si="57"/>
        <v>0</v>
      </c>
      <c r="AJ269" s="712"/>
      <c r="AK269" s="713"/>
      <c r="AL269" s="714"/>
      <c r="AM269" s="398">
        <f t="shared" si="58"/>
        <v>0</v>
      </c>
    </row>
    <row r="270" spans="1:39" ht="16.5" customHeight="1" x14ac:dyDescent="0.3">
      <c r="A270" s="2160">
        <f>A263+1</f>
        <v>56</v>
      </c>
      <c r="B270" s="1313" t="str">
        <f t="shared" si="54"/>
        <v/>
      </c>
      <c r="C270" s="1011">
        <f>IF($D$2="NO",0,ROUNDDOWN(SUM(PROD!$V$5:V271)/IF(Iniciar!$C$25="kilos",40,1),0)-SUM($C$4:$C269))</f>
        <v>0</v>
      </c>
      <c r="D270" s="702"/>
      <c r="E270" s="702"/>
      <c r="F270" s="300">
        <f t="shared" si="59"/>
        <v>-35000</v>
      </c>
      <c r="G270" s="694"/>
      <c r="H270" s="695"/>
      <c r="I270" s="1314"/>
      <c r="J270" s="1315">
        <f>IF(K$1&gt;0,ROUNDUP(SUM(PROD!AM$5:AM271)/K$1*K$2,0),0)-SUM(J$4:J269)</f>
        <v>0</v>
      </c>
      <c r="K270" s="1316">
        <f t="shared" si="49"/>
        <v>0</v>
      </c>
      <c r="L270" s="1314"/>
      <c r="M270" s="1315">
        <f>IF(N$1&gt;0,ROUNDUP(SUM(PROD!L$5:L271,-PROD!AM$5:AM271,-PROD!AZ$5:AZ271)/N$1*N$2,0),0)-SUM(M$4:M269)</f>
        <v>0</v>
      </c>
      <c r="N270" s="1316">
        <f t="shared" si="50"/>
        <v>0</v>
      </c>
      <c r="O270" s="1317">
        <f t="shared" si="51"/>
        <v>0</v>
      </c>
      <c r="P270" s="1318"/>
      <c r="Q270" s="1319"/>
      <c r="R270" s="1320">
        <f t="shared" si="52"/>
        <v>0</v>
      </c>
      <c r="S270" s="1316">
        <f t="shared" si="53"/>
        <v>0</v>
      </c>
      <c r="T270" s="712"/>
      <c r="U270" s="713"/>
      <c r="V270" s="714"/>
      <c r="W270" s="398">
        <f t="shared" si="48"/>
        <v>0</v>
      </c>
      <c r="X270" s="712"/>
      <c r="Y270" s="713"/>
      <c r="Z270" s="714"/>
      <c r="AA270" s="398">
        <f t="shared" si="55"/>
        <v>0</v>
      </c>
      <c r="AB270" s="712"/>
      <c r="AC270" s="713"/>
      <c r="AD270" s="714"/>
      <c r="AE270" s="398">
        <f t="shared" si="56"/>
        <v>0</v>
      </c>
      <c r="AF270" s="712"/>
      <c r="AG270" s="713"/>
      <c r="AH270" s="714"/>
      <c r="AI270" s="398">
        <f t="shared" si="57"/>
        <v>0</v>
      </c>
      <c r="AJ270" s="712"/>
      <c r="AK270" s="713"/>
      <c r="AL270" s="714"/>
      <c r="AM270" s="398">
        <f t="shared" si="58"/>
        <v>0</v>
      </c>
    </row>
    <row r="271" spans="1:39" ht="15.75" customHeight="1" x14ac:dyDescent="0.3">
      <c r="A271" s="2161"/>
      <c r="B271" s="1313" t="str">
        <f t="shared" si="54"/>
        <v/>
      </c>
      <c r="C271" s="1011">
        <f>IF($D$2="NO",0,ROUNDDOWN(SUM(PROD!$V$5:V272)/IF(Iniciar!$C$25="kilos",40,1),0)-SUM($C$4:$C270))</f>
        <v>0</v>
      </c>
      <c r="D271" s="702"/>
      <c r="E271" s="702"/>
      <c r="F271" s="300">
        <f t="shared" si="59"/>
        <v>-35000</v>
      </c>
      <c r="G271" s="694"/>
      <c r="H271" s="695"/>
      <c r="I271" s="1314"/>
      <c r="J271" s="1315">
        <f>IF(K$1&gt;0,ROUNDUP(SUM(PROD!AM$5:AM272)/K$1*K$2,0),0)-SUM(J$4:J270)</f>
        <v>0</v>
      </c>
      <c r="K271" s="1316">
        <f t="shared" si="49"/>
        <v>0</v>
      </c>
      <c r="L271" s="1314"/>
      <c r="M271" s="1315">
        <f>IF(N$1&gt;0,ROUNDUP(SUM(PROD!L$5:L272,-PROD!AM$5:AM272,-PROD!AZ$5:AZ272)/N$1*N$2,0),0)-SUM(M$4:M270)</f>
        <v>0</v>
      </c>
      <c r="N271" s="1316">
        <f t="shared" si="50"/>
        <v>0</v>
      </c>
      <c r="O271" s="1317">
        <f t="shared" si="51"/>
        <v>0</v>
      </c>
      <c r="P271" s="1318"/>
      <c r="Q271" s="1319"/>
      <c r="R271" s="1320">
        <f t="shared" si="52"/>
        <v>0</v>
      </c>
      <c r="S271" s="1316">
        <f t="shared" si="53"/>
        <v>0</v>
      </c>
      <c r="T271" s="712"/>
      <c r="U271" s="713"/>
      <c r="V271" s="714"/>
      <c r="W271" s="398">
        <f t="shared" si="48"/>
        <v>0</v>
      </c>
      <c r="X271" s="712"/>
      <c r="Y271" s="713"/>
      <c r="Z271" s="714"/>
      <c r="AA271" s="398">
        <f t="shared" si="55"/>
        <v>0</v>
      </c>
      <c r="AB271" s="712"/>
      <c r="AC271" s="713"/>
      <c r="AD271" s="714"/>
      <c r="AE271" s="398">
        <f t="shared" si="56"/>
        <v>0</v>
      </c>
      <c r="AF271" s="712"/>
      <c r="AG271" s="713"/>
      <c r="AH271" s="714"/>
      <c r="AI271" s="398">
        <f t="shared" si="57"/>
        <v>0</v>
      </c>
      <c r="AJ271" s="712"/>
      <c r="AK271" s="713"/>
      <c r="AL271" s="714"/>
      <c r="AM271" s="398">
        <f t="shared" si="58"/>
        <v>0</v>
      </c>
    </row>
    <row r="272" spans="1:39" ht="15.75" customHeight="1" x14ac:dyDescent="0.3">
      <c r="A272" s="2161"/>
      <c r="B272" s="1313" t="str">
        <f t="shared" si="54"/>
        <v/>
      </c>
      <c r="C272" s="1011">
        <f>IF($D$2="NO",0,ROUNDDOWN(SUM(PROD!$V$5:V273)/IF(Iniciar!$C$25="kilos",40,1),0)-SUM($C$4:$C271))</f>
        <v>0</v>
      </c>
      <c r="D272" s="702"/>
      <c r="E272" s="702"/>
      <c r="F272" s="300">
        <f t="shared" si="59"/>
        <v>-35000</v>
      </c>
      <c r="G272" s="694"/>
      <c r="H272" s="695"/>
      <c r="I272" s="1314"/>
      <c r="J272" s="1315">
        <f>IF(K$1&gt;0,ROUNDUP(SUM(PROD!AM$5:AM273)/K$1*K$2,0),0)-SUM(J$4:J271)</f>
        <v>0</v>
      </c>
      <c r="K272" s="1316">
        <f t="shared" si="49"/>
        <v>0</v>
      </c>
      <c r="L272" s="1314"/>
      <c r="M272" s="1315">
        <f>IF(N$1&gt;0,ROUNDUP(SUM(PROD!L$5:L273,-PROD!AM$5:AM273,-PROD!AZ$5:AZ273)/N$1*N$2,0),0)-SUM(M$4:M271)</f>
        <v>0</v>
      </c>
      <c r="N272" s="1316">
        <f t="shared" si="50"/>
        <v>0</v>
      </c>
      <c r="O272" s="1317">
        <f t="shared" si="51"/>
        <v>0</v>
      </c>
      <c r="P272" s="1318"/>
      <c r="Q272" s="1319"/>
      <c r="R272" s="1320">
        <f t="shared" si="52"/>
        <v>0</v>
      </c>
      <c r="S272" s="1316">
        <f t="shared" si="53"/>
        <v>0</v>
      </c>
      <c r="T272" s="712"/>
      <c r="U272" s="713"/>
      <c r="V272" s="714"/>
      <c r="W272" s="398">
        <f t="shared" si="48"/>
        <v>0</v>
      </c>
      <c r="X272" s="712"/>
      <c r="Y272" s="713"/>
      <c r="Z272" s="714"/>
      <c r="AA272" s="398">
        <f t="shared" si="55"/>
        <v>0</v>
      </c>
      <c r="AB272" s="712"/>
      <c r="AC272" s="713"/>
      <c r="AD272" s="714"/>
      <c r="AE272" s="398">
        <f t="shared" si="56"/>
        <v>0</v>
      </c>
      <c r="AF272" s="712"/>
      <c r="AG272" s="713"/>
      <c r="AH272" s="714"/>
      <c r="AI272" s="398">
        <f t="shared" si="57"/>
        <v>0</v>
      </c>
      <c r="AJ272" s="712"/>
      <c r="AK272" s="713"/>
      <c r="AL272" s="714"/>
      <c r="AM272" s="398">
        <f t="shared" si="58"/>
        <v>0</v>
      </c>
    </row>
    <row r="273" spans="1:39" ht="15.75" customHeight="1" x14ac:dyDescent="0.3">
      <c r="A273" s="2161"/>
      <c r="B273" s="1313" t="str">
        <f t="shared" si="54"/>
        <v/>
      </c>
      <c r="C273" s="1011">
        <f>IF($D$2="NO",0,ROUNDDOWN(SUM(PROD!$V$5:V274)/IF(Iniciar!$C$25="kilos",40,1),0)-SUM($C$4:$C272))</f>
        <v>0</v>
      </c>
      <c r="D273" s="702"/>
      <c r="E273" s="702"/>
      <c r="F273" s="300">
        <f t="shared" si="59"/>
        <v>-35000</v>
      </c>
      <c r="G273" s="694"/>
      <c r="H273" s="695"/>
      <c r="I273" s="1314"/>
      <c r="J273" s="1315">
        <f>IF(K$1&gt;0,ROUNDUP(SUM(PROD!AM$5:AM274)/K$1*K$2,0),0)-SUM(J$4:J272)</f>
        <v>0</v>
      </c>
      <c r="K273" s="1316">
        <f t="shared" si="49"/>
        <v>0</v>
      </c>
      <c r="L273" s="1314"/>
      <c r="M273" s="1315">
        <f>IF(N$1&gt;0,ROUNDUP(SUM(PROD!L$5:L274,-PROD!AM$5:AM274,-PROD!AZ$5:AZ274)/N$1*N$2,0),0)-SUM(M$4:M272)</f>
        <v>0</v>
      </c>
      <c r="N273" s="1316">
        <f t="shared" si="50"/>
        <v>0</v>
      </c>
      <c r="O273" s="1317">
        <f t="shared" si="51"/>
        <v>0</v>
      </c>
      <c r="P273" s="1318"/>
      <c r="Q273" s="1319"/>
      <c r="R273" s="1320">
        <f t="shared" si="52"/>
        <v>0</v>
      </c>
      <c r="S273" s="1316">
        <f t="shared" si="53"/>
        <v>0</v>
      </c>
      <c r="T273" s="712"/>
      <c r="U273" s="713"/>
      <c r="V273" s="714"/>
      <c r="W273" s="398">
        <f t="shared" si="48"/>
        <v>0</v>
      </c>
      <c r="X273" s="712"/>
      <c r="Y273" s="713"/>
      <c r="Z273" s="714"/>
      <c r="AA273" s="398">
        <f t="shared" si="55"/>
        <v>0</v>
      </c>
      <c r="AB273" s="712"/>
      <c r="AC273" s="713"/>
      <c r="AD273" s="714"/>
      <c r="AE273" s="398">
        <f t="shared" si="56"/>
        <v>0</v>
      </c>
      <c r="AF273" s="712"/>
      <c r="AG273" s="713"/>
      <c r="AH273" s="714"/>
      <c r="AI273" s="398">
        <f t="shared" si="57"/>
        <v>0</v>
      </c>
      <c r="AJ273" s="712"/>
      <c r="AK273" s="713"/>
      <c r="AL273" s="714"/>
      <c r="AM273" s="398">
        <f t="shared" si="58"/>
        <v>0</v>
      </c>
    </row>
    <row r="274" spans="1:39" ht="15.75" customHeight="1" x14ac:dyDescent="0.3">
      <c r="A274" s="2161"/>
      <c r="B274" s="1313" t="str">
        <f t="shared" si="54"/>
        <v/>
      </c>
      <c r="C274" s="1011">
        <f>IF($D$2="NO",0,ROUNDDOWN(SUM(PROD!$V$5:V275)/IF(Iniciar!$C$25="kilos",40,1),0)-SUM($C$4:$C273))</f>
        <v>0</v>
      </c>
      <c r="D274" s="702"/>
      <c r="E274" s="702"/>
      <c r="F274" s="300">
        <f t="shared" si="59"/>
        <v>-35000</v>
      </c>
      <c r="G274" s="694"/>
      <c r="H274" s="695"/>
      <c r="I274" s="1314"/>
      <c r="J274" s="1315">
        <f>IF(K$1&gt;0,ROUNDUP(SUM(PROD!AM$5:AM275)/K$1*K$2,0),0)-SUM(J$4:J273)</f>
        <v>0</v>
      </c>
      <c r="K274" s="1316">
        <f t="shared" si="49"/>
        <v>0</v>
      </c>
      <c r="L274" s="1314"/>
      <c r="M274" s="1315">
        <f>IF(N$1&gt;0,ROUNDUP(SUM(PROD!L$5:L275,-PROD!AM$5:AM275,-PROD!AZ$5:AZ275)/N$1*N$2,0),0)-SUM(M$4:M273)</f>
        <v>0</v>
      </c>
      <c r="N274" s="1316">
        <f t="shared" si="50"/>
        <v>0</v>
      </c>
      <c r="O274" s="1317">
        <f t="shared" si="51"/>
        <v>0</v>
      </c>
      <c r="P274" s="1318"/>
      <c r="Q274" s="1319"/>
      <c r="R274" s="1320">
        <f t="shared" si="52"/>
        <v>0</v>
      </c>
      <c r="S274" s="1316">
        <f t="shared" si="53"/>
        <v>0</v>
      </c>
      <c r="T274" s="712"/>
      <c r="U274" s="713"/>
      <c r="V274" s="714"/>
      <c r="W274" s="398">
        <f t="shared" ref="W274:W337" si="60">W273+U274-V274</f>
        <v>0</v>
      </c>
      <c r="X274" s="712"/>
      <c r="Y274" s="713"/>
      <c r="Z274" s="714"/>
      <c r="AA274" s="398">
        <f t="shared" si="55"/>
        <v>0</v>
      </c>
      <c r="AB274" s="712"/>
      <c r="AC274" s="713"/>
      <c r="AD274" s="714"/>
      <c r="AE274" s="398">
        <f t="shared" si="56"/>
        <v>0</v>
      </c>
      <c r="AF274" s="712"/>
      <c r="AG274" s="713"/>
      <c r="AH274" s="714"/>
      <c r="AI274" s="398">
        <f t="shared" si="57"/>
        <v>0</v>
      </c>
      <c r="AJ274" s="712"/>
      <c r="AK274" s="713"/>
      <c r="AL274" s="714"/>
      <c r="AM274" s="398">
        <f t="shared" si="58"/>
        <v>0</v>
      </c>
    </row>
    <row r="275" spans="1:39" ht="15.75" customHeight="1" x14ac:dyDescent="0.3">
      <c r="A275" s="2161"/>
      <c r="B275" s="1313" t="str">
        <f t="shared" si="54"/>
        <v/>
      </c>
      <c r="C275" s="1011">
        <f>IF($D$2="NO",0,ROUNDDOWN(SUM(PROD!$V$5:V276)/IF(Iniciar!$C$25="kilos",40,1),0)-SUM($C$4:$C274))</f>
        <v>0</v>
      </c>
      <c r="D275" s="702"/>
      <c r="E275" s="702"/>
      <c r="F275" s="300">
        <f t="shared" si="59"/>
        <v>-35000</v>
      </c>
      <c r="G275" s="694"/>
      <c r="H275" s="695"/>
      <c r="I275" s="1314"/>
      <c r="J275" s="1315">
        <f>IF(K$1&gt;0,ROUNDUP(SUM(PROD!AM$5:AM276)/K$1*K$2,0),0)-SUM(J$4:J274)</f>
        <v>0</v>
      </c>
      <c r="K275" s="1316">
        <f t="shared" si="49"/>
        <v>0</v>
      </c>
      <c r="L275" s="1314"/>
      <c r="M275" s="1315">
        <f>IF(N$1&gt;0,ROUNDUP(SUM(PROD!L$5:L276,-PROD!AM$5:AM276,-PROD!AZ$5:AZ276)/N$1*N$2,0),0)-SUM(M$4:M274)</f>
        <v>0</v>
      </c>
      <c r="N275" s="1316">
        <f t="shared" si="50"/>
        <v>0</v>
      </c>
      <c r="O275" s="1317">
        <f t="shared" si="51"/>
        <v>0</v>
      </c>
      <c r="P275" s="1318"/>
      <c r="Q275" s="1319"/>
      <c r="R275" s="1320">
        <f t="shared" si="52"/>
        <v>0</v>
      </c>
      <c r="S275" s="1316">
        <f t="shared" si="53"/>
        <v>0</v>
      </c>
      <c r="T275" s="712"/>
      <c r="U275" s="713"/>
      <c r="V275" s="714"/>
      <c r="W275" s="398">
        <f t="shared" si="60"/>
        <v>0</v>
      </c>
      <c r="X275" s="712"/>
      <c r="Y275" s="713"/>
      <c r="Z275" s="714"/>
      <c r="AA275" s="398">
        <f t="shared" si="55"/>
        <v>0</v>
      </c>
      <c r="AB275" s="712"/>
      <c r="AC275" s="713"/>
      <c r="AD275" s="714"/>
      <c r="AE275" s="398">
        <f t="shared" si="56"/>
        <v>0</v>
      </c>
      <c r="AF275" s="712"/>
      <c r="AG275" s="713"/>
      <c r="AH275" s="714"/>
      <c r="AI275" s="398">
        <f t="shared" si="57"/>
        <v>0</v>
      </c>
      <c r="AJ275" s="712"/>
      <c r="AK275" s="713"/>
      <c r="AL275" s="714"/>
      <c r="AM275" s="398">
        <f t="shared" si="58"/>
        <v>0</v>
      </c>
    </row>
    <row r="276" spans="1:39" ht="16.5" customHeight="1" x14ac:dyDescent="0.3">
      <c r="A276" s="2162"/>
      <c r="B276" s="1313" t="str">
        <f t="shared" si="54"/>
        <v/>
      </c>
      <c r="C276" s="1011">
        <f>IF($D$2="NO",0,ROUNDDOWN(SUM(PROD!$V$5:V277)/IF(Iniciar!$C$25="kilos",40,1),0)-SUM($C$4:$C275))</f>
        <v>0</v>
      </c>
      <c r="D276" s="702"/>
      <c r="E276" s="702"/>
      <c r="F276" s="300">
        <f t="shared" si="59"/>
        <v>-35000</v>
      </c>
      <c r="G276" s="694"/>
      <c r="H276" s="695"/>
      <c r="I276" s="1314"/>
      <c r="J276" s="1315">
        <f>IF(K$1&gt;0,ROUNDUP(SUM(PROD!AM$5:AM277)/K$1*K$2,0),0)-SUM(J$4:J275)</f>
        <v>0</v>
      </c>
      <c r="K276" s="1316">
        <f t="shared" si="49"/>
        <v>0</v>
      </c>
      <c r="L276" s="1314"/>
      <c r="M276" s="1315">
        <f>IF(N$1&gt;0,ROUNDUP(SUM(PROD!L$5:L277,-PROD!AM$5:AM277,-PROD!AZ$5:AZ277)/N$1*N$2,0),0)-SUM(M$4:M275)</f>
        <v>0</v>
      </c>
      <c r="N276" s="1316">
        <f t="shared" si="50"/>
        <v>0</v>
      </c>
      <c r="O276" s="1317">
        <f t="shared" si="51"/>
        <v>0</v>
      </c>
      <c r="P276" s="1318"/>
      <c r="Q276" s="1319"/>
      <c r="R276" s="1320">
        <f t="shared" si="52"/>
        <v>0</v>
      </c>
      <c r="S276" s="1316">
        <f t="shared" si="53"/>
        <v>0</v>
      </c>
      <c r="T276" s="712"/>
      <c r="U276" s="713"/>
      <c r="V276" s="714"/>
      <c r="W276" s="398">
        <f t="shared" si="60"/>
        <v>0</v>
      </c>
      <c r="X276" s="712"/>
      <c r="Y276" s="713"/>
      <c r="Z276" s="714"/>
      <c r="AA276" s="398">
        <f t="shared" si="55"/>
        <v>0</v>
      </c>
      <c r="AB276" s="712"/>
      <c r="AC276" s="713"/>
      <c r="AD276" s="714"/>
      <c r="AE276" s="398">
        <f t="shared" si="56"/>
        <v>0</v>
      </c>
      <c r="AF276" s="712"/>
      <c r="AG276" s="713"/>
      <c r="AH276" s="714"/>
      <c r="AI276" s="398">
        <f t="shared" si="57"/>
        <v>0</v>
      </c>
      <c r="AJ276" s="712"/>
      <c r="AK276" s="713"/>
      <c r="AL276" s="714"/>
      <c r="AM276" s="398">
        <f t="shared" si="58"/>
        <v>0</v>
      </c>
    </row>
    <row r="277" spans="1:39" ht="16.5" customHeight="1" x14ac:dyDescent="0.3">
      <c r="A277" s="2160">
        <f>A270+1</f>
        <v>57</v>
      </c>
      <c r="B277" s="1313" t="str">
        <f t="shared" si="54"/>
        <v/>
      </c>
      <c r="C277" s="1011">
        <f>IF($D$2="NO",0,ROUNDDOWN(SUM(PROD!$V$5:V278)/IF(Iniciar!$C$25="kilos",40,1),0)-SUM($C$4:$C276))</f>
        <v>0</v>
      </c>
      <c r="D277" s="702"/>
      <c r="E277" s="702">
        <v>20000</v>
      </c>
      <c r="F277" s="300">
        <f t="shared" si="59"/>
        <v>-55000</v>
      </c>
      <c r="G277" s="694"/>
      <c r="H277" s="695"/>
      <c r="I277" s="1314"/>
      <c r="J277" s="1315">
        <f>IF(K$1&gt;0,ROUNDUP(SUM(PROD!AM$5:AM278)/K$1*K$2,0),0)-SUM(J$4:J276)</f>
        <v>0</v>
      </c>
      <c r="K277" s="1316">
        <f t="shared" si="49"/>
        <v>0</v>
      </c>
      <c r="L277" s="1314"/>
      <c r="M277" s="1315">
        <f>IF(N$1&gt;0,ROUNDUP(SUM(PROD!L$5:L278,-PROD!AM$5:AM278,-PROD!AZ$5:AZ278)/N$1*N$2,0),0)-SUM(M$4:M276)</f>
        <v>0</v>
      </c>
      <c r="N277" s="1316">
        <f t="shared" si="50"/>
        <v>0</v>
      </c>
      <c r="O277" s="1317">
        <f t="shared" si="51"/>
        <v>0</v>
      </c>
      <c r="P277" s="1318"/>
      <c r="Q277" s="1319"/>
      <c r="R277" s="1320">
        <f t="shared" si="52"/>
        <v>0</v>
      </c>
      <c r="S277" s="1316">
        <f t="shared" si="53"/>
        <v>0</v>
      </c>
      <c r="T277" s="712"/>
      <c r="U277" s="713"/>
      <c r="V277" s="714"/>
      <c r="W277" s="398">
        <f t="shared" si="60"/>
        <v>0</v>
      </c>
      <c r="X277" s="712"/>
      <c r="Y277" s="713"/>
      <c r="Z277" s="714"/>
      <c r="AA277" s="398">
        <f t="shared" si="55"/>
        <v>0</v>
      </c>
      <c r="AB277" s="712"/>
      <c r="AC277" s="713"/>
      <c r="AD277" s="714"/>
      <c r="AE277" s="398">
        <f t="shared" si="56"/>
        <v>0</v>
      </c>
      <c r="AF277" s="712"/>
      <c r="AG277" s="713"/>
      <c r="AH277" s="714"/>
      <c r="AI277" s="398">
        <f t="shared" si="57"/>
        <v>0</v>
      </c>
      <c r="AJ277" s="712"/>
      <c r="AK277" s="713"/>
      <c r="AL277" s="714"/>
      <c r="AM277" s="398">
        <f t="shared" si="58"/>
        <v>0</v>
      </c>
    </row>
    <row r="278" spans="1:39" ht="15.75" customHeight="1" x14ac:dyDescent="0.3">
      <c r="A278" s="2161"/>
      <c r="B278" s="1313" t="str">
        <f t="shared" si="54"/>
        <v/>
      </c>
      <c r="C278" s="1011">
        <f>IF($D$2="NO",0,ROUNDDOWN(SUM(PROD!$V$5:V279)/IF(Iniciar!$C$25="kilos",40,1),0)-SUM($C$4:$C277))</f>
        <v>0</v>
      </c>
      <c r="D278" s="702"/>
      <c r="E278" s="702"/>
      <c r="F278" s="300">
        <f t="shared" si="59"/>
        <v>-55000</v>
      </c>
      <c r="G278" s="694"/>
      <c r="H278" s="695"/>
      <c r="I278" s="1314"/>
      <c r="J278" s="1315">
        <f>IF(K$1&gt;0,ROUNDUP(SUM(PROD!AM$5:AM279)/K$1*K$2,0),0)-SUM(J$4:J277)</f>
        <v>0</v>
      </c>
      <c r="K278" s="1316">
        <f t="shared" si="49"/>
        <v>0</v>
      </c>
      <c r="L278" s="1314"/>
      <c r="M278" s="1315">
        <f>IF(N$1&gt;0,ROUNDUP(SUM(PROD!L$5:L279,-PROD!AM$5:AM279,-PROD!AZ$5:AZ279)/N$1*N$2,0),0)-SUM(M$4:M277)</f>
        <v>0</v>
      </c>
      <c r="N278" s="1316">
        <f t="shared" si="50"/>
        <v>0</v>
      </c>
      <c r="O278" s="1317">
        <f t="shared" si="51"/>
        <v>0</v>
      </c>
      <c r="P278" s="1318"/>
      <c r="Q278" s="1319"/>
      <c r="R278" s="1320">
        <f t="shared" si="52"/>
        <v>0</v>
      </c>
      <c r="S278" s="1316">
        <f t="shared" si="53"/>
        <v>0</v>
      </c>
      <c r="T278" s="712"/>
      <c r="U278" s="713"/>
      <c r="V278" s="714"/>
      <c r="W278" s="398">
        <f t="shared" si="60"/>
        <v>0</v>
      </c>
      <c r="X278" s="712"/>
      <c r="Y278" s="713"/>
      <c r="Z278" s="714"/>
      <c r="AA278" s="398">
        <f t="shared" si="55"/>
        <v>0</v>
      </c>
      <c r="AB278" s="712"/>
      <c r="AC278" s="713"/>
      <c r="AD278" s="714"/>
      <c r="AE278" s="398">
        <f t="shared" si="56"/>
        <v>0</v>
      </c>
      <c r="AF278" s="712"/>
      <c r="AG278" s="713"/>
      <c r="AH278" s="714"/>
      <c r="AI278" s="398">
        <f t="shared" si="57"/>
        <v>0</v>
      </c>
      <c r="AJ278" s="712"/>
      <c r="AK278" s="713"/>
      <c r="AL278" s="714"/>
      <c r="AM278" s="398">
        <f t="shared" si="58"/>
        <v>0</v>
      </c>
    </row>
    <row r="279" spans="1:39" ht="15.75" customHeight="1" x14ac:dyDescent="0.3">
      <c r="A279" s="2161"/>
      <c r="B279" s="1313" t="str">
        <f t="shared" si="54"/>
        <v/>
      </c>
      <c r="C279" s="1011">
        <f>IF($D$2="NO",0,ROUNDDOWN(SUM(PROD!$V$5:V280)/IF(Iniciar!$C$25="kilos",40,1),0)-SUM($C$4:$C278))</f>
        <v>0</v>
      </c>
      <c r="D279" s="702"/>
      <c r="E279" s="702"/>
      <c r="F279" s="300">
        <f t="shared" si="59"/>
        <v>-55000</v>
      </c>
      <c r="G279" s="694"/>
      <c r="H279" s="695"/>
      <c r="I279" s="1314"/>
      <c r="J279" s="1315">
        <f>IF(K$1&gt;0,ROUNDUP(SUM(PROD!AM$5:AM280)/K$1*K$2,0),0)-SUM(J$4:J278)</f>
        <v>0</v>
      </c>
      <c r="K279" s="1316">
        <f t="shared" si="49"/>
        <v>0</v>
      </c>
      <c r="L279" s="1314"/>
      <c r="M279" s="1315">
        <f>IF(N$1&gt;0,ROUNDUP(SUM(PROD!L$5:L280,-PROD!AM$5:AM280,-PROD!AZ$5:AZ280)/N$1*N$2,0),0)-SUM(M$4:M278)</f>
        <v>0</v>
      </c>
      <c r="N279" s="1316">
        <f t="shared" si="50"/>
        <v>0</v>
      </c>
      <c r="O279" s="1317">
        <f t="shared" si="51"/>
        <v>0</v>
      </c>
      <c r="P279" s="1318"/>
      <c r="Q279" s="1319"/>
      <c r="R279" s="1320">
        <f t="shared" si="52"/>
        <v>0</v>
      </c>
      <c r="S279" s="1316">
        <f t="shared" si="53"/>
        <v>0</v>
      </c>
      <c r="T279" s="712"/>
      <c r="U279" s="713"/>
      <c r="V279" s="714"/>
      <c r="W279" s="398">
        <f t="shared" si="60"/>
        <v>0</v>
      </c>
      <c r="X279" s="712"/>
      <c r="Y279" s="713"/>
      <c r="Z279" s="714"/>
      <c r="AA279" s="398">
        <f t="shared" si="55"/>
        <v>0</v>
      </c>
      <c r="AB279" s="712"/>
      <c r="AC279" s="713"/>
      <c r="AD279" s="714"/>
      <c r="AE279" s="398">
        <f t="shared" si="56"/>
        <v>0</v>
      </c>
      <c r="AF279" s="712"/>
      <c r="AG279" s="713"/>
      <c r="AH279" s="714"/>
      <c r="AI279" s="398">
        <f t="shared" si="57"/>
        <v>0</v>
      </c>
      <c r="AJ279" s="712"/>
      <c r="AK279" s="713"/>
      <c r="AL279" s="714"/>
      <c r="AM279" s="398">
        <f t="shared" si="58"/>
        <v>0</v>
      </c>
    </row>
    <row r="280" spans="1:39" ht="15.75" customHeight="1" x14ac:dyDescent="0.3">
      <c r="A280" s="2161"/>
      <c r="B280" s="1313" t="str">
        <f t="shared" si="54"/>
        <v/>
      </c>
      <c r="C280" s="1011">
        <f>IF($D$2="NO",0,ROUNDDOWN(SUM(PROD!$V$5:V281)/IF(Iniciar!$C$25="kilos",40,1),0)-SUM($C$4:$C279))</f>
        <v>0</v>
      </c>
      <c r="D280" s="702"/>
      <c r="E280" s="702"/>
      <c r="F280" s="300">
        <f t="shared" si="59"/>
        <v>-55000</v>
      </c>
      <c r="G280" s="694"/>
      <c r="H280" s="695"/>
      <c r="I280" s="1314"/>
      <c r="J280" s="1315">
        <f>IF(K$1&gt;0,ROUNDUP(SUM(PROD!AM$5:AM281)/K$1*K$2,0),0)-SUM(J$4:J279)</f>
        <v>0</v>
      </c>
      <c r="K280" s="1316">
        <f t="shared" si="49"/>
        <v>0</v>
      </c>
      <c r="L280" s="1314"/>
      <c r="M280" s="1315">
        <f>IF(N$1&gt;0,ROUNDUP(SUM(PROD!L$5:L281,-PROD!AM$5:AM281,-PROD!AZ$5:AZ281)/N$1*N$2,0),0)-SUM(M$4:M279)</f>
        <v>0</v>
      </c>
      <c r="N280" s="1316">
        <f t="shared" si="50"/>
        <v>0</v>
      </c>
      <c r="O280" s="1317">
        <f t="shared" si="51"/>
        <v>0</v>
      </c>
      <c r="P280" s="1318"/>
      <c r="Q280" s="1319"/>
      <c r="R280" s="1320">
        <f t="shared" si="52"/>
        <v>0</v>
      </c>
      <c r="S280" s="1316">
        <f t="shared" si="53"/>
        <v>0</v>
      </c>
      <c r="T280" s="712"/>
      <c r="U280" s="713"/>
      <c r="V280" s="714"/>
      <c r="W280" s="398">
        <f t="shared" si="60"/>
        <v>0</v>
      </c>
      <c r="X280" s="712"/>
      <c r="Y280" s="713"/>
      <c r="Z280" s="714"/>
      <c r="AA280" s="398">
        <f t="shared" si="55"/>
        <v>0</v>
      </c>
      <c r="AB280" s="712"/>
      <c r="AC280" s="713"/>
      <c r="AD280" s="714"/>
      <c r="AE280" s="398">
        <f t="shared" si="56"/>
        <v>0</v>
      </c>
      <c r="AF280" s="712"/>
      <c r="AG280" s="713"/>
      <c r="AH280" s="714"/>
      <c r="AI280" s="398">
        <f t="shared" si="57"/>
        <v>0</v>
      </c>
      <c r="AJ280" s="712"/>
      <c r="AK280" s="713"/>
      <c r="AL280" s="714"/>
      <c r="AM280" s="398">
        <f t="shared" si="58"/>
        <v>0</v>
      </c>
    </row>
    <row r="281" spans="1:39" ht="15.75" customHeight="1" x14ac:dyDescent="0.3">
      <c r="A281" s="2161"/>
      <c r="B281" s="1313" t="str">
        <f t="shared" si="54"/>
        <v/>
      </c>
      <c r="C281" s="1011">
        <f>IF($D$2="NO",0,ROUNDDOWN(SUM(PROD!$V$5:V282)/IF(Iniciar!$C$25="kilos",40,1),0)-SUM($C$4:$C280))</f>
        <v>0</v>
      </c>
      <c r="D281" s="702"/>
      <c r="E281" s="702"/>
      <c r="F281" s="300">
        <f t="shared" si="59"/>
        <v>-55000</v>
      </c>
      <c r="G281" s="694"/>
      <c r="H281" s="695"/>
      <c r="I281" s="1314"/>
      <c r="J281" s="1315">
        <f>IF(K$1&gt;0,ROUNDUP(SUM(PROD!AM$5:AM282)/K$1*K$2,0),0)-SUM(J$4:J280)</f>
        <v>0</v>
      </c>
      <c r="K281" s="1316">
        <f t="shared" si="49"/>
        <v>0</v>
      </c>
      <c r="L281" s="1314"/>
      <c r="M281" s="1315">
        <f>IF(N$1&gt;0,ROUNDUP(SUM(PROD!L$5:L282,-PROD!AM$5:AM282,-PROD!AZ$5:AZ282)/N$1*N$2,0),0)-SUM(M$4:M280)</f>
        <v>0</v>
      </c>
      <c r="N281" s="1316">
        <f t="shared" si="50"/>
        <v>0</v>
      </c>
      <c r="O281" s="1317">
        <f t="shared" si="51"/>
        <v>0</v>
      </c>
      <c r="P281" s="1318"/>
      <c r="Q281" s="1319"/>
      <c r="R281" s="1320">
        <f t="shared" si="52"/>
        <v>0</v>
      </c>
      <c r="S281" s="1316">
        <f t="shared" si="53"/>
        <v>0</v>
      </c>
      <c r="T281" s="712"/>
      <c r="U281" s="713"/>
      <c r="V281" s="714"/>
      <c r="W281" s="398">
        <f t="shared" si="60"/>
        <v>0</v>
      </c>
      <c r="X281" s="712"/>
      <c r="Y281" s="713"/>
      <c r="Z281" s="714"/>
      <c r="AA281" s="398">
        <f t="shared" si="55"/>
        <v>0</v>
      </c>
      <c r="AB281" s="712"/>
      <c r="AC281" s="713"/>
      <c r="AD281" s="714"/>
      <c r="AE281" s="398">
        <f t="shared" si="56"/>
        <v>0</v>
      </c>
      <c r="AF281" s="712"/>
      <c r="AG281" s="713"/>
      <c r="AH281" s="714"/>
      <c r="AI281" s="398">
        <f t="shared" si="57"/>
        <v>0</v>
      </c>
      <c r="AJ281" s="712"/>
      <c r="AK281" s="713"/>
      <c r="AL281" s="714"/>
      <c r="AM281" s="398">
        <f t="shared" si="58"/>
        <v>0</v>
      </c>
    </row>
    <row r="282" spans="1:39" ht="15.75" customHeight="1" x14ac:dyDescent="0.3">
      <c r="A282" s="2161"/>
      <c r="B282" s="1313" t="str">
        <f t="shared" si="54"/>
        <v/>
      </c>
      <c r="C282" s="1011">
        <f>IF($D$2="NO",0,ROUNDDOWN(SUM(PROD!$V$5:V283)/IF(Iniciar!$C$25="kilos",40,1),0)-SUM($C$4:$C281))</f>
        <v>0</v>
      </c>
      <c r="D282" s="702"/>
      <c r="E282" s="702"/>
      <c r="F282" s="300">
        <f t="shared" si="59"/>
        <v>-55000</v>
      </c>
      <c r="G282" s="694"/>
      <c r="H282" s="695"/>
      <c r="I282" s="1314"/>
      <c r="J282" s="1315">
        <f>IF(K$1&gt;0,ROUNDUP(SUM(PROD!AM$5:AM283)/K$1*K$2,0),0)-SUM(J$4:J281)</f>
        <v>0</v>
      </c>
      <c r="K282" s="1316">
        <f t="shared" si="49"/>
        <v>0</v>
      </c>
      <c r="L282" s="1314"/>
      <c r="M282" s="1315">
        <f>IF(N$1&gt;0,ROUNDUP(SUM(PROD!L$5:L283,-PROD!AM$5:AM283,-PROD!AZ$5:AZ283)/N$1*N$2,0),0)-SUM(M$4:M281)</f>
        <v>0</v>
      </c>
      <c r="N282" s="1316">
        <f t="shared" si="50"/>
        <v>0</v>
      </c>
      <c r="O282" s="1317">
        <f t="shared" si="51"/>
        <v>0</v>
      </c>
      <c r="P282" s="1318"/>
      <c r="Q282" s="1319"/>
      <c r="R282" s="1320">
        <f t="shared" si="52"/>
        <v>0</v>
      </c>
      <c r="S282" s="1316">
        <f t="shared" si="53"/>
        <v>0</v>
      </c>
      <c r="T282" s="712"/>
      <c r="U282" s="713"/>
      <c r="V282" s="714"/>
      <c r="W282" s="398">
        <f t="shared" si="60"/>
        <v>0</v>
      </c>
      <c r="X282" s="712"/>
      <c r="Y282" s="713"/>
      <c r="Z282" s="714"/>
      <c r="AA282" s="398">
        <f t="shared" si="55"/>
        <v>0</v>
      </c>
      <c r="AB282" s="712"/>
      <c r="AC282" s="713"/>
      <c r="AD282" s="714"/>
      <c r="AE282" s="398">
        <f t="shared" si="56"/>
        <v>0</v>
      </c>
      <c r="AF282" s="712"/>
      <c r="AG282" s="713"/>
      <c r="AH282" s="714"/>
      <c r="AI282" s="398">
        <f t="shared" si="57"/>
        <v>0</v>
      </c>
      <c r="AJ282" s="712"/>
      <c r="AK282" s="713"/>
      <c r="AL282" s="714"/>
      <c r="AM282" s="398">
        <f t="shared" si="58"/>
        <v>0</v>
      </c>
    </row>
    <row r="283" spans="1:39" ht="16.5" customHeight="1" x14ac:dyDescent="0.3">
      <c r="A283" s="2162"/>
      <c r="B283" s="1313" t="str">
        <f t="shared" si="54"/>
        <v/>
      </c>
      <c r="C283" s="1011">
        <f>IF($D$2="NO",0,ROUNDDOWN(SUM(PROD!$V$5:V284)/IF(Iniciar!$C$25="kilos",40,1),0)-SUM($C$4:$C282))</f>
        <v>0</v>
      </c>
      <c r="D283" s="702"/>
      <c r="E283" s="702"/>
      <c r="F283" s="300">
        <f t="shared" si="59"/>
        <v>-55000</v>
      </c>
      <c r="G283" s="694"/>
      <c r="H283" s="695"/>
      <c r="I283" s="1314"/>
      <c r="J283" s="1315">
        <f>IF(K$1&gt;0,ROUNDUP(SUM(PROD!AM$5:AM284)/K$1*K$2,0),0)-SUM(J$4:J282)</f>
        <v>0</v>
      </c>
      <c r="K283" s="1316">
        <f t="shared" si="49"/>
        <v>0</v>
      </c>
      <c r="L283" s="1314"/>
      <c r="M283" s="1315">
        <f>IF(N$1&gt;0,ROUNDUP(SUM(PROD!L$5:L284,-PROD!AM$5:AM284,-PROD!AZ$5:AZ284)/N$1*N$2,0),0)-SUM(M$4:M282)</f>
        <v>0</v>
      </c>
      <c r="N283" s="1316">
        <f t="shared" si="50"/>
        <v>0</v>
      </c>
      <c r="O283" s="1317">
        <f t="shared" si="51"/>
        <v>0</v>
      </c>
      <c r="P283" s="1318"/>
      <c r="Q283" s="1319"/>
      <c r="R283" s="1320">
        <f t="shared" si="52"/>
        <v>0</v>
      </c>
      <c r="S283" s="1316">
        <f t="shared" si="53"/>
        <v>0</v>
      </c>
      <c r="T283" s="712"/>
      <c r="U283" s="713"/>
      <c r="V283" s="714"/>
      <c r="W283" s="398">
        <f t="shared" si="60"/>
        <v>0</v>
      </c>
      <c r="X283" s="712"/>
      <c r="Y283" s="713"/>
      <c r="Z283" s="714"/>
      <c r="AA283" s="398">
        <f t="shared" si="55"/>
        <v>0</v>
      </c>
      <c r="AB283" s="712"/>
      <c r="AC283" s="713"/>
      <c r="AD283" s="714"/>
      <c r="AE283" s="398">
        <f t="shared" si="56"/>
        <v>0</v>
      </c>
      <c r="AF283" s="712"/>
      <c r="AG283" s="713"/>
      <c r="AH283" s="714"/>
      <c r="AI283" s="398">
        <f t="shared" si="57"/>
        <v>0</v>
      </c>
      <c r="AJ283" s="712"/>
      <c r="AK283" s="713"/>
      <c r="AL283" s="714"/>
      <c r="AM283" s="398">
        <f t="shared" si="58"/>
        <v>0</v>
      </c>
    </row>
    <row r="284" spans="1:39" ht="16.5" customHeight="1" x14ac:dyDescent="0.3">
      <c r="A284" s="2160">
        <f>A277+1</f>
        <v>58</v>
      </c>
      <c r="B284" s="1313" t="str">
        <f t="shared" si="54"/>
        <v/>
      </c>
      <c r="C284" s="1011">
        <f>IF($D$2="NO",0,ROUNDDOWN(SUM(PROD!$V$5:V285)/IF(Iniciar!$C$25="kilos",40,1),0)-SUM($C$4:$C283))</f>
        <v>0</v>
      </c>
      <c r="D284" s="702"/>
      <c r="E284" s="702"/>
      <c r="F284" s="300">
        <f t="shared" si="59"/>
        <v>-55000</v>
      </c>
      <c r="G284" s="694"/>
      <c r="H284" s="695"/>
      <c r="I284" s="1314"/>
      <c r="J284" s="1315">
        <f>IF(K$1&gt;0,ROUNDUP(SUM(PROD!AM$5:AM285)/K$1*K$2,0),0)-SUM(J$4:J283)</f>
        <v>0</v>
      </c>
      <c r="K284" s="1316">
        <f t="shared" ref="K284:K347" si="61">K283+I284-J284</f>
        <v>0</v>
      </c>
      <c r="L284" s="1314"/>
      <c r="M284" s="1315">
        <f>IF(N$1&gt;0,ROUNDUP(SUM(PROD!L$5:L285,-PROD!AM$5:AM285,-PROD!AZ$5:AZ285)/N$1*N$2,0),0)-SUM(M$4:M283)</f>
        <v>0</v>
      </c>
      <c r="N284" s="1316">
        <f t="shared" ref="N284:N347" si="62">N283+L284-M284</f>
        <v>0</v>
      </c>
      <c r="O284" s="1317">
        <f t="shared" si="51"/>
        <v>0</v>
      </c>
      <c r="P284" s="1318"/>
      <c r="Q284" s="1319"/>
      <c r="R284" s="1320">
        <f t="shared" si="52"/>
        <v>0</v>
      </c>
      <c r="S284" s="1316">
        <f t="shared" si="53"/>
        <v>0</v>
      </c>
      <c r="T284" s="712"/>
      <c r="U284" s="713"/>
      <c r="V284" s="714"/>
      <c r="W284" s="398">
        <f t="shared" si="60"/>
        <v>0</v>
      </c>
      <c r="X284" s="712"/>
      <c r="Y284" s="713"/>
      <c r="Z284" s="714"/>
      <c r="AA284" s="398">
        <f t="shared" si="55"/>
        <v>0</v>
      </c>
      <c r="AB284" s="712"/>
      <c r="AC284" s="713"/>
      <c r="AD284" s="714"/>
      <c r="AE284" s="398">
        <f t="shared" si="56"/>
        <v>0</v>
      </c>
      <c r="AF284" s="712"/>
      <c r="AG284" s="713"/>
      <c r="AH284" s="714"/>
      <c r="AI284" s="398">
        <f t="shared" si="57"/>
        <v>0</v>
      </c>
      <c r="AJ284" s="712"/>
      <c r="AK284" s="713"/>
      <c r="AL284" s="714"/>
      <c r="AM284" s="398">
        <f t="shared" si="58"/>
        <v>0</v>
      </c>
    </row>
    <row r="285" spans="1:39" ht="15.75" customHeight="1" x14ac:dyDescent="0.3">
      <c r="A285" s="2161"/>
      <c r="B285" s="1313" t="str">
        <f t="shared" si="54"/>
        <v/>
      </c>
      <c r="C285" s="1011">
        <f>IF($D$2="NO",0,ROUNDDOWN(SUM(PROD!$V$5:V286)/IF(Iniciar!$C$25="kilos",40,1),0)-SUM($C$4:$C284))</f>
        <v>0</v>
      </c>
      <c r="D285" s="702"/>
      <c r="E285" s="702"/>
      <c r="F285" s="300">
        <f t="shared" si="59"/>
        <v>-55000</v>
      </c>
      <c r="G285" s="694"/>
      <c r="H285" s="695"/>
      <c r="I285" s="1314"/>
      <c r="J285" s="1315">
        <f>IF(K$1&gt;0,ROUNDUP(SUM(PROD!AM$5:AM286)/K$1*K$2,0),0)-SUM(J$4:J284)</f>
        <v>0</v>
      </c>
      <c r="K285" s="1316">
        <f t="shared" si="61"/>
        <v>0</v>
      </c>
      <c r="L285" s="1314"/>
      <c r="M285" s="1315">
        <f>IF(N$1&gt;0,ROUNDUP(SUM(PROD!L$5:L286,-PROD!AM$5:AM286,-PROD!AZ$5:AZ286)/N$1*N$2,0),0)-SUM(M$4:M284)</f>
        <v>0</v>
      </c>
      <c r="N285" s="1316">
        <f t="shared" si="62"/>
        <v>0</v>
      </c>
      <c r="O285" s="1317">
        <f t="shared" si="51"/>
        <v>0</v>
      </c>
      <c r="P285" s="1318"/>
      <c r="Q285" s="1319"/>
      <c r="R285" s="1320">
        <f t="shared" si="52"/>
        <v>0</v>
      </c>
      <c r="S285" s="1316">
        <f t="shared" si="53"/>
        <v>0</v>
      </c>
      <c r="T285" s="712"/>
      <c r="U285" s="713"/>
      <c r="V285" s="714"/>
      <c r="W285" s="398">
        <f t="shared" si="60"/>
        <v>0</v>
      </c>
      <c r="X285" s="712"/>
      <c r="Y285" s="713"/>
      <c r="Z285" s="714"/>
      <c r="AA285" s="398">
        <f t="shared" si="55"/>
        <v>0</v>
      </c>
      <c r="AB285" s="712"/>
      <c r="AC285" s="713"/>
      <c r="AD285" s="714"/>
      <c r="AE285" s="398">
        <f t="shared" si="56"/>
        <v>0</v>
      </c>
      <c r="AF285" s="712"/>
      <c r="AG285" s="713"/>
      <c r="AH285" s="714"/>
      <c r="AI285" s="398">
        <f t="shared" si="57"/>
        <v>0</v>
      </c>
      <c r="AJ285" s="712"/>
      <c r="AK285" s="713"/>
      <c r="AL285" s="714"/>
      <c r="AM285" s="398">
        <f t="shared" si="58"/>
        <v>0</v>
      </c>
    </row>
    <row r="286" spans="1:39" ht="15.75" customHeight="1" x14ac:dyDescent="0.3">
      <c r="A286" s="2161"/>
      <c r="B286" s="1313" t="str">
        <f t="shared" si="54"/>
        <v/>
      </c>
      <c r="C286" s="1011">
        <f>IF($D$2="NO",0,ROUNDDOWN(SUM(PROD!$V$5:V287)/IF(Iniciar!$C$25="kilos",40,1),0)-SUM($C$4:$C285))</f>
        <v>0</v>
      </c>
      <c r="D286" s="702"/>
      <c r="E286" s="702"/>
      <c r="F286" s="300">
        <f t="shared" si="59"/>
        <v>-55000</v>
      </c>
      <c r="G286" s="694"/>
      <c r="H286" s="695"/>
      <c r="I286" s="1314"/>
      <c r="J286" s="1315">
        <f>IF(K$1&gt;0,ROUNDUP(SUM(PROD!AM$5:AM287)/K$1*K$2,0),0)-SUM(J$4:J285)</f>
        <v>0</v>
      </c>
      <c r="K286" s="1316">
        <f t="shared" si="61"/>
        <v>0</v>
      </c>
      <c r="L286" s="1314"/>
      <c r="M286" s="1315">
        <f>IF(N$1&gt;0,ROUNDUP(SUM(PROD!L$5:L287,-PROD!AM$5:AM287,-PROD!AZ$5:AZ287)/N$1*N$2,0),0)-SUM(M$4:M285)</f>
        <v>0</v>
      </c>
      <c r="N286" s="1316">
        <f t="shared" si="62"/>
        <v>0</v>
      </c>
      <c r="O286" s="1317">
        <f t="shared" si="51"/>
        <v>0</v>
      </c>
      <c r="P286" s="1318"/>
      <c r="Q286" s="1319"/>
      <c r="R286" s="1320">
        <f t="shared" si="52"/>
        <v>0</v>
      </c>
      <c r="S286" s="1316">
        <f t="shared" si="53"/>
        <v>0</v>
      </c>
      <c r="T286" s="712"/>
      <c r="U286" s="713"/>
      <c r="V286" s="714"/>
      <c r="W286" s="398">
        <f t="shared" si="60"/>
        <v>0</v>
      </c>
      <c r="X286" s="712"/>
      <c r="Y286" s="713"/>
      <c r="Z286" s="714"/>
      <c r="AA286" s="398">
        <f t="shared" si="55"/>
        <v>0</v>
      </c>
      <c r="AB286" s="712"/>
      <c r="AC286" s="713"/>
      <c r="AD286" s="714"/>
      <c r="AE286" s="398">
        <f t="shared" si="56"/>
        <v>0</v>
      </c>
      <c r="AF286" s="712"/>
      <c r="AG286" s="713"/>
      <c r="AH286" s="714"/>
      <c r="AI286" s="398">
        <f t="shared" si="57"/>
        <v>0</v>
      </c>
      <c r="AJ286" s="712"/>
      <c r="AK286" s="713"/>
      <c r="AL286" s="714"/>
      <c r="AM286" s="398">
        <f t="shared" si="58"/>
        <v>0</v>
      </c>
    </row>
    <row r="287" spans="1:39" ht="15.75" customHeight="1" x14ac:dyDescent="0.3">
      <c r="A287" s="2161"/>
      <c r="B287" s="1313" t="str">
        <f t="shared" si="54"/>
        <v/>
      </c>
      <c r="C287" s="1011">
        <f>IF($D$2="NO",0,ROUNDDOWN(SUM(PROD!$V$5:V288)/IF(Iniciar!$C$25="kilos",40,1),0)-SUM($C$4:$C286))</f>
        <v>0</v>
      </c>
      <c r="D287" s="702"/>
      <c r="E287" s="702"/>
      <c r="F287" s="300">
        <f t="shared" si="59"/>
        <v>-55000</v>
      </c>
      <c r="G287" s="694"/>
      <c r="H287" s="695"/>
      <c r="I287" s="1314"/>
      <c r="J287" s="1315">
        <f>IF(K$1&gt;0,ROUNDUP(SUM(PROD!AM$5:AM288)/K$1*K$2,0),0)-SUM(J$4:J286)</f>
        <v>0</v>
      </c>
      <c r="K287" s="1316">
        <f t="shared" si="61"/>
        <v>0</v>
      </c>
      <c r="L287" s="1314"/>
      <c r="M287" s="1315">
        <f>IF(N$1&gt;0,ROUNDUP(SUM(PROD!L$5:L288,-PROD!AM$5:AM288,-PROD!AZ$5:AZ288)/N$1*N$2,0),0)-SUM(M$4:M286)</f>
        <v>0</v>
      </c>
      <c r="N287" s="1316">
        <f t="shared" si="62"/>
        <v>0</v>
      </c>
      <c r="O287" s="1317">
        <f t="shared" si="51"/>
        <v>0</v>
      </c>
      <c r="P287" s="1318"/>
      <c r="Q287" s="1319"/>
      <c r="R287" s="1320">
        <f t="shared" si="52"/>
        <v>0</v>
      </c>
      <c r="S287" s="1316">
        <f t="shared" si="53"/>
        <v>0</v>
      </c>
      <c r="T287" s="712"/>
      <c r="U287" s="713"/>
      <c r="V287" s="714"/>
      <c r="W287" s="398">
        <f t="shared" si="60"/>
        <v>0</v>
      </c>
      <c r="X287" s="712"/>
      <c r="Y287" s="713"/>
      <c r="Z287" s="714"/>
      <c r="AA287" s="398">
        <f t="shared" si="55"/>
        <v>0</v>
      </c>
      <c r="AB287" s="712"/>
      <c r="AC287" s="713"/>
      <c r="AD287" s="714"/>
      <c r="AE287" s="398">
        <f t="shared" si="56"/>
        <v>0</v>
      </c>
      <c r="AF287" s="712"/>
      <c r="AG287" s="713"/>
      <c r="AH287" s="714"/>
      <c r="AI287" s="398">
        <f t="shared" si="57"/>
        <v>0</v>
      </c>
      <c r="AJ287" s="712"/>
      <c r="AK287" s="713"/>
      <c r="AL287" s="714"/>
      <c r="AM287" s="398">
        <f t="shared" si="58"/>
        <v>0</v>
      </c>
    </row>
    <row r="288" spans="1:39" ht="15.75" customHeight="1" x14ac:dyDescent="0.3">
      <c r="A288" s="2161"/>
      <c r="B288" s="1313" t="str">
        <f t="shared" si="54"/>
        <v/>
      </c>
      <c r="C288" s="1011">
        <f>IF($D$2="NO",0,ROUNDDOWN(SUM(PROD!$V$5:V289)/IF(Iniciar!$C$25="kilos",40,1),0)-SUM($C$4:$C287))</f>
        <v>0</v>
      </c>
      <c r="D288" s="702"/>
      <c r="E288" s="702"/>
      <c r="F288" s="300">
        <f t="shared" si="59"/>
        <v>-55000</v>
      </c>
      <c r="G288" s="694"/>
      <c r="H288" s="695"/>
      <c r="I288" s="1314"/>
      <c r="J288" s="1315">
        <f>IF(K$1&gt;0,ROUNDUP(SUM(PROD!AM$5:AM289)/K$1*K$2,0),0)-SUM(J$4:J287)</f>
        <v>0</v>
      </c>
      <c r="K288" s="1316">
        <f t="shared" si="61"/>
        <v>0</v>
      </c>
      <c r="L288" s="1314"/>
      <c r="M288" s="1315">
        <f>IF(N$1&gt;0,ROUNDUP(SUM(PROD!L$5:L289,-PROD!AM$5:AM289,-PROD!AZ$5:AZ289)/N$1*N$2,0),0)-SUM(M$4:M287)</f>
        <v>0</v>
      </c>
      <c r="N288" s="1316">
        <f t="shared" si="62"/>
        <v>0</v>
      </c>
      <c r="O288" s="1317">
        <f t="shared" si="51"/>
        <v>0</v>
      </c>
      <c r="P288" s="1318"/>
      <c r="Q288" s="1319"/>
      <c r="R288" s="1320">
        <f t="shared" si="52"/>
        <v>0</v>
      </c>
      <c r="S288" s="1316">
        <f t="shared" si="53"/>
        <v>0</v>
      </c>
      <c r="T288" s="712"/>
      <c r="U288" s="713"/>
      <c r="V288" s="714"/>
      <c r="W288" s="398">
        <f t="shared" si="60"/>
        <v>0</v>
      </c>
      <c r="X288" s="712"/>
      <c r="Y288" s="713"/>
      <c r="Z288" s="714"/>
      <c r="AA288" s="398">
        <f t="shared" si="55"/>
        <v>0</v>
      </c>
      <c r="AB288" s="712"/>
      <c r="AC288" s="713"/>
      <c r="AD288" s="714"/>
      <c r="AE288" s="398">
        <f t="shared" si="56"/>
        <v>0</v>
      </c>
      <c r="AF288" s="712"/>
      <c r="AG288" s="713"/>
      <c r="AH288" s="714"/>
      <c r="AI288" s="398">
        <f t="shared" si="57"/>
        <v>0</v>
      </c>
      <c r="AJ288" s="712"/>
      <c r="AK288" s="713"/>
      <c r="AL288" s="714"/>
      <c r="AM288" s="398">
        <f t="shared" si="58"/>
        <v>0</v>
      </c>
    </row>
    <row r="289" spans="1:39" ht="15.75" customHeight="1" x14ac:dyDescent="0.3">
      <c r="A289" s="2161"/>
      <c r="B289" s="1313" t="str">
        <f t="shared" si="54"/>
        <v/>
      </c>
      <c r="C289" s="1011">
        <f>IF($D$2="NO",0,ROUNDDOWN(SUM(PROD!$V$5:V290)/IF(Iniciar!$C$25="kilos",40,1),0)-SUM($C$4:$C288))</f>
        <v>0</v>
      </c>
      <c r="D289" s="702"/>
      <c r="E289" s="702"/>
      <c r="F289" s="300">
        <f t="shared" si="59"/>
        <v>-55000</v>
      </c>
      <c r="G289" s="694"/>
      <c r="H289" s="695"/>
      <c r="I289" s="1314"/>
      <c r="J289" s="1315">
        <f>IF(K$1&gt;0,ROUNDUP(SUM(PROD!AM$5:AM290)/K$1*K$2,0),0)-SUM(J$4:J288)</f>
        <v>0</v>
      </c>
      <c r="K289" s="1316">
        <f t="shared" si="61"/>
        <v>0</v>
      </c>
      <c r="L289" s="1314"/>
      <c r="M289" s="1315">
        <f>IF(N$1&gt;0,ROUNDUP(SUM(PROD!L$5:L290,-PROD!AM$5:AM290,-PROD!AZ$5:AZ290)/N$1*N$2,0),0)-SUM(M$4:M288)</f>
        <v>0</v>
      </c>
      <c r="N289" s="1316">
        <f t="shared" si="62"/>
        <v>0</v>
      </c>
      <c r="O289" s="1317">
        <f t="shared" si="51"/>
        <v>0</v>
      </c>
      <c r="P289" s="1318"/>
      <c r="Q289" s="1319"/>
      <c r="R289" s="1320">
        <f t="shared" si="52"/>
        <v>0</v>
      </c>
      <c r="S289" s="1316">
        <f t="shared" si="53"/>
        <v>0</v>
      </c>
      <c r="T289" s="712"/>
      <c r="U289" s="713"/>
      <c r="V289" s="714"/>
      <c r="W289" s="398">
        <f t="shared" si="60"/>
        <v>0</v>
      </c>
      <c r="X289" s="712"/>
      <c r="Y289" s="713"/>
      <c r="Z289" s="714"/>
      <c r="AA289" s="398">
        <f t="shared" si="55"/>
        <v>0</v>
      </c>
      <c r="AB289" s="712"/>
      <c r="AC289" s="713"/>
      <c r="AD289" s="714"/>
      <c r="AE289" s="398">
        <f t="shared" si="56"/>
        <v>0</v>
      </c>
      <c r="AF289" s="712"/>
      <c r="AG289" s="713"/>
      <c r="AH289" s="714"/>
      <c r="AI289" s="398">
        <f t="shared" si="57"/>
        <v>0</v>
      </c>
      <c r="AJ289" s="712"/>
      <c r="AK289" s="713"/>
      <c r="AL289" s="714"/>
      <c r="AM289" s="398">
        <f t="shared" si="58"/>
        <v>0</v>
      </c>
    </row>
    <row r="290" spans="1:39" ht="16.5" customHeight="1" x14ac:dyDescent="0.3">
      <c r="A290" s="2162"/>
      <c r="B290" s="1313" t="str">
        <f t="shared" si="54"/>
        <v/>
      </c>
      <c r="C290" s="1011">
        <f>IF($D$2="NO",0,ROUNDDOWN(SUM(PROD!$V$5:V291)/IF(Iniciar!$C$25="kilos",40,1),0)-SUM($C$4:$C289))</f>
        <v>0</v>
      </c>
      <c r="D290" s="702"/>
      <c r="E290" s="702"/>
      <c r="F290" s="300">
        <f t="shared" si="59"/>
        <v>-55000</v>
      </c>
      <c r="G290" s="694"/>
      <c r="H290" s="695"/>
      <c r="I290" s="1314"/>
      <c r="J290" s="1315">
        <f>IF(K$1&gt;0,ROUNDUP(SUM(PROD!AM$5:AM291)/K$1*K$2,0),0)-SUM(J$4:J289)</f>
        <v>0</v>
      </c>
      <c r="K290" s="1316">
        <f t="shared" si="61"/>
        <v>0</v>
      </c>
      <c r="L290" s="1314"/>
      <c r="M290" s="1315">
        <f>IF(N$1&gt;0,ROUNDUP(SUM(PROD!L$5:L291,-PROD!AM$5:AM291,-PROD!AZ$5:AZ291)/N$1*N$2,0),0)-SUM(M$4:M289)</f>
        <v>0</v>
      </c>
      <c r="N290" s="1316">
        <f t="shared" si="62"/>
        <v>0</v>
      </c>
      <c r="O290" s="1317">
        <f t="shared" si="51"/>
        <v>0</v>
      </c>
      <c r="P290" s="1318"/>
      <c r="Q290" s="1319"/>
      <c r="R290" s="1320">
        <f t="shared" si="52"/>
        <v>0</v>
      </c>
      <c r="S290" s="1316">
        <f t="shared" si="53"/>
        <v>0</v>
      </c>
      <c r="T290" s="712"/>
      <c r="U290" s="713"/>
      <c r="V290" s="714"/>
      <c r="W290" s="398">
        <f t="shared" si="60"/>
        <v>0</v>
      </c>
      <c r="X290" s="712"/>
      <c r="Y290" s="713"/>
      <c r="Z290" s="714"/>
      <c r="AA290" s="398">
        <f t="shared" si="55"/>
        <v>0</v>
      </c>
      <c r="AB290" s="712"/>
      <c r="AC290" s="713"/>
      <c r="AD290" s="714"/>
      <c r="AE290" s="398">
        <f t="shared" si="56"/>
        <v>0</v>
      </c>
      <c r="AF290" s="712"/>
      <c r="AG290" s="713"/>
      <c r="AH290" s="714"/>
      <c r="AI290" s="398">
        <f t="shared" si="57"/>
        <v>0</v>
      </c>
      <c r="AJ290" s="712"/>
      <c r="AK290" s="713"/>
      <c r="AL290" s="714"/>
      <c r="AM290" s="398">
        <f t="shared" si="58"/>
        <v>0</v>
      </c>
    </row>
    <row r="291" spans="1:39" ht="16.5" customHeight="1" x14ac:dyDescent="0.3">
      <c r="A291" s="2160">
        <f>A284+1</f>
        <v>59</v>
      </c>
      <c r="B291" s="1313" t="str">
        <f t="shared" si="54"/>
        <v/>
      </c>
      <c r="C291" s="1011">
        <f>IF($D$2="NO",0,ROUNDDOWN(SUM(PROD!$V$5:V292)/IF(Iniciar!$C$25="kilos",40,1),0)-SUM($C$4:$C290))</f>
        <v>0</v>
      </c>
      <c r="D291" s="702"/>
      <c r="E291" s="702"/>
      <c r="F291" s="300">
        <f t="shared" si="59"/>
        <v>-55000</v>
      </c>
      <c r="G291" s="694"/>
      <c r="H291" s="695"/>
      <c r="I291" s="1314"/>
      <c r="J291" s="1315">
        <f>IF(K$1&gt;0,ROUNDUP(SUM(PROD!AM$5:AM292)/K$1*K$2,0),0)-SUM(J$4:J290)</f>
        <v>0</v>
      </c>
      <c r="K291" s="1316">
        <f t="shared" si="61"/>
        <v>0</v>
      </c>
      <c r="L291" s="1314"/>
      <c r="M291" s="1315">
        <f>IF(N$1&gt;0,ROUNDUP(SUM(PROD!L$5:L292,-PROD!AM$5:AM292,-PROD!AZ$5:AZ292)/N$1*N$2,0),0)-SUM(M$4:M290)</f>
        <v>0</v>
      </c>
      <c r="N291" s="1316">
        <f t="shared" si="62"/>
        <v>0</v>
      </c>
      <c r="O291" s="1317">
        <f t="shared" si="51"/>
        <v>0</v>
      </c>
      <c r="P291" s="1318"/>
      <c r="Q291" s="1319"/>
      <c r="R291" s="1320">
        <f t="shared" si="52"/>
        <v>0</v>
      </c>
      <c r="S291" s="1316">
        <f t="shared" si="53"/>
        <v>0</v>
      </c>
      <c r="T291" s="712"/>
      <c r="U291" s="713"/>
      <c r="V291" s="714"/>
      <c r="W291" s="398">
        <f t="shared" si="60"/>
        <v>0</v>
      </c>
      <c r="X291" s="712"/>
      <c r="Y291" s="713"/>
      <c r="Z291" s="714"/>
      <c r="AA291" s="398">
        <f t="shared" si="55"/>
        <v>0</v>
      </c>
      <c r="AB291" s="712"/>
      <c r="AC291" s="713"/>
      <c r="AD291" s="714"/>
      <c r="AE291" s="398">
        <f t="shared" si="56"/>
        <v>0</v>
      </c>
      <c r="AF291" s="712"/>
      <c r="AG291" s="713"/>
      <c r="AH291" s="714"/>
      <c r="AI291" s="398">
        <f t="shared" si="57"/>
        <v>0</v>
      </c>
      <c r="AJ291" s="712"/>
      <c r="AK291" s="713"/>
      <c r="AL291" s="714"/>
      <c r="AM291" s="398">
        <f t="shared" si="58"/>
        <v>0</v>
      </c>
    </row>
    <row r="292" spans="1:39" ht="15.75" customHeight="1" x14ac:dyDescent="0.3">
      <c r="A292" s="2161"/>
      <c r="B292" s="1313" t="str">
        <f t="shared" si="54"/>
        <v/>
      </c>
      <c r="C292" s="1011">
        <f>IF($D$2="NO",0,ROUNDDOWN(SUM(PROD!$V$5:V293)/IF(Iniciar!$C$25="kilos",40,1),0)-SUM($C$4:$C291))</f>
        <v>0</v>
      </c>
      <c r="D292" s="702"/>
      <c r="E292" s="702"/>
      <c r="F292" s="300">
        <f t="shared" si="59"/>
        <v>-55000</v>
      </c>
      <c r="G292" s="694"/>
      <c r="H292" s="695"/>
      <c r="I292" s="1314"/>
      <c r="J292" s="1315">
        <f>IF(K$1&gt;0,ROUNDUP(SUM(PROD!AM$5:AM293)/K$1*K$2,0),0)-SUM(J$4:J291)</f>
        <v>0</v>
      </c>
      <c r="K292" s="1316">
        <f t="shared" si="61"/>
        <v>0</v>
      </c>
      <c r="L292" s="1314"/>
      <c r="M292" s="1315">
        <f>IF(N$1&gt;0,ROUNDUP(SUM(PROD!L$5:L293,-PROD!AM$5:AM293,-PROD!AZ$5:AZ293)/N$1*N$2,0),0)-SUM(M$4:M291)</f>
        <v>0</v>
      </c>
      <c r="N292" s="1316">
        <f t="shared" si="62"/>
        <v>0</v>
      </c>
      <c r="O292" s="1317">
        <f t="shared" si="51"/>
        <v>0</v>
      </c>
      <c r="P292" s="1318"/>
      <c r="Q292" s="1319"/>
      <c r="R292" s="1320">
        <f t="shared" si="52"/>
        <v>0</v>
      </c>
      <c r="S292" s="1316">
        <f t="shared" si="53"/>
        <v>0</v>
      </c>
      <c r="T292" s="712"/>
      <c r="U292" s="713"/>
      <c r="V292" s="714"/>
      <c r="W292" s="398">
        <f t="shared" si="60"/>
        <v>0</v>
      </c>
      <c r="X292" s="712"/>
      <c r="Y292" s="713"/>
      <c r="Z292" s="714"/>
      <c r="AA292" s="398">
        <f t="shared" si="55"/>
        <v>0</v>
      </c>
      <c r="AB292" s="712"/>
      <c r="AC292" s="713"/>
      <c r="AD292" s="714"/>
      <c r="AE292" s="398">
        <f t="shared" si="56"/>
        <v>0</v>
      </c>
      <c r="AF292" s="712"/>
      <c r="AG292" s="713"/>
      <c r="AH292" s="714"/>
      <c r="AI292" s="398">
        <f t="shared" si="57"/>
        <v>0</v>
      </c>
      <c r="AJ292" s="712"/>
      <c r="AK292" s="713"/>
      <c r="AL292" s="714"/>
      <c r="AM292" s="398">
        <f t="shared" si="58"/>
        <v>0</v>
      </c>
    </row>
    <row r="293" spans="1:39" ht="15.75" customHeight="1" x14ac:dyDescent="0.3">
      <c r="A293" s="2161"/>
      <c r="B293" s="1313" t="str">
        <f t="shared" si="54"/>
        <v/>
      </c>
      <c r="C293" s="1011">
        <f>IF($D$2="NO",0,ROUNDDOWN(SUM(PROD!$V$5:V294)/IF(Iniciar!$C$25="kilos",40,1),0)-SUM($C$4:$C292))</f>
        <v>0</v>
      </c>
      <c r="D293" s="702"/>
      <c r="E293" s="702"/>
      <c r="F293" s="300">
        <f t="shared" si="59"/>
        <v>-55000</v>
      </c>
      <c r="G293" s="694"/>
      <c r="H293" s="695"/>
      <c r="I293" s="1314"/>
      <c r="J293" s="1315">
        <f>IF(K$1&gt;0,ROUNDUP(SUM(PROD!AM$5:AM294)/K$1*K$2,0),0)-SUM(J$4:J292)</f>
        <v>0</v>
      </c>
      <c r="K293" s="1316">
        <f t="shared" si="61"/>
        <v>0</v>
      </c>
      <c r="L293" s="1314"/>
      <c r="M293" s="1315">
        <f>IF(N$1&gt;0,ROUNDUP(SUM(PROD!L$5:L294,-PROD!AM$5:AM294,-PROD!AZ$5:AZ294)/N$1*N$2,0),0)-SUM(M$4:M292)</f>
        <v>0</v>
      </c>
      <c r="N293" s="1316">
        <f t="shared" si="62"/>
        <v>0</v>
      </c>
      <c r="O293" s="1317">
        <f t="shared" si="51"/>
        <v>0</v>
      </c>
      <c r="P293" s="1318"/>
      <c r="Q293" s="1319"/>
      <c r="R293" s="1320">
        <f t="shared" si="52"/>
        <v>0</v>
      </c>
      <c r="S293" s="1316">
        <f t="shared" si="53"/>
        <v>0</v>
      </c>
      <c r="T293" s="712"/>
      <c r="U293" s="713"/>
      <c r="V293" s="714"/>
      <c r="W293" s="398">
        <f t="shared" si="60"/>
        <v>0</v>
      </c>
      <c r="X293" s="712"/>
      <c r="Y293" s="713"/>
      <c r="Z293" s="714"/>
      <c r="AA293" s="398">
        <f t="shared" si="55"/>
        <v>0</v>
      </c>
      <c r="AB293" s="712"/>
      <c r="AC293" s="713"/>
      <c r="AD293" s="714"/>
      <c r="AE293" s="398">
        <f t="shared" si="56"/>
        <v>0</v>
      </c>
      <c r="AF293" s="712"/>
      <c r="AG293" s="713"/>
      <c r="AH293" s="714"/>
      <c r="AI293" s="398">
        <f t="shared" si="57"/>
        <v>0</v>
      </c>
      <c r="AJ293" s="712"/>
      <c r="AK293" s="713"/>
      <c r="AL293" s="714"/>
      <c r="AM293" s="398">
        <f t="shared" si="58"/>
        <v>0</v>
      </c>
    </row>
    <row r="294" spans="1:39" ht="15.75" customHeight="1" x14ac:dyDescent="0.3">
      <c r="A294" s="2161"/>
      <c r="B294" s="1313" t="str">
        <f t="shared" si="54"/>
        <v/>
      </c>
      <c r="C294" s="1011">
        <f>IF($D$2="NO",0,ROUNDDOWN(SUM(PROD!$V$5:V295)/IF(Iniciar!$C$25="kilos",40,1),0)-SUM($C$4:$C293))</f>
        <v>0</v>
      </c>
      <c r="D294" s="702"/>
      <c r="E294" s="702"/>
      <c r="F294" s="300">
        <f t="shared" si="59"/>
        <v>-55000</v>
      </c>
      <c r="G294" s="694"/>
      <c r="H294" s="695"/>
      <c r="I294" s="1314"/>
      <c r="J294" s="1315">
        <f>IF(K$1&gt;0,ROUNDUP(SUM(PROD!AM$5:AM295)/K$1*K$2,0),0)-SUM(J$4:J293)</f>
        <v>0</v>
      </c>
      <c r="K294" s="1316">
        <f t="shared" si="61"/>
        <v>0</v>
      </c>
      <c r="L294" s="1314"/>
      <c r="M294" s="1315">
        <f>IF(N$1&gt;0,ROUNDUP(SUM(PROD!L$5:L295,-PROD!AM$5:AM295,-PROD!AZ$5:AZ295)/N$1*N$2,0),0)-SUM(M$4:M293)</f>
        <v>0</v>
      </c>
      <c r="N294" s="1316">
        <f t="shared" si="62"/>
        <v>0</v>
      </c>
      <c r="O294" s="1317">
        <f t="shared" si="51"/>
        <v>0</v>
      </c>
      <c r="P294" s="1318"/>
      <c r="Q294" s="1319"/>
      <c r="R294" s="1320">
        <f t="shared" si="52"/>
        <v>0</v>
      </c>
      <c r="S294" s="1316">
        <f t="shared" si="53"/>
        <v>0</v>
      </c>
      <c r="T294" s="712"/>
      <c r="U294" s="713"/>
      <c r="V294" s="714"/>
      <c r="W294" s="398">
        <f t="shared" si="60"/>
        <v>0</v>
      </c>
      <c r="X294" s="712"/>
      <c r="Y294" s="713"/>
      <c r="Z294" s="714"/>
      <c r="AA294" s="398">
        <f t="shared" si="55"/>
        <v>0</v>
      </c>
      <c r="AB294" s="712"/>
      <c r="AC294" s="713"/>
      <c r="AD294" s="714"/>
      <c r="AE294" s="398">
        <f t="shared" si="56"/>
        <v>0</v>
      </c>
      <c r="AF294" s="712"/>
      <c r="AG294" s="713"/>
      <c r="AH294" s="714"/>
      <c r="AI294" s="398">
        <f t="shared" si="57"/>
        <v>0</v>
      </c>
      <c r="AJ294" s="712"/>
      <c r="AK294" s="713"/>
      <c r="AL294" s="714"/>
      <c r="AM294" s="398">
        <f t="shared" si="58"/>
        <v>0</v>
      </c>
    </row>
    <row r="295" spans="1:39" ht="15.75" customHeight="1" x14ac:dyDescent="0.3">
      <c r="A295" s="2161"/>
      <c r="B295" s="1313" t="str">
        <f t="shared" si="54"/>
        <v/>
      </c>
      <c r="C295" s="1011">
        <f>IF($D$2="NO",0,ROUNDDOWN(SUM(PROD!$V$5:V296)/IF(Iniciar!$C$25="kilos",40,1),0)-SUM($C$4:$C294))</f>
        <v>0</v>
      </c>
      <c r="D295" s="702"/>
      <c r="E295" s="702"/>
      <c r="F295" s="300">
        <f t="shared" si="59"/>
        <v>-55000</v>
      </c>
      <c r="G295" s="694"/>
      <c r="H295" s="695"/>
      <c r="I295" s="1314"/>
      <c r="J295" s="1315">
        <f>IF(K$1&gt;0,ROUNDUP(SUM(PROD!AM$5:AM296)/K$1*K$2,0),0)-SUM(J$4:J294)</f>
        <v>0</v>
      </c>
      <c r="K295" s="1316">
        <f t="shared" si="61"/>
        <v>0</v>
      </c>
      <c r="L295" s="1314"/>
      <c r="M295" s="1315">
        <f>IF(N$1&gt;0,ROUNDUP(SUM(PROD!L$5:L296,-PROD!AM$5:AM296,-PROD!AZ$5:AZ296)/N$1*N$2,0),0)-SUM(M$4:M294)</f>
        <v>0</v>
      </c>
      <c r="N295" s="1316">
        <f t="shared" si="62"/>
        <v>0</v>
      </c>
      <c r="O295" s="1317">
        <f t="shared" si="51"/>
        <v>0</v>
      </c>
      <c r="P295" s="1318"/>
      <c r="Q295" s="1319"/>
      <c r="R295" s="1320">
        <f t="shared" si="52"/>
        <v>0</v>
      </c>
      <c r="S295" s="1316">
        <f t="shared" si="53"/>
        <v>0</v>
      </c>
      <c r="T295" s="712"/>
      <c r="U295" s="713"/>
      <c r="V295" s="714"/>
      <c r="W295" s="398">
        <f t="shared" si="60"/>
        <v>0</v>
      </c>
      <c r="X295" s="712"/>
      <c r="Y295" s="713"/>
      <c r="Z295" s="714"/>
      <c r="AA295" s="398">
        <f t="shared" si="55"/>
        <v>0</v>
      </c>
      <c r="AB295" s="712"/>
      <c r="AC295" s="713"/>
      <c r="AD295" s="714"/>
      <c r="AE295" s="398">
        <f t="shared" si="56"/>
        <v>0</v>
      </c>
      <c r="AF295" s="712"/>
      <c r="AG295" s="713"/>
      <c r="AH295" s="714"/>
      <c r="AI295" s="398">
        <f t="shared" si="57"/>
        <v>0</v>
      </c>
      <c r="AJ295" s="712"/>
      <c r="AK295" s="713"/>
      <c r="AL295" s="714"/>
      <c r="AM295" s="398">
        <f t="shared" si="58"/>
        <v>0</v>
      </c>
    </row>
    <row r="296" spans="1:39" ht="15.75" customHeight="1" x14ac:dyDescent="0.3">
      <c r="A296" s="2161"/>
      <c r="B296" s="1313" t="str">
        <f t="shared" si="54"/>
        <v/>
      </c>
      <c r="C296" s="1011">
        <f>IF($D$2="NO",0,ROUNDDOWN(SUM(PROD!$V$5:V297)/IF(Iniciar!$C$25="kilos",40,1),0)-SUM($C$4:$C295))</f>
        <v>0</v>
      </c>
      <c r="D296" s="702"/>
      <c r="E296" s="702"/>
      <c r="F296" s="300">
        <f t="shared" si="59"/>
        <v>-55000</v>
      </c>
      <c r="G296" s="694"/>
      <c r="H296" s="695"/>
      <c r="I296" s="1314"/>
      <c r="J296" s="1315">
        <f>IF(K$1&gt;0,ROUNDUP(SUM(PROD!AM$5:AM297)/K$1*K$2,0),0)-SUM(J$4:J295)</f>
        <v>0</v>
      </c>
      <c r="K296" s="1316">
        <f t="shared" si="61"/>
        <v>0</v>
      </c>
      <c r="L296" s="1314"/>
      <c r="M296" s="1315">
        <f>IF(N$1&gt;0,ROUNDUP(SUM(PROD!L$5:L297,-PROD!AM$5:AM297,-PROD!AZ$5:AZ297)/N$1*N$2,0),0)-SUM(M$4:M295)</f>
        <v>0</v>
      </c>
      <c r="N296" s="1316">
        <f t="shared" si="62"/>
        <v>0</v>
      </c>
      <c r="O296" s="1317">
        <f t="shared" si="51"/>
        <v>0</v>
      </c>
      <c r="P296" s="1318"/>
      <c r="Q296" s="1319"/>
      <c r="R296" s="1320">
        <f t="shared" si="52"/>
        <v>0</v>
      </c>
      <c r="S296" s="1316">
        <f t="shared" si="53"/>
        <v>0</v>
      </c>
      <c r="T296" s="712"/>
      <c r="U296" s="713"/>
      <c r="V296" s="714"/>
      <c r="W296" s="398">
        <f t="shared" si="60"/>
        <v>0</v>
      </c>
      <c r="X296" s="712"/>
      <c r="Y296" s="713"/>
      <c r="Z296" s="714"/>
      <c r="AA296" s="398">
        <f t="shared" si="55"/>
        <v>0</v>
      </c>
      <c r="AB296" s="712"/>
      <c r="AC296" s="713"/>
      <c r="AD296" s="714"/>
      <c r="AE296" s="398">
        <f t="shared" si="56"/>
        <v>0</v>
      </c>
      <c r="AF296" s="712"/>
      <c r="AG296" s="713"/>
      <c r="AH296" s="714"/>
      <c r="AI296" s="398">
        <f t="shared" si="57"/>
        <v>0</v>
      </c>
      <c r="AJ296" s="712"/>
      <c r="AK296" s="713"/>
      <c r="AL296" s="714"/>
      <c r="AM296" s="398">
        <f t="shared" si="58"/>
        <v>0</v>
      </c>
    </row>
    <row r="297" spans="1:39" ht="16.5" customHeight="1" x14ac:dyDescent="0.3">
      <c r="A297" s="2162"/>
      <c r="B297" s="1313" t="str">
        <f t="shared" si="54"/>
        <v/>
      </c>
      <c r="C297" s="1011">
        <f>IF($D$2="NO",0,ROUNDDOWN(SUM(PROD!$V$5:V298)/IF(Iniciar!$C$25="kilos",40,1),0)-SUM($C$4:$C296))</f>
        <v>0</v>
      </c>
      <c r="D297" s="702"/>
      <c r="E297" s="702"/>
      <c r="F297" s="300">
        <f t="shared" si="59"/>
        <v>-55000</v>
      </c>
      <c r="G297" s="694"/>
      <c r="H297" s="695"/>
      <c r="I297" s="1314"/>
      <c r="J297" s="1315">
        <f>IF(K$1&gt;0,ROUNDUP(SUM(PROD!AM$5:AM298)/K$1*K$2,0),0)-SUM(J$4:J296)</f>
        <v>0</v>
      </c>
      <c r="K297" s="1316">
        <f t="shared" si="61"/>
        <v>0</v>
      </c>
      <c r="L297" s="1314"/>
      <c r="M297" s="1315">
        <f>IF(N$1&gt;0,ROUNDUP(SUM(PROD!L$5:L298,-PROD!AM$5:AM298,-PROD!AZ$5:AZ298)/N$1*N$2,0),0)-SUM(M$4:M296)</f>
        <v>0</v>
      </c>
      <c r="N297" s="1316">
        <f t="shared" si="62"/>
        <v>0</v>
      </c>
      <c r="O297" s="1317">
        <f t="shared" si="51"/>
        <v>0</v>
      </c>
      <c r="P297" s="1318"/>
      <c r="Q297" s="1319"/>
      <c r="R297" s="1320">
        <f t="shared" si="52"/>
        <v>0</v>
      </c>
      <c r="S297" s="1316">
        <f t="shared" si="53"/>
        <v>0</v>
      </c>
      <c r="T297" s="712"/>
      <c r="U297" s="713"/>
      <c r="V297" s="714"/>
      <c r="W297" s="398">
        <f t="shared" si="60"/>
        <v>0</v>
      </c>
      <c r="X297" s="712"/>
      <c r="Y297" s="713"/>
      <c r="Z297" s="714"/>
      <c r="AA297" s="398">
        <f t="shared" si="55"/>
        <v>0</v>
      </c>
      <c r="AB297" s="712"/>
      <c r="AC297" s="713"/>
      <c r="AD297" s="714"/>
      <c r="AE297" s="398">
        <f t="shared" si="56"/>
        <v>0</v>
      </c>
      <c r="AF297" s="712"/>
      <c r="AG297" s="713"/>
      <c r="AH297" s="714"/>
      <c r="AI297" s="398">
        <f t="shared" si="57"/>
        <v>0</v>
      </c>
      <c r="AJ297" s="712"/>
      <c r="AK297" s="713"/>
      <c r="AL297" s="714"/>
      <c r="AM297" s="398">
        <f t="shared" si="58"/>
        <v>0</v>
      </c>
    </row>
    <row r="298" spans="1:39" ht="16.5" customHeight="1" x14ac:dyDescent="0.3">
      <c r="A298" s="2160">
        <f>A291+1</f>
        <v>60</v>
      </c>
      <c r="B298" s="1313" t="str">
        <f t="shared" si="54"/>
        <v/>
      </c>
      <c r="C298" s="1011">
        <f>IF($D$2="NO",0,ROUNDDOWN(SUM(PROD!$V$5:V299)/IF(Iniciar!$C$25="kilos",40,1),0)-SUM($C$4:$C297))</f>
        <v>0</v>
      </c>
      <c r="D298" s="702"/>
      <c r="E298" s="702"/>
      <c r="F298" s="300">
        <f t="shared" si="59"/>
        <v>-55000</v>
      </c>
      <c r="G298" s="694"/>
      <c r="H298" s="695"/>
      <c r="I298" s="1314"/>
      <c r="J298" s="1315">
        <f>IF(K$1&gt;0,ROUNDUP(SUM(PROD!AM$5:AM299)/K$1*K$2,0),0)-SUM(J$4:J297)</f>
        <v>0</v>
      </c>
      <c r="K298" s="1316">
        <f t="shared" si="61"/>
        <v>0</v>
      </c>
      <c r="L298" s="1314"/>
      <c r="M298" s="1315">
        <f>IF(N$1&gt;0,ROUNDUP(SUM(PROD!L$5:L299,-PROD!AM$5:AM299,-PROD!AZ$5:AZ299)/N$1*N$2,0),0)-SUM(M$4:M297)</f>
        <v>0</v>
      </c>
      <c r="N298" s="1316">
        <f t="shared" si="62"/>
        <v>0</v>
      </c>
      <c r="O298" s="1317">
        <f t="shared" si="51"/>
        <v>0</v>
      </c>
      <c r="P298" s="1318"/>
      <c r="Q298" s="1319"/>
      <c r="R298" s="1320">
        <f t="shared" si="52"/>
        <v>0</v>
      </c>
      <c r="S298" s="1316">
        <f t="shared" si="53"/>
        <v>0</v>
      </c>
      <c r="T298" s="712"/>
      <c r="U298" s="713"/>
      <c r="V298" s="714"/>
      <c r="W298" s="398">
        <f t="shared" si="60"/>
        <v>0</v>
      </c>
      <c r="X298" s="712"/>
      <c r="Y298" s="713"/>
      <c r="Z298" s="714"/>
      <c r="AA298" s="398">
        <f t="shared" si="55"/>
        <v>0</v>
      </c>
      <c r="AB298" s="712"/>
      <c r="AC298" s="713"/>
      <c r="AD298" s="714"/>
      <c r="AE298" s="398">
        <f t="shared" si="56"/>
        <v>0</v>
      </c>
      <c r="AF298" s="712"/>
      <c r="AG298" s="713"/>
      <c r="AH298" s="714"/>
      <c r="AI298" s="398">
        <f t="shared" si="57"/>
        <v>0</v>
      </c>
      <c r="AJ298" s="712"/>
      <c r="AK298" s="713"/>
      <c r="AL298" s="714"/>
      <c r="AM298" s="398">
        <f t="shared" si="58"/>
        <v>0</v>
      </c>
    </row>
    <row r="299" spans="1:39" ht="15.75" customHeight="1" x14ac:dyDescent="0.3">
      <c r="A299" s="2161"/>
      <c r="B299" s="1313" t="str">
        <f t="shared" si="54"/>
        <v/>
      </c>
      <c r="C299" s="1011">
        <f>IF($D$2="NO",0,ROUNDDOWN(SUM(PROD!$V$5:V300)/IF(Iniciar!$C$25="kilos",40,1),0)-SUM($C$4:$C298))</f>
        <v>0</v>
      </c>
      <c r="D299" s="702"/>
      <c r="E299" s="702"/>
      <c r="F299" s="300">
        <f t="shared" si="59"/>
        <v>-55000</v>
      </c>
      <c r="G299" s="694"/>
      <c r="H299" s="695"/>
      <c r="I299" s="1314"/>
      <c r="J299" s="1315">
        <f>IF(K$1&gt;0,ROUNDUP(SUM(PROD!AM$5:AM300)/K$1*K$2,0),0)-SUM(J$4:J298)</f>
        <v>0</v>
      </c>
      <c r="K299" s="1316">
        <f t="shared" si="61"/>
        <v>0</v>
      </c>
      <c r="L299" s="1314"/>
      <c r="M299" s="1315">
        <f>IF(N$1&gt;0,ROUNDUP(SUM(PROD!L$5:L300,-PROD!AM$5:AM300,-PROD!AZ$5:AZ300)/N$1*N$2,0),0)-SUM(M$4:M298)</f>
        <v>0</v>
      </c>
      <c r="N299" s="1316">
        <f t="shared" si="62"/>
        <v>0</v>
      </c>
      <c r="O299" s="1317">
        <f t="shared" si="51"/>
        <v>0</v>
      </c>
      <c r="P299" s="1318"/>
      <c r="Q299" s="1319"/>
      <c r="R299" s="1320">
        <f t="shared" si="52"/>
        <v>0</v>
      </c>
      <c r="S299" s="1316">
        <f t="shared" si="53"/>
        <v>0</v>
      </c>
      <c r="T299" s="712"/>
      <c r="U299" s="713"/>
      <c r="V299" s="714"/>
      <c r="W299" s="398">
        <f t="shared" si="60"/>
        <v>0</v>
      </c>
      <c r="X299" s="712"/>
      <c r="Y299" s="713"/>
      <c r="Z299" s="714"/>
      <c r="AA299" s="398">
        <f t="shared" si="55"/>
        <v>0</v>
      </c>
      <c r="AB299" s="712"/>
      <c r="AC299" s="713"/>
      <c r="AD299" s="714"/>
      <c r="AE299" s="398">
        <f t="shared" si="56"/>
        <v>0</v>
      </c>
      <c r="AF299" s="712"/>
      <c r="AG299" s="713"/>
      <c r="AH299" s="714"/>
      <c r="AI299" s="398">
        <f t="shared" si="57"/>
        <v>0</v>
      </c>
      <c r="AJ299" s="712"/>
      <c r="AK299" s="713"/>
      <c r="AL299" s="714"/>
      <c r="AM299" s="398">
        <f t="shared" si="58"/>
        <v>0</v>
      </c>
    </row>
    <row r="300" spans="1:39" ht="15.75" customHeight="1" x14ac:dyDescent="0.3">
      <c r="A300" s="2161"/>
      <c r="B300" s="1313" t="str">
        <f t="shared" si="54"/>
        <v/>
      </c>
      <c r="C300" s="1011">
        <f>IF($D$2="NO",0,ROUNDDOWN(SUM(PROD!$V$5:V301)/IF(Iniciar!$C$25="kilos",40,1),0)-SUM($C$4:$C299))</f>
        <v>0</v>
      </c>
      <c r="D300" s="702"/>
      <c r="E300" s="702"/>
      <c r="F300" s="300">
        <f t="shared" si="59"/>
        <v>-55000</v>
      </c>
      <c r="G300" s="694"/>
      <c r="H300" s="695"/>
      <c r="I300" s="1314"/>
      <c r="J300" s="1315">
        <f>IF(K$1&gt;0,ROUNDUP(SUM(PROD!AM$5:AM301)/K$1*K$2,0),0)-SUM(J$4:J299)</f>
        <v>0</v>
      </c>
      <c r="K300" s="1316">
        <f t="shared" si="61"/>
        <v>0</v>
      </c>
      <c r="L300" s="1314"/>
      <c r="M300" s="1315">
        <f>IF(N$1&gt;0,ROUNDUP(SUM(PROD!L$5:L301,-PROD!AM$5:AM301,-PROD!AZ$5:AZ301)/N$1*N$2,0),0)-SUM(M$4:M299)</f>
        <v>0</v>
      </c>
      <c r="N300" s="1316">
        <f t="shared" si="62"/>
        <v>0</v>
      </c>
      <c r="O300" s="1317">
        <f t="shared" si="51"/>
        <v>0</v>
      </c>
      <c r="P300" s="1318"/>
      <c r="Q300" s="1319"/>
      <c r="R300" s="1320">
        <f t="shared" si="52"/>
        <v>0</v>
      </c>
      <c r="S300" s="1316">
        <f t="shared" si="53"/>
        <v>0</v>
      </c>
      <c r="T300" s="712"/>
      <c r="U300" s="713"/>
      <c r="V300" s="714"/>
      <c r="W300" s="398">
        <f t="shared" si="60"/>
        <v>0</v>
      </c>
      <c r="X300" s="712"/>
      <c r="Y300" s="713"/>
      <c r="Z300" s="714"/>
      <c r="AA300" s="398">
        <f t="shared" si="55"/>
        <v>0</v>
      </c>
      <c r="AB300" s="712"/>
      <c r="AC300" s="713"/>
      <c r="AD300" s="714"/>
      <c r="AE300" s="398">
        <f t="shared" si="56"/>
        <v>0</v>
      </c>
      <c r="AF300" s="712"/>
      <c r="AG300" s="713"/>
      <c r="AH300" s="714"/>
      <c r="AI300" s="398">
        <f t="shared" si="57"/>
        <v>0</v>
      </c>
      <c r="AJ300" s="712"/>
      <c r="AK300" s="713"/>
      <c r="AL300" s="714"/>
      <c r="AM300" s="398">
        <f t="shared" si="58"/>
        <v>0</v>
      </c>
    </row>
    <row r="301" spans="1:39" ht="15.75" customHeight="1" x14ac:dyDescent="0.3">
      <c r="A301" s="2161"/>
      <c r="B301" s="1313" t="str">
        <f t="shared" si="54"/>
        <v/>
      </c>
      <c r="C301" s="1011">
        <f>IF($D$2="NO",0,ROUNDDOWN(SUM(PROD!$V$5:V302)/IF(Iniciar!$C$25="kilos",40,1),0)-SUM($C$4:$C300))</f>
        <v>0</v>
      </c>
      <c r="D301" s="702"/>
      <c r="E301" s="702"/>
      <c r="F301" s="300">
        <f t="shared" si="59"/>
        <v>-55000</v>
      </c>
      <c r="G301" s="694"/>
      <c r="H301" s="695"/>
      <c r="I301" s="1314"/>
      <c r="J301" s="1315">
        <f>IF(K$1&gt;0,ROUNDUP(SUM(PROD!AM$5:AM302)/K$1*K$2,0),0)-SUM(J$4:J300)</f>
        <v>0</v>
      </c>
      <c r="K301" s="1316">
        <f t="shared" si="61"/>
        <v>0</v>
      </c>
      <c r="L301" s="1314"/>
      <c r="M301" s="1315">
        <f>IF(N$1&gt;0,ROUNDUP(SUM(PROD!L$5:L302,-PROD!AM$5:AM302,-PROD!AZ$5:AZ302)/N$1*N$2,0),0)-SUM(M$4:M300)</f>
        <v>0</v>
      </c>
      <c r="N301" s="1316">
        <f t="shared" si="62"/>
        <v>0</v>
      </c>
      <c r="O301" s="1317">
        <f t="shared" si="51"/>
        <v>0</v>
      </c>
      <c r="P301" s="1318"/>
      <c r="Q301" s="1319"/>
      <c r="R301" s="1320">
        <f t="shared" si="52"/>
        <v>0</v>
      </c>
      <c r="S301" s="1316">
        <f t="shared" si="53"/>
        <v>0</v>
      </c>
      <c r="T301" s="712"/>
      <c r="U301" s="713"/>
      <c r="V301" s="714"/>
      <c r="W301" s="398">
        <f t="shared" si="60"/>
        <v>0</v>
      </c>
      <c r="X301" s="712"/>
      <c r="Y301" s="713"/>
      <c r="Z301" s="714"/>
      <c r="AA301" s="398">
        <f t="shared" si="55"/>
        <v>0</v>
      </c>
      <c r="AB301" s="712"/>
      <c r="AC301" s="713"/>
      <c r="AD301" s="714"/>
      <c r="AE301" s="398">
        <f t="shared" si="56"/>
        <v>0</v>
      </c>
      <c r="AF301" s="712"/>
      <c r="AG301" s="713"/>
      <c r="AH301" s="714"/>
      <c r="AI301" s="398">
        <f t="shared" si="57"/>
        <v>0</v>
      </c>
      <c r="AJ301" s="712"/>
      <c r="AK301" s="713"/>
      <c r="AL301" s="714"/>
      <c r="AM301" s="398">
        <f t="shared" si="58"/>
        <v>0</v>
      </c>
    </row>
    <row r="302" spans="1:39" ht="15.75" customHeight="1" x14ac:dyDescent="0.3">
      <c r="A302" s="2161"/>
      <c r="B302" s="1313" t="str">
        <f t="shared" si="54"/>
        <v/>
      </c>
      <c r="C302" s="1011">
        <f>IF($D$2="NO",0,ROUNDDOWN(SUM(PROD!$V$5:V303)/IF(Iniciar!$C$25="kilos",40,1),0)-SUM($C$4:$C301))</f>
        <v>0</v>
      </c>
      <c r="D302" s="702"/>
      <c r="E302" s="702"/>
      <c r="F302" s="300">
        <f t="shared" si="59"/>
        <v>-55000</v>
      </c>
      <c r="G302" s="694"/>
      <c r="H302" s="695"/>
      <c r="I302" s="1314"/>
      <c r="J302" s="1315">
        <f>IF(K$1&gt;0,ROUNDUP(SUM(PROD!AM$5:AM303)/K$1*K$2,0),0)-SUM(J$4:J301)</f>
        <v>0</v>
      </c>
      <c r="K302" s="1316">
        <f t="shared" si="61"/>
        <v>0</v>
      </c>
      <c r="L302" s="1314"/>
      <c r="M302" s="1315">
        <f>IF(N$1&gt;0,ROUNDUP(SUM(PROD!L$5:L303,-PROD!AM$5:AM303,-PROD!AZ$5:AZ303)/N$1*N$2,0),0)-SUM(M$4:M301)</f>
        <v>0</v>
      </c>
      <c r="N302" s="1316">
        <f t="shared" si="62"/>
        <v>0</v>
      </c>
      <c r="O302" s="1317">
        <f t="shared" si="51"/>
        <v>0</v>
      </c>
      <c r="P302" s="1318"/>
      <c r="Q302" s="1319"/>
      <c r="R302" s="1320">
        <f t="shared" si="52"/>
        <v>0</v>
      </c>
      <c r="S302" s="1316">
        <f t="shared" si="53"/>
        <v>0</v>
      </c>
      <c r="T302" s="712"/>
      <c r="U302" s="713"/>
      <c r="V302" s="714"/>
      <c r="W302" s="398">
        <f t="shared" si="60"/>
        <v>0</v>
      </c>
      <c r="X302" s="712"/>
      <c r="Y302" s="713"/>
      <c r="Z302" s="714"/>
      <c r="AA302" s="398">
        <f t="shared" si="55"/>
        <v>0</v>
      </c>
      <c r="AB302" s="712"/>
      <c r="AC302" s="713"/>
      <c r="AD302" s="714"/>
      <c r="AE302" s="398">
        <f t="shared" si="56"/>
        <v>0</v>
      </c>
      <c r="AF302" s="712"/>
      <c r="AG302" s="713"/>
      <c r="AH302" s="714"/>
      <c r="AI302" s="398">
        <f t="shared" si="57"/>
        <v>0</v>
      </c>
      <c r="AJ302" s="712"/>
      <c r="AK302" s="713"/>
      <c r="AL302" s="714"/>
      <c r="AM302" s="398">
        <f t="shared" si="58"/>
        <v>0</v>
      </c>
    </row>
    <row r="303" spans="1:39" ht="15.75" customHeight="1" x14ac:dyDescent="0.3">
      <c r="A303" s="2161"/>
      <c r="B303" s="1313" t="str">
        <f t="shared" si="54"/>
        <v/>
      </c>
      <c r="C303" s="1011">
        <f>IF($D$2="NO",0,ROUNDDOWN(SUM(PROD!$V$5:V304)/IF(Iniciar!$C$25="kilos",40,1),0)-SUM($C$4:$C302))</f>
        <v>0</v>
      </c>
      <c r="D303" s="702"/>
      <c r="E303" s="702"/>
      <c r="F303" s="300">
        <f t="shared" si="59"/>
        <v>-55000</v>
      </c>
      <c r="G303" s="694"/>
      <c r="H303" s="695"/>
      <c r="I303" s="1314"/>
      <c r="J303" s="1315">
        <f>IF(K$1&gt;0,ROUNDUP(SUM(PROD!AM$5:AM304)/K$1*K$2,0),0)-SUM(J$4:J302)</f>
        <v>0</v>
      </c>
      <c r="K303" s="1316">
        <f t="shared" si="61"/>
        <v>0</v>
      </c>
      <c r="L303" s="1314"/>
      <c r="M303" s="1315">
        <f>IF(N$1&gt;0,ROUNDUP(SUM(PROD!L$5:L304,-PROD!AM$5:AM304,-PROD!AZ$5:AZ304)/N$1*N$2,0),0)-SUM(M$4:M302)</f>
        <v>0</v>
      </c>
      <c r="N303" s="1316">
        <f t="shared" si="62"/>
        <v>0</v>
      </c>
      <c r="O303" s="1317">
        <f t="shared" si="51"/>
        <v>0</v>
      </c>
      <c r="P303" s="1318"/>
      <c r="Q303" s="1319"/>
      <c r="R303" s="1320">
        <f t="shared" si="52"/>
        <v>0</v>
      </c>
      <c r="S303" s="1316">
        <f t="shared" si="53"/>
        <v>0</v>
      </c>
      <c r="T303" s="712"/>
      <c r="U303" s="713"/>
      <c r="V303" s="714"/>
      <c r="W303" s="398">
        <f t="shared" si="60"/>
        <v>0</v>
      </c>
      <c r="X303" s="712"/>
      <c r="Y303" s="713"/>
      <c r="Z303" s="714"/>
      <c r="AA303" s="398">
        <f t="shared" si="55"/>
        <v>0</v>
      </c>
      <c r="AB303" s="712"/>
      <c r="AC303" s="713"/>
      <c r="AD303" s="714"/>
      <c r="AE303" s="398">
        <f t="shared" si="56"/>
        <v>0</v>
      </c>
      <c r="AF303" s="712"/>
      <c r="AG303" s="713"/>
      <c r="AH303" s="714"/>
      <c r="AI303" s="398">
        <f t="shared" si="57"/>
        <v>0</v>
      </c>
      <c r="AJ303" s="712"/>
      <c r="AK303" s="713"/>
      <c r="AL303" s="714"/>
      <c r="AM303" s="398">
        <f t="shared" si="58"/>
        <v>0</v>
      </c>
    </row>
    <row r="304" spans="1:39" ht="16.5" customHeight="1" x14ac:dyDescent="0.3">
      <c r="A304" s="2162"/>
      <c r="B304" s="1313" t="str">
        <f t="shared" si="54"/>
        <v/>
      </c>
      <c r="C304" s="1011">
        <f>IF($D$2="NO",0,ROUNDDOWN(SUM(PROD!$V$5:V305)/IF(Iniciar!$C$25="kilos",40,1),0)-SUM($C$4:$C303))</f>
        <v>0</v>
      </c>
      <c r="D304" s="702"/>
      <c r="E304" s="702"/>
      <c r="F304" s="300">
        <f t="shared" si="59"/>
        <v>-55000</v>
      </c>
      <c r="G304" s="694"/>
      <c r="H304" s="695"/>
      <c r="I304" s="1314"/>
      <c r="J304" s="1315">
        <f>IF(K$1&gt;0,ROUNDUP(SUM(PROD!AM$5:AM305)/K$1*K$2,0),0)-SUM(J$4:J303)</f>
        <v>0</v>
      </c>
      <c r="K304" s="1316">
        <f t="shared" si="61"/>
        <v>0</v>
      </c>
      <c r="L304" s="1314"/>
      <c r="M304" s="1315">
        <f>IF(N$1&gt;0,ROUNDUP(SUM(PROD!L$5:L305,-PROD!AM$5:AM305,-PROD!AZ$5:AZ305)/N$1*N$2,0),0)-SUM(M$4:M303)</f>
        <v>0</v>
      </c>
      <c r="N304" s="1316">
        <f t="shared" si="62"/>
        <v>0</v>
      </c>
      <c r="O304" s="1317">
        <f t="shared" si="51"/>
        <v>0</v>
      </c>
      <c r="P304" s="1318"/>
      <c r="Q304" s="1319"/>
      <c r="R304" s="1320">
        <f t="shared" si="52"/>
        <v>0</v>
      </c>
      <c r="S304" s="1316">
        <f t="shared" si="53"/>
        <v>0</v>
      </c>
      <c r="T304" s="712"/>
      <c r="U304" s="713"/>
      <c r="V304" s="714"/>
      <c r="W304" s="398">
        <f t="shared" si="60"/>
        <v>0</v>
      </c>
      <c r="X304" s="712"/>
      <c r="Y304" s="713"/>
      <c r="Z304" s="714"/>
      <c r="AA304" s="398">
        <f t="shared" si="55"/>
        <v>0</v>
      </c>
      <c r="AB304" s="712"/>
      <c r="AC304" s="713"/>
      <c r="AD304" s="714"/>
      <c r="AE304" s="398">
        <f t="shared" si="56"/>
        <v>0</v>
      </c>
      <c r="AF304" s="712"/>
      <c r="AG304" s="713"/>
      <c r="AH304" s="714"/>
      <c r="AI304" s="398">
        <f t="shared" si="57"/>
        <v>0</v>
      </c>
      <c r="AJ304" s="712"/>
      <c r="AK304" s="713"/>
      <c r="AL304" s="714"/>
      <c r="AM304" s="398">
        <f t="shared" si="58"/>
        <v>0</v>
      </c>
    </row>
    <row r="305" spans="1:39" ht="16.5" customHeight="1" x14ac:dyDescent="0.3">
      <c r="A305" s="2160">
        <f>A298+1</f>
        <v>61</v>
      </c>
      <c r="B305" s="1313" t="str">
        <f t="shared" si="54"/>
        <v/>
      </c>
      <c r="C305" s="1011">
        <f>IF($D$2="NO",0,ROUNDDOWN(SUM(PROD!$V$5:V306)/IF(Iniciar!$C$25="kilos",40,1),0)-SUM($C$4:$C304))</f>
        <v>0</v>
      </c>
      <c r="D305" s="702"/>
      <c r="E305" s="702"/>
      <c r="F305" s="300">
        <f t="shared" si="59"/>
        <v>-55000</v>
      </c>
      <c r="G305" s="694"/>
      <c r="H305" s="695"/>
      <c r="I305" s="1314"/>
      <c r="J305" s="1315">
        <f>IF(K$1&gt;0,ROUNDUP(SUM(PROD!AM$5:AM306)/K$1*K$2,0),0)-SUM(J$4:J304)</f>
        <v>0</v>
      </c>
      <c r="K305" s="1316">
        <f t="shared" si="61"/>
        <v>0</v>
      </c>
      <c r="L305" s="1314"/>
      <c r="M305" s="1315">
        <f>IF(N$1&gt;0,ROUNDUP(SUM(PROD!L$5:L306,-PROD!AM$5:AM306,-PROD!AZ$5:AZ306)/N$1*N$2,0),0)-SUM(M$4:M304)</f>
        <v>0</v>
      </c>
      <c r="N305" s="1316">
        <f t="shared" si="62"/>
        <v>0</v>
      </c>
      <c r="O305" s="1317">
        <f t="shared" si="51"/>
        <v>0</v>
      </c>
      <c r="P305" s="1318"/>
      <c r="Q305" s="1319"/>
      <c r="R305" s="1320">
        <f t="shared" si="52"/>
        <v>0</v>
      </c>
      <c r="S305" s="1316">
        <f t="shared" si="53"/>
        <v>0</v>
      </c>
      <c r="T305" s="712"/>
      <c r="U305" s="713"/>
      <c r="V305" s="714"/>
      <c r="W305" s="398">
        <f t="shared" si="60"/>
        <v>0</v>
      </c>
      <c r="X305" s="712"/>
      <c r="Y305" s="713"/>
      <c r="Z305" s="714"/>
      <c r="AA305" s="398">
        <f t="shared" si="55"/>
        <v>0</v>
      </c>
      <c r="AB305" s="712"/>
      <c r="AC305" s="713"/>
      <c r="AD305" s="714"/>
      <c r="AE305" s="398">
        <f t="shared" si="56"/>
        <v>0</v>
      </c>
      <c r="AF305" s="712"/>
      <c r="AG305" s="713"/>
      <c r="AH305" s="714"/>
      <c r="AI305" s="398">
        <f t="shared" si="57"/>
        <v>0</v>
      </c>
      <c r="AJ305" s="712"/>
      <c r="AK305" s="713"/>
      <c r="AL305" s="714"/>
      <c r="AM305" s="398">
        <f t="shared" si="58"/>
        <v>0</v>
      </c>
    </row>
    <row r="306" spans="1:39" ht="15.75" customHeight="1" x14ac:dyDescent="0.3">
      <c r="A306" s="2161"/>
      <c r="B306" s="1313" t="str">
        <f t="shared" si="54"/>
        <v/>
      </c>
      <c r="C306" s="1011">
        <f>IF($D$2="NO",0,ROUNDDOWN(SUM(PROD!$V$5:V307)/IF(Iniciar!$C$25="kilos",40,1),0)-SUM($C$4:$C305))</f>
        <v>0</v>
      </c>
      <c r="D306" s="702"/>
      <c r="E306" s="702"/>
      <c r="F306" s="300">
        <f t="shared" si="59"/>
        <v>-55000</v>
      </c>
      <c r="G306" s="694"/>
      <c r="H306" s="695"/>
      <c r="I306" s="1314"/>
      <c r="J306" s="1315">
        <f>IF(K$1&gt;0,ROUNDUP(SUM(PROD!AM$5:AM307)/K$1*K$2,0),0)-SUM(J$4:J305)</f>
        <v>0</v>
      </c>
      <c r="K306" s="1316">
        <f t="shared" si="61"/>
        <v>0</v>
      </c>
      <c r="L306" s="1314"/>
      <c r="M306" s="1315">
        <f>IF(N$1&gt;0,ROUNDUP(SUM(PROD!L$5:L307,-PROD!AM$5:AM307,-PROD!AZ$5:AZ307)/N$1*N$2,0),0)-SUM(M$4:M305)</f>
        <v>0</v>
      </c>
      <c r="N306" s="1316">
        <f t="shared" si="62"/>
        <v>0</v>
      </c>
      <c r="O306" s="1317">
        <f t="shared" si="51"/>
        <v>0</v>
      </c>
      <c r="P306" s="1318"/>
      <c r="Q306" s="1319"/>
      <c r="R306" s="1320">
        <f t="shared" si="52"/>
        <v>0</v>
      </c>
      <c r="S306" s="1316">
        <f t="shared" si="53"/>
        <v>0</v>
      </c>
      <c r="T306" s="712"/>
      <c r="U306" s="713"/>
      <c r="V306" s="714"/>
      <c r="W306" s="398">
        <f t="shared" si="60"/>
        <v>0</v>
      </c>
      <c r="X306" s="712"/>
      <c r="Y306" s="713"/>
      <c r="Z306" s="714"/>
      <c r="AA306" s="398">
        <f t="shared" si="55"/>
        <v>0</v>
      </c>
      <c r="AB306" s="712"/>
      <c r="AC306" s="713"/>
      <c r="AD306" s="714"/>
      <c r="AE306" s="398">
        <f t="shared" si="56"/>
        <v>0</v>
      </c>
      <c r="AF306" s="712"/>
      <c r="AG306" s="713"/>
      <c r="AH306" s="714"/>
      <c r="AI306" s="398">
        <f t="shared" si="57"/>
        <v>0</v>
      </c>
      <c r="AJ306" s="712"/>
      <c r="AK306" s="713"/>
      <c r="AL306" s="714"/>
      <c r="AM306" s="398">
        <f t="shared" si="58"/>
        <v>0</v>
      </c>
    </row>
    <row r="307" spans="1:39" ht="15.75" customHeight="1" x14ac:dyDescent="0.3">
      <c r="A307" s="2161"/>
      <c r="B307" s="1313" t="str">
        <f t="shared" si="54"/>
        <v/>
      </c>
      <c r="C307" s="1011">
        <f>IF($D$2="NO",0,ROUNDDOWN(SUM(PROD!$V$5:V308)/IF(Iniciar!$C$25="kilos",40,1),0)-SUM($C$4:$C306))</f>
        <v>0</v>
      </c>
      <c r="D307" s="702"/>
      <c r="E307" s="702"/>
      <c r="F307" s="300">
        <f t="shared" si="59"/>
        <v>-55000</v>
      </c>
      <c r="G307" s="694"/>
      <c r="H307" s="695"/>
      <c r="I307" s="1314"/>
      <c r="J307" s="1315">
        <f>IF(K$1&gt;0,ROUNDUP(SUM(PROD!AM$5:AM308)/K$1*K$2,0),0)-SUM(J$4:J306)</f>
        <v>0</v>
      </c>
      <c r="K307" s="1316">
        <f t="shared" si="61"/>
        <v>0</v>
      </c>
      <c r="L307" s="1314"/>
      <c r="M307" s="1315">
        <f>IF(N$1&gt;0,ROUNDUP(SUM(PROD!L$5:L308,-PROD!AM$5:AM308,-PROD!AZ$5:AZ308)/N$1*N$2,0),0)-SUM(M$4:M306)</f>
        <v>0</v>
      </c>
      <c r="N307" s="1316">
        <f t="shared" si="62"/>
        <v>0</v>
      </c>
      <c r="O307" s="1317">
        <f t="shared" si="51"/>
        <v>0</v>
      </c>
      <c r="P307" s="1318"/>
      <c r="Q307" s="1319"/>
      <c r="R307" s="1320">
        <f t="shared" si="52"/>
        <v>0</v>
      </c>
      <c r="S307" s="1316">
        <f t="shared" si="53"/>
        <v>0</v>
      </c>
      <c r="T307" s="712"/>
      <c r="U307" s="713"/>
      <c r="V307" s="714"/>
      <c r="W307" s="398">
        <f t="shared" si="60"/>
        <v>0</v>
      </c>
      <c r="X307" s="712"/>
      <c r="Y307" s="713"/>
      <c r="Z307" s="714"/>
      <c r="AA307" s="398">
        <f t="shared" si="55"/>
        <v>0</v>
      </c>
      <c r="AB307" s="712"/>
      <c r="AC307" s="713"/>
      <c r="AD307" s="714"/>
      <c r="AE307" s="398">
        <f t="shared" si="56"/>
        <v>0</v>
      </c>
      <c r="AF307" s="712"/>
      <c r="AG307" s="713"/>
      <c r="AH307" s="714"/>
      <c r="AI307" s="398">
        <f t="shared" si="57"/>
        <v>0</v>
      </c>
      <c r="AJ307" s="712"/>
      <c r="AK307" s="713"/>
      <c r="AL307" s="714"/>
      <c r="AM307" s="398">
        <f t="shared" si="58"/>
        <v>0</v>
      </c>
    </row>
    <row r="308" spans="1:39" ht="15.75" customHeight="1" x14ac:dyDescent="0.3">
      <c r="A308" s="2161"/>
      <c r="B308" s="1313" t="str">
        <f t="shared" si="54"/>
        <v/>
      </c>
      <c r="C308" s="1011">
        <f>IF($D$2="NO",0,ROUNDDOWN(SUM(PROD!$V$5:V309)/IF(Iniciar!$C$25="kilos",40,1),0)-SUM($C$4:$C307))</f>
        <v>0</v>
      </c>
      <c r="D308" s="702"/>
      <c r="E308" s="702"/>
      <c r="F308" s="300">
        <f t="shared" si="59"/>
        <v>-55000</v>
      </c>
      <c r="G308" s="694"/>
      <c r="H308" s="695"/>
      <c r="I308" s="1314"/>
      <c r="J308" s="1315">
        <f>IF(K$1&gt;0,ROUNDUP(SUM(PROD!AM$5:AM309)/K$1*K$2,0),0)-SUM(J$4:J307)</f>
        <v>0</v>
      </c>
      <c r="K308" s="1316">
        <f t="shared" si="61"/>
        <v>0</v>
      </c>
      <c r="L308" s="1314"/>
      <c r="M308" s="1315">
        <f>IF(N$1&gt;0,ROUNDUP(SUM(PROD!L$5:L309,-PROD!AM$5:AM309,-PROD!AZ$5:AZ309)/N$1*N$2,0),0)-SUM(M$4:M307)</f>
        <v>0</v>
      </c>
      <c r="N308" s="1316">
        <f t="shared" si="62"/>
        <v>0</v>
      </c>
      <c r="O308" s="1317">
        <f t="shared" si="51"/>
        <v>0</v>
      </c>
      <c r="P308" s="1318"/>
      <c r="Q308" s="1319"/>
      <c r="R308" s="1320">
        <f t="shared" si="52"/>
        <v>0</v>
      </c>
      <c r="S308" s="1316">
        <f t="shared" si="53"/>
        <v>0</v>
      </c>
      <c r="T308" s="712"/>
      <c r="U308" s="713"/>
      <c r="V308" s="714"/>
      <c r="W308" s="398">
        <f t="shared" si="60"/>
        <v>0</v>
      </c>
      <c r="X308" s="712"/>
      <c r="Y308" s="713"/>
      <c r="Z308" s="714"/>
      <c r="AA308" s="398">
        <f t="shared" si="55"/>
        <v>0</v>
      </c>
      <c r="AB308" s="712"/>
      <c r="AC308" s="713"/>
      <c r="AD308" s="714"/>
      <c r="AE308" s="398">
        <f t="shared" si="56"/>
        <v>0</v>
      </c>
      <c r="AF308" s="712"/>
      <c r="AG308" s="713"/>
      <c r="AH308" s="714"/>
      <c r="AI308" s="398">
        <f t="shared" si="57"/>
        <v>0</v>
      </c>
      <c r="AJ308" s="712"/>
      <c r="AK308" s="713"/>
      <c r="AL308" s="714"/>
      <c r="AM308" s="398">
        <f t="shared" si="58"/>
        <v>0</v>
      </c>
    </row>
    <row r="309" spans="1:39" ht="15.75" customHeight="1" x14ac:dyDescent="0.3">
      <c r="A309" s="2161"/>
      <c r="B309" s="1313" t="str">
        <f t="shared" si="54"/>
        <v/>
      </c>
      <c r="C309" s="1011">
        <f>IF($D$2="NO",0,ROUNDDOWN(SUM(PROD!$V$5:V310)/IF(Iniciar!$C$25="kilos",40,1),0)-SUM($C$4:$C308))</f>
        <v>0</v>
      </c>
      <c r="D309" s="702"/>
      <c r="E309" s="702"/>
      <c r="F309" s="300">
        <f t="shared" si="59"/>
        <v>-55000</v>
      </c>
      <c r="G309" s="694"/>
      <c r="H309" s="695"/>
      <c r="I309" s="1314"/>
      <c r="J309" s="1315">
        <f>IF(K$1&gt;0,ROUNDUP(SUM(PROD!AM$5:AM310)/K$1*K$2,0),0)-SUM(J$4:J308)</f>
        <v>0</v>
      </c>
      <c r="K309" s="1316">
        <f t="shared" si="61"/>
        <v>0</v>
      </c>
      <c r="L309" s="1314"/>
      <c r="M309" s="1315">
        <f>IF(N$1&gt;0,ROUNDUP(SUM(PROD!L$5:L310,-PROD!AM$5:AM310,-PROD!AZ$5:AZ310)/N$1*N$2,0),0)-SUM(M$4:M308)</f>
        <v>0</v>
      </c>
      <c r="N309" s="1316">
        <f t="shared" si="62"/>
        <v>0</v>
      </c>
      <c r="O309" s="1317">
        <f t="shared" si="51"/>
        <v>0</v>
      </c>
      <c r="P309" s="1318"/>
      <c r="Q309" s="1319"/>
      <c r="R309" s="1320">
        <f t="shared" si="52"/>
        <v>0</v>
      </c>
      <c r="S309" s="1316">
        <f t="shared" si="53"/>
        <v>0</v>
      </c>
      <c r="T309" s="712"/>
      <c r="U309" s="713"/>
      <c r="V309" s="714"/>
      <c r="W309" s="398">
        <f t="shared" si="60"/>
        <v>0</v>
      </c>
      <c r="X309" s="712"/>
      <c r="Y309" s="713"/>
      <c r="Z309" s="714"/>
      <c r="AA309" s="398">
        <f t="shared" si="55"/>
        <v>0</v>
      </c>
      <c r="AB309" s="712"/>
      <c r="AC309" s="713"/>
      <c r="AD309" s="714"/>
      <c r="AE309" s="398">
        <f t="shared" si="56"/>
        <v>0</v>
      </c>
      <c r="AF309" s="712"/>
      <c r="AG309" s="713"/>
      <c r="AH309" s="714"/>
      <c r="AI309" s="398">
        <f t="shared" si="57"/>
        <v>0</v>
      </c>
      <c r="AJ309" s="712"/>
      <c r="AK309" s="713"/>
      <c r="AL309" s="714"/>
      <c r="AM309" s="398">
        <f t="shared" si="58"/>
        <v>0</v>
      </c>
    </row>
    <row r="310" spans="1:39" ht="15.75" customHeight="1" x14ac:dyDescent="0.3">
      <c r="A310" s="2161"/>
      <c r="B310" s="1313" t="str">
        <f t="shared" si="54"/>
        <v/>
      </c>
      <c r="C310" s="1011">
        <f>IF($D$2="NO",0,ROUNDDOWN(SUM(PROD!$V$5:V311)/IF(Iniciar!$C$25="kilos",40,1),0)-SUM($C$4:$C309))</f>
        <v>0</v>
      </c>
      <c r="D310" s="702"/>
      <c r="E310" s="702"/>
      <c r="F310" s="300">
        <f t="shared" si="59"/>
        <v>-55000</v>
      </c>
      <c r="G310" s="694"/>
      <c r="H310" s="695"/>
      <c r="I310" s="1314"/>
      <c r="J310" s="1315">
        <f>IF(K$1&gt;0,ROUNDUP(SUM(PROD!AM$5:AM311)/K$1*K$2,0),0)-SUM(J$4:J309)</f>
        <v>0</v>
      </c>
      <c r="K310" s="1316">
        <f t="shared" si="61"/>
        <v>0</v>
      </c>
      <c r="L310" s="1314"/>
      <c r="M310" s="1315">
        <f>IF(N$1&gt;0,ROUNDUP(SUM(PROD!L$5:L311,-PROD!AM$5:AM311,-PROD!AZ$5:AZ311)/N$1*N$2,0),0)-SUM(M$4:M309)</f>
        <v>0</v>
      </c>
      <c r="N310" s="1316">
        <f t="shared" si="62"/>
        <v>0</v>
      </c>
      <c r="O310" s="1317">
        <f t="shared" si="51"/>
        <v>0</v>
      </c>
      <c r="P310" s="1318"/>
      <c r="Q310" s="1319"/>
      <c r="R310" s="1320">
        <f t="shared" si="52"/>
        <v>0</v>
      </c>
      <c r="S310" s="1316">
        <f t="shared" si="53"/>
        <v>0</v>
      </c>
      <c r="T310" s="712"/>
      <c r="U310" s="713"/>
      <c r="V310" s="714"/>
      <c r="W310" s="398">
        <f t="shared" si="60"/>
        <v>0</v>
      </c>
      <c r="X310" s="712"/>
      <c r="Y310" s="713"/>
      <c r="Z310" s="714"/>
      <c r="AA310" s="398">
        <f t="shared" si="55"/>
        <v>0</v>
      </c>
      <c r="AB310" s="712"/>
      <c r="AC310" s="713"/>
      <c r="AD310" s="714"/>
      <c r="AE310" s="398">
        <f t="shared" si="56"/>
        <v>0</v>
      </c>
      <c r="AF310" s="712"/>
      <c r="AG310" s="713"/>
      <c r="AH310" s="714"/>
      <c r="AI310" s="398">
        <f t="shared" si="57"/>
        <v>0</v>
      </c>
      <c r="AJ310" s="712"/>
      <c r="AK310" s="713"/>
      <c r="AL310" s="714"/>
      <c r="AM310" s="398">
        <f t="shared" si="58"/>
        <v>0</v>
      </c>
    </row>
    <row r="311" spans="1:39" ht="16.5" customHeight="1" x14ac:dyDescent="0.3">
      <c r="A311" s="2162"/>
      <c r="B311" s="1313" t="str">
        <f t="shared" si="54"/>
        <v/>
      </c>
      <c r="C311" s="1011">
        <f>IF($D$2="NO",0,ROUNDDOWN(SUM(PROD!$V$5:V312)/IF(Iniciar!$C$25="kilos",40,1),0)-SUM($C$4:$C310))</f>
        <v>0</v>
      </c>
      <c r="D311" s="702"/>
      <c r="E311" s="702"/>
      <c r="F311" s="300">
        <f t="shared" si="59"/>
        <v>-55000</v>
      </c>
      <c r="G311" s="694"/>
      <c r="H311" s="695"/>
      <c r="I311" s="1314"/>
      <c r="J311" s="1315">
        <f>IF(K$1&gt;0,ROUNDUP(SUM(PROD!AM$5:AM312)/K$1*K$2,0),0)-SUM(J$4:J310)</f>
        <v>0</v>
      </c>
      <c r="K311" s="1316">
        <f t="shared" si="61"/>
        <v>0</v>
      </c>
      <c r="L311" s="1314"/>
      <c r="M311" s="1315">
        <f>IF(N$1&gt;0,ROUNDUP(SUM(PROD!L$5:L312,-PROD!AM$5:AM312,-PROD!AZ$5:AZ312)/N$1*N$2,0),0)-SUM(M$4:M310)</f>
        <v>0</v>
      </c>
      <c r="N311" s="1316">
        <f t="shared" si="62"/>
        <v>0</v>
      </c>
      <c r="O311" s="1317">
        <f t="shared" si="51"/>
        <v>0</v>
      </c>
      <c r="P311" s="1318"/>
      <c r="Q311" s="1319"/>
      <c r="R311" s="1320">
        <f t="shared" si="52"/>
        <v>0</v>
      </c>
      <c r="S311" s="1316">
        <f t="shared" si="53"/>
        <v>0</v>
      </c>
      <c r="T311" s="712"/>
      <c r="U311" s="713"/>
      <c r="V311" s="714"/>
      <c r="W311" s="398">
        <f t="shared" si="60"/>
        <v>0</v>
      </c>
      <c r="X311" s="712"/>
      <c r="Y311" s="713"/>
      <c r="Z311" s="714"/>
      <c r="AA311" s="398">
        <f t="shared" si="55"/>
        <v>0</v>
      </c>
      <c r="AB311" s="712"/>
      <c r="AC311" s="713"/>
      <c r="AD311" s="714"/>
      <c r="AE311" s="398">
        <f t="shared" si="56"/>
        <v>0</v>
      </c>
      <c r="AF311" s="712"/>
      <c r="AG311" s="713"/>
      <c r="AH311" s="714"/>
      <c r="AI311" s="398">
        <f t="shared" si="57"/>
        <v>0</v>
      </c>
      <c r="AJ311" s="712"/>
      <c r="AK311" s="713"/>
      <c r="AL311" s="714"/>
      <c r="AM311" s="398">
        <f t="shared" si="58"/>
        <v>0</v>
      </c>
    </row>
    <row r="312" spans="1:39" ht="16.5" customHeight="1" x14ac:dyDescent="0.3">
      <c r="A312" s="2160">
        <f>A305+1</f>
        <v>62</v>
      </c>
      <c r="B312" s="1313" t="str">
        <f t="shared" si="54"/>
        <v/>
      </c>
      <c r="C312" s="1011">
        <f>IF($D$2="NO",0,ROUNDDOWN(SUM(PROD!$V$5:V313)/IF(Iniciar!$C$25="kilos",40,1),0)-SUM($C$4:$C311))</f>
        <v>0</v>
      </c>
      <c r="D312" s="702"/>
      <c r="E312" s="702"/>
      <c r="F312" s="300">
        <f t="shared" si="59"/>
        <v>-55000</v>
      </c>
      <c r="G312" s="694"/>
      <c r="H312" s="695"/>
      <c r="I312" s="1314"/>
      <c r="J312" s="1315">
        <f>IF(K$1&gt;0,ROUNDUP(SUM(PROD!AM$5:AM313)/K$1*K$2,0),0)-SUM(J$4:J311)</f>
        <v>0</v>
      </c>
      <c r="K312" s="1316">
        <f t="shared" si="61"/>
        <v>0</v>
      </c>
      <c r="L312" s="1314"/>
      <c r="M312" s="1315">
        <f>IF(N$1&gt;0,ROUNDUP(SUM(PROD!L$5:L313,-PROD!AM$5:AM313,-PROD!AZ$5:AZ313)/N$1*N$2,0),0)-SUM(M$4:M311)</f>
        <v>0</v>
      </c>
      <c r="N312" s="1316">
        <f t="shared" si="62"/>
        <v>0</v>
      </c>
      <c r="O312" s="1317">
        <f t="shared" si="51"/>
        <v>0</v>
      </c>
      <c r="P312" s="1318"/>
      <c r="Q312" s="1319"/>
      <c r="R312" s="1320">
        <f t="shared" si="52"/>
        <v>0</v>
      </c>
      <c r="S312" s="1316">
        <f t="shared" si="53"/>
        <v>0</v>
      </c>
      <c r="T312" s="712"/>
      <c r="U312" s="713"/>
      <c r="V312" s="714"/>
      <c r="W312" s="398">
        <f t="shared" si="60"/>
        <v>0</v>
      </c>
      <c r="X312" s="712"/>
      <c r="Y312" s="713"/>
      <c r="Z312" s="714"/>
      <c r="AA312" s="398">
        <f t="shared" si="55"/>
        <v>0</v>
      </c>
      <c r="AB312" s="712"/>
      <c r="AC312" s="713"/>
      <c r="AD312" s="714"/>
      <c r="AE312" s="398">
        <f t="shared" si="56"/>
        <v>0</v>
      </c>
      <c r="AF312" s="712"/>
      <c r="AG312" s="713"/>
      <c r="AH312" s="714"/>
      <c r="AI312" s="398">
        <f t="shared" si="57"/>
        <v>0</v>
      </c>
      <c r="AJ312" s="712"/>
      <c r="AK312" s="713"/>
      <c r="AL312" s="714"/>
      <c r="AM312" s="398">
        <f t="shared" si="58"/>
        <v>0</v>
      </c>
    </row>
    <row r="313" spans="1:39" ht="15.75" customHeight="1" x14ac:dyDescent="0.3">
      <c r="A313" s="2161"/>
      <c r="B313" s="1313" t="str">
        <f t="shared" si="54"/>
        <v/>
      </c>
      <c r="C313" s="1011">
        <f>IF($D$2="NO",0,ROUNDDOWN(SUM(PROD!$V$5:V314)/IF(Iniciar!$C$25="kilos",40,1),0)-SUM($C$4:$C312))</f>
        <v>0</v>
      </c>
      <c r="D313" s="702"/>
      <c r="E313" s="702"/>
      <c r="F313" s="300">
        <f t="shared" si="59"/>
        <v>-55000</v>
      </c>
      <c r="G313" s="694"/>
      <c r="H313" s="695"/>
      <c r="I313" s="1314"/>
      <c r="J313" s="1315">
        <f>IF(K$1&gt;0,ROUNDUP(SUM(PROD!AM$5:AM314)/K$1*K$2,0),0)-SUM(J$4:J312)</f>
        <v>0</v>
      </c>
      <c r="K313" s="1316">
        <f t="shared" si="61"/>
        <v>0</v>
      </c>
      <c r="L313" s="1314"/>
      <c r="M313" s="1315">
        <f>IF(N$1&gt;0,ROUNDUP(SUM(PROD!L$5:L314,-PROD!AM$5:AM314,-PROD!AZ$5:AZ314)/N$1*N$2,0),0)-SUM(M$4:M312)</f>
        <v>0</v>
      </c>
      <c r="N313" s="1316">
        <f t="shared" si="62"/>
        <v>0</v>
      </c>
      <c r="O313" s="1317">
        <f t="shared" si="51"/>
        <v>0</v>
      </c>
      <c r="P313" s="1318"/>
      <c r="Q313" s="1319"/>
      <c r="R313" s="1320">
        <f t="shared" si="52"/>
        <v>0</v>
      </c>
      <c r="S313" s="1316">
        <f t="shared" si="53"/>
        <v>0</v>
      </c>
      <c r="T313" s="712"/>
      <c r="U313" s="713"/>
      <c r="V313" s="714"/>
      <c r="W313" s="398">
        <f t="shared" si="60"/>
        <v>0</v>
      </c>
      <c r="X313" s="712"/>
      <c r="Y313" s="713"/>
      <c r="Z313" s="714"/>
      <c r="AA313" s="398">
        <f t="shared" si="55"/>
        <v>0</v>
      </c>
      <c r="AB313" s="712"/>
      <c r="AC313" s="713"/>
      <c r="AD313" s="714"/>
      <c r="AE313" s="398">
        <f t="shared" si="56"/>
        <v>0</v>
      </c>
      <c r="AF313" s="712"/>
      <c r="AG313" s="713"/>
      <c r="AH313" s="714"/>
      <c r="AI313" s="398">
        <f t="shared" si="57"/>
        <v>0</v>
      </c>
      <c r="AJ313" s="712"/>
      <c r="AK313" s="713"/>
      <c r="AL313" s="714"/>
      <c r="AM313" s="398">
        <f t="shared" si="58"/>
        <v>0</v>
      </c>
    </row>
    <row r="314" spans="1:39" ht="15.75" customHeight="1" x14ac:dyDescent="0.3">
      <c r="A314" s="2161"/>
      <c r="B314" s="1313" t="str">
        <f t="shared" si="54"/>
        <v/>
      </c>
      <c r="C314" s="1011">
        <f>IF($D$2="NO",0,ROUNDDOWN(SUM(PROD!$V$5:V315)/IF(Iniciar!$C$25="kilos",40,1),0)-SUM($C$4:$C313))</f>
        <v>0</v>
      </c>
      <c r="D314" s="702"/>
      <c r="E314" s="702"/>
      <c r="F314" s="300">
        <f t="shared" si="59"/>
        <v>-55000</v>
      </c>
      <c r="G314" s="694"/>
      <c r="H314" s="695"/>
      <c r="I314" s="1314"/>
      <c r="J314" s="1315">
        <f>IF(K$1&gt;0,ROUNDUP(SUM(PROD!AM$5:AM315)/K$1*K$2,0),0)-SUM(J$4:J313)</f>
        <v>0</v>
      </c>
      <c r="K314" s="1316">
        <f t="shared" si="61"/>
        <v>0</v>
      </c>
      <c r="L314" s="1314"/>
      <c r="M314" s="1315">
        <f>IF(N$1&gt;0,ROUNDUP(SUM(PROD!L$5:L315,-PROD!AM$5:AM315,-PROD!AZ$5:AZ315)/N$1*N$2,0),0)-SUM(M$4:M313)</f>
        <v>0</v>
      </c>
      <c r="N314" s="1316">
        <f t="shared" si="62"/>
        <v>0</v>
      </c>
      <c r="O314" s="1317">
        <f t="shared" si="51"/>
        <v>0</v>
      </c>
      <c r="P314" s="1318"/>
      <c r="Q314" s="1319"/>
      <c r="R314" s="1320">
        <f t="shared" si="52"/>
        <v>0</v>
      </c>
      <c r="S314" s="1316">
        <f t="shared" si="53"/>
        <v>0</v>
      </c>
      <c r="T314" s="712"/>
      <c r="U314" s="713"/>
      <c r="V314" s="714"/>
      <c r="W314" s="398">
        <f t="shared" si="60"/>
        <v>0</v>
      </c>
      <c r="X314" s="712"/>
      <c r="Y314" s="713"/>
      <c r="Z314" s="714"/>
      <c r="AA314" s="398">
        <f t="shared" si="55"/>
        <v>0</v>
      </c>
      <c r="AB314" s="712"/>
      <c r="AC314" s="713"/>
      <c r="AD314" s="714"/>
      <c r="AE314" s="398">
        <f t="shared" si="56"/>
        <v>0</v>
      </c>
      <c r="AF314" s="712"/>
      <c r="AG314" s="713"/>
      <c r="AH314" s="714"/>
      <c r="AI314" s="398">
        <f t="shared" si="57"/>
        <v>0</v>
      </c>
      <c r="AJ314" s="712"/>
      <c r="AK314" s="713"/>
      <c r="AL314" s="714"/>
      <c r="AM314" s="398">
        <f t="shared" si="58"/>
        <v>0</v>
      </c>
    </row>
    <row r="315" spans="1:39" ht="15.75" customHeight="1" x14ac:dyDescent="0.3">
      <c r="A315" s="2161"/>
      <c r="B315" s="1313" t="str">
        <f t="shared" si="54"/>
        <v/>
      </c>
      <c r="C315" s="1011">
        <f>IF($D$2="NO",0,ROUNDDOWN(SUM(PROD!$V$5:V316)/IF(Iniciar!$C$25="kilos",40,1),0)-SUM($C$4:$C314))</f>
        <v>0</v>
      </c>
      <c r="D315" s="702"/>
      <c r="E315" s="702"/>
      <c r="F315" s="300">
        <f t="shared" si="59"/>
        <v>-55000</v>
      </c>
      <c r="G315" s="694"/>
      <c r="H315" s="695"/>
      <c r="I315" s="1314"/>
      <c r="J315" s="1315">
        <f>IF(K$1&gt;0,ROUNDUP(SUM(PROD!AM$5:AM316)/K$1*K$2,0),0)-SUM(J$4:J314)</f>
        <v>0</v>
      </c>
      <c r="K315" s="1316">
        <f t="shared" si="61"/>
        <v>0</v>
      </c>
      <c r="L315" s="1314"/>
      <c r="M315" s="1315">
        <f>IF(N$1&gt;0,ROUNDUP(SUM(PROD!L$5:L316,-PROD!AM$5:AM316,-PROD!AZ$5:AZ316)/N$1*N$2,0),0)-SUM(M$4:M314)</f>
        <v>0</v>
      </c>
      <c r="N315" s="1316">
        <f t="shared" si="62"/>
        <v>0</v>
      </c>
      <c r="O315" s="1317">
        <f t="shared" si="51"/>
        <v>0</v>
      </c>
      <c r="P315" s="1318"/>
      <c r="Q315" s="1319"/>
      <c r="R315" s="1320">
        <f t="shared" si="52"/>
        <v>0</v>
      </c>
      <c r="S315" s="1316">
        <f t="shared" si="53"/>
        <v>0</v>
      </c>
      <c r="T315" s="712"/>
      <c r="U315" s="713"/>
      <c r="V315" s="714"/>
      <c r="W315" s="398">
        <f t="shared" si="60"/>
        <v>0</v>
      </c>
      <c r="X315" s="712"/>
      <c r="Y315" s="713"/>
      <c r="Z315" s="714"/>
      <c r="AA315" s="398">
        <f t="shared" si="55"/>
        <v>0</v>
      </c>
      <c r="AB315" s="712"/>
      <c r="AC315" s="713"/>
      <c r="AD315" s="714"/>
      <c r="AE315" s="398">
        <f t="shared" si="56"/>
        <v>0</v>
      </c>
      <c r="AF315" s="712"/>
      <c r="AG315" s="713"/>
      <c r="AH315" s="714"/>
      <c r="AI315" s="398">
        <f t="shared" si="57"/>
        <v>0</v>
      </c>
      <c r="AJ315" s="712"/>
      <c r="AK315" s="713"/>
      <c r="AL315" s="714"/>
      <c r="AM315" s="398">
        <f t="shared" si="58"/>
        <v>0</v>
      </c>
    </row>
    <row r="316" spans="1:39" ht="15.75" customHeight="1" x14ac:dyDescent="0.3">
      <c r="A316" s="2161"/>
      <c r="B316" s="1313" t="str">
        <f t="shared" si="54"/>
        <v/>
      </c>
      <c r="C316" s="1011">
        <f>IF($D$2="NO",0,ROUNDDOWN(SUM(PROD!$V$5:V317)/IF(Iniciar!$C$25="kilos",40,1),0)-SUM($C$4:$C315))</f>
        <v>0</v>
      </c>
      <c r="D316" s="702"/>
      <c r="E316" s="702"/>
      <c r="F316" s="300">
        <f t="shared" si="59"/>
        <v>-55000</v>
      </c>
      <c r="G316" s="694"/>
      <c r="H316" s="695"/>
      <c r="I316" s="1314"/>
      <c r="J316" s="1315">
        <f>IF(K$1&gt;0,ROUNDUP(SUM(PROD!AM$5:AM317)/K$1*K$2,0),0)-SUM(J$4:J315)</f>
        <v>0</v>
      </c>
      <c r="K316" s="1316">
        <f t="shared" si="61"/>
        <v>0</v>
      </c>
      <c r="L316" s="1314"/>
      <c r="M316" s="1315">
        <f>IF(N$1&gt;0,ROUNDUP(SUM(PROD!L$5:L317,-PROD!AM$5:AM317,-PROD!AZ$5:AZ317)/N$1*N$2,0),0)-SUM(M$4:M315)</f>
        <v>0</v>
      </c>
      <c r="N316" s="1316">
        <f t="shared" si="62"/>
        <v>0</v>
      </c>
      <c r="O316" s="1317">
        <f t="shared" si="51"/>
        <v>0</v>
      </c>
      <c r="P316" s="1318"/>
      <c r="Q316" s="1319"/>
      <c r="R316" s="1320">
        <f t="shared" si="52"/>
        <v>0</v>
      </c>
      <c r="S316" s="1316">
        <f t="shared" si="53"/>
        <v>0</v>
      </c>
      <c r="T316" s="712"/>
      <c r="U316" s="713"/>
      <c r="V316" s="714"/>
      <c r="W316" s="398">
        <f t="shared" si="60"/>
        <v>0</v>
      </c>
      <c r="X316" s="712"/>
      <c r="Y316" s="713"/>
      <c r="Z316" s="714"/>
      <c r="AA316" s="398">
        <f t="shared" si="55"/>
        <v>0</v>
      </c>
      <c r="AB316" s="712"/>
      <c r="AC316" s="713"/>
      <c r="AD316" s="714"/>
      <c r="AE316" s="398">
        <f t="shared" si="56"/>
        <v>0</v>
      </c>
      <c r="AF316" s="712"/>
      <c r="AG316" s="713"/>
      <c r="AH316" s="714"/>
      <c r="AI316" s="398">
        <f t="shared" si="57"/>
        <v>0</v>
      </c>
      <c r="AJ316" s="712"/>
      <c r="AK316" s="713"/>
      <c r="AL316" s="714"/>
      <c r="AM316" s="398">
        <f t="shared" si="58"/>
        <v>0</v>
      </c>
    </row>
    <row r="317" spans="1:39" ht="15.75" customHeight="1" x14ac:dyDescent="0.3">
      <c r="A317" s="2161"/>
      <c r="B317" s="1313" t="str">
        <f t="shared" si="54"/>
        <v/>
      </c>
      <c r="C317" s="1011">
        <f>IF($D$2="NO",0,ROUNDDOWN(SUM(PROD!$V$5:V318)/IF(Iniciar!$C$25="kilos",40,1),0)-SUM($C$4:$C316))</f>
        <v>0</v>
      </c>
      <c r="D317" s="702"/>
      <c r="E317" s="702"/>
      <c r="F317" s="300">
        <f t="shared" si="59"/>
        <v>-55000</v>
      </c>
      <c r="G317" s="694"/>
      <c r="H317" s="695"/>
      <c r="I317" s="1314"/>
      <c r="J317" s="1315">
        <f>IF(K$1&gt;0,ROUNDUP(SUM(PROD!AM$5:AM318)/K$1*K$2,0),0)-SUM(J$4:J316)</f>
        <v>0</v>
      </c>
      <c r="K317" s="1316">
        <f t="shared" si="61"/>
        <v>0</v>
      </c>
      <c r="L317" s="1314"/>
      <c r="M317" s="1315">
        <f>IF(N$1&gt;0,ROUNDUP(SUM(PROD!L$5:L318,-PROD!AM$5:AM318,-PROD!AZ$5:AZ318)/N$1*N$2,0),0)-SUM(M$4:M316)</f>
        <v>0</v>
      </c>
      <c r="N317" s="1316">
        <f t="shared" si="62"/>
        <v>0</v>
      </c>
      <c r="O317" s="1317">
        <f t="shared" si="51"/>
        <v>0</v>
      </c>
      <c r="P317" s="1318"/>
      <c r="Q317" s="1319"/>
      <c r="R317" s="1320">
        <f t="shared" si="52"/>
        <v>0</v>
      </c>
      <c r="S317" s="1316">
        <f t="shared" si="53"/>
        <v>0</v>
      </c>
      <c r="T317" s="712"/>
      <c r="U317" s="713"/>
      <c r="V317" s="714"/>
      <c r="W317" s="398">
        <f t="shared" si="60"/>
        <v>0</v>
      </c>
      <c r="X317" s="712"/>
      <c r="Y317" s="713"/>
      <c r="Z317" s="714"/>
      <c r="AA317" s="398">
        <f t="shared" si="55"/>
        <v>0</v>
      </c>
      <c r="AB317" s="712"/>
      <c r="AC317" s="713"/>
      <c r="AD317" s="714"/>
      <c r="AE317" s="398">
        <f t="shared" si="56"/>
        <v>0</v>
      </c>
      <c r="AF317" s="712"/>
      <c r="AG317" s="713"/>
      <c r="AH317" s="714"/>
      <c r="AI317" s="398">
        <f t="shared" si="57"/>
        <v>0</v>
      </c>
      <c r="AJ317" s="712"/>
      <c r="AK317" s="713"/>
      <c r="AL317" s="714"/>
      <c r="AM317" s="398">
        <f t="shared" si="58"/>
        <v>0</v>
      </c>
    </row>
    <row r="318" spans="1:39" ht="16.5" customHeight="1" x14ac:dyDescent="0.3">
      <c r="A318" s="2162"/>
      <c r="B318" s="1313" t="str">
        <f t="shared" si="54"/>
        <v/>
      </c>
      <c r="C318" s="1011">
        <f>IF($D$2="NO",0,ROUNDDOWN(SUM(PROD!$V$5:V319)/IF(Iniciar!$C$25="kilos",40,1),0)-SUM($C$4:$C317))</f>
        <v>0</v>
      </c>
      <c r="D318" s="702"/>
      <c r="E318" s="702"/>
      <c r="F318" s="300">
        <f t="shared" si="59"/>
        <v>-55000</v>
      </c>
      <c r="G318" s="694"/>
      <c r="H318" s="695"/>
      <c r="I318" s="1314"/>
      <c r="J318" s="1315">
        <f>IF(K$1&gt;0,ROUNDUP(SUM(PROD!AM$5:AM319)/K$1*K$2,0),0)-SUM(J$4:J317)</f>
        <v>0</v>
      </c>
      <c r="K318" s="1316">
        <f t="shared" si="61"/>
        <v>0</v>
      </c>
      <c r="L318" s="1314"/>
      <c r="M318" s="1315">
        <f>IF(N$1&gt;0,ROUNDUP(SUM(PROD!L$5:L319,-PROD!AM$5:AM319,-PROD!AZ$5:AZ319)/N$1*N$2,0),0)-SUM(M$4:M317)</f>
        <v>0</v>
      </c>
      <c r="N318" s="1316">
        <f t="shared" si="62"/>
        <v>0</v>
      </c>
      <c r="O318" s="1317">
        <f t="shared" si="51"/>
        <v>0</v>
      </c>
      <c r="P318" s="1318"/>
      <c r="Q318" s="1319"/>
      <c r="R318" s="1320">
        <f t="shared" si="52"/>
        <v>0</v>
      </c>
      <c r="S318" s="1316">
        <f t="shared" si="53"/>
        <v>0</v>
      </c>
      <c r="T318" s="712"/>
      <c r="U318" s="713"/>
      <c r="V318" s="714"/>
      <c r="W318" s="398">
        <f t="shared" si="60"/>
        <v>0</v>
      </c>
      <c r="X318" s="712"/>
      <c r="Y318" s="713"/>
      <c r="Z318" s="714"/>
      <c r="AA318" s="398">
        <f t="shared" si="55"/>
        <v>0</v>
      </c>
      <c r="AB318" s="712"/>
      <c r="AC318" s="713"/>
      <c r="AD318" s="714"/>
      <c r="AE318" s="398">
        <f t="shared" si="56"/>
        <v>0</v>
      </c>
      <c r="AF318" s="712"/>
      <c r="AG318" s="713"/>
      <c r="AH318" s="714"/>
      <c r="AI318" s="398">
        <f t="shared" si="57"/>
        <v>0</v>
      </c>
      <c r="AJ318" s="712"/>
      <c r="AK318" s="713"/>
      <c r="AL318" s="714"/>
      <c r="AM318" s="398">
        <f t="shared" si="58"/>
        <v>0</v>
      </c>
    </row>
    <row r="319" spans="1:39" ht="16.5" customHeight="1" x14ac:dyDescent="0.3">
      <c r="A319" s="2160">
        <f>A312+1</f>
        <v>63</v>
      </c>
      <c r="B319" s="1313" t="str">
        <f t="shared" si="54"/>
        <v/>
      </c>
      <c r="C319" s="1011">
        <f>IF($D$2="NO",0,ROUNDDOWN(SUM(PROD!$V$5:V320)/IF(Iniciar!$C$25="kilos",40,1),0)-SUM($C$4:$C318))</f>
        <v>0</v>
      </c>
      <c r="D319" s="702"/>
      <c r="E319" s="702"/>
      <c r="F319" s="300">
        <f t="shared" si="59"/>
        <v>-55000</v>
      </c>
      <c r="G319" s="694"/>
      <c r="H319" s="695"/>
      <c r="I319" s="1314"/>
      <c r="J319" s="1315">
        <f>IF(K$1&gt;0,ROUNDUP(SUM(PROD!AM$5:AM320)/K$1*K$2,0),0)-SUM(J$4:J318)</f>
        <v>0</v>
      </c>
      <c r="K319" s="1316">
        <f t="shared" si="61"/>
        <v>0</v>
      </c>
      <c r="L319" s="1314"/>
      <c r="M319" s="1315">
        <f>IF(N$1&gt;0,ROUNDUP(SUM(PROD!L$5:L320,-PROD!AM$5:AM320,-PROD!AZ$5:AZ320)/N$1*N$2,0),0)-SUM(M$4:M318)</f>
        <v>0</v>
      </c>
      <c r="N319" s="1316">
        <f t="shared" si="62"/>
        <v>0</v>
      </c>
      <c r="O319" s="1317">
        <f t="shared" si="51"/>
        <v>0</v>
      </c>
      <c r="P319" s="1318"/>
      <c r="Q319" s="1319"/>
      <c r="R319" s="1320">
        <f t="shared" si="52"/>
        <v>0</v>
      </c>
      <c r="S319" s="1316">
        <f t="shared" si="53"/>
        <v>0</v>
      </c>
      <c r="T319" s="712"/>
      <c r="U319" s="713"/>
      <c r="V319" s="714"/>
      <c r="W319" s="398">
        <f t="shared" si="60"/>
        <v>0</v>
      </c>
      <c r="X319" s="712"/>
      <c r="Y319" s="713"/>
      <c r="Z319" s="714"/>
      <c r="AA319" s="398">
        <f t="shared" si="55"/>
        <v>0</v>
      </c>
      <c r="AB319" s="712"/>
      <c r="AC319" s="713"/>
      <c r="AD319" s="714"/>
      <c r="AE319" s="398">
        <f t="shared" si="56"/>
        <v>0</v>
      </c>
      <c r="AF319" s="712"/>
      <c r="AG319" s="713"/>
      <c r="AH319" s="714"/>
      <c r="AI319" s="398">
        <f t="shared" si="57"/>
        <v>0</v>
      </c>
      <c r="AJ319" s="712"/>
      <c r="AK319" s="713"/>
      <c r="AL319" s="714"/>
      <c r="AM319" s="398">
        <f t="shared" si="58"/>
        <v>0</v>
      </c>
    </row>
    <row r="320" spans="1:39" ht="15.75" customHeight="1" x14ac:dyDescent="0.3">
      <c r="A320" s="2161"/>
      <c r="B320" s="1313" t="str">
        <f t="shared" si="54"/>
        <v/>
      </c>
      <c r="C320" s="1011">
        <f>IF($D$2="NO",0,ROUNDDOWN(SUM(PROD!$V$5:V321)/IF(Iniciar!$C$25="kilos",40,1),0)-SUM($C$4:$C319))</f>
        <v>0</v>
      </c>
      <c r="D320" s="702"/>
      <c r="E320" s="702"/>
      <c r="F320" s="300">
        <f t="shared" si="59"/>
        <v>-55000</v>
      </c>
      <c r="G320" s="694"/>
      <c r="H320" s="695"/>
      <c r="I320" s="1314"/>
      <c r="J320" s="1315">
        <f>IF(K$1&gt;0,ROUNDUP(SUM(PROD!AM$5:AM321)/K$1*K$2,0),0)-SUM(J$4:J319)</f>
        <v>0</v>
      </c>
      <c r="K320" s="1316">
        <f t="shared" si="61"/>
        <v>0</v>
      </c>
      <c r="L320" s="1314"/>
      <c r="M320" s="1315">
        <f>IF(N$1&gt;0,ROUNDUP(SUM(PROD!L$5:L321,-PROD!AM$5:AM321,-PROD!AZ$5:AZ321)/N$1*N$2,0),0)-SUM(M$4:M319)</f>
        <v>0</v>
      </c>
      <c r="N320" s="1316">
        <f t="shared" si="62"/>
        <v>0</v>
      </c>
      <c r="O320" s="1317">
        <f t="shared" si="51"/>
        <v>0</v>
      </c>
      <c r="P320" s="1318"/>
      <c r="Q320" s="1319"/>
      <c r="R320" s="1320">
        <f t="shared" si="52"/>
        <v>0</v>
      </c>
      <c r="S320" s="1316">
        <f t="shared" si="53"/>
        <v>0</v>
      </c>
      <c r="T320" s="712"/>
      <c r="U320" s="713"/>
      <c r="V320" s="714"/>
      <c r="W320" s="398">
        <f t="shared" si="60"/>
        <v>0</v>
      </c>
      <c r="X320" s="712"/>
      <c r="Y320" s="713"/>
      <c r="Z320" s="714"/>
      <c r="AA320" s="398">
        <f t="shared" si="55"/>
        <v>0</v>
      </c>
      <c r="AB320" s="712"/>
      <c r="AC320" s="713"/>
      <c r="AD320" s="714"/>
      <c r="AE320" s="398">
        <f t="shared" si="56"/>
        <v>0</v>
      </c>
      <c r="AF320" s="712"/>
      <c r="AG320" s="713"/>
      <c r="AH320" s="714"/>
      <c r="AI320" s="398">
        <f t="shared" si="57"/>
        <v>0</v>
      </c>
      <c r="AJ320" s="712"/>
      <c r="AK320" s="713"/>
      <c r="AL320" s="714"/>
      <c r="AM320" s="398">
        <f t="shared" si="58"/>
        <v>0</v>
      </c>
    </row>
    <row r="321" spans="1:39" ht="15.75" customHeight="1" x14ac:dyDescent="0.3">
      <c r="A321" s="2161"/>
      <c r="B321" s="1313" t="str">
        <f t="shared" si="54"/>
        <v/>
      </c>
      <c r="C321" s="1011">
        <f>IF($D$2="NO",0,ROUNDDOWN(SUM(PROD!$V$5:V322)/IF(Iniciar!$C$25="kilos",40,1),0)-SUM($C$4:$C320))</f>
        <v>0</v>
      </c>
      <c r="D321" s="702"/>
      <c r="E321" s="702"/>
      <c r="F321" s="300">
        <f t="shared" si="59"/>
        <v>-55000</v>
      </c>
      <c r="G321" s="694"/>
      <c r="H321" s="695"/>
      <c r="I321" s="1314"/>
      <c r="J321" s="1315">
        <f>IF(K$1&gt;0,ROUNDUP(SUM(PROD!AM$5:AM322)/K$1*K$2,0),0)-SUM(J$4:J320)</f>
        <v>0</v>
      </c>
      <c r="K321" s="1316">
        <f t="shared" si="61"/>
        <v>0</v>
      </c>
      <c r="L321" s="1314"/>
      <c r="M321" s="1315">
        <f>IF(N$1&gt;0,ROUNDUP(SUM(PROD!L$5:L322,-PROD!AM$5:AM322,-PROD!AZ$5:AZ322)/N$1*N$2,0),0)-SUM(M$4:M320)</f>
        <v>0</v>
      </c>
      <c r="N321" s="1316">
        <f t="shared" si="62"/>
        <v>0</v>
      </c>
      <c r="O321" s="1317">
        <f t="shared" si="51"/>
        <v>0</v>
      </c>
      <c r="P321" s="1318"/>
      <c r="Q321" s="1319"/>
      <c r="R321" s="1320">
        <f t="shared" si="52"/>
        <v>0</v>
      </c>
      <c r="S321" s="1316">
        <f t="shared" si="53"/>
        <v>0</v>
      </c>
      <c r="T321" s="712"/>
      <c r="U321" s="713"/>
      <c r="V321" s="714"/>
      <c r="W321" s="398">
        <f t="shared" si="60"/>
        <v>0</v>
      </c>
      <c r="X321" s="712"/>
      <c r="Y321" s="713"/>
      <c r="Z321" s="714"/>
      <c r="AA321" s="398">
        <f t="shared" si="55"/>
        <v>0</v>
      </c>
      <c r="AB321" s="712"/>
      <c r="AC321" s="713"/>
      <c r="AD321" s="714"/>
      <c r="AE321" s="398">
        <f t="shared" si="56"/>
        <v>0</v>
      </c>
      <c r="AF321" s="712"/>
      <c r="AG321" s="713"/>
      <c r="AH321" s="714"/>
      <c r="AI321" s="398">
        <f t="shared" si="57"/>
        <v>0</v>
      </c>
      <c r="AJ321" s="712"/>
      <c r="AK321" s="713"/>
      <c r="AL321" s="714"/>
      <c r="AM321" s="398">
        <f t="shared" si="58"/>
        <v>0</v>
      </c>
    </row>
    <row r="322" spans="1:39" ht="15.75" customHeight="1" x14ac:dyDescent="0.3">
      <c r="A322" s="2161"/>
      <c r="B322" s="1313" t="str">
        <f t="shared" si="54"/>
        <v/>
      </c>
      <c r="C322" s="1011">
        <f>IF($D$2="NO",0,ROUNDDOWN(SUM(PROD!$V$5:V323)/IF(Iniciar!$C$25="kilos",40,1),0)-SUM($C$4:$C321))</f>
        <v>0</v>
      </c>
      <c r="D322" s="702"/>
      <c r="E322" s="702"/>
      <c r="F322" s="300">
        <f t="shared" si="59"/>
        <v>-55000</v>
      </c>
      <c r="G322" s="694"/>
      <c r="H322" s="695"/>
      <c r="I322" s="1314"/>
      <c r="J322" s="1315">
        <f>IF(K$1&gt;0,ROUNDUP(SUM(PROD!AM$5:AM323)/K$1*K$2,0),0)-SUM(J$4:J321)</f>
        <v>0</v>
      </c>
      <c r="K322" s="1316">
        <f t="shared" si="61"/>
        <v>0</v>
      </c>
      <c r="L322" s="1314"/>
      <c r="M322" s="1315">
        <f>IF(N$1&gt;0,ROUNDUP(SUM(PROD!L$5:L323,-PROD!AM$5:AM323,-PROD!AZ$5:AZ323)/N$1*N$2,0),0)-SUM(M$4:M321)</f>
        <v>0</v>
      </c>
      <c r="N322" s="1316">
        <f t="shared" si="62"/>
        <v>0</v>
      </c>
      <c r="O322" s="1317">
        <f t="shared" si="51"/>
        <v>0</v>
      </c>
      <c r="P322" s="1318"/>
      <c r="Q322" s="1319"/>
      <c r="R322" s="1320">
        <f t="shared" si="52"/>
        <v>0</v>
      </c>
      <c r="S322" s="1316">
        <f t="shared" si="53"/>
        <v>0</v>
      </c>
      <c r="T322" s="712"/>
      <c r="U322" s="713"/>
      <c r="V322" s="714"/>
      <c r="W322" s="398">
        <f t="shared" si="60"/>
        <v>0</v>
      </c>
      <c r="X322" s="712"/>
      <c r="Y322" s="713"/>
      <c r="Z322" s="714"/>
      <c r="AA322" s="398">
        <f t="shared" si="55"/>
        <v>0</v>
      </c>
      <c r="AB322" s="712"/>
      <c r="AC322" s="713"/>
      <c r="AD322" s="714"/>
      <c r="AE322" s="398">
        <f t="shared" si="56"/>
        <v>0</v>
      </c>
      <c r="AF322" s="712"/>
      <c r="AG322" s="713"/>
      <c r="AH322" s="714"/>
      <c r="AI322" s="398">
        <f t="shared" si="57"/>
        <v>0</v>
      </c>
      <c r="AJ322" s="712"/>
      <c r="AK322" s="713"/>
      <c r="AL322" s="714"/>
      <c r="AM322" s="398">
        <f t="shared" si="58"/>
        <v>0</v>
      </c>
    </row>
    <row r="323" spans="1:39" ht="15.75" customHeight="1" x14ac:dyDescent="0.3">
      <c r="A323" s="2161"/>
      <c r="B323" s="1313" t="str">
        <f t="shared" si="54"/>
        <v/>
      </c>
      <c r="C323" s="1011">
        <f>IF($D$2="NO",0,ROUNDDOWN(SUM(PROD!$V$5:V324)/IF(Iniciar!$C$25="kilos",40,1),0)-SUM($C$4:$C322))</f>
        <v>0</v>
      </c>
      <c r="D323" s="702"/>
      <c r="E323" s="702"/>
      <c r="F323" s="300">
        <f t="shared" si="59"/>
        <v>-55000</v>
      </c>
      <c r="G323" s="694"/>
      <c r="H323" s="695"/>
      <c r="I323" s="1314"/>
      <c r="J323" s="1315">
        <f>IF(K$1&gt;0,ROUNDUP(SUM(PROD!AM$5:AM324)/K$1*K$2,0),0)-SUM(J$4:J322)</f>
        <v>0</v>
      </c>
      <c r="K323" s="1316">
        <f t="shared" si="61"/>
        <v>0</v>
      </c>
      <c r="L323" s="1314"/>
      <c r="M323" s="1315">
        <f>IF(N$1&gt;0,ROUNDUP(SUM(PROD!L$5:L324,-PROD!AM$5:AM324,-PROD!AZ$5:AZ324)/N$1*N$2,0),0)-SUM(M$4:M322)</f>
        <v>0</v>
      </c>
      <c r="N323" s="1316">
        <f t="shared" si="62"/>
        <v>0</v>
      </c>
      <c r="O323" s="1317">
        <f t="shared" si="51"/>
        <v>0</v>
      </c>
      <c r="P323" s="1318"/>
      <c r="Q323" s="1319"/>
      <c r="R323" s="1320">
        <f t="shared" si="52"/>
        <v>0</v>
      </c>
      <c r="S323" s="1316">
        <f t="shared" si="53"/>
        <v>0</v>
      </c>
      <c r="T323" s="712"/>
      <c r="U323" s="713"/>
      <c r="V323" s="714"/>
      <c r="W323" s="398">
        <f t="shared" si="60"/>
        <v>0</v>
      </c>
      <c r="X323" s="712"/>
      <c r="Y323" s="713"/>
      <c r="Z323" s="714"/>
      <c r="AA323" s="398">
        <f t="shared" si="55"/>
        <v>0</v>
      </c>
      <c r="AB323" s="712"/>
      <c r="AC323" s="713"/>
      <c r="AD323" s="714"/>
      <c r="AE323" s="398">
        <f t="shared" si="56"/>
        <v>0</v>
      </c>
      <c r="AF323" s="712"/>
      <c r="AG323" s="713"/>
      <c r="AH323" s="714"/>
      <c r="AI323" s="398">
        <f t="shared" si="57"/>
        <v>0</v>
      </c>
      <c r="AJ323" s="712"/>
      <c r="AK323" s="713"/>
      <c r="AL323" s="714"/>
      <c r="AM323" s="398">
        <f t="shared" si="58"/>
        <v>0</v>
      </c>
    </row>
    <row r="324" spans="1:39" ht="15.75" customHeight="1" x14ac:dyDescent="0.3">
      <c r="A324" s="2161"/>
      <c r="B324" s="1313" t="str">
        <f t="shared" si="54"/>
        <v/>
      </c>
      <c r="C324" s="1011">
        <f>IF($D$2="NO",0,ROUNDDOWN(SUM(PROD!$V$5:V325)/IF(Iniciar!$C$25="kilos",40,1),0)-SUM($C$4:$C323))</f>
        <v>0</v>
      </c>
      <c r="D324" s="702"/>
      <c r="E324" s="702"/>
      <c r="F324" s="300">
        <f t="shared" si="59"/>
        <v>-55000</v>
      </c>
      <c r="G324" s="694"/>
      <c r="H324" s="695"/>
      <c r="I324" s="1314"/>
      <c r="J324" s="1315">
        <f>IF(K$1&gt;0,ROUNDUP(SUM(PROD!AM$5:AM325)/K$1*K$2,0),0)-SUM(J$4:J323)</f>
        <v>0</v>
      </c>
      <c r="K324" s="1316">
        <f t="shared" si="61"/>
        <v>0</v>
      </c>
      <c r="L324" s="1314"/>
      <c r="M324" s="1315">
        <f>IF(N$1&gt;0,ROUNDUP(SUM(PROD!L$5:L325,-PROD!AM$5:AM325,-PROD!AZ$5:AZ325)/N$1*N$2,0),0)-SUM(M$4:M323)</f>
        <v>0</v>
      </c>
      <c r="N324" s="1316">
        <f t="shared" si="62"/>
        <v>0</v>
      </c>
      <c r="O324" s="1317">
        <f t="shared" ref="O324:O387" si="63">L324+I324</f>
        <v>0</v>
      </c>
      <c r="P324" s="1318"/>
      <c r="Q324" s="1319"/>
      <c r="R324" s="1320">
        <f t="shared" ref="R324:R387" si="64">M324+J324</f>
        <v>0</v>
      </c>
      <c r="S324" s="1316">
        <f t="shared" ref="S324:S387" si="65">N324+K324</f>
        <v>0</v>
      </c>
      <c r="T324" s="712"/>
      <c r="U324" s="713"/>
      <c r="V324" s="714"/>
      <c r="W324" s="398">
        <f t="shared" si="60"/>
        <v>0</v>
      </c>
      <c r="X324" s="712"/>
      <c r="Y324" s="713"/>
      <c r="Z324" s="714"/>
      <c r="AA324" s="398">
        <f t="shared" si="55"/>
        <v>0</v>
      </c>
      <c r="AB324" s="712"/>
      <c r="AC324" s="713"/>
      <c r="AD324" s="714"/>
      <c r="AE324" s="398">
        <f t="shared" si="56"/>
        <v>0</v>
      </c>
      <c r="AF324" s="712"/>
      <c r="AG324" s="713"/>
      <c r="AH324" s="714"/>
      <c r="AI324" s="398">
        <f t="shared" si="57"/>
        <v>0</v>
      </c>
      <c r="AJ324" s="712"/>
      <c r="AK324" s="713"/>
      <c r="AL324" s="714"/>
      <c r="AM324" s="398">
        <f t="shared" si="58"/>
        <v>0</v>
      </c>
    </row>
    <row r="325" spans="1:39" ht="16.5" customHeight="1" x14ac:dyDescent="0.3">
      <c r="A325" s="2162"/>
      <c r="B325" s="1313" t="str">
        <f t="shared" ref="B325:B388" si="66">IF(B324="","",B324+1)</f>
        <v/>
      </c>
      <c r="C325" s="1011">
        <f>IF($D$2="NO",0,ROUNDDOWN(SUM(PROD!$V$5:V326)/IF(Iniciar!$C$25="kilos",40,1),0)-SUM($C$4:$C324))</f>
        <v>0</v>
      </c>
      <c r="D325" s="702"/>
      <c r="E325" s="702"/>
      <c r="F325" s="300">
        <f t="shared" si="59"/>
        <v>-55000</v>
      </c>
      <c r="G325" s="694"/>
      <c r="H325" s="695"/>
      <c r="I325" s="1314"/>
      <c r="J325" s="1315">
        <f>IF(K$1&gt;0,ROUNDUP(SUM(PROD!AM$5:AM326)/K$1*K$2,0),0)-SUM(J$4:J324)</f>
        <v>0</v>
      </c>
      <c r="K325" s="1316">
        <f t="shared" si="61"/>
        <v>0</v>
      </c>
      <c r="L325" s="1314"/>
      <c r="M325" s="1315">
        <f>IF(N$1&gt;0,ROUNDUP(SUM(PROD!L$5:L326,-PROD!AM$5:AM326,-PROD!AZ$5:AZ326)/N$1*N$2,0),0)-SUM(M$4:M324)</f>
        <v>0</v>
      </c>
      <c r="N325" s="1316">
        <f t="shared" si="62"/>
        <v>0</v>
      </c>
      <c r="O325" s="1317">
        <f t="shared" si="63"/>
        <v>0</v>
      </c>
      <c r="P325" s="1318"/>
      <c r="Q325" s="1319"/>
      <c r="R325" s="1320">
        <f t="shared" si="64"/>
        <v>0</v>
      </c>
      <c r="S325" s="1316">
        <f t="shared" si="65"/>
        <v>0</v>
      </c>
      <c r="T325" s="712"/>
      <c r="U325" s="713"/>
      <c r="V325" s="714"/>
      <c r="W325" s="398">
        <f t="shared" si="60"/>
        <v>0</v>
      </c>
      <c r="X325" s="712"/>
      <c r="Y325" s="713"/>
      <c r="Z325" s="714"/>
      <c r="AA325" s="398">
        <f t="shared" ref="AA325:AA388" si="67">AA324+Y325-Z325</f>
        <v>0</v>
      </c>
      <c r="AB325" s="712"/>
      <c r="AC325" s="713"/>
      <c r="AD325" s="714"/>
      <c r="AE325" s="398">
        <f t="shared" ref="AE325:AE388" si="68">AE324+AC325-AD325</f>
        <v>0</v>
      </c>
      <c r="AF325" s="712"/>
      <c r="AG325" s="713"/>
      <c r="AH325" s="714"/>
      <c r="AI325" s="398">
        <f t="shared" ref="AI325:AI388" si="69">AI324+AG325-AH325</f>
        <v>0</v>
      </c>
      <c r="AJ325" s="712"/>
      <c r="AK325" s="713"/>
      <c r="AL325" s="714"/>
      <c r="AM325" s="398">
        <f t="shared" ref="AM325:AM388" si="70">AM324+AK325-AL325</f>
        <v>0</v>
      </c>
    </row>
    <row r="326" spans="1:39" ht="16.5" customHeight="1" x14ac:dyDescent="0.3">
      <c r="A326" s="2160">
        <f>A319+1</f>
        <v>64</v>
      </c>
      <c r="B326" s="1313" t="str">
        <f t="shared" si="66"/>
        <v/>
      </c>
      <c r="C326" s="1011">
        <f>IF($D$2="NO",0,ROUNDDOWN(SUM(PROD!$V$5:V327)/IF(Iniciar!$C$25="kilos",40,1),0)-SUM($C$4:$C325))</f>
        <v>0</v>
      </c>
      <c r="D326" s="702"/>
      <c r="E326" s="702"/>
      <c r="F326" s="300">
        <f t="shared" si="59"/>
        <v>-55000</v>
      </c>
      <c r="G326" s="694"/>
      <c r="H326" s="695"/>
      <c r="I326" s="1314"/>
      <c r="J326" s="1315">
        <f>IF(K$1&gt;0,ROUNDUP(SUM(PROD!AM$5:AM327)/K$1*K$2,0),0)-SUM(J$4:J325)</f>
        <v>0</v>
      </c>
      <c r="K326" s="1316">
        <f t="shared" si="61"/>
        <v>0</v>
      </c>
      <c r="L326" s="1314"/>
      <c r="M326" s="1315">
        <f>IF(N$1&gt;0,ROUNDUP(SUM(PROD!L$5:L327,-PROD!AM$5:AM327,-PROD!AZ$5:AZ327)/N$1*N$2,0),0)-SUM(M$4:M325)</f>
        <v>0</v>
      </c>
      <c r="N326" s="1316">
        <f t="shared" si="62"/>
        <v>0</v>
      </c>
      <c r="O326" s="1317">
        <f t="shared" si="63"/>
        <v>0</v>
      </c>
      <c r="P326" s="1318"/>
      <c r="Q326" s="1319"/>
      <c r="R326" s="1320">
        <f t="shared" si="64"/>
        <v>0</v>
      </c>
      <c r="S326" s="1316">
        <f t="shared" si="65"/>
        <v>0</v>
      </c>
      <c r="T326" s="712"/>
      <c r="U326" s="713"/>
      <c r="V326" s="714"/>
      <c r="W326" s="398">
        <f t="shared" si="60"/>
        <v>0</v>
      </c>
      <c r="X326" s="712"/>
      <c r="Y326" s="713"/>
      <c r="Z326" s="714"/>
      <c r="AA326" s="398">
        <f t="shared" si="67"/>
        <v>0</v>
      </c>
      <c r="AB326" s="712"/>
      <c r="AC326" s="713"/>
      <c r="AD326" s="714"/>
      <c r="AE326" s="398">
        <f t="shared" si="68"/>
        <v>0</v>
      </c>
      <c r="AF326" s="712"/>
      <c r="AG326" s="713"/>
      <c r="AH326" s="714"/>
      <c r="AI326" s="398">
        <f t="shared" si="69"/>
        <v>0</v>
      </c>
      <c r="AJ326" s="712"/>
      <c r="AK326" s="713"/>
      <c r="AL326" s="714"/>
      <c r="AM326" s="398">
        <f t="shared" si="70"/>
        <v>0</v>
      </c>
    </row>
    <row r="327" spans="1:39" ht="15.75" customHeight="1" x14ac:dyDescent="0.3">
      <c r="A327" s="2161"/>
      <c r="B327" s="1313" t="str">
        <f t="shared" si="66"/>
        <v/>
      </c>
      <c r="C327" s="1011">
        <f>IF($D$2="NO",0,ROUNDDOWN(SUM(PROD!$V$5:V328)/IF(Iniciar!$C$25="kilos",40,1),0)-SUM($C$4:$C326))</f>
        <v>0</v>
      </c>
      <c r="D327" s="702"/>
      <c r="E327" s="702"/>
      <c r="F327" s="300">
        <f t="shared" si="59"/>
        <v>-55000</v>
      </c>
      <c r="G327" s="694"/>
      <c r="H327" s="695"/>
      <c r="I327" s="1314"/>
      <c r="J327" s="1315">
        <f>IF(K$1&gt;0,ROUNDUP(SUM(PROD!AM$5:AM328)/K$1*K$2,0),0)-SUM(J$4:J326)</f>
        <v>0</v>
      </c>
      <c r="K327" s="1316">
        <f t="shared" si="61"/>
        <v>0</v>
      </c>
      <c r="L327" s="1314"/>
      <c r="M327" s="1315">
        <f>IF(N$1&gt;0,ROUNDUP(SUM(PROD!L$5:L328,-PROD!AM$5:AM328,-PROD!AZ$5:AZ328)/N$1*N$2,0),0)-SUM(M$4:M326)</f>
        <v>0</v>
      </c>
      <c r="N327" s="1316">
        <f t="shared" si="62"/>
        <v>0</v>
      </c>
      <c r="O327" s="1317">
        <f t="shared" si="63"/>
        <v>0</v>
      </c>
      <c r="P327" s="1318"/>
      <c r="Q327" s="1319"/>
      <c r="R327" s="1320">
        <f t="shared" si="64"/>
        <v>0</v>
      </c>
      <c r="S327" s="1316">
        <f t="shared" si="65"/>
        <v>0</v>
      </c>
      <c r="T327" s="712"/>
      <c r="U327" s="713"/>
      <c r="V327" s="714"/>
      <c r="W327" s="398">
        <f t="shared" si="60"/>
        <v>0</v>
      </c>
      <c r="X327" s="712"/>
      <c r="Y327" s="713"/>
      <c r="Z327" s="714"/>
      <c r="AA327" s="398">
        <f t="shared" si="67"/>
        <v>0</v>
      </c>
      <c r="AB327" s="712"/>
      <c r="AC327" s="713"/>
      <c r="AD327" s="714"/>
      <c r="AE327" s="398">
        <f t="shared" si="68"/>
        <v>0</v>
      </c>
      <c r="AF327" s="712"/>
      <c r="AG327" s="713"/>
      <c r="AH327" s="714"/>
      <c r="AI327" s="398">
        <f t="shared" si="69"/>
        <v>0</v>
      </c>
      <c r="AJ327" s="712"/>
      <c r="AK327" s="713"/>
      <c r="AL327" s="714"/>
      <c r="AM327" s="398">
        <f t="shared" si="70"/>
        <v>0</v>
      </c>
    </row>
    <row r="328" spans="1:39" ht="15.75" customHeight="1" x14ac:dyDescent="0.3">
      <c r="A328" s="2161"/>
      <c r="B328" s="1313" t="str">
        <f t="shared" si="66"/>
        <v/>
      </c>
      <c r="C328" s="1011">
        <f>IF($D$2="NO",0,ROUNDDOWN(SUM(PROD!$V$5:V329)/IF(Iniciar!$C$25="kilos",40,1),0)-SUM($C$4:$C327))</f>
        <v>0</v>
      </c>
      <c r="D328" s="702"/>
      <c r="E328" s="702"/>
      <c r="F328" s="300">
        <f t="shared" si="59"/>
        <v>-55000</v>
      </c>
      <c r="G328" s="694"/>
      <c r="H328" s="695"/>
      <c r="I328" s="1314"/>
      <c r="J328" s="1315">
        <f>IF(K$1&gt;0,ROUNDUP(SUM(PROD!AM$5:AM329)/K$1*K$2,0),0)-SUM(J$4:J327)</f>
        <v>0</v>
      </c>
      <c r="K328" s="1316">
        <f t="shared" si="61"/>
        <v>0</v>
      </c>
      <c r="L328" s="1314"/>
      <c r="M328" s="1315">
        <f>IF(N$1&gt;0,ROUNDUP(SUM(PROD!L$5:L329,-PROD!AM$5:AM329,-PROD!AZ$5:AZ329)/N$1*N$2,0),0)-SUM(M$4:M327)</f>
        <v>0</v>
      </c>
      <c r="N328" s="1316">
        <f t="shared" si="62"/>
        <v>0</v>
      </c>
      <c r="O328" s="1317">
        <f t="shared" si="63"/>
        <v>0</v>
      </c>
      <c r="P328" s="1318"/>
      <c r="Q328" s="1319"/>
      <c r="R328" s="1320">
        <f t="shared" si="64"/>
        <v>0</v>
      </c>
      <c r="S328" s="1316">
        <f t="shared" si="65"/>
        <v>0</v>
      </c>
      <c r="T328" s="712"/>
      <c r="U328" s="713"/>
      <c r="V328" s="714"/>
      <c r="W328" s="398">
        <f t="shared" si="60"/>
        <v>0</v>
      </c>
      <c r="X328" s="712"/>
      <c r="Y328" s="713"/>
      <c r="Z328" s="714"/>
      <c r="AA328" s="398">
        <f t="shared" si="67"/>
        <v>0</v>
      </c>
      <c r="AB328" s="712"/>
      <c r="AC328" s="713"/>
      <c r="AD328" s="714"/>
      <c r="AE328" s="398">
        <f t="shared" si="68"/>
        <v>0</v>
      </c>
      <c r="AF328" s="712"/>
      <c r="AG328" s="713"/>
      <c r="AH328" s="714"/>
      <c r="AI328" s="398">
        <f t="shared" si="69"/>
        <v>0</v>
      </c>
      <c r="AJ328" s="712"/>
      <c r="AK328" s="713"/>
      <c r="AL328" s="714"/>
      <c r="AM328" s="398">
        <f t="shared" si="70"/>
        <v>0</v>
      </c>
    </row>
    <row r="329" spans="1:39" ht="15.75" customHeight="1" x14ac:dyDescent="0.3">
      <c r="A329" s="2161"/>
      <c r="B329" s="1313" t="str">
        <f t="shared" si="66"/>
        <v/>
      </c>
      <c r="C329" s="1011">
        <f>IF($D$2="NO",0,ROUNDDOWN(SUM(PROD!$V$5:V330)/IF(Iniciar!$C$25="kilos",40,1),0)-SUM($C$4:$C328))</f>
        <v>0</v>
      </c>
      <c r="D329" s="702"/>
      <c r="E329" s="702"/>
      <c r="F329" s="300">
        <f t="shared" si="59"/>
        <v>-55000</v>
      </c>
      <c r="G329" s="694"/>
      <c r="H329" s="695"/>
      <c r="I329" s="1314"/>
      <c r="J329" s="1315">
        <f>IF(K$1&gt;0,ROUNDUP(SUM(PROD!AM$5:AM330)/K$1*K$2,0),0)-SUM(J$4:J328)</f>
        <v>0</v>
      </c>
      <c r="K329" s="1316">
        <f t="shared" si="61"/>
        <v>0</v>
      </c>
      <c r="L329" s="1314"/>
      <c r="M329" s="1315">
        <f>IF(N$1&gt;0,ROUNDUP(SUM(PROD!L$5:L330,-PROD!AM$5:AM330,-PROD!AZ$5:AZ330)/N$1*N$2,0),0)-SUM(M$4:M328)</f>
        <v>0</v>
      </c>
      <c r="N329" s="1316">
        <f t="shared" si="62"/>
        <v>0</v>
      </c>
      <c r="O329" s="1317">
        <f t="shared" si="63"/>
        <v>0</v>
      </c>
      <c r="P329" s="1318"/>
      <c r="Q329" s="1319"/>
      <c r="R329" s="1320">
        <f t="shared" si="64"/>
        <v>0</v>
      </c>
      <c r="S329" s="1316">
        <f t="shared" si="65"/>
        <v>0</v>
      </c>
      <c r="T329" s="712"/>
      <c r="U329" s="713"/>
      <c r="V329" s="714"/>
      <c r="W329" s="398">
        <f t="shared" si="60"/>
        <v>0</v>
      </c>
      <c r="X329" s="712"/>
      <c r="Y329" s="713"/>
      <c r="Z329" s="714"/>
      <c r="AA329" s="398">
        <f t="shared" si="67"/>
        <v>0</v>
      </c>
      <c r="AB329" s="712"/>
      <c r="AC329" s="713"/>
      <c r="AD329" s="714"/>
      <c r="AE329" s="398">
        <f t="shared" si="68"/>
        <v>0</v>
      </c>
      <c r="AF329" s="712"/>
      <c r="AG329" s="713"/>
      <c r="AH329" s="714"/>
      <c r="AI329" s="398">
        <f t="shared" si="69"/>
        <v>0</v>
      </c>
      <c r="AJ329" s="712"/>
      <c r="AK329" s="713"/>
      <c r="AL329" s="714"/>
      <c r="AM329" s="398">
        <f t="shared" si="70"/>
        <v>0</v>
      </c>
    </row>
    <row r="330" spans="1:39" ht="15.75" customHeight="1" x14ac:dyDescent="0.3">
      <c r="A330" s="2161"/>
      <c r="B330" s="1313" t="str">
        <f t="shared" si="66"/>
        <v/>
      </c>
      <c r="C330" s="1011">
        <f>IF($D$2="NO",0,ROUNDDOWN(SUM(PROD!$V$5:V331)/IF(Iniciar!$C$25="kilos",40,1),0)-SUM($C$4:$C329))</f>
        <v>0</v>
      </c>
      <c r="D330" s="702"/>
      <c r="E330" s="702"/>
      <c r="F330" s="300">
        <f t="shared" si="59"/>
        <v>-55000</v>
      </c>
      <c r="G330" s="694"/>
      <c r="H330" s="695"/>
      <c r="I330" s="1314"/>
      <c r="J330" s="1315">
        <f>IF(K$1&gt;0,ROUNDUP(SUM(PROD!AM$5:AM331)/K$1*K$2,0),0)-SUM(J$4:J329)</f>
        <v>0</v>
      </c>
      <c r="K330" s="1316">
        <f t="shared" si="61"/>
        <v>0</v>
      </c>
      <c r="L330" s="1314"/>
      <c r="M330" s="1315">
        <f>IF(N$1&gt;0,ROUNDUP(SUM(PROD!L$5:L331,-PROD!AM$5:AM331,-PROD!AZ$5:AZ331)/N$1*N$2,0),0)-SUM(M$4:M329)</f>
        <v>0</v>
      </c>
      <c r="N330" s="1316">
        <f t="shared" si="62"/>
        <v>0</v>
      </c>
      <c r="O330" s="1317">
        <f t="shared" si="63"/>
        <v>0</v>
      </c>
      <c r="P330" s="1318"/>
      <c r="Q330" s="1319"/>
      <c r="R330" s="1320">
        <f t="shared" si="64"/>
        <v>0</v>
      </c>
      <c r="S330" s="1316">
        <f t="shared" si="65"/>
        <v>0</v>
      </c>
      <c r="T330" s="712"/>
      <c r="U330" s="713"/>
      <c r="V330" s="714"/>
      <c r="W330" s="398">
        <f t="shared" si="60"/>
        <v>0</v>
      </c>
      <c r="X330" s="712"/>
      <c r="Y330" s="713"/>
      <c r="Z330" s="714"/>
      <c r="AA330" s="398">
        <f t="shared" si="67"/>
        <v>0</v>
      </c>
      <c r="AB330" s="712"/>
      <c r="AC330" s="713"/>
      <c r="AD330" s="714"/>
      <c r="AE330" s="398">
        <f t="shared" si="68"/>
        <v>0</v>
      </c>
      <c r="AF330" s="712"/>
      <c r="AG330" s="713"/>
      <c r="AH330" s="714"/>
      <c r="AI330" s="398">
        <f t="shared" si="69"/>
        <v>0</v>
      </c>
      <c r="AJ330" s="712"/>
      <c r="AK330" s="713"/>
      <c r="AL330" s="714"/>
      <c r="AM330" s="398">
        <f t="shared" si="70"/>
        <v>0</v>
      </c>
    </row>
    <row r="331" spans="1:39" ht="15.75" customHeight="1" x14ac:dyDescent="0.3">
      <c r="A331" s="2161"/>
      <c r="B331" s="1313" t="str">
        <f t="shared" si="66"/>
        <v/>
      </c>
      <c r="C331" s="1011">
        <f>IF($D$2="NO",0,ROUNDDOWN(SUM(PROD!$V$5:V332)/IF(Iniciar!$C$25="kilos",40,1),0)-SUM($C$4:$C330))</f>
        <v>0</v>
      </c>
      <c r="D331" s="702"/>
      <c r="E331" s="702"/>
      <c r="F331" s="300">
        <f t="shared" ref="F331:F394" si="71">F330+C331+D331-E331</f>
        <v>-55000</v>
      </c>
      <c r="G331" s="694"/>
      <c r="H331" s="695"/>
      <c r="I331" s="1314"/>
      <c r="J331" s="1315">
        <f>IF(K$1&gt;0,ROUNDUP(SUM(PROD!AM$5:AM332)/K$1*K$2,0),0)-SUM(J$4:J330)</f>
        <v>0</v>
      </c>
      <c r="K331" s="1316">
        <f t="shared" si="61"/>
        <v>0</v>
      </c>
      <c r="L331" s="1314"/>
      <c r="M331" s="1315">
        <f>IF(N$1&gt;0,ROUNDUP(SUM(PROD!L$5:L332,-PROD!AM$5:AM332,-PROD!AZ$5:AZ332)/N$1*N$2,0),0)-SUM(M$4:M330)</f>
        <v>0</v>
      </c>
      <c r="N331" s="1316">
        <f t="shared" si="62"/>
        <v>0</v>
      </c>
      <c r="O331" s="1317">
        <f t="shared" si="63"/>
        <v>0</v>
      </c>
      <c r="P331" s="1318"/>
      <c r="Q331" s="1319"/>
      <c r="R331" s="1320">
        <f t="shared" si="64"/>
        <v>0</v>
      </c>
      <c r="S331" s="1316">
        <f t="shared" si="65"/>
        <v>0</v>
      </c>
      <c r="T331" s="712"/>
      <c r="U331" s="713"/>
      <c r="V331" s="714"/>
      <c r="W331" s="398">
        <f t="shared" si="60"/>
        <v>0</v>
      </c>
      <c r="X331" s="712"/>
      <c r="Y331" s="713"/>
      <c r="Z331" s="714"/>
      <c r="AA331" s="398">
        <f t="shared" si="67"/>
        <v>0</v>
      </c>
      <c r="AB331" s="712"/>
      <c r="AC331" s="713"/>
      <c r="AD331" s="714"/>
      <c r="AE331" s="398">
        <f t="shared" si="68"/>
        <v>0</v>
      </c>
      <c r="AF331" s="712"/>
      <c r="AG331" s="713"/>
      <c r="AH331" s="714"/>
      <c r="AI331" s="398">
        <f t="shared" si="69"/>
        <v>0</v>
      </c>
      <c r="AJ331" s="712"/>
      <c r="AK331" s="713"/>
      <c r="AL331" s="714"/>
      <c r="AM331" s="398">
        <f t="shared" si="70"/>
        <v>0</v>
      </c>
    </row>
    <row r="332" spans="1:39" ht="16.5" customHeight="1" x14ac:dyDescent="0.3">
      <c r="A332" s="2162"/>
      <c r="B332" s="1313" t="str">
        <f t="shared" si="66"/>
        <v/>
      </c>
      <c r="C332" s="1011">
        <f>IF($D$2="NO",0,ROUNDDOWN(SUM(PROD!$V$5:V333)/IF(Iniciar!$C$25="kilos",40,1),0)-SUM($C$4:$C331))</f>
        <v>0</v>
      </c>
      <c r="D332" s="702"/>
      <c r="E332" s="702"/>
      <c r="F332" s="300">
        <f t="shared" si="71"/>
        <v>-55000</v>
      </c>
      <c r="G332" s="694"/>
      <c r="H332" s="695"/>
      <c r="I332" s="1314"/>
      <c r="J332" s="1315">
        <f>IF(K$1&gt;0,ROUNDUP(SUM(PROD!AM$5:AM333)/K$1*K$2,0),0)-SUM(J$4:J331)</f>
        <v>0</v>
      </c>
      <c r="K332" s="1316">
        <f t="shared" si="61"/>
        <v>0</v>
      </c>
      <c r="L332" s="1314"/>
      <c r="M332" s="1315">
        <f>IF(N$1&gt;0,ROUNDUP(SUM(PROD!L$5:L333,-PROD!AM$5:AM333,-PROD!AZ$5:AZ333)/N$1*N$2,0),0)-SUM(M$4:M331)</f>
        <v>0</v>
      </c>
      <c r="N332" s="1316">
        <f t="shared" si="62"/>
        <v>0</v>
      </c>
      <c r="O332" s="1317">
        <f t="shared" si="63"/>
        <v>0</v>
      </c>
      <c r="P332" s="1318"/>
      <c r="Q332" s="1319"/>
      <c r="R332" s="1320">
        <f t="shared" si="64"/>
        <v>0</v>
      </c>
      <c r="S332" s="1316">
        <f t="shared" si="65"/>
        <v>0</v>
      </c>
      <c r="T332" s="712"/>
      <c r="U332" s="713"/>
      <c r="V332" s="714"/>
      <c r="W332" s="398">
        <f t="shared" si="60"/>
        <v>0</v>
      </c>
      <c r="X332" s="712"/>
      <c r="Y332" s="713"/>
      <c r="Z332" s="714"/>
      <c r="AA332" s="398">
        <f t="shared" si="67"/>
        <v>0</v>
      </c>
      <c r="AB332" s="712"/>
      <c r="AC332" s="713"/>
      <c r="AD332" s="714"/>
      <c r="AE332" s="398">
        <f t="shared" si="68"/>
        <v>0</v>
      </c>
      <c r="AF332" s="712"/>
      <c r="AG332" s="713"/>
      <c r="AH332" s="714"/>
      <c r="AI332" s="398">
        <f t="shared" si="69"/>
        <v>0</v>
      </c>
      <c r="AJ332" s="712"/>
      <c r="AK332" s="713"/>
      <c r="AL332" s="714"/>
      <c r="AM332" s="398">
        <f t="shared" si="70"/>
        <v>0</v>
      </c>
    </row>
    <row r="333" spans="1:39" ht="16.5" customHeight="1" x14ac:dyDescent="0.3">
      <c r="A333" s="2160">
        <f>A326+1</f>
        <v>65</v>
      </c>
      <c r="B333" s="1313" t="str">
        <f t="shared" si="66"/>
        <v/>
      </c>
      <c r="C333" s="1011">
        <f>IF($D$2="NO",0,ROUNDDOWN(SUM(PROD!$V$5:V334)/IF(Iniciar!$C$25="kilos",40,1),0)-SUM($C$4:$C332))</f>
        <v>0</v>
      </c>
      <c r="D333" s="702"/>
      <c r="E333" s="702"/>
      <c r="F333" s="300">
        <f t="shared" si="71"/>
        <v>-55000</v>
      </c>
      <c r="G333" s="694"/>
      <c r="H333" s="695"/>
      <c r="I333" s="1314"/>
      <c r="J333" s="1315">
        <f>IF(K$1&gt;0,ROUNDUP(SUM(PROD!AM$5:AM334)/K$1*K$2,0),0)-SUM(J$4:J332)</f>
        <v>0</v>
      </c>
      <c r="K333" s="1316">
        <f t="shared" si="61"/>
        <v>0</v>
      </c>
      <c r="L333" s="1314"/>
      <c r="M333" s="1315">
        <f>IF(N$1&gt;0,ROUNDUP(SUM(PROD!L$5:L334,-PROD!AM$5:AM334,-PROD!AZ$5:AZ334)/N$1*N$2,0),0)-SUM(M$4:M332)</f>
        <v>0</v>
      </c>
      <c r="N333" s="1316">
        <f t="shared" si="62"/>
        <v>0</v>
      </c>
      <c r="O333" s="1317">
        <f t="shared" si="63"/>
        <v>0</v>
      </c>
      <c r="P333" s="1318"/>
      <c r="Q333" s="1319"/>
      <c r="R333" s="1320">
        <f t="shared" si="64"/>
        <v>0</v>
      </c>
      <c r="S333" s="1316">
        <f t="shared" si="65"/>
        <v>0</v>
      </c>
      <c r="T333" s="712"/>
      <c r="U333" s="713"/>
      <c r="V333" s="714"/>
      <c r="W333" s="398">
        <f t="shared" si="60"/>
        <v>0</v>
      </c>
      <c r="X333" s="712"/>
      <c r="Y333" s="713"/>
      <c r="Z333" s="714"/>
      <c r="AA333" s="398">
        <f t="shared" si="67"/>
        <v>0</v>
      </c>
      <c r="AB333" s="712"/>
      <c r="AC333" s="713"/>
      <c r="AD333" s="714"/>
      <c r="AE333" s="398">
        <f t="shared" si="68"/>
        <v>0</v>
      </c>
      <c r="AF333" s="712"/>
      <c r="AG333" s="713"/>
      <c r="AH333" s="714"/>
      <c r="AI333" s="398">
        <f t="shared" si="69"/>
        <v>0</v>
      </c>
      <c r="AJ333" s="712"/>
      <c r="AK333" s="713"/>
      <c r="AL333" s="714"/>
      <c r="AM333" s="398">
        <f t="shared" si="70"/>
        <v>0</v>
      </c>
    </row>
    <row r="334" spans="1:39" ht="15.75" customHeight="1" x14ac:dyDescent="0.3">
      <c r="A334" s="2161"/>
      <c r="B334" s="1313" t="str">
        <f t="shared" si="66"/>
        <v/>
      </c>
      <c r="C334" s="1011">
        <f>IF($D$2="NO",0,ROUNDDOWN(SUM(PROD!$V$5:V335)/IF(Iniciar!$C$25="kilos",40,1),0)-SUM($C$4:$C333))</f>
        <v>0</v>
      </c>
      <c r="D334" s="702"/>
      <c r="E334" s="702"/>
      <c r="F334" s="300">
        <f t="shared" si="71"/>
        <v>-55000</v>
      </c>
      <c r="G334" s="694"/>
      <c r="H334" s="695"/>
      <c r="I334" s="1314"/>
      <c r="J334" s="1315">
        <f>IF(K$1&gt;0,ROUNDUP(SUM(PROD!AM$5:AM335)/K$1*K$2,0),0)-SUM(J$4:J333)</f>
        <v>0</v>
      </c>
      <c r="K334" s="1316">
        <f t="shared" si="61"/>
        <v>0</v>
      </c>
      <c r="L334" s="1314"/>
      <c r="M334" s="1315">
        <f>IF(N$1&gt;0,ROUNDUP(SUM(PROD!L$5:L335,-PROD!AM$5:AM335,-PROD!AZ$5:AZ335)/N$1*N$2,0),0)-SUM(M$4:M333)</f>
        <v>0</v>
      </c>
      <c r="N334" s="1316">
        <f t="shared" si="62"/>
        <v>0</v>
      </c>
      <c r="O334" s="1317">
        <f t="shared" si="63"/>
        <v>0</v>
      </c>
      <c r="P334" s="1318"/>
      <c r="Q334" s="1319"/>
      <c r="R334" s="1320">
        <f t="shared" si="64"/>
        <v>0</v>
      </c>
      <c r="S334" s="1316">
        <f t="shared" si="65"/>
        <v>0</v>
      </c>
      <c r="T334" s="712"/>
      <c r="U334" s="713"/>
      <c r="V334" s="714"/>
      <c r="W334" s="398">
        <f t="shared" si="60"/>
        <v>0</v>
      </c>
      <c r="X334" s="712"/>
      <c r="Y334" s="713"/>
      <c r="Z334" s="714"/>
      <c r="AA334" s="398">
        <f t="shared" si="67"/>
        <v>0</v>
      </c>
      <c r="AB334" s="712"/>
      <c r="AC334" s="713"/>
      <c r="AD334" s="714"/>
      <c r="AE334" s="398">
        <f t="shared" si="68"/>
        <v>0</v>
      </c>
      <c r="AF334" s="712"/>
      <c r="AG334" s="713"/>
      <c r="AH334" s="714"/>
      <c r="AI334" s="398">
        <f t="shared" si="69"/>
        <v>0</v>
      </c>
      <c r="AJ334" s="712"/>
      <c r="AK334" s="713"/>
      <c r="AL334" s="714"/>
      <c r="AM334" s="398">
        <f t="shared" si="70"/>
        <v>0</v>
      </c>
    </row>
    <row r="335" spans="1:39" ht="15.75" customHeight="1" x14ac:dyDescent="0.3">
      <c r="A335" s="2161"/>
      <c r="B335" s="1313" t="str">
        <f t="shared" si="66"/>
        <v/>
      </c>
      <c r="C335" s="1011">
        <f>IF($D$2="NO",0,ROUNDDOWN(SUM(PROD!$V$5:V336)/IF(Iniciar!$C$25="kilos",40,1),0)-SUM($C$4:$C334))</f>
        <v>0</v>
      </c>
      <c r="D335" s="702"/>
      <c r="E335" s="702"/>
      <c r="F335" s="300">
        <f t="shared" si="71"/>
        <v>-55000</v>
      </c>
      <c r="G335" s="694"/>
      <c r="H335" s="695"/>
      <c r="I335" s="1314"/>
      <c r="J335" s="1315">
        <f>IF(K$1&gt;0,ROUNDUP(SUM(PROD!AM$5:AM336)/K$1*K$2,0),0)-SUM(J$4:J334)</f>
        <v>0</v>
      </c>
      <c r="K335" s="1316">
        <f t="shared" si="61"/>
        <v>0</v>
      </c>
      <c r="L335" s="1314"/>
      <c r="M335" s="1315">
        <f>IF(N$1&gt;0,ROUNDUP(SUM(PROD!L$5:L336,-PROD!AM$5:AM336,-PROD!AZ$5:AZ336)/N$1*N$2,0),0)-SUM(M$4:M334)</f>
        <v>0</v>
      </c>
      <c r="N335" s="1316">
        <f t="shared" si="62"/>
        <v>0</v>
      </c>
      <c r="O335" s="1317">
        <f t="shared" si="63"/>
        <v>0</v>
      </c>
      <c r="P335" s="1318"/>
      <c r="Q335" s="1319"/>
      <c r="R335" s="1320">
        <f t="shared" si="64"/>
        <v>0</v>
      </c>
      <c r="S335" s="1316">
        <f t="shared" si="65"/>
        <v>0</v>
      </c>
      <c r="T335" s="712"/>
      <c r="U335" s="713"/>
      <c r="V335" s="714"/>
      <c r="W335" s="398">
        <f t="shared" si="60"/>
        <v>0</v>
      </c>
      <c r="X335" s="712"/>
      <c r="Y335" s="713"/>
      <c r="Z335" s="714"/>
      <c r="AA335" s="398">
        <f t="shared" si="67"/>
        <v>0</v>
      </c>
      <c r="AB335" s="712"/>
      <c r="AC335" s="713"/>
      <c r="AD335" s="714"/>
      <c r="AE335" s="398">
        <f t="shared" si="68"/>
        <v>0</v>
      </c>
      <c r="AF335" s="712"/>
      <c r="AG335" s="713"/>
      <c r="AH335" s="714"/>
      <c r="AI335" s="398">
        <f t="shared" si="69"/>
        <v>0</v>
      </c>
      <c r="AJ335" s="712"/>
      <c r="AK335" s="713"/>
      <c r="AL335" s="714"/>
      <c r="AM335" s="398">
        <f t="shared" si="70"/>
        <v>0</v>
      </c>
    </row>
    <row r="336" spans="1:39" ht="15.75" customHeight="1" x14ac:dyDescent="0.3">
      <c r="A336" s="2161"/>
      <c r="B336" s="1313" t="str">
        <f t="shared" si="66"/>
        <v/>
      </c>
      <c r="C336" s="1011">
        <f>IF($D$2="NO",0,ROUNDDOWN(SUM(PROD!$V$5:V337)/IF(Iniciar!$C$25="kilos",40,1),0)-SUM($C$4:$C335))</f>
        <v>0</v>
      </c>
      <c r="D336" s="702"/>
      <c r="E336" s="702"/>
      <c r="F336" s="300">
        <f t="shared" si="71"/>
        <v>-55000</v>
      </c>
      <c r="G336" s="694"/>
      <c r="H336" s="695"/>
      <c r="I336" s="1314"/>
      <c r="J336" s="1315">
        <f>IF(K$1&gt;0,ROUNDUP(SUM(PROD!AM$5:AM337)/K$1*K$2,0),0)-SUM(J$4:J335)</f>
        <v>0</v>
      </c>
      <c r="K336" s="1316">
        <f t="shared" si="61"/>
        <v>0</v>
      </c>
      <c r="L336" s="1314"/>
      <c r="M336" s="1315">
        <f>IF(N$1&gt;0,ROUNDUP(SUM(PROD!L$5:L337,-PROD!AM$5:AM337,-PROD!AZ$5:AZ337)/N$1*N$2,0),0)-SUM(M$4:M335)</f>
        <v>0</v>
      </c>
      <c r="N336" s="1316">
        <f t="shared" si="62"/>
        <v>0</v>
      </c>
      <c r="O336" s="1317">
        <f t="shared" si="63"/>
        <v>0</v>
      </c>
      <c r="P336" s="1318"/>
      <c r="Q336" s="1319"/>
      <c r="R336" s="1320">
        <f t="shared" si="64"/>
        <v>0</v>
      </c>
      <c r="S336" s="1316">
        <f t="shared" si="65"/>
        <v>0</v>
      </c>
      <c r="T336" s="712"/>
      <c r="U336" s="713"/>
      <c r="V336" s="714"/>
      <c r="W336" s="398">
        <f t="shared" si="60"/>
        <v>0</v>
      </c>
      <c r="X336" s="712"/>
      <c r="Y336" s="713"/>
      <c r="Z336" s="714"/>
      <c r="AA336" s="398">
        <f t="shared" si="67"/>
        <v>0</v>
      </c>
      <c r="AB336" s="712"/>
      <c r="AC336" s="713"/>
      <c r="AD336" s="714"/>
      <c r="AE336" s="398">
        <f t="shared" si="68"/>
        <v>0</v>
      </c>
      <c r="AF336" s="712"/>
      <c r="AG336" s="713"/>
      <c r="AH336" s="714"/>
      <c r="AI336" s="398">
        <f t="shared" si="69"/>
        <v>0</v>
      </c>
      <c r="AJ336" s="712"/>
      <c r="AK336" s="713"/>
      <c r="AL336" s="714"/>
      <c r="AM336" s="398">
        <f t="shared" si="70"/>
        <v>0</v>
      </c>
    </row>
    <row r="337" spans="1:39" ht="15.75" customHeight="1" x14ac:dyDescent="0.3">
      <c r="A337" s="2161"/>
      <c r="B337" s="1313" t="str">
        <f t="shared" si="66"/>
        <v/>
      </c>
      <c r="C337" s="1011">
        <f>IF($D$2="NO",0,ROUNDDOWN(SUM(PROD!$V$5:V338)/IF(Iniciar!$C$25="kilos",40,1),0)-SUM($C$4:$C336))</f>
        <v>0</v>
      </c>
      <c r="D337" s="702"/>
      <c r="E337" s="702"/>
      <c r="F337" s="300">
        <f t="shared" si="71"/>
        <v>-55000</v>
      </c>
      <c r="G337" s="694"/>
      <c r="H337" s="695"/>
      <c r="I337" s="1314"/>
      <c r="J337" s="1315">
        <f>IF(K$1&gt;0,ROUNDUP(SUM(PROD!AM$5:AM338)/K$1*K$2,0),0)-SUM(J$4:J336)</f>
        <v>0</v>
      </c>
      <c r="K337" s="1316">
        <f t="shared" si="61"/>
        <v>0</v>
      </c>
      <c r="L337" s="1314"/>
      <c r="M337" s="1315">
        <f>IF(N$1&gt;0,ROUNDUP(SUM(PROD!L$5:L338,-PROD!AM$5:AM338,-PROD!AZ$5:AZ338)/N$1*N$2,0),0)-SUM(M$4:M336)</f>
        <v>0</v>
      </c>
      <c r="N337" s="1316">
        <f t="shared" si="62"/>
        <v>0</v>
      </c>
      <c r="O337" s="1317">
        <f t="shared" si="63"/>
        <v>0</v>
      </c>
      <c r="P337" s="1318"/>
      <c r="Q337" s="1319"/>
      <c r="R337" s="1320">
        <f t="shared" si="64"/>
        <v>0</v>
      </c>
      <c r="S337" s="1316">
        <f t="shared" si="65"/>
        <v>0</v>
      </c>
      <c r="T337" s="712"/>
      <c r="U337" s="713"/>
      <c r="V337" s="714"/>
      <c r="W337" s="398">
        <f t="shared" si="60"/>
        <v>0</v>
      </c>
      <c r="X337" s="712"/>
      <c r="Y337" s="713"/>
      <c r="Z337" s="714"/>
      <c r="AA337" s="398">
        <f t="shared" si="67"/>
        <v>0</v>
      </c>
      <c r="AB337" s="712"/>
      <c r="AC337" s="713"/>
      <c r="AD337" s="714"/>
      <c r="AE337" s="398">
        <f t="shared" si="68"/>
        <v>0</v>
      </c>
      <c r="AF337" s="712"/>
      <c r="AG337" s="713"/>
      <c r="AH337" s="714"/>
      <c r="AI337" s="398">
        <f t="shared" si="69"/>
        <v>0</v>
      </c>
      <c r="AJ337" s="712"/>
      <c r="AK337" s="713"/>
      <c r="AL337" s="714"/>
      <c r="AM337" s="398">
        <f t="shared" si="70"/>
        <v>0</v>
      </c>
    </row>
    <row r="338" spans="1:39" ht="15.75" customHeight="1" x14ac:dyDescent="0.3">
      <c r="A338" s="2161"/>
      <c r="B338" s="1313" t="str">
        <f t="shared" si="66"/>
        <v/>
      </c>
      <c r="C338" s="1011">
        <f>IF($D$2="NO",0,ROUNDDOWN(SUM(PROD!$V$5:V339)/IF(Iniciar!$C$25="kilos",40,1),0)-SUM($C$4:$C337))</f>
        <v>0</v>
      </c>
      <c r="D338" s="702"/>
      <c r="E338" s="702"/>
      <c r="F338" s="300">
        <f t="shared" si="71"/>
        <v>-55000</v>
      </c>
      <c r="G338" s="694"/>
      <c r="H338" s="695"/>
      <c r="I338" s="1314"/>
      <c r="J338" s="1315">
        <f>IF(K$1&gt;0,ROUNDUP(SUM(PROD!AM$5:AM339)/K$1*K$2,0),0)-SUM(J$4:J337)</f>
        <v>0</v>
      </c>
      <c r="K338" s="1316">
        <f t="shared" si="61"/>
        <v>0</v>
      </c>
      <c r="L338" s="1314"/>
      <c r="M338" s="1315">
        <f>IF(N$1&gt;0,ROUNDUP(SUM(PROD!L$5:L339,-PROD!AM$5:AM339,-PROD!AZ$5:AZ339)/N$1*N$2,0),0)-SUM(M$4:M337)</f>
        <v>0</v>
      </c>
      <c r="N338" s="1316">
        <f t="shared" si="62"/>
        <v>0</v>
      </c>
      <c r="O338" s="1317">
        <f t="shared" si="63"/>
        <v>0</v>
      </c>
      <c r="P338" s="1318"/>
      <c r="Q338" s="1319"/>
      <c r="R338" s="1320">
        <f t="shared" si="64"/>
        <v>0</v>
      </c>
      <c r="S338" s="1316">
        <f t="shared" si="65"/>
        <v>0</v>
      </c>
      <c r="T338" s="712"/>
      <c r="U338" s="713"/>
      <c r="V338" s="714"/>
      <c r="W338" s="398">
        <f t="shared" ref="W338:W401" si="72">W337+U338-V338</f>
        <v>0</v>
      </c>
      <c r="X338" s="712"/>
      <c r="Y338" s="713"/>
      <c r="Z338" s="714"/>
      <c r="AA338" s="398">
        <f t="shared" si="67"/>
        <v>0</v>
      </c>
      <c r="AB338" s="712"/>
      <c r="AC338" s="713"/>
      <c r="AD338" s="714"/>
      <c r="AE338" s="398">
        <f t="shared" si="68"/>
        <v>0</v>
      </c>
      <c r="AF338" s="712"/>
      <c r="AG338" s="713"/>
      <c r="AH338" s="714"/>
      <c r="AI338" s="398">
        <f t="shared" si="69"/>
        <v>0</v>
      </c>
      <c r="AJ338" s="712"/>
      <c r="AK338" s="713"/>
      <c r="AL338" s="714"/>
      <c r="AM338" s="398">
        <f t="shared" si="70"/>
        <v>0</v>
      </c>
    </row>
    <row r="339" spans="1:39" ht="16.5" customHeight="1" x14ac:dyDescent="0.3">
      <c r="A339" s="2162"/>
      <c r="B339" s="1313" t="str">
        <f t="shared" si="66"/>
        <v/>
      </c>
      <c r="C339" s="1011">
        <f>IF($D$2="NO",0,ROUNDDOWN(SUM(PROD!$V$5:V340)/IF(Iniciar!$C$25="kilos",40,1),0)-SUM($C$4:$C338))</f>
        <v>0</v>
      </c>
      <c r="D339" s="702"/>
      <c r="E339" s="702"/>
      <c r="F339" s="300">
        <f t="shared" si="71"/>
        <v>-55000</v>
      </c>
      <c r="G339" s="694"/>
      <c r="H339" s="695"/>
      <c r="I339" s="1314"/>
      <c r="J339" s="1315">
        <f>IF(K$1&gt;0,ROUNDUP(SUM(PROD!AM$5:AM340)/K$1*K$2,0),0)-SUM(J$4:J338)</f>
        <v>0</v>
      </c>
      <c r="K339" s="1316">
        <f t="shared" si="61"/>
        <v>0</v>
      </c>
      <c r="L339" s="1314"/>
      <c r="M339" s="1315">
        <f>IF(N$1&gt;0,ROUNDUP(SUM(PROD!L$5:L340,-PROD!AM$5:AM340,-PROD!AZ$5:AZ340)/N$1*N$2,0),0)-SUM(M$4:M338)</f>
        <v>0</v>
      </c>
      <c r="N339" s="1316">
        <f t="shared" si="62"/>
        <v>0</v>
      </c>
      <c r="O339" s="1317">
        <f t="shared" si="63"/>
        <v>0</v>
      </c>
      <c r="P339" s="1318"/>
      <c r="Q339" s="1319"/>
      <c r="R339" s="1320">
        <f t="shared" si="64"/>
        <v>0</v>
      </c>
      <c r="S339" s="1316">
        <f t="shared" si="65"/>
        <v>0</v>
      </c>
      <c r="T339" s="712"/>
      <c r="U339" s="713"/>
      <c r="V339" s="714"/>
      <c r="W339" s="398">
        <f t="shared" si="72"/>
        <v>0</v>
      </c>
      <c r="X339" s="712"/>
      <c r="Y339" s="713"/>
      <c r="Z339" s="714"/>
      <c r="AA339" s="398">
        <f t="shared" si="67"/>
        <v>0</v>
      </c>
      <c r="AB339" s="712"/>
      <c r="AC339" s="713"/>
      <c r="AD339" s="714"/>
      <c r="AE339" s="398">
        <f t="shared" si="68"/>
        <v>0</v>
      </c>
      <c r="AF339" s="712"/>
      <c r="AG339" s="713"/>
      <c r="AH339" s="714"/>
      <c r="AI339" s="398">
        <f t="shared" si="69"/>
        <v>0</v>
      </c>
      <c r="AJ339" s="712"/>
      <c r="AK339" s="713"/>
      <c r="AL339" s="714"/>
      <c r="AM339" s="398">
        <f t="shared" si="70"/>
        <v>0</v>
      </c>
    </row>
    <row r="340" spans="1:39" ht="16.5" customHeight="1" x14ac:dyDescent="0.3">
      <c r="A340" s="2160">
        <f>A333+1</f>
        <v>66</v>
      </c>
      <c r="B340" s="1313" t="str">
        <f t="shared" si="66"/>
        <v/>
      </c>
      <c r="C340" s="1011">
        <f>IF($D$2="NO",0,ROUNDDOWN(SUM(PROD!$V$5:V341)/IF(Iniciar!$C$25="kilos",40,1),0)-SUM($C$4:$C339))</f>
        <v>0</v>
      </c>
      <c r="D340" s="702"/>
      <c r="E340" s="702"/>
      <c r="F340" s="300">
        <f t="shared" si="71"/>
        <v>-55000</v>
      </c>
      <c r="G340" s="694"/>
      <c r="H340" s="695"/>
      <c r="I340" s="1314"/>
      <c r="J340" s="1315">
        <f>IF(K$1&gt;0,ROUNDUP(SUM(PROD!AM$5:AM341)/K$1*K$2,0),0)-SUM(J$4:J339)</f>
        <v>0</v>
      </c>
      <c r="K340" s="1316">
        <f t="shared" si="61"/>
        <v>0</v>
      </c>
      <c r="L340" s="1314"/>
      <c r="M340" s="1315">
        <f>IF(N$1&gt;0,ROUNDUP(SUM(PROD!L$5:L341,-PROD!AM$5:AM341,-PROD!AZ$5:AZ341)/N$1*N$2,0),0)-SUM(M$4:M339)</f>
        <v>0</v>
      </c>
      <c r="N340" s="1316">
        <f t="shared" si="62"/>
        <v>0</v>
      </c>
      <c r="O340" s="1317">
        <f t="shared" si="63"/>
        <v>0</v>
      </c>
      <c r="P340" s="1318"/>
      <c r="Q340" s="1319"/>
      <c r="R340" s="1320">
        <f t="shared" si="64"/>
        <v>0</v>
      </c>
      <c r="S340" s="1316">
        <f t="shared" si="65"/>
        <v>0</v>
      </c>
      <c r="T340" s="712"/>
      <c r="U340" s="713"/>
      <c r="V340" s="714"/>
      <c r="W340" s="398">
        <f t="shared" si="72"/>
        <v>0</v>
      </c>
      <c r="X340" s="712"/>
      <c r="Y340" s="713"/>
      <c r="Z340" s="714"/>
      <c r="AA340" s="398">
        <f t="shared" si="67"/>
        <v>0</v>
      </c>
      <c r="AB340" s="712"/>
      <c r="AC340" s="713"/>
      <c r="AD340" s="714"/>
      <c r="AE340" s="398">
        <f t="shared" si="68"/>
        <v>0</v>
      </c>
      <c r="AF340" s="712"/>
      <c r="AG340" s="713"/>
      <c r="AH340" s="714"/>
      <c r="AI340" s="398">
        <f t="shared" si="69"/>
        <v>0</v>
      </c>
      <c r="AJ340" s="712"/>
      <c r="AK340" s="713"/>
      <c r="AL340" s="714"/>
      <c r="AM340" s="398">
        <f t="shared" si="70"/>
        <v>0</v>
      </c>
    </row>
    <row r="341" spans="1:39" ht="15.75" customHeight="1" x14ac:dyDescent="0.3">
      <c r="A341" s="2161"/>
      <c r="B341" s="1313" t="str">
        <f t="shared" si="66"/>
        <v/>
      </c>
      <c r="C341" s="1011">
        <f>IF($D$2="NO",0,ROUNDDOWN(SUM(PROD!$V$5:V342)/IF(Iniciar!$C$25="kilos",40,1),0)-SUM($C$4:$C340))</f>
        <v>0</v>
      </c>
      <c r="D341" s="702"/>
      <c r="E341" s="702"/>
      <c r="F341" s="300">
        <f t="shared" si="71"/>
        <v>-55000</v>
      </c>
      <c r="G341" s="694"/>
      <c r="H341" s="695"/>
      <c r="I341" s="1314"/>
      <c r="J341" s="1315">
        <f>IF(K$1&gt;0,ROUNDUP(SUM(PROD!AM$5:AM342)/K$1*K$2,0),0)-SUM(J$4:J340)</f>
        <v>0</v>
      </c>
      <c r="K341" s="1316">
        <f t="shared" si="61"/>
        <v>0</v>
      </c>
      <c r="L341" s="1314"/>
      <c r="M341" s="1315">
        <f>IF(N$1&gt;0,ROUNDUP(SUM(PROD!L$5:L342,-PROD!AM$5:AM342,-PROD!AZ$5:AZ342)/N$1*N$2,0),0)-SUM(M$4:M340)</f>
        <v>0</v>
      </c>
      <c r="N341" s="1316">
        <f t="shared" si="62"/>
        <v>0</v>
      </c>
      <c r="O341" s="1317">
        <f t="shared" si="63"/>
        <v>0</v>
      </c>
      <c r="P341" s="1318"/>
      <c r="Q341" s="1319"/>
      <c r="R341" s="1320">
        <f t="shared" si="64"/>
        <v>0</v>
      </c>
      <c r="S341" s="1316">
        <f t="shared" si="65"/>
        <v>0</v>
      </c>
      <c r="T341" s="712"/>
      <c r="U341" s="713"/>
      <c r="V341" s="714"/>
      <c r="W341" s="398">
        <f t="shared" si="72"/>
        <v>0</v>
      </c>
      <c r="X341" s="712"/>
      <c r="Y341" s="713"/>
      <c r="Z341" s="714"/>
      <c r="AA341" s="398">
        <f t="shared" si="67"/>
        <v>0</v>
      </c>
      <c r="AB341" s="712"/>
      <c r="AC341" s="713"/>
      <c r="AD341" s="714"/>
      <c r="AE341" s="398">
        <f t="shared" si="68"/>
        <v>0</v>
      </c>
      <c r="AF341" s="712"/>
      <c r="AG341" s="713"/>
      <c r="AH341" s="714"/>
      <c r="AI341" s="398">
        <f t="shared" si="69"/>
        <v>0</v>
      </c>
      <c r="AJ341" s="712"/>
      <c r="AK341" s="713"/>
      <c r="AL341" s="714"/>
      <c r="AM341" s="398">
        <f t="shared" si="70"/>
        <v>0</v>
      </c>
    </row>
    <row r="342" spans="1:39" ht="15.75" customHeight="1" x14ac:dyDescent="0.3">
      <c r="A342" s="2161"/>
      <c r="B342" s="1313" t="str">
        <f t="shared" si="66"/>
        <v/>
      </c>
      <c r="C342" s="1011">
        <f>IF($D$2="NO",0,ROUNDDOWN(SUM(PROD!$V$5:V343)/IF(Iniciar!$C$25="kilos",40,1),0)-SUM($C$4:$C341))</f>
        <v>0</v>
      </c>
      <c r="D342" s="702"/>
      <c r="E342" s="702"/>
      <c r="F342" s="300">
        <f t="shared" si="71"/>
        <v>-55000</v>
      </c>
      <c r="G342" s="694"/>
      <c r="H342" s="695"/>
      <c r="I342" s="1314"/>
      <c r="J342" s="1315">
        <f>IF(K$1&gt;0,ROUNDUP(SUM(PROD!AM$5:AM343)/K$1*K$2,0),0)-SUM(J$4:J341)</f>
        <v>0</v>
      </c>
      <c r="K342" s="1316">
        <f t="shared" si="61"/>
        <v>0</v>
      </c>
      <c r="L342" s="1314"/>
      <c r="M342" s="1315">
        <f>IF(N$1&gt;0,ROUNDUP(SUM(PROD!L$5:L343,-PROD!AM$5:AM343,-PROD!AZ$5:AZ343)/N$1*N$2,0),0)-SUM(M$4:M341)</f>
        <v>0</v>
      </c>
      <c r="N342" s="1316">
        <f t="shared" si="62"/>
        <v>0</v>
      </c>
      <c r="O342" s="1317">
        <f t="shared" si="63"/>
        <v>0</v>
      </c>
      <c r="P342" s="1318"/>
      <c r="Q342" s="1319"/>
      <c r="R342" s="1320">
        <f t="shared" si="64"/>
        <v>0</v>
      </c>
      <c r="S342" s="1316">
        <f t="shared" si="65"/>
        <v>0</v>
      </c>
      <c r="T342" s="712"/>
      <c r="U342" s="713"/>
      <c r="V342" s="714"/>
      <c r="W342" s="398">
        <f t="shared" si="72"/>
        <v>0</v>
      </c>
      <c r="X342" s="712"/>
      <c r="Y342" s="713"/>
      <c r="Z342" s="714"/>
      <c r="AA342" s="398">
        <f t="shared" si="67"/>
        <v>0</v>
      </c>
      <c r="AB342" s="712"/>
      <c r="AC342" s="713"/>
      <c r="AD342" s="714"/>
      <c r="AE342" s="398">
        <f t="shared" si="68"/>
        <v>0</v>
      </c>
      <c r="AF342" s="712"/>
      <c r="AG342" s="713"/>
      <c r="AH342" s="714"/>
      <c r="AI342" s="398">
        <f t="shared" si="69"/>
        <v>0</v>
      </c>
      <c r="AJ342" s="712"/>
      <c r="AK342" s="713"/>
      <c r="AL342" s="714"/>
      <c r="AM342" s="398">
        <f t="shared" si="70"/>
        <v>0</v>
      </c>
    </row>
    <row r="343" spans="1:39" ht="15.75" customHeight="1" x14ac:dyDescent="0.3">
      <c r="A343" s="2161"/>
      <c r="B343" s="1313" t="str">
        <f t="shared" si="66"/>
        <v/>
      </c>
      <c r="C343" s="1011">
        <f>IF($D$2="NO",0,ROUNDDOWN(SUM(PROD!$V$5:V344)/IF(Iniciar!$C$25="kilos",40,1),0)-SUM($C$4:$C342))</f>
        <v>0</v>
      </c>
      <c r="D343" s="702"/>
      <c r="E343" s="702"/>
      <c r="F343" s="300">
        <f t="shared" si="71"/>
        <v>-55000</v>
      </c>
      <c r="G343" s="694"/>
      <c r="H343" s="695"/>
      <c r="I343" s="1314"/>
      <c r="J343" s="1315">
        <f>IF(K$1&gt;0,ROUNDUP(SUM(PROD!AM$5:AM344)/K$1*K$2,0),0)-SUM(J$4:J342)</f>
        <v>0</v>
      </c>
      <c r="K343" s="1316">
        <f t="shared" si="61"/>
        <v>0</v>
      </c>
      <c r="L343" s="1314"/>
      <c r="M343" s="1315">
        <f>IF(N$1&gt;0,ROUNDUP(SUM(PROD!L$5:L344,-PROD!AM$5:AM344,-PROD!AZ$5:AZ344)/N$1*N$2,0),0)-SUM(M$4:M342)</f>
        <v>0</v>
      </c>
      <c r="N343" s="1316">
        <f t="shared" si="62"/>
        <v>0</v>
      </c>
      <c r="O343" s="1317">
        <f t="shared" si="63"/>
        <v>0</v>
      </c>
      <c r="P343" s="1318"/>
      <c r="Q343" s="1319"/>
      <c r="R343" s="1320">
        <f t="shared" si="64"/>
        <v>0</v>
      </c>
      <c r="S343" s="1316">
        <f t="shared" si="65"/>
        <v>0</v>
      </c>
      <c r="T343" s="712"/>
      <c r="U343" s="713"/>
      <c r="V343" s="714"/>
      <c r="W343" s="398">
        <f t="shared" si="72"/>
        <v>0</v>
      </c>
      <c r="X343" s="712"/>
      <c r="Y343" s="713"/>
      <c r="Z343" s="714"/>
      <c r="AA343" s="398">
        <f t="shared" si="67"/>
        <v>0</v>
      </c>
      <c r="AB343" s="712"/>
      <c r="AC343" s="713"/>
      <c r="AD343" s="714"/>
      <c r="AE343" s="398">
        <f t="shared" si="68"/>
        <v>0</v>
      </c>
      <c r="AF343" s="712"/>
      <c r="AG343" s="713"/>
      <c r="AH343" s="714"/>
      <c r="AI343" s="398">
        <f t="shared" si="69"/>
        <v>0</v>
      </c>
      <c r="AJ343" s="712"/>
      <c r="AK343" s="713"/>
      <c r="AL343" s="714"/>
      <c r="AM343" s="398">
        <f t="shared" si="70"/>
        <v>0</v>
      </c>
    </row>
    <row r="344" spans="1:39" ht="15.75" customHeight="1" x14ac:dyDescent="0.3">
      <c r="A344" s="2161"/>
      <c r="B344" s="1313" t="str">
        <f t="shared" si="66"/>
        <v/>
      </c>
      <c r="C344" s="1011">
        <f>IF($D$2="NO",0,ROUNDDOWN(SUM(PROD!$V$5:V345)/IF(Iniciar!$C$25="kilos",40,1),0)-SUM($C$4:$C343))</f>
        <v>0</v>
      </c>
      <c r="D344" s="702"/>
      <c r="E344" s="702"/>
      <c r="F344" s="300">
        <f t="shared" si="71"/>
        <v>-55000</v>
      </c>
      <c r="G344" s="694"/>
      <c r="H344" s="695"/>
      <c r="I344" s="1314"/>
      <c r="J344" s="1315">
        <f>IF(K$1&gt;0,ROUNDUP(SUM(PROD!AM$5:AM345)/K$1*K$2,0),0)-SUM(J$4:J343)</f>
        <v>0</v>
      </c>
      <c r="K344" s="1316">
        <f t="shared" si="61"/>
        <v>0</v>
      </c>
      <c r="L344" s="1314"/>
      <c r="M344" s="1315">
        <f>IF(N$1&gt;0,ROUNDUP(SUM(PROD!L$5:L345,-PROD!AM$5:AM345,-PROD!AZ$5:AZ345)/N$1*N$2,0),0)-SUM(M$4:M343)</f>
        <v>0</v>
      </c>
      <c r="N344" s="1316">
        <f t="shared" si="62"/>
        <v>0</v>
      </c>
      <c r="O344" s="1317">
        <f t="shared" si="63"/>
        <v>0</v>
      </c>
      <c r="P344" s="1318"/>
      <c r="Q344" s="1319"/>
      <c r="R344" s="1320">
        <f t="shared" si="64"/>
        <v>0</v>
      </c>
      <c r="S344" s="1316">
        <f t="shared" si="65"/>
        <v>0</v>
      </c>
      <c r="T344" s="712"/>
      <c r="U344" s="713"/>
      <c r="V344" s="714"/>
      <c r="W344" s="398">
        <f t="shared" si="72"/>
        <v>0</v>
      </c>
      <c r="X344" s="712"/>
      <c r="Y344" s="713"/>
      <c r="Z344" s="714"/>
      <c r="AA344" s="398">
        <f t="shared" si="67"/>
        <v>0</v>
      </c>
      <c r="AB344" s="712"/>
      <c r="AC344" s="713"/>
      <c r="AD344" s="714"/>
      <c r="AE344" s="398">
        <f t="shared" si="68"/>
        <v>0</v>
      </c>
      <c r="AF344" s="712"/>
      <c r="AG344" s="713"/>
      <c r="AH344" s="714"/>
      <c r="AI344" s="398">
        <f t="shared" si="69"/>
        <v>0</v>
      </c>
      <c r="AJ344" s="712"/>
      <c r="AK344" s="713"/>
      <c r="AL344" s="714"/>
      <c r="AM344" s="398">
        <f t="shared" si="70"/>
        <v>0</v>
      </c>
    </row>
    <row r="345" spans="1:39" ht="15.75" customHeight="1" x14ac:dyDescent="0.3">
      <c r="A345" s="2161"/>
      <c r="B345" s="1313" t="str">
        <f t="shared" si="66"/>
        <v/>
      </c>
      <c r="C345" s="1011">
        <f>IF($D$2="NO",0,ROUNDDOWN(SUM(PROD!$V$5:V346)/IF(Iniciar!$C$25="kilos",40,1),0)-SUM($C$4:$C344))</f>
        <v>0</v>
      </c>
      <c r="D345" s="702"/>
      <c r="E345" s="702"/>
      <c r="F345" s="300">
        <f t="shared" si="71"/>
        <v>-55000</v>
      </c>
      <c r="G345" s="694"/>
      <c r="H345" s="695"/>
      <c r="I345" s="1314"/>
      <c r="J345" s="1315">
        <f>IF(K$1&gt;0,ROUNDUP(SUM(PROD!AM$5:AM346)/K$1*K$2,0),0)-SUM(J$4:J344)</f>
        <v>0</v>
      </c>
      <c r="K345" s="1316">
        <f t="shared" si="61"/>
        <v>0</v>
      </c>
      <c r="L345" s="1314"/>
      <c r="M345" s="1315">
        <f>IF(N$1&gt;0,ROUNDUP(SUM(PROD!L$5:L346,-PROD!AM$5:AM346,-PROD!AZ$5:AZ346)/N$1*N$2,0),0)-SUM(M$4:M344)</f>
        <v>0</v>
      </c>
      <c r="N345" s="1316">
        <f t="shared" si="62"/>
        <v>0</v>
      </c>
      <c r="O345" s="1317">
        <f t="shared" si="63"/>
        <v>0</v>
      </c>
      <c r="P345" s="1318"/>
      <c r="Q345" s="1319"/>
      <c r="R345" s="1320">
        <f t="shared" si="64"/>
        <v>0</v>
      </c>
      <c r="S345" s="1316">
        <f t="shared" si="65"/>
        <v>0</v>
      </c>
      <c r="T345" s="712"/>
      <c r="U345" s="713"/>
      <c r="V345" s="714"/>
      <c r="W345" s="398">
        <f t="shared" si="72"/>
        <v>0</v>
      </c>
      <c r="X345" s="712"/>
      <c r="Y345" s="713"/>
      <c r="Z345" s="714"/>
      <c r="AA345" s="398">
        <f t="shared" si="67"/>
        <v>0</v>
      </c>
      <c r="AB345" s="712"/>
      <c r="AC345" s="713"/>
      <c r="AD345" s="714"/>
      <c r="AE345" s="398">
        <f t="shared" si="68"/>
        <v>0</v>
      </c>
      <c r="AF345" s="712"/>
      <c r="AG345" s="713"/>
      <c r="AH345" s="714"/>
      <c r="AI345" s="398">
        <f t="shared" si="69"/>
        <v>0</v>
      </c>
      <c r="AJ345" s="712"/>
      <c r="AK345" s="713"/>
      <c r="AL345" s="714"/>
      <c r="AM345" s="398">
        <f t="shared" si="70"/>
        <v>0</v>
      </c>
    </row>
    <row r="346" spans="1:39" ht="16.5" customHeight="1" x14ac:dyDescent="0.3">
      <c r="A346" s="2162"/>
      <c r="B346" s="1313" t="str">
        <f t="shared" si="66"/>
        <v/>
      </c>
      <c r="C346" s="1011">
        <f>IF($D$2="NO",0,ROUNDDOWN(SUM(PROD!$V$5:V347)/IF(Iniciar!$C$25="kilos",40,1),0)-SUM($C$4:$C345))</f>
        <v>0</v>
      </c>
      <c r="D346" s="702"/>
      <c r="E346" s="702"/>
      <c r="F346" s="300">
        <f t="shared" si="71"/>
        <v>-55000</v>
      </c>
      <c r="G346" s="694"/>
      <c r="H346" s="695"/>
      <c r="I346" s="1314"/>
      <c r="J346" s="1315">
        <f>IF(K$1&gt;0,ROUNDUP(SUM(PROD!AM$5:AM347)/K$1*K$2,0),0)-SUM(J$4:J345)</f>
        <v>0</v>
      </c>
      <c r="K346" s="1316">
        <f t="shared" si="61"/>
        <v>0</v>
      </c>
      <c r="L346" s="1314"/>
      <c r="M346" s="1315">
        <f>IF(N$1&gt;0,ROUNDUP(SUM(PROD!L$5:L347,-PROD!AM$5:AM347,-PROD!AZ$5:AZ347)/N$1*N$2,0),0)-SUM(M$4:M345)</f>
        <v>0</v>
      </c>
      <c r="N346" s="1316">
        <f t="shared" si="62"/>
        <v>0</v>
      </c>
      <c r="O346" s="1317">
        <f t="shared" si="63"/>
        <v>0</v>
      </c>
      <c r="P346" s="1318"/>
      <c r="Q346" s="1319"/>
      <c r="R346" s="1320">
        <f t="shared" si="64"/>
        <v>0</v>
      </c>
      <c r="S346" s="1316">
        <f t="shared" si="65"/>
        <v>0</v>
      </c>
      <c r="T346" s="712"/>
      <c r="U346" s="713"/>
      <c r="V346" s="714"/>
      <c r="W346" s="398">
        <f t="shared" si="72"/>
        <v>0</v>
      </c>
      <c r="X346" s="712"/>
      <c r="Y346" s="713"/>
      <c r="Z346" s="714"/>
      <c r="AA346" s="398">
        <f t="shared" si="67"/>
        <v>0</v>
      </c>
      <c r="AB346" s="712"/>
      <c r="AC346" s="713"/>
      <c r="AD346" s="714"/>
      <c r="AE346" s="398">
        <f t="shared" si="68"/>
        <v>0</v>
      </c>
      <c r="AF346" s="712"/>
      <c r="AG346" s="713"/>
      <c r="AH346" s="714"/>
      <c r="AI346" s="398">
        <f t="shared" si="69"/>
        <v>0</v>
      </c>
      <c r="AJ346" s="712"/>
      <c r="AK346" s="713"/>
      <c r="AL346" s="714"/>
      <c r="AM346" s="398">
        <f t="shared" si="70"/>
        <v>0</v>
      </c>
    </row>
    <row r="347" spans="1:39" ht="16.5" customHeight="1" x14ac:dyDescent="0.3">
      <c r="A347" s="2160">
        <f>A340+1</f>
        <v>67</v>
      </c>
      <c r="B347" s="1313" t="str">
        <f t="shared" si="66"/>
        <v/>
      </c>
      <c r="C347" s="1011">
        <f>IF($D$2="NO",0,ROUNDDOWN(SUM(PROD!$V$5:V348)/IF(Iniciar!$C$25="kilos",40,1),0)-SUM($C$4:$C346))</f>
        <v>0</v>
      </c>
      <c r="D347" s="702"/>
      <c r="E347" s="702"/>
      <c r="F347" s="300">
        <f t="shared" si="71"/>
        <v>-55000</v>
      </c>
      <c r="G347" s="694"/>
      <c r="H347" s="695"/>
      <c r="I347" s="1314"/>
      <c r="J347" s="1315">
        <f>IF(K$1&gt;0,ROUNDUP(SUM(PROD!AM$5:AM348)/K$1*K$2,0),0)-SUM(J$4:J346)</f>
        <v>0</v>
      </c>
      <c r="K347" s="1316">
        <f t="shared" si="61"/>
        <v>0</v>
      </c>
      <c r="L347" s="1314"/>
      <c r="M347" s="1315">
        <f>IF(N$1&gt;0,ROUNDUP(SUM(PROD!L$5:L348,-PROD!AM$5:AM348,-PROD!AZ$5:AZ348)/N$1*N$2,0),0)-SUM(M$4:M346)</f>
        <v>0</v>
      </c>
      <c r="N347" s="1316">
        <f t="shared" si="62"/>
        <v>0</v>
      </c>
      <c r="O347" s="1317">
        <f t="shared" si="63"/>
        <v>0</v>
      </c>
      <c r="P347" s="1318"/>
      <c r="Q347" s="1319"/>
      <c r="R347" s="1320">
        <f t="shared" si="64"/>
        <v>0</v>
      </c>
      <c r="S347" s="1316">
        <f t="shared" si="65"/>
        <v>0</v>
      </c>
      <c r="T347" s="712"/>
      <c r="U347" s="713"/>
      <c r="V347" s="714"/>
      <c r="W347" s="398">
        <f t="shared" si="72"/>
        <v>0</v>
      </c>
      <c r="X347" s="712"/>
      <c r="Y347" s="713"/>
      <c r="Z347" s="714"/>
      <c r="AA347" s="398">
        <f t="shared" si="67"/>
        <v>0</v>
      </c>
      <c r="AB347" s="712"/>
      <c r="AC347" s="713"/>
      <c r="AD347" s="714"/>
      <c r="AE347" s="398">
        <f t="shared" si="68"/>
        <v>0</v>
      </c>
      <c r="AF347" s="712"/>
      <c r="AG347" s="713"/>
      <c r="AH347" s="714"/>
      <c r="AI347" s="398">
        <f t="shared" si="69"/>
        <v>0</v>
      </c>
      <c r="AJ347" s="712"/>
      <c r="AK347" s="713"/>
      <c r="AL347" s="714"/>
      <c r="AM347" s="398">
        <f t="shared" si="70"/>
        <v>0</v>
      </c>
    </row>
    <row r="348" spans="1:39" ht="15.75" customHeight="1" x14ac:dyDescent="0.3">
      <c r="A348" s="2161"/>
      <c r="B348" s="1313" t="str">
        <f t="shared" si="66"/>
        <v/>
      </c>
      <c r="C348" s="1011">
        <f>IF($D$2="NO",0,ROUNDDOWN(SUM(PROD!$V$5:V349)/IF(Iniciar!$C$25="kilos",40,1),0)-SUM($C$4:$C347))</f>
        <v>0</v>
      </c>
      <c r="D348" s="702"/>
      <c r="E348" s="702"/>
      <c r="F348" s="300">
        <f t="shared" si="71"/>
        <v>-55000</v>
      </c>
      <c r="G348" s="694"/>
      <c r="H348" s="695"/>
      <c r="I348" s="1314"/>
      <c r="J348" s="1315">
        <f>IF(K$1&gt;0,ROUNDUP(SUM(PROD!AM$5:AM349)/K$1*K$2,0),0)-SUM(J$4:J347)</f>
        <v>0</v>
      </c>
      <c r="K348" s="1316">
        <f t="shared" ref="K348:K411" si="73">K347+I348-J348</f>
        <v>0</v>
      </c>
      <c r="L348" s="1314"/>
      <c r="M348" s="1315">
        <f>IF(N$1&gt;0,ROUNDUP(SUM(PROD!L$5:L349,-PROD!AM$5:AM349,-PROD!AZ$5:AZ349)/N$1*N$2,0),0)-SUM(M$4:M347)</f>
        <v>0</v>
      </c>
      <c r="N348" s="1316">
        <f t="shared" ref="N348:N411" si="74">N347+L348-M348</f>
        <v>0</v>
      </c>
      <c r="O348" s="1317">
        <f t="shared" si="63"/>
        <v>0</v>
      </c>
      <c r="P348" s="1318"/>
      <c r="Q348" s="1319"/>
      <c r="R348" s="1320">
        <f t="shared" si="64"/>
        <v>0</v>
      </c>
      <c r="S348" s="1316">
        <f t="shared" si="65"/>
        <v>0</v>
      </c>
      <c r="T348" s="712"/>
      <c r="U348" s="713"/>
      <c r="V348" s="714"/>
      <c r="W348" s="398">
        <f t="shared" si="72"/>
        <v>0</v>
      </c>
      <c r="X348" s="712"/>
      <c r="Y348" s="713"/>
      <c r="Z348" s="714"/>
      <c r="AA348" s="398">
        <f t="shared" si="67"/>
        <v>0</v>
      </c>
      <c r="AB348" s="712"/>
      <c r="AC348" s="713"/>
      <c r="AD348" s="714"/>
      <c r="AE348" s="398">
        <f t="shared" si="68"/>
        <v>0</v>
      </c>
      <c r="AF348" s="712"/>
      <c r="AG348" s="713"/>
      <c r="AH348" s="714"/>
      <c r="AI348" s="398">
        <f t="shared" si="69"/>
        <v>0</v>
      </c>
      <c r="AJ348" s="712"/>
      <c r="AK348" s="713"/>
      <c r="AL348" s="714"/>
      <c r="AM348" s="398">
        <f t="shared" si="70"/>
        <v>0</v>
      </c>
    </row>
    <row r="349" spans="1:39" ht="15.75" customHeight="1" x14ac:dyDescent="0.3">
      <c r="A349" s="2161"/>
      <c r="B349" s="1313" t="str">
        <f t="shared" si="66"/>
        <v/>
      </c>
      <c r="C349" s="1011">
        <f>IF($D$2="NO",0,ROUNDDOWN(SUM(PROD!$V$5:V350)/IF(Iniciar!$C$25="kilos",40,1),0)-SUM($C$4:$C348))</f>
        <v>0</v>
      </c>
      <c r="D349" s="702"/>
      <c r="E349" s="702"/>
      <c r="F349" s="300">
        <f t="shared" si="71"/>
        <v>-55000</v>
      </c>
      <c r="G349" s="694"/>
      <c r="H349" s="695"/>
      <c r="I349" s="1314"/>
      <c r="J349" s="1315">
        <f>IF(K$1&gt;0,ROUNDUP(SUM(PROD!AM$5:AM350)/K$1*K$2,0),0)-SUM(J$4:J348)</f>
        <v>0</v>
      </c>
      <c r="K349" s="1316">
        <f t="shared" si="73"/>
        <v>0</v>
      </c>
      <c r="L349" s="1314"/>
      <c r="M349" s="1315">
        <f>IF(N$1&gt;0,ROUNDUP(SUM(PROD!L$5:L350,-PROD!AM$5:AM350,-PROD!AZ$5:AZ350)/N$1*N$2,0),0)-SUM(M$4:M348)</f>
        <v>0</v>
      </c>
      <c r="N349" s="1316">
        <f t="shared" si="74"/>
        <v>0</v>
      </c>
      <c r="O349" s="1317">
        <f t="shared" si="63"/>
        <v>0</v>
      </c>
      <c r="P349" s="1318"/>
      <c r="Q349" s="1319"/>
      <c r="R349" s="1320">
        <f t="shared" si="64"/>
        <v>0</v>
      </c>
      <c r="S349" s="1316">
        <f t="shared" si="65"/>
        <v>0</v>
      </c>
      <c r="T349" s="712"/>
      <c r="U349" s="713"/>
      <c r="V349" s="714"/>
      <c r="W349" s="398">
        <f t="shared" si="72"/>
        <v>0</v>
      </c>
      <c r="X349" s="712"/>
      <c r="Y349" s="713"/>
      <c r="Z349" s="714"/>
      <c r="AA349" s="398">
        <f t="shared" si="67"/>
        <v>0</v>
      </c>
      <c r="AB349" s="712"/>
      <c r="AC349" s="713"/>
      <c r="AD349" s="714"/>
      <c r="AE349" s="398">
        <f t="shared" si="68"/>
        <v>0</v>
      </c>
      <c r="AF349" s="712"/>
      <c r="AG349" s="713"/>
      <c r="AH349" s="714"/>
      <c r="AI349" s="398">
        <f t="shared" si="69"/>
        <v>0</v>
      </c>
      <c r="AJ349" s="712"/>
      <c r="AK349" s="713"/>
      <c r="AL349" s="714"/>
      <c r="AM349" s="398">
        <f t="shared" si="70"/>
        <v>0</v>
      </c>
    </row>
    <row r="350" spans="1:39" ht="15.75" customHeight="1" x14ac:dyDescent="0.3">
      <c r="A350" s="2161"/>
      <c r="B350" s="1313" t="str">
        <f t="shared" si="66"/>
        <v/>
      </c>
      <c r="C350" s="1011">
        <f>IF($D$2="NO",0,ROUNDDOWN(SUM(PROD!$V$5:V351)/IF(Iniciar!$C$25="kilos",40,1),0)-SUM($C$4:$C349))</f>
        <v>0</v>
      </c>
      <c r="D350" s="702"/>
      <c r="E350" s="702"/>
      <c r="F350" s="300">
        <f t="shared" si="71"/>
        <v>-55000</v>
      </c>
      <c r="G350" s="694"/>
      <c r="H350" s="695"/>
      <c r="I350" s="1314"/>
      <c r="J350" s="1315">
        <f>IF(K$1&gt;0,ROUNDUP(SUM(PROD!AM$5:AM351)/K$1*K$2,0),0)-SUM(J$4:J349)</f>
        <v>0</v>
      </c>
      <c r="K350" s="1316">
        <f t="shared" si="73"/>
        <v>0</v>
      </c>
      <c r="L350" s="1314"/>
      <c r="M350" s="1315">
        <f>IF(N$1&gt;0,ROUNDUP(SUM(PROD!L$5:L351,-PROD!AM$5:AM351,-PROD!AZ$5:AZ351)/N$1*N$2,0),0)-SUM(M$4:M349)</f>
        <v>0</v>
      </c>
      <c r="N350" s="1316">
        <f t="shared" si="74"/>
        <v>0</v>
      </c>
      <c r="O350" s="1317">
        <f t="shared" si="63"/>
        <v>0</v>
      </c>
      <c r="P350" s="1318"/>
      <c r="Q350" s="1319"/>
      <c r="R350" s="1320">
        <f t="shared" si="64"/>
        <v>0</v>
      </c>
      <c r="S350" s="1316">
        <f t="shared" si="65"/>
        <v>0</v>
      </c>
      <c r="T350" s="712"/>
      <c r="U350" s="713"/>
      <c r="V350" s="714"/>
      <c r="W350" s="398">
        <f t="shared" si="72"/>
        <v>0</v>
      </c>
      <c r="X350" s="712"/>
      <c r="Y350" s="713"/>
      <c r="Z350" s="714"/>
      <c r="AA350" s="398">
        <f t="shared" si="67"/>
        <v>0</v>
      </c>
      <c r="AB350" s="712"/>
      <c r="AC350" s="713"/>
      <c r="AD350" s="714"/>
      <c r="AE350" s="398">
        <f t="shared" si="68"/>
        <v>0</v>
      </c>
      <c r="AF350" s="712"/>
      <c r="AG350" s="713"/>
      <c r="AH350" s="714"/>
      <c r="AI350" s="398">
        <f t="shared" si="69"/>
        <v>0</v>
      </c>
      <c r="AJ350" s="712"/>
      <c r="AK350" s="713"/>
      <c r="AL350" s="714"/>
      <c r="AM350" s="398">
        <f t="shared" si="70"/>
        <v>0</v>
      </c>
    </row>
    <row r="351" spans="1:39" ht="15.75" customHeight="1" x14ac:dyDescent="0.3">
      <c r="A351" s="2161"/>
      <c r="B351" s="1313" t="str">
        <f t="shared" si="66"/>
        <v/>
      </c>
      <c r="C351" s="1011">
        <f>IF($D$2="NO",0,ROUNDDOWN(SUM(PROD!$V$5:V352)/IF(Iniciar!$C$25="kilos",40,1),0)-SUM($C$4:$C350))</f>
        <v>0</v>
      </c>
      <c r="D351" s="702"/>
      <c r="E351" s="702"/>
      <c r="F351" s="300">
        <f t="shared" si="71"/>
        <v>-55000</v>
      </c>
      <c r="G351" s="694"/>
      <c r="H351" s="695"/>
      <c r="I351" s="1314"/>
      <c r="J351" s="1315">
        <f>IF(K$1&gt;0,ROUNDUP(SUM(PROD!AM$5:AM352)/K$1*K$2,0),0)-SUM(J$4:J350)</f>
        <v>0</v>
      </c>
      <c r="K351" s="1316">
        <f t="shared" si="73"/>
        <v>0</v>
      </c>
      <c r="L351" s="1314"/>
      <c r="M351" s="1315">
        <f>IF(N$1&gt;0,ROUNDUP(SUM(PROD!L$5:L352,-PROD!AM$5:AM352,-PROD!AZ$5:AZ352)/N$1*N$2,0),0)-SUM(M$4:M350)</f>
        <v>0</v>
      </c>
      <c r="N351" s="1316">
        <f t="shared" si="74"/>
        <v>0</v>
      </c>
      <c r="O351" s="1317">
        <f t="shared" si="63"/>
        <v>0</v>
      </c>
      <c r="P351" s="1318"/>
      <c r="Q351" s="1319"/>
      <c r="R351" s="1320">
        <f t="shared" si="64"/>
        <v>0</v>
      </c>
      <c r="S351" s="1316">
        <f t="shared" si="65"/>
        <v>0</v>
      </c>
      <c r="T351" s="712"/>
      <c r="U351" s="713"/>
      <c r="V351" s="714"/>
      <c r="W351" s="398">
        <f t="shared" si="72"/>
        <v>0</v>
      </c>
      <c r="X351" s="712"/>
      <c r="Y351" s="713"/>
      <c r="Z351" s="714"/>
      <c r="AA351" s="398">
        <f t="shared" si="67"/>
        <v>0</v>
      </c>
      <c r="AB351" s="712"/>
      <c r="AC351" s="713"/>
      <c r="AD351" s="714"/>
      <c r="AE351" s="398">
        <f t="shared" si="68"/>
        <v>0</v>
      </c>
      <c r="AF351" s="712"/>
      <c r="AG351" s="713"/>
      <c r="AH351" s="714"/>
      <c r="AI351" s="398">
        <f t="shared" si="69"/>
        <v>0</v>
      </c>
      <c r="AJ351" s="712"/>
      <c r="AK351" s="713"/>
      <c r="AL351" s="714"/>
      <c r="AM351" s="398">
        <f t="shared" si="70"/>
        <v>0</v>
      </c>
    </row>
    <row r="352" spans="1:39" ht="15.75" customHeight="1" x14ac:dyDescent="0.3">
      <c r="A352" s="2161"/>
      <c r="B352" s="1313" t="str">
        <f t="shared" si="66"/>
        <v/>
      </c>
      <c r="C352" s="1011">
        <f>IF($D$2="NO",0,ROUNDDOWN(SUM(PROD!$V$5:V353)/IF(Iniciar!$C$25="kilos",40,1),0)-SUM($C$4:$C351))</f>
        <v>0</v>
      </c>
      <c r="D352" s="702"/>
      <c r="E352" s="702"/>
      <c r="F352" s="300">
        <f t="shared" si="71"/>
        <v>-55000</v>
      </c>
      <c r="G352" s="694"/>
      <c r="H352" s="695"/>
      <c r="I352" s="1314"/>
      <c r="J352" s="1315">
        <f>IF(K$1&gt;0,ROUNDUP(SUM(PROD!AM$5:AM353)/K$1*K$2,0),0)-SUM(J$4:J351)</f>
        <v>0</v>
      </c>
      <c r="K352" s="1316">
        <f t="shared" si="73"/>
        <v>0</v>
      </c>
      <c r="L352" s="1314"/>
      <c r="M352" s="1315">
        <f>IF(N$1&gt;0,ROUNDUP(SUM(PROD!L$5:L353,-PROD!AM$5:AM353,-PROD!AZ$5:AZ353)/N$1*N$2,0),0)-SUM(M$4:M351)</f>
        <v>0</v>
      </c>
      <c r="N352" s="1316">
        <f t="shared" si="74"/>
        <v>0</v>
      </c>
      <c r="O352" s="1317">
        <f t="shared" si="63"/>
        <v>0</v>
      </c>
      <c r="P352" s="1318"/>
      <c r="Q352" s="1319"/>
      <c r="R352" s="1320">
        <f t="shared" si="64"/>
        <v>0</v>
      </c>
      <c r="S352" s="1316">
        <f t="shared" si="65"/>
        <v>0</v>
      </c>
      <c r="T352" s="712"/>
      <c r="U352" s="713"/>
      <c r="V352" s="714"/>
      <c r="W352" s="398">
        <f t="shared" si="72"/>
        <v>0</v>
      </c>
      <c r="X352" s="712"/>
      <c r="Y352" s="713"/>
      <c r="Z352" s="714"/>
      <c r="AA352" s="398">
        <f t="shared" si="67"/>
        <v>0</v>
      </c>
      <c r="AB352" s="712"/>
      <c r="AC352" s="713"/>
      <c r="AD352" s="714"/>
      <c r="AE352" s="398">
        <f t="shared" si="68"/>
        <v>0</v>
      </c>
      <c r="AF352" s="712"/>
      <c r="AG352" s="713"/>
      <c r="AH352" s="714"/>
      <c r="AI352" s="398">
        <f t="shared" si="69"/>
        <v>0</v>
      </c>
      <c r="AJ352" s="712"/>
      <c r="AK352" s="713"/>
      <c r="AL352" s="714"/>
      <c r="AM352" s="398">
        <f t="shared" si="70"/>
        <v>0</v>
      </c>
    </row>
    <row r="353" spans="1:39" ht="16.5" customHeight="1" x14ac:dyDescent="0.3">
      <c r="A353" s="2162"/>
      <c r="B353" s="1313" t="str">
        <f t="shared" si="66"/>
        <v/>
      </c>
      <c r="C353" s="1011">
        <f>IF($D$2="NO",0,ROUNDDOWN(SUM(PROD!$V$5:V354)/IF(Iniciar!$C$25="kilos",40,1),0)-SUM($C$4:$C352))</f>
        <v>0</v>
      </c>
      <c r="D353" s="702"/>
      <c r="E353" s="702"/>
      <c r="F353" s="300">
        <f t="shared" si="71"/>
        <v>-55000</v>
      </c>
      <c r="G353" s="694"/>
      <c r="H353" s="695"/>
      <c r="I353" s="1314"/>
      <c r="J353" s="1315">
        <f>IF(K$1&gt;0,ROUNDUP(SUM(PROD!AM$5:AM354)/K$1*K$2,0),0)-SUM(J$4:J352)</f>
        <v>0</v>
      </c>
      <c r="K353" s="1316">
        <f t="shared" si="73"/>
        <v>0</v>
      </c>
      <c r="L353" s="1314"/>
      <c r="M353" s="1315">
        <f>IF(N$1&gt;0,ROUNDUP(SUM(PROD!L$5:L354,-PROD!AM$5:AM354,-PROD!AZ$5:AZ354)/N$1*N$2,0),0)-SUM(M$4:M352)</f>
        <v>0</v>
      </c>
      <c r="N353" s="1316">
        <f t="shared" si="74"/>
        <v>0</v>
      </c>
      <c r="O353" s="1317">
        <f t="shared" si="63"/>
        <v>0</v>
      </c>
      <c r="P353" s="1318"/>
      <c r="Q353" s="1319"/>
      <c r="R353" s="1320">
        <f t="shared" si="64"/>
        <v>0</v>
      </c>
      <c r="S353" s="1316">
        <f t="shared" si="65"/>
        <v>0</v>
      </c>
      <c r="T353" s="712"/>
      <c r="U353" s="713"/>
      <c r="V353" s="714"/>
      <c r="W353" s="398">
        <f t="shared" si="72"/>
        <v>0</v>
      </c>
      <c r="X353" s="712"/>
      <c r="Y353" s="713"/>
      <c r="Z353" s="714"/>
      <c r="AA353" s="398">
        <f t="shared" si="67"/>
        <v>0</v>
      </c>
      <c r="AB353" s="712"/>
      <c r="AC353" s="713"/>
      <c r="AD353" s="714"/>
      <c r="AE353" s="398">
        <f t="shared" si="68"/>
        <v>0</v>
      </c>
      <c r="AF353" s="712"/>
      <c r="AG353" s="713"/>
      <c r="AH353" s="714"/>
      <c r="AI353" s="398">
        <f t="shared" si="69"/>
        <v>0</v>
      </c>
      <c r="AJ353" s="712"/>
      <c r="AK353" s="713"/>
      <c r="AL353" s="714"/>
      <c r="AM353" s="398">
        <f t="shared" si="70"/>
        <v>0</v>
      </c>
    </row>
    <row r="354" spans="1:39" ht="16.5" customHeight="1" x14ac:dyDescent="0.3">
      <c r="A354" s="2160">
        <f>A347+1</f>
        <v>68</v>
      </c>
      <c r="B354" s="1313" t="str">
        <f t="shared" si="66"/>
        <v/>
      </c>
      <c r="C354" s="1011">
        <f>IF($D$2="NO",0,ROUNDDOWN(SUM(PROD!$V$5:V355)/IF(Iniciar!$C$25="kilos",40,1),0)-SUM($C$4:$C353))</f>
        <v>0</v>
      </c>
      <c r="D354" s="702"/>
      <c r="E354" s="702">
        <v>20000</v>
      </c>
      <c r="F354" s="300">
        <f t="shared" si="71"/>
        <v>-75000</v>
      </c>
      <c r="G354" s="694"/>
      <c r="H354" s="695"/>
      <c r="I354" s="1314"/>
      <c r="J354" s="1315">
        <f>IF(K$1&gt;0,ROUNDUP(SUM(PROD!AM$5:AM355)/K$1*K$2,0),0)-SUM(J$4:J353)</f>
        <v>0</v>
      </c>
      <c r="K354" s="1316">
        <f t="shared" si="73"/>
        <v>0</v>
      </c>
      <c r="L354" s="1314"/>
      <c r="M354" s="1315">
        <f>IF(N$1&gt;0,ROUNDUP(SUM(PROD!L$5:L355,-PROD!AM$5:AM355,-PROD!AZ$5:AZ355)/N$1*N$2,0),0)-SUM(M$4:M353)</f>
        <v>0</v>
      </c>
      <c r="N354" s="1316">
        <f t="shared" si="74"/>
        <v>0</v>
      </c>
      <c r="O354" s="1317">
        <f t="shared" si="63"/>
        <v>0</v>
      </c>
      <c r="P354" s="1318"/>
      <c r="Q354" s="1319"/>
      <c r="R354" s="1320">
        <f t="shared" si="64"/>
        <v>0</v>
      </c>
      <c r="S354" s="1316">
        <f t="shared" si="65"/>
        <v>0</v>
      </c>
      <c r="T354" s="712"/>
      <c r="U354" s="713"/>
      <c r="V354" s="714"/>
      <c r="W354" s="398">
        <f t="shared" si="72"/>
        <v>0</v>
      </c>
      <c r="X354" s="712"/>
      <c r="Y354" s="713"/>
      <c r="Z354" s="714"/>
      <c r="AA354" s="398">
        <f t="shared" si="67"/>
        <v>0</v>
      </c>
      <c r="AB354" s="712"/>
      <c r="AC354" s="713"/>
      <c r="AD354" s="714"/>
      <c r="AE354" s="398">
        <f t="shared" si="68"/>
        <v>0</v>
      </c>
      <c r="AF354" s="712"/>
      <c r="AG354" s="713"/>
      <c r="AH354" s="714"/>
      <c r="AI354" s="398">
        <f t="shared" si="69"/>
        <v>0</v>
      </c>
      <c r="AJ354" s="712"/>
      <c r="AK354" s="713"/>
      <c r="AL354" s="714"/>
      <c r="AM354" s="398">
        <f t="shared" si="70"/>
        <v>0</v>
      </c>
    </row>
    <row r="355" spans="1:39" ht="15.75" customHeight="1" x14ac:dyDescent="0.3">
      <c r="A355" s="2161"/>
      <c r="B355" s="1313" t="str">
        <f t="shared" si="66"/>
        <v/>
      </c>
      <c r="C355" s="1011">
        <f>IF($D$2="NO",0,ROUNDDOWN(SUM(PROD!$V$5:V356)/IF(Iniciar!$C$25="kilos",40,1),0)-SUM($C$4:$C354))</f>
        <v>0</v>
      </c>
      <c r="D355" s="702"/>
      <c r="E355" s="702"/>
      <c r="F355" s="300">
        <f t="shared" si="71"/>
        <v>-75000</v>
      </c>
      <c r="G355" s="694"/>
      <c r="H355" s="695"/>
      <c r="I355" s="1314"/>
      <c r="J355" s="1315">
        <f>IF(K$1&gt;0,ROUNDUP(SUM(PROD!AM$5:AM356)/K$1*K$2,0),0)-SUM(J$4:J354)</f>
        <v>0</v>
      </c>
      <c r="K355" s="1316">
        <f t="shared" si="73"/>
        <v>0</v>
      </c>
      <c r="L355" s="1314"/>
      <c r="M355" s="1315">
        <f>IF(N$1&gt;0,ROUNDUP(SUM(PROD!L$5:L356,-PROD!AM$5:AM356,-PROD!AZ$5:AZ356)/N$1*N$2,0),0)-SUM(M$4:M354)</f>
        <v>0</v>
      </c>
      <c r="N355" s="1316">
        <f t="shared" si="74"/>
        <v>0</v>
      </c>
      <c r="O355" s="1317">
        <f t="shared" si="63"/>
        <v>0</v>
      </c>
      <c r="P355" s="1318"/>
      <c r="Q355" s="1319"/>
      <c r="R355" s="1320">
        <f t="shared" si="64"/>
        <v>0</v>
      </c>
      <c r="S355" s="1316">
        <f t="shared" si="65"/>
        <v>0</v>
      </c>
      <c r="T355" s="712"/>
      <c r="U355" s="713"/>
      <c r="V355" s="714"/>
      <c r="W355" s="398">
        <f t="shared" si="72"/>
        <v>0</v>
      </c>
      <c r="X355" s="712"/>
      <c r="Y355" s="713"/>
      <c r="Z355" s="714"/>
      <c r="AA355" s="398">
        <f t="shared" si="67"/>
        <v>0</v>
      </c>
      <c r="AB355" s="712"/>
      <c r="AC355" s="713"/>
      <c r="AD355" s="714"/>
      <c r="AE355" s="398">
        <f t="shared" si="68"/>
        <v>0</v>
      </c>
      <c r="AF355" s="712"/>
      <c r="AG355" s="713"/>
      <c r="AH355" s="714"/>
      <c r="AI355" s="398">
        <f t="shared" si="69"/>
        <v>0</v>
      </c>
      <c r="AJ355" s="712"/>
      <c r="AK355" s="713"/>
      <c r="AL355" s="714"/>
      <c r="AM355" s="398">
        <f t="shared" si="70"/>
        <v>0</v>
      </c>
    </row>
    <row r="356" spans="1:39" ht="15.75" customHeight="1" x14ac:dyDescent="0.3">
      <c r="A356" s="2161"/>
      <c r="B356" s="1313" t="str">
        <f t="shared" si="66"/>
        <v/>
      </c>
      <c r="C356" s="1011">
        <f>IF($D$2="NO",0,ROUNDDOWN(SUM(PROD!$V$5:V357)/IF(Iniciar!$C$25="kilos",40,1),0)-SUM($C$4:$C355))</f>
        <v>0</v>
      </c>
      <c r="D356" s="702"/>
      <c r="E356" s="702"/>
      <c r="F356" s="300">
        <f t="shared" si="71"/>
        <v>-75000</v>
      </c>
      <c r="G356" s="694"/>
      <c r="H356" s="695"/>
      <c r="I356" s="1314"/>
      <c r="J356" s="1315">
        <f>IF(K$1&gt;0,ROUNDUP(SUM(PROD!AM$5:AM357)/K$1*K$2,0),0)-SUM(J$4:J355)</f>
        <v>0</v>
      </c>
      <c r="K356" s="1316">
        <f t="shared" si="73"/>
        <v>0</v>
      </c>
      <c r="L356" s="1314"/>
      <c r="M356" s="1315">
        <f>IF(N$1&gt;0,ROUNDUP(SUM(PROD!L$5:L357,-PROD!AM$5:AM357,-PROD!AZ$5:AZ357)/N$1*N$2,0),0)-SUM(M$4:M355)</f>
        <v>0</v>
      </c>
      <c r="N356" s="1316">
        <f t="shared" si="74"/>
        <v>0</v>
      </c>
      <c r="O356" s="1317">
        <f t="shared" si="63"/>
        <v>0</v>
      </c>
      <c r="P356" s="1318"/>
      <c r="Q356" s="1319"/>
      <c r="R356" s="1320">
        <f t="shared" si="64"/>
        <v>0</v>
      </c>
      <c r="S356" s="1316">
        <f t="shared" si="65"/>
        <v>0</v>
      </c>
      <c r="T356" s="712"/>
      <c r="U356" s="713"/>
      <c r="V356" s="714"/>
      <c r="W356" s="398">
        <f t="shared" si="72"/>
        <v>0</v>
      </c>
      <c r="X356" s="712"/>
      <c r="Y356" s="713"/>
      <c r="Z356" s="714"/>
      <c r="AA356" s="398">
        <f t="shared" si="67"/>
        <v>0</v>
      </c>
      <c r="AB356" s="712"/>
      <c r="AC356" s="713"/>
      <c r="AD356" s="714"/>
      <c r="AE356" s="398">
        <f t="shared" si="68"/>
        <v>0</v>
      </c>
      <c r="AF356" s="712"/>
      <c r="AG356" s="713"/>
      <c r="AH356" s="714"/>
      <c r="AI356" s="398">
        <f t="shared" si="69"/>
        <v>0</v>
      </c>
      <c r="AJ356" s="712"/>
      <c r="AK356" s="713"/>
      <c r="AL356" s="714"/>
      <c r="AM356" s="398">
        <f t="shared" si="70"/>
        <v>0</v>
      </c>
    </row>
    <row r="357" spans="1:39" ht="15.75" customHeight="1" x14ac:dyDescent="0.3">
      <c r="A357" s="2161"/>
      <c r="B357" s="1313" t="str">
        <f t="shared" si="66"/>
        <v/>
      </c>
      <c r="C357" s="1011">
        <f>IF($D$2="NO",0,ROUNDDOWN(SUM(PROD!$V$5:V358)/IF(Iniciar!$C$25="kilos",40,1),0)-SUM($C$4:$C356))</f>
        <v>0</v>
      </c>
      <c r="D357" s="702"/>
      <c r="E357" s="702"/>
      <c r="F357" s="300">
        <f t="shared" si="71"/>
        <v>-75000</v>
      </c>
      <c r="G357" s="694"/>
      <c r="H357" s="695"/>
      <c r="I357" s="1314"/>
      <c r="J357" s="1315">
        <f>IF(K$1&gt;0,ROUNDUP(SUM(PROD!AM$5:AM358)/K$1*K$2,0),0)-SUM(J$4:J356)</f>
        <v>0</v>
      </c>
      <c r="K357" s="1316">
        <f t="shared" si="73"/>
        <v>0</v>
      </c>
      <c r="L357" s="1314"/>
      <c r="M357" s="1315">
        <f>IF(N$1&gt;0,ROUNDUP(SUM(PROD!L$5:L358,-PROD!AM$5:AM358,-PROD!AZ$5:AZ358)/N$1*N$2,0),0)-SUM(M$4:M356)</f>
        <v>0</v>
      </c>
      <c r="N357" s="1316">
        <f t="shared" si="74"/>
        <v>0</v>
      </c>
      <c r="O357" s="1317">
        <f t="shared" si="63"/>
        <v>0</v>
      </c>
      <c r="P357" s="1318"/>
      <c r="Q357" s="1319"/>
      <c r="R357" s="1320">
        <f t="shared" si="64"/>
        <v>0</v>
      </c>
      <c r="S357" s="1316">
        <f t="shared" si="65"/>
        <v>0</v>
      </c>
      <c r="T357" s="712"/>
      <c r="U357" s="713"/>
      <c r="V357" s="714"/>
      <c r="W357" s="398">
        <f t="shared" si="72"/>
        <v>0</v>
      </c>
      <c r="X357" s="712"/>
      <c r="Y357" s="713"/>
      <c r="Z357" s="714"/>
      <c r="AA357" s="398">
        <f t="shared" si="67"/>
        <v>0</v>
      </c>
      <c r="AB357" s="712"/>
      <c r="AC357" s="713"/>
      <c r="AD357" s="714"/>
      <c r="AE357" s="398">
        <f t="shared" si="68"/>
        <v>0</v>
      </c>
      <c r="AF357" s="712"/>
      <c r="AG357" s="713"/>
      <c r="AH357" s="714"/>
      <c r="AI357" s="398">
        <f t="shared" si="69"/>
        <v>0</v>
      </c>
      <c r="AJ357" s="712"/>
      <c r="AK357" s="713"/>
      <c r="AL357" s="714"/>
      <c r="AM357" s="398">
        <f t="shared" si="70"/>
        <v>0</v>
      </c>
    </row>
    <row r="358" spans="1:39" ht="15.75" customHeight="1" x14ac:dyDescent="0.3">
      <c r="A358" s="2161"/>
      <c r="B358" s="1313" t="str">
        <f t="shared" si="66"/>
        <v/>
      </c>
      <c r="C358" s="1011">
        <f>IF($D$2="NO",0,ROUNDDOWN(SUM(PROD!$V$5:V359)/IF(Iniciar!$C$25="kilos",40,1),0)-SUM($C$4:$C357))</f>
        <v>0</v>
      </c>
      <c r="D358" s="702"/>
      <c r="E358" s="702"/>
      <c r="F358" s="300">
        <f t="shared" si="71"/>
        <v>-75000</v>
      </c>
      <c r="G358" s="694"/>
      <c r="H358" s="695"/>
      <c r="I358" s="1314"/>
      <c r="J358" s="1315">
        <f>IF(K$1&gt;0,ROUNDUP(SUM(PROD!AM$5:AM359)/K$1*K$2,0),0)-SUM(J$4:J357)</f>
        <v>0</v>
      </c>
      <c r="K358" s="1316">
        <f t="shared" si="73"/>
        <v>0</v>
      </c>
      <c r="L358" s="1314"/>
      <c r="M358" s="1315">
        <f>IF(N$1&gt;0,ROUNDUP(SUM(PROD!L$5:L359,-PROD!AM$5:AM359,-PROD!AZ$5:AZ359)/N$1*N$2,0),0)-SUM(M$4:M357)</f>
        <v>0</v>
      </c>
      <c r="N358" s="1316">
        <f t="shared" si="74"/>
        <v>0</v>
      </c>
      <c r="O358" s="1317">
        <f t="shared" si="63"/>
        <v>0</v>
      </c>
      <c r="P358" s="1318"/>
      <c r="Q358" s="1319"/>
      <c r="R358" s="1320">
        <f t="shared" si="64"/>
        <v>0</v>
      </c>
      <c r="S358" s="1316">
        <f t="shared" si="65"/>
        <v>0</v>
      </c>
      <c r="T358" s="712"/>
      <c r="U358" s="713"/>
      <c r="V358" s="714"/>
      <c r="W358" s="398">
        <f t="shared" si="72"/>
        <v>0</v>
      </c>
      <c r="X358" s="712"/>
      <c r="Y358" s="713"/>
      <c r="Z358" s="714"/>
      <c r="AA358" s="398">
        <f t="shared" si="67"/>
        <v>0</v>
      </c>
      <c r="AB358" s="712"/>
      <c r="AC358" s="713"/>
      <c r="AD358" s="714"/>
      <c r="AE358" s="398">
        <f t="shared" si="68"/>
        <v>0</v>
      </c>
      <c r="AF358" s="712"/>
      <c r="AG358" s="713"/>
      <c r="AH358" s="714"/>
      <c r="AI358" s="398">
        <f t="shared" si="69"/>
        <v>0</v>
      </c>
      <c r="AJ358" s="712"/>
      <c r="AK358" s="713"/>
      <c r="AL358" s="714"/>
      <c r="AM358" s="398">
        <f t="shared" si="70"/>
        <v>0</v>
      </c>
    </row>
    <row r="359" spans="1:39" ht="15.75" customHeight="1" x14ac:dyDescent="0.3">
      <c r="A359" s="2161"/>
      <c r="B359" s="1313" t="str">
        <f t="shared" si="66"/>
        <v/>
      </c>
      <c r="C359" s="1011">
        <f>IF($D$2="NO",0,ROUNDDOWN(SUM(PROD!$V$5:V360)/IF(Iniciar!$C$25="kilos",40,1),0)-SUM($C$4:$C358))</f>
        <v>0</v>
      </c>
      <c r="D359" s="702"/>
      <c r="E359" s="702"/>
      <c r="F359" s="300">
        <f t="shared" si="71"/>
        <v>-75000</v>
      </c>
      <c r="G359" s="694"/>
      <c r="H359" s="695"/>
      <c r="I359" s="1314"/>
      <c r="J359" s="1315">
        <f>IF(K$1&gt;0,ROUNDUP(SUM(PROD!AM$5:AM360)/K$1*K$2,0),0)-SUM(J$4:J358)</f>
        <v>0</v>
      </c>
      <c r="K359" s="1316">
        <f t="shared" si="73"/>
        <v>0</v>
      </c>
      <c r="L359" s="1314"/>
      <c r="M359" s="1315">
        <f>IF(N$1&gt;0,ROUNDUP(SUM(PROD!L$5:L360,-PROD!AM$5:AM360,-PROD!AZ$5:AZ360)/N$1*N$2,0),0)-SUM(M$4:M358)</f>
        <v>0</v>
      </c>
      <c r="N359" s="1316">
        <f t="shared" si="74"/>
        <v>0</v>
      </c>
      <c r="O359" s="1317">
        <f t="shared" si="63"/>
        <v>0</v>
      </c>
      <c r="P359" s="1318"/>
      <c r="Q359" s="1319"/>
      <c r="R359" s="1320">
        <f t="shared" si="64"/>
        <v>0</v>
      </c>
      <c r="S359" s="1316">
        <f t="shared" si="65"/>
        <v>0</v>
      </c>
      <c r="T359" s="712"/>
      <c r="U359" s="713"/>
      <c r="V359" s="714"/>
      <c r="W359" s="398">
        <f t="shared" si="72"/>
        <v>0</v>
      </c>
      <c r="X359" s="712"/>
      <c r="Y359" s="713"/>
      <c r="Z359" s="714"/>
      <c r="AA359" s="398">
        <f t="shared" si="67"/>
        <v>0</v>
      </c>
      <c r="AB359" s="712"/>
      <c r="AC359" s="713"/>
      <c r="AD359" s="714"/>
      <c r="AE359" s="398">
        <f t="shared" si="68"/>
        <v>0</v>
      </c>
      <c r="AF359" s="712"/>
      <c r="AG359" s="713"/>
      <c r="AH359" s="714"/>
      <c r="AI359" s="398">
        <f t="shared" si="69"/>
        <v>0</v>
      </c>
      <c r="AJ359" s="712"/>
      <c r="AK359" s="713"/>
      <c r="AL359" s="714"/>
      <c r="AM359" s="398">
        <f t="shared" si="70"/>
        <v>0</v>
      </c>
    </row>
    <row r="360" spans="1:39" ht="16.5" customHeight="1" x14ac:dyDescent="0.3">
      <c r="A360" s="2162"/>
      <c r="B360" s="1313" t="str">
        <f t="shared" si="66"/>
        <v/>
      </c>
      <c r="C360" s="1011">
        <f>IF($D$2="NO",0,ROUNDDOWN(SUM(PROD!$V$5:V361)/IF(Iniciar!$C$25="kilos",40,1),0)-SUM($C$4:$C359))</f>
        <v>0</v>
      </c>
      <c r="D360" s="702"/>
      <c r="E360" s="702"/>
      <c r="F360" s="300">
        <f t="shared" si="71"/>
        <v>-75000</v>
      </c>
      <c r="G360" s="694"/>
      <c r="H360" s="695"/>
      <c r="I360" s="1314"/>
      <c r="J360" s="1315">
        <f>IF(K$1&gt;0,ROUNDUP(SUM(PROD!AM$5:AM361)/K$1*K$2,0),0)-SUM(J$4:J359)</f>
        <v>0</v>
      </c>
      <c r="K360" s="1316">
        <f t="shared" si="73"/>
        <v>0</v>
      </c>
      <c r="L360" s="1314"/>
      <c r="M360" s="1315">
        <f>IF(N$1&gt;0,ROUNDUP(SUM(PROD!L$5:L361,-PROD!AM$5:AM361,-PROD!AZ$5:AZ361)/N$1*N$2,0),0)-SUM(M$4:M359)</f>
        <v>0</v>
      </c>
      <c r="N360" s="1316">
        <f t="shared" si="74"/>
        <v>0</v>
      </c>
      <c r="O360" s="1317">
        <f t="shared" si="63"/>
        <v>0</v>
      </c>
      <c r="P360" s="1318"/>
      <c r="Q360" s="1319"/>
      <c r="R360" s="1320">
        <f t="shared" si="64"/>
        <v>0</v>
      </c>
      <c r="S360" s="1316">
        <f t="shared" si="65"/>
        <v>0</v>
      </c>
      <c r="T360" s="712"/>
      <c r="U360" s="713"/>
      <c r="V360" s="714"/>
      <c r="W360" s="398">
        <f t="shared" si="72"/>
        <v>0</v>
      </c>
      <c r="X360" s="712"/>
      <c r="Y360" s="713"/>
      <c r="Z360" s="714"/>
      <c r="AA360" s="398">
        <f t="shared" si="67"/>
        <v>0</v>
      </c>
      <c r="AB360" s="712"/>
      <c r="AC360" s="713"/>
      <c r="AD360" s="714"/>
      <c r="AE360" s="398">
        <f t="shared" si="68"/>
        <v>0</v>
      </c>
      <c r="AF360" s="712"/>
      <c r="AG360" s="713"/>
      <c r="AH360" s="714"/>
      <c r="AI360" s="398">
        <f t="shared" si="69"/>
        <v>0</v>
      </c>
      <c r="AJ360" s="712"/>
      <c r="AK360" s="713"/>
      <c r="AL360" s="714"/>
      <c r="AM360" s="398">
        <f t="shared" si="70"/>
        <v>0</v>
      </c>
    </row>
    <row r="361" spans="1:39" ht="16.5" customHeight="1" x14ac:dyDescent="0.3">
      <c r="A361" s="2160">
        <f>A354+1</f>
        <v>69</v>
      </c>
      <c r="B361" s="1313" t="str">
        <f t="shared" si="66"/>
        <v/>
      </c>
      <c r="C361" s="1011">
        <f>IF($D$2="NO",0,ROUNDDOWN(SUM(PROD!$V$5:V362)/IF(Iniciar!$C$25="kilos",40,1),0)-SUM($C$4:$C360))</f>
        <v>0</v>
      </c>
      <c r="D361" s="702"/>
      <c r="E361" s="702"/>
      <c r="F361" s="300">
        <f t="shared" si="71"/>
        <v>-75000</v>
      </c>
      <c r="G361" s="694"/>
      <c r="H361" s="695"/>
      <c r="I361" s="1314"/>
      <c r="J361" s="1315">
        <f>IF(K$1&gt;0,ROUNDUP(SUM(PROD!AM$5:AM362)/K$1*K$2,0),0)-SUM(J$4:J360)</f>
        <v>0</v>
      </c>
      <c r="K361" s="1316">
        <f t="shared" si="73"/>
        <v>0</v>
      </c>
      <c r="L361" s="1314"/>
      <c r="M361" s="1315">
        <f>IF(N$1&gt;0,ROUNDUP(SUM(PROD!L$5:L362,-PROD!AM$5:AM362,-PROD!AZ$5:AZ362)/N$1*N$2,0),0)-SUM(M$4:M360)</f>
        <v>0</v>
      </c>
      <c r="N361" s="1316">
        <f t="shared" si="74"/>
        <v>0</v>
      </c>
      <c r="O361" s="1317">
        <f t="shared" si="63"/>
        <v>0</v>
      </c>
      <c r="P361" s="1318"/>
      <c r="Q361" s="1319"/>
      <c r="R361" s="1320">
        <f t="shared" si="64"/>
        <v>0</v>
      </c>
      <c r="S361" s="1316">
        <f t="shared" si="65"/>
        <v>0</v>
      </c>
      <c r="T361" s="712"/>
      <c r="U361" s="713"/>
      <c r="V361" s="714"/>
      <c r="W361" s="398">
        <f t="shared" si="72"/>
        <v>0</v>
      </c>
      <c r="X361" s="712"/>
      <c r="Y361" s="713"/>
      <c r="Z361" s="714"/>
      <c r="AA361" s="398">
        <f t="shared" si="67"/>
        <v>0</v>
      </c>
      <c r="AB361" s="712"/>
      <c r="AC361" s="713"/>
      <c r="AD361" s="714"/>
      <c r="AE361" s="398">
        <f t="shared" si="68"/>
        <v>0</v>
      </c>
      <c r="AF361" s="712"/>
      <c r="AG361" s="713"/>
      <c r="AH361" s="714"/>
      <c r="AI361" s="398">
        <f t="shared" si="69"/>
        <v>0</v>
      </c>
      <c r="AJ361" s="712"/>
      <c r="AK361" s="713"/>
      <c r="AL361" s="714"/>
      <c r="AM361" s="398">
        <f t="shared" si="70"/>
        <v>0</v>
      </c>
    </row>
    <row r="362" spans="1:39" ht="15.75" customHeight="1" x14ac:dyDescent="0.3">
      <c r="A362" s="2161"/>
      <c r="B362" s="1313" t="str">
        <f t="shared" si="66"/>
        <v/>
      </c>
      <c r="C362" s="1011">
        <f>IF($D$2="NO",0,ROUNDDOWN(SUM(PROD!$V$5:V363)/IF(Iniciar!$C$25="kilos",40,1),0)-SUM($C$4:$C361))</f>
        <v>0</v>
      </c>
      <c r="D362" s="702"/>
      <c r="E362" s="702"/>
      <c r="F362" s="300">
        <f t="shared" si="71"/>
        <v>-75000</v>
      </c>
      <c r="G362" s="694"/>
      <c r="H362" s="695"/>
      <c r="I362" s="1314"/>
      <c r="J362" s="1315">
        <f>IF(K$1&gt;0,ROUNDUP(SUM(PROD!AM$5:AM363)/K$1*K$2,0),0)-SUM(J$4:J361)</f>
        <v>0</v>
      </c>
      <c r="K362" s="1316">
        <f t="shared" si="73"/>
        <v>0</v>
      </c>
      <c r="L362" s="1314"/>
      <c r="M362" s="1315">
        <f>IF(N$1&gt;0,ROUNDUP(SUM(PROD!L$5:L363,-PROD!AM$5:AM363,-PROD!AZ$5:AZ363)/N$1*N$2,0),0)-SUM(M$4:M361)</f>
        <v>0</v>
      </c>
      <c r="N362" s="1316">
        <f t="shared" si="74"/>
        <v>0</v>
      </c>
      <c r="O362" s="1317">
        <f t="shared" si="63"/>
        <v>0</v>
      </c>
      <c r="P362" s="1318"/>
      <c r="Q362" s="1319"/>
      <c r="R362" s="1320">
        <f t="shared" si="64"/>
        <v>0</v>
      </c>
      <c r="S362" s="1316">
        <f t="shared" si="65"/>
        <v>0</v>
      </c>
      <c r="T362" s="712"/>
      <c r="U362" s="713"/>
      <c r="V362" s="714"/>
      <c r="W362" s="398">
        <f t="shared" si="72"/>
        <v>0</v>
      </c>
      <c r="X362" s="712"/>
      <c r="Y362" s="713"/>
      <c r="Z362" s="714"/>
      <c r="AA362" s="398">
        <f t="shared" si="67"/>
        <v>0</v>
      </c>
      <c r="AB362" s="712"/>
      <c r="AC362" s="713"/>
      <c r="AD362" s="714"/>
      <c r="AE362" s="398">
        <f t="shared" si="68"/>
        <v>0</v>
      </c>
      <c r="AF362" s="712"/>
      <c r="AG362" s="713"/>
      <c r="AH362" s="714"/>
      <c r="AI362" s="398">
        <f t="shared" si="69"/>
        <v>0</v>
      </c>
      <c r="AJ362" s="712"/>
      <c r="AK362" s="713"/>
      <c r="AL362" s="714"/>
      <c r="AM362" s="398">
        <f t="shared" si="70"/>
        <v>0</v>
      </c>
    </row>
    <row r="363" spans="1:39" ht="15.75" customHeight="1" x14ac:dyDescent="0.3">
      <c r="A363" s="2161"/>
      <c r="B363" s="1313" t="str">
        <f t="shared" si="66"/>
        <v/>
      </c>
      <c r="C363" s="1011">
        <f>IF($D$2="NO",0,ROUNDDOWN(SUM(PROD!$V$5:V364)/IF(Iniciar!$C$25="kilos",40,1),0)-SUM($C$4:$C362))</f>
        <v>0</v>
      </c>
      <c r="D363" s="702"/>
      <c r="E363" s="702"/>
      <c r="F363" s="300">
        <f t="shared" si="71"/>
        <v>-75000</v>
      </c>
      <c r="G363" s="694"/>
      <c r="H363" s="695"/>
      <c r="I363" s="1314"/>
      <c r="J363" s="1315">
        <f>IF(K$1&gt;0,ROUNDUP(SUM(PROD!AM$5:AM364)/K$1*K$2,0),0)-SUM(J$4:J362)</f>
        <v>0</v>
      </c>
      <c r="K363" s="1316">
        <f t="shared" si="73"/>
        <v>0</v>
      </c>
      <c r="L363" s="1314"/>
      <c r="M363" s="1315">
        <f>IF(N$1&gt;0,ROUNDUP(SUM(PROD!L$5:L364,-PROD!AM$5:AM364,-PROD!AZ$5:AZ364)/N$1*N$2,0),0)-SUM(M$4:M362)</f>
        <v>0</v>
      </c>
      <c r="N363" s="1316">
        <f t="shared" si="74"/>
        <v>0</v>
      </c>
      <c r="O363" s="1317">
        <f t="shared" si="63"/>
        <v>0</v>
      </c>
      <c r="P363" s="1318"/>
      <c r="Q363" s="1319"/>
      <c r="R363" s="1320">
        <f t="shared" si="64"/>
        <v>0</v>
      </c>
      <c r="S363" s="1316">
        <f t="shared" si="65"/>
        <v>0</v>
      </c>
      <c r="T363" s="712"/>
      <c r="U363" s="713"/>
      <c r="V363" s="714"/>
      <c r="W363" s="398">
        <f t="shared" si="72"/>
        <v>0</v>
      </c>
      <c r="X363" s="712"/>
      <c r="Y363" s="713"/>
      <c r="Z363" s="714"/>
      <c r="AA363" s="398">
        <f t="shared" si="67"/>
        <v>0</v>
      </c>
      <c r="AB363" s="712"/>
      <c r="AC363" s="713"/>
      <c r="AD363" s="714"/>
      <c r="AE363" s="398">
        <f t="shared" si="68"/>
        <v>0</v>
      </c>
      <c r="AF363" s="712"/>
      <c r="AG363" s="713"/>
      <c r="AH363" s="714"/>
      <c r="AI363" s="398">
        <f t="shared" si="69"/>
        <v>0</v>
      </c>
      <c r="AJ363" s="712"/>
      <c r="AK363" s="713"/>
      <c r="AL363" s="714"/>
      <c r="AM363" s="398">
        <f t="shared" si="70"/>
        <v>0</v>
      </c>
    </row>
    <row r="364" spans="1:39" ht="15.75" customHeight="1" x14ac:dyDescent="0.3">
      <c r="A364" s="2161"/>
      <c r="B364" s="1313" t="str">
        <f t="shared" si="66"/>
        <v/>
      </c>
      <c r="C364" s="1011">
        <f>IF($D$2="NO",0,ROUNDDOWN(SUM(PROD!$V$5:V365)/IF(Iniciar!$C$25="kilos",40,1),0)-SUM($C$4:$C363))</f>
        <v>0</v>
      </c>
      <c r="D364" s="702"/>
      <c r="E364" s="702"/>
      <c r="F364" s="300">
        <f t="shared" si="71"/>
        <v>-75000</v>
      </c>
      <c r="G364" s="694"/>
      <c r="H364" s="695"/>
      <c r="I364" s="1314"/>
      <c r="J364" s="1315">
        <f>IF(K$1&gt;0,ROUNDUP(SUM(PROD!AM$5:AM365)/K$1*K$2,0),0)-SUM(J$4:J363)</f>
        <v>0</v>
      </c>
      <c r="K364" s="1316">
        <f t="shared" si="73"/>
        <v>0</v>
      </c>
      <c r="L364" s="1314"/>
      <c r="M364" s="1315">
        <f>IF(N$1&gt;0,ROUNDUP(SUM(PROD!L$5:L365,-PROD!AM$5:AM365,-PROD!AZ$5:AZ365)/N$1*N$2,0),0)-SUM(M$4:M363)</f>
        <v>0</v>
      </c>
      <c r="N364" s="1316">
        <f t="shared" si="74"/>
        <v>0</v>
      </c>
      <c r="O364" s="1317">
        <f t="shared" si="63"/>
        <v>0</v>
      </c>
      <c r="P364" s="1318"/>
      <c r="Q364" s="1319"/>
      <c r="R364" s="1320">
        <f t="shared" si="64"/>
        <v>0</v>
      </c>
      <c r="S364" s="1316">
        <f t="shared" si="65"/>
        <v>0</v>
      </c>
      <c r="T364" s="712"/>
      <c r="U364" s="713"/>
      <c r="V364" s="714"/>
      <c r="W364" s="398">
        <f t="shared" si="72"/>
        <v>0</v>
      </c>
      <c r="X364" s="712"/>
      <c r="Y364" s="713"/>
      <c r="Z364" s="714"/>
      <c r="AA364" s="398">
        <f t="shared" si="67"/>
        <v>0</v>
      </c>
      <c r="AB364" s="712"/>
      <c r="AC364" s="713"/>
      <c r="AD364" s="714"/>
      <c r="AE364" s="398">
        <f t="shared" si="68"/>
        <v>0</v>
      </c>
      <c r="AF364" s="712"/>
      <c r="AG364" s="713"/>
      <c r="AH364" s="714"/>
      <c r="AI364" s="398">
        <f t="shared" si="69"/>
        <v>0</v>
      </c>
      <c r="AJ364" s="712"/>
      <c r="AK364" s="713"/>
      <c r="AL364" s="714"/>
      <c r="AM364" s="398">
        <f t="shared" si="70"/>
        <v>0</v>
      </c>
    </row>
    <row r="365" spans="1:39" ht="15.75" customHeight="1" x14ac:dyDescent="0.3">
      <c r="A365" s="2161"/>
      <c r="B365" s="1313" t="str">
        <f t="shared" si="66"/>
        <v/>
      </c>
      <c r="C365" s="1011">
        <f>IF($D$2="NO",0,ROUNDDOWN(SUM(PROD!$V$5:V366)/IF(Iniciar!$C$25="kilos",40,1),0)-SUM($C$4:$C364))</f>
        <v>0</v>
      </c>
      <c r="D365" s="702"/>
      <c r="E365" s="702"/>
      <c r="F365" s="300">
        <f t="shared" si="71"/>
        <v>-75000</v>
      </c>
      <c r="G365" s="694"/>
      <c r="H365" s="695"/>
      <c r="I365" s="1314"/>
      <c r="J365" s="1315">
        <f>IF(K$1&gt;0,ROUNDUP(SUM(PROD!AM$5:AM366)/K$1*K$2,0),0)-SUM(J$4:J364)</f>
        <v>0</v>
      </c>
      <c r="K365" s="1316">
        <f t="shared" si="73"/>
        <v>0</v>
      </c>
      <c r="L365" s="1314"/>
      <c r="M365" s="1315">
        <f>IF(N$1&gt;0,ROUNDUP(SUM(PROD!L$5:L366,-PROD!AM$5:AM366,-PROD!AZ$5:AZ366)/N$1*N$2,0),0)-SUM(M$4:M364)</f>
        <v>0</v>
      </c>
      <c r="N365" s="1316">
        <f t="shared" si="74"/>
        <v>0</v>
      </c>
      <c r="O365" s="1317">
        <f t="shared" si="63"/>
        <v>0</v>
      </c>
      <c r="P365" s="1318"/>
      <c r="Q365" s="1319"/>
      <c r="R365" s="1320">
        <f t="shared" si="64"/>
        <v>0</v>
      </c>
      <c r="S365" s="1316">
        <f t="shared" si="65"/>
        <v>0</v>
      </c>
      <c r="T365" s="712"/>
      <c r="U365" s="713"/>
      <c r="V365" s="714"/>
      <c r="W365" s="398">
        <f t="shared" si="72"/>
        <v>0</v>
      </c>
      <c r="X365" s="712"/>
      <c r="Y365" s="713"/>
      <c r="Z365" s="714"/>
      <c r="AA365" s="398">
        <f t="shared" si="67"/>
        <v>0</v>
      </c>
      <c r="AB365" s="712"/>
      <c r="AC365" s="713"/>
      <c r="AD365" s="714"/>
      <c r="AE365" s="398">
        <f t="shared" si="68"/>
        <v>0</v>
      </c>
      <c r="AF365" s="712"/>
      <c r="AG365" s="713"/>
      <c r="AH365" s="714"/>
      <c r="AI365" s="398">
        <f t="shared" si="69"/>
        <v>0</v>
      </c>
      <c r="AJ365" s="712"/>
      <c r="AK365" s="713"/>
      <c r="AL365" s="714"/>
      <c r="AM365" s="398">
        <f t="shared" si="70"/>
        <v>0</v>
      </c>
    </row>
    <row r="366" spans="1:39" ht="15.75" customHeight="1" x14ac:dyDescent="0.3">
      <c r="A366" s="2161"/>
      <c r="B366" s="1313" t="str">
        <f t="shared" si="66"/>
        <v/>
      </c>
      <c r="C366" s="1011">
        <f>IF($D$2="NO",0,ROUNDDOWN(SUM(PROD!$V$5:V367)/IF(Iniciar!$C$25="kilos",40,1),0)-SUM($C$4:$C365))</f>
        <v>0</v>
      </c>
      <c r="D366" s="702"/>
      <c r="E366" s="702"/>
      <c r="F366" s="300">
        <f t="shared" si="71"/>
        <v>-75000</v>
      </c>
      <c r="G366" s="694"/>
      <c r="H366" s="695"/>
      <c r="I366" s="1314"/>
      <c r="J366" s="1315">
        <f>IF(K$1&gt;0,ROUNDUP(SUM(PROD!AM$5:AM367)/K$1*K$2,0),0)-SUM(J$4:J365)</f>
        <v>0</v>
      </c>
      <c r="K366" s="1316">
        <f t="shared" si="73"/>
        <v>0</v>
      </c>
      <c r="L366" s="1314"/>
      <c r="M366" s="1315">
        <f>IF(N$1&gt;0,ROUNDUP(SUM(PROD!L$5:L367,-PROD!AM$5:AM367,-PROD!AZ$5:AZ367)/N$1*N$2,0),0)-SUM(M$4:M365)</f>
        <v>0</v>
      </c>
      <c r="N366" s="1316">
        <f t="shared" si="74"/>
        <v>0</v>
      </c>
      <c r="O366" s="1317">
        <f t="shared" si="63"/>
        <v>0</v>
      </c>
      <c r="P366" s="1318"/>
      <c r="Q366" s="1319"/>
      <c r="R366" s="1320">
        <f t="shared" si="64"/>
        <v>0</v>
      </c>
      <c r="S366" s="1316">
        <f t="shared" si="65"/>
        <v>0</v>
      </c>
      <c r="T366" s="712"/>
      <c r="U366" s="713"/>
      <c r="V366" s="714"/>
      <c r="W366" s="398">
        <f t="shared" si="72"/>
        <v>0</v>
      </c>
      <c r="X366" s="712"/>
      <c r="Y366" s="713"/>
      <c r="Z366" s="714"/>
      <c r="AA366" s="398">
        <f t="shared" si="67"/>
        <v>0</v>
      </c>
      <c r="AB366" s="712"/>
      <c r="AC366" s="713"/>
      <c r="AD366" s="714"/>
      <c r="AE366" s="398">
        <f t="shared" si="68"/>
        <v>0</v>
      </c>
      <c r="AF366" s="712"/>
      <c r="AG366" s="713"/>
      <c r="AH366" s="714"/>
      <c r="AI366" s="398">
        <f t="shared" si="69"/>
        <v>0</v>
      </c>
      <c r="AJ366" s="712"/>
      <c r="AK366" s="713"/>
      <c r="AL366" s="714"/>
      <c r="AM366" s="398">
        <f t="shared" si="70"/>
        <v>0</v>
      </c>
    </row>
    <row r="367" spans="1:39" ht="16.5" customHeight="1" x14ac:dyDescent="0.3">
      <c r="A367" s="2162"/>
      <c r="B367" s="1313" t="str">
        <f t="shared" si="66"/>
        <v/>
      </c>
      <c r="C367" s="1011">
        <f>IF($D$2="NO",0,ROUNDDOWN(SUM(PROD!$V$5:V368)/IF(Iniciar!$C$25="kilos",40,1),0)-SUM($C$4:$C366))</f>
        <v>0</v>
      </c>
      <c r="D367" s="702"/>
      <c r="E367" s="702"/>
      <c r="F367" s="300">
        <f t="shared" si="71"/>
        <v>-75000</v>
      </c>
      <c r="G367" s="694"/>
      <c r="H367" s="695"/>
      <c r="I367" s="1314"/>
      <c r="J367" s="1315">
        <f>IF(K$1&gt;0,ROUNDUP(SUM(PROD!AM$5:AM368)/K$1*K$2,0),0)-SUM(J$4:J366)</f>
        <v>0</v>
      </c>
      <c r="K367" s="1316">
        <f t="shared" si="73"/>
        <v>0</v>
      </c>
      <c r="L367" s="1314"/>
      <c r="M367" s="1315">
        <f>IF(N$1&gt;0,ROUNDUP(SUM(PROD!L$5:L368,-PROD!AM$5:AM368,-PROD!AZ$5:AZ368)/N$1*N$2,0),0)-SUM(M$4:M366)</f>
        <v>0</v>
      </c>
      <c r="N367" s="1316">
        <f t="shared" si="74"/>
        <v>0</v>
      </c>
      <c r="O367" s="1317">
        <f t="shared" si="63"/>
        <v>0</v>
      </c>
      <c r="P367" s="1318"/>
      <c r="Q367" s="1319"/>
      <c r="R367" s="1320">
        <f t="shared" si="64"/>
        <v>0</v>
      </c>
      <c r="S367" s="1316">
        <f t="shared" si="65"/>
        <v>0</v>
      </c>
      <c r="T367" s="712"/>
      <c r="U367" s="713"/>
      <c r="V367" s="714"/>
      <c r="W367" s="398">
        <f t="shared" si="72"/>
        <v>0</v>
      </c>
      <c r="X367" s="712"/>
      <c r="Y367" s="713"/>
      <c r="Z367" s="714"/>
      <c r="AA367" s="398">
        <f t="shared" si="67"/>
        <v>0</v>
      </c>
      <c r="AB367" s="712"/>
      <c r="AC367" s="713"/>
      <c r="AD367" s="714"/>
      <c r="AE367" s="398">
        <f t="shared" si="68"/>
        <v>0</v>
      </c>
      <c r="AF367" s="712"/>
      <c r="AG367" s="713"/>
      <c r="AH367" s="714"/>
      <c r="AI367" s="398">
        <f t="shared" si="69"/>
        <v>0</v>
      </c>
      <c r="AJ367" s="712"/>
      <c r="AK367" s="713"/>
      <c r="AL367" s="714"/>
      <c r="AM367" s="398">
        <f t="shared" si="70"/>
        <v>0</v>
      </c>
    </row>
    <row r="368" spans="1:39" ht="16.5" customHeight="1" x14ac:dyDescent="0.3">
      <c r="A368" s="2160">
        <f>A361+1</f>
        <v>70</v>
      </c>
      <c r="B368" s="1313" t="str">
        <f t="shared" si="66"/>
        <v/>
      </c>
      <c r="C368" s="1011">
        <f>IF($D$2="NO",0,ROUNDDOWN(SUM(PROD!$V$5:V369)/IF(Iniciar!$C$25="kilos",40,1),0)-SUM($C$4:$C367))</f>
        <v>0</v>
      </c>
      <c r="D368" s="702"/>
      <c r="E368" s="702"/>
      <c r="F368" s="300">
        <f t="shared" si="71"/>
        <v>-75000</v>
      </c>
      <c r="G368" s="694"/>
      <c r="H368" s="695"/>
      <c r="I368" s="1314"/>
      <c r="J368" s="1315">
        <f>IF(K$1&gt;0,ROUNDUP(SUM(PROD!AM$5:AM369)/K$1*K$2,0),0)-SUM(J$4:J367)</f>
        <v>0</v>
      </c>
      <c r="K368" s="1316">
        <f t="shared" si="73"/>
        <v>0</v>
      </c>
      <c r="L368" s="1314"/>
      <c r="M368" s="1315">
        <f>IF(N$1&gt;0,ROUNDUP(SUM(PROD!L$5:L369,-PROD!AM$5:AM369,-PROD!AZ$5:AZ369)/N$1*N$2,0),0)-SUM(M$4:M367)</f>
        <v>0</v>
      </c>
      <c r="N368" s="1316">
        <f t="shared" si="74"/>
        <v>0</v>
      </c>
      <c r="O368" s="1317">
        <f t="shared" si="63"/>
        <v>0</v>
      </c>
      <c r="P368" s="1318"/>
      <c r="Q368" s="1319"/>
      <c r="R368" s="1320">
        <f t="shared" si="64"/>
        <v>0</v>
      </c>
      <c r="S368" s="1316">
        <f t="shared" si="65"/>
        <v>0</v>
      </c>
      <c r="T368" s="712"/>
      <c r="U368" s="713"/>
      <c r="V368" s="714"/>
      <c r="W368" s="398">
        <f t="shared" si="72"/>
        <v>0</v>
      </c>
      <c r="X368" s="712"/>
      <c r="Y368" s="713"/>
      <c r="Z368" s="714"/>
      <c r="AA368" s="398">
        <f t="shared" si="67"/>
        <v>0</v>
      </c>
      <c r="AB368" s="712"/>
      <c r="AC368" s="713"/>
      <c r="AD368" s="714"/>
      <c r="AE368" s="398">
        <f t="shared" si="68"/>
        <v>0</v>
      </c>
      <c r="AF368" s="712"/>
      <c r="AG368" s="713"/>
      <c r="AH368" s="714"/>
      <c r="AI368" s="398">
        <f t="shared" si="69"/>
        <v>0</v>
      </c>
      <c r="AJ368" s="712"/>
      <c r="AK368" s="713"/>
      <c r="AL368" s="714"/>
      <c r="AM368" s="398">
        <f t="shared" si="70"/>
        <v>0</v>
      </c>
    </row>
    <row r="369" spans="1:39" ht="15.75" customHeight="1" x14ac:dyDescent="0.3">
      <c r="A369" s="2161"/>
      <c r="B369" s="1313" t="str">
        <f t="shared" si="66"/>
        <v/>
      </c>
      <c r="C369" s="1011">
        <f>IF($D$2="NO",0,ROUNDDOWN(SUM(PROD!$V$5:V370)/IF(Iniciar!$C$25="kilos",40,1),0)-SUM($C$4:$C368))</f>
        <v>0</v>
      </c>
      <c r="D369" s="702"/>
      <c r="E369" s="702"/>
      <c r="F369" s="300">
        <f t="shared" si="71"/>
        <v>-75000</v>
      </c>
      <c r="G369" s="694"/>
      <c r="H369" s="695"/>
      <c r="I369" s="1314"/>
      <c r="J369" s="1315">
        <f>IF(K$1&gt;0,ROUNDUP(SUM(PROD!AM$5:AM370)/K$1*K$2,0),0)-SUM(J$4:J368)</f>
        <v>0</v>
      </c>
      <c r="K369" s="1316">
        <f t="shared" si="73"/>
        <v>0</v>
      </c>
      <c r="L369" s="1314"/>
      <c r="M369" s="1315">
        <f>IF(N$1&gt;0,ROUNDUP(SUM(PROD!L$5:L370,-PROD!AM$5:AM370,-PROD!AZ$5:AZ370)/N$1*N$2,0),0)-SUM(M$4:M368)</f>
        <v>0</v>
      </c>
      <c r="N369" s="1316">
        <f t="shared" si="74"/>
        <v>0</v>
      </c>
      <c r="O369" s="1317">
        <f t="shared" si="63"/>
        <v>0</v>
      </c>
      <c r="P369" s="1318"/>
      <c r="Q369" s="1319"/>
      <c r="R369" s="1320">
        <f t="shared" si="64"/>
        <v>0</v>
      </c>
      <c r="S369" s="1316">
        <f t="shared" si="65"/>
        <v>0</v>
      </c>
      <c r="T369" s="712"/>
      <c r="U369" s="713"/>
      <c r="V369" s="714"/>
      <c r="W369" s="398">
        <f t="shared" si="72"/>
        <v>0</v>
      </c>
      <c r="X369" s="712"/>
      <c r="Y369" s="713"/>
      <c r="Z369" s="714"/>
      <c r="AA369" s="398">
        <f t="shared" si="67"/>
        <v>0</v>
      </c>
      <c r="AB369" s="712"/>
      <c r="AC369" s="713"/>
      <c r="AD369" s="714"/>
      <c r="AE369" s="398">
        <f t="shared" si="68"/>
        <v>0</v>
      </c>
      <c r="AF369" s="712"/>
      <c r="AG369" s="713"/>
      <c r="AH369" s="714"/>
      <c r="AI369" s="398">
        <f t="shared" si="69"/>
        <v>0</v>
      </c>
      <c r="AJ369" s="712"/>
      <c r="AK369" s="713"/>
      <c r="AL369" s="714"/>
      <c r="AM369" s="398">
        <f t="shared" si="70"/>
        <v>0</v>
      </c>
    </row>
    <row r="370" spans="1:39" ht="15.75" customHeight="1" x14ac:dyDescent="0.3">
      <c r="A370" s="2161"/>
      <c r="B370" s="1313" t="str">
        <f t="shared" si="66"/>
        <v/>
      </c>
      <c r="C370" s="1011">
        <f>IF($D$2="NO",0,ROUNDDOWN(SUM(PROD!$V$5:V371)/IF(Iniciar!$C$25="kilos",40,1),0)-SUM($C$4:$C369))</f>
        <v>0</v>
      </c>
      <c r="D370" s="702"/>
      <c r="E370" s="702"/>
      <c r="F370" s="300">
        <f t="shared" si="71"/>
        <v>-75000</v>
      </c>
      <c r="G370" s="694"/>
      <c r="H370" s="695"/>
      <c r="I370" s="1314"/>
      <c r="J370" s="1315">
        <f>IF(K$1&gt;0,ROUNDUP(SUM(PROD!AM$5:AM371)/K$1*K$2,0),0)-SUM(J$4:J369)</f>
        <v>0</v>
      </c>
      <c r="K370" s="1316">
        <f t="shared" si="73"/>
        <v>0</v>
      </c>
      <c r="L370" s="1314"/>
      <c r="M370" s="1315">
        <f>IF(N$1&gt;0,ROUNDUP(SUM(PROD!L$5:L371,-PROD!AM$5:AM371,-PROD!AZ$5:AZ371)/N$1*N$2,0),0)-SUM(M$4:M369)</f>
        <v>0</v>
      </c>
      <c r="N370" s="1316">
        <f t="shared" si="74"/>
        <v>0</v>
      </c>
      <c r="O370" s="1317">
        <f t="shared" si="63"/>
        <v>0</v>
      </c>
      <c r="P370" s="1318"/>
      <c r="Q370" s="1319"/>
      <c r="R370" s="1320">
        <f t="shared" si="64"/>
        <v>0</v>
      </c>
      <c r="S370" s="1316">
        <f t="shared" si="65"/>
        <v>0</v>
      </c>
      <c r="T370" s="712"/>
      <c r="U370" s="713"/>
      <c r="V370" s="714"/>
      <c r="W370" s="398">
        <f t="shared" si="72"/>
        <v>0</v>
      </c>
      <c r="X370" s="712"/>
      <c r="Y370" s="713"/>
      <c r="Z370" s="714"/>
      <c r="AA370" s="398">
        <f t="shared" si="67"/>
        <v>0</v>
      </c>
      <c r="AB370" s="712"/>
      <c r="AC370" s="713"/>
      <c r="AD370" s="714"/>
      <c r="AE370" s="398">
        <f t="shared" si="68"/>
        <v>0</v>
      </c>
      <c r="AF370" s="712"/>
      <c r="AG370" s="713"/>
      <c r="AH370" s="714"/>
      <c r="AI370" s="398">
        <f t="shared" si="69"/>
        <v>0</v>
      </c>
      <c r="AJ370" s="712"/>
      <c r="AK370" s="713"/>
      <c r="AL370" s="714"/>
      <c r="AM370" s="398">
        <f t="shared" si="70"/>
        <v>0</v>
      </c>
    </row>
    <row r="371" spans="1:39" ht="15.75" customHeight="1" x14ac:dyDescent="0.3">
      <c r="A371" s="2161"/>
      <c r="B371" s="1313" t="str">
        <f t="shared" si="66"/>
        <v/>
      </c>
      <c r="C371" s="1011">
        <f>IF($D$2="NO",0,ROUNDDOWN(SUM(PROD!$V$5:V372)/IF(Iniciar!$C$25="kilos",40,1),0)-SUM($C$4:$C370))</f>
        <v>0</v>
      </c>
      <c r="D371" s="702"/>
      <c r="E371" s="702"/>
      <c r="F371" s="300">
        <f t="shared" si="71"/>
        <v>-75000</v>
      </c>
      <c r="G371" s="694"/>
      <c r="H371" s="695"/>
      <c r="I371" s="1314"/>
      <c r="J371" s="1315">
        <f>IF(K$1&gt;0,ROUNDUP(SUM(PROD!AM$5:AM372)/K$1*K$2,0),0)-SUM(J$4:J370)</f>
        <v>0</v>
      </c>
      <c r="K371" s="1316">
        <f t="shared" si="73"/>
        <v>0</v>
      </c>
      <c r="L371" s="1314"/>
      <c r="M371" s="1315">
        <f>IF(N$1&gt;0,ROUNDUP(SUM(PROD!L$5:L372,-PROD!AM$5:AM372,-PROD!AZ$5:AZ372)/N$1*N$2,0),0)-SUM(M$4:M370)</f>
        <v>0</v>
      </c>
      <c r="N371" s="1316">
        <f t="shared" si="74"/>
        <v>0</v>
      </c>
      <c r="O371" s="1317">
        <f t="shared" si="63"/>
        <v>0</v>
      </c>
      <c r="P371" s="1318"/>
      <c r="Q371" s="1319"/>
      <c r="R371" s="1320">
        <f t="shared" si="64"/>
        <v>0</v>
      </c>
      <c r="S371" s="1316">
        <f t="shared" si="65"/>
        <v>0</v>
      </c>
      <c r="T371" s="712"/>
      <c r="U371" s="713"/>
      <c r="V371" s="714"/>
      <c r="W371" s="398">
        <f t="shared" si="72"/>
        <v>0</v>
      </c>
      <c r="X371" s="712"/>
      <c r="Y371" s="713"/>
      <c r="Z371" s="714"/>
      <c r="AA371" s="398">
        <f t="shared" si="67"/>
        <v>0</v>
      </c>
      <c r="AB371" s="712"/>
      <c r="AC371" s="713"/>
      <c r="AD371" s="714"/>
      <c r="AE371" s="398">
        <f t="shared" si="68"/>
        <v>0</v>
      </c>
      <c r="AF371" s="712"/>
      <c r="AG371" s="713"/>
      <c r="AH371" s="714"/>
      <c r="AI371" s="398">
        <f t="shared" si="69"/>
        <v>0</v>
      </c>
      <c r="AJ371" s="712"/>
      <c r="AK371" s="713"/>
      <c r="AL371" s="714"/>
      <c r="AM371" s="398">
        <f t="shared" si="70"/>
        <v>0</v>
      </c>
    </row>
    <row r="372" spans="1:39" ht="15.75" customHeight="1" x14ac:dyDescent="0.3">
      <c r="A372" s="2161"/>
      <c r="B372" s="1313" t="str">
        <f t="shared" si="66"/>
        <v/>
      </c>
      <c r="C372" s="1011">
        <f>IF($D$2="NO",0,ROUNDDOWN(SUM(PROD!$V$5:V373)/IF(Iniciar!$C$25="kilos",40,1),0)-SUM($C$4:$C371))</f>
        <v>0</v>
      </c>
      <c r="D372" s="702"/>
      <c r="E372" s="702"/>
      <c r="F372" s="300">
        <f t="shared" si="71"/>
        <v>-75000</v>
      </c>
      <c r="G372" s="694"/>
      <c r="H372" s="695"/>
      <c r="I372" s="1314"/>
      <c r="J372" s="1315">
        <f>IF(K$1&gt;0,ROUNDUP(SUM(PROD!AM$5:AM373)/K$1*K$2,0),0)-SUM(J$4:J371)</f>
        <v>0</v>
      </c>
      <c r="K372" s="1316">
        <f t="shared" si="73"/>
        <v>0</v>
      </c>
      <c r="L372" s="1314"/>
      <c r="M372" s="1315">
        <f>IF(N$1&gt;0,ROUNDUP(SUM(PROD!L$5:L373,-PROD!AM$5:AM373,-PROD!AZ$5:AZ373)/N$1*N$2,0),0)-SUM(M$4:M371)</f>
        <v>0</v>
      </c>
      <c r="N372" s="1316">
        <f t="shared" si="74"/>
        <v>0</v>
      </c>
      <c r="O372" s="1317">
        <f t="shared" si="63"/>
        <v>0</v>
      </c>
      <c r="P372" s="1318"/>
      <c r="Q372" s="1319"/>
      <c r="R372" s="1320">
        <f t="shared" si="64"/>
        <v>0</v>
      </c>
      <c r="S372" s="1316">
        <f t="shared" si="65"/>
        <v>0</v>
      </c>
      <c r="T372" s="712"/>
      <c r="U372" s="713"/>
      <c r="V372" s="714"/>
      <c r="W372" s="398">
        <f t="shared" si="72"/>
        <v>0</v>
      </c>
      <c r="X372" s="712"/>
      <c r="Y372" s="713"/>
      <c r="Z372" s="714"/>
      <c r="AA372" s="398">
        <f t="shared" si="67"/>
        <v>0</v>
      </c>
      <c r="AB372" s="712"/>
      <c r="AC372" s="713"/>
      <c r="AD372" s="714"/>
      <c r="AE372" s="398">
        <f t="shared" si="68"/>
        <v>0</v>
      </c>
      <c r="AF372" s="712"/>
      <c r="AG372" s="713"/>
      <c r="AH372" s="714"/>
      <c r="AI372" s="398">
        <f t="shared" si="69"/>
        <v>0</v>
      </c>
      <c r="AJ372" s="712"/>
      <c r="AK372" s="713"/>
      <c r="AL372" s="714"/>
      <c r="AM372" s="398">
        <f t="shared" si="70"/>
        <v>0</v>
      </c>
    </row>
    <row r="373" spans="1:39" ht="15.75" customHeight="1" x14ac:dyDescent="0.3">
      <c r="A373" s="2161"/>
      <c r="B373" s="1313" t="str">
        <f t="shared" si="66"/>
        <v/>
      </c>
      <c r="C373" s="1011">
        <f>IF($D$2="NO",0,ROUNDDOWN(SUM(PROD!$V$5:V374)/IF(Iniciar!$C$25="kilos",40,1),0)-SUM($C$4:$C372))</f>
        <v>0</v>
      </c>
      <c r="D373" s="702"/>
      <c r="E373" s="702"/>
      <c r="F373" s="300">
        <f t="shared" si="71"/>
        <v>-75000</v>
      </c>
      <c r="G373" s="694"/>
      <c r="H373" s="695"/>
      <c r="I373" s="1314"/>
      <c r="J373" s="1315">
        <f>IF(K$1&gt;0,ROUNDUP(SUM(PROD!AM$5:AM374)/K$1*K$2,0),0)-SUM(J$4:J372)</f>
        <v>0</v>
      </c>
      <c r="K373" s="1316">
        <f t="shared" si="73"/>
        <v>0</v>
      </c>
      <c r="L373" s="1314"/>
      <c r="M373" s="1315">
        <f>IF(N$1&gt;0,ROUNDUP(SUM(PROD!L$5:L374,-PROD!AM$5:AM374,-PROD!AZ$5:AZ374)/N$1*N$2,0),0)-SUM(M$4:M372)</f>
        <v>0</v>
      </c>
      <c r="N373" s="1316">
        <f t="shared" si="74"/>
        <v>0</v>
      </c>
      <c r="O373" s="1317">
        <f t="shared" si="63"/>
        <v>0</v>
      </c>
      <c r="P373" s="1318"/>
      <c r="Q373" s="1319"/>
      <c r="R373" s="1320">
        <f t="shared" si="64"/>
        <v>0</v>
      </c>
      <c r="S373" s="1316">
        <f t="shared" si="65"/>
        <v>0</v>
      </c>
      <c r="T373" s="712"/>
      <c r="U373" s="713"/>
      <c r="V373" s="714"/>
      <c r="W373" s="398">
        <f t="shared" si="72"/>
        <v>0</v>
      </c>
      <c r="X373" s="712"/>
      <c r="Y373" s="713"/>
      <c r="Z373" s="714"/>
      <c r="AA373" s="398">
        <f t="shared" si="67"/>
        <v>0</v>
      </c>
      <c r="AB373" s="712"/>
      <c r="AC373" s="713"/>
      <c r="AD373" s="714"/>
      <c r="AE373" s="398">
        <f t="shared" si="68"/>
        <v>0</v>
      </c>
      <c r="AF373" s="712"/>
      <c r="AG373" s="713"/>
      <c r="AH373" s="714"/>
      <c r="AI373" s="398">
        <f t="shared" si="69"/>
        <v>0</v>
      </c>
      <c r="AJ373" s="712"/>
      <c r="AK373" s="713"/>
      <c r="AL373" s="714"/>
      <c r="AM373" s="398">
        <f t="shared" si="70"/>
        <v>0</v>
      </c>
    </row>
    <row r="374" spans="1:39" ht="16.5" customHeight="1" x14ac:dyDescent="0.3">
      <c r="A374" s="2162"/>
      <c r="B374" s="1313" t="str">
        <f t="shared" si="66"/>
        <v/>
      </c>
      <c r="C374" s="1011">
        <f>IF($D$2="NO",0,ROUNDDOWN(SUM(PROD!$V$5:V375)/IF(Iniciar!$C$25="kilos",40,1),0)-SUM($C$4:$C373))</f>
        <v>0</v>
      </c>
      <c r="D374" s="702"/>
      <c r="E374" s="702"/>
      <c r="F374" s="300">
        <f t="shared" si="71"/>
        <v>-75000</v>
      </c>
      <c r="G374" s="694"/>
      <c r="H374" s="695"/>
      <c r="I374" s="1314"/>
      <c r="J374" s="1315">
        <f>IF(K$1&gt;0,ROUNDUP(SUM(PROD!AM$5:AM375)/K$1*K$2,0),0)-SUM(J$4:J373)</f>
        <v>0</v>
      </c>
      <c r="K374" s="1316">
        <f t="shared" si="73"/>
        <v>0</v>
      </c>
      <c r="L374" s="1314"/>
      <c r="M374" s="1315">
        <f>IF(N$1&gt;0,ROUNDUP(SUM(PROD!L$5:L375,-PROD!AM$5:AM375,-PROD!AZ$5:AZ375)/N$1*N$2,0),0)-SUM(M$4:M373)</f>
        <v>0</v>
      </c>
      <c r="N374" s="1316">
        <f t="shared" si="74"/>
        <v>0</v>
      </c>
      <c r="O374" s="1317">
        <f t="shared" si="63"/>
        <v>0</v>
      </c>
      <c r="P374" s="1318"/>
      <c r="Q374" s="1319"/>
      <c r="R374" s="1320">
        <f t="shared" si="64"/>
        <v>0</v>
      </c>
      <c r="S374" s="1316">
        <f t="shared" si="65"/>
        <v>0</v>
      </c>
      <c r="T374" s="712"/>
      <c r="U374" s="713"/>
      <c r="V374" s="714"/>
      <c r="W374" s="398">
        <f t="shared" si="72"/>
        <v>0</v>
      </c>
      <c r="X374" s="712"/>
      <c r="Y374" s="713"/>
      <c r="Z374" s="714"/>
      <c r="AA374" s="398">
        <f t="shared" si="67"/>
        <v>0</v>
      </c>
      <c r="AB374" s="712"/>
      <c r="AC374" s="713"/>
      <c r="AD374" s="714"/>
      <c r="AE374" s="398">
        <f t="shared" si="68"/>
        <v>0</v>
      </c>
      <c r="AF374" s="712"/>
      <c r="AG374" s="713"/>
      <c r="AH374" s="714"/>
      <c r="AI374" s="398">
        <f t="shared" si="69"/>
        <v>0</v>
      </c>
      <c r="AJ374" s="712"/>
      <c r="AK374" s="713"/>
      <c r="AL374" s="714"/>
      <c r="AM374" s="398">
        <f t="shared" si="70"/>
        <v>0</v>
      </c>
    </row>
    <row r="375" spans="1:39" ht="16.5" customHeight="1" x14ac:dyDescent="0.3">
      <c r="A375" s="2160">
        <f>A368+1</f>
        <v>71</v>
      </c>
      <c r="B375" s="1313" t="str">
        <f t="shared" si="66"/>
        <v/>
      </c>
      <c r="C375" s="1011">
        <f>IF($D$2="NO",0,ROUNDDOWN(SUM(PROD!$V$5:V376)/IF(Iniciar!$C$25="kilos",40,1),0)-SUM($C$4:$C374))</f>
        <v>0</v>
      </c>
      <c r="D375" s="702"/>
      <c r="E375" s="702"/>
      <c r="F375" s="300">
        <f t="shared" si="71"/>
        <v>-75000</v>
      </c>
      <c r="G375" s="694"/>
      <c r="H375" s="695"/>
      <c r="I375" s="1314"/>
      <c r="J375" s="1315">
        <f>IF(K$1&gt;0,ROUNDUP(SUM(PROD!AM$5:AM376)/K$1*K$2,0),0)-SUM(J$4:J374)</f>
        <v>0</v>
      </c>
      <c r="K375" s="1316">
        <f t="shared" si="73"/>
        <v>0</v>
      </c>
      <c r="L375" s="1314"/>
      <c r="M375" s="1315">
        <f>IF(N$1&gt;0,ROUNDUP(SUM(PROD!L$5:L376,-PROD!AM$5:AM376,-PROD!AZ$5:AZ376)/N$1*N$2,0),0)-SUM(M$4:M374)</f>
        <v>0</v>
      </c>
      <c r="N375" s="1316">
        <f t="shared" si="74"/>
        <v>0</v>
      </c>
      <c r="O375" s="1317">
        <f t="shared" si="63"/>
        <v>0</v>
      </c>
      <c r="P375" s="1318"/>
      <c r="Q375" s="1319"/>
      <c r="R375" s="1320">
        <f t="shared" si="64"/>
        <v>0</v>
      </c>
      <c r="S375" s="1316">
        <f t="shared" si="65"/>
        <v>0</v>
      </c>
      <c r="T375" s="712"/>
      <c r="U375" s="713"/>
      <c r="V375" s="714"/>
      <c r="W375" s="398">
        <f t="shared" si="72"/>
        <v>0</v>
      </c>
      <c r="X375" s="712"/>
      <c r="Y375" s="713"/>
      <c r="Z375" s="714"/>
      <c r="AA375" s="398">
        <f t="shared" si="67"/>
        <v>0</v>
      </c>
      <c r="AB375" s="712"/>
      <c r="AC375" s="713"/>
      <c r="AD375" s="714"/>
      <c r="AE375" s="398">
        <f t="shared" si="68"/>
        <v>0</v>
      </c>
      <c r="AF375" s="712"/>
      <c r="AG375" s="713"/>
      <c r="AH375" s="714"/>
      <c r="AI375" s="398">
        <f t="shared" si="69"/>
        <v>0</v>
      </c>
      <c r="AJ375" s="712"/>
      <c r="AK375" s="713"/>
      <c r="AL375" s="714"/>
      <c r="AM375" s="398">
        <f t="shared" si="70"/>
        <v>0</v>
      </c>
    </row>
    <row r="376" spans="1:39" ht="15.75" customHeight="1" x14ac:dyDescent="0.3">
      <c r="A376" s="2161"/>
      <c r="B376" s="1313" t="str">
        <f t="shared" si="66"/>
        <v/>
      </c>
      <c r="C376" s="1011">
        <f>IF($D$2="NO",0,ROUNDDOWN(SUM(PROD!$V$5:V377)/IF(Iniciar!$C$25="kilos",40,1),0)-SUM($C$4:$C375))</f>
        <v>0</v>
      </c>
      <c r="D376" s="702"/>
      <c r="E376" s="702"/>
      <c r="F376" s="300">
        <f t="shared" si="71"/>
        <v>-75000</v>
      </c>
      <c r="G376" s="694"/>
      <c r="H376" s="695"/>
      <c r="I376" s="1314"/>
      <c r="J376" s="1315">
        <f>IF(K$1&gt;0,ROUNDUP(SUM(PROD!AM$5:AM377)/K$1*K$2,0),0)-SUM(J$4:J375)</f>
        <v>0</v>
      </c>
      <c r="K376" s="1316">
        <f t="shared" si="73"/>
        <v>0</v>
      </c>
      <c r="L376" s="1314"/>
      <c r="M376" s="1315">
        <f>IF(N$1&gt;0,ROUNDUP(SUM(PROD!L$5:L377,-PROD!AM$5:AM377,-PROD!AZ$5:AZ377)/N$1*N$2,0),0)-SUM(M$4:M375)</f>
        <v>0</v>
      </c>
      <c r="N376" s="1316">
        <f t="shared" si="74"/>
        <v>0</v>
      </c>
      <c r="O376" s="1317">
        <f t="shared" si="63"/>
        <v>0</v>
      </c>
      <c r="P376" s="1318"/>
      <c r="Q376" s="1319"/>
      <c r="R376" s="1320">
        <f t="shared" si="64"/>
        <v>0</v>
      </c>
      <c r="S376" s="1316">
        <f t="shared" si="65"/>
        <v>0</v>
      </c>
      <c r="T376" s="712"/>
      <c r="U376" s="713"/>
      <c r="V376" s="714"/>
      <c r="W376" s="398">
        <f t="shared" si="72"/>
        <v>0</v>
      </c>
      <c r="X376" s="712"/>
      <c r="Y376" s="713"/>
      <c r="Z376" s="714"/>
      <c r="AA376" s="398">
        <f t="shared" si="67"/>
        <v>0</v>
      </c>
      <c r="AB376" s="712"/>
      <c r="AC376" s="713"/>
      <c r="AD376" s="714"/>
      <c r="AE376" s="398">
        <f t="shared" si="68"/>
        <v>0</v>
      </c>
      <c r="AF376" s="712"/>
      <c r="AG376" s="713"/>
      <c r="AH376" s="714"/>
      <c r="AI376" s="398">
        <f t="shared" si="69"/>
        <v>0</v>
      </c>
      <c r="AJ376" s="712"/>
      <c r="AK376" s="713"/>
      <c r="AL376" s="714"/>
      <c r="AM376" s="398">
        <f t="shared" si="70"/>
        <v>0</v>
      </c>
    </row>
    <row r="377" spans="1:39" ht="15.75" customHeight="1" x14ac:dyDescent="0.3">
      <c r="A377" s="2161"/>
      <c r="B377" s="1313" t="str">
        <f t="shared" si="66"/>
        <v/>
      </c>
      <c r="C377" s="1011">
        <f>IF($D$2="NO",0,ROUNDDOWN(SUM(PROD!$V$5:V378)/IF(Iniciar!$C$25="kilos",40,1),0)-SUM($C$4:$C376))</f>
        <v>0</v>
      </c>
      <c r="D377" s="702"/>
      <c r="E377" s="702"/>
      <c r="F377" s="300">
        <f t="shared" si="71"/>
        <v>-75000</v>
      </c>
      <c r="G377" s="694"/>
      <c r="H377" s="695"/>
      <c r="I377" s="1314"/>
      <c r="J377" s="1315">
        <f>IF(K$1&gt;0,ROUNDUP(SUM(PROD!AM$5:AM378)/K$1*K$2,0),0)-SUM(J$4:J376)</f>
        <v>0</v>
      </c>
      <c r="K377" s="1316">
        <f t="shared" si="73"/>
        <v>0</v>
      </c>
      <c r="L377" s="1314"/>
      <c r="M377" s="1315">
        <f>IF(N$1&gt;0,ROUNDUP(SUM(PROD!L$5:L378,-PROD!AM$5:AM378,-PROD!AZ$5:AZ378)/N$1*N$2,0),0)-SUM(M$4:M376)</f>
        <v>0</v>
      </c>
      <c r="N377" s="1316">
        <f t="shared" si="74"/>
        <v>0</v>
      </c>
      <c r="O377" s="1317">
        <f t="shared" si="63"/>
        <v>0</v>
      </c>
      <c r="P377" s="1318"/>
      <c r="Q377" s="1319"/>
      <c r="R377" s="1320">
        <f t="shared" si="64"/>
        <v>0</v>
      </c>
      <c r="S377" s="1316">
        <f t="shared" si="65"/>
        <v>0</v>
      </c>
      <c r="T377" s="712"/>
      <c r="U377" s="713"/>
      <c r="V377" s="714"/>
      <c r="W377" s="398">
        <f t="shared" si="72"/>
        <v>0</v>
      </c>
      <c r="X377" s="712"/>
      <c r="Y377" s="713"/>
      <c r="Z377" s="714"/>
      <c r="AA377" s="398">
        <f t="shared" si="67"/>
        <v>0</v>
      </c>
      <c r="AB377" s="712"/>
      <c r="AC377" s="713"/>
      <c r="AD377" s="714"/>
      <c r="AE377" s="398">
        <f t="shared" si="68"/>
        <v>0</v>
      </c>
      <c r="AF377" s="712"/>
      <c r="AG377" s="713"/>
      <c r="AH377" s="714"/>
      <c r="AI377" s="398">
        <f t="shared" si="69"/>
        <v>0</v>
      </c>
      <c r="AJ377" s="712"/>
      <c r="AK377" s="713"/>
      <c r="AL377" s="714"/>
      <c r="AM377" s="398">
        <f t="shared" si="70"/>
        <v>0</v>
      </c>
    </row>
    <row r="378" spans="1:39" ht="15.75" customHeight="1" x14ac:dyDescent="0.3">
      <c r="A378" s="2161"/>
      <c r="B378" s="1313" t="str">
        <f t="shared" si="66"/>
        <v/>
      </c>
      <c r="C378" s="1011">
        <f>IF($D$2="NO",0,ROUNDDOWN(SUM(PROD!$V$5:V379)/IF(Iniciar!$C$25="kilos",40,1),0)-SUM($C$4:$C377))</f>
        <v>0</v>
      </c>
      <c r="D378" s="702"/>
      <c r="E378" s="702"/>
      <c r="F378" s="300">
        <f t="shared" si="71"/>
        <v>-75000</v>
      </c>
      <c r="G378" s="694"/>
      <c r="H378" s="695"/>
      <c r="I378" s="1314"/>
      <c r="J378" s="1315">
        <f>IF(K$1&gt;0,ROUNDUP(SUM(PROD!AM$5:AM379)/K$1*K$2,0),0)-SUM(J$4:J377)</f>
        <v>0</v>
      </c>
      <c r="K378" s="1316">
        <f t="shared" si="73"/>
        <v>0</v>
      </c>
      <c r="L378" s="1314"/>
      <c r="M378" s="1315">
        <f>IF(N$1&gt;0,ROUNDUP(SUM(PROD!L$5:L379,-PROD!AM$5:AM379,-PROD!AZ$5:AZ379)/N$1*N$2,0),0)-SUM(M$4:M377)</f>
        <v>0</v>
      </c>
      <c r="N378" s="1316">
        <f t="shared" si="74"/>
        <v>0</v>
      </c>
      <c r="O378" s="1317">
        <f t="shared" si="63"/>
        <v>0</v>
      </c>
      <c r="P378" s="1318"/>
      <c r="Q378" s="1319"/>
      <c r="R378" s="1320">
        <f t="shared" si="64"/>
        <v>0</v>
      </c>
      <c r="S378" s="1316">
        <f t="shared" si="65"/>
        <v>0</v>
      </c>
      <c r="T378" s="712"/>
      <c r="U378" s="713"/>
      <c r="V378" s="714"/>
      <c r="W378" s="398">
        <f t="shared" si="72"/>
        <v>0</v>
      </c>
      <c r="X378" s="712"/>
      <c r="Y378" s="713"/>
      <c r="Z378" s="714"/>
      <c r="AA378" s="398">
        <f t="shared" si="67"/>
        <v>0</v>
      </c>
      <c r="AB378" s="712"/>
      <c r="AC378" s="713"/>
      <c r="AD378" s="714"/>
      <c r="AE378" s="398">
        <f t="shared" si="68"/>
        <v>0</v>
      </c>
      <c r="AF378" s="712"/>
      <c r="AG378" s="713"/>
      <c r="AH378" s="714"/>
      <c r="AI378" s="398">
        <f t="shared" si="69"/>
        <v>0</v>
      </c>
      <c r="AJ378" s="712"/>
      <c r="AK378" s="713"/>
      <c r="AL378" s="714"/>
      <c r="AM378" s="398">
        <f t="shared" si="70"/>
        <v>0</v>
      </c>
    </row>
    <row r="379" spans="1:39" ht="15.75" customHeight="1" x14ac:dyDescent="0.3">
      <c r="A379" s="2161"/>
      <c r="B379" s="1313" t="str">
        <f t="shared" si="66"/>
        <v/>
      </c>
      <c r="C379" s="1011">
        <f>IF($D$2="NO",0,ROUNDDOWN(SUM(PROD!$V$5:V380)/IF(Iniciar!$C$25="kilos",40,1),0)-SUM($C$4:$C378))</f>
        <v>0</v>
      </c>
      <c r="D379" s="702"/>
      <c r="E379" s="702"/>
      <c r="F379" s="300">
        <f t="shared" si="71"/>
        <v>-75000</v>
      </c>
      <c r="G379" s="694"/>
      <c r="H379" s="695"/>
      <c r="I379" s="1314"/>
      <c r="J379" s="1315">
        <f>IF(K$1&gt;0,ROUNDUP(SUM(PROD!AM$5:AM380)/K$1*K$2,0),0)-SUM(J$4:J378)</f>
        <v>0</v>
      </c>
      <c r="K379" s="1316">
        <f t="shared" si="73"/>
        <v>0</v>
      </c>
      <c r="L379" s="1314"/>
      <c r="M379" s="1315">
        <f>IF(N$1&gt;0,ROUNDUP(SUM(PROD!L$5:L380,-PROD!AM$5:AM380,-PROD!AZ$5:AZ380)/N$1*N$2,0),0)-SUM(M$4:M378)</f>
        <v>0</v>
      </c>
      <c r="N379" s="1316">
        <f t="shared" si="74"/>
        <v>0</v>
      </c>
      <c r="O379" s="1317">
        <f t="shared" si="63"/>
        <v>0</v>
      </c>
      <c r="P379" s="1318"/>
      <c r="Q379" s="1319"/>
      <c r="R379" s="1320">
        <f t="shared" si="64"/>
        <v>0</v>
      </c>
      <c r="S379" s="1316">
        <f t="shared" si="65"/>
        <v>0</v>
      </c>
      <c r="T379" s="712"/>
      <c r="U379" s="713"/>
      <c r="V379" s="714"/>
      <c r="W379" s="398">
        <f t="shared" si="72"/>
        <v>0</v>
      </c>
      <c r="X379" s="712"/>
      <c r="Y379" s="713"/>
      <c r="Z379" s="714"/>
      <c r="AA379" s="398">
        <f t="shared" si="67"/>
        <v>0</v>
      </c>
      <c r="AB379" s="712"/>
      <c r="AC379" s="713"/>
      <c r="AD379" s="714"/>
      <c r="AE379" s="398">
        <f t="shared" si="68"/>
        <v>0</v>
      </c>
      <c r="AF379" s="712"/>
      <c r="AG379" s="713"/>
      <c r="AH379" s="714"/>
      <c r="AI379" s="398">
        <f t="shared" si="69"/>
        <v>0</v>
      </c>
      <c r="AJ379" s="712"/>
      <c r="AK379" s="713"/>
      <c r="AL379" s="714"/>
      <c r="AM379" s="398">
        <f t="shared" si="70"/>
        <v>0</v>
      </c>
    </row>
    <row r="380" spans="1:39" ht="15.75" customHeight="1" x14ac:dyDescent="0.3">
      <c r="A380" s="2161"/>
      <c r="B380" s="1313" t="str">
        <f t="shared" si="66"/>
        <v/>
      </c>
      <c r="C380" s="1011">
        <f>IF($D$2="NO",0,ROUNDDOWN(SUM(PROD!$V$5:V381)/IF(Iniciar!$C$25="kilos",40,1),0)-SUM($C$4:$C379))</f>
        <v>0</v>
      </c>
      <c r="D380" s="702"/>
      <c r="E380" s="702"/>
      <c r="F380" s="300">
        <f t="shared" si="71"/>
        <v>-75000</v>
      </c>
      <c r="G380" s="694"/>
      <c r="H380" s="695"/>
      <c r="I380" s="1314"/>
      <c r="J380" s="1315">
        <f>IF(K$1&gt;0,ROUNDUP(SUM(PROD!AM$5:AM381)/K$1*K$2,0),0)-SUM(J$4:J379)</f>
        <v>0</v>
      </c>
      <c r="K380" s="1316">
        <f t="shared" si="73"/>
        <v>0</v>
      </c>
      <c r="L380" s="1314"/>
      <c r="M380" s="1315">
        <f>IF(N$1&gt;0,ROUNDUP(SUM(PROD!L$5:L381,-PROD!AM$5:AM381,-PROD!AZ$5:AZ381)/N$1*N$2,0),0)-SUM(M$4:M379)</f>
        <v>0</v>
      </c>
      <c r="N380" s="1316">
        <f t="shared" si="74"/>
        <v>0</v>
      </c>
      <c r="O380" s="1317">
        <f t="shared" si="63"/>
        <v>0</v>
      </c>
      <c r="P380" s="1318"/>
      <c r="Q380" s="1319"/>
      <c r="R380" s="1320">
        <f t="shared" si="64"/>
        <v>0</v>
      </c>
      <c r="S380" s="1316">
        <f t="shared" si="65"/>
        <v>0</v>
      </c>
      <c r="T380" s="712"/>
      <c r="U380" s="713"/>
      <c r="V380" s="714"/>
      <c r="W380" s="398">
        <f t="shared" si="72"/>
        <v>0</v>
      </c>
      <c r="X380" s="712"/>
      <c r="Y380" s="713"/>
      <c r="Z380" s="714"/>
      <c r="AA380" s="398">
        <f t="shared" si="67"/>
        <v>0</v>
      </c>
      <c r="AB380" s="712"/>
      <c r="AC380" s="713"/>
      <c r="AD380" s="714"/>
      <c r="AE380" s="398">
        <f t="shared" si="68"/>
        <v>0</v>
      </c>
      <c r="AF380" s="712"/>
      <c r="AG380" s="713"/>
      <c r="AH380" s="714"/>
      <c r="AI380" s="398">
        <f t="shared" si="69"/>
        <v>0</v>
      </c>
      <c r="AJ380" s="712"/>
      <c r="AK380" s="713"/>
      <c r="AL380" s="714"/>
      <c r="AM380" s="398">
        <f t="shared" si="70"/>
        <v>0</v>
      </c>
    </row>
    <row r="381" spans="1:39" ht="16.5" customHeight="1" x14ac:dyDescent="0.3">
      <c r="A381" s="2162"/>
      <c r="B381" s="1313" t="str">
        <f t="shared" si="66"/>
        <v/>
      </c>
      <c r="C381" s="1011">
        <f>IF($D$2="NO",0,ROUNDDOWN(SUM(PROD!$V$5:V382)/IF(Iniciar!$C$25="kilos",40,1),0)-SUM($C$4:$C380))</f>
        <v>0</v>
      </c>
      <c r="D381" s="702"/>
      <c r="E381" s="702"/>
      <c r="F381" s="300">
        <f t="shared" si="71"/>
        <v>-75000</v>
      </c>
      <c r="G381" s="694"/>
      <c r="H381" s="695"/>
      <c r="I381" s="1314"/>
      <c r="J381" s="1315">
        <f>IF(K$1&gt;0,ROUNDUP(SUM(PROD!AM$5:AM382)/K$1*K$2,0),0)-SUM(J$4:J380)</f>
        <v>0</v>
      </c>
      <c r="K381" s="1316">
        <f t="shared" si="73"/>
        <v>0</v>
      </c>
      <c r="L381" s="1314"/>
      <c r="M381" s="1315">
        <f>IF(N$1&gt;0,ROUNDUP(SUM(PROD!L$5:L382,-PROD!AM$5:AM382,-PROD!AZ$5:AZ382)/N$1*N$2,0),0)-SUM(M$4:M380)</f>
        <v>0</v>
      </c>
      <c r="N381" s="1316">
        <f t="shared" si="74"/>
        <v>0</v>
      </c>
      <c r="O381" s="1317">
        <f t="shared" si="63"/>
        <v>0</v>
      </c>
      <c r="P381" s="1318"/>
      <c r="Q381" s="1319"/>
      <c r="R381" s="1320">
        <f t="shared" si="64"/>
        <v>0</v>
      </c>
      <c r="S381" s="1316">
        <f t="shared" si="65"/>
        <v>0</v>
      </c>
      <c r="T381" s="712"/>
      <c r="U381" s="713"/>
      <c r="V381" s="714"/>
      <c r="W381" s="398">
        <f t="shared" si="72"/>
        <v>0</v>
      </c>
      <c r="X381" s="712"/>
      <c r="Y381" s="713"/>
      <c r="Z381" s="714"/>
      <c r="AA381" s="398">
        <f t="shared" si="67"/>
        <v>0</v>
      </c>
      <c r="AB381" s="712"/>
      <c r="AC381" s="713"/>
      <c r="AD381" s="714"/>
      <c r="AE381" s="398">
        <f t="shared" si="68"/>
        <v>0</v>
      </c>
      <c r="AF381" s="712"/>
      <c r="AG381" s="713"/>
      <c r="AH381" s="714"/>
      <c r="AI381" s="398">
        <f t="shared" si="69"/>
        <v>0</v>
      </c>
      <c r="AJ381" s="712"/>
      <c r="AK381" s="713"/>
      <c r="AL381" s="714"/>
      <c r="AM381" s="398">
        <f t="shared" si="70"/>
        <v>0</v>
      </c>
    </row>
    <row r="382" spans="1:39" ht="16.5" customHeight="1" x14ac:dyDescent="0.3">
      <c r="A382" s="2160">
        <f>A375+1</f>
        <v>72</v>
      </c>
      <c r="B382" s="1313" t="str">
        <f t="shared" si="66"/>
        <v/>
      </c>
      <c r="C382" s="1011">
        <f>IF($D$2="NO",0,ROUNDDOWN(SUM(PROD!$V$5:V383)/IF(Iniciar!$C$25="kilos",40,1),0)-SUM($C$4:$C381))</f>
        <v>0</v>
      </c>
      <c r="D382" s="702"/>
      <c r="E382" s="702"/>
      <c r="F382" s="300">
        <f t="shared" si="71"/>
        <v>-75000</v>
      </c>
      <c r="G382" s="694"/>
      <c r="H382" s="695"/>
      <c r="I382" s="1314"/>
      <c r="J382" s="1315">
        <f>IF(K$1&gt;0,ROUNDUP(SUM(PROD!AM$5:AM383)/K$1*K$2,0),0)-SUM(J$4:J381)</f>
        <v>0</v>
      </c>
      <c r="K382" s="1316">
        <f t="shared" si="73"/>
        <v>0</v>
      </c>
      <c r="L382" s="1314"/>
      <c r="M382" s="1315">
        <f>IF(N$1&gt;0,ROUNDUP(SUM(PROD!L$5:L383,-PROD!AM$5:AM383,-PROD!AZ$5:AZ383)/N$1*N$2,0),0)-SUM(M$4:M381)</f>
        <v>0</v>
      </c>
      <c r="N382" s="1316">
        <f t="shared" si="74"/>
        <v>0</v>
      </c>
      <c r="O382" s="1317">
        <f t="shared" si="63"/>
        <v>0</v>
      </c>
      <c r="P382" s="1318"/>
      <c r="Q382" s="1319"/>
      <c r="R382" s="1320">
        <f t="shared" si="64"/>
        <v>0</v>
      </c>
      <c r="S382" s="1316">
        <f t="shared" si="65"/>
        <v>0</v>
      </c>
      <c r="T382" s="712"/>
      <c r="U382" s="713"/>
      <c r="V382" s="714"/>
      <c r="W382" s="398">
        <f t="shared" si="72"/>
        <v>0</v>
      </c>
      <c r="X382" s="712"/>
      <c r="Y382" s="713"/>
      <c r="Z382" s="714"/>
      <c r="AA382" s="398">
        <f t="shared" si="67"/>
        <v>0</v>
      </c>
      <c r="AB382" s="712"/>
      <c r="AC382" s="713"/>
      <c r="AD382" s="714"/>
      <c r="AE382" s="398">
        <f t="shared" si="68"/>
        <v>0</v>
      </c>
      <c r="AF382" s="712"/>
      <c r="AG382" s="713"/>
      <c r="AH382" s="714"/>
      <c r="AI382" s="398">
        <f t="shared" si="69"/>
        <v>0</v>
      </c>
      <c r="AJ382" s="712"/>
      <c r="AK382" s="713"/>
      <c r="AL382" s="714"/>
      <c r="AM382" s="398">
        <f t="shared" si="70"/>
        <v>0</v>
      </c>
    </row>
    <row r="383" spans="1:39" ht="15.75" customHeight="1" x14ac:dyDescent="0.3">
      <c r="A383" s="2161"/>
      <c r="B383" s="1313" t="str">
        <f t="shared" si="66"/>
        <v/>
      </c>
      <c r="C383" s="1011">
        <f>IF($D$2="NO",0,ROUNDDOWN(SUM(PROD!$V$5:V384)/IF(Iniciar!$C$25="kilos",40,1),0)-SUM($C$4:$C382))</f>
        <v>0</v>
      </c>
      <c r="D383" s="702"/>
      <c r="E383" s="702"/>
      <c r="F383" s="300">
        <f t="shared" si="71"/>
        <v>-75000</v>
      </c>
      <c r="G383" s="694"/>
      <c r="H383" s="695"/>
      <c r="I383" s="1314"/>
      <c r="J383" s="1315">
        <f>IF(K$1&gt;0,ROUNDUP(SUM(PROD!AM$5:AM384)/K$1*K$2,0),0)-SUM(J$4:J382)</f>
        <v>0</v>
      </c>
      <c r="K383" s="1316">
        <f t="shared" si="73"/>
        <v>0</v>
      </c>
      <c r="L383" s="1314"/>
      <c r="M383" s="1315">
        <f>IF(N$1&gt;0,ROUNDUP(SUM(PROD!L$5:L384,-PROD!AM$5:AM384,-PROD!AZ$5:AZ384)/N$1*N$2,0),0)-SUM(M$4:M382)</f>
        <v>0</v>
      </c>
      <c r="N383" s="1316">
        <f t="shared" si="74"/>
        <v>0</v>
      </c>
      <c r="O383" s="1317">
        <f t="shared" si="63"/>
        <v>0</v>
      </c>
      <c r="P383" s="1318"/>
      <c r="Q383" s="1319"/>
      <c r="R383" s="1320">
        <f t="shared" si="64"/>
        <v>0</v>
      </c>
      <c r="S383" s="1316">
        <f t="shared" si="65"/>
        <v>0</v>
      </c>
      <c r="T383" s="712"/>
      <c r="U383" s="713"/>
      <c r="V383" s="714"/>
      <c r="W383" s="398">
        <f t="shared" si="72"/>
        <v>0</v>
      </c>
      <c r="X383" s="712"/>
      <c r="Y383" s="713"/>
      <c r="Z383" s="714"/>
      <c r="AA383" s="398">
        <f t="shared" si="67"/>
        <v>0</v>
      </c>
      <c r="AB383" s="712"/>
      <c r="AC383" s="713"/>
      <c r="AD383" s="714"/>
      <c r="AE383" s="398">
        <f t="shared" si="68"/>
        <v>0</v>
      </c>
      <c r="AF383" s="712"/>
      <c r="AG383" s="713"/>
      <c r="AH383" s="714"/>
      <c r="AI383" s="398">
        <f t="shared" si="69"/>
        <v>0</v>
      </c>
      <c r="AJ383" s="712"/>
      <c r="AK383" s="713"/>
      <c r="AL383" s="714"/>
      <c r="AM383" s="398">
        <f t="shared" si="70"/>
        <v>0</v>
      </c>
    </row>
    <row r="384" spans="1:39" ht="15.75" customHeight="1" x14ac:dyDescent="0.3">
      <c r="A384" s="2161"/>
      <c r="B384" s="1313" t="str">
        <f t="shared" si="66"/>
        <v/>
      </c>
      <c r="C384" s="1011">
        <f>IF($D$2="NO",0,ROUNDDOWN(SUM(PROD!$V$5:V385)/IF(Iniciar!$C$25="kilos",40,1),0)-SUM($C$4:$C383))</f>
        <v>0</v>
      </c>
      <c r="D384" s="702"/>
      <c r="E384" s="702"/>
      <c r="F384" s="300">
        <f t="shared" si="71"/>
        <v>-75000</v>
      </c>
      <c r="G384" s="694"/>
      <c r="H384" s="695"/>
      <c r="I384" s="1314"/>
      <c r="J384" s="1315">
        <f>IF(K$1&gt;0,ROUNDUP(SUM(PROD!AM$5:AM385)/K$1*K$2,0),0)-SUM(J$4:J383)</f>
        <v>0</v>
      </c>
      <c r="K384" s="1316">
        <f t="shared" si="73"/>
        <v>0</v>
      </c>
      <c r="L384" s="1314"/>
      <c r="M384" s="1315">
        <f>IF(N$1&gt;0,ROUNDUP(SUM(PROD!L$5:L385,-PROD!AM$5:AM385,-PROD!AZ$5:AZ385)/N$1*N$2,0),0)-SUM(M$4:M383)</f>
        <v>0</v>
      </c>
      <c r="N384" s="1316">
        <f t="shared" si="74"/>
        <v>0</v>
      </c>
      <c r="O384" s="1317">
        <f t="shared" si="63"/>
        <v>0</v>
      </c>
      <c r="P384" s="1318"/>
      <c r="Q384" s="1319"/>
      <c r="R384" s="1320">
        <f t="shared" si="64"/>
        <v>0</v>
      </c>
      <c r="S384" s="1316">
        <f t="shared" si="65"/>
        <v>0</v>
      </c>
      <c r="T384" s="712"/>
      <c r="U384" s="713"/>
      <c r="V384" s="714"/>
      <c r="W384" s="398">
        <f t="shared" si="72"/>
        <v>0</v>
      </c>
      <c r="X384" s="712"/>
      <c r="Y384" s="713"/>
      <c r="Z384" s="714"/>
      <c r="AA384" s="398">
        <f t="shared" si="67"/>
        <v>0</v>
      </c>
      <c r="AB384" s="712"/>
      <c r="AC384" s="713"/>
      <c r="AD384" s="714"/>
      <c r="AE384" s="398">
        <f t="shared" si="68"/>
        <v>0</v>
      </c>
      <c r="AF384" s="712"/>
      <c r="AG384" s="713"/>
      <c r="AH384" s="714"/>
      <c r="AI384" s="398">
        <f t="shared" si="69"/>
        <v>0</v>
      </c>
      <c r="AJ384" s="712"/>
      <c r="AK384" s="713"/>
      <c r="AL384" s="714"/>
      <c r="AM384" s="398">
        <f t="shared" si="70"/>
        <v>0</v>
      </c>
    </row>
    <row r="385" spans="1:39" ht="15.75" customHeight="1" x14ac:dyDescent="0.3">
      <c r="A385" s="2161"/>
      <c r="B385" s="1313" t="str">
        <f t="shared" si="66"/>
        <v/>
      </c>
      <c r="C385" s="1011">
        <f>IF($D$2="NO",0,ROUNDDOWN(SUM(PROD!$V$5:V386)/IF(Iniciar!$C$25="kilos",40,1),0)-SUM($C$4:$C384))</f>
        <v>0</v>
      </c>
      <c r="D385" s="702"/>
      <c r="E385" s="702"/>
      <c r="F385" s="300">
        <f t="shared" si="71"/>
        <v>-75000</v>
      </c>
      <c r="G385" s="694"/>
      <c r="H385" s="695"/>
      <c r="I385" s="1314"/>
      <c r="J385" s="1315">
        <f>IF(K$1&gt;0,ROUNDUP(SUM(PROD!AM$5:AM386)/K$1*K$2,0),0)-SUM(J$4:J384)</f>
        <v>0</v>
      </c>
      <c r="K385" s="1316">
        <f t="shared" si="73"/>
        <v>0</v>
      </c>
      <c r="L385" s="1314"/>
      <c r="M385" s="1315">
        <f>IF(N$1&gt;0,ROUNDUP(SUM(PROD!L$5:L386,-PROD!AM$5:AM386,-PROD!AZ$5:AZ386)/N$1*N$2,0),0)-SUM(M$4:M384)</f>
        <v>0</v>
      </c>
      <c r="N385" s="1316">
        <f t="shared" si="74"/>
        <v>0</v>
      </c>
      <c r="O385" s="1317">
        <f t="shared" si="63"/>
        <v>0</v>
      </c>
      <c r="P385" s="1318"/>
      <c r="Q385" s="1319"/>
      <c r="R385" s="1320">
        <f t="shared" si="64"/>
        <v>0</v>
      </c>
      <c r="S385" s="1316">
        <f t="shared" si="65"/>
        <v>0</v>
      </c>
      <c r="T385" s="712"/>
      <c r="U385" s="713"/>
      <c r="V385" s="714"/>
      <c r="W385" s="398">
        <f t="shared" si="72"/>
        <v>0</v>
      </c>
      <c r="X385" s="712"/>
      <c r="Y385" s="713"/>
      <c r="Z385" s="714"/>
      <c r="AA385" s="398">
        <f t="shared" si="67"/>
        <v>0</v>
      </c>
      <c r="AB385" s="712"/>
      <c r="AC385" s="713"/>
      <c r="AD385" s="714"/>
      <c r="AE385" s="398">
        <f t="shared" si="68"/>
        <v>0</v>
      </c>
      <c r="AF385" s="712"/>
      <c r="AG385" s="713"/>
      <c r="AH385" s="714"/>
      <c r="AI385" s="398">
        <f t="shared" si="69"/>
        <v>0</v>
      </c>
      <c r="AJ385" s="712"/>
      <c r="AK385" s="713"/>
      <c r="AL385" s="714"/>
      <c r="AM385" s="398">
        <f t="shared" si="70"/>
        <v>0</v>
      </c>
    </row>
    <row r="386" spans="1:39" ht="15.75" customHeight="1" x14ac:dyDescent="0.3">
      <c r="A386" s="2161"/>
      <c r="B386" s="1313" t="str">
        <f t="shared" si="66"/>
        <v/>
      </c>
      <c r="C386" s="1011">
        <f>IF($D$2="NO",0,ROUNDDOWN(SUM(PROD!$V$5:V387)/IF(Iniciar!$C$25="kilos",40,1),0)-SUM($C$4:$C385))</f>
        <v>0</v>
      </c>
      <c r="D386" s="702"/>
      <c r="E386" s="702"/>
      <c r="F386" s="300">
        <f t="shared" si="71"/>
        <v>-75000</v>
      </c>
      <c r="G386" s="694"/>
      <c r="H386" s="695"/>
      <c r="I386" s="1314"/>
      <c r="J386" s="1315">
        <f>IF(K$1&gt;0,ROUNDUP(SUM(PROD!AM$5:AM387)/K$1*K$2,0),0)-SUM(J$4:J385)</f>
        <v>0</v>
      </c>
      <c r="K386" s="1316">
        <f t="shared" si="73"/>
        <v>0</v>
      </c>
      <c r="L386" s="1314"/>
      <c r="M386" s="1315">
        <f>IF(N$1&gt;0,ROUNDUP(SUM(PROD!L$5:L387,-PROD!AM$5:AM387,-PROD!AZ$5:AZ387)/N$1*N$2,0),0)-SUM(M$4:M385)</f>
        <v>0</v>
      </c>
      <c r="N386" s="1316">
        <f t="shared" si="74"/>
        <v>0</v>
      </c>
      <c r="O386" s="1317">
        <f t="shared" si="63"/>
        <v>0</v>
      </c>
      <c r="P386" s="1318"/>
      <c r="Q386" s="1319"/>
      <c r="R386" s="1320">
        <f t="shared" si="64"/>
        <v>0</v>
      </c>
      <c r="S386" s="1316">
        <f t="shared" si="65"/>
        <v>0</v>
      </c>
      <c r="T386" s="712"/>
      <c r="U386" s="713"/>
      <c r="V386" s="714"/>
      <c r="W386" s="398">
        <f t="shared" si="72"/>
        <v>0</v>
      </c>
      <c r="X386" s="712"/>
      <c r="Y386" s="713"/>
      <c r="Z386" s="714"/>
      <c r="AA386" s="398">
        <f t="shared" si="67"/>
        <v>0</v>
      </c>
      <c r="AB386" s="712"/>
      <c r="AC386" s="713"/>
      <c r="AD386" s="714"/>
      <c r="AE386" s="398">
        <f t="shared" si="68"/>
        <v>0</v>
      </c>
      <c r="AF386" s="712"/>
      <c r="AG386" s="713"/>
      <c r="AH386" s="714"/>
      <c r="AI386" s="398">
        <f t="shared" si="69"/>
        <v>0</v>
      </c>
      <c r="AJ386" s="712"/>
      <c r="AK386" s="713"/>
      <c r="AL386" s="714"/>
      <c r="AM386" s="398">
        <f t="shared" si="70"/>
        <v>0</v>
      </c>
    </row>
    <row r="387" spans="1:39" ht="15.75" customHeight="1" x14ac:dyDescent="0.3">
      <c r="A387" s="2161"/>
      <c r="B387" s="1313" t="str">
        <f t="shared" si="66"/>
        <v/>
      </c>
      <c r="C387" s="1011">
        <f>IF($D$2="NO",0,ROUNDDOWN(SUM(PROD!$V$5:V388)/IF(Iniciar!$C$25="kilos",40,1),0)-SUM($C$4:$C386))</f>
        <v>0</v>
      </c>
      <c r="D387" s="702"/>
      <c r="E387" s="702"/>
      <c r="F387" s="300">
        <f t="shared" si="71"/>
        <v>-75000</v>
      </c>
      <c r="G387" s="694"/>
      <c r="H387" s="695"/>
      <c r="I387" s="1314"/>
      <c r="J387" s="1315">
        <f>IF(K$1&gt;0,ROUNDUP(SUM(PROD!AM$5:AM388)/K$1*K$2,0),0)-SUM(J$4:J386)</f>
        <v>0</v>
      </c>
      <c r="K387" s="1316">
        <f t="shared" si="73"/>
        <v>0</v>
      </c>
      <c r="L387" s="1314"/>
      <c r="M387" s="1315">
        <f>IF(N$1&gt;0,ROUNDUP(SUM(PROD!L$5:L388,-PROD!AM$5:AM388,-PROD!AZ$5:AZ388)/N$1*N$2,0),0)-SUM(M$4:M386)</f>
        <v>0</v>
      </c>
      <c r="N387" s="1316">
        <f t="shared" si="74"/>
        <v>0</v>
      </c>
      <c r="O387" s="1317">
        <f t="shared" si="63"/>
        <v>0</v>
      </c>
      <c r="P387" s="1318"/>
      <c r="Q387" s="1319"/>
      <c r="R387" s="1320">
        <f t="shared" si="64"/>
        <v>0</v>
      </c>
      <c r="S387" s="1316">
        <f t="shared" si="65"/>
        <v>0</v>
      </c>
      <c r="T387" s="712"/>
      <c r="U387" s="713"/>
      <c r="V387" s="714"/>
      <c r="W387" s="398">
        <f t="shared" si="72"/>
        <v>0</v>
      </c>
      <c r="X387" s="712"/>
      <c r="Y387" s="713"/>
      <c r="Z387" s="714"/>
      <c r="AA387" s="398">
        <f t="shared" si="67"/>
        <v>0</v>
      </c>
      <c r="AB387" s="712"/>
      <c r="AC387" s="713"/>
      <c r="AD387" s="714"/>
      <c r="AE387" s="398">
        <f t="shared" si="68"/>
        <v>0</v>
      </c>
      <c r="AF387" s="712"/>
      <c r="AG387" s="713"/>
      <c r="AH387" s="714"/>
      <c r="AI387" s="398">
        <f t="shared" si="69"/>
        <v>0</v>
      </c>
      <c r="AJ387" s="712"/>
      <c r="AK387" s="713"/>
      <c r="AL387" s="714"/>
      <c r="AM387" s="398">
        <f t="shared" si="70"/>
        <v>0</v>
      </c>
    </row>
    <row r="388" spans="1:39" ht="16.5" customHeight="1" x14ac:dyDescent="0.3">
      <c r="A388" s="2162"/>
      <c r="B388" s="1313" t="str">
        <f t="shared" si="66"/>
        <v/>
      </c>
      <c r="C388" s="1011">
        <f>IF($D$2="NO",0,ROUNDDOWN(SUM(PROD!$V$5:V389)/IF(Iniciar!$C$25="kilos",40,1),0)-SUM($C$4:$C387))</f>
        <v>0</v>
      </c>
      <c r="D388" s="702"/>
      <c r="E388" s="702"/>
      <c r="F388" s="300">
        <f t="shared" si="71"/>
        <v>-75000</v>
      </c>
      <c r="G388" s="694"/>
      <c r="H388" s="695"/>
      <c r="I388" s="1314"/>
      <c r="J388" s="1315">
        <f>IF(K$1&gt;0,ROUNDUP(SUM(PROD!AM$5:AM389)/K$1*K$2,0),0)-SUM(J$4:J387)</f>
        <v>0</v>
      </c>
      <c r="K388" s="1316">
        <f t="shared" si="73"/>
        <v>0</v>
      </c>
      <c r="L388" s="1314"/>
      <c r="M388" s="1315">
        <f>IF(N$1&gt;0,ROUNDUP(SUM(PROD!L$5:L389,-PROD!AM$5:AM389,-PROD!AZ$5:AZ389)/N$1*N$2,0),0)-SUM(M$4:M387)</f>
        <v>0</v>
      </c>
      <c r="N388" s="1316">
        <f t="shared" si="74"/>
        <v>0</v>
      </c>
      <c r="O388" s="1317">
        <f t="shared" ref="O388:O451" si="75">L388+I388</f>
        <v>0</v>
      </c>
      <c r="P388" s="1318"/>
      <c r="Q388" s="1319"/>
      <c r="R388" s="1320">
        <f t="shared" ref="R388:R451" si="76">M388+J388</f>
        <v>0</v>
      </c>
      <c r="S388" s="1316">
        <f t="shared" ref="S388:S451" si="77">N388+K388</f>
        <v>0</v>
      </c>
      <c r="T388" s="712"/>
      <c r="U388" s="713"/>
      <c r="V388" s="714"/>
      <c r="W388" s="398">
        <f t="shared" si="72"/>
        <v>0</v>
      </c>
      <c r="X388" s="712"/>
      <c r="Y388" s="713"/>
      <c r="Z388" s="714"/>
      <c r="AA388" s="398">
        <f t="shared" si="67"/>
        <v>0</v>
      </c>
      <c r="AB388" s="712"/>
      <c r="AC388" s="713"/>
      <c r="AD388" s="714"/>
      <c r="AE388" s="398">
        <f t="shared" si="68"/>
        <v>0</v>
      </c>
      <c r="AF388" s="712"/>
      <c r="AG388" s="713"/>
      <c r="AH388" s="714"/>
      <c r="AI388" s="398">
        <f t="shared" si="69"/>
        <v>0</v>
      </c>
      <c r="AJ388" s="712"/>
      <c r="AK388" s="713"/>
      <c r="AL388" s="714"/>
      <c r="AM388" s="398">
        <f t="shared" si="70"/>
        <v>0</v>
      </c>
    </row>
    <row r="389" spans="1:39" ht="16.5" customHeight="1" x14ac:dyDescent="0.3">
      <c r="A389" s="2160">
        <f>A382+1</f>
        <v>73</v>
      </c>
      <c r="B389" s="1313" t="str">
        <f t="shared" ref="B389:B452" si="78">IF(B388="","",B388+1)</f>
        <v/>
      </c>
      <c r="C389" s="1011">
        <f>IF($D$2="NO",0,ROUNDDOWN(SUM(PROD!$V$5:V390)/IF(Iniciar!$C$25="kilos",40,1),0)-SUM($C$4:$C388))</f>
        <v>0</v>
      </c>
      <c r="D389" s="702"/>
      <c r="E389" s="702"/>
      <c r="F389" s="300">
        <f t="shared" si="71"/>
        <v>-75000</v>
      </c>
      <c r="G389" s="694"/>
      <c r="H389" s="695"/>
      <c r="I389" s="1314"/>
      <c r="J389" s="1315">
        <f>IF(K$1&gt;0,ROUNDUP(SUM(PROD!AM$5:AM390)/K$1*K$2,0),0)-SUM(J$4:J388)</f>
        <v>0</v>
      </c>
      <c r="K389" s="1316">
        <f t="shared" si="73"/>
        <v>0</v>
      </c>
      <c r="L389" s="1314"/>
      <c r="M389" s="1315">
        <f>IF(N$1&gt;0,ROUNDUP(SUM(PROD!L$5:L390,-PROD!AM$5:AM390,-PROD!AZ$5:AZ390)/N$1*N$2,0),0)-SUM(M$4:M388)</f>
        <v>0</v>
      </c>
      <c r="N389" s="1316">
        <f t="shared" si="74"/>
        <v>0</v>
      </c>
      <c r="O389" s="1317">
        <f t="shared" si="75"/>
        <v>0</v>
      </c>
      <c r="P389" s="1318"/>
      <c r="Q389" s="1319"/>
      <c r="R389" s="1320">
        <f t="shared" si="76"/>
        <v>0</v>
      </c>
      <c r="S389" s="1316">
        <f t="shared" si="77"/>
        <v>0</v>
      </c>
      <c r="T389" s="712"/>
      <c r="U389" s="713"/>
      <c r="V389" s="714"/>
      <c r="W389" s="398">
        <f t="shared" si="72"/>
        <v>0</v>
      </c>
      <c r="X389" s="712"/>
      <c r="Y389" s="713"/>
      <c r="Z389" s="714"/>
      <c r="AA389" s="398">
        <f t="shared" ref="AA389:AA452" si="79">AA388+Y389-Z389</f>
        <v>0</v>
      </c>
      <c r="AB389" s="712"/>
      <c r="AC389" s="713"/>
      <c r="AD389" s="714"/>
      <c r="AE389" s="398">
        <f t="shared" ref="AE389:AE452" si="80">AE388+AC389-AD389</f>
        <v>0</v>
      </c>
      <c r="AF389" s="712"/>
      <c r="AG389" s="713"/>
      <c r="AH389" s="714"/>
      <c r="AI389" s="398">
        <f t="shared" ref="AI389:AI452" si="81">AI388+AG389-AH389</f>
        <v>0</v>
      </c>
      <c r="AJ389" s="712"/>
      <c r="AK389" s="713"/>
      <c r="AL389" s="714"/>
      <c r="AM389" s="398">
        <f t="shared" ref="AM389:AM452" si="82">AM388+AK389-AL389</f>
        <v>0</v>
      </c>
    </row>
    <row r="390" spans="1:39" ht="15.75" customHeight="1" x14ac:dyDescent="0.3">
      <c r="A390" s="2161"/>
      <c r="B390" s="1313" t="str">
        <f t="shared" si="78"/>
        <v/>
      </c>
      <c r="C390" s="1011">
        <f>IF($D$2="NO",0,ROUNDDOWN(SUM(PROD!$V$5:V391)/IF(Iniciar!$C$25="kilos",40,1),0)-SUM($C$4:$C389))</f>
        <v>0</v>
      </c>
      <c r="D390" s="702"/>
      <c r="E390" s="702"/>
      <c r="F390" s="300">
        <f t="shared" si="71"/>
        <v>-75000</v>
      </c>
      <c r="G390" s="694"/>
      <c r="H390" s="695"/>
      <c r="I390" s="1314"/>
      <c r="J390" s="1315">
        <f>IF(K$1&gt;0,ROUNDUP(SUM(PROD!AM$5:AM391)/K$1*K$2,0),0)-SUM(J$4:J389)</f>
        <v>0</v>
      </c>
      <c r="K390" s="1316">
        <f t="shared" si="73"/>
        <v>0</v>
      </c>
      <c r="L390" s="1314"/>
      <c r="M390" s="1315">
        <f>IF(N$1&gt;0,ROUNDUP(SUM(PROD!L$5:L391,-PROD!AM$5:AM391,-PROD!AZ$5:AZ391)/N$1*N$2,0),0)-SUM(M$4:M389)</f>
        <v>0</v>
      </c>
      <c r="N390" s="1316">
        <f t="shared" si="74"/>
        <v>0</v>
      </c>
      <c r="O390" s="1317">
        <f t="shared" si="75"/>
        <v>0</v>
      </c>
      <c r="P390" s="1318"/>
      <c r="Q390" s="1319"/>
      <c r="R390" s="1320">
        <f t="shared" si="76"/>
        <v>0</v>
      </c>
      <c r="S390" s="1316">
        <f t="shared" si="77"/>
        <v>0</v>
      </c>
      <c r="T390" s="712"/>
      <c r="U390" s="713"/>
      <c r="V390" s="714"/>
      <c r="W390" s="398">
        <f t="shared" si="72"/>
        <v>0</v>
      </c>
      <c r="X390" s="712"/>
      <c r="Y390" s="713"/>
      <c r="Z390" s="714"/>
      <c r="AA390" s="398">
        <f t="shared" si="79"/>
        <v>0</v>
      </c>
      <c r="AB390" s="712"/>
      <c r="AC390" s="713"/>
      <c r="AD390" s="714"/>
      <c r="AE390" s="398">
        <f t="shared" si="80"/>
        <v>0</v>
      </c>
      <c r="AF390" s="712"/>
      <c r="AG390" s="713"/>
      <c r="AH390" s="714"/>
      <c r="AI390" s="398">
        <f t="shared" si="81"/>
        <v>0</v>
      </c>
      <c r="AJ390" s="712"/>
      <c r="AK390" s="713"/>
      <c r="AL390" s="714"/>
      <c r="AM390" s="398">
        <f t="shared" si="82"/>
        <v>0</v>
      </c>
    </row>
    <row r="391" spans="1:39" ht="15.75" customHeight="1" x14ac:dyDescent="0.3">
      <c r="A391" s="2161"/>
      <c r="B391" s="1313" t="str">
        <f t="shared" si="78"/>
        <v/>
      </c>
      <c r="C391" s="1011">
        <f>IF($D$2="NO",0,ROUNDDOWN(SUM(PROD!$V$5:V392)/IF(Iniciar!$C$25="kilos",40,1),0)-SUM($C$4:$C390))</f>
        <v>0</v>
      </c>
      <c r="D391" s="702"/>
      <c r="E391" s="702"/>
      <c r="F391" s="300">
        <f t="shared" si="71"/>
        <v>-75000</v>
      </c>
      <c r="G391" s="694"/>
      <c r="H391" s="695"/>
      <c r="I391" s="1314"/>
      <c r="J391" s="1315">
        <f>IF(K$1&gt;0,ROUNDUP(SUM(PROD!AM$5:AM392)/K$1*K$2,0),0)-SUM(J$4:J390)</f>
        <v>0</v>
      </c>
      <c r="K391" s="1316">
        <f t="shared" si="73"/>
        <v>0</v>
      </c>
      <c r="L391" s="1314"/>
      <c r="M391" s="1315">
        <f>IF(N$1&gt;0,ROUNDUP(SUM(PROD!L$5:L392,-PROD!AM$5:AM392,-PROD!AZ$5:AZ392)/N$1*N$2,0),0)-SUM(M$4:M390)</f>
        <v>0</v>
      </c>
      <c r="N391" s="1316">
        <f t="shared" si="74"/>
        <v>0</v>
      </c>
      <c r="O391" s="1317">
        <f t="shared" si="75"/>
        <v>0</v>
      </c>
      <c r="P391" s="1318"/>
      <c r="Q391" s="1319"/>
      <c r="R391" s="1320">
        <f t="shared" si="76"/>
        <v>0</v>
      </c>
      <c r="S391" s="1316">
        <f t="shared" si="77"/>
        <v>0</v>
      </c>
      <c r="T391" s="712"/>
      <c r="U391" s="713"/>
      <c r="V391" s="714"/>
      <c r="W391" s="398">
        <f t="shared" si="72"/>
        <v>0</v>
      </c>
      <c r="X391" s="712"/>
      <c r="Y391" s="713"/>
      <c r="Z391" s="714"/>
      <c r="AA391" s="398">
        <f t="shared" si="79"/>
        <v>0</v>
      </c>
      <c r="AB391" s="712"/>
      <c r="AC391" s="713"/>
      <c r="AD391" s="714"/>
      <c r="AE391" s="398">
        <f t="shared" si="80"/>
        <v>0</v>
      </c>
      <c r="AF391" s="712"/>
      <c r="AG391" s="713"/>
      <c r="AH391" s="714"/>
      <c r="AI391" s="398">
        <f t="shared" si="81"/>
        <v>0</v>
      </c>
      <c r="AJ391" s="712"/>
      <c r="AK391" s="713"/>
      <c r="AL391" s="714"/>
      <c r="AM391" s="398">
        <f t="shared" si="82"/>
        <v>0</v>
      </c>
    </row>
    <row r="392" spans="1:39" ht="15.75" customHeight="1" x14ac:dyDescent="0.3">
      <c r="A392" s="2161"/>
      <c r="B392" s="1313" t="str">
        <f t="shared" si="78"/>
        <v/>
      </c>
      <c r="C392" s="1011">
        <f>IF($D$2="NO",0,ROUNDDOWN(SUM(PROD!$V$5:V393)/IF(Iniciar!$C$25="kilos",40,1),0)-SUM($C$4:$C391))</f>
        <v>0</v>
      </c>
      <c r="D392" s="702"/>
      <c r="E392" s="702"/>
      <c r="F392" s="300">
        <f t="shared" si="71"/>
        <v>-75000</v>
      </c>
      <c r="G392" s="694"/>
      <c r="H392" s="695"/>
      <c r="I392" s="1314"/>
      <c r="J392" s="1315">
        <f>IF(K$1&gt;0,ROUNDUP(SUM(PROD!AM$5:AM393)/K$1*K$2,0),0)-SUM(J$4:J391)</f>
        <v>0</v>
      </c>
      <c r="K392" s="1316">
        <f t="shared" si="73"/>
        <v>0</v>
      </c>
      <c r="L392" s="1314"/>
      <c r="M392" s="1315">
        <f>IF(N$1&gt;0,ROUNDUP(SUM(PROD!L$5:L393,-PROD!AM$5:AM393,-PROD!AZ$5:AZ393)/N$1*N$2,0),0)-SUM(M$4:M391)</f>
        <v>0</v>
      </c>
      <c r="N392" s="1316">
        <f t="shared" si="74"/>
        <v>0</v>
      </c>
      <c r="O392" s="1317">
        <f t="shared" si="75"/>
        <v>0</v>
      </c>
      <c r="P392" s="1318"/>
      <c r="Q392" s="1319"/>
      <c r="R392" s="1320">
        <f t="shared" si="76"/>
        <v>0</v>
      </c>
      <c r="S392" s="1316">
        <f t="shared" si="77"/>
        <v>0</v>
      </c>
      <c r="T392" s="712"/>
      <c r="U392" s="713"/>
      <c r="V392" s="714"/>
      <c r="W392" s="398">
        <f t="shared" si="72"/>
        <v>0</v>
      </c>
      <c r="X392" s="712"/>
      <c r="Y392" s="713"/>
      <c r="Z392" s="714"/>
      <c r="AA392" s="398">
        <f t="shared" si="79"/>
        <v>0</v>
      </c>
      <c r="AB392" s="712"/>
      <c r="AC392" s="713"/>
      <c r="AD392" s="714"/>
      <c r="AE392" s="398">
        <f t="shared" si="80"/>
        <v>0</v>
      </c>
      <c r="AF392" s="712"/>
      <c r="AG392" s="713"/>
      <c r="AH392" s="714"/>
      <c r="AI392" s="398">
        <f t="shared" si="81"/>
        <v>0</v>
      </c>
      <c r="AJ392" s="712"/>
      <c r="AK392" s="713"/>
      <c r="AL392" s="714"/>
      <c r="AM392" s="398">
        <f t="shared" si="82"/>
        <v>0</v>
      </c>
    </row>
    <row r="393" spans="1:39" ht="15.75" customHeight="1" x14ac:dyDescent="0.3">
      <c r="A393" s="2161"/>
      <c r="B393" s="1313" t="str">
        <f t="shared" si="78"/>
        <v/>
      </c>
      <c r="C393" s="1011">
        <f>IF($D$2="NO",0,ROUNDDOWN(SUM(PROD!$V$5:V394)/IF(Iniciar!$C$25="kilos",40,1),0)-SUM($C$4:$C392))</f>
        <v>0</v>
      </c>
      <c r="D393" s="702"/>
      <c r="E393" s="702"/>
      <c r="F393" s="300">
        <f t="shared" si="71"/>
        <v>-75000</v>
      </c>
      <c r="G393" s="694"/>
      <c r="H393" s="695"/>
      <c r="I393" s="1314"/>
      <c r="J393" s="1315">
        <f>IF(K$1&gt;0,ROUNDUP(SUM(PROD!AM$5:AM394)/K$1*K$2,0),0)-SUM(J$4:J392)</f>
        <v>0</v>
      </c>
      <c r="K393" s="1316">
        <f t="shared" si="73"/>
        <v>0</v>
      </c>
      <c r="L393" s="1314"/>
      <c r="M393" s="1315">
        <f>IF(N$1&gt;0,ROUNDUP(SUM(PROD!L$5:L394,-PROD!AM$5:AM394,-PROD!AZ$5:AZ394)/N$1*N$2,0),0)-SUM(M$4:M392)</f>
        <v>0</v>
      </c>
      <c r="N393" s="1316">
        <f t="shared" si="74"/>
        <v>0</v>
      </c>
      <c r="O393" s="1317">
        <f t="shared" si="75"/>
        <v>0</v>
      </c>
      <c r="P393" s="1318"/>
      <c r="Q393" s="1319"/>
      <c r="R393" s="1320">
        <f t="shared" si="76"/>
        <v>0</v>
      </c>
      <c r="S393" s="1316">
        <f t="shared" si="77"/>
        <v>0</v>
      </c>
      <c r="T393" s="712"/>
      <c r="U393" s="713"/>
      <c r="V393" s="714"/>
      <c r="W393" s="398">
        <f t="shared" si="72"/>
        <v>0</v>
      </c>
      <c r="X393" s="712"/>
      <c r="Y393" s="713"/>
      <c r="Z393" s="714"/>
      <c r="AA393" s="398">
        <f t="shared" si="79"/>
        <v>0</v>
      </c>
      <c r="AB393" s="712"/>
      <c r="AC393" s="713"/>
      <c r="AD393" s="714"/>
      <c r="AE393" s="398">
        <f t="shared" si="80"/>
        <v>0</v>
      </c>
      <c r="AF393" s="712"/>
      <c r="AG393" s="713"/>
      <c r="AH393" s="714"/>
      <c r="AI393" s="398">
        <f t="shared" si="81"/>
        <v>0</v>
      </c>
      <c r="AJ393" s="712"/>
      <c r="AK393" s="713"/>
      <c r="AL393" s="714"/>
      <c r="AM393" s="398">
        <f t="shared" si="82"/>
        <v>0</v>
      </c>
    </row>
    <row r="394" spans="1:39" ht="15.75" customHeight="1" x14ac:dyDescent="0.3">
      <c r="A394" s="2161"/>
      <c r="B394" s="1313" t="str">
        <f t="shared" si="78"/>
        <v/>
      </c>
      <c r="C394" s="1011">
        <f>IF($D$2="NO",0,ROUNDDOWN(SUM(PROD!$V$5:V395)/IF(Iniciar!$C$25="kilos",40,1),0)-SUM($C$4:$C393))</f>
        <v>0</v>
      </c>
      <c r="D394" s="702"/>
      <c r="E394" s="702"/>
      <c r="F394" s="300">
        <f t="shared" si="71"/>
        <v>-75000</v>
      </c>
      <c r="G394" s="694"/>
      <c r="H394" s="695"/>
      <c r="I394" s="1314"/>
      <c r="J394" s="1315">
        <f>IF(K$1&gt;0,ROUNDUP(SUM(PROD!AM$5:AM395)/K$1*K$2,0),0)-SUM(J$4:J393)</f>
        <v>0</v>
      </c>
      <c r="K394" s="1316">
        <f t="shared" si="73"/>
        <v>0</v>
      </c>
      <c r="L394" s="1314"/>
      <c r="M394" s="1315">
        <f>IF(N$1&gt;0,ROUNDUP(SUM(PROD!L$5:L395,-PROD!AM$5:AM395,-PROD!AZ$5:AZ395)/N$1*N$2,0),0)-SUM(M$4:M393)</f>
        <v>0</v>
      </c>
      <c r="N394" s="1316">
        <f t="shared" si="74"/>
        <v>0</v>
      </c>
      <c r="O394" s="1317">
        <f t="shared" si="75"/>
        <v>0</v>
      </c>
      <c r="P394" s="1318"/>
      <c r="Q394" s="1319"/>
      <c r="R394" s="1320">
        <f t="shared" si="76"/>
        <v>0</v>
      </c>
      <c r="S394" s="1316">
        <f t="shared" si="77"/>
        <v>0</v>
      </c>
      <c r="T394" s="712"/>
      <c r="U394" s="713"/>
      <c r="V394" s="714"/>
      <c r="W394" s="398">
        <f t="shared" si="72"/>
        <v>0</v>
      </c>
      <c r="X394" s="712"/>
      <c r="Y394" s="713"/>
      <c r="Z394" s="714"/>
      <c r="AA394" s="398">
        <f t="shared" si="79"/>
        <v>0</v>
      </c>
      <c r="AB394" s="712"/>
      <c r="AC394" s="713"/>
      <c r="AD394" s="714"/>
      <c r="AE394" s="398">
        <f t="shared" si="80"/>
        <v>0</v>
      </c>
      <c r="AF394" s="712"/>
      <c r="AG394" s="713"/>
      <c r="AH394" s="714"/>
      <c r="AI394" s="398">
        <f t="shared" si="81"/>
        <v>0</v>
      </c>
      <c r="AJ394" s="712"/>
      <c r="AK394" s="713"/>
      <c r="AL394" s="714"/>
      <c r="AM394" s="398">
        <f t="shared" si="82"/>
        <v>0</v>
      </c>
    </row>
    <row r="395" spans="1:39" ht="16.5" customHeight="1" x14ac:dyDescent="0.3">
      <c r="A395" s="2162"/>
      <c r="B395" s="1313" t="str">
        <f t="shared" si="78"/>
        <v/>
      </c>
      <c r="C395" s="1011">
        <f>IF($D$2="NO",0,ROUNDDOWN(SUM(PROD!$V$5:V396)/IF(Iniciar!$C$25="kilos",40,1),0)-SUM($C$4:$C394))</f>
        <v>0</v>
      </c>
      <c r="D395" s="702"/>
      <c r="E395" s="702"/>
      <c r="F395" s="300">
        <f t="shared" ref="F395:F458" si="83">F394+C395+D395-E395</f>
        <v>-75000</v>
      </c>
      <c r="G395" s="694"/>
      <c r="H395" s="695"/>
      <c r="I395" s="1314"/>
      <c r="J395" s="1315">
        <f>IF(K$1&gt;0,ROUNDUP(SUM(PROD!AM$5:AM396)/K$1*K$2,0),0)-SUM(J$4:J394)</f>
        <v>0</v>
      </c>
      <c r="K395" s="1316">
        <f t="shared" si="73"/>
        <v>0</v>
      </c>
      <c r="L395" s="1314"/>
      <c r="M395" s="1315">
        <f>IF(N$1&gt;0,ROUNDUP(SUM(PROD!L$5:L396,-PROD!AM$5:AM396,-PROD!AZ$5:AZ396)/N$1*N$2,0),0)-SUM(M$4:M394)</f>
        <v>0</v>
      </c>
      <c r="N395" s="1316">
        <f t="shared" si="74"/>
        <v>0</v>
      </c>
      <c r="O395" s="1317">
        <f t="shared" si="75"/>
        <v>0</v>
      </c>
      <c r="P395" s="1318"/>
      <c r="Q395" s="1319"/>
      <c r="R395" s="1320">
        <f t="shared" si="76"/>
        <v>0</v>
      </c>
      <c r="S395" s="1316">
        <f t="shared" si="77"/>
        <v>0</v>
      </c>
      <c r="T395" s="712"/>
      <c r="U395" s="713"/>
      <c r="V395" s="714"/>
      <c r="W395" s="398">
        <f t="shared" si="72"/>
        <v>0</v>
      </c>
      <c r="X395" s="712"/>
      <c r="Y395" s="713"/>
      <c r="Z395" s="714"/>
      <c r="AA395" s="398">
        <f t="shared" si="79"/>
        <v>0</v>
      </c>
      <c r="AB395" s="712"/>
      <c r="AC395" s="713"/>
      <c r="AD395" s="714"/>
      <c r="AE395" s="398">
        <f t="shared" si="80"/>
        <v>0</v>
      </c>
      <c r="AF395" s="712"/>
      <c r="AG395" s="713"/>
      <c r="AH395" s="714"/>
      <c r="AI395" s="398">
        <f t="shared" si="81"/>
        <v>0</v>
      </c>
      <c r="AJ395" s="712"/>
      <c r="AK395" s="713"/>
      <c r="AL395" s="714"/>
      <c r="AM395" s="398">
        <f t="shared" si="82"/>
        <v>0</v>
      </c>
    </row>
    <row r="396" spans="1:39" ht="16.5" customHeight="1" x14ac:dyDescent="0.3">
      <c r="A396" s="2160">
        <f>A389+1</f>
        <v>74</v>
      </c>
      <c r="B396" s="1313" t="str">
        <f t="shared" si="78"/>
        <v/>
      </c>
      <c r="C396" s="1011">
        <f>IF($D$2="NO",0,ROUNDDOWN(SUM(PROD!$V$5:V397)/IF(Iniciar!$C$25="kilos",40,1),0)-SUM($C$4:$C395))</f>
        <v>0</v>
      </c>
      <c r="D396" s="702"/>
      <c r="E396" s="702"/>
      <c r="F396" s="300">
        <f t="shared" si="83"/>
        <v>-75000</v>
      </c>
      <c r="G396" s="694"/>
      <c r="H396" s="695"/>
      <c r="I396" s="1314"/>
      <c r="J396" s="1315">
        <f>IF(K$1&gt;0,ROUNDUP(SUM(PROD!AM$5:AM397)/K$1*K$2,0),0)-SUM(J$4:J395)</f>
        <v>0</v>
      </c>
      <c r="K396" s="1316">
        <f t="shared" si="73"/>
        <v>0</v>
      </c>
      <c r="L396" s="1314"/>
      <c r="M396" s="1315">
        <f>IF(N$1&gt;0,ROUNDUP(SUM(PROD!L$5:L397,-PROD!AM$5:AM397,-PROD!AZ$5:AZ397)/N$1*N$2,0),0)-SUM(M$4:M395)</f>
        <v>0</v>
      </c>
      <c r="N396" s="1316">
        <f t="shared" si="74"/>
        <v>0</v>
      </c>
      <c r="O396" s="1317">
        <f t="shared" si="75"/>
        <v>0</v>
      </c>
      <c r="P396" s="1318"/>
      <c r="Q396" s="1319"/>
      <c r="R396" s="1320">
        <f t="shared" si="76"/>
        <v>0</v>
      </c>
      <c r="S396" s="1316">
        <f t="shared" si="77"/>
        <v>0</v>
      </c>
      <c r="T396" s="712"/>
      <c r="U396" s="713"/>
      <c r="V396" s="714"/>
      <c r="W396" s="398">
        <f t="shared" si="72"/>
        <v>0</v>
      </c>
      <c r="X396" s="712"/>
      <c r="Y396" s="713"/>
      <c r="Z396" s="714"/>
      <c r="AA396" s="398">
        <f t="shared" si="79"/>
        <v>0</v>
      </c>
      <c r="AB396" s="712"/>
      <c r="AC396" s="713"/>
      <c r="AD396" s="714"/>
      <c r="AE396" s="398">
        <f t="shared" si="80"/>
        <v>0</v>
      </c>
      <c r="AF396" s="712"/>
      <c r="AG396" s="713"/>
      <c r="AH396" s="714"/>
      <c r="AI396" s="398">
        <f t="shared" si="81"/>
        <v>0</v>
      </c>
      <c r="AJ396" s="712"/>
      <c r="AK396" s="713"/>
      <c r="AL396" s="714"/>
      <c r="AM396" s="398">
        <f t="shared" si="82"/>
        <v>0</v>
      </c>
    </row>
    <row r="397" spans="1:39" ht="15.75" customHeight="1" x14ac:dyDescent="0.3">
      <c r="A397" s="2161"/>
      <c r="B397" s="1313" t="str">
        <f t="shared" si="78"/>
        <v/>
      </c>
      <c r="C397" s="1011">
        <f>IF($D$2="NO",0,ROUNDDOWN(SUM(PROD!$V$5:V398)/IF(Iniciar!$C$25="kilos",40,1),0)-SUM($C$4:$C396))</f>
        <v>0</v>
      </c>
      <c r="D397" s="702"/>
      <c r="E397" s="702"/>
      <c r="F397" s="300">
        <f t="shared" si="83"/>
        <v>-75000</v>
      </c>
      <c r="G397" s="694"/>
      <c r="H397" s="695"/>
      <c r="I397" s="1314"/>
      <c r="J397" s="1315">
        <f>IF(K$1&gt;0,ROUNDUP(SUM(PROD!AM$5:AM398)/K$1*K$2,0),0)-SUM(J$4:J396)</f>
        <v>0</v>
      </c>
      <c r="K397" s="1316">
        <f t="shared" si="73"/>
        <v>0</v>
      </c>
      <c r="L397" s="1314"/>
      <c r="M397" s="1315">
        <f>IF(N$1&gt;0,ROUNDUP(SUM(PROD!L$5:L398,-PROD!AM$5:AM398,-PROD!AZ$5:AZ398)/N$1*N$2,0),0)-SUM(M$4:M396)</f>
        <v>0</v>
      </c>
      <c r="N397" s="1316">
        <f t="shared" si="74"/>
        <v>0</v>
      </c>
      <c r="O397" s="1317">
        <f t="shared" si="75"/>
        <v>0</v>
      </c>
      <c r="P397" s="1318"/>
      <c r="Q397" s="1319"/>
      <c r="R397" s="1320">
        <f t="shared" si="76"/>
        <v>0</v>
      </c>
      <c r="S397" s="1316">
        <f t="shared" si="77"/>
        <v>0</v>
      </c>
      <c r="T397" s="712"/>
      <c r="U397" s="713"/>
      <c r="V397" s="714"/>
      <c r="W397" s="398">
        <f t="shared" si="72"/>
        <v>0</v>
      </c>
      <c r="X397" s="712"/>
      <c r="Y397" s="713"/>
      <c r="Z397" s="714"/>
      <c r="AA397" s="398">
        <f t="shared" si="79"/>
        <v>0</v>
      </c>
      <c r="AB397" s="712"/>
      <c r="AC397" s="713"/>
      <c r="AD397" s="714"/>
      <c r="AE397" s="398">
        <f t="shared" si="80"/>
        <v>0</v>
      </c>
      <c r="AF397" s="712"/>
      <c r="AG397" s="713"/>
      <c r="AH397" s="714"/>
      <c r="AI397" s="398">
        <f t="shared" si="81"/>
        <v>0</v>
      </c>
      <c r="AJ397" s="712"/>
      <c r="AK397" s="713"/>
      <c r="AL397" s="714"/>
      <c r="AM397" s="398">
        <f t="shared" si="82"/>
        <v>0</v>
      </c>
    </row>
    <row r="398" spans="1:39" ht="15.75" customHeight="1" x14ac:dyDescent="0.3">
      <c r="A398" s="2161"/>
      <c r="B398" s="1313" t="str">
        <f t="shared" si="78"/>
        <v/>
      </c>
      <c r="C398" s="1011">
        <f>IF($D$2="NO",0,ROUNDDOWN(SUM(PROD!$V$5:V399)/IF(Iniciar!$C$25="kilos",40,1),0)-SUM($C$4:$C397))</f>
        <v>0</v>
      </c>
      <c r="D398" s="702"/>
      <c r="E398" s="702"/>
      <c r="F398" s="300">
        <f t="shared" si="83"/>
        <v>-75000</v>
      </c>
      <c r="G398" s="694"/>
      <c r="H398" s="695"/>
      <c r="I398" s="1314"/>
      <c r="J398" s="1315">
        <f>IF(K$1&gt;0,ROUNDUP(SUM(PROD!AM$5:AM399)/K$1*K$2,0),0)-SUM(J$4:J397)</f>
        <v>0</v>
      </c>
      <c r="K398" s="1316">
        <f t="shared" si="73"/>
        <v>0</v>
      </c>
      <c r="L398" s="1314"/>
      <c r="M398" s="1315">
        <f>IF(N$1&gt;0,ROUNDUP(SUM(PROD!L$5:L399,-PROD!AM$5:AM399,-PROD!AZ$5:AZ399)/N$1*N$2,0),0)-SUM(M$4:M397)</f>
        <v>0</v>
      </c>
      <c r="N398" s="1316">
        <f t="shared" si="74"/>
        <v>0</v>
      </c>
      <c r="O398" s="1317">
        <f t="shared" si="75"/>
        <v>0</v>
      </c>
      <c r="P398" s="1318"/>
      <c r="Q398" s="1319"/>
      <c r="R398" s="1320">
        <f t="shared" si="76"/>
        <v>0</v>
      </c>
      <c r="S398" s="1316">
        <f t="shared" si="77"/>
        <v>0</v>
      </c>
      <c r="T398" s="712"/>
      <c r="U398" s="713"/>
      <c r="V398" s="714"/>
      <c r="W398" s="398">
        <f t="shared" si="72"/>
        <v>0</v>
      </c>
      <c r="X398" s="712"/>
      <c r="Y398" s="713"/>
      <c r="Z398" s="714"/>
      <c r="AA398" s="398">
        <f t="shared" si="79"/>
        <v>0</v>
      </c>
      <c r="AB398" s="712"/>
      <c r="AC398" s="713"/>
      <c r="AD398" s="714"/>
      <c r="AE398" s="398">
        <f t="shared" si="80"/>
        <v>0</v>
      </c>
      <c r="AF398" s="712"/>
      <c r="AG398" s="713"/>
      <c r="AH398" s="714"/>
      <c r="AI398" s="398">
        <f t="shared" si="81"/>
        <v>0</v>
      </c>
      <c r="AJ398" s="712"/>
      <c r="AK398" s="713"/>
      <c r="AL398" s="714"/>
      <c r="AM398" s="398">
        <f t="shared" si="82"/>
        <v>0</v>
      </c>
    </row>
    <row r="399" spans="1:39" ht="15.75" customHeight="1" x14ac:dyDescent="0.3">
      <c r="A399" s="2161"/>
      <c r="B399" s="1313" t="str">
        <f t="shared" si="78"/>
        <v/>
      </c>
      <c r="C399" s="1011">
        <f>IF($D$2="NO",0,ROUNDDOWN(SUM(PROD!$V$5:V400)/IF(Iniciar!$C$25="kilos",40,1),0)-SUM($C$4:$C398))</f>
        <v>0</v>
      </c>
      <c r="D399" s="702"/>
      <c r="E399" s="702"/>
      <c r="F399" s="300">
        <f t="shared" si="83"/>
        <v>-75000</v>
      </c>
      <c r="G399" s="694"/>
      <c r="H399" s="695"/>
      <c r="I399" s="1314"/>
      <c r="J399" s="1315">
        <f>IF(K$1&gt;0,ROUNDUP(SUM(PROD!AM$5:AM400)/K$1*K$2,0),0)-SUM(J$4:J398)</f>
        <v>0</v>
      </c>
      <c r="K399" s="1316">
        <f t="shared" si="73"/>
        <v>0</v>
      </c>
      <c r="L399" s="1314"/>
      <c r="M399" s="1315">
        <f>IF(N$1&gt;0,ROUNDUP(SUM(PROD!L$5:L400,-PROD!AM$5:AM400,-PROD!AZ$5:AZ400)/N$1*N$2,0),0)-SUM(M$4:M398)</f>
        <v>0</v>
      </c>
      <c r="N399" s="1316">
        <f t="shared" si="74"/>
        <v>0</v>
      </c>
      <c r="O399" s="1317">
        <f t="shared" si="75"/>
        <v>0</v>
      </c>
      <c r="P399" s="1318"/>
      <c r="Q399" s="1319"/>
      <c r="R399" s="1320">
        <f t="shared" si="76"/>
        <v>0</v>
      </c>
      <c r="S399" s="1316">
        <f t="shared" si="77"/>
        <v>0</v>
      </c>
      <c r="T399" s="712"/>
      <c r="U399" s="713"/>
      <c r="V399" s="714"/>
      <c r="W399" s="398">
        <f t="shared" si="72"/>
        <v>0</v>
      </c>
      <c r="X399" s="712"/>
      <c r="Y399" s="713"/>
      <c r="Z399" s="714"/>
      <c r="AA399" s="398">
        <f t="shared" si="79"/>
        <v>0</v>
      </c>
      <c r="AB399" s="712"/>
      <c r="AC399" s="713"/>
      <c r="AD399" s="714"/>
      <c r="AE399" s="398">
        <f t="shared" si="80"/>
        <v>0</v>
      </c>
      <c r="AF399" s="712"/>
      <c r="AG399" s="713"/>
      <c r="AH399" s="714"/>
      <c r="AI399" s="398">
        <f t="shared" si="81"/>
        <v>0</v>
      </c>
      <c r="AJ399" s="712"/>
      <c r="AK399" s="713"/>
      <c r="AL399" s="714"/>
      <c r="AM399" s="398">
        <f t="shared" si="82"/>
        <v>0</v>
      </c>
    </row>
    <row r="400" spans="1:39" ht="15.75" customHeight="1" x14ac:dyDescent="0.3">
      <c r="A400" s="2161"/>
      <c r="B400" s="1313" t="str">
        <f t="shared" si="78"/>
        <v/>
      </c>
      <c r="C400" s="1011">
        <f>IF($D$2="NO",0,ROUNDDOWN(SUM(PROD!$V$5:V401)/IF(Iniciar!$C$25="kilos",40,1),0)-SUM($C$4:$C399))</f>
        <v>0</v>
      </c>
      <c r="D400" s="702"/>
      <c r="E400" s="702"/>
      <c r="F400" s="300">
        <f t="shared" si="83"/>
        <v>-75000</v>
      </c>
      <c r="G400" s="694"/>
      <c r="H400" s="695"/>
      <c r="I400" s="1314"/>
      <c r="J400" s="1315">
        <f>IF(K$1&gt;0,ROUNDUP(SUM(PROD!AM$5:AM401)/K$1*K$2,0),0)-SUM(J$4:J399)</f>
        <v>0</v>
      </c>
      <c r="K400" s="1316">
        <f t="shared" si="73"/>
        <v>0</v>
      </c>
      <c r="L400" s="1314"/>
      <c r="M400" s="1315">
        <f>IF(N$1&gt;0,ROUNDUP(SUM(PROD!L$5:L401,-PROD!AM$5:AM401,-PROD!AZ$5:AZ401)/N$1*N$2,0),0)-SUM(M$4:M399)</f>
        <v>0</v>
      </c>
      <c r="N400" s="1316">
        <f t="shared" si="74"/>
        <v>0</v>
      </c>
      <c r="O400" s="1317">
        <f t="shared" si="75"/>
        <v>0</v>
      </c>
      <c r="P400" s="1318"/>
      <c r="Q400" s="1319"/>
      <c r="R400" s="1320">
        <f t="shared" si="76"/>
        <v>0</v>
      </c>
      <c r="S400" s="1316">
        <f t="shared" si="77"/>
        <v>0</v>
      </c>
      <c r="T400" s="712"/>
      <c r="U400" s="713"/>
      <c r="V400" s="714"/>
      <c r="W400" s="398">
        <f t="shared" si="72"/>
        <v>0</v>
      </c>
      <c r="X400" s="712"/>
      <c r="Y400" s="713"/>
      <c r="Z400" s="714"/>
      <c r="AA400" s="398">
        <f t="shared" si="79"/>
        <v>0</v>
      </c>
      <c r="AB400" s="712"/>
      <c r="AC400" s="713"/>
      <c r="AD400" s="714"/>
      <c r="AE400" s="398">
        <f t="shared" si="80"/>
        <v>0</v>
      </c>
      <c r="AF400" s="712"/>
      <c r="AG400" s="713"/>
      <c r="AH400" s="714"/>
      <c r="AI400" s="398">
        <f t="shared" si="81"/>
        <v>0</v>
      </c>
      <c r="AJ400" s="712"/>
      <c r="AK400" s="713"/>
      <c r="AL400" s="714"/>
      <c r="AM400" s="398">
        <f t="shared" si="82"/>
        <v>0</v>
      </c>
    </row>
    <row r="401" spans="1:39" ht="15.75" customHeight="1" x14ac:dyDescent="0.3">
      <c r="A401" s="2161"/>
      <c r="B401" s="1313" t="str">
        <f t="shared" si="78"/>
        <v/>
      </c>
      <c r="C401" s="1011">
        <f>IF($D$2="NO",0,ROUNDDOWN(SUM(PROD!$V$5:V402)/IF(Iniciar!$C$25="kilos",40,1),0)-SUM($C$4:$C400))</f>
        <v>0</v>
      </c>
      <c r="D401" s="702"/>
      <c r="E401" s="702"/>
      <c r="F401" s="300">
        <f t="shared" si="83"/>
        <v>-75000</v>
      </c>
      <c r="G401" s="694"/>
      <c r="H401" s="695"/>
      <c r="I401" s="1314"/>
      <c r="J401" s="1315">
        <f>IF(K$1&gt;0,ROUNDUP(SUM(PROD!AM$5:AM402)/K$1*K$2,0),0)-SUM(J$4:J400)</f>
        <v>0</v>
      </c>
      <c r="K401" s="1316">
        <f t="shared" si="73"/>
        <v>0</v>
      </c>
      <c r="L401" s="1314"/>
      <c r="M401" s="1315">
        <f>IF(N$1&gt;0,ROUNDUP(SUM(PROD!L$5:L402,-PROD!AM$5:AM402,-PROD!AZ$5:AZ402)/N$1*N$2,0),0)-SUM(M$4:M400)</f>
        <v>0</v>
      </c>
      <c r="N401" s="1316">
        <f t="shared" si="74"/>
        <v>0</v>
      </c>
      <c r="O401" s="1317">
        <f t="shared" si="75"/>
        <v>0</v>
      </c>
      <c r="P401" s="1318"/>
      <c r="Q401" s="1319"/>
      <c r="R401" s="1320">
        <f t="shared" si="76"/>
        <v>0</v>
      </c>
      <c r="S401" s="1316">
        <f t="shared" si="77"/>
        <v>0</v>
      </c>
      <c r="T401" s="712"/>
      <c r="U401" s="713"/>
      <c r="V401" s="714"/>
      <c r="W401" s="398">
        <f t="shared" si="72"/>
        <v>0</v>
      </c>
      <c r="X401" s="712"/>
      <c r="Y401" s="713"/>
      <c r="Z401" s="714"/>
      <c r="AA401" s="398">
        <f t="shared" si="79"/>
        <v>0</v>
      </c>
      <c r="AB401" s="712"/>
      <c r="AC401" s="713"/>
      <c r="AD401" s="714"/>
      <c r="AE401" s="398">
        <f t="shared" si="80"/>
        <v>0</v>
      </c>
      <c r="AF401" s="712"/>
      <c r="AG401" s="713"/>
      <c r="AH401" s="714"/>
      <c r="AI401" s="398">
        <f t="shared" si="81"/>
        <v>0</v>
      </c>
      <c r="AJ401" s="712"/>
      <c r="AK401" s="713"/>
      <c r="AL401" s="714"/>
      <c r="AM401" s="398">
        <f t="shared" si="82"/>
        <v>0</v>
      </c>
    </row>
    <row r="402" spans="1:39" ht="16.5" customHeight="1" x14ac:dyDescent="0.3">
      <c r="A402" s="2162"/>
      <c r="B402" s="1313" t="str">
        <f t="shared" si="78"/>
        <v/>
      </c>
      <c r="C402" s="1011">
        <f>IF($D$2="NO",0,ROUNDDOWN(SUM(PROD!$V$5:V403)/IF(Iniciar!$C$25="kilos",40,1),0)-SUM($C$4:$C401))</f>
        <v>0</v>
      </c>
      <c r="D402" s="702"/>
      <c r="E402" s="702"/>
      <c r="F402" s="300">
        <f t="shared" si="83"/>
        <v>-75000</v>
      </c>
      <c r="G402" s="694"/>
      <c r="H402" s="695"/>
      <c r="I402" s="1314"/>
      <c r="J402" s="1315">
        <f>IF(K$1&gt;0,ROUNDUP(SUM(PROD!AM$5:AM403)/K$1*K$2,0),0)-SUM(J$4:J401)</f>
        <v>0</v>
      </c>
      <c r="K402" s="1316">
        <f t="shared" si="73"/>
        <v>0</v>
      </c>
      <c r="L402" s="1314"/>
      <c r="M402" s="1315">
        <f>IF(N$1&gt;0,ROUNDUP(SUM(PROD!L$5:L403,-PROD!AM$5:AM403,-PROD!AZ$5:AZ403)/N$1*N$2,0),0)-SUM(M$4:M401)</f>
        <v>0</v>
      </c>
      <c r="N402" s="1316">
        <f t="shared" si="74"/>
        <v>0</v>
      </c>
      <c r="O402" s="1317">
        <f t="shared" si="75"/>
        <v>0</v>
      </c>
      <c r="P402" s="1318"/>
      <c r="Q402" s="1319"/>
      <c r="R402" s="1320">
        <f t="shared" si="76"/>
        <v>0</v>
      </c>
      <c r="S402" s="1316">
        <f t="shared" si="77"/>
        <v>0</v>
      </c>
      <c r="T402" s="712"/>
      <c r="U402" s="713"/>
      <c r="V402" s="714"/>
      <c r="W402" s="398">
        <f t="shared" ref="W402:W465" si="84">W401+U402-V402</f>
        <v>0</v>
      </c>
      <c r="X402" s="712"/>
      <c r="Y402" s="713"/>
      <c r="Z402" s="714"/>
      <c r="AA402" s="398">
        <f t="shared" si="79"/>
        <v>0</v>
      </c>
      <c r="AB402" s="712"/>
      <c r="AC402" s="713"/>
      <c r="AD402" s="714"/>
      <c r="AE402" s="398">
        <f t="shared" si="80"/>
        <v>0</v>
      </c>
      <c r="AF402" s="712"/>
      <c r="AG402" s="713"/>
      <c r="AH402" s="714"/>
      <c r="AI402" s="398">
        <f t="shared" si="81"/>
        <v>0</v>
      </c>
      <c r="AJ402" s="712"/>
      <c r="AK402" s="713"/>
      <c r="AL402" s="714"/>
      <c r="AM402" s="398">
        <f t="shared" si="82"/>
        <v>0</v>
      </c>
    </row>
    <row r="403" spans="1:39" ht="16.5" customHeight="1" x14ac:dyDescent="0.3">
      <c r="A403" s="2160">
        <f>A396+1</f>
        <v>75</v>
      </c>
      <c r="B403" s="1313" t="str">
        <f t="shared" si="78"/>
        <v/>
      </c>
      <c r="C403" s="1011">
        <f>IF($D$2="NO",0,ROUNDDOWN(SUM(PROD!$V$5:V404)/IF(Iniciar!$C$25="kilos",40,1),0)-SUM($C$4:$C402))</f>
        <v>0</v>
      </c>
      <c r="D403" s="702"/>
      <c r="E403" s="702"/>
      <c r="F403" s="300">
        <f t="shared" si="83"/>
        <v>-75000</v>
      </c>
      <c r="G403" s="694"/>
      <c r="H403" s="695"/>
      <c r="I403" s="1314"/>
      <c r="J403" s="1315">
        <f>IF(K$1&gt;0,ROUNDUP(SUM(PROD!AM$5:AM404)/K$1*K$2,0),0)-SUM(J$4:J402)</f>
        <v>0</v>
      </c>
      <c r="K403" s="1316">
        <f t="shared" si="73"/>
        <v>0</v>
      </c>
      <c r="L403" s="1314"/>
      <c r="M403" s="1315">
        <f>IF(N$1&gt;0,ROUNDUP(SUM(PROD!L$5:L404,-PROD!AM$5:AM404,-PROD!AZ$5:AZ404)/N$1*N$2,0),0)-SUM(M$4:M402)</f>
        <v>0</v>
      </c>
      <c r="N403" s="1316">
        <f t="shared" si="74"/>
        <v>0</v>
      </c>
      <c r="O403" s="1317">
        <f t="shared" si="75"/>
        <v>0</v>
      </c>
      <c r="P403" s="1318"/>
      <c r="Q403" s="1319"/>
      <c r="R403" s="1320">
        <f t="shared" si="76"/>
        <v>0</v>
      </c>
      <c r="S403" s="1316">
        <f t="shared" si="77"/>
        <v>0</v>
      </c>
      <c r="T403" s="712"/>
      <c r="U403" s="713"/>
      <c r="V403" s="714"/>
      <c r="W403" s="398">
        <f t="shared" si="84"/>
        <v>0</v>
      </c>
      <c r="X403" s="712"/>
      <c r="Y403" s="713"/>
      <c r="Z403" s="714"/>
      <c r="AA403" s="398">
        <f t="shared" si="79"/>
        <v>0</v>
      </c>
      <c r="AB403" s="712"/>
      <c r="AC403" s="713"/>
      <c r="AD403" s="714"/>
      <c r="AE403" s="398">
        <f t="shared" si="80"/>
        <v>0</v>
      </c>
      <c r="AF403" s="712"/>
      <c r="AG403" s="713"/>
      <c r="AH403" s="714"/>
      <c r="AI403" s="398">
        <f t="shared" si="81"/>
        <v>0</v>
      </c>
      <c r="AJ403" s="712"/>
      <c r="AK403" s="713"/>
      <c r="AL403" s="714"/>
      <c r="AM403" s="398">
        <f t="shared" si="82"/>
        <v>0</v>
      </c>
    </row>
    <row r="404" spans="1:39" ht="15.75" customHeight="1" x14ac:dyDescent="0.3">
      <c r="A404" s="2161"/>
      <c r="B404" s="1313" t="str">
        <f t="shared" si="78"/>
        <v/>
      </c>
      <c r="C404" s="1011">
        <f>IF($D$2="NO",0,ROUNDDOWN(SUM(PROD!$V$5:V405)/IF(Iniciar!$C$25="kilos",40,1),0)-SUM($C$4:$C403))</f>
        <v>0</v>
      </c>
      <c r="D404" s="702"/>
      <c r="E404" s="702"/>
      <c r="F404" s="300">
        <f t="shared" si="83"/>
        <v>-75000</v>
      </c>
      <c r="G404" s="694"/>
      <c r="H404" s="695"/>
      <c r="I404" s="1314"/>
      <c r="J404" s="1315">
        <f>IF(K$1&gt;0,ROUNDUP(SUM(PROD!AM$5:AM405)/K$1*K$2,0),0)-SUM(J$4:J403)</f>
        <v>0</v>
      </c>
      <c r="K404" s="1316">
        <f t="shared" si="73"/>
        <v>0</v>
      </c>
      <c r="L404" s="1314"/>
      <c r="M404" s="1315">
        <f>IF(N$1&gt;0,ROUNDUP(SUM(PROD!L$5:L405,-PROD!AM$5:AM405,-PROD!AZ$5:AZ405)/N$1*N$2,0),0)-SUM(M$4:M403)</f>
        <v>0</v>
      </c>
      <c r="N404" s="1316">
        <f t="shared" si="74"/>
        <v>0</v>
      </c>
      <c r="O404" s="1317">
        <f t="shared" si="75"/>
        <v>0</v>
      </c>
      <c r="P404" s="1318"/>
      <c r="Q404" s="1319"/>
      <c r="R404" s="1320">
        <f t="shared" si="76"/>
        <v>0</v>
      </c>
      <c r="S404" s="1316">
        <f t="shared" si="77"/>
        <v>0</v>
      </c>
      <c r="T404" s="712"/>
      <c r="U404" s="713"/>
      <c r="V404" s="714"/>
      <c r="W404" s="398">
        <f t="shared" si="84"/>
        <v>0</v>
      </c>
      <c r="X404" s="712"/>
      <c r="Y404" s="713"/>
      <c r="Z404" s="714"/>
      <c r="AA404" s="398">
        <f t="shared" si="79"/>
        <v>0</v>
      </c>
      <c r="AB404" s="712"/>
      <c r="AC404" s="713"/>
      <c r="AD404" s="714"/>
      <c r="AE404" s="398">
        <f t="shared" si="80"/>
        <v>0</v>
      </c>
      <c r="AF404" s="712"/>
      <c r="AG404" s="713"/>
      <c r="AH404" s="714"/>
      <c r="AI404" s="398">
        <f t="shared" si="81"/>
        <v>0</v>
      </c>
      <c r="AJ404" s="712"/>
      <c r="AK404" s="713"/>
      <c r="AL404" s="714"/>
      <c r="AM404" s="398">
        <f t="shared" si="82"/>
        <v>0</v>
      </c>
    </row>
    <row r="405" spans="1:39" ht="15.75" customHeight="1" x14ac:dyDescent="0.3">
      <c r="A405" s="2161"/>
      <c r="B405" s="1313" t="str">
        <f t="shared" si="78"/>
        <v/>
      </c>
      <c r="C405" s="1011">
        <f>IF($D$2="NO",0,ROUNDDOWN(SUM(PROD!$V$5:V406)/IF(Iniciar!$C$25="kilos",40,1),0)-SUM($C$4:$C404))</f>
        <v>0</v>
      </c>
      <c r="D405" s="702"/>
      <c r="E405" s="702"/>
      <c r="F405" s="300">
        <f t="shared" si="83"/>
        <v>-75000</v>
      </c>
      <c r="G405" s="694"/>
      <c r="H405" s="695"/>
      <c r="I405" s="1314"/>
      <c r="J405" s="1315">
        <f>IF(K$1&gt;0,ROUNDUP(SUM(PROD!AM$5:AM406)/K$1*K$2,0),0)-SUM(J$4:J404)</f>
        <v>0</v>
      </c>
      <c r="K405" s="1316">
        <f t="shared" si="73"/>
        <v>0</v>
      </c>
      <c r="L405" s="1314"/>
      <c r="M405" s="1315">
        <f>IF(N$1&gt;0,ROUNDUP(SUM(PROD!L$5:L406,-PROD!AM$5:AM406,-PROD!AZ$5:AZ406)/N$1*N$2,0),0)-SUM(M$4:M404)</f>
        <v>0</v>
      </c>
      <c r="N405" s="1316">
        <f t="shared" si="74"/>
        <v>0</v>
      </c>
      <c r="O405" s="1317">
        <f t="shared" si="75"/>
        <v>0</v>
      </c>
      <c r="P405" s="1318"/>
      <c r="Q405" s="1319"/>
      <c r="R405" s="1320">
        <f t="shared" si="76"/>
        <v>0</v>
      </c>
      <c r="S405" s="1316">
        <f t="shared" si="77"/>
        <v>0</v>
      </c>
      <c r="T405" s="712"/>
      <c r="U405" s="713"/>
      <c r="V405" s="714"/>
      <c r="W405" s="398">
        <f t="shared" si="84"/>
        <v>0</v>
      </c>
      <c r="X405" s="712"/>
      <c r="Y405" s="713"/>
      <c r="Z405" s="714"/>
      <c r="AA405" s="398">
        <f t="shared" si="79"/>
        <v>0</v>
      </c>
      <c r="AB405" s="712"/>
      <c r="AC405" s="713"/>
      <c r="AD405" s="714"/>
      <c r="AE405" s="398">
        <f t="shared" si="80"/>
        <v>0</v>
      </c>
      <c r="AF405" s="712"/>
      <c r="AG405" s="713"/>
      <c r="AH405" s="714"/>
      <c r="AI405" s="398">
        <f t="shared" si="81"/>
        <v>0</v>
      </c>
      <c r="AJ405" s="712"/>
      <c r="AK405" s="713"/>
      <c r="AL405" s="714"/>
      <c r="AM405" s="398">
        <f t="shared" si="82"/>
        <v>0</v>
      </c>
    </row>
    <row r="406" spans="1:39" ht="15.75" customHeight="1" x14ac:dyDescent="0.3">
      <c r="A406" s="2161"/>
      <c r="B406" s="1313" t="str">
        <f t="shared" si="78"/>
        <v/>
      </c>
      <c r="C406" s="1011">
        <f>IF($D$2="NO",0,ROUNDDOWN(SUM(PROD!$V$5:V407)/IF(Iniciar!$C$25="kilos",40,1),0)-SUM($C$4:$C405))</f>
        <v>0</v>
      </c>
      <c r="D406" s="702"/>
      <c r="E406" s="702"/>
      <c r="F406" s="300">
        <f t="shared" si="83"/>
        <v>-75000</v>
      </c>
      <c r="G406" s="694"/>
      <c r="H406" s="695"/>
      <c r="I406" s="1314"/>
      <c r="J406" s="1315">
        <f>IF(K$1&gt;0,ROUNDUP(SUM(PROD!AM$5:AM407)/K$1*K$2,0),0)-SUM(J$4:J405)</f>
        <v>0</v>
      </c>
      <c r="K406" s="1316">
        <f t="shared" si="73"/>
        <v>0</v>
      </c>
      <c r="L406" s="1314"/>
      <c r="M406" s="1315">
        <f>IF(N$1&gt;0,ROUNDUP(SUM(PROD!L$5:L407,-PROD!AM$5:AM407,-PROD!AZ$5:AZ407)/N$1*N$2,0),0)-SUM(M$4:M405)</f>
        <v>0</v>
      </c>
      <c r="N406" s="1316">
        <f t="shared" si="74"/>
        <v>0</v>
      </c>
      <c r="O406" s="1317">
        <f t="shared" si="75"/>
        <v>0</v>
      </c>
      <c r="P406" s="1318"/>
      <c r="Q406" s="1319"/>
      <c r="R406" s="1320">
        <f t="shared" si="76"/>
        <v>0</v>
      </c>
      <c r="S406" s="1316">
        <f t="shared" si="77"/>
        <v>0</v>
      </c>
      <c r="T406" s="712"/>
      <c r="U406" s="713"/>
      <c r="V406" s="714"/>
      <c r="W406" s="398">
        <f t="shared" si="84"/>
        <v>0</v>
      </c>
      <c r="X406" s="712"/>
      <c r="Y406" s="713"/>
      <c r="Z406" s="714"/>
      <c r="AA406" s="398">
        <f t="shared" si="79"/>
        <v>0</v>
      </c>
      <c r="AB406" s="712"/>
      <c r="AC406" s="713"/>
      <c r="AD406" s="714"/>
      <c r="AE406" s="398">
        <f t="shared" si="80"/>
        <v>0</v>
      </c>
      <c r="AF406" s="712"/>
      <c r="AG406" s="713"/>
      <c r="AH406" s="714"/>
      <c r="AI406" s="398">
        <f t="shared" si="81"/>
        <v>0</v>
      </c>
      <c r="AJ406" s="712"/>
      <c r="AK406" s="713"/>
      <c r="AL406" s="714"/>
      <c r="AM406" s="398">
        <f t="shared" si="82"/>
        <v>0</v>
      </c>
    </row>
    <row r="407" spans="1:39" ht="15.75" customHeight="1" x14ac:dyDescent="0.3">
      <c r="A407" s="2161"/>
      <c r="B407" s="1313" t="str">
        <f t="shared" si="78"/>
        <v/>
      </c>
      <c r="C407" s="1011">
        <f>IF($D$2="NO",0,ROUNDDOWN(SUM(PROD!$V$5:V408)/IF(Iniciar!$C$25="kilos",40,1),0)-SUM($C$4:$C406))</f>
        <v>0</v>
      </c>
      <c r="D407" s="702"/>
      <c r="E407" s="702"/>
      <c r="F407" s="300">
        <f t="shared" si="83"/>
        <v>-75000</v>
      </c>
      <c r="G407" s="694"/>
      <c r="H407" s="695"/>
      <c r="I407" s="1314"/>
      <c r="J407" s="1315">
        <f>IF(K$1&gt;0,ROUNDUP(SUM(PROD!AM$5:AM408)/K$1*K$2,0),0)-SUM(J$4:J406)</f>
        <v>0</v>
      </c>
      <c r="K407" s="1316">
        <f t="shared" si="73"/>
        <v>0</v>
      </c>
      <c r="L407" s="1314"/>
      <c r="M407" s="1315">
        <f>IF(N$1&gt;0,ROUNDUP(SUM(PROD!L$5:L408,-PROD!AM$5:AM408,-PROD!AZ$5:AZ408)/N$1*N$2,0),0)-SUM(M$4:M406)</f>
        <v>0</v>
      </c>
      <c r="N407" s="1316">
        <f t="shared" si="74"/>
        <v>0</v>
      </c>
      <c r="O407" s="1317">
        <f t="shared" si="75"/>
        <v>0</v>
      </c>
      <c r="P407" s="1318"/>
      <c r="Q407" s="1319"/>
      <c r="R407" s="1320">
        <f t="shared" si="76"/>
        <v>0</v>
      </c>
      <c r="S407" s="1316">
        <f t="shared" si="77"/>
        <v>0</v>
      </c>
      <c r="T407" s="712"/>
      <c r="U407" s="713"/>
      <c r="V407" s="714"/>
      <c r="W407" s="398">
        <f t="shared" si="84"/>
        <v>0</v>
      </c>
      <c r="X407" s="712"/>
      <c r="Y407" s="713"/>
      <c r="Z407" s="714"/>
      <c r="AA407" s="398">
        <f t="shared" si="79"/>
        <v>0</v>
      </c>
      <c r="AB407" s="712"/>
      <c r="AC407" s="713"/>
      <c r="AD407" s="714"/>
      <c r="AE407" s="398">
        <f t="shared" si="80"/>
        <v>0</v>
      </c>
      <c r="AF407" s="712"/>
      <c r="AG407" s="713"/>
      <c r="AH407" s="714"/>
      <c r="AI407" s="398">
        <f t="shared" si="81"/>
        <v>0</v>
      </c>
      <c r="AJ407" s="712"/>
      <c r="AK407" s="713"/>
      <c r="AL407" s="714"/>
      <c r="AM407" s="398">
        <f t="shared" si="82"/>
        <v>0</v>
      </c>
    </row>
    <row r="408" spans="1:39" ht="15.75" customHeight="1" x14ac:dyDescent="0.3">
      <c r="A408" s="2161"/>
      <c r="B408" s="1313" t="str">
        <f t="shared" si="78"/>
        <v/>
      </c>
      <c r="C408" s="1011">
        <f>IF($D$2="NO",0,ROUNDDOWN(SUM(PROD!$V$5:V409)/IF(Iniciar!$C$25="kilos",40,1),0)-SUM($C$4:$C407))</f>
        <v>0</v>
      </c>
      <c r="D408" s="702"/>
      <c r="E408" s="702"/>
      <c r="F408" s="300">
        <f t="shared" si="83"/>
        <v>-75000</v>
      </c>
      <c r="G408" s="694"/>
      <c r="H408" s="695"/>
      <c r="I408" s="1314"/>
      <c r="J408" s="1315">
        <f>IF(K$1&gt;0,ROUNDUP(SUM(PROD!AM$5:AM409)/K$1*K$2,0),0)-SUM(J$4:J407)</f>
        <v>0</v>
      </c>
      <c r="K408" s="1316">
        <f t="shared" si="73"/>
        <v>0</v>
      </c>
      <c r="L408" s="1314"/>
      <c r="M408" s="1315">
        <f>IF(N$1&gt;0,ROUNDUP(SUM(PROD!L$5:L409,-PROD!AM$5:AM409,-PROD!AZ$5:AZ409)/N$1*N$2,0),0)-SUM(M$4:M407)</f>
        <v>0</v>
      </c>
      <c r="N408" s="1316">
        <f t="shared" si="74"/>
        <v>0</v>
      </c>
      <c r="O408" s="1317">
        <f t="shared" si="75"/>
        <v>0</v>
      </c>
      <c r="P408" s="1318"/>
      <c r="Q408" s="1319"/>
      <c r="R408" s="1320">
        <f t="shared" si="76"/>
        <v>0</v>
      </c>
      <c r="S408" s="1316">
        <f t="shared" si="77"/>
        <v>0</v>
      </c>
      <c r="T408" s="712"/>
      <c r="U408" s="713"/>
      <c r="V408" s="714"/>
      <c r="W408" s="398">
        <f t="shared" si="84"/>
        <v>0</v>
      </c>
      <c r="X408" s="712"/>
      <c r="Y408" s="713"/>
      <c r="Z408" s="714"/>
      <c r="AA408" s="398">
        <f t="shared" si="79"/>
        <v>0</v>
      </c>
      <c r="AB408" s="712"/>
      <c r="AC408" s="713"/>
      <c r="AD408" s="714"/>
      <c r="AE408" s="398">
        <f t="shared" si="80"/>
        <v>0</v>
      </c>
      <c r="AF408" s="712"/>
      <c r="AG408" s="713"/>
      <c r="AH408" s="714"/>
      <c r="AI408" s="398">
        <f t="shared" si="81"/>
        <v>0</v>
      </c>
      <c r="AJ408" s="712"/>
      <c r="AK408" s="713"/>
      <c r="AL408" s="714"/>
      <c r="AM408" s="398">
        <f t="shared" si="82"/>
        <v>0</v>
      </c>
    </row>
    <row r="409" spans="1:39" ht="16.5" customHeight="1" x14ac:dyDescent="0.3">
      <c r="A409" s="2162"/>
      <c r="B409" s="1313" t="str">
        <f t="shared" si="78"/>
        <v/>
      </c>
      <c r="C409" s="1011">
        <f>IF($D$2="NO",0,ROUNDDOWN(SUM(PROD!$V$5:V410)/IF(Iniciar!$C$25="kilos",40,1),0)-SUM($C$4:$C408))</f>
        <v>0</v>
      </c>
      <c r="D409" s="702"/>
      <c r="E409" s="702"/>
      <c r="F409" s="300">
        <f t="shared" si="83"/>
        <v>-75000</v>
      </c>
      <c r="G409" s="694"/>
      <c r="H409" s="695"/>
      <c r="I409" s="1314"/>
      <c r="J409" s="1315">
        <f>IF(K$1&gt;0,ROUNDUP(SUM(PROD!AM$5:AM410)/K$1*K$2,0),0)-SUM(J$4:J408)</f>
        <v>0</v>
      </c>
      <c r="K409" s="1316">
        <f t="shared" si="73"/>
        <v>0</v>
      </c>
      <c r="L409" s="1314"/>
      <c r="M409" s="1315">
        <f>IF(N$1&gt;0,ROUNDUP(SUM(PROD!L$5:L410,-PROD!AM$5:AM410,-PROD!AZ$5:AZ410)/N$1*N$2,0),0)-SUM(M$4:M408)</f>
        <v>0</v>
      </c>
      <c r="N409" s="1316">
        <f t="shared" si="74"/>
        <v>0</v>
      </c>
      <c r="O409" s="1317">
        <f t="shared" si="75"/>
        <v>0</v>
      </c>
      <c r="P409" s="1318"/>
      <c r="Q409" s="1319"/>
      <c r="R409" s="1320">
        <f t="shared" si="76"/>
        <v>0</v>
      </c>
      <c r="S409" s="1316">
        <f t="shared" si="77"/>
        <v>0</v>
      </c>
      <c r="T409" s="712"/>
      <c r="U409" s="713"/>
      <c r="V409" s="714"/>
      <c r="W409" s="398">
        <f t="shared" si="84"/>
        <v>0</v>
      </c>
      <c r="X409" s="712"/>
      <c r="Y409" s="713"/>
      <c r="Z409" s="714"/>
      <c r="AA409" s="398">
        <f t="shared" si="79"/>
        <v>0</v>
      </c>
      <c r="AB409" s="712"/>
      <c r="AC409" s="713"/>
      <c r="AD409" s="714"/>
      <c r="AE409" s="398">
        <f t="shared" si="80"/>
        <v>0</v>
      </c>
      <c r="AF409" s="712"/>
      <c r="AG409" s="713"/>
      <c r="AH409" s="714"/>
      <c r="AI409" s="398">
        <f t="shared" si="81"/>
        <v>0</v>
      </c>
      <c r="AJ409" s="712"/>
      <c r="AK409" s="713"/>
      <c r="AL409" s="714"/>
      <c r="AM409" s="398">
        <f t="shared" si="82"/>
        <v>0</v>
      </c>
    </row>
    <row r="410" spans="1:39" ht="16.5" customHeight="1" x14ac:dyDescent="0.3">
      <c r="A410" s="2160">
        <f>A403+1</f>
        <v>76</v>
      </c>
      <c r="B410" s="1313" t="str">
        <f t="shared" si="78"/>
        <v/>
      </c>
      <c r="C410" s="1011">
        <f>IF($D$2="NO",0,ROUNDDOWN(SUM(PROD!$V$5:V411)/IF(Iniciar!$C$25="kilos",40,1),0)-SUM($C$4:$C409))</f>
        <v>0</v>
      </c>
      <c r="D410" s="702"/>
      <c r="E410" s="702"/>
      <c r="F410" s="300">
        <f t="shared" si="83"/>
        <v>-75000</v>
      </c>
      <c r="G410" s="694"/>
      <c r="H410" s="695"/>
      <c r="I410" s="1314"/>
      <c r="J410" s="1315">
        <f>IF(K$1&gt;0,ROUNDUP(SUM(PROD!AM$5:AM411)/K$1*K$2,0),0)-SUM(J$4:J409)</f>
        <v>0</v>
      </c>
      <c r="K410" s="1316">
        <f t="shared" si="73"/>
        <v>0</v>
      </c>
      <c r="L410" s="1314"/>
      <c r="M410" s="1315">
        <f>IF(N$1&gt;0,ROUNDUP(SUM(PROD!L$5:L411,-PROD!AM$5:AM411,-PROD!AZ$5:AZ411)/N$1*N$2,0),0)-SUM(M$4:M409)</f>
        <v>0</v>
      </c>
      <c r="N410" s="1316">
        <f t="shared" si="74"/>
        <v>0</v>
      </c>
      <c r="O410" s="1317">
        <f t="shared" si="75"/>
        <v>0</v>
      </c>
      <c r="P410" s="1318"/>
      <c r="Q410" s="1319"/>
      <c r="R410" s="1320">
        <f t="shared" si="76"/>
        <v>0</v>
      </c>
      <c r="S410" s="1316">
        <f t="shared" si="77"/>
        <v>0</v>
      </c>
      <c r="T410" s="712"/>
      <c r="U410" s="713"/>
      <c r="V410" s="714"/>
      <c r="W410" s="398">
        <f t="shared" si="84"/>
        <v>0</v>
      </c>
      <c r="X410" s="712"/>
      <c r="Y410" s="713"/>
      <c r="Z410" s="714"/>
      <c r="AA410" s="398">
        <f t="shared" si="79"/>
        <v>0</v>
      </c>
      <c r="AB410" s="712"/>
      <c r="AC410" s="713"/>
      <c r="AD410" s="714"/>
      <c r="AE410" s="398">
        <f t="shared" si="80"/>
        <v>0</v>
      </c>
      <c r="AF410" s="712"/>
      <c r="AG410" s="713"/>
      <c r="AH410" s="714"/>
      <c r="AI410" s="398">
        <f t="shared" si="81"/>
        <v>0</v>
      </c>
      <c r="AJ410" s="712"/>
      <c r="AK410" s="713"/>
      <c r="AL410" s="714"/>
      <c r="AM410" s="398">
        <f t="shared" si="82"/>
        <v>0</v>
      </c>
    </row>
    <row r="411" spans="1:39" ht="15.75" customHeight="1" x14ac:dyDescent="0.3">
      <c r="A411" s="2161"/>
      <c r="B411" s="1313" t="str">
        <f t="shared" si="78"/>
        <v/>
      </c>
      <c r="C411" s="1011">
        <f>IF($D$2="NO",0,ROUNDDOWN(SUM(PROD!$V$5:V412)/IF(Iniciar!$C$25="kilos",40,1),0)-SUM($C$4:$C410))</f>
        <v>0</v>
      </c>
      <c r="D411" s="702"/>
      <c r="E411" s="702"/>
      <c r="F411" s="300">
        <f t="shared" si="83"/>
        <v>-75000</v>
      </c>
      <c r="G411" s="694"/>
      <c r="H411" s="695"/>
      <c r="I411" s="1314"/>
      <c r="J411" s="1315">
        <f>IF(K$1&gt;0,ROUNDUP(SUM(PROD!AM$5:AM412)/K$1*K$2,0),0)-SUM(J$4:J410)</f>
        <v>0</v>
      </c>
      <c r="K411" s="1316">
        <f t="shared" si="73"/>
        <v>0</v>
      </c>
      <c r="L411" s="1314"/>
      <c r="M411" s="1315">
        <f>IF(N$1&gt;0,ROUNDUP(SUM(PROD!L$5:L412,-PROD!AM$5:AM412,-PROD!AZ$5:AZ412)/N$1*N$2,0),0)-SUM(M$4:M410)</f>
        <v>0</v>
      </c>
      <c r="N411" s="1316">
        <f t="shared" si="74"/>
        <v>0</v>
      </c>
      <c r="O411" s="1317">
        <f t="shared" si="75"/>
        <v>0</v>
      </c>
      <c r="P411" s="1318"/>
      <c r="Q411" s="1319"/>
      <c r="R411" s="1320">
        <f t="shared" si="76"/>
        <v>0</v>
      </c>
      <c r="S411" s="1316">
        <f t="shared" si="77"/>
        <v>0</v>
      </c>
      <c r="T411" s="712"/>
      <c r="U411" s="713"/>
      <c r="V411" s="714"/>
      <c r="W411" s="398">
        <f t="shared" si="84"/>
        <v>0</v>
      </c>
      <c r="X411" s="712"/>
      <c r="Y411" s="713"/>
      <c r="Z411" s="714"/>
      <c r="AA411" s="398">
        <f t="shared" si="79"/>
        <v>0</v>
      </c>
      <c r="AB411" s="712"/>
      <c r="AC411" s="713"/>
      <c r="AD411" s="714"/>
      <c r="AE411" s="398">
        <f t="shared" si="80"/>
        <v>0</v>
      </c>
      <c r="AF411" s="712"/>
      <c r="AG411" s="713"/>
      <c r="AH411" s="714"/>
      <c r="AI411" s="398">
        <f t="shared" si="81"/>
        <v>0</v>
      </c>
      <c r="AJ411" s="712"/>
      <c r="AK411" s="713"/>
      <c r="AL411" s="714"/>
      <c r="AM411" s="398">
        <f t="shared" si="82"/>
        <v>0</v>
      </c>
    </row>
    <row r="412" spans="1:39" ht="15.75" customHeight="1" x14ac:dyDescent="0.3">
      <c r="A412" s="2161"/>
      <c r="B412" s="1313" t="str">
        <f t="shared" si="78"/>
        <v/>
      </c>
      <c r="C412" s="1011">
        <f>IF($D$2="NO",0,ROUNDDOWN(SUM(PROD!$V$5:V413)/IF(Iniciar!$C$25="kilos",40,1),0)-SUM($C$4:$C411))</f>
        <v>0</v>
      </c>
      <c r="D412" s="702"/>
      <c r="E412" s="702"/>
      <c r="F412" s="300">
        <f t="shared" si="83"/>
        <v>-75000</v>
      </c>
      <c r="G412" s="694"/>
      <c r="H412" s="695"/>
      <c r="I412" s="1314"/>
      <c r="J412" s="1315">
        <f>IF(K$1&gt;0,ROUNDUP(SUM(PROD!AM$5:AM413)/K$1*K$2,0),0)-SUM(J$4:J411)</f>
        <v>0</v>
      </c>
      <c r="K412" s="1316">
        <f t="shared" ref="K412:K475" si="85">K411+I412-J412</f>
        <v>0</v>
      </c>
      <c r="L412" s="1314"/>
      <c r="M412" s="1315">
        <f>IF(N$1&gt;0,ROUNDUP(SUM(PROD!L$5:L413,-PROD!AM$5:AM413,-PROD!AZ$5:AZ413)/N$1*N$2,0),0)-SUM(M$4:M411)</f>
        <v>0</v>
      </c>
      <c r="N412" s="1316">
        <f t="shared" ref="N412:N475" si="86">N411+L412-M412</f>
        <v>0</v>
      </c>
      <c r="O412" s="1317">
        <f t="shared" si="75"/>
        <v>0</v>
      </c>
      <c r="P412" s="1318"/>
      <c r="Q412" s="1319"/>
      <c r="R412" s="1320">
        <f t="shared" si="76"/>
        <v>0</v>
      </c>
      <c r="S412" s="1316">
        <f t="shared" si="77"/>
        <v>0</v>
      </c>
      <c r="T412" s="712"/>
      <c r="U412" s="713"/>
      <c r="V412" s="714"/>
      <c r="W412" s="398">
        <f t="shared" si="84"/>
        <v>0</v>
      </c>
      <c r="X412" s="712"/>
      <c r="Y412" s="713"/>
      <c r="Z412" s="714"/>
      <c r="AA412" s="398">
        <f t="shared" si="79"/>
        <v>0</v>
      </c>
      <c r="AB412" s="712"/>
      <c r="AC412" s="713"/>
      <c r="AD412" s="714"/>
      <c r="AE412" s="398">
        <f t="shared" si="80"/>
        <v>0</v>
      </c>
      <c r="AF412" s="712"/>
      <c r="AG412" s="713"/>
      <c r="AH412" s="714"/>
      <c r="AI412" s="398">
        <f t="shared" si="81"/>
        <v>0</v>
      </c>
      <c r="AJ412" s="712"/>
      <c r="AK412" s="713"/>
      <c r="AL412" s="714"/>
      <c r="AM412" s="398">
        <f t="shared" si="82"/>
        <v>0</v>
      </c>
    </row>
    <row r="413" spans="1:39" ht="15.75" customHeight="1" x14ac:dyDescent="0.3">
      <c r="A413" s="2161"/>
      <c r="B413" s="1313" t="str">
        <f t="shared" si="78"/>
        <v/>
      </c>
      <c r="C413" s="1011">
        <f>IF($D$2="NO",0,ROUNDDOWN(SUM(PROD!$V$5:V414)/IF(Iniciar!$C$25="kilos",40,1),0)-SUM($C$4:$C412))</f>
        <v>0</v>
      </c>
      <c r="D413" s="702"/>
      <c r="E413" s="702"/>
      <c r="F413" s="300">
        <f t="shared" si="83"/>
        <v>-75000</v>
      </c>
      <c r="G413" s="694"/>
      <c r="H413" s="695"/>
      <c r="I413" s="1314"/>
      <c r="J413" s="1315">
        <f>IF(K$1&gt;0,ROUNDUP(SUM(PROD!AM$5:AM414)/K$1*K$2,0),0)-SUM(J$4:J412)</f>
        <v>0</v>
      </c>
      <c r="K413" s="1316">
        <f t="shared" si="85"/>
        <v>0</v>
      </c>
      <c r="L413" s="1314"/>
      <c r="M413" s="1315">
        <f>IF(N$1&gt;0,ROUNDUP(SUM(PROD!L$5:L414,-PROD!AM$5:AM414,-PROD!AZ$5:AZ414)/N$1*N$2,0),0)-SUM(M$4:M412)</f>
        <v>0</v>
      </c>
      <c r="N413" s="1316">
        <f t="shared" si="86"/>
        <v>0</v>
      </c>
      <c r="O413" s="1317">
        <f t="shared" si="75"/>
        <v>0</v>
      </c>
      <c r="P413" s="1318"/>
      <c r="Q413" s="1319"/>
      <c r="R413" s="1320">
        <f t="shared" si="76"/>
        <v>0</v>
      </c>
      <c r="S413" s="1316">
        <f t="shared" si="77"/>
        <v>0</v>
      </c>
      <c r="T413" s="712"/>
      <c r="U413" s="713"/>
      <c r="V413" s="714"/>
      <c r="W413" s="398">
        <f t="shared" si="84"/>
        <v>0</v>
      </c>
      <c r="X413" s="712"/>
      <c r="Y413" s="713"/>
      <c r="Z413" s="714"/>
      <c r="AA413" s="398">
        <f t="shared" si="79"/>
        <v>0</v>
      </c>
      <c r="AB413" s="712"/>
      <c r="AC413" s="713"/>
      <c r="AD413" s="714"/>
      <c r="AE413" s="398">
        <f t="shared" si="80"/>
        <v>0</v>
      </c>
      <c r="AF413" s="712"/>
      <c r="AG413" s="713"/>
      <c r="AH413" s="714"/>
      <c r="AI413" s="398">
        <f t="shared" si="81"/>
        <v>0</v>
      </c>
      <c r="AJ413" s="712"/>
      <c r="AK413" s="713"/>
      <c r="AL413" s="714"/>
      <c r="AM413" s="398">
        <f t="shared" si="82"/>
        <v>0</v>
      </c>
    </row>
    <row r="414" spans="1:39" ht="15.75" customHeight="1" x14ac:dyDescent="0.3">
      <c r="A414" s="2161"/>
      <c r="B414" s="1313" t="str">
        <f t="shared" si="78"/>
        <v/>
      </c>
      <c r="C414" s="1011">
        <f>IF($D$2="NO",0,ROUNDDOWN(SUM(PROD!$V$5:V415)/IF(Iniciar!$C$25="kilos",40,1),0)-SUM($C$4:$C413))</f>
        <v>0</v>
      </c>
      <c r="D414" s="702"/>
      <c r="E414" s="702"/>
      <c r="F414" s="300">
        <f t="shared" si="83"/>
        <v>-75000</v>
      </c>
      <c r="G414" s="694"/>
      <c r="H414" s="695"/>
      <c r="I414" s="1314"/>
      <c r="J414" s="1315">
        <f>IF(K$1&gt;0,ROUNDUP(SUM(PROD!AM$5:AM415)/K$1*K$2,0),0)-SUM(J$4:J413)</f>
        <v>0</v>
      </c>
      <c r="K414" s="1316">
        <f t="shared" si="85"/>
        <v>0</v>
      </c>
      <c r="L414" s="1314"/>
      <c r="M414" s="1315">
        <f>IF(N$1&gt;0,ROUNDUP(SUM(PROD!L$5:L415,-PROD!AM$5:AM415,-PROD!AZ$5:AZ415)/N$1*N$2,0),0)-SUM(M$4:M413)</f>
        <v>0</v>
      </c>
      <c r="N414" s="1316">
        <f t="shared" si="86"/>
        <v>0</v>
      </c>
      <c r="O414" s="1317">
        <f t="shared" si="75"/>
        <v>0</v>
      </c>
      <c r="P414" s="1318"/>
      <c r="Q414" s="1319"/>
      <c r="R414" s="1320">
        <f t="shared" si="76"/>
        <v>0</v>
      </c>
      <c r="S414" s="1316">
        <f t="shared" si="77"/>
        <v>0</v>
      </c>
      <c r="T414" s="712"/>
      <c r="U414" s="713"/>
      <c r="V414" s="714"/>
      <c r="W414" s="398">
        <f t="shared" si="84"/>
        <v>0</v>
      </c>
      <c r="X414" s="712"/>
      <c r="Y414" s="713"/>
      <c r="Z414" s="714"/>
      <c r="AA414" s="398">
        <f t="shared" si="79"/>
        <v>0</v>
      </c>
      <c r="AB414" s="712"/>
      <c r="AC414" s="713"/>
      <c r="AD414" s="714"/>
      <c r="AE414" s="398">
        <f t="shared" si="80"/>
        <v>0</v>
      </c>
      <c r="AF414" s="712"/>
      <c r="AG414" s="713"/>
      <c r="AH414" s="714"/>
      <c r="AI414" s="398">
        <f t="shared" si="81"/>
        <v>0</v>
      </c>
      <c r="AJ414" s="712"/>
      <c r="AK414" s="713"/>
      <c r="AL414" s="714"/>
      <c r="AM414" s="398">
        <f t="shared" si="82"/>
        <v>0</v>
      </c>
    </row>
    <row r="415" spans="1:39" ht="15.75" customHeight="1" x14ac:dyDescent="0.3">
      <c r="A415" s="2161"/>
      <c r="B415" s="1313" t="str">
        <f t="shared" si="78"/>
        <v/>
      </c>
      <c r="C415" s="1011">
        <f>IF($D$2="NO",0,ROUNDDOWN(SUM(PROD!$V$5:V416)/IF(Iniciar!$C$25="kilos",40,1),0)-SUM($C$4:$C414))</f>
        <v>0</v>
      </c>
      <c r="D415" s="702"/>
      <c r="E415" s="702"/>
      <c r="F415" s="300">
        <f t="shared" si="83"/>
        <v>-75000</v>
      </c>
      <c r="G415" s="694"/>
      <c r="H415" s="695"/>
      <c r="I415" s="1314"/>
      <c r="J415" s="1315">
        <f>IF(K$1&gt;0,ROUNDUP(SUM(PROD!AM$5:AM416)/K$1*K$2,0),0)-SUM(J$4:J414)</f>
        <v>0</v>
      </c>
      <c r="K415" s="1316">
        <f t="shared" si="85"/>
        <v>0</v>
      </c>
      <c r="L415" s="1314"/>
      <c r="M415" s="1315">
        <f>IF(N$1&gt;0,ROUNDUP(SUM(PROD!L$5:L416,-PROD!AM$5:AM416,-PROD!AZ$5:AZ416)/N$1*N$2,0),0)-SUM(M$4:M414)</f>
        <v>0</v>
      </c>
      <c r="N415" s="1316">
        <f t="shared" si="86"/>
        <v>0</v>
      </c>
      <c r="O415" s="1317">
        <f t="shared" si="75"/>
        <v>0</v>
      </c>
      <c r="P415" s="1318"/>
      <c r="Q415" s="1319"/>
      <c r="R415" s="1320">
        <f t="shared" si="76"/>
        <v>0</v>
      </c>
      <c r="S415" s="1316">
        <f t="shared" si="77"/>
        <v>0</v>
      </c>
      <c r="T415" s="712"/>
      <c r="U415" s="713"/>
      <c r="V415" s="714"/>
      <c r="W415" s="398">
        <f t="shared" si="84"/>
        <v>0</v>
      </c>
      <c r="X415" s="712"/>
      <c r="Y415" s="713"/>
      <c r="Z415" s="714"/>
      <c r="AA415" s="398">
        <f t="shared" si="79"/>
        <v>0</v>
      </c>
      <c r="AB415" s="712"/>
      <c r="AC415" s="713"/>
      <c r="AD415" s="714"/>
      <c r="AE415" s="398">
        <f t="shared" si="80"/>
        <v>0</v>
      </c>
      <c r="AF415" s="712"/>
      <c r="AG415" s="713"/>
      <c r="AH415" s="714"/>
      <c r="AI415" s="398">
        <f t="shared" si="81"/>
        <v>0</v>
      </c>
      <c r="AJ415" s="712"/>
      <c r="AK415" s="713"/>
      <c r="AL415" s="714"/>
      <c r="AM415" s="398">
        <f t="shared" si="82"/>
        <v>0</v>
      </c>
    </row>
    <row r="416" spans="1:39" ht="16.5" customHeight="1" x14ac:dyDescent="0.3">
      <c r="A416" s="2162"/>
      <c r="B416" s="1313" t="str">
        <f t="shared" si="78"/>
        <v/>
      </c>
      <c r="C416" s="1011">
        <f>IF($D$2="NO",0,ROUNDDOWN(SUM(PROD!$V$5:V417)/IF(Iniciar!$C$25="kilos",40,1),0)-SUM($C$4:$C415))</f>
        <v>0</v>
      </c>
      <c r="D416" s="702"/>
      <c r="E416" s="702"/>
      <c r="F416" s="300">
        <f t="shared" si="83"/>
        <v>-75000</v>
      </c>
      <c r="G416" s="694"/>
      <c r="H416" s="695"/>
      <c r="I416" s="1314"/>
      <c r="J416" s="1315">
        <f>IF(K$1&gt;0,ROUNDUP(SUM(PROD!AM$5:AM417)/K$1*K$2,0),0)-SUM(J$4:J415)</f>
        <v>0</v>
      </c>
      <c r="K416" s="1316">
        <f t="shared" si="85"/>
        <v>0</v>
      </c>
      <c r="L416" s="1314"/>
      <c r="M416" s="1315">
        <f>IF(N$1&gt;0,ROUNDUP(SUM(PROD!L$5:L417,-PROD!AM$5:AM417,-PROD!AZ$5:AZ417)/N$1*N$2,0),0)-SUM(M$4:M415)</f>
        <v>0</v>
      </c>
      <c r="N416" s="1316">
        <f t="shared" si="86"/>
        <v>0</v>
      </c>
      <c r="O416" s="1317">
        <f t="shared" si="75"/>
        <v>0</v>
      </c>
      <c r="P416" s="1318"/>
      <c r="Q416" s="1319"/>
      <c r="R416" s="1320">
        <f t="shared" si="76"/>
        <v>0</v>
      </c>
      <c r="S416" s="1316">
        <f t="shared" si="77"/>
        <v>0</v>
      </c>
      <c r="T416" s="712"/>
      <c r="U416" s="713"/>
      <c r="V416" s="714"/>
      <c r="W416" s="398">
        <f t="shared" si="84"/>
        <v>0</v>
      </c>
      <c r="X416" s="712"/>
      <c r="Y416" s="713"/>
      <c r="Z416" s="714"/>
      <c r="AA416" s="398">
        <f t="shared" si="79"/>
        <v>0</v>
      </c>
      <c r="AB416" s="712"/>
      <c r="AC416" s="713"/>
      <c r="AD416" s="714"/>
      <c r="AE416" s="398">
        <f t="shared" si="80"/>
        <v>0</v>
      </c>
      <c r="AF416" s="712"/>
      <c r="AG416" s="713"/>
      <c r="AH416" s="714"/>
      <c r="AI416" s="398">
        <f t="shared" si="81"/>
        <v>0</v>
      </c>
      <c r="AJ416" s="712"/>
      <c r="AK416" s="713"/>
      <c r="AL416" s="714"/>
      <c r="AM416" s="398">
        <f t="shared" si="82"/>
        <v>0</v>
      </c>
    </row>
    <row r="417" spans="1:39" ht="16.5" customHeight="1" x14ac:dyDescent="0.3">
      <c r="A417" s="2160">
        <f>A410+1</f>
        <v>77</v>
      </c>
      <c r="B417" s="1313" t="str">
        <f t="shared" si="78"/>
        <v/>
      </c>
      <c r="C417" s="1011">
        <f>IF($D$2="NO",0,ROUNDDOWN(SUM(PROD!$V$5:V418)/IF(Iniciar!$C$25="kilos",40,1),0)-SUM($C$4:$C416))</f>
        <v>0</v>
      </c>
      <c r="D417" s="702"/>
      <c r="E417" s="702"/>
      <c r="F417" s="300">
        <f t="shared" si="83"/>
        <v>-75000</v>
      </c>
      <c r="G417" s="694"/>
      <c r="H417" s="695"/>
      <c r="I417" s="1314"/>
      <c r="J417" s="1315">
        <f>IF(K$1&gt;0,ROUNDUP(SUM(PROD!AM$5:AM418)/K$1*K$2,0),0)-SUM(J$4:J416)</f>
        <v>0</v>
      </c>
      <c r="K417" s="1316">
        <f t="shared" si="85"/>
        <v>0</v>
      </c>
      <c r="L417" s="1314"/>
      <c r="M417" s="1315">
        <f>IF(N$1&gt;0,ROUNDUP(SUM(PROD!L$5:L418,-PROD!AM$5:AM418,-PROD!AZ$5:AZ418)/N$1*N$2,0),0)-SUM(M$4:M416)</f>
        <v>0</v>
      </c>
      <c r="N417" s="1316">
        <f t="shared" si="86"/>
        <v>0</v>
      </c>
      <c r="O417" s="1317">
        <f t="shared" si="75"/>
        <v>0</v>
      </c>
      <c r="P417" s="1318"/>
      <c r="Q417" s="1319"/>
      <c r="R417" s="1320">
        <f t="shared" si="76"/>
        <v>0</v>
      </c>
      <c r="S417" s="1316">
        <f t="shared" si="77"/>
        <v>0</v>
      </c>
      <c r="T417" s="712"/>
      <c r="U417" s="713"/>
      <c r="V417" s="714"/>
      <c r="W417" s="398">
        <f t="shared" si="84"/>
        <v>0</v>
      </c>
      <c r="X417" s="712"/>
      <c r="Y417" s="713"/>
      <c r="Z417" s="714"/>
      <c r="AA417" s="398">
        <f t="shared" si="79"/>
        <v>0</v>
      </c>
      <c r="AB417" s="712"/>
      <c r="AC417" s="713"/>
      <c r="AD417" s="714"/>
      <c r="AE417" s="398">
        <f t="shared" si="80"/>
        <v>0</v>
      </c>
      <c r="AF417" s="712"/>
      <c r="AG417" s="713"/>
      <c r="AH417" s="714"/>
      <c r="AI417" s="398">
        <f t="shared" si="81"/>
        <v>0</v>
      </c>
      <c r="AJ417" s="712"/>
      <c r="AK417" s="713"/>
      <c r="AL417" s="714"/>
      <c r="AM417" s="398">
        <f t="shared" si="82"/>
        <v>0</v>
      </c>
    </row>
    <row r="418" spans="1:39" ht="15.75" customHeight="1" x14ac:dyDescent="0.3">
      <c r="A418" s="2161"/>
      <c r="B418" s="1313" t="str">
        <f t="shared" si="78"/>
        <v/>
      </c>
      <c r="C418" s="1011">
        <f>IF($D$2="NO",0,ROUNDDOWN(SUM(PROD!$V$5:V419)/IF(Iniciar!$C$25="kilos",40,1),0)-SUM($C$4:$C417))</f>
        <v>0</v>
      </c>
      <c r="D418" s="702"/>
      <c r="E418" s="702"/>
      <c r="F418" s="300">
        <f t="shared" si="83"/>
        <v>-75000</v>
      </c>
      <c r="G418" s="694"/>
      <c r="H418" s="695"/>
      <c r="I418" s="1314"/>
      <c r="J418" s="1315">
        <f>IF(K$1&gt;0,ROUNDUP(SUM(PROD!AM$5:AM419)/K$1*K$2,0),0)-SUM(J$4:J417)</f>
        <v>0</v>
      </c>
      <c r="K418" s="1316">
        <f t="shared" si="85"/>
        <v>0</v>
      </c>
      <c r="L418" s="1314"/>
      <c r="M418" s="1315">
        <f>IF(N$1&gt;0,ROUNDUP(SUM(PROD!L$5:L419,-PROD!AM$5:AM419,-PROD!AZ$5:AZ419)/N$1*N$2,0),0)-SUM(M$4:M417)</f>
        <v>0</v>
      </c>
      <c r="N418" s="1316">
        <f t="shared" si="86"/>
        <v>0</v>
      </c>
      <c r="O418" s="1317">
        <f t="shared" si="75"/>
        <v>0</v>
      </c>
      <c r="P418" s="1318"/>
      <c r="Q418" s="1319"/>
      <c r="R418" s="1320">
        <f t="shared" si="76"/>
        <v>0</v>
      </c>
      <c r="S418" s="1316">
        <f t="shared" si="77"/>
        <v>0</v>
      </c>
      <c r="T418" s="712"/>
      <c r="U418" s="713"/>
      <c r="V418" s="714"/>
      <c r="W418" s="398">
        <f t="shared" si="84"/>
        <v>0</v>
      </c>
      <c r="X418" s="712"/>
      <c r="Y418" s="713"/>
      <c r="Z418" s="714"/>
      <c r="AA418" s="398">
        <f t="shared" si="79"/>
        <v>0</v>
      </c>
      <c r="AB418" s="712"/>
      <c r="AC418" s="713"/>
      <c r="AD418" s="714"/>
      <c r="AE418" s="398">
        <f t="shared" si="80"/>
        <v>0</v>
      </c>
      <c r="AF418" s="712"/>
      <c r="AG418" s="713"/>
      <c r="AH418" s="714"/>
      <c r="AI418" s="398">
        <f t="shared" si="81"/>
        <v>0</v>
      </c>
      <c r="AJ418" s="712"/>
      <c r="AK418" s="713"/>
      <c r="AL418" s="714"/>
      <c r="AM418" s="398">
        <f t="shared" si="82"/>
        <v>0</v>
      </c>
    </row>
    <row r="419" spans="1:39" ht="15.75" customHeight="1" x14ac:dyDescent="0.3">
      <c r="A419" s="2161"/>
      <c r="B419" s="1313" t="str">
        <f t="shared" si="78"/>
        <v/>
      </c>
      <c r="C419" s="1011">
        <f>IF($D$2="NO",0,ROUNDDOWN(SUM(PROD!$V$5:V420)/IF(Iniciar!$C$25="kilos",40,1),0)-SUM($C$4:$C418))</f>
        <v>0</v>
      </c>
      <c r="D419" s="702"/>
      <c r="E419" s="702"/>
      <c r="F419" s="300">
        <f t="shared" si="83"/>
        <v>-75000</v>
      </c>
      <c r="G419" s="694"/>
      <c r="H419" s="695"/>
      <c r="I419" s="1314"/>
      <c r="J419" s="1315">
        <f>IF(K$1&gt;0,ROUNDUP(SUM(PROD!AM$5:AM420)/K$1*K$2,0),0)-SUM(J$4:J418)</f>
        <v>0</v>
      </c>
      <c r="K419" s="1316">
        <f t="shared" si="85"/>
        <v>0</v>
      </c>
      <c r="L419" s="1314"/>
      <c r="M419" s="1315">
        <f>IF(N$1&gt;0,ROUNDUP(SUM(PROD!L$5:L420,-PROD!AM$5:AM420,-PROD!AZ$5:AZ420)/N$1*N$2,0),0)-SUM(M$4:M418)</f>
        <v>0</v>
      </c>
      <c r="N419" s="1316">
        <f t="shared" si="86"/>
        <v>0</v>
      </c>
      <c r="O419" s="1317">
        <f t="shared" si="75"/>
        <v>0</v>
      </c>
      <c r="P419" s="1318"/>
      <c r="Q419" s="1319"/>
      <c r="R419" s="1320">
        <f t="shared" si="76"/>
        <v>0</v>
      </c>
      <c r="S419" s="1316">
        <f t="shared" si="77"/>
        <v>0</v>
      </c>
      <c r="T419" s="712"/>
      <c r="U419" s="713"/>
      <c r="V419" s="714"/>
      <c r="W419" s="398">
        <f t="shared" si="84"/>
        <v>0</v>
      </c>
      <c r="X419" s="712"/>
      <c r="Y419" s="713"/>
      <c r="Z419" s="714"/>
      <c r="AA419" s="398">
        <f t="shared" si="79"/>
        <v>0</v>
      </c>
      <c r="AB419" s="712"/>
      <c r="AC419" s="713"/>
      <c r="AD419" s="714"/>
      <c r="AE419" s="398">
        <f t="shared" si="80"/>
        <v>0</v>
      </c>
      <c r="AF419" s="712"/>
      <c r="AG419" s="713"/>
      <c r="AH419" s="714"/>
      <c r="AI419" s="398">
        <f t="shared" si="81"/>
        <v>0</v>
      </c>
      <c r="AJ419" s="712"/>
      <c r="AK419" s="713"/>
      <c r="AL419" s="714"/>
      <c r="AM419" s="398">
        <f t="shared" si="82"/>
        <v>0</v>
      </c>
    </row>
    <row r="420" spans="1:39" ht="15.75" customHeight="1" x14ac:dyDescent="0.3">
      <c r="A420" s="2161"/>
      <c r="B420" s="1313" t="str">
        <f t="shared" si="78"/>
        <v/>
      </c>
      <c r="C420" s="1011">
        <f>IF($D$2="NO",0,ROUNDDOWN(SUM(PROD!$V$5:V421)/IF(Iniciar!$C$25="kilos",40,1),0)-SUM($C$4:$C419))</f>
        <v>0</v>
      </c>
      <c r="D420" s="702"/>
      <c r="E420" s="702"/>
      <c r="F420" s="300">
        <f t="shared" si="83"/>
        <v>-75000</v>
      </c>
      <c r="G420" s="694"/>
      <c r="H420" s="695"/>
      <c r="I420" s="1314"/>
      <c r="J420" s="1315">
        <f>IF(K$1&gt;0,ROUNDUP(SUM(PROD!AM$5:AM421)/K$1*K$2,0),0)-SUM(J$4:J419)</f>
        <v>0</v>
      </c>
      <c r="K420" s="1316">
        <f t="shared" si="85"/>
        <v>0</v>
      </c>
      <c r="L420" s="1314"/>
      <c r="M420" s="1315">
        <f>IF(N$1&gt;0,ROUNDUP(SUM(PROD!L$5:L421,-PROD!AM$5:AM421,-PROD!AZ$5:AZ421)/N$1*N$2,0),0)-SUM(M$4:M419)</f>
        <v>0</v>
      </c>
      <c r="N420" s="1316">
        <f t="shared" si="86"/>
        <v>0</v>
      </c>
      <c r="O420" s="1317">
        <f t="shared" si="75"/>
        <v>0</v>
      </c>
      <c r="P420" s="1318"/>
      <c r="Q420" s="1319"/>
      <c r="R420" s="1320">
        <f t="shared" si="76"/>
        <v>0</v>
      </c>
      <c r="S420" s="1316">
        <f t="shared" si="77"/>
        <v>0</v>
      </c>
      <c r="T420" s="712"/>
      <c r="U420" s="713"/>
      <c r="V420" s="714"/>
      <c r="W420" s="398">
        <f t="shared" si="84"/>
        <v>0</v>
      </c>
      <c r="X420" s="712"/>
      <c r="Y420" s="713"/>
      <c r="Z420" s="714"/>
      <c r="AA420" s="398">
        <f t="shared" si="79"/>
        <v>0</v>
      </c>
      <c r="AB420" s="712"/>
      <c r="AC420" s="713"/>
      <c r="AD420" s="714"/>
      <c r="AE420" s="398">
        <f t="shared" si="80"/>
        <v>0</v>
      </c>
      <c r="AF420" s="712"/>
      <c r="AG420" s="713"/>
      <c r="AH420" s="714"/>
      <c r="AI420" s="398">
        <f t="shared" si="81"/>
        <v>0</v>
      </c>
      <c r="AJ420" s="712"/>
      <c r="AK420" s="713"/>
      <c r="AL420" s="714"/>
      <c r="AM420" s="398">
        <f t="shared" si="82"/>
        <v>0</v>
      </c>
    </row>
    <row r="421" spans="1:39" ht="15.75" customHeight="1" x14ac:dyDescent="0.3">
      <c r="A421" s="2161"/>
      <c r="B421" s="1313" t="str">
        <f t="shared" si="78"/>
        <v/>
      </c>
      <c r="C421" s="1011">
        <f>IF($D$2="NO",0,ROUNDDOWN(SUM(PROD!$V$5:V422)/IF(Iniciar!$C$25="kilos",40,1),0)-SUM($C$4:$C420))</f>
        <v>0</v>
      </c>
      <c r="D421" s="702"/>
      <c r="E421" s="702"/>
      <c r="F421" s="300">
        <f t="shared" si="83"/>
        <v>-75000</v>
      </c>
      <c r="G421" s="694"/>
      <c r="H421" s="695"/>
      <c r="I421" s="1314"/>
      <c r="J421" s="1315">
        <f>IF(K$1&gt;0,ROUNDUP(SUM(PROD!AM$5:AM422)/K$1*K$2,0),0)-SUM(J$4:J420)</f>
        <v>0</v>
      </c>
      <c r="K421" s="1316">
        <f t="shared" si="85"/>
        <v>0</v>
      </c>
      <c r="L421" s="1314"/>
      <c r="M421" s="1315">
        <f>IF(N$1&gt;0,ROUNDUP(SUM(PROD!L$5:L422,-PROD!AM$5:AM422,-PROD!AZ$5:AZ422)/N$1*N$2,0),0)-SUM(M$4:M420)</f>
        <v>0</v>
      </c>
      <c r="N421" s="1316">
        <f t="shared" si="86"/>
        <v>0</v>
      </c>
      <c r="O421" s="1317">
        <f t="shared" si="75"/>
        <v>0</v>
      </c>
      <c r="P421" s="1318"/>
      <c r="Q421" s="1319"/>
      <c r="R421" s="1320">
        <f t="shared" si="76"/>
        <v>0</v>
      </c>
      <c r="S421" s="1316">
        <f t="shared" si="77"/>
        <v>0</v>
      </c>
      <c r="T421" s="712"/>
      <c r="U421" s="713"/>
      <c r="V421" s="714"/>
      <c r="W421" s="398">
        <f t="shared" si="84"/>
        <v>0</v>
      </c>
      <c r="X421" s="712"/>
      <c r="Y421" s="713"/>
      <c r="Z421" s="714"/>
      <c r="AA421" s="398">
        <f t="shared" si="79"/>
        <v>0</v>
      </c>
      <c r="AB421" s="712"/>
      <c r="AC421" s="713"/>
      <c r="AD421" s="714"/>
      <c r="AE421" s="398">
        <f t="shared" si="80"/>
        <v>0</v>
      </c>
      <c r="AF421" s="712"/>
      <c r="AG421" s="713"/>
      <c r="AH421" s="714"/>
      <c r="AI421" s="398">
        <f t="shared" si="81"/>
        <v>0</v>
      </c>
      <c r="AJ421" s="712"/>
      <c r="AK421" s="713"/>
      <c r="AL421" s="714"/>
      <c r="AM421" s="398">
        <f t="shared" si="82"/>
        <v>0</v>
      </c>
    </row>
    <row r="422" spans="1:39" ht="15.75" customHeight="1" x14ac:dyDescent="0.3">
      <c r="A422" s="2161"/>
      <c r="B422" s="1313" t="str">
        <f t="shared" si="78"/>
        <v/>
      </c>
      <c r="C422" s="1011">
        <f>IF($D$2="NO",0,ROUNDDOWN(SUM(PROD!$V$5:V423)/IF(Iniciar!$C$25="kilos",40,1),0)-SUM($C$4:$C421))</f>
        <v>0</v>
      </c>
      <c r="D422" s="702"/>
      <c r="E422" s="702"/>
      <c r="F422" s="300">
        <f t="shared" si="83"/>
        <v>-75000</v>
      </c>
      <c r="G422" s="694"/>
      <c r="H422" s="695"/>
      <c r="I422" s="1314"/>
      <c r="J422" s="1315">
        <f>IF(K$1&gt;0,ROUNDUP(SUM(PROD!AM$5:AM423)/K$1*K$2,0),0)-SUM(J$4:J421)</f>
        <v>0</v>
      </c>
      <c r="K422" s="1316">
        <f t="shared" si="85"/>
        <v>0</v>
      </c>
      <c r="L422" s="1314"/>
      <c r="M422" s="1315">
        <f>IF(N$1&gt;0,ROUNDUP(SUM(PROD!L$5:L423,-PROD!AM$5:AM423,-PROD!AZ$5:AZ423)/N$1*N$2,0),0)-SUM(M$4:M421)</f>
        <v>0</v>
      </c>
      <c r="N422" s="1316">
        <f t="shared" si="86"/>
        <v>0</v>
      </c>
      <c r="O422" s="1317">
        <f t="shared" si="75"/>
        <v>0</v>
      </c>
      <c r="P422" s="1318"/>
      <c r="Q422" s="1319"/>
      <c r="R422" s="1320">
        <f t="shared" si="76"/>
        <v>0</v>
      </c>
      <c r="S422" s="1316">
        <f t="shared" si="77"/>
        <v>0</v>
      </c>
      <c r="T422" s="712"/>
      <c r="U422" s="713"/>
      <c r="V422" s="714"/>
      <c r="W422" s="398">
        <f t="shared" si="84"/>
        <v>0</v>
      </c>
      <c r="X422" s="712"/>
      <c r="Y422" s="713"/>
      <c r="Z422" s="714"/>
      <c r="AA422" s="398">
        <f t="shared" si="79"/>
        <v>0</v>
      </c>
      <c r="AB422" s="712"/>
      <c r="AC422" s="713"/>
      <c r="AD422" s="714"/>
      <c r="AE422" s="398">
        <f t="shared" si="80"/>
        <v>0</v>
      </c>
      <c r="AF422" s="712"/>
      <c r="AG422" s="713"/>
      <c r="AH422" s="714"/>
      <c r="AI422" s="398">
        <f t="shared" si="81"/>
        <v>0</v>
      </c>
      <c r="AJ422" s="712"/>
      <c r="AK422" s="713"/>
      <c r="AL422" s="714"/>
      <c r="AM422" s="398">
        <f t="shared" si="82"/>
        <v>0</v>
      </c>
    </row>
    <row r="423" spans="1:39" ht="16.5" customHeight="1" x14ac:dyDescent="0.3">
      <c r="A423" s="2162"/>
      <c r="B423" s="1313" t="str">
        <f t="shared" si="78"/>
        <v/>
      </c>
      <c r="C423" s="1011">
        <f>IF($D$2="NO",0,ROUNDDOWN(SUM(PROD!$V$5:V424)/IF(Iniciar!$C$25="kilos",40,1),0)-SUM($C$4:$C422))</f>
        <v>0</v>
      </c>
      <c r="D423" s="702"/>
      <c r="E423" s="702"/>
      <c r="F423" s="300">
        <f t="shared" si="83"/>
        <v>-75000</v>
      </c>
      <c r="G423" s="694"/>
      <c r="H423" s="695"/>
      <c r="I423" s="1314"/>
      <c r="J423" s="1315">
        <f>IF(K$1&gt;0,ROUNDUP(SUM(PROD!AM$5:AM424)/K$1*K$2,0),0)-SUM(J$4:J422)</f>
        <v>0</v>
      </c>
      <c r="K423" s="1316">
        <f t="shared" si="85"/>
        <v>0</v>
      </c>
      <c r="L423" s="1314"/>
      <c r="M423" s="1315">
        <f>IF(N$1&gt;0,ROUNDUP(SUM(PROD!L$5:L424,-PROD!AM$5:AM424,-PROD!AZ$5:AZ424)/N$1*N$2,0),0)-SUM(M$4:M422)</f>
        <v>0</v>
      </c>
      <c r="N423" s="1316">
        <f t="shared" si="86"/>
        <v>0</v>
      </c>
      <c r="O423" s="1317">
        <f t="shared" si="75"/>
        <v>0</v>
      </c>
      <c r="P423" s="1318"/>
      <c r="Q423" s="1319"/>
      <c r="R423" s="1320">
        <f t="shared" si="76"/>
        <v>0</v>
      </c>
      <c r="S423" s="1316">
        <f t="shared" si="77"/>
        <v>0</v>
      </c>
      <c r="T423" s="712"/>
      <c r="U423" s="713"/>
      <c r="V423" s="714"/>
      <c r="W423" s="398">
        <f t="shared" si="84"/>
        <v>0</v>
      </c>
      <c r="X423" s="712"/>
      <c r="Y423" s="713"/>
      <c r="Z423" s="714"/>
      <c r="AA423" s="398">
        <f t="shared" si="79"/>
        <v>0</v>
      </c>
      <c r="AB423" s="712"/>
      <c r="AC423" s="713"/>
      <c r="AD423" s="714"/>
      <c r="AE423" s="398">
        <f t="shared" si="80"/>
        <v>0</v>
      </c>
      <c r="AF423" s="712"/>
      <c r="AG423" s="713"/>
      <c r="AH423" s="714"/>
      <c r="AI423" s="398">
        <f t="shared" si="81"/>
        <v>0</v>
      </c>
      <c r="AJ423" s="712"/>
      <c r="AK423" s="713"/>
      <c r="AL423" s="714"/>
      <c r="AM423" s="398">
        <f t="shared" si="82"/>
        <v>0</v>
      </c>
    </row>
    <row r="424" spans="1:39" ht="16.5" customHeight="1" x14ac:dyDescent="0.3">
      <c r="A424" s="2160">
        <f>A417+1</f>
        <v>78</v>
      </c>
      <c r="B424" s="1313" t="str">
        <f t="shared" si="78"/>
        <v/>
      </c>
      <c r="C424" s="1011">
        <f>IF($D$2="NO",0,ROUNDDOWN(SUM(PROD!$V$5:V425)/IF(Iniciar!$C$25="kilos",40,1),0)-SUM($C$4:$C423))</f>
        <v>0</v>
      </c>
      <c r="D424" s="702"/>
      <c r="E424" s="702"/>
      <c r="F424" s="300">
        <f t="shared" si="83"/>
        <v>-75000</v>
      </c>
      <c r="G424" s="694"/>
      <c r="H424" s="695"/>
      <c r="I424" s="1314"/>
      <c r="J424" s="1315">
        <f>IF(K$1&gt;0,ROUNDUP(SUM(PROD!AM$5:AM425)/K$1*K$2,0),0)-SUM(J$4:J423)</f>
        <v>0</v>
      </c>
      <c r="K424" s="1316">
        <f t="shared" si="85"/>
        <v>0</v>
      </c>
      <c r="L424" s="1314"/>
      <c r="M424" s="1315">
        <f>IF(N$1&gt;0,ROUNDUP(SUM(PROD!L$5:L425,-PROD!AM$5:AM425,-PROD!AZ$5:AZ425)/N$1*N$2,0),0)-SUM(M$4:M423)</f>
        <v>0</v>
      </c>
      <c r="N424" s="1316">
        <f t="shared" si="86"/>
        <v>0</v>
      </c>
      <c r="O424" s="1317">
        <f t="shared" si="75"/>
        <v>0</v>
      </c>
      <c r="P424" s="1318"/>
      <c r="Q424" s="1319"/>
      <c r="R424" s="1320">
        <f t="shared" si="76"/>
        <v>0</v>
      </c>
      <c r="S424" s="1316">
        <f t="shared" si="77"/>
        <v>0</v>
      </c>
      <c r="T424" s="712"/>
      <c r="U424" s="713"/>
      <c r="V424" s="714"/>
      <c r="W424" s="398">
        <f t="shared" si="84"/>
        <v>0</v>
      </c>
      <c r="X424" s="712"/>
      <c r="Y424" s="713"/>
      <c r="Z424" s="714"/>
      <c r="AA424" s="398">
        <f t="shared" si="79"/>
        <v>0</v>
      </c>
      <c r="AB424" s="712"/>
      <c r="AC424" s="713"/>
      <c r="AD424" s="714"/>
      <c r="AE424" s="398">
        <f t="shared" si="80"/>
        <v>0</v>
      </c>
      <c r="AF424" s="712"/>
      <c r="AG424" s="713"/>
      <c r="AH424" s="714"/>
      <c r="AI424" s="398">
        <f t="shared" si="81"/>
        <v>0</v>
      </c>
      <c r="AJ424" s="712"/>
      <c r="AK424" s="713"/>
      <c r="AL424" s="714"/>
      <c r="AM424" s="398">
        <f t="shared" si="82"/>
        <v>0</v>
      </c>
    </row>
    <row r="425" spans="1:39" ht="15.75" customHeight="1" x14ac:dyDescent="0.3">
      <c r="A425" s="2161"/>
      <c r="B425" s="1313" t="str">
        <f t="shared" si="78"/>
        <v/>
      </c>
      <c r="C425" s="1011">
        <f>IF($D$2="NO",0,ROUNDDOWN(SUM(PROD!$V$5:V426)/IF(Iniciar!$C$25="kilos",40,1),0)-SUM($C$4:$C424))</f>
        <v>0</v>
      </c>
      <c r="D425" s="702"/>
      <c r="E425" s="702"/>
      <c r="F425" s="300">
        <f t="shared" si="83"/>
        <v>-75000</v>
      </c>
      <c r="G425" s="694"/>
      <c r="H425" s="695"/>
      <c r="I425" s="1314"/>
      <c r="J425" s="1315">
        <f>IF(K$1&gt;0,ROUNDUP(SUM(PROD!AM$5:AM426)/K$1*K$2,0),0)-SUM(J$4:J424)</f>
        <v>0</v>
      </c>
      <c r="K425" s="1316">
        <f t="shared" si="85"/>
        <v>0</v>
      </c>
      <c r="L425" s="1314"/>
      <c r="M425" s="1315">
        <f>IF(N$1&gt;0,ROUNDUP(SUM(PROD!L$5:L426,-PROD!AM$5:AM426,-PROD!AZ$5:AZ426)/N$1*N$2,0),0)-SUM(M$4:M424)</f>
        <v>0</v>
      </c>
      <c r="N425" s="1316">
        <f t="shared" si="86"/>
        <v>0</v>
      </c>
      <c r="O425" s="1317">
        <f t="shared" si="75"/>
        <v>0</v>
      </c>
      <c r="P425" s="1318"/>
      <c r="Q425" s="1319"/>
      <c r="R425" s="1320">
        <f t="shared" si="76"/>
        <v>0</v>
      </c>
      <c r="S425" s="1316">
        <f t="shared" si="77"/>
        <v>0</v>
      </c>
      <c r="T425" s="712"/>
      <c r="U425" s="713"/>
      <c r="V425" s="714"/>
      <c r="W425" s="398">
        <f t="shared" si="84"/>
        <v>0</v>
      </c>
      <c r="X425" s="712"/>
      <c r="Y425" s="713"/>
      <c r="Z425" s="714"/>
      <c r="AA425" s="398">
        <f t="shared" si="79"/>
        <v>0</v>
      </c>
      <c r="AB425" s="712"/>
      <c r="AC425" s="713"/>
      <c r="AD425" s="714"/>
      <c r="AE425" s="398">
        <f t="shared" si="80"/>
        <v>0</v>
      </c>
      <c r="AF425" s="712"/>
      <c r="AG425" s="713"/>
      <c r="AH425" s="714"/>
      <c r="AI425" s="398">
        <f t="shared" si="81"/>
        <v>0</v>
      </c>
      <c r="AJ425" s="712"/>
      <c r="AK425" s="713"/>
      <c r="AL425" s="714"/>
      <c r="AM425" s="398">
        <f t="shared" si="82"/>
        <v>0</v>
      </c>
    </row>
    <row r="426" spans="1:39" ht="15.75" customHeight="1" x14ac:dyDescent="0.3">
      <c r="A426" s="2161"/>
      <c r="B426" s="1313" t="str">
        <f t="shared" si="78"/>
        <v/>
      </c>
      <c r="C426" s="1011">
        <f>IF($D$2="NO",0,ROUNDDOWN(SUM(PROD!$V$5:V427)/IF(Iniciar!$C$25="kilos",40,1),0)-SUM($C$4:$C425))</f>
        <v>0</v>
      </c>
      <c r="D426" s="702"/>
      <c r="E426" s="702"/>
      <c r="F426" s="300">
        <f t="shared" si="83"/>
        <v>-75000</v>
      </c>
      <c r="G426" s="694"/>
      <c r="H426" s="695"/>
      <c r="I426" s="1314"/>
      <c r="J426" s="1315">
        <f>IF(K$1&gt;0,ROUNDUP(SUM(PROD!AM$5:AM427)/K$1*K$2,0),0)-SUM(J$4:J425)</f>
        <v>0</v>
      </c>
      <c r="K426" s="1316">
        <f t="shared" si="85"/>
        <v>0</v>
      </c>
      <c r="L426" s="1314"/>
      <c r="M426" s="1315">
        <f>IF(N$1&gt;0,ROUNDUP(SUM(PROD!L$5:L427,-PROD!AM$5:AM427,-PROD!AZ$5:AZ427)/N$1*N$2,0),0)-SUM(M$4:M425)</f>
        <v>0</v>
      </c>
      <c r="N426" s="1316">
        <f t="shared" si="86"/>
        <v>0</v>
      </c>
      <c r="O426" s="1317">
        <f t="shared" si="75"/>
        <v>0</v>
      </c>
      <c r="P426" s="1318"/>
      <c r="Q426" s="1319"/>
      <c r="R426" s="1320">
        <f t="shared" si="76"/>
        <v>0</v>
      </c>
      <c r="S426" s="1316">
        <f t="shared" si="77"/>
        <v>0</v>
      </c>
      <c r="T426" s="712"/>
      <c r="U426" s="713"/>
      <c r="V426" s="714"/>
      <c r="W426" s="398">
        <f t="shared" si="84"/>
        <v>0</v>
      </c>
      <c r="X426" s="712"/>
      <c r="Y426" s="713"/>
      <c r="Z426" s="714"/>
      <c r="AA426" s="398">
        <f t="shared" si="79"/>
        <v>0</v>
      </c>
      <c r="AB426" s="712"/>
      <c r="AC426" s="713"/>
      <c r="AD426" s="714"/>
      <c r="AE426" s="398">
        <f t="shared" si="80"/>
        <v>0</v>
      </c>
      <c r="AF426" s="712"/>
      <c r="AG426" s="713"/>
      <c r="AH426" s="714"/>
      <c r="AI426" s="398">
        <f t="shared" si="81"/>
        <v>0</v>
      </c>
      <c r="AJ426" s="712"/>
      <c r="AK426" s="713"/>
      <c r="AL426" s="714"/>
      <c r="AM426" s="398">
        <f t="shared" si="82"/>
        <v>0</v>
      </c>
    </row>
    <row r="427" spans="1:39" ht="15.75" customHeight="1" x14ac:dyDescent="0.3">
      <c r="A427" s="2161"/>
      <c r="B427" s="1313" t="str">
        <f t="shared" si="78"/>
        <v/>
      </c>
      <c r="C427" s="1011">
        <f>IF($D$2="NO",0,ROUNDDOWN(SUM(PROD!$V$5:V428)/IF(Iniciar!$C$25="kilos",40,1),0)-SUM($C$4:$C426))</f>
        <v>0</v>
      </c>
      <c r="D427" s="702"/>
      <c r="E427" s="702"/>
      <c r="F427" s="300">
        <f t="shared" si="83"/>
        <v>-75000</v>
      </c>
      <c r="G427" s="694"/>
      <c r="H427" s="695"/>
      <c r="I427" s="1314"/>
      <c r="J427" s="1315">
        <f>IF(K$1&gt;0,ROUNDUP(SUM(PROD!AM$5:AM428)/K$1*K$2,0),0)-SUM(J$4:J426)</f>
        <v>0</v>
      </c>
      <c r="K427" s="1316">
        <f t="shared" si="85"/>
        <v>0</v>
      </c>
      <c r="L427" s="1314"/>
      <c r="M427" s="1315">
        <f>IF(N$1&gt;0,ROUNDUP(SUM(PROD!L$5:L428,-PROD!AM$5:AM428,-PROD!AZ$5:AZ428)/N$1*N$2,0),0)-SUM(M$4:M426)</f>
        <v>0</v>
      </c>
      <c r="N427" s="1316">
        <f t="shared" si="86"/>
        <v>0</v>
      </c>
      <c r="O427" s="1317">
        <f t="shared" si="75"/>
        <v>0</v>
      </c>
      <c r="P427" s="1318"/>
      <c r="Q427" s="1319"/>
      <c r="R427" s="1320">
        <f t="shared" si="76"/>
        <v>0</v>
      </c>
      <c r="S427" s="1316">
        <f t="shared" si="77"/>
        <v>0</v>
      </c>
      <c r="T427" s="712"/>
      <c r="U427" s="713"/>
      <c r="V427" s="714"/>
      <c r="W427" s="398">
        <f t="shared" si="84"/>
        <v>0</v>
      </c>
      <c r="X427" s="712"/>
      <c r="Y427" s="713"/>
      <c r="Z427" s="714"/>
      <c r="AA427" s="398">
        <f t="shared" si="79"/>
        <v>0</v>
      </c>
      <c r="AB427" s="712"/>
      <c r="AC427" s="713"/>
      <c r="AD427" s="714"/>
      <c r="AE427" s="398">
        <f t="shared" si="80"/>
        <v>0</v>
      </c>
      <c r="AF427" s="712"/>
      <c r="AG427" s="713"/>
      <c r="AH427" s="714"/>
      <c r="AI427" s="398">
        <f t="shared" si="81"/>
        <v>0</v>
      </c>
      <c r="AJ427" s="712"/>
      <c r="AK427" s="713"/>
      <c r="AL427" s="714"/>
      <c r="AM427" s="398">
        <f t="shared" si="82"/>
        <v>0</v>
      </c>
    </row>
    <row r="428" spans="1:39" ht="15.75" customHeight="1" x14ac:dyDescent="0.3">
      <c r="A428" s="2161"/>
      <c r="B428" s="1313" t="str">
        <f t="shared" si="78"/>
        <v/>
      </c>
      <c r="C428" s="1011">
        <f>IF($D$2="NO",0,ROUNDDOWN(SUM(PROD!$V$5:V429)/IF(Iniciar!$C$25="kilos",40,1),0)-SUM($C$4:$C427))</f>
        <v>0</v>
      </c>
      <c r="D428" s="702"/>
      <c r="E428" s="702"/>
      <c r="F428" s="300">
        <f t="shared" si="83"/>
        <v>-75000</v>
      </c>
      <c r="G428" s="694"/>
      <c r="H428" s="695"/>
      <c r="I428" s="1314"/>
      <c r="J428" s="1315">
        <f>IF(K$1&gt;0,ROUNDUP(SUM(PROD!AM$5:AM429)/K$1*K$2,0),0)-SUM(J$4:J427)</f>
        <v>0</v>
      </c>
      <c r="K428" s="1316">
        <f t="shared" si="85"/>
        <v>0</v>
      </c>
      <c r="L428" s="1314"/>
      <c r="M428" s="1315">
        <f>IF(N$1&gt;0,ROUNDUP(SUM(PROD!L$5:L429,-PROD!AM$5:AM429,-PROD!AZ$5:AZ429)/N$1*N$2,0),0)-SUM(M$4:M427)</f>
        <v>0</v>
      </c>
      <c r="N428" s="1316">
        <f t="shared" si="86"/>
        <v>0</v>
      </c>
      <c r="O428" s="1317">
        <f t="shared" si="75"/>
        <v>0</v>
      </c>
      <c r="P428" s="1318"/>
      <c r="Q428" s="1319"/>
      <c r="R428" s="1320">
        <f t="shared" si="76"/>
        <v>0</v>
      </c>
      <c r="S428" s="1316">
        <f t="shared" si="77"/>
        <v>0</v>
      </c>
      <c r="T428" s="712"/>
      <c r="U428" s="713"/>
      <c r="V428" s="714"/>
      <c r="W428" s="398">
        <f t="shared" si="84"/>
        <v>0</v>
      </c>
      <c r="X428" s="712"/>
      <c r="Y428" s="713"/>
      <c r="Z428" s="714"/>
      <c r="AA428" s="398">
        <f t="shared" si="79"/>
        <v>0</v>
      </c>
      <c r="AB428" s="712"/>
      <c r="AC428" s="713"/>
      <c r="AD428" s="714"/>
      <c r="AE428" s="398">
        <f t="shared" si="80"/>
        <v>0</v>
      </c>
      <c r="AF428" s="712"/>
      <c r="AG428" s="713"/>
      <c r="AH428" s="714"/>
      <c r="AI428" s="398">
        <f t="shared" si="81"/>
        <v>0</v>
      </c>
      <c r="AJ428" s="712"/>
      <c r="AK428" s="713"/>
      <c r="AL428" s="714"/>
      <c r="AM428" s="398">
        <f t="shared" si="82"/>
        <v>0</v>
      </c>
    </row>
    <row r="429" spans="1:39" ht="15.75" customHeight="1" x14ac:dyDescent="0.3">
      <c r="A429" s="2161"/>
      <c r="B429" s="1313" t="str">
        <f t="shared" si="78"/>
        <v/>
      </c>
      <c r="C429" s="1011">
        <f>IF($D$2="NO",0,ROUNDDOWN(SUM(PROD!$V$5:V430)/IF(Iniciar!$C$25="kilos",40,1),0)-SUM($C$4:$C428))</f>
        <v>0</v>
      </c>
      <c r="D429" s="702"/>
      <c r="E429" s="702"/>
      <c r="F429" s="300">
        <f t="shared" si="83"/>
        <v>-75000</v>
      </c>
      <c r="G429" s="694"/>
      <c r="H429" s="695"/>
      <c r="I429" s="1314"/>
      <c r="J429" s="1315">
        <f>IF(K$1&gt;0,ROUNDUP(SUM(PROD!AM$5:AM430)/K$1*K$2,0),0)-SUM(J$4:J428)</f>
        <v>0</v>
      </c>
      <c r="K429" s="1316">
        <f t="shared" si="85"/>
        <v>0</v>
      </c>
      <c r="L429" s="1314"/>
      <c r="M429" s="1315">
        <f>IF(N$1&gt;0,ROUNDUP(SUM(PROD!L$5:L430,-PROD!AM$5:AM430,-PROD!AZ$5:AZ430)/N$1*N$2,0),0)-SUM(M$4:M428)</f>
        <v>0</v>
      </c>
      <c r="N429" s="1316">
        <f t="shared" si="86"/>
        <v>0</v>
      </c>
      <c r="O429" s="1317">
        <f t="shared" si="75"/>
        <v>0</v>
      </c>
      <c r="P429" s="1318"/>
      <c r="Q429" s="1319"/>
      <c r="R429" s="1320">
        <f t="shared" si="76"/>
        <v>0</v>
      </c>
      <c r="S429" s="1316">
        <f t="shared" si="77"/>
        <v>0</v>
      </c>
      <c r="T429" s="712"/>
      <c r="U429" s="713"/>
      <c r="V429" s="714"/>
      <c r="W429" s="398">
        <f t="shared" si="84"/>
        <v>0</v>
      </c>
      <c r="X429" s="712"/>
      <c r="Y429" s="713"/>
      <c r="Z429" s="714"/>
      <c r="AA429" s="398">
        <f t="shared" si="79"/>
        <v>0</v>
      </c>
      <c r="AB429" s="712"/>
      <c r="AC429" s="713"/>
      <c r="AD429" s="714"/>
      <c r="AE429" s="398">
        <f t="shared" si="80"/>
        <v>0</v>
      </c>
      <c r="AF429" s="712"/>
      <c r="AG429" s="713"/>
      <c r="AH429" s="714"/>
      <c r="AI429" s="398">
        <f t="shared" si="81"/>
        <v>0</v>
      </c>
      <c r="AJ429" s="712"/>
      <c r="AK429" s="713"/>
      <c r="AL429" s="714"/>
      <c r="AM429" s="398">
        <f t="shared" si="82"/>
        <v>0</v>
      </c>
    </row>
    <row r="430" spans="1:39" ht="16.5" customHeight="1" x14ac:dyDescent="0.3">
      <c r="A430" s="2162"/>
      <c r="B430" s="1313" t="str">
        <f t="shared" si="78"/>
        <v/>
      </c>
      <c r="C430" s="1011">
        <f>IF($D$2="NO",0,ROUNDDOWN(SUM(PROD!$V$5:V431)/IF(Iniciar!$C$25="kilos",40,1),0)-SUM($C$4:$C429))</f>
        <v>0</v>
      </c>
      <c r="D430" s="702"/>
      <c r="E430" s="702"/>
      <c r="F430" s="300">
        <f t="shared" si="83"/>
        <v>-75000</v>
      </c>
      <c r="G430" s="694"/>
      <c r="H430" s="695"/>
      <c r="I430" s="1314"/>
      <c r="J430" s="1315">
        <f>IF(K$1&gt;0,ROUNDUP(SUM(PROD!AM$5:AM431)/K$1*K$2,0),0)-SUM(J$4:J429)</f>
        <v>0</v>
      </c>
      <c r="K430" s="1316">
        <f t="shared" si="85"/>
        <v>0</v>
      </c>
      <c r="L430" s="1314"/>
      <c r="M430" s="1315">
        <f>IF(N$1&gt;0,ROUNDUP(SUM(PROD!L$5:L431,-PROD!AM$5:AM431,-PROD!AZ$5:AZ431)/N$1*N$2,0),0)-SUM(M$4:M429)</f>
        <v>0</v>
      </c>
      <c r="N430" s="1316">
        <f t="shared" si="86"/>
        <v>0</v>
      </c>
      <c r="O430" s="1317">
        <f t="shared" si="75"/>
        <v>0</v>
      </c>
      <c r="P430" s="1318"/>
      <c r="Q430" s="1319"/>
      <c r="R430" s="1320">
        <f t="shared" si="76"/>
        <v>0</v>
      </c>
      <c r="S430" s="1316">
        <f t="shared" si="77"/>
        <v>0</v>
      </c>
      <c r="T430" s="712"/>
      <c r="U430" s="713"/>
      <c r="V430" s="714"/>
      <c r="W430" s="398">
        <f t="shared" si="84"/>
        <v>0</v>
      </c>
      <c r="X430" s="712"/>
      <c r="Y430" s="713"/>
      <c r="Z430" s="714"/>
      <c r="AA430" s="398">
        <f t="shared" si="79"/>
        <v>0</v>
      </c>
      <c r="AB430" s="712"/>
      <c r="AC430" s="713"/>
      <c r="AD430" s="714"/>
      <c r="AE430" s="398">
        <f t="shared" si="80"/>
        <v>0</v>
      </c>
      <c r="AF430" s="712"/>
      <c r="AG430" s="713"/>
      <c r="AH430" s="714"/>
      <c r="AI430" s="398">
        <f t="shared" si="81"/>
        <v>0</v>
      </c>
      <c r="AJ430" s="712"/>
      <c r="AK430" s="713"/>
      <c r="AL430" s="714"/>
      <c r="AM430" s="398">
        <f t="shared" si="82"/>
        <v>0</v>
      </c>
    </row>
    <row r="431" spans="1:39" ht="16.5" customHeight="1" x14ac:dyDescent="0.3">
      <c r="A431" s="2160">
        <f>A424+1</f>
        <v>79</v>
      </c>
      <c r="B431" s="1313" t="str">
        <f t="shared" si="78"/>
        <v/>
      </c>
      <c r="C431" s="1011">
        <f>IF($D$2="NO",0,ROUNDDOWN(SUM(PROD!$V$5:V432)/IF(Iniciar!$C$25="kilos",40,1),0)-SUM($C$4:$C430))</f>
        <v>0</v>
      </c>
      <c r="D431" s="702"/>
      <c r="E431" s="702">
        <v>20000</v>
      </c>
      <c r="F431" s="300">
        <f t="shared" si="83"/>
        <v>-95000</v>
      </c>
      <c r="G431" s="694"/>
      <c r="H431" s="695"/>
      <c r="I431" s="1314"/>
      <c r="J431" s="1315">
        <f>IF(K$1&gt;0,ROUNDUP(SUM(PROD!AM$5:AM432)/K$1*K$2,0),0)-SUM(J$4:J430)</f>
        <v>0</v>
      </c>
      <c r="K431" s="1316">
        <f t="shared" si="85"/>
        <v>0</v>
      </c>
      <c r="L431" s="1314"/>
      <c r="M431" s="1315">
        <f>IF(N$1&gt;0,ROUNDUP(SUM(PROD!L$5:L432,-PROD!AM$5:AM432,-PROD!AZ$5:AZ432)/N$1*N$2,0),0)-SUM(M$4:M430)</f>
        <v>0</v>
      </c>
      <c r="N431" s="1316">
        <f t="shared" si="86"/>
        <v>0</v>
      </c>
      <c r="O431" s="1317">
        <f t="shared" si="75"/>
        <v>0</v>
      </c>
      <c r="P431" s="1318"/>
      <c r="Q431" s="1319"/>
      <c r="R431" s="1320">
        <f t="shared" si="76"/>
        <v>0</v>
      </c>
      <c r="S431" s="1316">
        <f t="shared" si="77"/>
        <v>0</v>
      </c>
      <c r="T431" s="712"/>
      <c r="U431" s="713"/>
      <c r="V431" s="714"/>
      <c r="W431" s="398">
        <f t="shared" si="84"/>
        <v>0</v>
      </c>
      <c r="X431" s="712"/>
      <c r="Y431" s="713"/>
      <c r="Z431" s="714"/>
      <c r="AA431" s="398">
        <f t="shared" si="79"/>
        <v>0</v>
      </c>
      <c r="AB431" s="712"/>
      <c r="AC431" s="713"/>
      <c r="AD431" s="714"/>
      <c r="AE431" s="398">
        <f t="shared" si="80"/>
        <v>0</v>
      </c>
      <c r="AF431" s="712"/>
      <c r="AG431" s="713"/>
      <c r="AH431" s="714"/>
      <c r="AI431" s="398">
        <f t="shared" si="81"/>
        <v>0</v>
      </c>
      <c r="AJ431" s="712"/>
      <c r="AK431" s="713"/>
      <c r="AL431" s="714"/>
      <c r="AM431" s="398">
        <f t="shared" si="82"/>
        <v>0</v>
      </c>
    </row>
    <row r="432" spans="1:39" ht="15.75" customHeight="1" x14ac:dyDescent="0.3">
      <c r="A432" s="2161"/>
      <c r="B432" s="1313" t="str">
        <f t="shared" si="78"/>
        <v/>
      </c>
      <c r="C432" s="1011">
        <f>IF($D$2="NO",0,ROUNDDOWN(SUM(PROD!$V$5:V433)/IF(Iniciar!$C$25="kilos",40,1),0)-SUM($C$4:$C431))</f>
        <v>0</v>
      </c>
      <c r="D432" s="702"/>
      <c r="E432" s="702"/>
      <c r="F432" s="300">
        <f t="shared" si="83"/>
        <v>-95000</v>
      </c>
      <c r="G432" s="694"/>
      <c r="H432" s="695"/>
      <c r="I432" s="1314"/>
      <c r="J432" s="1315">
        <f>IF(K$1&gt;0,ROUNDUP(SUM(PROD!AM$5:AM433)/K$1*K$2,0),0)-SUM(J$4:J431)</f>
        <v>0</v>
      </c>
      <c r="K432" s="1316">
        <f t="shared" si="85"/>
        <v>0</v>
      </c>
      <c r="L432" s="1314"/>
      <c r="M432" s="1315">
        <f>IF(N$1&gt;0,ROUNDUP(SUM(PROD!L$5:L433,-PROD!AM$5:AM433,-PROD!AZ$5:AZ433)/N$1*N$2,0),0)-SUM(M$4:M431)</f>
        <v>0</v>
      </c>
      <c r="N432" s="1316">
        <f t="shared" si="86"/>
        <v>0</v>
      </c>
      <c r="O432" s="1317">
        <f t="shared" si="75"/>
        <v>0</v>
      </c>
      <c r="P432" s="1318"/>
      <c r="Q432" s="1319"/>
      <c r="R432" s="1320">
        <f t="shared" si="76"/>
        <v>0</v>
      </c>
      <c r="S432" s="1316">
        <f t="shared" si="77"/>
        <v>0</v>
      </c>
      <c r="T432" s="712"/>
      <c r="U432" s="713"/>
      <c r="V432" s="714"/>
      <c r="W432" s="398">
        <f t="shared" si="84"/>
        <v>0</v>
      </c>
      <c r="X432" s="712"/>
      <c r="Y432" s="713"/>
      <c r="Z432" s="714"/>
      <c r="AA432" s="398">
        <f t="shared" si="79"/>
        <v>0</v>
      </c>
      <c r="AB432" s="712"/>
      <c r="AC432" s="713"/>
      <c r="AD432" s="714"/>
      <c r="AE432" s="398">
        <f t="shared" si="80"/>
        <v>0</v>
      </c>
      <c r="AF432" s="712"/>
      <c r="AG432" s="713"/>
      <c r="AH432" s="714"/>
      <c r="AI432" s="398">
        <f t="shared" si="81"/>
        <v>0</v>
      </c>
      <c r="AJ432" s="712"/>
      <c r="AK432" s="713"/>
      <c r="AL432" s="714"/>
      <c r="AM432" s="398">
        <f t="shared" si="82"/>
        <v>0</v>
      </c>
    </row>
    <row r="433" spans="1:39" ht="15.75" customHeight="1" x14ac:dyDescent="0.3">
      <c r="A433" s="2161"/>
      <c r="B433" s="1313" t="str">
        <f t="shared" si="78"/>
        <v/>
      </c>
      <c r="C433" s="1011">
        <f>IF($D$2="NO",0,ROUNDDOWN(SUM(PROD!$V$5:V434)/IF(Iniciar!$C$25="kilos",40,1),0)-SUM($C$4:$C432))</f>
        <v>0</v>
      </c>
      <c r="D433" s="702"/>
      <c r="E433" s="702"/>
      <c r="F433" s="300">
        <f t="shared" si="83"/>
        <v>-95000</v>
      </c>
      <c r="G433" s="694"/>
      <c r="H433" s="695"/>
      <c r="I433" s="1314"/>
      <c r="J433" s="1315">
        <f>IF(K$1&gt;0,ROUNDUP(SUM(PROD!AM$5:AM434)/K$1*K$2,0),0)-SUM(J$4:J432)</f>
        <v>0</v>
      </c>
      <c r="K433" s="1316">
        <f t="shared" si="85"/>
        <v>0</v>
      </c>
      <c r="L433" s="1314"/>
      <c r="M433" s="1315">
        <f>IF(N$1&gt;0,ROUNDUP(SUM(PROD!L$5:L434,-PROD!AM$5:AM434,-PROD!AZ$5:AZ434)/N$1*N$2,0),0)-SUM(M$4:M432)</f>
        <v>0</v>
      </c>
      <c r="N433" s="1316">
        <f t="shared" si="86"/>
        <v>0</v>
      </c>
      <c r="O433" s="1317">
        <f t="shared" si="75"/>
        <v>0</v>
      </c>
      <c r="P433" s="1318"/>
      <c r="Q433" s="1319"/>
      <c r="R433" s="1320">
        <f t="shared" si="76"/>
        <v>0</v>
      </c>
      <c r="S433" s="1316">
        <f t="shared" si="77"/>
        <v>0</v>
      </c>
      <c r="T433" s="712"/>
      <c r="U433" s="713"/>
      <c r="V433" s="714"/>
      <c r="W433" s="398">
        <f t="shared" si="84"/>
        <v>0</v>
      </c>
      <c r="X433" s="712"/>
      <c r="Y433" s="713"/>
      <c r="Z433" s="714"/>
      <c r="AA433" s="398">
        <f t="shared" si="79"/>
        <v>0</v>
      </c>
      <c r="AB433" s="712"/>
      <c r="AC433" s="713"/>
      <c r="AD433" s="714"/>
      <c r="AE433" s="398">
        <f t="shared" si="80"/>
        <v>0</v>
      </c>
      <c r="AF433" s="712"/>
      <c r="AG433" s="713"/>
      <c r="AH433" s="714"/>
      <c r="AI433" s="398">
        <f t="shared" si="81"/>
        <v>0</v>
      </c>
      <c r="AJ433" s="712"/>
      <c r="AK433" s="713"/>
      <c r="AL433" s="714"/>
      <c r="AM433" s="398">
        <f t="shared" si="82"/>
        <v>0</v>
      </c>
    </row>
    <row r="434" spans="1:39" ht="15.75" customHeight="1" x14ac:dyDescent="0.3">
      <c r="A434" s="2161"/>
      <c r="B434" s="1313" t="str">
        <f t="shared" si="78"/>
        <v/>
      </c>
      <c r="C434" s="1011">
        <f>IF($D$2="NO",0,ROUNDDOWN(SUM(PROD!$V$5:V435)/IF(Iniciar!$C$25="kilos",40,1),0)-SUM($C$4:$C433))</f>
        <v>0</v>
      </c>
      <c r="D434" s="702"/>
      <c r="E434" s="702"/>
      <c r="F434" s="300">
        <f t="shared" si="83"/>
        <v>-95000</v>
      </c>
      <c r="G434" s="694"/>
      <c r="H434" s="695"/>
      <c r="I434" s="1314"/>
      <c r="J434" s="1315">
        <f>IF(K$1&gt;0,ROUNDUP(SUM(PROD!AM$5:AM435)/K$1*K$2,0),0)-SUM(J$4:J433)</f>
        <v>0</v>
      </c>
      <c r="K434" s="1316">
        <f t="shared" si="85"/>
        <v>0</v>
      </c>
      <c r="L434" s="1314"/>
      <c r="M434" s="1315">
        <f>IF(N$1&gt;0,ROUNDUP(SUM(PROD!L$5:L435,-PROD!AM$5:AM435,-PROD!AZ$5:AZ435)/N$1*N$2,0),0)-SUM(M$4:M433)</f>
        <v>0</v>
      </c>
      <c r="N434" s="1316">
        <f t="shared" si="86"/>
        <v>0</v>
      </c>
      <c r="O434" s="1317">
        <f t="shared" si="75"/>
        <v>0</v>
      </c>
      <c r="P434" s="1318"/>
      <c r="Q434" s="1319"/>
      <c r="R434" s="1320">
        <f t="shared" si="76"/>
        <v>0</v>
      </c>
      <c r="S434" s="1316">
        <f t="shared" si="77"/>
        <v>0</v>
      </c>
      <c r="T434" s="712"/>
      <c r="U434" s="713"/>
      <c r="V434" s="714"/>
      <c r="W434" s="398">
        <f t="shared" si="84"/>
        <v>0</v>
      </c>
      <c r="X434" s="712"/>
      <c r="Y434" s="713"/>
      <c r="Z434" s="714"/>
      <c r="AA434" s="398">
        <f t="shared" si="79"/>
        <v>0</v>
      </c>
      <c r="AB434" s="712"/>
      <c r="AC434" s="713"/>
      <c r="AD434" s="714"/>
      <c r="AE434" s="398">
        <f t="shared" si="80"/>
        <v>0</v>
      </c>
      <c r="AF434" s="712"/>
      <c r="AG434" s="713"/>
      <c r="AH434" s="714"/>
      <c r="AI434" s="398">
        <f t="shared" si="81"/>
        <v>0</v>
      </c>
      <c r="AJ434" s="712"/>
      <c r="AK434" s="713"/>
      <c r="AL434" s="714"/>
      <c r="AM434" s="398">
        <f t="shared" si="82"/>
        <v>0</v>
      </c>
    </row>
    <row r="435" spans="1:39" ht="15.75" customHeight="1" x14ac:dyDescent="0.3">
      <c r="A435" s="2161"/>
      <c r="B435" s="1313" t="str">
        <f t="shared" si="78"/>
        <v/>
      </c>
      <c r="C435" s="1011">
        <f>IF($D$2="NO",0,ROUNDDOWN(SUM(PROD!$V$5:V436)/IF(Iniciar!$C$25="kilos",40,1),0)-SUM($C$4:$C434))</f>
        <v>0</v>
      </c>
      <c r="D435" s="702"/>
      <c r="E435" s="702"/>
      <c r="F435" s="300">
        <f t="shared" si="83"/>
        <v>-95000</v>
      </c>
      <c r="G435" s="694"/>
      <c r="H435" s="695"/>
      <c r="I435" s="1314"/>
      <c r="J435" s="1315">
        <f>IF(K$1&gt;0,ROUNDUP(SUM(PROD!AM$5:AM436)/K$1*K$2,0),0)-SUM(J$4:J434)</f>
        <v>0</v>
      </c>
      <c r="K435" s="1316">
        <f t="shared" si="85"/>
        <v>0</v>
      </c>
      <c r="L435" s="1314"/>
      <c r="M435" s="1315">
        <f>IF(N$1&gt;0,ROUNDUP(SUM(PROD!L$5:L436,-PROD!AM$5:AM436,-PROD!AZ$5:AZ436)/N$1*N$2,0),0)-SUM(M$4:M434)</f>
        <v>0</v>
      </c>
      <c r="N435" s="1316">
        <f t="shared" si="86"/>
        <v>0</v>
      </c>
      <c r="O435" s="1317">
        <f t="shared" si="75"/>
        <v>0</v>
      </c>
      <c r="P435" s="1318"/>
      <c r="Q435" s="1319"/>
      <c r="R435" s="1320">
        <f t="shared" si="76"/>
        <v>0</v>
      </c>
      <c r="S435" s="1316">
        <f t="shared" si="77"/>
        <v>0</v>
      </c>
      <c r="T435" s="712"/>
      <c r="U435" s="713"/>
      <c r="V435" s="714"/>
      <c r="W435" s="398">
        <f t="shared" si="84"/>
        <v>0</v>
      </c>
      <c r="X435" s="712"/>
      <c r="Y435" s="713"/>
      <c r="Z435" s="714"/>
      <c r="AA435" s="398">
        <f t="shared" si="79"/>
        <v>0</v>
      </c>
      <c r="AB435" s="712"/>
      <c r="AC435" s="713"/>
      <c r="AD435" s="714"/>
      <c r="AE435" s="398">
        <f t="shared" si="80"/>
        <v>0</v>
      </c>
      <c r="AF435" s="712"/>
      <c r="AG435" s="713"/>
      <c r="AH435" s="714"/>
      <c r="AI435" s="398">
        <f t="shared" si="81"/>
        <v>0</v>
      </c>
      <c r="AJ435" s="712"/>
      <c r="AK435" s="713"/>
      <c r="AL435" s="714"/>
      <c r="AM435" s="398">
        <f t="shared" si="82"/>
        <v>0</v>
      </c>
    </row>
    <row r="436" spans="1:39" ht="15.75" customHeight="1" x14ac:dyDescent="0.3">
      <c r="A436" s="2161"/>
      <c r="B436" s="1313" t="str">
        <f t="shared" si="78"/>
        <v/>
      </c>
      <c r="C436" s="1011">
        <f>IF($D$2="NO",0,ROUNDDOWN(SUM(PROD!$V$5:V437)/IF(Iniciar!$C$25="kilos",40,1),0)-SUM($C$4:$C435))</f>
        <v>0</v>
      </c>
      <c r="D436" s="702"/>
      <c r="E436" s="702"/>
      <c r="F436" s="300">
        <f t="shared" si="83"/>
        <v>-95000</v>
      </c>
      <c r="G436" s="694"/>
      <c r="H436" s="695"/>
      <c r="I436" s="1314"/>
      <c r="J436" s="1315">
        <f>IF(K$1&gt;0,ROUNDUP(SUM(PROD!AM$5:AM437)/K$1*K$2,0),0)-SUM(J$4:J435)</f>
        <v>0</v>
      </c>
      <c r="K436" s="1316">
        <f t="shared" si="85"/>
        <v>0</v>
      </c>
      <c r="L436" s="1314"/>
      <c r="M436" s="1315">
        <f>IF(N$1&gt;0,ROUNDUP(SUM(PROD!L$5:L437,-PROD!AM$5:AM437,-PROD!AZ$5:AZ437)/N$1*N$2,0),0)-SUM(M$4:M435)</f>
        <v>0</v>
      </c>
      <c r="N436" s="1316">
        <f t="shared" si="86"/>
        <v>0</v>
      </c>
      <c r="O436" s="1317">
        <f t="shared" si="75"/>
        <v>0</v>
      </c>
      <c r="P436" s="1318"/>
      <c r="Q436" s="1319"/>
      <c r="R436" s="1320">
        <f t="shared" si="76"/>
        <v>0</v>
      </c>
      <c r="S436" s="1316">
        <f t="shared" si="77"/>
        <v>0</v>
      </c>
      <c r="T436" s="712"/>
      <c r="U436" s="713"/>
      <c r="V436" s="714"/>
      <c r="W436" s="398">
        <f t="shared" si="84"/>
        <v>0</v>
      </c>
      <c r="X436" s="712"/>
      <c r="Y436" s="713"/>
      <c r="Z436" s="714"/>
      <c r="AA436" s="398">
        <f t="shared" si="79"/>
        <v>0</v>
      </c>
      <c r="AB436" s="712"/>
      <c r="AC436" s="713"/>
      <c r="AD436" s="714"/>
      <c r="AE436" s="398">
        <f t="shared" si="80"/>
        <v>0</v>
      </c>
      <c r="AF436" s="712"/>
      <c r="AG436" s="713"/>
      <c r="AH436" s="714"/>
      <c r="AI436" s="398">
        <f t="shared" si="81"/>
        <v>0</v>
      </c>
      <c r="AJ436" s="712"/>
      <c r="AK436" s="713"/>
      <c r="AL436" s="714"/>
      <c r="AM436" s="398">
        <f t="shared" si="82"/>
        <v>0</v>
      </c>
    </row>
    <row r="437" spans="1:39" ht="16.5" customHeight="1" x14ac:dyDescent="0.3">
      <c r="A437" s="2162"/>
      <c r="B437" s="1313" t="str">
        <f t="shared" si="78"/>
        <v/>
      </c>
      <c r="C437" s="1011">
        <f>IF($D$2="NO",0,ROUNDDOWN(SUM(PROD!$V$5:V438)/IF(Iniciar!$C$25="kilos",40,1),0)-SUM($C$4:$C436))</f>
        <v>0</v>
      </c>
      <c r="D437" s="702"/>
      <c r="E437" s="702"/>
      <c r="F437" s="300">
        <f t="shared" si="83"/>
        <v>-95000</v>
      </c>
      <c r="G437" s="694"/>
      <c r="H437" s="695"/>
      <c r="I437" s="1314"/>
      <c r="J437" s="1315">
        <f>IF(K$1&gt;0,ROUNDUP(SUM(PROD!AM$5:AM438)/K$1*K$2,0),0)-SUM(J$4:J436)</f>
        <v>0</v>
      </c>
      <c r="K437" s="1316">
        <f t="shared" si="85"/>
        <v>0</v>
      </c>
      <c r="L437" s="1314"/>
      <c r="M437" s="1315">
        <f>IF(N$1&gt;0,ROUNDUP(SUM(PROD!L$5:L438,-PROD!AM$5:AM438,-PROD!AZ$5:AZ438)/N$1*N$2,0),0)-SUM(M$4:M436)</f>
        <v>0</v>
      </c>
      <c r="N437" s="1316">
        <f t="shared" si="86"/>
        <v>0</v>
      </c>
      <c r="O437" s="1317">
        <f t="shared" si="75"/>
        <v>0</v>
      </c>
      <c r="P437" s="1318"/>
      <c r="Q437" s="1319"/>
      <c r="R437" s="1320">
        <f t="shared" si="76"/>
        <v>0</v>
      </c>
      <c r="S437" s="1316">
        <f t="shared" si="77"/>
        <v>0</v>
      </c>
      <c r="T437" s="712"/>
      <c r="U437" s="713"/>
      <c r="V437" s="714"/>
      <c r="W437" s="398">
        <f t="shared" si="84"/>
        <v>0</v>
      </c>
      <c r="X437" s="712"/>
      <c r="Y437" s="713"/>
      <c r="Z437" s="714"/>
      <c r="AA437" s="398">
        <f t="shared" si="79"/>
        <v>0</v>
      </c>
      <c r="AB437" s="712"/>
      <c r="AC437" s="713"/>
      <c r="AD437" s="714"/>
      <c r="AE437" s="398">
        <f t="shared" si="80"/>
        <v>0</v>
      </c>
      <c r="AF437" s="712"/>
      <c r="AG437" s="713"/>
      <c r="AH437" s="714"/>
      <c r="AI437" s="398">
        <f t="shared" si="81"/>
        <v>0</v>
      </c>
      <c r="AJ437" s="712"/>
      <c r="AK437" s="713"/>
      <c r="AL437" s="714"/>
      <c r="AM437" s="398">
        <f t="shared" si="82"/>
        <v>0</v>
      </c>
    </row>
    <row r="438" spans="1:39" ht="16.5" customHeight="1" x14ac:dyDescent="0.3">
      <c r="A438" s="2160">
        <f>A431+1</f>
        <v>80</v>
      </c>
      <c r="B438" s="1313" t="str">
        <f t="shared" si="78"/>
        <v/>
      </c>
      <c r="C438" s="1011">
        <f>IF($D$2="NO",0,ROUNDDOWN(SUM(PROD!$V$5:V439)/IF(Iniciar!$C$25="kilos",40,1),0)-SUM($C$4:$C437))</f>
        <v>0</v>
      </c>
      <c r="D438" s="702"/>
      <c r="E438" s="702"/>
      <c r="F438" s="300">
        <f t="shared" si="83"/>
        <v>-95000</v>
      </c>
      <c r="G438" s="694"/>
      <c r="H438" s="695"/>
      <c r="I438" s="1314"/>
      <c r="J438" s="1315">
        <f>IF(K$1&gt;0,ROUNDUP(SUM(PROD!AM$5:AM439)/K$1*K$2,0),0)-SUM(J$4:J437)</f>
        <v>0</v>
      </c>
      <c r="K438" s="1316">
        <f t="shared" si="85"/>
        <v>0</v>
      </c>
      <c r="L438" s="1314"/>
      <c r="M438" s="1315">
        <f>IF(N$1&gt;0,ROUNDUP(SUM(PROD!L$5:L439,-PROD!AM$5:AM439,-PROD!AZ$5:AZ439)/N$1*N$2,0),0)-SUM(M$4:M437)</f>
        <v>0</v>
      </c>
      <c r="N438" s="1316">
        <f t="shared" si="86"/>
        <v>0</v>
      </c>
      <c r="O438" s="1317">
        <f t="shared" si="75"/>
        <v>0</v>
      </c>
      <c r="P438" s="1318"/>
      <c r="Q438" s="1319"/>
      <c r="R438" s="1320">
        <f t="shared" si="76"/>
        <v>0</v>
      </c>
      <c r="S438" s="1316">
        <f t="shared" si="77"/>
        <v>0</v>
      </c>
      <c r="T438" s="712"/>
      <c r="U438" s="713"/>
      <c r="V438" s="714"/>
      <c r="W438" s="398">
        <f t="shared" si="84"/>
        <v>0</v>
      </c>
      <c r="X438" s="712"/>
      <c r="Y438" s="713"/>
      <c r="Z438" s="714"/>
      <c r="AA438" s="398">
        <f t="shared" si="79"/>
        <v>0</v>
      </c>
      <c r="AB438" s="712"/>
      <c r="AC438" s="713"/>
      <c r="AD438" s="714"/>
      <c r="AE438" s="398">
        <f t="shared" si="80"/>
        <v>0</v>
      </c>
      <c r="AF438" s="712"/>
      <c r="AG438" s="713"/>
      <c r="AH438" s="714"/>
      <c r="AI438" s="398">
        <f t="shared" si="81"/>
        <v>0</v>
      </c>
      <c r="AJ438" s="712"/>
      <c r="AK438" s="713"/>
      <c r="AL438" s="714"/>
      <c r="AM438" s="398">
        <f t="shared" si="82"/>
        <v>0</v>
      </c>
    </row>
    <row r="439" spans="1:39" ht="15.75" customHeight="1" x14ac:dyDescent="0.3">
      <c r="A439" s="2161"/>
      <c r="B439" s="1313" t="str">
        <f t="shared" si="78"/>
        <v/>
      </c>
      <c r="C439" s="1011">
        <f>IF($D$2="NO",0,ROUNDDOWN(SUM(PROD!$V$5:V440)/IF(Iniciar!$C$25="kilos",40,1),0)-SUM($C$4:$C438))</f>
        <v>0</v>
      </c>
      <c r="D439" s="702"/>
      <c r="E439" s="702"/>
      <c r="F439" s="300">
        <f t="shared" si="83"/>
        <v>-95000</v>
      </c>
      <c r="G439" s="694"/>
      <c r="H439" s="695"/>
      <c r="I439" s="1314"/>
      <c r="J439" s="1315">
        <f>IF(K$1&gt;0,ROUNDUP(SUM(PROD!AM$5:AM440)/K$1*K$2,0),0)-SUM(J$4:J438)</f>
        <v>0</v>
      </c>
      <c r="K439" s="1316">
        <f t="shared" si="85"/>
        <v>0</v>
      </c>
      <c r="L439" s="1314"/>
      <c r="M439" s="1315">
        <f>IF(N$1&gt;0,ROUNDUP(SUM(PROD!L$5:L440,-PROD!AM$5:AM440,-PROD!AZ$5:AZ440)/N$1*N$2,0),0)-SUM(M$4:M438)</f>
        <v>0</v>
      </c>
      <c r="N439" s="1316">
        <f t="shared" si="86"/>
        <v>0</v>
      </c>
      <c r="O439" s="1317">
        <f t="shared" si="75"/>
        <v>0</v>
      </c>
      <c r="P439" s="1318"/>
      <c r="Q439" s="1319"/>
      <c r="R439" s="1320">
        <f t="shared" si="76"/>
        <v>0</v>
      </c>
      <c r="S439" s="1316">
        <f t="shared" si="77"/>
        <v>0</v>
      </c>
      <c r="T439" s="712"/>
      <c r="U439" s="713"/>
      <c r="V439" s="714"/>
      <c r="W439" s="398">
        <f t="shared" si="84"/>
        <v>0</v>
      </c>
      <c r="X439" s="712"/>
      <c r="Y439" s="713"/>
      <c r="Z439" s="714"/>
      <c r="AA439" s="398">
        <f t="shared" si="79"/>
        <v>0</v>
      </c>
      <c r="AB439" s="712"/>
      <c r="AC439" s="713"/>
      <c r="AD439" s="714"/>
      <c r="AE439" s="398">
        <f t="shared" si="80"/>
        <v>0</v>
      </c>
      <c r="AF439" s="712"/>
      <c r="AG439" s="713"/>
      <c r="AH439" s="714"/>
      <c r="AI439" s="398">
        <f t="shared" si="81"/>
        <v>0</v>
      </c>
      <c r="AJ439" s="712"/>
      <c r="AK439" s="713"/>
      <c r="AL439" s="714"/>
      <c r="AM439" s="398">
        <f t="shared" si="82"/>
        <v>0</v>
      </c>
    </row>
    <row r="440" spans="1:39" ht="15.75" customHeight="1" x14ac:dyDescent="0.3">
      <c r="A440" s="2161"/>
      <c r="B440" s="1313" t="str">
        <f t="shared" si="78"/>
        <v/>
      </c>
      <c r="C440" s="1011">
        <f>IF($D$2="NO",0,ROUNDDOWN(SUM(PROD!$V$5:V441)/IF(Iniciar!$C$25="kilos",40,1),0)-SUM($C$4:$C439))</f>
        <v>0</v>
      </c>
      <c r="D440" s="702"/>
      <c r="E440" s="702"/>
      <c r="F440" s="300">
        <f t="shared" si="83"/>
        <v>-95000</v>
      </c>
      <c r="G440" s="694"/>
      <c r="H440" s="695"/>
      <c r="I440" s="1314"/>
      <c r="J440" s="1315">
        <f>IF(K$1&gt;0,ROUNDUP(SUM(PROD!AM$5:AM441)/K$1*K$2,0),0)-SUM(J$4:J439)</f>
        <v>0</v>
      </c>
      <c r="K440" s="1316">
        <f t="shared" si="85"/>
        <v>0</v>
      </c>
      <c r="L440" s="1314"/>
      <c r="M440" s="1315">
        <f>IF(N$1&gt;0,ROUNDUP(SUM(PROD!L$5:L441,-PROD!AM$5:AM441,-PROD!AZ$5:AZ441)/N$1*N$2,0),0)-SUM(M$4:M439)</f>
        <v>0</v>
      </c>
      <c r="N440" s="1316">
        <f t="shared" si="86"/>
        <v>0</v>
      </c>
      <c r="O440" s="1317">
        <f t="shared" si="75"/>
        <v>0</v>
      </c>
      <c r="P440" s="1318"/>
      <c r="Q440" s="1319"/>
      <c r="R440" s="1320">
        <f t="shared" si="76"/>
        <v>0</v>
      </c>
      <c r="S440" s="1316">
        <f t="shared" si="77"/>
        <v>0</v>
      </c>
      <c r="T440" s="712"/>
      <c r="U440" s="713"/>
      <c r="V440" s="714"/>
      <c r="W440" s="398">
        <f t="shared" si="84"/>
        <v>0</v>
      </c>
      <c r="X440" s="712"/>
      <c r="Y440" s="713"/>
      <c r="Z440" s="714"/>
      <c r="AA440" s="398">
        <f t="shared" si="79"/>
        <v>0</v>
      </c>
      <c r="AB440" s="712"/>
      <c r="AC440" s="713"/>
      <c r="AD440" s="714"/>
      <c r="AE440" s="398">
        <f t="shared" si="80"/>
        <v>0</v>
      </c>
      <c r="AF440" s="712"/>
      <c r="AG440" s="713"/>
      <c r="AH440" s="714"/>
      <c r="AI440" s="398">
        <f t="shared" si="81"/>
        <v>0</v>
      </c>
      <c r="AJ440" s="712"/>
      <c r="AK440" s="713"/>
      <c r="AL440" s="714"/>
      <c r="AM440" s="398">
        <f t="shared" si="82"/>
        <v>0</v>
      </c>
    </row>
    <row r="441" spans="1:39" ht="15.75" customHeight="1" x14ac:dyDescent="0.3">
      <c r="A441" s="2161"/>
      <c r="B441" s="1313" t="str">
        <f t="shared" si="78"/>
        <v/>
      </c>
      <c r="C441" s="1011">
        <f>IF($D$2="NO",0,ROUNDDOWN(SUM(PROD!$V$5:V442)/IF(Iniciar!$C$25="kilos",40,1),0)-SUM($C$4:$C440))</f>
        <v>0</v>
      </c>
      <c r="D441" s="702"/>
      <c r="E441" s="702"/>
      <c r="F441" s="300">
        <f t="shared" si="83"/>
        <v>-95000</v>
      </c>
      <c r="G441" s="694"/>
      <c r="H441" s="695"/>
      <c r="I441" s="1314"/>
      <c r="J441" s="1315">
        <f>IF(K$1&gt;0,ROUNDUP(SUM(PROD!AM$5:AM442)/K$1*K$2,0),0)-SUM(J$4:J440)</f>
        <v>0</v>
      </c>
      <c r="K441" s="1316">
        <f t="shared" si="85"/>
        <v>0</v>
      </c>
      <c r="L441" s="1314"/>
      <c r="M441" s="1315">
        <f>IF(N$1&gt;0,ROUNDUP(SUM(PROD!L$5:L442,-PROD!AM$5:AM442,-PROD!AZ$5:AZ442)/N$1*N$2,0),0)-SUM(M$4:M440)</f>
        <v>0</v>
      </c>
      <c r="N441" s="1316">
        <f t="shared" si="86"/>
        <v>0</v>
      </c>
      <c r="O441" s="1317">
        <f t="shared" si="75"/>
        <v>0</v>
      </c>
      <c r="P441" s="1318"/>
      <c r="Q441" s="1319"/>
      <c r="R441" s="1320">
        <f t="shared" si="76"/>
        <v>0</v>
      </c>
      <c r="S441" s="1316">
        <f t="shared" si="77"/>
        <v>0</v>
      </c>
      <c r="T441" s="712"/>
      <c r="U441" s="713"/>
      <c r="V441" s="714"/>
      <c r="W441" s="398">
        <f t="shared" si="84"/>
        <v>0</v>
      </c>
      <c r="X441" s="712"/>
      <c r="Y441" s="713"/>
      <c r="Z441" s="714"/>
      <c r="AA441" s="398">
        <f t="shared" si="79"/>
        <v>0</v>
      </c>
      <c r="AB441" s="712"/>
      <c r="AC441" s="713"/>
      <c r="AD441" s="714"/>
      <c r="AE441" s="398">
        <f t="shared" si="80"/>
        <v>0</v>
      </c>
      <c r="AF441" s="712"/>
      <c r="AG441" s="713"/>
      <c r="AH441" s="714"/>
      <c r="AI441" s="398">
        <f t="shared" si="81"/>
        <v>0</v>
      </c>
      <c r="AJ441" s="712"/>
      <c r="AK441" s="713"/>
      <c r="AL441" s="714"/>
      <c r="AM441" s="398">
        <f t="shared" si="82"/>
        <v>0</v>
      </c>
    </row>
    <row r="442" spans="1:39" ht="15.75" customHeight="1" x14ac:dyDescent="0.3">
      <c r="A442" s="2161"/>
      <c r="B442" s="1313" t="str">
        <f t="shared" si="78"/>
        <v/>
      </c>
      <c r="C442" s="1011">
        <f>IF($D$2="NO",0,ROUNDDOWN(SUM(PROD!$V$5:V443)/IF(Iniciar!$C$25="kilos",40,1),0)-SUM($C$4:$C441))</f>
        <v>0</v>
      </c>
      <c r="D442" s="702"/>
      <c r="E442" s="702"/>
      <c r="F442" s="300">
        <f t="shared" si="83"/>
        <v>-95000</v>
      </c>
      <c r="G442" s="694"/>
      <c r="H442" s="695"/>
      <c r="I442" s="1314"/>
      <c r="J442" s="1315">
        <f>IF(K$1&gt;0,ROUNDUP(SUM(PROD!AM$5:AM443)/K$1*K$2,0),0)-SUM(J$4:J441)</f>
        <v>0</v>
      </c>
      <c r="K442" s="1316">
        <f t="shared" si="85"/>
        <v>0</v>
      </c>
      <c r="L442" s="1314"/>
      <c r="M442" s="1315">
        <f>IF(N$1&gt;0,ROUNDUP(SUM(PROD!L$5:L443,-PROD!AM$5:AM443,-PROD!AZ$5:AZ443)/N$1*N$2,0),0)-SUM(M$4:M441)</f>
        <v>0</v>
      </c>
      <c r="N442" s="1316">
        <f t="shared" si="86"/>
        <v>0</v>
      </c>
      <c r="O442" s="1317">
        <f t="shared" si="75"/>
        <v>0</v>
      </c>
      <c r="P442" s="1318"/>
      <c r="Q442" s="1319"/>
      <c r="R442" s="1320">
        <f t="shared" si="76"/>
        <v>0</v>
      </c>
      <c r="S442" s="1316">
        <f t="shared" si="77"/>
        <v>0</v>
      </c>
      <c r="T442" s="712"/>
      <c r="U442" s="713"/>
      <c r="V442" s="714"/>
      <c r="W442" s="398">
        <f t="shared" si="84"/>
        <v>0</v>
      </c>
      <c r="X442" s="712"/>
      <c r="Y442" s="713"/>
      <c r="Z442" s="714"/>
      <c r="AA442" s="398">
        <f t="shared" si="79"/>
        <v>0</v>
      </c>
      <c r="AB442" s="712"/>
      <c r="AC442" s="713"/>
      <c r="AD442" s="714"/>
      <c r="AE442" s="398">
        <f t="shared" si="80"/>
        <v>0</v>
      </c>
      <c r="AF442" s="712"/>
      <c r="AG442" s="713"/>
      <c r="AH442" s="714"/>
      <c r="AI442" s="398">
        <f t="shared" si="81"/>
        <v>0</v>
      </c>
      <c r="AJ442" s="712"/>
      <c r="AK442" s="713"/>
      <c r="AL442" s="714"/>
      <c r="AM442" s="398">
        <f t="shared" si="82"/>
        <v>0</v>
      </c>
    </row>
    <row r="443" spans="1:39" ht="15.75" customHeight="1" x14ac:dyDescent="0.3">
      <c r="A443" s="2161"/>
      <c r="B443" s="1313" t="str">
        <f t="shared" si="78"/>
        <v/>
      </c>
      <c r="C443" s="1011">
        <f>IF($D$2="NO",0,ROUNDDOWN(SUM(PROD!$V$5:V444)/IF(Iniciar!$C$25="kilos",40,1),0)-SUM($C$4:$C442))</f>
        <v>0</v>
      </c>
      <c r="D443" s="702"/>
      <c r="E443" s="702"/>
      <c r="F443" s="300">
        <f t="shared" si="83"/>
        <v>-95000</v>
      </c>
      <c r="G443" s="694"/>
      <c r="H443" s="695"/>
      <c r="I443" s="1314"/>
      <c r="J443" s="1315">
        <f>IF(K$1&gt;0,ROUNDUP(SUM(PROD!AM$5:AM444)/K$1*K$2,0),0)-SUM(J$4:J442)</f>
        <v>0</v>
      </c>
      <c r="K443" s="1316">
        <f t="shared" si="85"/>
        <v>0</v>
      </c>
      <c r="L443" s="1314"/>
      <c r="M443" s="1315">
        <f>IF(N$1&gt;0,ROUNDUP(SUM(PROD!L$5:L444,-PROD!AM$5:AM444,-PROD!AZ$5:AZ444)/N$1*N$2,0),0)-SUM(M$4:M442)</f>
        <v>0</v>
      </c>
      <c r="N443" s="1316">
        <f t="shared" si="86"/>
        <v>0</v>
      </c>
      <c r="O443" s="1317">
        <f t="shared" si="75"/>
        <v>0</v>
      </c>
      <c r="P443" s="1318"/>
      <c r="Q443" s="1319"/>
      <c r="R443" s="1320">
        <f t="shared" si="76"/>
        <v>0</v>
      </c>
      <c r="S443" s="1316">
        <f t="shared" si="77"/>
        <v>0</v>
      </c>
      <c r="T443" s="712"/>
      <c r="U443" s="713"/>
      <c r="V443" s="714"/>
      <c r="W443" s="398">
        <f t="shared" si="84"/>
        <v>0</v>
      </c>
      <c r="X443" s="712"/>
      <c r="Y443" s="713"/>
      <c r="Z443" s="714"/>
      <c r="AA443" s="398">
        <f t="shared" si="79"/>
        <v>0</v>
      </c>
      <c r="AB443" s="712"/>
      <c r="AC443" s="713"/>
      <c r="AD443" s="714"/>
      <c r="AE443" s="398">
        <f t="shared" si="80"/>
        <v>0</v>
      </c>
      <c r="AF443" s="712"/>
      <c r="AG443" s="713"/>
      <c r="AH443" s="714"/>
      <c r="AI443" s="398">
        <f t="shared" si="81"/>
        <v>0</v>
      </c>
      <c r="AJ443" s="712"/>
      <c r="AK443" s="713"/>
      <c r="AL443" s="714"/>
      <c r="AM443" s="398">
        <f t="shared" si="82"/>
        <v>0</v>
      </c>
    </row>
    <row r="444" spans="1:39" ht="16.5" customHeight="1" x14ac:dyDescent="0.3">
      <c r="A444" s="2162"/>
      <c r="B444" s="1313" t="str">
        <f t="shared" si="78"/>
        <v/>
      </c>
      <c r="C444" s="1011">
        <f>IF($D$2="NO",0,ROUNDDOWN(SUM(PROD!$V$5:V445)/IF(Iniciar!$C$25="kilos",40,1),0)-SUM($C$4:$C443))</f>
        <v>0</v>
      </c>
      <c r="D444" s="702"/>
      <c r="E444" s="702"/>
      <c r="F444" s="300">
        <f t="shared" si="83"/>
        <v>-95000</v>
      </c>
      <c r="G444" s="694"/>
      <c r="H444" s="695"/>
      <c r="I444" s="1314"/>
      <c r="J444" s="1315">
        <f>IF(K$1&gt;0,ROUNDUP(SUM(PROD!AM$5:AM445)/K$1*K$2,0),0)-SUM(J$4:J443)</f>
        <v>0</v>
      </c>
      <c r="K444" s="1316">
        <f t="shared" si="85"/>
        <v>0</v>
      </c>
      <c r="L444" s="1314"/>
      <c r="M444" s="1315">
        <f>IF(N$1&gt;0,ROUNDUP(SUM(PROD!L$5:L445,-PROD!AM$5:AM445,-PROD!AZ$5:AZ445)/N$1*N$2,0),0)-SUM(M$4:M443)</f>
        <v>0</v>
      </c>
      <c r="N444" s="1316">
        <f t="shared" si="86"/>
        <v>0</v>
      </c>
      <c r="O444" s="1317">
        <f t="shared" si="75"/>
        <v>0</v>
      </c>
      <c r="P444" s="1318"/>
      <c r="Q444" s="1319"/>
      <c r="R444" s="1320">
        <f t="shared" si="76"/>
        <v>0</v>
      </c>
      <c r="S444" s="1316">
        <f t="shared" si="77"/>
        <v>0</v>
      </c>
      <c r="T444" s="712"/>
      <c r="U444" s="713"/>
      <c r="V444" s="714"/>
      <c r="W444" s="398">
        <f t="shared" si="84"/>
        <v>0</v>
      </c>
      <c r="X444" s="712"/>
      <c r="Y444" s="713"/>
      <c r="Z444" s="714"/>
      <c r="AA444" s="398">
        <f t="shared" si="79"/>
        <v>0</v>
      </c>
      <c r="AB444" s="712"/>
      <c r="AC444" s="713"/>
      <c r="AD444" s="714"/>
      <c r="AE444" s="398">
        <f t="shared" si="80"/>
        <v>0</v>
      </c>
      <c r="AF444" s="712"/>
      <c r="AG444" s="713"/>
      <c r="AH444" s="714"/>
      <c r="AI444" s="398">
        <f t="shared" si="81"/>
        <v>0</v>
      </c>
      <c r="AJ444" s="712"/>
      <c r="AK444" s="713"/>
      <c r="AL444" s="714"/>
      <c r="AM444" s="398">
        <f t="shared" si="82"/>
        <v>0</v>
      </c>
    </row>
    <row r="445" spans="1:39" ht="16.5" customHeight="1" x14ac:dyDescent="0.3">
      <c r="A445" s="2160">
        <f>A438+1</f>
        <v>81</v>
      </c>
      <c r="B445" s="1313" t="str">
        <f t="shared" si="78"/>
        <v/>
      </c>
      <c r="C445" s="1011">
        <f>IF($D$2="NO",0,ROUNDDOWN(SUM(PROD!$V$5:V446)/IF(Iniciar!$C$25="kilos",40,1),0)-SUM($C$4:$C444))</f>
        <v>0</v>
      </c>
      <c r="D445" s="702"/>
      <c r="E445" s="702"/>
      <c r="F445" s="300">
        <f t="shared" si="83"/>
        <v>-95000</v>
      </c>
      <c r="G445" s="694"/>
      <c r="H445" s="695"/>
      <c r="I445" s="1314"/>
      <c r="J445" s="1315">
        <f>IF(K$1&gt;0,ROUNDUP(SUM(PROD!AM$5:AM446)/K$1*K$2,0),0)-SUM(J$4:J444)</f>
        <v>0</v>
      </c>
      <c r="K445" s="1316">
        <f t="shared" si="85"/>
        <v>0</v>
      </c>
      <c r="L445" s="1314"/>
      <c r="M445" s="1315">
        <f>IF(N$1&gt;0,ROUNDUP(SUM(PROD!L$5:L446,-PROD!AM$5:AM446,-PROD!AZ$5:AZ446)/N$1*N$2,0),0)-SUM(M$4:M444)</f>
        <v>0</v>
      </c>
      <c r="N445" s="1316">
        <f t="shared" si="86"/>
        <v>0</v>
      </c>
      <c r="O445" s="1317">
        <f t="shared" si="75"/>
        <v>0</v>
      </c>
      <c r="P445" s="1318"/>
      <c r="Q445" s="1319"/>
      <c r="R445" s="1320">
        <f t="shared" si="76"/>
        <v>0</v>
      </c>
      <c r="S445" s="1316">
        <f t="shared" si="77"/>
        <v>0</v>
      </c>
      <c r="T445" s="712"/>
      <c r="U445" s="713"/>
      <c r="V445" s="714"/>
      <c r="W445" s="398">
        <f t="shared" si="84"/>
        <v>0</v>
      </c>
      <c r="X445" s="712"/>
      <c r="Y445" s="713"/>
      <c r="Z445" s="714"/>
      <c r="AA445" s="398">
        <f t="shared" si="79"/>
        <v>0</v>
      </c>
      <c r="AB445" s="712"/>
      <c r="AC445" s="713"/>
      <c r="AD445" s="714"/>
      <c r="AE445" s="398">
        <f t="shared" si="80"/>
        <v>0</v>
      </c>
      <c r="AF445" s="712"/>
      <c r="AG445" s="713"/>
      <c r="AH445" s="714"/>
      <c r="AI445" s="398">
        <f t="shared" si="81"/>
        <v>0</v>
      </c>
      <c r="AJ445" s="712"/>
      <c r="AK445" s="713"/>
      <c r="AL445" s="714"/>
      <c r="AM445" s="398">
        <f t="shared" si="82"/>
        <v>0</v>
      </c>
    </row>
    <row r="446" spans="1:39" ht="15.75" customHeight="1" x14ac:dyDescent="0.3">
      <c r="A446" s="2161"/>
      <c r="B446" s="1313" t="str">
        <f t="shared" si="78"/>
        <v/>
      </c>
      <c r="C446" s="1011">
        <f>IF($D$2="NO",0,ROUNDDOWN(SUM(PROD!$V$5:V447)/IF(Iniciar!$C$25="kilos",40,1),0)-SUM($C$4:$C445))</f>
        <v>0</v>
      </c>
      <c r="D446" s="702"/>
      <c r="E446" s="702"/>
      <c r="F446" s="300">
        <f t="shared" si="83"/>
        <v>-95000</v>
      </c>
      <c r="G446" s="694"/>
      <c r="H446" s="695"/>
      <c r="I446" s="1314"/>
      <c r="J446" s="1315">
        <f>IF(K$1&gt;0,ROUNDUP(SUM(PROD!AM$5:AM447)/K$1*K$2,0),0)-SUM(J$4:J445)</f>
        <v>0</v>
      </c>
      <c r="K446" s="1316">
        <f t="shared" si="85"/>
        <v>0</v>
      </c>
      <c r="L446" s="1314"/>
      <c r="M446" s="1315">
        <f>IF(N$1&gt;0,ROUNDUP(SUM(PROD!L$5:L447,-PROD!AM$5:AM447,-PROD!AZ$5:AZ447)/N$1*N$2,0),0)-SUM(M$4:M445)</f>
        <v>0</v>
      </c>
      <c r="N446" s="1316">
        <f t="shared" si="86"/>
        <v>0</v>
      </c>
      <c r="O446" s="1317">
        <f t="shared" si="75"/>
        <v>0</v>
      </c>
      <c r="P446" s="1318"/>
      <c r="Q446" s="1319"/>
      <c r="R446" s="1320">
        <f t="shared" si="76"/>
        <v>0</v>
      </c>
      <c r="S446" s="1316">
        <f t="shared" si="77"/>
        <v>0</v>
      </c>
      <c r="T446" s="712"/>
      <c r="U446" s="713"/>
      <c r="V446" s="714"/>
      <c r="W446" s="398">
        <f t="shared" si="84"/>
        <v>0</v>
      </c>
      <c r="X446" s="712"/>
      <c r="Y446" s="713"/>
      <c r="Z446" s="714"/>
      <c r="AA446" s="398">
        <f t="shared" si="79"/>
        <v>0</v>
      </c>
      <c r="AB446" s="712"/>
      <c r="AC446" s="713"/>
      <c r="AD446" s="714"/>
      <c r="AE446" s="398">
        <f t="shared" si="80"/>
        <v>0</v>
      </c>
      <c r="AF446" s="712"/>
      <c r="AG446" s="713"/>
      <c r="AH446" s="714"/>
      <c r="AI446" s="398">
        <f t="shared" si="81"/>
        <v>0</v>
      </c>
      <c r="AJ446" s="712"/>
      <c r="AK446" s="713"/>
      <c r="AL446" s="714"/>
      <c r="AM446" s="398">
        <f t="shared" si="82"/>
        <v>0</v>
      </c>
    </row>
    <row r="447" spans="1:39" ht="15.75" customHeight="1" x14ac:dyDescent="0.3">
      <c r="A447" s="2161"/>
      <c r="B447" s="1313" t="str">
        <f t="shared" si="78"/>
        <v/>
      </c>
      <c r="C447" s="1011">
        <f>IF($D$2="NO",0,ROUNDDOWN(SUM(PROD!$V$5:V448)/IF(Iniciar!$C$25="kilos",40,1),0)-SUM($C$4:$C446))</f>
        <v>0</v>
      </c>
      <c r="D447" s="702"/>
      <c r="E447" s="702"/>
      <c r="F447" s="300">
        <f t="shared" si="83"/>
        <v>-95000</v>
      </c>
      <c r="G447" s="694"/>
      <c r="H447" s="695"/>
      <c r="I447" s="1314"/>
      <c r="J447" s="1315">
        <f>IF(K$1&gt;0,ROUNDUP(SUM(PROD!AM$5:AM448)/K$1*K$2,0),0)-SUM(J$4:J446)</f>
        <v>0</v>
      </c>
      <c r="K447" s="1316">
        <f t="shared" si="85"/>
        <v>0</v>
      </c>
      <c r="L447" s="1314"/>
      <c r="M447" s="1315">
        <f>IF(N$1&gt;0,ROUNDUP(SUM(PROD!L$5:L448,-PROD!AM$5:AM448,-PROD!AZ$5:AZ448)/N$1*N$2,0),0)-SUM(M$4:M446)</f>
        <v>0</v>
      </c>
      <c r="N447" s="1316">
        <f t="shared" si="86"/>
        <v>0</v>
      </c>
      <c r="O447" s="1317">
        <f t="shared" si="75"/>
        <v>0</v>
      </c>
      <c r="P447" s="1318"/>
      <c r="Q447" s="1319"/>
      <c r="R447" s="1320">
        <f t="shared" si="76"/>
        <v>0</v>
      </c>
      <c r="S447" s="1316">
        <f t="shared" si="77"/>
        <v>0</v>
      </c>
      <c r="T447" s="712"/>
      <c r="U447" s="713"/>
      <c r="V447" s="714"/>
      <c r="W447" s="398">
        <f t="shared" si="84"/>
        <v>0</v>
      </c>
      <c r="X447" s="712"/>
      <c r="Y447" s="713"/>
      <c r="Z447" s="714"/>
      <c r="AA447" s="398">
        <f t="shared" si="79"/>
        <v>0</v>
      </c>
      <c r="AB447" s="712"/>
      <c r="AC447" s="713"/>
      <c r="AD447" s="714"/>
      <c r="AE447" s="398">
        <f t="shared" si="80"/>
        <v>0</v>
      </c>
      <c r="AF447" s="712"/>
      <c r="AG447" s="713"/>
      <c r="AH447" s="714"/>
      <c r="AI447" s="398">
        <f t="shared" si="81"/>
        <v>0</v>
      </c>
      <c r="AJ447" s="712"/>
      <c r="AK447" s="713"/>
      <c r="AL447" s="714"/>
      <c r="AM447" s="398">
        <f t="shared" si="82"/>
        <v>0</v>
      </c>
    </row>
    <row r="448" spans="1:39" ht="15.75" customHeight="1" x14ac:dyDescent="0.3">
      <c r="A448" s="2161"/>
      <c r="B448" s="1313" t="str">
        <f t="shared" si="78"/>
        <v/>
      </c>
      <c r="C448" s="1011">
        <f>IF($D$2="NO",0,ROUNDDOWN(SUM(PROD!$V$5:V449)/IF(Iniciar!$C$25="kilos",40,1),0)-SUM($C$4:$C447))</f>
        <v>0</v>
      </c>
      <c r="D448" s="702"/>
      <c r="E448" s="702"/>
      <c r="F448" s="300">
        <f t="shared" si="83"/>
        <v>-95000</v>
      </c>
      <c r="G448" s="694"/>
      <c r="H448" s="695"/>
      <c r="I448" s="1314"/>
      <c r="J448" s="1315">
        <f>IF(K$1&gt;0,ROUNDUP(SUM(PROD!AM$5:AM449)/K$1*K$2,0),0)-SUM(J$4:J447)</f>
        <v>0</v>
      </c>
      <c r="K448" s="1316">
        <f t="shared" si="85"/>
        <v>0</v>
      </c>
      <c r="L448" s="1314"/>
      <c r="M448" s="1315">
        <f>IF(N$1&gt;0,ROUNDUP(SUM(PROD!L$5:L449,-PROD!AM$5:AM449,-PROD!AZ$5:AZ449)/N$1*N$2,0),0)-SUM(M$4:M447)</f>
        <v>0</v>
      </c>
      <c r="N448" s="1316">
        <f t="shared" si="86"/>
        <v>0</v>
      </c>
      <c r="O448" s="1317">
        <f t="shared" si="75"/>
        <v>0</v>
      </c>
      <c r="P448" s="1318"/>
      <c r="Q448" s="1319"/>
      <c r="R448" s="1320">
        <f t="shared" si="76"/>
        <v>0</v>
      </c>
      <c r="S448" s="1316">
        <f t="shared" si="77"/>
        <v>0</v>
      </c>
      <c r="T448" s="712"/>
      <c r="U448" s="713"/>
      <c r="V448" s="714"/>
      <c r="W448" s="398">
        <f t="shared" si="84"/>
        <v>0</v>
      </c>
      <c r="X448" s="712"/>
      <c r="Y448" s="713"/>
      <c r="Z448" s="714"/>
      <c r="AA448" s="398">
        <f t="shared" si="79"/>
        <v>0</v>
      </c>
      <c r="AB448" s="712"/>
      <c r="AC448" s="713"/>
      <c r="AD448" s="714"/>
      <c r="AE448" s="398">
        <f t="shared" si="80"/>
        <v>0</v>
      </c>
      <c r="AF448" s="712"/>
      <c r="AG448" s="713"/>
      <c r="AH448" s="714"/>
      <c r="AI448" s="398">
        <f t="shared" si="81"/>
        <v>0</v>
      </c>
      <c r="AJ448" s="712"/>
      <c r="AK448" s="713"/>
      <c r="AL448" s="714"/>
      <c r="AM448" s="398">
        <f t="shared" si="82"/>
        <v>0</v>
      </c>
    </row>
    <row r="449" spans="1:39" ht="15.75" customHeight="1" x14ac:dyDescent="0.3">
      <c r="A449" s="2161"/>
      <c r="B449" s="1313" t="str">
        <f t="shared" si="78"/>
        <v/>
      </c>
      <c r="C449" s="1011">
        <f>IF($D$2="NO",0,ROUNDDOWN(SUM(PROD!$V$5:V450)/IF(Iniciar!$C$25="kilos",40,1),0)-SUM($C$4:$C448))</f>
        <v>0</v>
      </c>
      <c r="D449" s="702"/>
      <c r="E449" s="702"/>
      <c r="F449" s="300">
        <f t="shared" si="83"/>
        <v>-95000</v>
      </c>
      <c r="G449" s="694"/>
      <c r="H449" s="695"/>
      <c r="I449" s="1314"/>
      <c r="J449" s="1315">
        <f>IF(K$1&gt;0,ROUNDUP(SUM(PROD!AM$5:AM450)/K$1*K$2,0),0)-SUM(J$4:J448)</f>
        <v>0</v>
      </c>
      <c r="K449" s="1316">
        <f t="shared" si="85"/>
        <v>0</v>
      </c>
      <c r="L449" s="1314"/>
      <c r="M449" s="1315">
        <f>IF(N$1&gt;0,ROUNDUP(SUM(PROD!L$5:L450,-PROD!AM$5:AM450,-PROD!AZ$5:AZ450)/N$1*N$2,0),0)-SUM(M$4:M448)</f>
        <v>0</v>
      </c>
      <c r="N449" s="1316">
        <f t="shared" si="86"/>
        <v>0</v>
      </c>
      <c r="O449" s="1317">
        <f t="shared" si="75"/>
        <v>0</v>
      </c>
      <c r="P449" s="1318"/>
      <c r="Q449" s="1319"/>
      <c r="R449" s="1320">
        <f t="shared" si="76"/>
        <v>0</v>
      </c>
      <c r="S449" s="1316">
        <f t="shared" si="77"/>
        <v>0</v>
      </c>
      <c r="T449" s="712"/>
      <c r="U449" s="713"/>
      <c r="V449" s="714"/>
      <c r="W449" s="398">
        <f t="shared" si="84"/>
        <v>0</v>
      </c>
      <c r="X449" s="712"/>
      <c r="Y449" s="713"/>
      <c r="Z449" s="714"/>
      <c r="AA449" s="398">
        <f t="shared" si="79"/>
        <v>0</v>
      </c>
      <c r="AB449" s="712"/>
      <c r="AC449" s="713"/>
      <c r="AD449" s="714"/>
      <c r="AE449" s="398">
        <f t="shared" si="80"/>
        <v>0</v>
      </c>
      <c r="AF449" s="712"/>
      <c r="AG449" s="713"/>
      <c r="AH449" s="714"/>
      <c r="AI449" s="398">
        <f t="shared" si="81"/>
        <v>0</v>
      </c>
      <c r="AJ449" s="712"/>
      <c r="AK449" s="713"/>
      <c r="AL449" s="714"/>
      <c r="AM449" s="398">
        <f t="shared" si="82"/>
        <v>0</v>
      </c>
    </row>
    <row r="450" spans="1:39" ht="15.75" customHeight="1" x14ac:dyDescent="0.3">
      <c r="A450" s="2161"/>
      <c r="B450" s="1313" t="str">
        <f t="shared" si="78"/>
        <v/>
      </c>
      <c r="C450" s="1011">
        <f>IF($D$2="NO",0,ROUNDDOWN(SUM(PROD!$V$5:V451)/IF(Iniciar!$C$25="kilos",40,1),0)-SUM($C$4:$C449))</f>
        <v>0</v>
      </c>
      <c r="D450" s="702"/>
      <c r="E450" s="702"/>
      <c r="F450" s="300">
        <f t="shared" si="83"/>
        <v>-95000</v>
      </c>
      <c r="G450" s="694"/>
      <c r="H450" s="695"/>
      <c r="I450" s="1314"/>
      <c r="J450" s="1315">
        <f>IF(K$1&gt;0,ROUNDUP(SUM(PROD!AM$5:AM451)/K$1*K$2,0),0)-SUM(J$4:J449)</f>
        <v>0</v>
      </c>
      <c r="K450" s="1316">
        <f t="shared" si="85"/>
        <v>0</v>
      </c>
      <c r="L450" s="1314"/>
      <c r="M450" s="1315">
        <f>IF(N$1&gt;0,ROUNDUP(SUM(PROD!L$5:L451,-PROD!AM$5:AM451,-PROD!AZ$5:AZ451)/N$1*N$2,0),0)-SUM(M$4:M449)</f>
        <v>0</v>
      </c>
      <c r="N450" s="1316">
        <f t="shared" si="86"/>
        <v>0</v>
      </c>
      <c r="O450" s="1317">
        <f t="shared" si="75"/>
        <v>0</v>
      </c>
      <c r="P450" s="1318"/>
      <c r="Q450" s="1319"/>
      <c r="R450" s="1320">
        <f t="shared" si="76"/>
        <v>0</v>
      </c>
      <c r="S450" s="1316">
        <f t="shared" si="77"/>
        <v>0</v>
      </c>
      <c r="T450" s="712"/>
      <c r="U450" s="713"/>
      <c r="V450" s="714"/>
      <c r="W450" s="398">
        <f t="shared" si="84"/>
        <v>0</v>
      </c>
      <c r="X450" s="712"/>
      <c r="Y450" s="713"/>
      <c r="Z450" s="714"/>
      <c r="AA450" s="398">
        <f t="shared" si="79"/>
        <v>0</v>
      </c>
      <c r="AB450" s="712"/>
      <c r="AC450" s="713"/>
      <c r="AD450" s="714"/>
      <c r="AE450" s="398">
        <f t="shared" si="80"/>
        <v>0</v>
      </c>
      <c r="AF450" s="712"/>
      <c r="AG450" s="713"/>
      <c r="AH450" s="714"/>
      <c r="AI450" s="398">
        <f t="shared" si="81"/>
        <v>0</v>
      </c>
      <c r="AJ450" s="712"/>
      <c r="AK450" s="713"/>
      <c r="AL450" s="714"/>
      <c r="AM450" s="398">
        <f t="shared" si="82"/>
        <v>0</v>
      </c>
    </row>
    <row r="451" spans="1:39" ht="16.5" customHeight="1" x14ac:dyDescent="0.3">
      <c r="A451" s="2162"/>
      <c r="B451" s="1313" t="str">
        <f t="shared" si="78"/>
        <v/>
      </c>
      <c r="C451" s="1011">
        <f>IF($D$2="NO",0,ROUNDDOWN(SUM(PROD!$V$5:V452)/IF(Iniciar!$C$25="kilos",40,1),0)-SUM($C$4:$C450))</f>
        <v>0</v>
      </c>
      <c r="D451" s="702"/>
      <c r="E451" s="702"/>
      <c r="F451" s="300">
        <f t="shared" si="83"/>
        <v>-95000</v>
      </c>
      <c r="G451" s="694"/>
      <c r="H451" s="695"/>
      <c r="I451" s="1314"/>
      <c r="J451" s="1315">
        <f>IF(K$1&gt;0,ROUNDUP(SUM(PROD!AM$5:AM452)/K$1*K$2,0),0)-SUM(J$4:J450)</f>
        <v>0</v>
      </c>
      <c r="K451" s="1316">
        <f t="shared" si="85"/>
        <v>0</v>
      </c>
      <c r="L451" s="1314"/>
      <c r="M451" s="1315">
        <f>IF(N$1&gt;0,ROUNDUP(SUM(PROD!L$5:L452,-PROD!AM$5:AM452,-PROD!AZ$5:AZ452)/N$1*N$2,0),0)-SUM(M$4:M450)</f>
        <v>0</v>
      </c>
      <c r="N451" s="1316">
        <f t="shared" si="86"/>
        <v>0</v>
      </c>
      <c r="O451" s="1317">
        <f t="shared" si="75"/>
        <v>0</v>
      </c>
      <c r="P451" s="1318"/>
      <c r="Q451" s="1319"/>
      <c r="R451" s="1320">
        <f t="shared" si="76"/>
        <v>0</v>
      </c>
      <c r="S451" s="1316">
        <f t="shared" si="77"/>
        <v>0</v>
      </c>
      <c r="T451" s="712"/>
      <c r="U451" s="713"/>
      <c r="V451" s="714"/>
      <c r="W451" s="398">
        <f t="shared" si="84"/>
        <v>0</v>
      </c>
      <c r="X451" s="712"/>
      <c r="Y451" s="713"/>
      <c r="Z451" s="714"/>
      <c r="AA451" s="398">
        <f t="shared" si="79"/>
        <v>0</v>
      </c>
      <c r="AB451" s="712"/>
      <c r="AC451" s="713"/>
      <c r="AD451" s="714"/>
      <c r="AE451" s="398">
        <f t="shared" si="80"/>
        <v>0</v>
      </c>
      <c r="AF451" s="712"/>
      <c r="AG451" s="713"/>
      <c r="AH451" s="714"/>
      <c r="AI451" s="398">
        <f t="shared" si="81"/>
        <v>0</v>
      </c>
      <c r="AJ451" s="712"/>
      <c r="AK451" s="713"/>
      <c r="AL451" s="714"/>
      <c r="AM451" s="398">
        <f t="shared" si="82"/>
        <v>0</v>
      </c>
    </row>
    <row r="452" spans="1:39" ht="16.5" customHeight="1" x14ac:dyDescent="0.3">
      <c r="A452" s="2160">
        <f>A445+1</f>
        <v>82</v>
      </c>
      <c r="B452" s="1313" t="str">
        <f t="shared" si="78"/>
        <v/>
      </c>
      <c r="C452" s="1011">
        <f>IF($D$2="NO",0,ROUNDDOWN(SUM(PROD!$V$5:V453)/IF(Iniciar!$C$25="kilos",40,1),0)-SUM($C$4:$C451))</f>
        <v>0</v>
      </c>
      <c r="D452" s="702"/>
      <c r="E452" s="702"/>
      <c r="F452" s="300">
        <f t="shared" si="83"/>
        <v>-95000</v>
      </c>
      <c r="G452" s="694"/>
      <c r="H452" s="695"/>
      <c r="I452" s="1314"/>
      <c r="J452" s="1315">
        <f>IF(K$1&gt;0,ROUNDUP(SUM(PROD!AM$5:AM453)/K$1*K$2,0),0)-SUM(J$4:J451)</f>
        <v>0</v>
      </c>
      <c r="K452" s="1316">
        <f t="shared" si="85"/>
        <v>0</v>
      </c>
      <c r="L452" s="1314"/>
      <c r="M452" s="1315">
        <f>IF(N$1&gt;0,ROUNDUP(SUM(PROD!L$5:L453,-PROD!AM$5:AM453,-PROD!AZ$5:AZ453)/N$1*N$2,0),0)-SUM(M$4:M451)</f>
        <v>0</v>
      </c>
      <c r="N452" s="1316">
        <f t="shared" si="86"/>
        <v>0</v>
      </c>
      <c r="O452" s="1317">
        <f t="shared" ref="O452:O515" si="87">L452+I452</f>
        <v>0</v>
      </c>
      <c r="P452" s="1318"/>
      <c r="Q452" s="1319"/>
      <c r="R452" s="1320">
        <f t="shared" ref="R452:R515" si="88">M452+J452</f>
        <v>0</v>
      </c>
      <c r="S452" s="1316">
        <f t="shared" ref="S452:S515" si="89">N452+K452</f>
        <v>0</v>
      </c>
      <c r="T452" s="712"/>
      <c r="U452" s="713"/>
      <c r="V452" s="714"/>
      <c r="W452" s="398">
        <f t="shared" si="84"/>
        <v>0</v>
      </c>
      <c r="X452" s="712"/>
      <c r="Y452" s="713"/>
      <c r="Z452" s="714"/>
      <c r="AA452" s="398">
        <f t="shared" si="79"/>
        <v>0</v>
      </c>
      <c r="AB452" s="712"/>
      <c r="AC452" s="713"/>
      <c r="AD452" s="714"/>
      <c r="AE452" s="398">
        <f t="shared" si="80"/>
        <v>0</v>
      </c>
      <c r="AF452" s="712"/>
      <c r="AG452" s="713"/>
      <c r="AH452" s="714"/>
      <c r="AI452" s="398">
        <f t="shared" si="81"/>
        <v>0</v>
      </c>
      <c r="AJ452" s="712"/>
      <c r="AK452" s="713"/>
      <c r="AL452" s="714"/>
      <c r="AM452" s="398">
        <f t="shared" si="82"/>
        <v>0</v>
      </c>
    </row>
    <row r="453" spans="1:39" ht="15.75" customHeight="1" x14ac:dyDescent="0.3">
      <c r="A453" s="2161"/>
      <c r="B453" s="1313" t="str">
        <f t="shared" ref="B453:B516" si="90">IF(B452="","",B452+1)</f>
        <v/>
      </c>
      <c r="C453" s="1011">
        <f>IF($D$2="NO",0,ROUNDDOWN(SUM(PROD!$V$5:V454)/IF(Iniciar!$C$25="kilos",40,1),0)-SUM($C$4:$C452))</f>
        <v>0</v>
      </c>
      <c r="D453" s="702"/>
      <c r="E453" s="702"/>
      <c r="F453" s="300">
        <f t="shared" si="83"/>
        <v>-95000</v>
      </c>
      <c r="G453" s="694"/>
      <c r="H453" s="695"/>
      <c r="I453" s="1314"/>
      <c r="J453" s="1315">
        <f>IF(K$1&gt;0,ROUNDUP(SUM(PROD!AM$5:AM454)/K$1*K$2,0),0)-SUM(J$4:J452)</f>
        <v>0</v>
      </c>
      <c r="K453" s="1316">
        <f t="shared" si="85"/>
        <v>0</v>
      </c>
      <c r="L453" s="1314"/>
      <c r="M453" s="1315">
        <f>IF(N$1&gt;0,ROUNDUP(SUM(PROD!L$5:L454,-PROD!AM$5:AM454,-PROD!AZ$5:AZ454)/N$1*N$2,0),0)-SUM(M$4:M452)</f>
        <v>0</v>
      </c>
      <c r="N453" s="1316">
        <f t="shared" si="86"/>
        <v>0</v>
      </c>
      <c r="O453" s="1317">
        <f t="shared" si="87"/>
        <v>0</v>
      </c>
      <c r="P453" s="1318"/>
      <c r="Q453" s="1319"/>
      <c r="R453" s="1320">
        <f t="shared" si="88"/>
        <v>0</v>
      </c>
      <c r="S453" s="1316">
        <f t="shared" si="89"/>
        <v>0</v>
      </c>
      <c r="T453" s="712"/>
      <c r="U453" s="713"/>
      <c r="V453" s="714"/>
      <c r="W453" s="398">
        <f t="shared" si="84"/>
        <v>0</v>
      </c>
      <c r="X453" s="712"/>
      <c r="Y453" s="713"/>
      <c r="Z453" s="714"/>
      <c r="AA453" s="398">
        <f t="shared" ref="AA453:AA516" si="91">AA452+Y453-Z453</f>
        <v>0</v>
      </c>
      <c r="AB453" s="712"/>
      <c r="AC453" s="713"/>
      <c r="AD453" s="714"/>
      <c r="AE453" s="398">
        <f t="shared" ref="AE453:AE516" si="92">AE452+AC453-AD453</f>
        <v>0</v>
      </c>
      <c r="AF453" s="712"/>
      <c r="AG453" s="713"/>
      <c r="AH453" s="714"/>
      <c r="AI453" s="398">
        <f t="shared" ref="AI453:AI516" si="93">AI452+AG453-AH453</f>
        <v>0</v>
      </c>
      <c r="AJ453" s="712"/>
      <c r="AK453" s="713"/>
      <c r="AL453" s="714"/>
      <c r="AM453" s="398">
        <f t="shared" ref="AM453:AM516" si="94">AM452+AK453-AL453</f>
        <v>0</v>
      </c>
    </row>
    <row r="454" spans="1:39" ht="15.75" customHeight="1" x14ac:dyDescent="0.3">
      <c r="A454" s="2161"/>
      <c r="B454" s="1313" t="str">
        <f t="shared" si="90"/>
        <v/>
      </c>
      <c r="C454" s="1011">
        <f>IF($D$2="NO",0,ROUNDDOWN(SUM(PROD!$V$5:V455)/IF(Iniciar!$C$25="kilos",40,1),0)-SUM($C$4:$C453))</f>
        <v>0</v>
      </c>
      <c r="D454" s="702"/>
      <c r="E454" s="702"/>
      <c r="F454" s="300">
        <f t="shared" si="83"/>
        <v>-95000</v>
      </c>
      <c r="G454" s="694"/>
      <c r="H454" s="695"/>
      <c r="I454" s="1314"/>
      <c r="J454" s="1315">
        <f>IF(K$1&gt;0,ROUNDUP(SUM(PROD!AM$5:AM455)/K$1*K$2,0),0)-SUM(J$4:J453)</f>
        <v>0</v>
      </c>
      <c r="K454" s="1316">
        <f t="shared" si="85"/>
        <v>0</v>
      </c>
      <c r="L454" s="1314"/>
      <c r="M454" s="1315">
        <f>IF(N$1&gt;0,ROUNDUP(SUM(PROD!L$5:L455,-PROD!AM$5:AM455,-PROD!AZ$5:AZ455)/N$1*N$2,0),0)-SUM(M$4:M453)</f>
        <v>0</v>
      </c>
      <c r="N454" s="1316">
        <f t="shared" si="86"/>
        <v>0</v>
      </c>
      <c r="O454" s="1317">
        <f t="shared" si="87"/>
        <v>0</v>
      </c>
      <c r="P454" s="1318"/>
      <c r="Q454" s="1319"/>
      <c r="R454" s="1320">
        <f t="shared" si="88"/>
        <v>0</v>
      </c>
      <c r="S454" s="1316">
        <f t="shared" si="89"/>
        <v>0</v>
      </c>
      <c r="T454" s="712"/>
      <c r="U454" s="713"/>
      <c r="V454" s="714"/>
      <c r="W454" s="398">
        <f t="shared" si="84"/>
        <v>0</v>
      </c>
      <c r="X454" s="712"/>
      <c r="Y454" s="713"/>
      <c r="Z454" s="714"/>
      <c r="AA454" s="398">
        <f t="shared" si="91"/>
        <v>0</v>
      </c>
      <c r="AB454" s="712"/>
      <c r="AC454" s="713"/>
      <c r="AD454" s="714"/>
      <c r="AE454" s="398">
        <f t="shared" si="92"/>
        <v>0</v>
      </c>
      <c r="AF454" s="712"/>
      <c r="AG454" s="713"/>
      <c r="AH454" s="714"/>
      <c r="AI454" s="398">
        <f t="shared" si="93"/>
        <v>0</v>
      </c>
      <c r="AJ454" s="712"/>
      <c r="AK454" s="713"/>
      <c r="AL454" s="714"/>
      <c r="AM454" s="398">
        <f t="shared" si="94"/>
        <v>0</v>
      </c>
    </row>
    <row r="455" spans="1:39" ht="15.75" customHeight="1" x14ac:dyDescent="0.3">
      <c r="A455" s="2161"/>
      <c r="B455" s="1313" t="str">
        <f t="shared" si="90"/>
        <v/>
      </c>
      <c r="C455" s="1011">
        <f>IF($D$2="NO",0,ROUNDDOWN(SUM(PROD!$V$5:V456)/IF(Iniciar!$C$25="kilos",40,1),0)-SUM($C$4:$C454))</f>
        <v>0</v>
      </c>
      <c r="D455" s="702"/>
      <c r="E455" s="702"/>
      <c r="F455" s="300">
        <f t="shared" si="83"/>
        <v>-95000</v>
      </c>
      <c r="G455" s="694"/>
      <c r="H455" s="695"/>
      <c r="I455" s="1314"/>
      <c r="J455" s="1315">
        <f>IF(K$1&gt;0,ROUNDUP(SUM(PROD!AM$5:AM456)/K$1*K$2,0),0)-SUM(J$4:J454)</f>
        <v>0</v>
      </c>
      <c r="K455" s="1316">
        <f t="shared" si="85"/>
        <v>0</v>
      </c>
      <c r="L455" s="1314"/>
      <c r="M455" s="1315">
        <f>IF(N$1&gt;0,ROUNDUP(SUM(PROD!L$5:L456,-PROD!AM$5:AM456,-PROD!AZ$5:AZ456)/N$1*N$2,0),0)-SUM(M$4:M454)</f>
        <v>0</v>
      </c>
      <c r="N455" s="1316">
        <f t="shared" si="86"/>
        <v>0</v>
      </c>
      <c r="O455" s="1317">
        <f t="shared" si="87"/>
        <v>0</v>
      </c>
      <c r="P455" s="1318"/>
      <c r="Q455" s="1319"/>
      <c r="R455" s="1320">
        <f t="shared" si="88"/>
        <v>0</v>
      </c>
      <c r="S455" s="1316">
        <f t="shared" si="89"/>
        <v>0</v>
      </c>
      <c r="T455" s="712"/>
      <c r="U455" s="713"/>
      <c r="V455" s="714"/>
      <c r="W455" s="398">
        <f t="shared" si="84"/>
        <v>0</v>
      </c>
      <c r="X455" s="712"/>
      <c r="Y455" s="713"/>
      <c r="Z455" s="714"/>
      <c r="AA455" s="398">
        <f t="shared" si="91"/>
        <v>0</v>
      </c>
      <c r="AB455" s="712"/>
      <c r="AC455" s="713"/>
      <c r="AD455" s="714"/>
      <c r="AE455" s="398">
        <f t="shared" si="92"/>
        <v>0</v>
      </c>
      <c r="AF455" s="712"/>
      <c r="AG455" s="713"/>
      <c r="AH455" s="714"/>
      <c r="AI455" s="398">
        <f t="shared" si="93"/>
        <v>0</v>
      </c>
      <c r="AJ455" s="712"/>
      <c r="AK455" s="713"/>
      <c r="AL455" s="714"/>
      <c r="AM455" s="398">
        <f t="shared" si="94"/>
        <v>0</v>
      </c>
    </row>
    <row r="456" spans="1:39" ht="15.75" customHeight="1" x14ac:dyDescent="0.3">
      <c r="A456" s="2161"/>
      <c r="B456" s="1313" t="str">
        <f t="shared" si="90"/>
        <v/>
      </c>
      <c r="C456" s="1011">
        <f>IF($D$2="NO",0,ROUNDDOWN(SUM(PROD!$V$5:V457)/IF(Iniciar!$C$25="kilos",40,1),0)-SUM($C$4:$C455))</f>
        <v>0</v>
      </c>
      <c r="D456" s="702"/>
      <c r="E456" s="702"/>
      <c r="F456" s="300">
        <f t="shared" si="83"/>
        <v>-95000</v>
      </c>
      <c r="G456" s="694"/>
      <c r="H456" s="695"/>
      <c r="I456" s="1314"/>
      <c r="J456" s="1315">
        <f>IF(K$1&gt;0,ROUNDUP(SUM(PROD!AM$5:AM457)/K$1*K$2,0),0)-SUM(J$4:J455)</f>
        <v>0</v>
      </c>
      <c r="K456" s="1316">
        <f t="shared" si="85"/>
        <v>0</v>
      </c>
      <c r="L456" s="1314"/>
      <c r="M456" s="1315">
        <f>IF(N$1&gt;0,ROUNDUP(SUM(PROD!L$5:L457,-PROD!AM$5:AM457,-PROD!AZ$5:AZ457)/N$1*N$2,0),0)-SUM(M$4:M455)</f>
        <v>0</v>
      </c>
      <c r="N456" s="1316">
        <f t="shared" si="86"/>
        <v>0</v>
      </c>
      <c r="O456" s="1317">
        <f t="shared" si="87"/>
        <v>0</v>
      </c>
      <c r="P456" s="1318"/>
      <c r="Q456" s="1319"/>
      <c r="R456" s="1320">
        <f t="shared" si="88"/>
        <v>0</v>
      </c>
      <c r="S456" s="1316">
        <f t="shared" si="89"/>
        <v>0</v>
      </c>
      <c r="T456" s="712"/>
      <c r="U456" s="713"/>
      <c r="V456" s="714"/>
      <c r="W456" s="398">
        <f t="shared" si="84"/>
        <v>0</v>
      </c>
      <c r="X456" s="712"/>
      <c r="Y456" s="713"/>
      <c r="Z456" s="714"/>
      <c r="AA456" s="398">
        <f t="shared" si="91"/>
        <v>0</v>
      </c>
      <c r="AB456" s="712"/>
      <c r="AC456" s="713"/>
      <c r="AD456" s="714"/>
      <c r="AE456" s="398">
        <f t="shared" si="92"/>
        <v>0</v>
      </c>
      <c r="AF456" s="712"/>
      <c r="AG456" s="713"/>
      <c r="AH456" s="714"/>
      <c r="AI456" s="398">
        <f t="shared" si="93"/>
        <v>0</v>
      </c>
      <c r="AJ456" s="712"/>
      <c r="AK456" s="713"/>
      <c r="AL456" s="714"/>
      <c r="AM456" s="398">
        <f t="shared" si="94"/>
        <v>0</v>
      </c>
    </row>
    <row r="457" spans="1:39" ht="15.75" customHeight="1" x14ac:dyDescent="0.3">
      <c r="A457" s="2161"/>
      <c r="B457" s="1313" t="str">
        <f t="shared" si="90"/>
        <v/>
      </c>
      <c r="C457" s="1011">
        <f>IF($D$2="NO",0,ROUNDDOWN(SUM(PROD!$V$5:V458)/IF(Iniciar!$C$25="kilos",40,1),0)-SUM($C$4:$C456))</f>
        <v>0</v>
      </c>
      <c r="D457" s="702"/>
      <c r="E457" s="702"/>
      <c r="F457" s="300">
        <f t="shared" si="83"/>
        <v>-95000</v>
      </c>
      <c r="G457" s="694"/>
      <c r="H457" s="695"/>
      <c r="I457" s="1314"/>
      <c r="J457" s="1315">
        <f>IF(K$1&gt;0,ROUNDUP(SUM(PROD!AM$5:AM458)/K$1*K$2,0),0)-SUM(J$4:J456)</f>
        <v>0</v>
      </c>
      <c r="K457" s="1316">
        <f t="shared" si="85"/>
        <v>0</v>
      </c>
      <c r="L457" s="1314"/>
      <c r="M457" s="1315">
        <f>IF(N$1&gt;0,ROUNDUP(SUM(PROD!L$5:L458,-PROD!AM$5:AM458,-PROD!AZ$5:AZ458)/N$1*N$2,0),0)-SUM(M$4:M456)</f>
        <v>0</v>
      </c>
      <c r="N457" s="1316">
        <f t="shared" si="86"/>
        <v>0</v>
      </c>
      <c r="O457" s="1317">
        <f t="shared" si="87"/>
        <v>0</v>
      </c>
      <c r="P457" s="1318"/>
      <c r="Q457" s="1319"/>
      <c r="R457" s="1320">
        <f t="shared" si="88"/>
        <v>0</v>
      </c>
      <c r="S457" s="1316">
        <f t="shared" si="89"/>
        <v>0</v>
      </c>
      <c r="T457" s="712"/>
      <c r="U457" s="713"/>
      <c r="V457" s="714"/>
      <c r="W457" s="398">
        <f t="shared" si="84"/>
        <v>0</v>
      </c>
      <c r="X457" s="712"/>
      <c r="Y457" s="713"/>
      <c r="Z457" s="714"/>
      <c r="AA457" s="398">
        <f t="shared" si="91"/>
        <v>0</v>
      </c>
      <c r="AB457" s="712"/>
      <c r="AC457" s="713"/>
      <c r="AD457" s="714"/>
      <c r="AE457" s="398">
        <f t="shared" si="92"/>
        <v>0</v>
      </c>
      <c r="AF457" s="712"/>
      <c r="AG457" s="713"/>
      <c r="AH457" s="714"/>
      <c r="AI457" s="398">
        <f t="shared" si="93"/>
        <v>0</v>
      </c>
      <c r="AJ457" s="712"/>
      <c r="AK457" s="713"/>
      <c r="AL457" s="714"/>
      <c r="AM457" s="398">
        <f t="shared" si="94"/>
        <v>0</v>
      </c>
    </row>
    <row r="458" spans="1:39" ht="16.5" customHeight="1" x14ac:dyDescent="0.3">
      <c r="A458" s="2162"/>
      <c r="B458" s="1313" t="str">
        <f t="shared" si="90"/>
        <v/>
      </c>
      <c r="C458" s="1011">
        <f>IF($D$2="NO",0,ROUNDDOWN(SUM(PROD!$V$5:V459)/IF(Iniciar!$C$25="kilos",40,1),0)-SUM($C$4:$C457))</f>
        <v>0</v>
      </c>
      <c r="D458" s="702"/>
      <c r="E458" s="702"/>
      <c r="F458" s="300">
        <f t="shared" si="83"/>
        <v>-95000</v>
      </c>
      <c r="G458" s="694"/>
      <c r="H458" s="695"/>
      <c r="I458" s="1314"/>
      <c r="J458" s="1315">
        <f>IF(K$1&gt;0,ROUNDUP(SUM(PROD!AM$5:AM459)/K$1*K$2,0),0)-SUM(J$4:J457)</f>
        <v>0</v>
      </c>
      <c r="K458" s="1316">
        <f t="shared" si="85"/>
        <v>0</v>
      </c>
      <c r="L458" s="1314"/>
      <c r="M458" s="1315">
        <f>IF(N$1&gt;0,ROUNDUP(SUM(PROD!L$5:L459,-PROD!AM$5:AM459,-PROD!AZ$5:AZ459)/N$1*N$2,0),0)-SUM(M$4:M457)</f>
        <v>0</v>
      </c>
      <c r="N458" s="1316">
        <f t="shared" si="86"/>
        <v>0</v>
      </c>
      <c r="O458" s="1317">
        <f t="shared" si="87"/>
        <v>0</v>
      </c>
      <c r="P458" s="1318"/>
      <c r="Q458" s="1319"/>
      <c r="R458" s="1320">
        <f t="shared" si="88"/>
        <v>0</v>
      </c>
      <c r="S458" s="1316">
        <f t="shared" si="89"/>
        <v>0</v>
      </c>
      <c r="T458" s="712"/>
      <c r="U458" s="713"/>
      <c r="V458" s="714"/>
      <c r="W458" s="398">
        <f t="shared" si="84"/>
        <v>0</v>
      </c>
      <c r="X458" s="712"/>
      <c r="Y458" s="713"/>
      <c r="Z458" s="714"/>
      <c r="AA458" s="398">
        <f t="shared" si="91"/>
        <v>0</v>
      </c>
      <c r="AB458" s="712"/>
      <c r="AC458" s="713"/>
      <c r="AD458" s="714"/>
      <c r="AE458" s="398">
        <f t="shared" si="92"/>
        <v>0</v>
      </c>
      <c r="AF458" s="712"/>
      <c r="AG458" s="713"/>
      <c r="AH458" s="714"/>
      <c r="AI458" s="398">
        <f t="shared" si="93"/>
        <v>0</v>
      </c>
      <c r="AJ458" s="712"/>
      <c r="AK458" s="713"/>
      <c r="AL458" s="714"/>
      <c r="AM458" s="398">
        <f t="shared" si="94"/>
        <v>0</v>
      </c>
    </row>
    <row r="459" spans="1:39" ht="16.5" customHeight="1" x14ac:dyDescent="0.3">
      <c r="A459" s="2160">
        <f>A452+1</f>
        <v>83</v>
      </c>
      <c r="B459" s="1313" t="str">
        <f t="shared" si="90"/>
        <v/>
      </c>
      <c r="C459" s="1011">
        <f>IF($D$2="NO",0,ROUNDDOWN(SUM(PROD!$V$5:V460)/IF(Iniciar!$C$25="kilos",40,1),0)-SUM($C$4:$C458))</f>
        <v>0</v>
      </c>
      <c r="D459" s="702"/>
      <c r="E459" s="702"/>
      <c r="F459" s="300">
        <f t="shared" ref="F459:F522" si="95">F458+C459+D459-E459</f>
        <v>-95000</v>
      </c>
      <c r="G459" s="694"/>
      <c r="H459" s="695"/>
      <c r="I459" s="1314"/>
      <c r="J459" s="1315">
        <f>IF(K$1&gt;0,ROUNDUP(SUM(PROD!AM$5:AM460)/K$1*K$2,0),0)-SUM(J$4:J458)</f>
        <v>0</v>
      </c>
      <c r="K459" s="1316">
        <f t="shared" si="85"/>
        <v>0</v>
      </c>
      <c r="L459" s="1314"/>
      <c r="M459" s="1315">
        <f>IF(N$1&gt;0,ROUNDUP(SUM(PROD!L$5:L460,-PROD!AM$5:AM460,-PROD!AZ$5:AZ460)/N$1*N$2,0),0)-SUM(M$4:M458)</f>
        <v>0</v>
      </c>
      <c r="N459" s="1316">
        <f t="shared" si="86"/>
        <v>0</v>
      </c>
      <c r="O459" s="1317">
        <f t="shared" si="87"/>
        <v>0</v>
      </c>
      <c r="P459" s="1318"/>
      <c r="Q459" s="1319"/>
      <c r="R459" s="1320">
        <f t="shared" si="88"/>
        <v>0</v>
      </c>
      <c r="S459" s="1316">
        <f t="shared" si="89"/>
        <v>0</v>
      </c>
      <c r="T459" s="712"/>
      <c r="U459" s="713"/>
      <c r="V459" s="714"/>
      <c r="W459" s="398">
        <f t="shared" si="84"/>
        <v>0</v>
      </c>
      <c r="X459" s="712"/>
      <c r="Y459" s="713"/>
      <c r="Z459" s="714"/>
      <c r="AA459" s="398">
        <f t="shared" si="91"/>
        <v>0</v>
      </c>
      <c r="AB459" s="712"/>
      <c r="AC459" s="713"/>
      <c r="AD459" s="714"/>
      <c r="AE459" s="398">
        <f t="shared" si="92"/>
        <v>0</v>
      </c>
      <c r="AF459" s="712"/>
      <c r="AG459" s="713"/>
      <c r="AH459" s="714"/>
      <c r="AI459" s="398">
        <f t="shared" si="93"/>
        <v>0</v>
      </c>
      <c r="AJ459" s="712"/>
      <c r="AK459" s="713"/>
      <c r="AL459" s="714"/>
      <c r="AM459" s="398">
        <f t="shared" si="94"/>
        <v>0</v>
      </c>
    </row>
    <row r="460" spans="1:39" ht="15.75" customHeight="1" x14ac:dyDescent="0.3">
      <c r="A460" s="2161"/>
      <c r="B460" s="1313" t="str">
        <f t="shared" si="90"/>
        <v/>
      </c>
      <c r="C460" s="1011">
        <f>IF($D$2="NO",0,ROUNDDOWN(SUM(PROD!$V$5:V461)/IF(Iniciar!$C$25="kilos",40,1),0)-SUM($C$4:$C459))</f>
        <v>0</v>
      </c>
      <c r="D460" s="702"/>
      <c r="E460" s="702"/>
      <c r="F460" s="300">
        <f t="shared" si="95"/>
        <v>-95000</v>
      </c>
      <c r="G460" s="694"/>
      <c r="H460" s="695"/>
      <c r="I460" s="1314"/>
      <c r="J460" s="1315">
        <f>IF(K$1&gt;0,ROUNDUP(SUM(PROD!AM$5:AM461)/K$1*K$2,0),0)-SUM(J$4:J459)</f>
        <v>0</v>
      </c>
      <c r="K460" s="1316">
        <f t="shared" si="85"/>
        <v>0</v>
      </c>
      <c r="L460" s="1314"/>
      <c r="M460" s="1315">
        <f>IF(N$1&gt;0,ROUNDUP(SUM(PROD!L$5:L461,-PROD!AM$5:AM461,-PROD!AZ$5:AZ461)/N$1*N$2,0),0)-SUM(M$4:M459)</f>
        <v>0</v>
      </c>
      <c r="N460" s="1316">
        <f t="shared" si="86"/>
        <v>0</v>
      </c>
      <c r="O460" s="1317">
        <f t="shared" si="87"/>
        <v>0</v>
      </c>
      <c r="P460" s="1318"/>
      <c r="Q460" s="1319"/>
      <c r="R460" s="1320">
        <f t="shared" si="88"/>
        <v>0</v>
      </c>
      <c r="S460" s="1316">
        <f t="shared" si="89"/>
        <v>0</v>
      </c>
      <c r="T460" s="712"/>
      <c r="U460" s="713"/>
      <c r="V460" s="714"/>
      <c r="W460" s="398">
        <f t="shared" si="84"/>
        <v>0</v>
      </c>
      <c r="X460" s="712"/>
      <c r="Y460" s="713"/>
      <c r="Z460" s="714"/>
      <c r="AA460" s="398">
        <f t="shared" si="91"/>
        <v>0</v>
      </c>
      <c r="AB460" s="712"/>
      <c r="AC460" s="713"/>
      <c r="AD460" s="714"/>
      <c r="AE460" s="398">
        <f t="shared" si="92"/>
        <v>0</v>
      </c>
      <c r="AF460" s="712"/>
      <c r="AG460" s="713"/>
      <c r="AH460" s="714"/>
      <c r="AI460" s="398">
        <f t="shared" si="93"/>
        <v>0</v>
      </c>
      <c r="AJ460" s="712"/>
      <c r="AK460" s="713"/>
      <c r="AL460" s="714"/>
      <c r="AM460" s="398">
        <f t="shared" si="94"/>
        <v>0</v>
      </c>
    </row>
    <row r="461" spans="1:39" ht="15.75" customHeight="1" x14ac:dyDescent="0.3">
      <c r="A461" s="2161"/>
      <c r="B461" s="1313" t="str">
        <f t="shared" si="90"/>
        <v/>
      </c>
      <c r="C461" s="1011">
        <f>IF($D$2="NO",0,ROUNDDOWN(SUM(PROD!$V$5:V462)/IF(Iniciar!$C$25="kilos",40,1),0)-SUM($C$4:$C460))</f>
        <v>0</v>
      </c>
      <c r="D461" s="702"/>
      <c r="E461" s="702"/>
      <c r="F461" s="300">
        <f t="shared" si="95"/>
        <v>-95000</v>
      </c>
      <c r="G461" s="694"/>
      <c r="H461" s="695"/>
      <c r="I461" s="1314"/>
      <c r="J461" s="1315">
        <f>IF(K$1&gt;0,ROUNDUP(SUM(PROD!AM$5:AM462)/K$1*K$2,0),0)-SUM(J$4:J460)</f>
        <v>0</v>
      </c>
      <c r="K461" s="1316">
        <f t="shared" si="85"/>
        <v>0</v>
      </c>
      <c r="L461" s="1314"/>
      <c r="M461" s="1315">
        <f>IF(N$1&gt;0,ROUNDUP(SUM(PROD!L$5:L462,-PROD!AM$5:AM462,-PROD!AZ$5:AZ462)/N$1*N$2,0),0)-SUM(M$4:M460)</f>
        <v>0</v>
      </c>
      <c r="N461" s="1316">
        <f t="shared" si="86"/>
        <v>0</v>
      </c>
      <c r="O461" s="1317">
        <f t="shared" si="87"/>
        <v>0</v>
      </c>
      <c r="P461" s="1318"/>
      <c r="Q461" s="1319"/>
      <c r="R461" s="1320">
        <f t="shared" si="88"/>
        <v>0</v>
      </c>
      <c r="S461" s="1316">
        <f t="shared" si="89"/>
        <v>0</v>
      </c>
      <c r="T461" s="712"/>
      <c r="U461" s="713"/>
      <c r="V461" s="714"/>
      <c r="W461" s="398">
        <f t="shared" si="84"/>
        <v>0</v>
      </c>
      <c r="X461" s="712"/>
      <c r="Y461" s="713"/>
      <c r="Z461" s="714"/>
      <c r="AA461" s="398">
        <f t="shared" si="91"/>
        <v>0</v>
      </c>
      <c r="AB461" s="712"/>
      <c r="AC461" s="713"/>
      <c r="AD461" s="714"/>
      <c r="AE461" s="398">
        <f t="shared" si="92"/>
        <v>0</v>
      </c>
      <c r="AF461" s="712"/>
      <c r="AG461" s="713"/>
      <c r="AH461" s="714"/>
      <c r="AI461" s="398">
        <f t="shared" si="93"/>
        <v>0</v>
      </c>
      <c r="AJ461" s="712"/>
      <c r="AK461" s="713"/>
      <c r="AL461" s="714"/>
      <c r="AM461" s="398">
        <f t="shared" si="94"/>
        <v>0</v>
      </c>
    </row>
    <row r="462" spans="1:39" ht="15.75" customHeight="1" x14ac:dyDescent="0.3">
      <c r="A462" s="2161"/>
      <c r="B462" s="1313" t="str">
        <f t="shared" si="90"/>
        <v/>
      </c>
      <c r="C462" s="1011">
        <f>IF($D$2="NO",0,ROUNDDOWN(SUM(PROD!$V$5:V463)/IF(Iniciar!$C$25="kilos",40,1),0)-SUM($C$4:$C461))</f>
        <v>0</v>
      </c>
      <c r="D462" s="702"/>
      <c r="E462" s="702"/>
      <c r="F462" s="300">
        <f t="shared" si="95"/>
        <v>-95000</v>
      </c>
      <c r="G462" s="694"/>
      <c r="H462" s="695"/>
      <c r="I462" s="1314"/>
      <c r="J462" s="1315">
        <f>IF(K$1&gt;0,ROUNDUP(SUM(PROD!AM$5:AM463)/K$1*K$2,0),0)-SUM(J$4:J461)</f>
        <v>0</v>
      </c>
      <c r="K462" s="1316">
        <f t="shared" si="85"/>
        <v>0</v>
      </c>
      <c r="L462" s="1314"/>
      <c r="M462" s="1315">
        <f>IF(N$1&gt;0,ROUNDUP(SUM(PROD!L$5:L463,-PROD!AM$5:AM463,-PROD!AZ$5:AZ463)/N$1*N$2,0),0)-SUM(M$4:M461)</f>
        <v>0</v>
      </c>
      <c r="N462" s="1316">
        <f t="shared" si="86"/>
        <v>0</v>
      </c>
      <c r="O462" s="1317">
        <f t="shared" si="87"/>
        <v>0</v>
      </c>
      <c r="P462" s="1318"/>
      <c r="Q462" s="1319"/>
      <c r="R462" s="1320">
        <f t="shared" si="88"/>
        <v>0</v>
      </c>
      <c r="S462" s="1316">
        <f t="shared" si="89"/>
        <v>0</v>
      </c>
      <c r="T462" s="712"/>
      <c r="U462" s="713"/>
      <c r="V462" s="714"/>
      <c r="W462" s="398">
        <f t="shared" si="84"/>
        <v>0</v>
      </c>
      <c r="X462" s="712"/>
      <c r="Y462" s="713"/>
      <c r="Z462" s="714"/>
      <c r="AA462" s="398">
        <f t="shared" si="91"/>
        <v>0</v>
      </c>
      <c r="AB462" s="712"/>
      <c r="AC462" s="713"/>
      <c r="AD462" s="714"/>
      <c r="AE462" s="398">
        <f t="shared" si="92"/>
        <v>0</v>
      </c>
      <c r="AF462" s="712"/>
      <c r="AG462" s="713"/>
      <c r="AH462" s="714"/>
      <c r="AI462" s="398">
        <f t="shared" si="93"/>
        <v>0</v>
      </c>
      <c r="AJ462" s="712"/>
      <c r="AK462" s="713"/>
      <c r="AL462" s="714"/>
      <c r="AM462" s="398">
        <f t="shared" si="94"/>
        <v>0</v>
      </c>
    </row>
    <row r="463" spans="1:39" ht="15.75" customHeight="1" x14ac:dyDescent="0.3">
      <c r="A463" s="2161"/>
      <c r="B463" s="1313" t="str">
        <f t="shared" si="90"/>
        <v/>
      </c>
      <c r="C463" s="1011">
        <f>IF($D$2="NO",0,ROUNDDOWN(SUM(PROD!$V$5:V464)/IF(Iniciar!$C$25="kilos",40,1),0)-SUM($C$4:$C462))</f>
        <v>0</v>
      </c>
      <c r="D463" s="702"/>
      <c r="E463" s="702"/>
      <c r="F463" s="300">
        <f t="shared" si="95"/>
        <v>-95000</v>
      </c>
      <c r="G463" s="694"/>
      <c r="H463" s="695"/>
      <c r="I463" s="1314"/>
      <c r="J463" s="1315">
        <f>IF(K$1&gt;0,ROUNDUP(SUM(PROD!AM$5:AM464)/K$1*K$2,0),0)-SUM(J$4:J462)</f>
        <v>0</v>
      </c>
      <c r="K463" s="1316">
        <f t="shared" si="85"/>
        <v>0</v>
      </c>
      <c r="L463" s="1314"/>
      <c r="M463" s="1315">
        <f>IF(N$1&gt;0,ROUNDUP(SUM(PROD!L$5:L464,-PROD!AM$5:AM464,-PROD!AZ$5:AZ464)/N$1*N$2,0),0)-SUM(M$4:M462)</f>
        <v>0</v>
      </c>
      <c r="N463" s="1316">
        <f t="shared" si="86"/>
        <v>0</v>
      </c>
      <c r="O463" s="1317">
        <f t="shared" si="87"/>
        <v>0</v>
      </c>
      <c r="P463" s="1318"/>
      <c r="Q463" s="1319"/>
      <c r="R463" s="1320">
        <f t="shared" si="88"/>
        <v>0</v>
      </c>
      <c r="S463" s="1316">
        <f t="shared" si="89"/>
        <v>0</v>
      </c>
      <c r="T463" s="712"/>
      <c r="U463" s="713"/>
      <c r="V463" s="714"/>
      <c r="W463" s="398">
        <f t="shared" si="84"/>
        <v>0</v>
      </c>
      <c r="X463" s="712"/>
      <c r="Y463" s="713"/>
      <c r="Z463" s="714"/>
      <c r="AA463" s="398">
        <f t="shared" si="91"/>
        <v>0</v>
      </c>
      <c r="AB463" s="712"/>
      <c r="AC463" s="713"/>
      <c r="AD463" s="714"/>
      <c r="AE463" s="398">
        <f t="shared" si="92"/>
        <v>0</v>
      </c>
      <c r="AF463" s="712"/>
      <c r="AG463" s="713"/>
      <c r="AH463" s="714"/>
      <c r="AI463" s="398">
        <f t="shared" si="93"/>
        <v>0</v>
      </c>
      <c r="AJ463" s="712"/>
      <c r="AK463" s="713"/>
      <c r="AL463" s="714"/>
      <c r="AM463" s="398">
        <f t="shared" si="94"/>
        <v>0</v>
      </c>
    </row>
    <row r="464" spans="1:39" ht="15.75" customHeight="1" x14ac:dyDescent="0.3">
      <c r="A464" s="2161"/>
      <c r="B464" s="1313" t="str">
        <f t="shared" si="90"/>
        <v/>
      </c>
      <c r="C464" s="1011">
        <f>IF($D$2="NO",0,ROUNDDOWN(SUM(PROD!$V$5:V465)/IF(Iniciar!$C$25="kilos",40,1),0)-SUM($C$4:$C463))</f>
        <v>0</v>
      </c>
      <c r="D464" s="702"/>
      <c r="E464" s="702"/>
      <c r="F464" s="300">
        <f t="shared" si="95"/>
        <v>-95000</v>
      </c>
      <c r="G464" s="694"/>
      <c r="H464" s="695"/>
      <c r="I464" s="1314"/>
      <c r="J464" s="1315">
        <f>IF(K$1&gt;0,ROUNDUP(SUM(PROD!AM$5:AM465)/K$1*K$2,0),0)-SUM(J$4:J463)</f>
        <v>0</v>
      </c>
      <c r="K464" s="1316">
        <f t="shared" si="85"/>
        <v>0</v>
      </c>
      <c r="L464" s="1314"/>
      <c r="M464" s="1315">
        <f>IF(N$1&gt;0,ROUNDUP(SUM(PROD!L$5:L465,-PROD!AM$5:AM465,-PROD!AZ$5:AZ465)/N$1*N$2,0),0)-SUM(M$4:M463)</f>
        <v>0</v>
      </c>
      <c r="N464" s="1316">
        <f t="shared" si="86"/>
        <v>0</v>
      </c>
      <c r="O464" s="1317">
        <f t="shared" si="87"/>
        <v>0</v>
      </c>
      <c r="P464" s="1318"/>
      <c r="Q464" s="1319"/>
      <c r="R464" s="1320">
        <f t="shared" si="88"/>
        <v>0</v>
      </c>
      <c r="S464" s="1316">
        <f t="shared" si="89"/>
        <v>0</v>
      </c>
      <c r="T464" s="712"/>
      <c r="U464" s="713"/>
      <c r="V464" s="714"/>
      <c r="W464" s="398">
        <f t="shared" si="84"/>
        <v>0</v>
      </c>
      <c r="X464" s="712"/>
      <c r="Y464" s="713"/>
      <c r="Z464" s="714"/>
      <c r="AA464" s="398">
        <f t="shared" si="91"/>
        <v>0</v>
      </c>
      <c r="AB464" s="712"/>
      <c r="AC464" s="713"/>
      <c r="AD464" s="714"/>
      <c r="AE464" s="398">
        <f t="shared" si="92"/>
        <v>0</v>
      </c>
      <c r="AF464" s="712"/>
      <c r="AG464" s="713"/>
      <c r="AH464" s="714"/>
      <c r="AI464" s="398">
        <f t="shared" si="93"/>
        <v>0</v>
      </c>
      <c r="AJ464" s="712"/>
      <c r="AK464" s="713"/>
      <c r="AL464" s="714"/>
      <c r="AM464" s="398">
        <f t="shared" si="94"/>
        <v>0</v>
      </c>
    </row>
    <row r="465" spans="1:39" ht="16.5" customHeight="1" x14ac:dyDescent="0.3">
      <c r="A465" s="2162"/>
      <c r="B465" s="1313" t="str">
        <f t="shared" si="90"/>
        <v/>
      </c>
      <c r="C465" s="1011">
        <f>IF($D$2="NO",0,ROUNDDOWN(SUM(PROD!$V$5:V466)/IF(Iniciar!$C$25="kilos",40,1),0)-SUM($C$4:$C464))</f>
        <v>0</v>
      </c>
      <c r="D465" s="702"/>
      <c r="E465" s="702"/>
      <c r="F465" s="300">
        <f t="shared" si="95"/>
        <v>-95000</v>
      </c>
      <c r="G465" s="694"/>
      <c r="H465" s="695"/>
      <c r="I465" s="1314"/>
      <c r="J465" s="1315">
        <f>IF(K$1&gt;0,ROUNDUP(SUM(PROD!AM$5:AM466)/K$1*K$2,0),0)-SUM(J$4:J464)</f>
        <v>0</v>
      </c>
      <c r="K465" s="1316">
        <f t="shared" si="85"/>
        <v>0</v>
      </c>
      <c r="L465" s="1314"/>
      <c r="M465" s="1315">
        <f>IF(N$1&gt;0,ROUNDUP(SUM(PROD!L$5:L466,-PROD!AM$5:AM466,-PROD!AZ$5:AZ466)/N$1*N$2,0),0)-SUM(M$4:M464)</f>
        <v>0</v>
      </c>
      <c r="N465" s="1316">
        <f t="shared" si="86"/>
        <v>0</v>
      </c>
      <c r="O465" s="1317">
        <f t="shared" si="87"/>
        <v>0</v>
      </c>
      <c r="P465" s="1318"/>
      <c r="Q465" s="1319"/>
      <c r="R465" s="1320">
        <f t="shared" si="88"/>
        <v>0</v>
      </c>
      <c r="S465" s="1316">
        <f t="shared" si="89"/>
        <v>0</v>
      </c>
      <c r="T465" s="712"/>
      <c r="U465" s="713"/>
      <c r="V465" s="714"/>
      <c r="W465" s="398">
        <f t="shared" si="84"/>
        <v>0</v>
      </c>
      <c r="X465" s="712"/>
      <c r="Y465" s="713"/>
      <c r="Z465" s="714"/>
      <c r="AA465" s="398">
        <f t="shared" si="91"/>
        <v>0</v>
      </c>
      <c r="AB465" s="712"/>
      <c r="AC465" s="713"/>
      <c r="AD465" s="714"/>
      <c r="AE465" s="398">
        <f t="shared" si="92"/>
        <v>0</v>
      </c>
      <c r="AF465" s="712"/>
      <c r="AG465" s="713"/>
      <c r="AH465" s="714"/>
      <c r="AI465" s="398">
        <f t="shared" si="93"/>
        <v>0</v>
      </c>
      <c r="AJ465" s="712"/>
      <c r="AK465" s="713"/>
      <c r="AL465" s="714"/>
      <c r="AM465" s="398">
        <f t="shared" si="94"/>
        <v>0</v>
      </c>
    </row>
    <row r="466" spans="1:39" ht="16.5" customHeight="1" x14ac:dyDescent="0.3">
      <c r="A466" s="2160">
        <f>A459+1</f>
        <v>84</v>
      </c>
      <c r="B466" s="1313" t="str">
        <f t="shared" si="90"/>
        <v/>
      </c>
      <c r="C466" s="1011">
        <f>IF($D$2="NO",0,ROUNDDOWN(SUM(PROD!$V$5:V467)/IF(Iniciar!$C$25="kilos",40,1),0)-SUM($C$4:$C465))</f>
        <v>0</v>
      </c>
      <c r="D466" s="702"/>
      <c r="E466" s="702"/>
      <c r="F466" s="300">
        <f t="shared" si="95"/>
        <v>-95000</v>
      </c>
      <c r="G466" s="694"/>
      <c r="H466" s="695"/>
      <c r="I466" s="1314"/>
      <c r="J466" s="1315">
        <f>IF(K$1&gt;0,ROUNDUP(SUM(PROD!AM$5:AM467)/K$1*K$2,0),0)-SUM(J$4:J465)</f>
        <v>0</v>
      </c>
      <c r="K466" s="1316">
        <f t="shared" si="85"/>
        <v>0</v>
      </c>
      <c r="L466" s="1314"/>
      <c r="M466" s="1315">
        <f>IF(N$1&gt;0,ROUNDUP(SUM(PROD!L$5:L467,-PROD!AM$5:AM467,-PROD!AZ$5:AZ467)/N$1*N$2,0),0)-SUM(M$4:M465)</f>
        <v>0</v>
      </c>
      <c r="N466" s="1316">
        <f t="shared" si="86"/>
        <v>0</v>
      </c>
      <c r="O466" s="1317">
        <f t="shared" si="87"/>
        <v>0</v>
      </c>
      <c r="P466" s="1318"/>
      <c r="Q466" s="1319"/>
      <c r="R466" s="1320">
        <f t="shared" si="88"/>
        <v>0</v>
      </c>
      <c r="S466" s="1316">
        <f t="shared" si="89"/>
        <v>0</v>
      </c>
      <c r="T466" s="712"/>
      <c r="U466" s="713"/>
      <c r="V466" s="714"/>
      <c r="W466" s="398">
        <f t="shared" ref="W466:W529" si="96">W465+U466-V466</f>
        <v>0</v>
      </c>
      <c r="X466" s="712"/>
      <c r="Y466" s="713"/>
      <c r="Z466" s="714"/>
      <c r="AA466" s="398">
        <f t="shared" si="91"/>
        <v>0</v>
      </c>
      <c r="AB466" s="712"/>
      <c r="AC466" s="713"/>
      <c r="AD466" s="714"/>
      <c r="AE466" s="398">
        <f t="shared" si="92"/>
        <v>0</v>
      </c>
      <c r="AF466" s="712"/>
      <c r="AG466" s="713"/>
      <c r="AH466" s="714"/>
      <c r="AI466" s="398">
        <f t="shared" si="93"/>
        <v>0</v>
      </c>
      <c r="AJ466" s="712"/>
      <c r="AK466" s="713"/>
      <c r="AL466" s="714"/>
      <c r="AM466" s="398">
        <f t="shared" si="94"/>
        <v>0</v>
      </c>
    </row>
    <row r="467" spans="1:39" ht="15.75" customHeight="1" x14ac:dyDescent="0.3">
      <c r="A467" s="2161"/>
      <c r="B467" s="1313" t="str">
        <f t="shared" si="90"/>
        <v/>
      </c>
      <c r="C467" s="1011">
        <f>IF($D$2="NO",0,ROUNDDOWN(SUM(PROD!$V$5:V468)/IF(Iniciar!$C$25="kilos",40,1),0)-SUM($C$4:$C466))</f>
        <v>0</v>
      </c>
      <c r="D467" s="702"/>
      <c r="E467" s="702"/>
      <c r="F467" s="300">
        <f t="shared" si="95"/>
        <v>-95000</v>
      </c>
      <c r="G467" s="694"/>
      <c r="H467" s="695"/>
      <c r="I467" s="1314"/>
      <c r="J467" s="1315">
        <f>IF(K$1&gt;0,ROUNDUP(SUM(PROD!AM$5:AM468)/K$1*K$2,0),0)-SUM(J$4:J466)</f>
        <v>0</v>
      </c>
      <c r="K467" s="1316">
        <f t="shared" si="85"/>
        <v>0</v>
      </c>
      <c r="L467" s="1314"/>
      <c r="M467" s="1315">
        <f>IF(N$1&gt;0,ROUNDUP(SUM(PROD!L$5:L468,-PROD!AM$5:AM468,-PROD!AZ$5:AZ468)/N$1*N$2,0),0)-SUM(M$4:M466)</f>
        <v>0</v>
      </c>
      <c r="N467" s="1316">
        <f t="shared" si="86"/>
        <v>0</v>
      </c>
      <c r="O467" s="1317">
        <f t="shared" si="87"/>
        <v>0</v>
      </c>
      <c r="P467" s="1318"/>
      <c r="Q467" s="1319"/>
      <c r="R467" s="1320">
        <f t="shared" si="88"/>
        <v>0</v>
      </c>
      <c r="S467" s="1316">
        <f t="shared" si="89"/>
        <v>0</v>
      </c>
      <c r="T467" s="712"/>
      <c r="U467" s="713"/>
      <c r="V467" s="714"/>
      <c r="W467" s="398">
        <f t="shared" si="96"/>
        <v>0</v>
      </c>
      <c r="X467" s="712"/>
      <c r="Y467" s="713"/>
      <c r="Z467" s="714"/>
      <c r="AA467" s="398">
        <f t="shared" si="91"/>
        <v>0</v>
      </c>
      <c r="AB467" s="712"/>
      <c r="AC467" s="713"/>
      <c r="AD467" s="714"/>
      <c r="AE467" s="398">
        <f t="shared" si="92"/>
        <v>0</v>
      </c>
      <c r="AF467" s="712"/>
      <c r="AG467" s="713"/>
      <c r="AH467" s="714"/>
      <c r="AI467" s="398">
        <f t="shared" si="93"/>
        <v>0</v>
      </c>
      <c r="AJ467" s="712"/>
      <c r="AK467" s="713"/>
      <c r="AL467" s="714"/>
      <c r="AM467" s="398">
        <f t="shared" si="94"/>
        <v>0</v>
      </c>
    </row>
    <row r="468" spans="1:39" ht="15.75" customHeight="1" x14ac:dyDescent="0.3">
      <c r="A468" s="2161"/>
      <c r="B468" s="1313" t="str">
        <f t="shared" si="90"/>
        <v/>
      </c>
      <c r="C468" s="1011">
        <f>IF($D$2="NO",0,ROUNDDOWN(SUM(PROD!$V$5:V469)/IF(Iniciar!$C$25="kilos",40,1),0)-SUM($C$4:$C467))</f>
        <v>0</v>
      </c>
      <c r="D468" s="702"/>
      <c r="E468" s="702"/>
      <c r="F468" s="300">
        <f t="shared" si="95"/>
        <v>-95000</v>
      </c>
      <c r="G468" s="694"/>
      <c r="H468" s="695"/>
      <c r="I468" s="1314"/>
      <c r="J468" s="1315">
        <f>IF(K$1&gt;0,ROUNDUP(SUM(PROD!AM$5:AM469)/K$1*K$2,0),0)-SUM(J$4:J467)</f>
        <v>0</v>
      </c>
      <c r="K468" s="1316">
        <f t="shared" si="85"/>
        <v>0</v>
      </c>
      <c r="L468" s="1314"/>
      <c r="M468" s="1315">
        <f>IF(N$1&gt;0,ROUNDUP(SUM(PROD!L$5:L469,-PROD!AM$5:AM469,-PROD!AZ$5:AZ469)/N$1*N$2,0),0)-SUM(M$4:M467)</f>
        <v>0</v>
      </c>
      <c r="N468" s="1316">
        <f t="shared" si="86"/>
        <v>0</v>
      </c>
      <c r="O468" s="1317">
        <f t="shared" si="87"/>
        <v>0</v>
      </c>
      <c r="P468" s="1318"/>
      <c r="Q468" s="1319"/>
      <c r="R468" s="1320">
        <f t="shared" si="88"/>
        <v>0</v>
      </c>
      <c r="S468" s="1316">
        <f t="shared" si="89"/>
        <v>0</v>
      </c>
      <c r="T468" s="712"/>
      <c r="U468" s="713"/>
      <c r="V468" s="714"/>
      <c r="W468" s="398">
        <f t="shared" si="96"/>
        <v>0</v>
      </c>
      <c r="X468" s="712"/>
      <c r="Y468" s="713"/>
      <c r="Z468" s="714"/>
      <c r="AA468" s="398">
        <f t="shared" si="91"/>
        <v>0</v>
      </c>
      <c r="AB468" s="712"/>
      <c r="AC468" s="713"/>
      <c r="AD468" s="714"/>
      <c r="AE468" s="398">
        <f t="shared" si="92"/>
        <v>0</v>
      </c>
      <c r="AF468" s="712"/>
      <c r="AG468" s="713"/>
      <c r="AH468" s="714"/>
      <c r="AI468" s="398">
        <f t="shared" si="93"/>
        <v>0</v>
      </c>
      <c r="AJ468" s="712"/>
      <c r="AK468" s="713"/>
      <c r="AL468" s="714"/>
      <c r="AM468" s="398">
        <f t="shared" si="94"/>
        <v>0</v>
      </c>
    </row>
    <row r="469" spans="1:39" ht="15.75" customHeight="1" x14ac:dyDescent="0.3">
      <c r="A469" s="2161"/>
      <c r="B469" s="1313" t="str">
        <f t="shared" si="90"/>
        <v/>
      </c>
      <c r="C469" s="1011">
        <f>IF($D$2="NO",0,ROUNDDOWN(SUM(PROD!$V$5:V470)/IF(Iniciar!$C$25="kilos",40,1),0)-SUM($C$4:$C468))</f>
        <v>0</v>
      </c>
      <c r="D469" s="702"/>
      <c r="E469" s="702"/>
      <c r="F469" s="300">
        <f t="shared" si="95"/>
        <v>-95000</v>
      </c>
      <c r="G469" s="694"/>
      <c r="H469" s="695"/>
      <c r="I469" s="1314"/>
      <c r="J469" s="1315">
        <f>IF(K$1&gt;0,ROUNDUP(SUM(PROD!AM$5:AM470)/K$1*K$2,0),0)-SUM(J$4:J468)</f>
        <v>0</v>
      </c>
      <c r="K469" s="1316">
        <f t="shared" si="85"/>
        <v>0</v>
      </c>
      <c r="L469" s="1314"/>
      <c r="M469" s="1315">
        <f>IF(N$1&gt;0,ROUNDUP(SUM(PROD!L$5:L470,-PROD!AM$5:AM470,-PROD!AZ$5:AZ470)/N$1*N$2,0),0)-SUM(M$4:M468)</f>
        <v>0</v>
      </c>
      <c r="N469" s="1316">
        <f t="shared" si="86"/>
        <v>0</v>
      </c>
      <c r="O469" s="1317">
        <f t="shared" si="87"/>
        <v>0</v>
      </c>
      <c r="P469" s="1318"/>
      <c r="Q469" s="1319"/>
      <c r="R469" s="1320">
        <f t="shared" si="88"/>
        <v>0</v>
      </c>
      <c r="S469" s="1316">
        <f t="shared" si="89"/>
        <v>0</v>
      </c>
      <c r="T469" s="712"/>
      <c r="U469" s="713"/>
      <c r="V469" s="714"/>
      <c r="W469" s="398">
        <f t="shared" si="96"/>
        <v>0</v>
      </c>
      <c r="X469" s="712"/>
      <c r="Y469" s="713"/>
      <c r="Z469" s="714"/>
      <c r="AA469" s="398">
        <f t="shared" si="91"/>
        <v>0</v>
      </c>
      <c r="AB469" s="712"/>
      <c r="AC469" s="713"/>
      <c r="AD469" s="714"/>
      <c r="AE469" s="398">
        <f t="shared" si="92"/>
        <v>0</v>
      </c>
      <c r="AF469" s="712"/>
      <c r="AG469" s="713"/>
      <c r="AH469" s="714"/>
      <c r="AI469" s="398">
        <f t="shared" si="93"/>
        <v>0</v>
      </c>
      <c r="AJ469" s="712"/>
      <c r="AK469" s="713"/>
      <c r="AL469" s="714"/>
      <c r="AM469" s="398">
        <f t="shared" si="94"/>
        <v>0</v>
      </c>
    </row>
    <row r="470" spans="1:39" ht="15.75" customHeight="1" x14ac:dyDescent="0.3">
      <c r="A470" s="2161"/>
      <c r="B470" s="1313" t="str">
        <f t="shared" si="90"/>
        <v/>
      </c>
      <c r="C470" s="1011">
        <f>IF($D$2="NO",0,ROUNDDOWN(SUM(PROD!$V$5:V471)/IF(Iniciar!$C$25="kilos",40,1),0)-SUM($C$4:$C469))</f>
        <v>0</v>
      </c>
      <c r="D470" s="702"/>
      <c r="E470" s="702"/>
      <c r="F470" s="300">
        <f t="shared" si="95"/>
        <v>-95000</v>
      </c>
      <c r="G470" s="694"/>
      <c r="H470" s="695"/>
      <c r="I470" s="1314"/>
      <c r="J470" s="1315">
        <f>IF(K$1&gt;0,ROUNDUP(SUM(PROD!AM$5:AM471)/K$1*K$2,0),0)-SUM(J$4:J469)</f>
        <v>0</v>
      </c>
      <c r="K470" s="1316">
        <f t="shared" si="85"/>
        <v>0</v>
      </c>
      <c r="L470" s="1314"/>
      <c r="M470" s="1315">
        <f>IF(N$1&gt;0,ROUNDUP(SUM(PROD!L$5:L471,-PROD!AM$5:AM471,-PROD!AZ$5:AZ471)/N$1*N$2,0),0)-SUM(M$4:M469)</f>
        <v>0</v>
      </c>
      <c r="N470" s="1316">
        <f t="shared" si="86"/>
        <v>0</v>
      </c>
      <c r="O470" s="1317">
        <f t="shared" si="87"/>
        <v>0</v>
      </c>
      <c r="P470" s="1318"/>
      <c r="Q470" s="1319"/>
      <c r="R470" s="1320">
        <f t="shared" si="88"/>
        <v>0</v>
      </c>
      <c r="S470" s="1316">
        <f t="shared" si="89"/>
        <v>0</v>
      </c>
      <c r="T470" s="712"/>
      <c r="U470" s="713"/>
      <c r="V470" s="714"/>
      <c r="W470" s="398">
        <f t="shared" si="96"/>
        <v>0</v>
      </c>
      <c r="X470" s="712"/>
      <c r="Y470" s="713"/>
      <c r="Z470" s="714"/>
      <c r="AA470" s="398">
        <f t="shared" si="91"/>
        <v>0</v>
      </c>
      <c r="AB470" s="712"/>
      <c r="AC470" s="713"/>
      <c r="AD470" s="714"/>
      <c r="AE470" s="398">
        <f t="shared" si="92"/>
        <v>0</v>
      </c>
      <c r="AF470" s="712"/>
      <c r="AG470" s="713"/>
      <c r="AH470" s="714"/>
      <c r="AI470" s="398">
        <f t="shared" si="93"/>
        <v>0</v>
      </c>
      <c r="AJ470" s="712"/>
      <c r="AK470" s="713"/>
      <c r="AL470" s="714"/>
      <c r="AM470" s="398">
        <f t="shared" si="94"/>
        <v>0</v>
      </c>
    </row>
    <row r="471" spans="1:39" ht="15.75" customHeight="1" x14ac:dyDescent="0.3">
      <c r="A471" s="2161"/>
      <c r="B471" s="1313" t="str">
        <f t="shared" si="90"/>
        <v/>
      </c>
      <c r="C471" s="1011">
        <f>IF($D$2="NO",0,ROUNDDOWN(SUM(PROD!$V$5:V472)/IF(Iniciar!$C$25="kilos",40,1),0)-SUM($C$4:$C470))</f>
        <v>0</v>
      </c>
      <c r="D471" s="702"/>
      <c r="E471" s="702"/>
      <c r="F471" s="300">
        <f t="shared" si="95"/>
        <v>-95000</v>
      </c>
      <c r="G471" s="694"/>
      <c r="H471" s="695"/>
      <c r="I471" s="1314"/>
      <c r="J471" s="1315">
        <f>IF(K$1&gt;0,ROUNDUP(SUM(PROD!AM$5:AM472)/K$1*K$2,0),0)-SUM(J$4:J470)</f>
        <v>0</v>
      </c>
      <c r="K471" s="1316">
        <f t="shared" si="85"/>
        <v>0</v>
      </c>
      <c r="L471" s="1314"/>
      <c r="M471" s="1315">
        <f>IF(N$1&gt;0,ROUNDUP(SUM(PROD!L$5:L472,-PROD!AM$5:AM472,-PROD!AZ$5:AZ472)/N$1*N$2,0),0)-SUM(M$4:M470)</f>
        <v>0</v>
      </c>
      <c r="N471" s="1316">
        <f t="shared" si="86"/>
        <v>0</v>
      </c>
      <c r="O471" s="1317">
        <f t="shared" si="87"/>
        <v>0</v>
      </c>
      <c r="P471" s="1318"/>
      <c r="Q471" s="1319"/>
      <c r="R471" s="1320">
        <f t="shared" si="88"/>
        <v>0</v>
      </c>
      <c r="S471" s="1316">
        <f t="shared" si="89"/>
        <v>0</v>
      </c>
      <c r="T471" s="712"/>
      <c r="U471" s="713"/>
      <c r="V471" s="714"/>
      <c r="W471" s="398">
        <f t="shared" si="96"/>
        <v>0</v>
      </c>
      <c r="X471" s="712"/>
      <c r="Y471" s="713"/>
      <c r="Z471" s="714"/>
      <c r="AA471" s="398">
        <f t="shared" si="91"/>
        <v>0</v>
      </c>
      <c r="AB471" s="712"/>
      <c r="AC471" s="713"/>
      <c r="AD471" s="714"/>
      <c r="AE471" s="398">
        <f t="shared" si="92"/>
        <v>0</v>
      </c>
      <c r="AF471" s="712"/>
      <c r="AG471" s="713"/>
      <c r="AH471" s="714"/>
      <c r="AI471" s="398">
        <f t="shared" si="93"/>
        <v>0</v>
      </c>
      <c r="AJ471" s="712"/>
      <c r="AK471" s="713"/>
      <c r="AL471" s="714"/>
      <c r="AM471" s="398">
        <f t="shared" si="94"/>
        <v>0</v>
      </c>
    </row>
    <row r="472" spans="1:39" ht="16.5" customHeight="1" x14ac:dyDescent="0.3">
      <c r="A472" s="2162"/>
      <c r="B472" s="1313" t="str">
        <f t="shared" si="90"/>
        <v/>
      </c>
      <c r="C472" s="1011">
        <f>IF($D$2="NO",0,ROUNDDOWN(SUM(PROD!$V$5:V473)/IF(Iniciar!$C$25="kilos",40,1),0)-SUM($C$4:$C471))</f>
        <v>0</v>
      </c>
      <c r="D472" s="702"/>
      <c r="E472" s="702"/>
      <c r="F472" s="300">
        <f t="shared" si="95"/>
        <v>-95000</v>
      </c>
      <c r="G472" s="694"/>
      <c r="H472" s="695"/>
      <c r="I472" s="1314"/>
      <c r="J472" s="1315">
        <f>IF(K$1&gt;0,ROUNDUP(SUM(PROD!AM$5:AM473)/K$1*K$2,0),0)-SUM(J$4:J471)</f>
        <v>0</v>
      </c>
      <c r="K472" s="1316">
        <f t="shared" si="85"/>
        <v>0</v>
      </c>
      <c r="L472" s="1314"/>
      <c r="M472" s="1315">
        <f>IF(N$1&gt;0,ROUNDUP(SUM(PROD!L$5:L473,-PROD!AM$5:AM473,-PROD!AZ$5:AZ473)/N$1*N$2,0),0)-SUM(M$4:M471)</f>
        <v>0</v>
      </c>
      <c r="N472" s="1316">
        <f t="shared" si="86"/>
        <v>0</v>
      </c>
      <c r="O472" s="1317">
        <f t="shared" si="87"/>
        <v>0</v>
      </c>
      <c r="P472" s="1318"/>
      <c r="Q472" s="1319"/>
      <c r="R472" s="1320">
        <f t="shared" si="88"/>
        <v>0</v>
      </c>
      <c r="S472" s="1316">
        <f t="shared" si="89"/>
        <v>0</v>
      </c>
      <c r="T472" s="712"/>
      <c r="U472" s="713"/>
      <c r="V472" s="714"/>
      <c r="W472" s="398">
        <f t="shared" si="96"/>
        <v>0</v>
      </c>
      <c r="X472" s="712"/>
      <c r="Y472" s="713"/>
      <c r="Z472" s="714"/>
      <c r="AA472" s="398">
        <f t="shared" si="91"/>
        <v>0</v>
      </c>
      <c r="AB472" s="712"/>
      <c r="AC472" s="713"/>
      <c r="AD472" s="714"/>
      <c r="AE472" s="398">
        <f t="shared" si="92"/>
        <v>0</v>
      </c>
      <c r="AF472" s="712"/>
      <c r="AG472" s="713"/>
      <c r="AH472" s="714"/>
      <c r="AI472" s="398">
        <f t="shared" si="93"/>
        <v>0</v>
      </c>
      <c r="AJ472" s="712"/>
      <c r="AK472" s="713"/>
      <c r="AL472" s="714"/>
      <c r="AM472" s="398">
        <f t="shared" si="94"/>
        <v>0</v>
      </c>
    </row>
    <row r="473" spans="1:39" ht="16.5" customHeight="1" x14ac:dyDescent="0.3">
      <c r="A473" s="2160">
        <f>A466+1</f>
        <v>85</v>
      </c>
      <c r="B473" s="1313" t="str">
        <f t="shared" si="90"/>
        <v/>
      </c>
      <c r="C473" s="1011">
        <f>IF($D$2="NO",0,ROUNDDOWN(SUM(PROD!$V$5:V474)/IF(Iniciar!$C$25="kilos",40,1),0)-SUM($C$4:$C472))</f>
        <v>0</v>
      </c>
      <c r="D473" s="702"/>
      <c r="E473" s="702"/>
      <c r="F473" s="300">
        <f t="shared" si="95"/>
        <v>-95000</v>
      </c>
      <c r="G473" s="694"/>
      <c r="H473" s="695"/>
      <c r="I473" s="1314"/>
      <c r="J473" s="1315">
        <f>IF(K$1&gt;0,ROUNDUP(SUM(PROD!AM$5:AM474)/K$1*K$2,0),0)-SUM(J$4:J472)</f>
        <v>0</v>
      </c>
      <c r="K473" s="1316">
        <f t="shared" si="85"/>
        <v>0</v>
      </c>
      <c r="L473" s="1314"/>
      <c r="M473" s="1315">
        <f>IF(N$1&gt;0,ROUNDUP(SUM(PROD!L$5:L474,-PROD!AM$5:AM474,-PROD!AZ$5:AZ474)/N$1*N$2,0),0)-SUM(M$4:M472)</f>
        <v>0</v>
      </c>
      <c r="N473" s="1316">
        <f t="shared" si="86"/>
        <v>0</v>
      </c>
      <c r="O473" s="1317">
        <f t="shared" si="87"/>
        <v>0</v>
      </c>
      <c r="P473" s="1318"/>
      <c r="Q473" s="1319"/>
      <c r="R473" s="1320">
        <f t="shared" si="88"/>
        <v>0</v>
      </c>
      <c r="S473" s="1316">
        <f t="shared" si="89"/>
        <v>0</v>
      </c>
      <c r="T473" s="712"/>
      <c r="U473" s="713"/>
      <c r="V473" s="714"/>
      <c r="W473" s="398">
        <f t="shared" si="96"/>
        <v>0</v>
      </c>
      <c r="X473" s="712"/>
      <c r="Y473" s="713"/>
      <c r="Z473" s="714"/>
      <c r="AA473" s="398">
        <f t="shared" si="91"/>
        <v>0</v>
      </c>
      <c r="AB473" s="712"/>
      <c r="AC473" s="713"/>
      <c r="AD473" s="714"/>
      <c r="AE473" s="398">
        <f t="shared" si="92"/>
        <v>0</v>
      </c>
      <c r="AF473" s="712"/>
      <c r="AG473" s="713"/>
      <c r="AH473" s="714"/>
      <c r="AI473" s="398">
        <f t="shared" si="93"/>
        <v>0</v>
      </c>
      <c r="AJ473" s="712"/>
      <c r="AK473" s="713"/>
      <c r="AL473" s="714"/>
      <c r="AM473" s="398">
        <f t="shared" si="94"/>
        <v>0</v>
      </c>
    </row>
    <row r="474" spans="1:39" ht="15.75" customHeight="1" x14ac:dyDescent="0.3">
      <c r="A474" s="2161"/>
      <c r="B474" s="1313" t="str">
        <f t="shared" si="90"/>
        <v/>
      </c>
      <c r="C474" s="1011">
        <f>IF($D$2="NO",0,ROUNDDOWN(SUM(PROD!$V$5:V475)/IF(Iniciar!$C$25="kilos",40,1),0)-SUM($C$4:$C473))</f>
        <v>0</v>
      </c>
      <c r="D474" s="702"/>
      <c r="E474" s="702"/>
      <c r="F474" s="300">
        <f t="shared" si="95"/>
        <v>-95000</v>
      </c>
      <c r="G474" s="694"/>
      <c r="H474" s="695"/>
      <c r="I474" s="1314"/>
      <c r="J474" s="1315">
        <f>IF(K$1&gt;0,ROUNDUP(SUM(PROD!AM$5:AM475)/K$1*K$2,0),0)-SUM(J$4:J473)</f>
        <v>0</v>
      </c>
      <c r="K474" s="1316">
        <f t="shared" si="85"/>
        <v>0</v>
      </c>
      <c r="L474" s="1314"/>
      <c r="M474" s="1315">
        <f>IF(N$1&gt;0,ROUNDUP(SUM(PROD!L$5:L475,-PROD!AM$5:AM475,-PROD!AZ$5:AZ475)/N$1*N$2,0),0)-SUM(M$4:M473)</f>
        <v>0</v>
      </c>
      <c r="N474" s="1316">
        <f t="shared" si="86"/>
        <v>0</v>
      </c>
      <c r="O474" s="1317">
        <f t="shared" si="87"/>
        <v>0</v>
      </c>
      <c r="P474" s="1318"/>
      <c r="Q474" s="1319"/>
      <c r="R474" s="1320">
        <f t="shared" si="88"/>
        <v>0</v>
      </c>
      <c r="S474" s="1316">
        <f t="shared" si="89"/>
        <v>0</v>
      </c>
      <c r="T474" s="712"/>
      <c r="U474" s="713"/>
      <c r="V474" s="714"/>
      <c r="W474" s="398">
        <f t="shared" si="96"/>
        <v>0</v>
      </c>
      <c r="X474" s="712"/>
      <c r="Y474" s="713"/>
      <c r="Z474" s="714"/>
      <c r="AA474" s="398">
        <f t="shared" si="91"/>
        <v>0</v>
      </c>
      <c r="AB474" s="712"/>
      <c r="AC474" s="713"/>
      <c r="AD474" s="714"/>
      <c r="AE474" s="398">
        <f t="shared" si="92"/>
        <v>0</v>
      </c>
      <c r="AF474" s="712"/>
      <c r="AG474" s="713"/>
      <c r="AH474" s="714"/>
      <c r="AI474" s="398">
        <f t="shared" si="93"/>
        <v>0</v>
      </c>
      <c r="AJ474" s="712"/>
      <c r="AK474" s="713"/>
      <c r="AL474" s="714"/>
      <c r="AM474" s="398">
        <f t="shared" si="94"/>
        <v>0</v>
      </c>
    </row>
    <row r="475" spans="1:39" ht="15.75" customHeight="1" x14ac:dyDescent="0.3">
      <c r="A475" s="2161"/>
      <c r="B475" s="1313" t="str">
        <f t="shared" si="90"/>
        <v/>
      </c>
      <c r="C475" s="1011">
        <f>IF($D$2="NO",0,ROUNDDOWN(SUM(PROD!$V$5:V476)/IF(Iniciar!$C$25="kilos",40,1),0)-SUM($C$4:$C474))</f>
        <v>0</v>
      </c>
      <c r="D475" s="702"/>
      <c r="E475" s="702"/>
      <c r="F475" s="300">
        <f t="shared" si="95"/>
        <v>-95000</v>
      </c>
      <c r="G475" s="694"/>
      <c r="H475" s="695"/>
      <c r="I475" s="1314"/>
      <c r="J475" s="1315">
        <f>IF(K$1&gt;0,ROUNDUP(SUM(PROD!AM$5:AM476)/K$1*K$2,0),0)-SUM(J$4:J474)</f>
        <v>0</v>
      </c>
      <c r="K475" s="1316">
        <f t="shared" si="85"/>
        <v>0</v>
      </c>
      <c r="L475" s="1314"/>
      <c r="M475" s="1315">
        <f>IF(N$1&gt;0,ROUNDUP(SUM(PROD!L$5:L476,-PROD!AM$5:AM476,-PROD!AZ$5:AZ476)/N$1*N$2,0),0)-SUM(M$4:M474)</f>
        <v>0</v>
      </c>
      <c r="N475" s="1316">
        <f t="shared" si="86"/>
        <v>0</v>
      </c>
      <c r="O475" s="1317">
        <f t="shared" si="87"/>
        <v>0</v>
      </c>
      <c r="P475" s="1318"/>
      <c r="Q475" s="1319"/>
      <c r="R475" s="1320">
        <f t="shared" si="88"/>
        <v>0</v>
      </c>
      <c r="S475" s="1316">
        <f t="shared" si="89"/>
        <v>0</v>
      </c>
      <c r="T475" s="712"/>
      <c r="U475" s="713"/>
      <c r="V475" s="714"/>
      <c r="W475" s="398">
        <f t="shared" si="96"/>
        <v>0</v>
      </c>
      <c r="X475" s="712"/>
      <c r="Y475" s="713"/>
      <c r="Z475" s="714"/>
      <c r="AA475" s="398">
        <f t="shared" si="91"/>
        <v>0</v>
      </c>
      <c r="AB475" s="712"/>
      <c r="AC475" s="713"/>
      <c r="AD475" s="714"/>
      <c r="AE475" s="398">
        <f t="shared" si="92"/>
        <v>0</v>
      </c>
      <c r="AF475" s="712"/>
      <c r="AG475" s="713"/>
      <c r="AH475" s="714"/>
      <c r="AI475" s="398">
        <f t="shared" si="93"/>
        <v>0</v>
      </c>
      <c r="AJ475" s="712"/>
      <c r="AK475" s="713"/>
      <c r="AL475" s="714"/>
      <c r="AM475" s="398">
        <f t="shared" si="94"/>
        <v>0</v>
      </c>
    </row>
    <row r="476" spans="1:39" ht="15.75" customHeight="1" x14ac:dyDescent="0.3">
      <c r="A476" s="2161"/>
      <c r="B476" s="1313" t="str">
        <f t="shared" si="90"/>
        <v/>
      </c>
      <c r="C476" s="1011">
        <f>IF($D$2="NO",0,ROUNDDOWN(SUM(PROD!$V$5:V477)/IF(Iniciar!$C$25="kilos",40,1),0)-SUM($C$4:$C475))</f>
        <v>0</v>
      </c>
      <c r="D476" s="702"/>
      <c r="E476" s="702"/>
      <c r="F476" s="300">
        <f t="shared" si="95"/>
        <v>-95000</v>
      </c>
      <c r="G476" s="694"/>
      <c r="H476" s="695"/>
      <c r="I476" s="1314"/>
      <c r="J476" s="1315">
        <f>IF(K$1&gt;0,ROUNDUP(SUM(PROD!AM$5:AM477)/K$1*K$2,0),0)-SUM(J$4:J475)</f>
        <v>0</v>
      </c>
      <c r="K476" s="1316">
        <f t="shared" ref="K476:K724" si="97">K475+I476-J476</f>
        <v>0</v>
      </c>
      <c r="L476" s="1314"/>
      <c r="M476" s="1315">
        <f>IF(N$1&gt;0,ROUNDUP(SUM(PROD!L$5:L477,-PROD!AM$5:AM477,-PROD!AZ$5:AZ477)/N$1*N$2,0),0)-SUM(M$4:M475)</f>
        <v>0</v>
      </c>
      <c r="N476" s="1316">
        <f t="shared" ref="N476:N724" si="98">N475+L476-M476</f>
        <v>0</v>
      </c>
      <c r="O476" s="1317">
        <f t="shared" si="87"/>
        <v>0</v>
      </c>
      <c r="P476" s="1318"/>
      <c r="Q476" s="1319"/>
      <c r="R476" s="1320">
        <f t="shared" si="88"/>
        <v>0</v>
      </c>
      <c r="S476" s="1316">
        <f t="shared" si="89"/>
        <v>0</v>
      </c>
      <c r="T476" s="712"/>
      <c r="U476" s="713"/>
      <c r="V476" s="714"/>
      <c r="W476" s="398">
        <f t="shared" si="96"/>
        <v>0</v>
      </c>
      <c r="X476" s="712"/>
      <c r="Y476" s="713"/>
      <c r="Z476" s="714"/>
      <c r="AA476" s="398">
        <f t="shared" si="91"/>
        <v>0</v>
      </c>
      <c r="AB476" s="712"/>
      <c r="AC476" s="713"/>
      <c r="AD476" s="714"/>
      <c r="AE476" s="398">
        <f t="shared" si="92"/>
        <v>0</v>
      </c>
      <c r="AF476" s="712"/>
      <c r="AG476" s="713"/>
      <c r="AH476" s="714"/>
      <c r="AI476" s="398">
        <f t="shared" si="93"/>
        <v>0</v>
      </c>
      <c r="AJ476" s="712"/>
      <c r="AK476" s="713"/>
      <c r="AL476" s="714"/>
      <c r="AM476" s="398">
        <f t="shared" si="94"/>
        <v>0</v>
      </c>
    </row>
    <row r="477" spans="1:39" ht="15.75" customHeight="1" x14ac:dyDescent="0.3">
      <c r="A477" s="2161"/>
      <c r="B477" s="1313" t="str">
        <f t="shared" si="90"/>
        <v/>
      </c>
      <c r="C477" s="1011">
        <f>IF($D$2="NO",0,ROUNDDOWN(SUM(PROD!$V$5:V478)/IF(Iniciar!$C$25="kilos",40,1),0)-SUM($C$4:$C476))</f>
        <v>0</v>
      </c>
      <c r="D477" s="702"/>
      <c r="E477" s="702"/>
      <c r="F477" s="300">
        <f t="shared" si="95"/>
        <v>-95000</v>
      </c>
      <c r="G477" s="694"/>
      <c r="H477" s="695"/>
      <c r="I477" s="1314"/>
      <c r="J477" s="1315">
        <f>IF(K$1&gt;0,ROUNDUP(SUM(PROD!AM$5:AM478)/K$1*K$2,0),0)-SUM(J$4:J476)</f>
        <v>0</v>
      </c>
      <c r="K477" s="1316">
        <f t="shared" si="97"/>
        <v>0</v>
      </c>
      <c r="L477" s="1314"/>
      <c r="M477" s="1315">
        <f>IF(N$1&gt;0,ROUNDUP(SUM(PROD!L$5:L478,-PROD!AM$5:AM478,-PROD!AZ$5:AZ478)/N$1*N$2,0),0)-SUM(M$4:M476)</f>
        <v>0</v>
      </c>
      <c r="N477" s="1316">
        <f t="shared" si="98"/>
        <v>0</v>
      </c>
      <c r="O477" s="1317">
        <f t="shared" si="87"/>
        <v>0</v>
      </c>
      <c r="P477" s="1318"/>
      <c r="Q477" s="1319"/>
      <c r="R477" s="1320">
        <f t="shared" si="88"/>
        <v>0</v>
      </c>
      <c r="S477" s="1316">
        <f t="shared" si="89"/>
        <v>0</v>
      </c>
      <c r="T477" s="712"/>
      <c r="U477" s="713"/>
      <c r="V477" s="714"/>
      <c r="W477" s="398">
        <f t="shared" si="96"/>
        <v>0</v>
      </c>
      <c r="X477" s="712"/>
      <c r="Y477" s="713"/>
      <c r="Z477" s="714"/>
      <c r="AA477" s="398">
        <f t="shared" si="91"/>
        <v>0</v>
      </c>
      <c r="AB477" s="712"/>
      <c r="AC477" s="713"/>
      <c r="AD477" s="714"/>
      <c r="AE477" s="398">
        <f t="shared" si="92"/>
        <v>0</v>
      </c>
      <c r="AF477" s="712"/>
      <c r="AG477" s="713"/>
      <c r="AH477" s="714"/>
      <c r="AI477" s="398">
        <f t="shared" si="93"/>
        <v>0</v>
      </c>
      <c r="AJ477" s="712"/>
      <c r="AK477" s="713"/>
      <c r="AL477" s="714"/>
      <c r="AM477" s="398">
        <f t="shared" si="94"/>
        <v>0</v>
      </c>
    </row>
    <row r="478" spans="1:39" ht="15.75" customHeight="1" x14ac:dyDescent="0.3">
      <c r="A478" s="2161"/>
      <c r="B478" s="1313" t="str">
        <f t="shared" si="90"/>
        <v/>
      </c>
      <c r="C478" s="1011">
        <f>IF($D$2="NO",0,ROUNDDOWN(SUM(PROD!$V$5:V479)/IF(Iniciar!$C$25="kilos",40,1),0)-SUM($C$4:$C477))</f>
        <v>0</v>
      </c>
      <c r="D478" s="702"/>
      <c r="E478" s="702"/>
      <c r="F478" s="300">
        <f t="shared" si="95"/>
        <v>-95000</v>
      </c>
      <c r="G478" s="694"/>
      <c r="H478" s="695"/>
      <c r="I478" s="1314"/>
      <c r="J478" s="1315">
        <f>IF(K$1&gt;0,ROUNDUP(SUM(PROD!AM$5:AM479)/K$1*K$2,0),0)-SUM(J$4:J477)</f>
        <v>0</v>
      </c>
      <c r="K478" s="1316">
        <f t="shared" si="97"/>
        <v>0</v>
      </c>
      <c r="L478" s="1314"/>
      <c r="M478" s="1315">
        <f>IF(N$1&gt;0,ROUNDUP(SUM(PROD!L$5:L479,-PROD!AM$5:AM479,-PROD!AZ$5:AZ479)/N$1*N$2,0),0)-SUM(M$4:M477)</f>
        <v>0</v>
      </c>
      <c r="N478" s="1316">
        <f t="shared" si="98"/>
        <v>0</v>
      </c>
      <c r="O478" s="1317">
        <f t="shared" si="87"/>
        <v>0</v>
      </c>
      <c r="P478" s="1318"/>
      <c r="Q478" s="1319"/>
      <c r="R478" s="1320">
        <f t="shared" si="88"/>
        <v>0</v>
      </c>
      <c r="S478" s="1316">
        <f t="shared" si="89"/>
        <v>0</v>
      </c>
      <c r="T478" s="712"/>
      <c r="U478" s="713"/>
      <c r="V478" s="714"/>
      <c r="W478" s="398">
        <f t="shared" si="96"/>
        <v>0</v>
      </c>
      <c r="X478" s="712"/>
      <c r="Y478" s="713"/>
      <c r="Z478" s="714"/>
      <c r="AA478" s="398">
        <f t="shared" si="91"/>
        <v>0</v>
      </c>
      <c r="AB478" s="712"/>
      <c r="AC478" s="713"/>
      <c r="AD478" s="714"/>
      <c r="AE478" s="398">
        <f t="shared" si="92"/>
        <v>0</v>
      </c>
      <c r="AF478" s="712"/>
      <c r="AG478" s="713"/>
      <c r="AH478" s="714"/>
      <c r="AI478" s="398">
        <f t="shared" si="93"/>
        <v>0</v>
      </c>
      <c r="AJ478" s="712"/>
      <c r="AK478" s="713"/>
      <c r="AL478" s="714"/>
      <c r="AM478" s="398">
        <f t="shared" si="94"/>
        <v>0</v>
      </c>
    </row>
    <row r="479" spans="1:39" ht="16.5" customHeight="1" x14ac:dyDescent="0.3">
      <c r="A479" s="2162"/>
      <c r="B479" s="1313" t="str">
        <f t="shared" si="90"/>
        <v/>
      </c>
      <c r="C479" s="1011">
        <f>IF($D$2="NO",0,ROUNDDOWN(SUM(PROD!$V$5:V480)/IF(Iniciar!$C$25="kilos",40,1),0)-SUM($C$4:$C478))</f>
        <v>0</v>
      </c>
      <c r="D479" s="702"/>
      <c r="E479" s="702"/>
      <c r="F479" s="300">
        <f t="shared" si="95"/>
        <v>-95000</v>
      </c>
      <c r="G479" s="694"/>
      <c r="H479" s="695"/>
      <c r="I479" s="1314"/>
      <c r="J479" s="1315">
        <f>IF(K$1&gt;0,ROUNDUP(SUM(PROD!AM$5:AM480)/K$1*K$2,0),0)-SUM(J$4:J478)</f>
        <v>0</v>
      </c>
      <c r="K479" s="1316">
        <f t="shared" si="97"/>
        <v>0</v>
      </c>
      <c r="L479" s="1314"/>
      <c r="M479" s="1315">
        <f>IF(N$1&gt;0,ROUNDUP(SUM(PROD!L$5:L480,-PROD!AM$5:AM480,-PROD!AZ$5:AZ480)/N$1*N$2,0),0)-SUM(M$4:M478)</f>
        <v>0</v>
      </c>
      <c r="N479" s="1316">
        <f t="shared" si="98"/>
        <v>0</v>
      </c>
      <c r="O479" s="1317">
        <f t="shared" si="87"/>
        <v>0</v>
      </c>
      <c r="P479" s="1318"/>
      <c r="Q479" s="1319"/>
      <c r="R479" s="1320">
        <f t="shared" si="88"/>
        <v>0</v>
      </c>
      <c r="S479" s="1316">
        <f t="shared" si="89"/>
        <v>0</v>
      </c>
      <c r="T479" s="712"/>
      <c r="U479" s="713"/>
      <c r="V479" s="714"/>
      <c r="W479" s="398">
        <f t="shared" si="96"/>
        <v>0</v>
      </c>
      <c r="X479" s="712"/>
      <c r="Y479" s="713"/>
      <c r="Z479" s="714"/>
      <c r="AA479" s="398">
        <f t="shared" si="91"/>
        <v>0</v>
      </c>
      <c r="AB479" s="712"/>
      <c r="AC479" s="713"/>
      <c r="AD479" s="714"/>
      <c r="AE479" s="398">
        <f t="shared" si="92"/>
        <v>0</v>
      </c>
      <c r="AF479" s="712"/>
      <c r="AG479" s="713"/>
      <c r="AH479" s="714"/>
      <c r="AI479" s="398">
        <f t="shared" si="93"/>
        <v>0</v>
      </c>
      <c r="AJ479" s="712"/>
      <c r="AK479" s="713"/>
      <c r="AL479" s="714"/>
      <c r="AM479" s="398">
        <f t="shared" si="94"/>
        <v>0</v>
      </c>
    </row>
    <row r="480" spans="1:39" ht="16.5" customHeight="1" x14ac:dyDescent="0.3">
      <c r="A480" s="2160">
        <f>A473+1</f>
        <v>86</v>
      </c>
      <c r="B480" s="1313" t="str">
        <f t="shared" si="90"/>
        <v/>
      </c>
      <c r="C480" s="1011">
        <f>IF($D$2="NO",0,ROUNDDOWN(SUM(PROD!$V$5:V481)/IF(Iniciar!$C$25="kilos",40,1),0)-SUM($C$4:$C479))</f>
        <v>0</v>
      </c>
      <c r="D480" s="702"/>
      <c r="E480" s="702"/>
      <c r="F480" s="300">
        <f t="shared" si="95"/>
        <v>-95000</v>
      </c>
      <c r="G480" s="694"/>
      <c r="H480" s="695"/>
      <c r="I480" s="1314"/>
      <c r="J480" s="1315">
        <f>IF(K$1&gt;0,ROUNDUP(SUM(PROD!AM$5:AM481)/K$1*K$2,0),0)-SUM(J$4:J479)</f>
        <v>0</v>
      </c>
      <c r="K480" s="1316">
        <f t="shared" si="97"/>
        <v>0</v>
      </c>
      <c r="L480" s="1314"/>
      <c r="M480" s="1315">
        <f>IF(N$1&gt;0,ROUNDUP(SUM(PROD!L$5:L481,-PROD!AM$5:AM481,-PROD!AZ$5:AZ481)/N$1*N$2,0),0)-SUM(M$4:M479)</f>
        <v>0</v>
      </c>
      <c r="N480" s="1316">
        <f t="shared" si="98"/>
        <v>0</v>
      </c>
      <c r="O480" s="1317">
        <f t="shared" si="87"/>
        <v>0</v>
      </c>
      <c r="P480" s="1318"/>
      <c r="Q480" s="1319"/>
      <c r="R480" s="1320">
        <f t="shared" si="88"/>
        <v>0</v>
      </c>
      <c r="S480" s="1316">
        <f t="shared" si="89"/>
        <v>0</v>
      </c>
      <c r="T480" s="712"/>
      <c r="U480" s="713"/>
      <c r="V480" s="714"/>
      <c r="W480" s="398">
        <f t="shared" si="96"/>
        <v>0</v>
      </c>
      <c r="X480" s="712"/>
      <c r="Y480" s="713"/>
      <c r="Z480" s="714"/>
      <c r="AA480" s="398">
        <f t="shared" si="91"/>
        <v>0</v>
      </c>
      <c r="AB480" s="712"/>
      <c r="AC480" s="713"/>
      <c r="AD480" s="714"/>
      <c r="AE480" s="398">
        <f t="shared" si="92"/>
        <v>0</v>
      </c>
      <c r="AF480" s="712"/>
      <c r="AG480" s="713"/>
      <c r="AH480" s="714"/>
      <c r="AI480" s="398">
        <f t="shared" si="93"/>
        <v>0</v>
      </c>
      <c r="AJ480" s="712"/>
      <c r="AK480" s="713"/>
      <c r="AL480" s="714"/>
      <c r="AM480" s="398">
        <f t="shared" si="94"/>
        <v>0</v>
      </c>
    </row>
    <row r="481" spans="1:39" ht="15.75" customHeight="1" x14ac:dyDescent="0.3">
      <c r="A481" s="2161"/>
      <c r="B481" s="1313" t="str">
        <f t="shared" si="90"/>
        <v/>
      </c>
      <c r="C481" s="1011">
        <f>IF($D$2="NO",0,ROUNDDOWN(SUM(PROD!$V$5:V482)/IF(Iniciar!$C$25="kilos",40,1),0)-SUM($C$4:$C480))</f>
        <v>0</v>
      </c>
      <c r="D481" s="702"/>
      <c r="E481" s="702"/>
      <c r="F481" s="300">
        <f t="shared" si="95"/>
        <v>-95000</v>
      </c>
      <c r="G481" s="694"/>
      <c r="H481" s="695"/>
      <c r="I481" s="1314"/>
      <c r="J481" s="1315">
        <f>IF(K$1&gt;0,ROUNDUP(SUM(PROD!AM$5:AM482)/K$1*K$2,0),0)-SUM(J$4:J480)</f>
        <v>0</v>
      </c>
      <c r="K481" s="1316">
        <f t="shared" si="97"/>
        <v>0</v>
      </c>
      <c r="L481" s="1314"/>
      <c r="M481" s="1315">
        <f>IF(N$1&gt;0,ROUNDUP(SUM(PROD!L$5:L482,-PROD!AM$5:AM482,-PROD!AZ$5:AZ482)/N$1*N$2,0),0)-SUM(M$4:M480)</f>
        <v>0</v>
      </c>
      <c r="N481" s="1316">
        <f t="shared" si="98"/>
        <v>0</v>
      </c>
      <c r="O481" s="1317">
        <f t="shared" si="87"/>
        <v>0</v>
      </c>
      <c r="P481" s="1318"/>
      <c r="Q481" s="1319"/>
      <c r="R481" s="1320">
        <f t="shared" si="88"/>
        <v>0</v>
      </c>
      <c r="S481" s="1316">
        <f t="shared" si="89"/>
        <v>0</v>
      </c>
      <c r="T481" s="712"/>
      <c r="U481" s="713"/>
      <c r="V481" s="714"/>
      <c r="W481" s="398">
        <f t="shared" si="96"/>
        <v>0</v>
      </c>
      <c r="X481" s="712"/>
      <c r="Y481" s="713"/>
      <c r="Z481" s="714"/>
      <c r="AA481" s="398">
        <f t="shared" si="91"/>
        <v>0</v>
      </c>
      <c r="AB481" s="712"/>
      <c r="AC481" s="713"/>
      <c r="AD481" s="714"/>
      <c r="AE481" s="398">
        <f t="shared" si="92"/>
        <v>0</v>
      </c>
      <c r="AF481" s="712"/>
      <c r="AG481" s="713"/>
      <c r="AH481" s="714"/>
      <c r="AI481" s="398">
        <f t="shared" si="93"/>
        <v>0</v>
      </c>
      <c r="AJ481" s="712"/>
      <c r="AK481" s="713"/>
      <c r="AL481" s="714"/>
      <c r="AM481" s="398">
        <f t="shared" si="94"/>
        <v>0</v>
      </c>
    </row>
    <row r="482" spans="1:39" ht="15.75" customHeight="1" x14ac:dyDescent="0.3">
      <c r="A482" s="2161"/>
      <c r="B482" s="1313" t="str">
        <f t="shared" si="90"/>
        <v/>
      </c>
      <c r="C482" s="1011">
        <f>IF($D$2="NO",0,ROUNDDOWN(SUM(PROD!$V$5:V483)/IF(Iniciar!$C$25="kilos",40,1),0)-SUM($C$4:$C481))</f>
        <v>0</v>
      </c>
      <c r="D482" s="702"/>
      <c r="E482" s="702"/>
      <c r="F482" s="300">
        <f t="shared" si="95"/>
        <v>-95000</v>
      </c>
      <c r="G482" s="694"/>
      <c r="H482" s="695"/>
      <c r="I482" s="1314"/>
      <c r="J482" s="1315">
        <f>IF(K$1&gt;0,ROUNDUP(SUM(PROD!AM$5:AM483)/K$1*K$2,0),0)-SUM(J$4:J481)</f>
        <v>0</v>
      </c>
      <c r="K482" s="1316">
        <f t="shared" si="97"/>
        <v>0</v>
      </c>
      <c r="L482" s="1314"/>
      <c r="M482" s="1315">
        <f>IF(N$1&gt;0,ROUNDUP(SUM(PROD!L$5:L483,-PROD!AM$5:AM483,-PROD!AZ$5:AZ483)/N$1*N$2,0),0)-SUM(M$4:M481)</f>
        <v>0</v>
      </c>
      <c r="N482" s="1316">
        <f t="shared" si="98"/>
        <v>0</v>
      </c>
      <c r="O482" s="1317">
        <f t="shared" si="87"/>
        <v>0</v>
      </c>
      <c r="P482" s="1318"/>
      <c r="Q482" s="1319"/>
      <c r="R482" s="1320">
        <f t="shared" si="88"/>
        <v>0</v>
      </c>
      <c r="S482" s="1316">
        <f t="shared" si="89"/>
        <v>0</v>
      </c>
      <c r="T482" s="712"/>
      <c r="U482" s="713"/>
      <c r="V482" s="714"/>
      <c r="W482" s="398">
        <f t="shared" si="96"/>
        <v>0</v>
      </c>
      <c r="X482" s="712"/>
      <c r="Y482" s="713"/>
      <c r="Z482" s="714"/>
      <c r="AA482" s="398">
        <f t="shared" si="91"/>
        <v>0</v>
      </c>
      <c r="AB482" s="712"/>
      <c r="AC482" s="713"/>
      <c r="AD482" s="714"/>
      <c r="AE482" s="398">
        <f t="shared" si="92"/>
        <v>0</v>
      </c>
      <c r="AF482" s="712"/>
      <c r="AG482" s="713"/>
      <c r="AH482" s="714"/>
      <c r="AI482" s="398">
        <f t="shared" si="93"/>
        <v>0</v>
      </c>
      <c r="AJ482" s="712"/>
      <c r="AK482" s="713"/>
      <c r="AL482" s="714"/>
      <c r="AM482" s="398">
        <f t="shared" si="94"/>
        <v>0</v>
      </c>
    </row>
    <row r="483" spans="1:39" ht="15.75" customHeight="1" x14ac:dyDescent="0.3">
      <c r="A483" s="2161"/>
      <c r="B483" s="1313" t="str">
        <f t="shared" si="90"/>
        <v/>
      </c>
      <c r="C483" s="1011">
        <f>IF($D$2="NO",0,ROUNDDOWN(SUM(PROD!$V$5:V484)/IF(Iniciar!$C$25="kilos",40,1),0)-SUM($C$4:$C482))</f>
        <v>0</v>
      </c>
      <c r="D483" s="702"/>
      <c r="E483" s="702"/>
      <c r="F483" s="300">
        <f t="shared" si="95"/>
        <v>-95000</v>
      </c>
      <c r="G483" s="694"/>
      <c r="H483" s="695"/>
      <c r="I483" s="1314"/>
      <c r="J483" s="1315">
        <f>IF(K$1&gt;0,ROUNDUP(SUM(PROD!AM$5:AM484)/K$1*K$2,0),0)-SUM(J$4:J482)</f>
        <v>0</v>
      </c>
      <c r="K483" s="1316">
        <f t="shared" si="97"/>
        <v>0</v>
      </c>
      <c r="L483" s="1314"/>
      <c r="M483" s="1315">
        <f>IF(N$1&gt;0,ROUNDUP(SUM(PROD!L$5:L484,-PROD!AM$5:AM484,-PROD!AZ$5:AZ484)/N$1*N$2,0),0)-SUM(M$4:M482)</f>
        <v>0</v>
      </c>
      <c r="N483" s="1316">
        <f t="shared" si="98"/>
        <v>0</v>
      </c>
      <c r="O483" s="1317">
        <f t="shared" si="87"/>
        <v>0</v>
      </c>
      <c r="P483" s="1318"/>
      <c r="Q483" s="1319"/>
      <c r="R483" s="1320">
        <f t="shared" si="88"/>
        <v>0</v>
      </c>
      <c r="S483" s="1316">
        <f t="shared" si="89"/>
        <v>0</v>
      </c>
      <c r="T483" s="712"/>
      <c r="U483" s="713"/>
      <c r="V483" s="714"/>
      <c r="W483" s="398">
        <f t="shared" si="96"/>
        <v>0</v>
      </c>
      <c r="X483" s="712"/>
      <c r="Y483" s="713"/>
      <c r="Z483" s="714"/>
      <c r="AA483" s="398">
        <f t="shared" si="91"/>
        <v>0</v>
      </c>
      <c r="AB483" s="712"/>
      <c r="AC483" s="713"/>
      <c r="AD483" s="714"/>
      <c r="AE483" s="398">
        <f t="shared" si="92"/>
        <v>0</v>
      </c>
      <c r="AF483" s="712"/>
      <c r="AG483" s="713"/>
      <c r="AH483" s="714"/>
      <c r="AI483" s="398">
        <f t="shared" si="93"/>
        <v>0</v>
      </c>
      <c r="AJ483" s="712"/>
      <c r="AK483" s="713"/>
      <c r="AL483" s="714"/>
      <c r="AM483" s="398">
        <f t="shared" si="94"/>
        <v>0</v>
      </c>
    </row>
    <row r="484" spans="1:39" ht="15.75" customHeight="1" x14ac:dyDescent="0.3">
      <c r="A484" s="2161"/>
      <c r="B484" s="1313" t="str">
        <f t="shared" si="90"/>
        <v/>
      </c>
      <c r="C484" s="1011">
        <f>IF($D$2="NO",0,ROUNDDOWN(SUM(PROD!$V$5:V485)/IF(Iniciar!$C$25="kilos",40,1),0)-SUM($C$4:$C483))</f>
        <v>0</v>
      </c>
      <c r="D484" s="702"/>
      <c r="E484" s="702"/>
      <c r="F484" s="300">
        <f t="shared" si="95"/>
        <v>-95000</v>
      </c>
      <c r="G484" s="694"/>
      <c r="H484" s="695"/>
      <c r="I484" s="1314"/>
      <c r="J484" s="1315">
        <f>IF(K$1&gt;0,ROUNDUP(SUM(PROD!AM$5:AM485)/K$1*K$2,0),0)-SUM(J$4:J483)</f>
        <v>0</v>
      </c>
      <c r="K484" s="1316">
        <f t="shared" si="97"/>
        <v>0</v>
      </c>
      <c r="L484" s="1314"/>
      <c r="M484" s="1315">
        <f>IF(N$1&gt;0,ROUNDUP(SUM(PROD!L$5:L485,-PROD!AM$5:AM485,-PROD!AZ$5:AZ485)/N$1*N$2,0),0)-SUM(M$4:M483)</f>
        <v>0</v>
      </c>
      <c r="N484" s="1316">
        <f t="shared" si="98"/>
        <v>0</v>
      </c>
      <c r="O484" s="1317">
        <f t="shared" si="87"/>
        <v>0</v>
      </c>
      <c r="P484" s="1318"/>
      <c r="Q484" s="1319"/>
      <c r="R484" s="1320">
        <f t="shared" si="88"/>
        <v>0</v>
      </c>
      <c r="S484" s="1316">
        <f t="shared" si="89"/>
        <v>0</v>
      </c>
      <c r="T484" s="712"/>
      <c r="U484" s="713"/>
      <c r="V484" s="714"/>
      <c r="W484" s="398">
        <f t="shared" si="96"/>
        <v>0</v>
      </c>
      <c r="X484" s="712"/>
      <c r="Y484" s="713"/>
      <c r="Z484" s="714"/>
      <c r="AA484" s="398">
        <f t="shared" si="91"/>
        <v>0</v>
      </c>
      <c r="AB484" s="712"/>
      <c r="AC484" s="713"/>
      <c r="AD484" s="714"/>
      <c r="AE484" s="398">
        <f t="shared" si="92"/>
        <v>0</v>
      </c>
      <c r="AF484" s="712"/>
      <c r="AG484" s="713"/>
      <c r="AH484" s="714"/>
      <c r="AI484" s="398">
        <f t="shared" si="93"/>
        <v>0</v>
      </c>
      <c r="AJ484" s="712"/>
      <c r="AK484" s="713"/>
      <c r="AL484" s="714"/>
      <c r="AM484" s="398">
        <f t="shared" si="94"/>
        <v>0</v>
      </c>
    </row>
    <row r="485" spans="1:39" ht="15.75" customHeight="1" x14ac:dyDescent="0.3">
      <c r="A485" s="2161"/>
      <c r="B485" s="1313" t="str">
        <f t="shared" si="90"/>
        <v/>
      </c>
      <c r="C485" s="1011">
        <f>IF($D$2="NO",0,ROUNDDOWN(SUM(PROD!$V$5:V486)/IF(Iniciar!$C$25="kilos",40,1),0)-SUM($C$4:$C484))</f>
        <v>0</v>
      </c>
      <c r="D485" s="702"/>
      <c r="E485" s="702"/>
      <c r="F485" s="300">
        <f t="shared" si="95"/>
        <v>-95000</v>
      </c>
      <c r="G485" s="694"/>
      <c r="H485" s="695"/>
      <c r="I485" s="1314"/>
      <c r="J485" s="1315">
        <f>IF(K$1&gt;0,ROUNDUP(SUM(PROD!AM$5:AM486)/K$1*K$2,0),0)-SUM(J$4:J484)</f>
        <v>0</v>
      </c>
      <c r="K485" s="1316">
        <f t="shared" si="97"/>
        <v>0</v>
      </c>
      <c r="L485" s="1314"/>
      <c r="M485" s="1315">
        <f>IF(N$1&gt;0,ROUNDUP(SUM(PROD!L$5:L486,-PROD!AM$5:AM486,-PROD!AZ$5:AZ486)/N$1*N$2,0),0)-SUM(M$4:M484)</f>
        <v>0</v>
      </c>
      <c r="N485" s="1316">
        <f t="shared" si="98"/>
        <v>0</v>
      </c>
      <c r="O485" s="1317">
        <f t="shared" si="87"/>
        <v>0</v>
      </c>
      <c r="P485" s="1318"/>
      <c r="Q485" s="1319"/>
      <c r="R485" s="1320">
        <f t="shared" si="88"/>
        <v>0</v>
      </c>
      <c r="S485" s="1316">
        <f t="shared" si="89"/>
        <v>0</v>
      </c>
      <c r="T485" s="712"/>
      <c r="U485" s="713"/>
      <c r="V485" s="714"/>
      <c r="W485" s="398">
        <f t="shared" si="96"/>
        <v>0</v>
      </c>
      <c r="X485" s="712"/>
      <c r="Y485" s="713"/>
      <c r="Z485" s="714"/>
      <c r="AA485" s="398">
        <f t="shared" si="91"/>
        <v>0</v>
      </c>
      <c r="AB485" s="712"/>
      <c r="AC485" s="713"/>
      <c r="AD485" s="714"/>
      <c r="AE485" s="398">
        <f t="shared" si="92"/>
        <v>0</v>
      </c>
      <c r="AF485" s="712"/>
      <c r="AG485" s="713"/>
      <c r="AH485" s="714"/>
      <c r="AI485" s="398">
        <f t="shared" si="93"/>
        <v>0</v>
      </c>
      <c r="AJ485" s="712"/>
      <c r="AK485" s="713"/>
      <c r="AL485" s="714"/>
      <c r="AM485" s="398">
        <f t="shared" si="94"/>
        <v>0</v>
      </c>
    </row>
    <row r="486" spans="1:39" ht="16.5" customHeight="1" x14ac:dyDescent="0.3">
      <c r="A486" s="2162"/>
      <c r="B486" s="1313" t="str">
        <f t="shared" si="90"/>
        <v/>
      </c>
      <c r="C486" s="1011">
        <f>IF($D$2="NO",0,ROUNDDOWN(SUM(PROD!$V$5:V487)/IF(Iniciar!$C$25="kilos",40,1),0)-SUM($C$4:$C485))</f>
        <v>0</v>
      </c>
      <c r="D486" s="702"/>
      <c r="E486" s="702"/>
      <c r="F486" s="300">
        <f t="shared" si="95"/>
        <v>-95000</v>
      </c>
      <c r="G486" s="694"/>
      <c r="H486" s="695"/>
      <c r="I486" s="1314"/>
      <c r="J486" s="1315">
        <f>IF(K$1&gt;0,ROUNDUP(SUM(PROD!AM$5:AM487)/K$1*K$2,0),0)-SUM(J$4:J485)</f>
        <v>0</v>
      </c>
      <c r="K486" s="1316">
        <f t="shared" si="97"/>
        <v>0</v>
      </c>
      <c r="L486" s="1314"/>
      <c r="M486" s="1315">
        <f>IF(N$1&gt;0,ROUNDUP(SUM(PROD!L$5:L487,-PROD!AM$5:AM487,-PROD!AZ$5:AZ487)/N$1*N$2,0),0)-SUM(M$4:M485)</f>
        <v>0</v>
      </c>
      <c r="N486" s="1316">
        <f t="shared" si="98"/>
        <v>0</v>
      </c>
      <c r="O486" s="1317">
        <f t="shared" si="87"/>
        <v>0</v>
      </c>
      <c r="P486" s="1318"/>
      <c r="Q486" s="1319"/>
      <c r="R486" s="1320">
        <f t="shared" si="88"/>
        <v>0</v>
      </c>
      <c r="S486" s="1316">
        <f t="shared" si="89"/>
        <v>0</v>
      </c>
      <c r="T486" s="712"/>
      <c r="U486" s="713"/>
      <c r="V486" s="714"/>
      <c r="W486" s="398">
        <f t="shared" si="96"/>
        <v>0</v>
      </c>
      <c r="X486" s="712"/>
      <c r="Y486" s="713"/>
      <c r="Z486" s="714"/>
      <c r="AA486" s="398">
        <f t="shared" si="91"/>
        <v>0</v>
      </c>
      <c r="AB486" s="712"/>
      <c r="AC486" s="713"/>
      <c r="AD486" s="714"/>
      <c r="AE486" s="398">
        <f t="shared" si="92"/>
        <v>0</v>
      </c>
      <c r="AF486" s="712"/>
      <c r="AG486" s="713"/>
      <c r="AH486" s="714"/>
      <c r="AI486" s="398">
        <f t="shared" si="93"/>
        <v>0</v>
      </c>
      <c r="AJ486" s="712"/>
      <c r="AK486" s="713"/>
      <c r="AL486" s="714"/>
      <c r="AM486" s="398">
        <f t="shared" si="94"/>
        <v>0</v>
      </c>
    </row>
    <row r="487" spans="1:39" ht="16.5" customHeight="1" x14ac:dyDescent="0.3">
      <c r="A487" s="2160">
        <f>A480+1</f>
        <v>87</v>
      </c>
      <c r="B487" s="1313" t="str">
        <f t="shared" si="90"/>
        <v/>
      </c>
      <c r="C487" s="1011">
        <f>IF($D$2="NO",0,ROUNDDOWN(SUM(PROD!$V$5:V488)/IF(Iniciar!$C$25="kilos",40,1),0)-SUM($C$4:$C486))</f>
        <v>0</v>
      </c>
      <c r="D487" s="702"/>
      <c r="E487" s="702"/>
      <c r="F487" s="300">
        <f t="shared" si="95"/>
        <v>-95000</v>
      </c>
      <c r="G487" s="694"/>
      <c r="H487" s="695"/>
      <c r="I487" s="1314"/>
      <c r="J487" s="1315">
        <f>IF(K$1&gt;0,ROUNDUP(SUM(PROD!AM$5:AM488)/K$1*K$2,0),0)-SUM(J$4:J486)</f>
        <v>0</v>
      </c>
      <c r="K487" s="1316">
        <f t="shared" si="97"/>
        <v>0</v>
      </c>
      <c r="L487" s="1314"/>
      <c r="M487" s="1315">
        <f>IF(N$1&gt;0,ROUNDUP(SUM(PROD!L$5:L488,-PROD!AM$5:AM488,-PROD!AZ$5:AZ488)/N$1*N$2,0),0)-SUM(M$4:M486)</f>
        <v>0</v>
      </c>
      <c r="N487" s="1316">
        <f t="shared" si="98"/>
        <v>0</v>
      </c>
      <c r="O487" s="1317">
        <f t="shared" si="87"/>
        <v>0</v>
      </c>
      <c r="P487" s="1318"/>
      <c r="Q487" s="1319"/>
      <c r="R487" s="1320">
        <f t="shared" si="88"/>
        <v>0</v>
      </c>
      <c r="S487" s="1316">
        <f t="shared" si="89"/>
        <v>0</v>
      </c>
      <c r="T487" s="712"/>
      <c r="U487" s="713"/>
      <c r="V487" s="714"/>
      <c r="W487" s="398">
        <f t="shared" si="96"/>
        <v>0</v>
      </c>
      <c r="X487" s="712"/>
      <c r="Y487" s="713"/>
      <c r="Z487" s="714"/>
      <c r="AA487" s="398">
        <f t="shared" si="91"/>
        <v>0</v>
      </c>
      <c r="AB487" s="712"/>
      <c r="AC487" s="713"/>
      <c r="AD487" s="714"/>
      <c r="AE487" s="398">
        <f t="shared" si="92"/>
        <v>0</v>
      </c>
      <c r="AF487" s="712"/>
      <c r="AG487" s="713"/>
      <c r="AH487" s="714"/>
      <c r="AI487" s="398">
        <f t="shared" si="93"/>
        <v>0</v>
      </c>
      <c r="AJ487" s="712"/>
      <c r="AK487" s="713"/>
      <c r="AL487" s="714"/>
      <c r="AM487" s="398">
        <f t="shared" si="94"/>
        <v>0</v>
      </c>
    </row>
    <row r="488" spans="1:39" ht="15.75" customHeight="1" x14ac:dyDescent="0.3">
      <c r="A488" s="2161"/>
      <c r="B488" s="1313" t="str">
        <f t="shared" si="90"/>
        <v/>
      </c>
      <c r="C488" s="1011">
        <f>IF($D$2="NO",0,ROUNDDOWN(SUM(PROD!$V$5:V489)/IF(Iniciar!$C$25="kilos",40,1),0)-SUM($C$4:$C487))</f>
        <v>0</v>
      </c>
      <c r="D488" s="702"/>
      <c r="E488" s="702"/>
      <c r="F488" s="300">
        <f t="shared" si="95"/>
        <v>-95000</v>
      </c>
      <c r="G488" s="694"/>
      <c r="H488" s="695"/>
      <c r="I488" s="1314"/>
      <c r="J488" s="1315">
        <f>IF(K$1&gt;0,ROUNDUP(SUM(PROD!AM$5:AM489)/K$1*K$2,0),0)-SUM(J$4:J487)</f>
        <v>0</v>
      </c>
      <c r="K488" s="1316">
        <f t="shared" si="97"/>
        <v>0</v>
      </c>
      <c r="L488" s="1314"/>
      <c r="M488" s="1315">
        <f>IF(N$1&gt;0,ROUNDUP(SUM(PROD!L$5:L489,-PROD!AM$5:AM489,-PROD!AZ$5:AZ489)/N$1*N$2,0),0)-SUM(M$4:M487)</f>
        <v>0</v>
      </c>
      <c r="N488" s="1316">
        <f t="shared" si="98"/>
        <v>0</v>
      </c>
      <c r="O488" s="1317">
        <f t="shared" si="87"/>
        <v>0</v>
      </c>
      <c r="P488" s="1318"/>
      <c r="Q488" s="1319"/>
      <c r="R488" s="1320">
        <f t="shared" si="88"/>
        <v>0</v>
      </c>
      <c r="S488" s="1316">
        <f t="shared" si="89"/>
        <v>0</v>
      </c>
      <c r="T488" s="712"/>
      <c r="U488" s="713"/>
      <c r="V488" s="714"/>
      <c r="W488" s="398">
        <f t="shared" si="96"/>
        <v>0</v>
      </c>
      <c r="X488" s="712"/>
      <c r="Y488" s="713"/>
      <c r="Z488" s="714"/>
      <c r="AA488" s="398">
        <f t="shared" si="91"/>
        <v>0</v>
      </c>
      <c r="AB488" s="712"/>
      <c r="AC488" s="713"/>
      <c r="AD488" s="714"/>
      <c r="AE488" s="398">
        <f t="shared" si="92"/>
        <v>0</v>
      </c>
      <c r="AF488" s="712"/>
      <c r="AG488" s="713"/>
      <c r="AH488" s="714"/>
      <c r="AI488" s="398">
        <f t="shared" si="93"/>
        <v>0</v>
      </c>
      <c r="AJ488" s="712"/>
      <c r="AK488" s="713"/>
      <c r="AL488" s="714"/>
      <c r="AM488" s="398">
        <f t="shared" si="94"/>
        <v>0</v>
      </c>
    </row>
    <row r="489" spans="1:39" ht="15.75" customHeight="1" x14ac:dyDescent="0.3">
      <c r="A489" s="2161"/>
      <c r="B489" s="1313" t="str">
        <f t="shared" si="90"/>
        <v/>
      </c>
      <c r="C489" s="1011">
        <f>IF($D$2="NO",0,ROUNDDOWN(SUM(PROD!$V$5:V490)/IF(Iniciar!$C$25="kilos",40,1),0)-SUM($C$4:$C488))</f>
        <v>0</v>
      </c>
      <c r="D489" s="702"/>
      <c r="E489" s="702"/>
      <c r="F489" s="300">
        <f t="shared" si="95"/>
        <v>-95000</v>
      </c>
      <c r="G489" s="694"/>
      <c r="H489" s="695"/>
      <c r="I489" s="1314"/>
      <c r="J489" s="1315">
        <f>IF(K$1&gt;0,ROUNDUP(SUM(PROD!AM$5:AM490)/K$1*K$2,0),0)-SUM(J$4:J488)</f>
        <v>0</v>
      </c>
      <c r="K489" s="1316">
        <f t="shared" si="97"/>
        <v>0</v>
      </c>
      <c r="L489" s="1314"/>
      <c r="M489" s="1315">
        <f>IF(N$1&gt;0,ROUNDUP(SUM(PROD!L$5:L490,-PROD!AM$5:AM490,-PROD!AZ$5:AZ490)/N$1*N$2,0),0)-SUM(M$4:M488)</f>
        <v>0</v>
      </c>
      <c r="N489" s="1316">
        <f t="shared" si="98"/>
        <v>0</v>
      </c>
      <c r="O489" s="1317">
        <f t="shared" si="87"/>
        <v>0</v>
      </c>
      <c r="P489" s="1318"/>
      <c r="Q489" s="1319"/>
      <c r="R489" s="1320">
        <f t="shared" si="88"/>
        <v>0</v>
      </c>
      <c r="S489" s="1316">
        <f t="shared" si="89"/>
        <v>0</v>
      </c>
      <c r="T489" s="712"/>
      <c r="U489" s="713"/>
      <c r="V489" s="714"/>
      <c r="W489" s="398">
        <f t="shared" si="96"/>
        <v>0</v>
      </c>
      <c r="X489" s="712"/>
      <c r="Y489" s="713"/>
      <c r="Z489" s="714"/>
      <c r="AA489" s="398">
        <f t="shared" si="91"/>
        <v>0</v>
      </c>
      <c r="AB489" s="712"/>
      <c r="AC489" s="713"/>
      <c r="AD489" s="714"/>
      <c r="AE489" s="398">
        <f t="shared" si="92"/>
        <v>0</v>
      </c>
      <c r="AF489" s="712"/>
      <c r="AG489" s="713"/>
      <c r="AH489" s="714"/>
      <c r="AI489" s="398">
        <f t="shared" si="93"/>
        <v>0</v>
      </c>
      <c r="AJ489" s="712"/>
      <c r="AK489" s="713"/>
      <c r="AL489" s="714"/>
      <c r="AM489" s="398">
        <f t="shared" si="94"/>
        <v>0</v>
      </c>
    </row>
    <row r="490" spans="1:39" ht="15.75" customHeight="1" x14ac:dyDescent="0.3">
      <c r="A490" s="2161"/>
      <c r="B490" s="1313" t="str">
        <f t="shared" si="90"/>
        <v/>
      </c>
      <c r="C490" s="1011">
        <f>IF($D$2="NO",0,ROUNDDOWN(SUM(PROD!$V$5:V491)/IF(Iniciar!$C$25="kilos",40,1),0)-SUM($C$4:$C489))</f>
        <v>0</v>
      </c>
      <c r="D490" s="702"/>
      <c r="E490" s="702"/>
      <c r="F490" s="300">
        <f t="shared" si="95"/>
        <v>-95000</v>
      </c>
      <c r="G490" s="694"/>
      <c r="H490" s="695"/>
      <c r="I490" s="1314"/>
      <c r="J490" s="1315">
        <f>IF(K$1&gt;0,ROUNDUP(SUM(PROD!AM$5:AM491)/K$1*K$2,0),0)-SUM(J$4:J489)</f>
        <v>0</v>
      </c>
      <c r="K490" s="1316">
        <f t="shared" si="97"/>
        <v>0</v>
      </c>
      <c r="L490" s="1314"/>
      <c r="M490" s="1315">
        <f>IF(N$1&gt;0,ROUNDUP(SUM(PROD!L$5:L491,-PROD!AM$5:AM491,-PROD!AZ$5:AZ491)/N$1*N$2,0),0)-SUM(M$4:M489)</f>
        <v>0</v>
      </c>
      <c r="N490" s="1316">
        <f t="shared" si="98"/>
        <v>0</v>
      </c>
      <c r="O490" s="1317">
        <f t="shared" si="87"/>
        <v>0</v>
      </c>
      <c r="P490" s="1318"/>
      <c r="Q490" s="1319"/>
      <c r="R490" s="1320">
        <f t="shared" si="88"/>
        <v>0</v>
      </c>
      <c r="S490" s="1316">
        <f t="shared" si="89"/>
        <v>0</v>
      </c>
      <c r="T490" s="712"/>
      <c r="U490" s="713"/>
      <c r="V490" s="714"/>
      <c r="W490" s="398">
        <f t="shared" si="96"/>
        <v>0</v>
      </c>
      <c r="X490" s="712"/>
      <c r="Y490" s="713"/>
      <c r="Z490" s="714"/>
      <c r="AA490" s="398">
        <f t="shared" si="91"/>
        <v>0</v>
      </c>
      <c r="AB490" s="712"/>
      <c r="AC490" s="713"/>
      <c r="AD490" s="714"/>
      <c r="AE490" s="398">
        <f t="shared" si="92"/>
        <v>0</v>
      </c>
      <c r="AF490" s="712"/>
      <c r="AG490" s="713"/>
      <c r="AH490" s="714"/>
      <c r="AI490" s="398">
        <f t="shared" si="93"/>
        <v>0</v>
      </c>
      <c r="AJ490" s="712"/>
      <c r="AK490" s="713"/>
      <c r="AL490" s="714"/>
      <c r="AM490" s="398">
        <f t="shared" si="94"/>
        <v>0</v>
      </c>
    </row>
    <row r="491" spans="1:39" ht="15.75" customHeight="1" x14ac:dyDescent="0.3">
      <c r="A491" s="2161"/>
      <c r="B491" s="1313" t="str">
        <f t="shared" si="90"/>
        <v/>
      </c>
      <c r="C491" s="1011">
        <f>IF($D$2="NO",0,ROUNDDOWN(SUM(PROD!$V$5:V492)/IF(Iniciar!$C$25="kilos",40,1),0)-SUM($C$4:$C490))</f>
        <v>0</v>
      </c>
      <c r="D491" s="702"/>
      <c r="E491" s="702"/>
      <c r="F491" s="300">
        <f t="shared" si="95"/>
        <v>-95000</v>
      </c>
      <c r="G491" s="694"/>
      <c r="H491" s="695"/>
      <c r="I491" s="1314"/>
      <c r="J491" s="1315">
        <f>IF(K$1&gt;0,ROUNDUP(SUM(PROD!AM$5:AM492)/K$1*K$2,0),0)-SUM(J$4:J490)</f>
        <v>0</v>
      </c>
      <c r="K491" s="1316">
        <f t="shared" si="97"/>
        <v>0</v>
      </c>
      <c r="L491" s="1314"/>
      <c r="M491" s="1315">
        <f>IF(N$1&gt;0,ROUNDUP(SUM(PROD!L$5:L492,-PROD!AM$5:AM492,-PROD!AZ$5:AZ492)/N$1*N$2,0),0)-SUM(M$4:M490)</f>
        <v>0</v>
      </c>
      <c r="N491" s="1316">
        <f t="shared" si="98"/>
        <v>0</v>
      </c>
      <c r="O491" s="1317">
        <f t="shared" si="87"/>
        <v>0</v>
      </c>
      <c r="P491" s="1318"/>
      <c r="Q491" s="1319"/>
      <c r="R491" s="1320">
        <f t="shared" si="88"/>
        <v>0</v>
      </c>
      <c r="S491" s="1316">
        <f t="shared" si="89"/>
        <v>0</v>
      </c>
      <c r="T491" s="712"/>
      <c r="U491" s="713"/>
      <c r="V491" s="714"/>
      <c r="W491" s="398">
        <f t="shared" si="96"/>
        <v>0</v>
      </c>
      <c r="X491" s="712"/>
      <c r="Y491" s="713"/>
      <c r="Z491" s="714"/>
      <c r="AA491" s="398">
        <f t="shared" si="91"/>
        <v>0</v>
      </c>
      <c r="AB491" s="712"/>
      <c r="AC491" s="713"/>
      <c r="AD491" s="714"/>
      <c r="AE491" s="398">
        <f t="shared" si="92"/>
        <v>0</v>
      </c>
      <c r="AF491" s="712"/>
      <c r="AG491" s="713"/>
      <c r="AH491" s="714"/>
      <c r="AI491" s="398">
        <f t="shared" si="93"/>
        <v>0</v>
      </c>
      <c r="AJ491" s="712"/>
      <c r="AK491" s="713"/>
      <c r="AL491" s="714"/>
      <c r="AM491" s="398">
        <f t="shared" si="94"/>
        <v>0</v>
      </c>
    </row>
    <row r="492" spans="1:39" ht="15.75" customHeight="1" x14ac:dyDescent="0.3">
      <c r="A492" s="2161"/>
      <c r="B492" s="1313" t="str">
        <f t="shared" si="90"/>
        <v/>
      </c>
      <c r="C492" s="1011">
        <f>IF($D$2="NO",0,ROUNDDOWN(SUM(PROD!$V$5:V493)/IF(Iniciar!$C$25="kilos",40,1),0)-SUM($C$4:$C491))</f>
        <v>0</v>
      </c>
      <c r="D492" s="702"/>
      <c r="E492" s="702"/>
      <c r="F492" s="300">
        <f t="shared" si="95"/>
        <v>-95000</v>
      </c>
      <c r="G492" s="694"/>
      <c r="H492" s="695"/>
      <c r="I492" s="1314"/>
      <c r="J492" s="1315">
        <f>IF(K$1&gt;0,ROUNDUP(SUM(PROD!AM$5:AM493)/K$1*K$2,0),0)-SUM(J$4:J491)</f>
        <v>0</v>
      </c>
      <c r="K492" s="1316">
        <f t="shared" si="97"/>
        <v>0</v>
      </c>
      <c r="L492" s="1314"/>
      <c r="M492" s="1315">
        <f>IF(N$1&gt;0,ROUNDUP(SUM(PROD!L$5:L493,-PROD!AM$5:AM493,-PROD!AZ$5:AZ493)/N$1*N$2,0),0)-SUM(M$4:M491)</f>
        <v>0</v>
      </c>
      <c r="N492" s="1316">
        <f t="shared" si="98"/>
        <v>0</v>
      </c>
      <c r="O492" s="1317">
        <f t="shared" si="87"/>
        <v>0</v>
      </c>
      <c r="P492" s="1318"/>
      <c r="Q492" s="1319"/>
      <c r="R492" s="1320">
        <f t="shared" si="88"/>
        <v>0</v>
      </c>
      <c r="S492" s="1316">
        <f t="shared" si="89"/>
        <v>0</v>
      </c>
      <c r="T492" s="712"/>
      <c r="U492" s="713"/>
      <c r="V492" s="714"/>
      <c r="W492" s="398">
        <f t="shared" si="96"/>
        <v>0</v>
      </c>
      <c r="X492" s="712"/>
      <c r="Y492" s="713"/>
      <c r="Z492" s="714"/>
      <c r="AA492" s="398">
        <f t="shared" si="91"/>
        <v>0</v>
      </c>
      <c r="AB492" s="712"/>
      <c r="AC492" s="713"/>
      <c r="AD492" s="714"/>
      <c r="AE492" s="398">
        <f t="shared" si="92"/>
        <v>0</v>
      </c>
      <c r="AF492" s="712"/>
      <c r="AG492" s="713"/>
      <c r="AH492" s="714"/>
      <c r="AI492" s="398">
        <f t="shared" si="93"/>
        <v>0</v>
      </c>
      <c r="AJ492" s="712"/>
      <c r="AK492" s="713"/>
      <c r="AL492" s="714"/>
      <c r="AM492" s="398">
        <f t="shared" si="94"/>
        <v>0</v>
      </c>
    </row>
    <row r="493" spans="1:39" ht="16.5" customHeight="1" x14ac:dyDescent="0.3">
      <c r="A493" s="2162"/>
      <c r="B493" s="1313" t="str">
        <f t="shared" si="90"/>
        <v/>
      </c>
      <c r="C493" s="1011">
        <f>IF($D$2="NO",0,ROUNDDOWN(SUM(PROD!$V$5:V494)/IF(Iniciar!$C$25="kilos",40,1),0)-SUM($C$4:$C492))</f>
        <v>0</v>
      </c>
      <c r="D493" s="702"/>
      <c r="E493" s="702"/>
      <c r="F493" s="300">
        <f t="shared" si="95"/>
        <v>-95000</v>
      </c>
      <c r="G493" s="694"/>
      <c r="H493" s="695"/>
      <c r="I493" s="1314"/>
      <c r="J493" s="1315">
        <f>IF(K$1&gt;0,ROUNDUP(SUM(PROD!AM$5:AM494)/K$1*K$2,0),0)-SUM(J$4:J492)</f>
        <v>0</v>
      </c>
      <c r="K493" s="1316">
        <f t="shared" si="97"/>
        <v>0</v>
      </c>
      <c r="L493" s="1314"/>
      <c r="M493" s="1315">
        <f>IF(N$1&gt;0,ROUNDUP(SUM(PROD!L$5:L494,-PROD!AM$5:AM494,-PROD!AZ$5:AZ494)/N$1*N$2,0),0)-SUM(M$4:M492)</f>
        <v>0</v>
      </c>
      <c r="N493" s="1316">
        <f t="shared" si="98"/>
        <v>0</v>
      </c>
      <c r="O493" s="1317">
        <f t="shared" si="87"/>
        <v>0</v>
      </c>
      <c r="P493" s="1318"/>
      <c r="Q493" s="1319"/>
      <c r="R493" s="1320">
        <f t="shared" si="88"/>
        <v>0</v>
      </c>
      <c r="S493" s="1316">
        <f t="shared" si="89"/>
        <v>0</v>
      </c>
      <c r="T493" s="712"/>
      <c r="U493" s="713"/>
      <c r="V493" s="714"/>
      <c r="W493" s="398">
        <f t="shared" si="96"/>
        <v>0</v>
      </c>
      <c r="X493" s="712"/>
      <c r="Y493" s="713"/>
      <c r="Z493" s="714"/>
      <c r="AA493" s="398">
        <f t="shared" si="91"/>
        <v>0</v>
      </c>
      <c r="AB493" s="712"/>
      <c r="AC493" s="713"/>
      <c r="AD493" s="714"/>
      <c r="AE493" s="398">
        <f t="shared" si="92"/>
        <v>0</v>
      </c>
      <c r="AF493" s="712"/>
      <c r="AG493" s="713"/>
      <c r="AH493" s="714"/>
      <c r="AI493" s="398">
        <f t="shared" si="93"/>
        <v>0</v>
      </c>
      <c r="AJ493" s="712"/>
      <c r="AK493" s="713"/>
      <c r="AL493" s="714"/>
      <c r="AM493" s="398">
        <f t="shared" si="94"/>
        <v>0</v>
      </c>
    </row>
    <row r="494" spans="1:39" ht="16.5" customHeight="1" x14ac:dyDescent="0.3">
      <c r="A494" s="2160">
        <f>A487+1</f>
        <v>88</v>
      </c>
      <c r="B494" s="1313" t="str">
        <f t="shared" si="90"/>
        <v/>
      </c>
      <c r="C494" s="1011">
        <f>IF($D$2="NO",0,ROUNDDOWN(SUM(PROD!$V$5:V495)/IF(Iniciar!$C$25="kilos",40,1),0)-SUM($C$4:$C493))</f>
        <v>0</v>
      </c>
      <c r="D494" s="702"/>
      <c r="E494" s="702"/>
      <c r="F494" s="300">
        <f t="shared" si="95"/>
        <v>-95000</v>
      </c>
      <c r="G494" s="694"/>
      <c r="H494" s="695"/>
      <c r="I494" s="1314"/>
      <c r="J494" s="1315">
        <f>IF(K$1&gt;0,ROUNDUP(SUM(PROD!AM$5:AM495)/K$1*K$2,0),0)-SUM(J$4:J493)</f>
        <v>0</v>
      </c>
      <c r="K494" s="1316">
        <f t="shared" si="97"/>
        <v>0</v>
      </c>
      <c r="L494" s="1314"/>
      <c r="M494" s="1315">
        <f>IF(N$1&gt;0,ROUNDUP(SUM(PROD!L$5:L495,-PROD!AM$5:AM495,-PROD!AZ$5:AZ495)/N$1*N$2,0),0)-SUM(M$4:M493)</f>
        <v>0</v>
      </c>
      <c r="N494" s="1316">
        <f t="shared" si="98"/>
        <v>0</v>
      </c>
      <c r="O494" s="1317">
        <f t="shared" si="87"/>
        <v>0</v>
      </c>
      <c r="P494" s="1318"/>
      <c r="Q494" s="1319"/>
      <c r="R494" s="1320">
        <f t="shared" si="88"/>
        <v>0</v>
      </c>
      <c r="S494" s="1316">
        <f t="shared" si="89"/>
        <v>0</v>
      </c>
      <c r="T494" s="712"/>
      <c r="U494" s="713"/>
      <c r="V494" s="714"/>
      <c r="W494" s="398">
        <f t="shared" si="96"/>
        <v>0</v>
      </c>
      <c r="X494" s="712"/>
      <c r="Y494" s="713"/>
      <c r="Z494" s="714"/>
      <c r="AA494" s="398">
        <f t="shared" si="91"/>
        <v>0</v>
      </c>
      <c r="AB494" s="712"/>
      <c r="AC494" s="713"/>
      <c r="AD494" s="714"/>
      <c r="AE494" s="398">
        <f t="shared" si="92"/>
        <v>0</v>
      </c>
      <c r="AF494" s="712"/>
      <c r="AG494" s="713"/>
      <c r="AH494" s="714"/>
      <c r="AI494" s="398">
        <f t="shared" si="93"/>
        <v>0</v>
      </c>
      <c r="AJ494" s="712"/>
      <c r="AK494" s="713"/>
      <c r="AL494" s="714"/>
      <c r="AM494" s="398">
        <f t="shared" si="94"/>
        <v>0</v>
      </c>
    </row>
    <row r="495" spans="1:39" ht="15.75" customHeight="1" x14ac:dyDescent="0.3">
      <c r="A495" s="2161"/>
      <c r="B495" s="1313" t="str">
        <f t="shared" si="90"/>
        <v/>
      </c>
      <c r="C495" s="1011">
        <f>IF($D$2="NO",0,ROUNDDOWN(SUM(PROD!$V$5:V496)/IF(Iniciar!$C$25="kilos",40,1),0)-SUM($C$4:$C494))</f>
        <v>0</v>
      </c>
      <c r="D495" s="702"/>
      <c r="E495" s="702"/>
      <c r="F495" s="300">
        <f t="shared" si="95"/>
        <v>-95000</v>
      </c>
      <c r="G495" s="694"/>
      <c r="H495" s="695"/>
      <c r="I495" s="1314"/>
      <c r="J495" s="1315">
        <f>IF(K$1&gt;0,ROUNDUP(SUM(PROD!AM$5:AM496)/K$1*K$2,0),0)-SUM(J$4:J494)</f>
        <v>0</v>
      </c>
      <c r="K495" s="1316">
        <f t="shared" si="97"/>
        <v>0</v>
      </c>
      <c r="L495" s="1314"/>
      <c r="M495" s="1315">
        <f>IF(N$1&gt;0,ROUNDUP(SUM(PROD!L$5:L496,-PROD!AM$5:AM496,-PROD!AZ$5:AZ496)/N$1*N$2,0),0)-SUM(M$4:M494)</f>
        <v>0</v>
      </c>
      <c r="N495" s="1316">
        <f t="shared" si="98"/>
        <v>0</v>
      </c>
      <c r="O495" s="1317">
        <f t="shared" si="87"/>
        <v>0</v>
      </c>
      <c r="P495" s="1318"/>
      <c r="Q495" s="1319"/>
      <c r="R495" s="1320">
        <f t="shared" si="88"/>
        <v>0</v>
      </c>
      <c r="S495" s="1316">
        <f t="shared" si="89"/>
        <v>0</v>
      </c>
      <c r="T495" s="712"/>
      <c r="U495" s="713"/>
      <c r="V495" s="714"/>
      <c r="W495" s="398">
        <f t="shared" si="96"/>
        <v>0</v>
      </c>
      <c r="X495" s="712"/>
      <c r="Y495" s="713"/>
      <c r="Z495" s="714"/>
      <c r="AA495" s="398">
        <f t="shared" si="91"/>
        <v>0</v>
      </c>
      <c r="AB495" s="712"/>
      <c r="AC495" s="713"/>
      <c r="AD495" s="714"/>
      <c r="AE495" s="398">
        <f t="shared" si="92"/>
        <v>0</v>
      </c>
      <c r="AF495" s="712"/>
      <c r="AG495" s="713"/>
      <c r="AH495" s="714"/>
      <c r="AI495" s="398">
        <f t="shared" si="93"/>
        <v>0</v>
      </c>
      <c r="AJ495" s="712"/>
      <c r="AK495" s="713"/>
      <c r="AL495" s="714"/>
      <c r="AM495" s="398">
        <f t="shared" si="94"/>
        <v>0</v>
      </c>
    </row>
    <row r="496" spans="1:39" ht="15.75" customHeight="1" x14ac:dyDescent="0.3">
      <c r="A496" s="2161"/>
      <c r="B496" s="1313" t="str">
        <f t="shared" si="90"/>
        <v/>
      </c>
      <c r="C496" s="1011">
        <f>IF($D$2="NO",0,ROUNDDOWN(SUM(PROD!$V$5:V497)/IF(Iniciar!$C$25="kilos",40,1),0)-SUM($C$4:$C495))</f>
        <v>0</v>
      </c>
      <c r="D496" s="702"/>
      <c r="E496" s="702"/>
      <c r="F496" s="300">
        <f t="shared" si="95"/>
        <v>-95000</v>
      </c>
      <c r="G496" s="694"/>
      <c r="H496" s="695"/>
      <c r="I496" s="1314"/>
      <c r="J496" s="1315">
        <f>IF(K$1&gt;0,ROUNDUP(SUM(PROD!AM$5:AM497)/K$1*K$2,0),0)-SUM(J$4:J495)</f>
        <v>0</v>
      </c>
      <c r="K496" s="1316">
        <f t="shared" si="97"/>
        <v>0</v>
      </c>
      <c r="L496" s="1314"/>
      <c r="M496" s="1315">
        <f>IF(N$1&gt;0,ROUNDUP(SUM(PROD!L$5:L497,-PROD!AM$5:AM497,-PROD!AZ$5:AZ497)/N$1*N$2,0),0)-SUM(M$4:M495)</f>
        <v>0</v>
      </c>
      <c r="N496" s="1316">
        <f t="shared" si="98"/>
        <v>0</v>
      </c>
      <c r="O496" s="1317">
        <f t="shared" si="87"/>
        <v>0</v>
      </c>
      <c r="P496" s="1318"/>
      <c r="Q496" s="1319"/>
      <c r="R496" s="1320">
        <f t="shared" si="88"/>
        <v>0</v>
      </c>
      <c r="S496" s="1316">
        <f t="shared" si="89"/>
        <v>0</v>
      </c>
      <c r="T496" s="712"/>
      <c r="U496" s="713"/>
      <c r="V496" s="714"/>
      <c r="W496" s="398">
        <f t="shared" si="96"/>
        <v>0</v>
      </c>
      <c r="X496" s="712"/>
      <c r="Y496" s="713"/>
      <c r="Z496" s="714"/>
      <c r="AA496" s="398">
        <f t="shared" si="91"/>
        <v>0</v>
      </c>
      <c r="AB496" s="712"/>
      <c r="AC496" s="713"/>
      <c r="AD496" s="714"/>
      <c r="AE496" s="398">
        <f t="shared" si="92"/>
        <v>0</v>
      </c>
      <c r="AF496" s="712"/>
      <c r="AG496" s="713"/>
      <c r="AH496" s="714"/>
      <c r="AI496" s="398">
        <f t="shared" si="93"/>
        <v>0</v>
      </c>
      <c r="AJ496" s="712"/>
      <c r="AK496" s="713"/>
      <c r="AL496" s="714"/>
      <c r="AM496" s="398">
        <f t="shared" si="94"/>
        <v>0</v>
      </c>
    </row>
    <row r="497" spans="1:39" ht="15.75" customHeight="1" x14ac:dyDescent="0.3">
      <c r="A497" s="2161"/>
      <c r="B497" s="1313" t="str">
        <f t="shared" si="90"/>
        <v/>
      </c>
      <c r="C497" s="1011">
        <f>IF($D$2="NO",0,ROUNDDOWN(SUM(PROD!$V$5:V498)/IF(Iniciar!$C$25="kilos",40,1),0)-SUM($C$4:$C496))</f>
        <v>0</v>
      </c>
      <c r="D497" s="702"/>
      <c r="E497" s="702"/>
      <c r="F497" s="300">
        <f t="shared" si="95"/>
        <v>-95000</v>
      </c>
      <c r="G497" s="694"/>
      <c r="H497" s="695"/>
      <c r="I497" s="1314"/>
      <c r="J497" s="1315">
        <f>IF(K$1&gt;0,ROUNDUP(SUM(PROD!AM$5:AM498)/K$1*K$2,0),0)-SUM(J$4:J496)</f>
        <v>0</v>
      </c>
      <c r="K497" s="1316">
        <f t="shared" si="97"/>
        <v>0</v>
      </c>
      <c r="L497" s="1314"/>
      <c r="M497" s="1315">
        <f>IF(N$1&gt;0,ROUNDUP(SUM(PROD!L$5:L498,-PROD!AM$5:AM498,-PROD!AZ$5:AZ498)/N$1*N$2,0),0)-SUM(M$4:M496)</f>
        <v>0</v>
      </c>
      <c r="N497" s="1316">
        <f t="shared" si="98"/>
        <v>0</v>
      </c>
      <c r="O497" s="1317">
        <f t="shared" si="87"/>
        <v>0</v>
      </c>
      <c r="P497" s="1318"/>
      <c r="Q497" s="1319"/>
      <c r="R497" s="1320">
        <f t="shared" si="88"/>
        <v>0</v>
      </c>
      <c r="S497" s="1316">
        <f t="shared" si="89"/>
        <v>0</v>
      </c>
      <c r="T497" s="712"/>
      <c r="U497" s="713"/>
      <c r="V497" s="714"/>
      <c r="W497" s="398">
        <f t="shared" si="96"/>
        <v>0</v>
      </c>
      <c r="X497" s="712"/>
      <c r="Y497" s="713"/>
      <c r="Z497" s="714"/>
      <c r="AA497" s="398">
        <f t="shared" si="91"/>
        <v>0</v>
      </c>
      <c r="AB497" s="712"/>
      <c r="AC497" s="713"/>
      <c r="AD497" s="714"/>
      <c r="AE497" s="398">
        <f t="shared" si="92"/>
        <v>0</v>
      </c>
      <c r="AF497" s="712"/>
      <c r="AG497" s="713"/>
      <c r="AH497" s="714"/>
      <c r="AI497" s="398">
        <f t="shared" si="93"/>
        <v>0</v>
      </c>
      <c r="AJ497" s="712"/>
      <c r="AK497" s="713"/>
      <c r="AL497" s="714"/>
      <c r="AM497" s="398">
        <f t="shared" si="94"/>
        <v>0</v>
      </c>
    </row>
    <row r="498" spans="1:39" ht="15.75" customHeight="1" x14ac:dyDescent="0.3">
      <c r="A498" s="2161"/>
      <c r="B498" s="1313" t="str">
        <f t="shared" si="90"/>
        <v/>
      </c>
      <c r="C498" s="1011">
        <f>IF($D$2="NO",0,ROUNDDOWN(SUM(PROD!$V$5:V499)/IF(Iniciar!$C$25="kilos",40,1),0)-SUM($C$4:$C497))</f>
        <v>0</v>
      </c>
      <c r="D498" s="702"/>
      <c r="E498" s="702"/>
      <c r="F498" s="300">
        <f t="shared" si="95"/>
        <v>-95000</v>
      </c>
      <c r="G498" s="694"/>
      <c r="H498" s="695"/>
      <c r="I498" s="1314"/>
      <c r="J498" s="1315">
        <f>IF(K$1&gt;0,ROUNDUP(SUM(PROD!AM$5:AM499)/K$1*K$2,0),0)-SUM(J$4:J497)</f>
        <v>0</v>
      </c>
      <c r="K498" s="1316">
        <f t="shared" si="97"/>
        <v>0</v>
      </c>
      <c r="L498" s="1314"/>
      <c r="M498" s="1315">
        <f>IF(N$1&gt;0,ROUNDUP(SUM(PROD!L$5:L499,-PROD!AM$5:AM499,-PROD!AZ$5:AZ499)/N$1*N$2,0),0)-SUM(M$4:M497)</f>
        <v>0</v>
      </c>
      <c r="N498" s="1316">
        <f t="shared" si="98"/>
        <v>0</v>
      </c>
      <c r="O498" s="1317">
        <f t="shared" si="87"/>
        <v>0</v>
      </c>
      <c r="P498" s="1318"/>
      <c r="Q498" s="1319"/>
      <c r="R498" s="1320">
        <f t="shared" si="88"/>
        <v>0</v>
      </c>
      <c r="S498" s="1316">
        <f t="shared" si="89"/>
        <v>0</v>
      </c>
      <c r="T498" s="712"/>
      <c r="U498" s="713"/>
      <c r="V498" s="714"/>
      <c r="W498" s="398">
        <f t="shared" si="96"/>
        <v>0</v>
      </c>
      <c r="X498" s="712"/>
      <c r="Y498" s="713"/>
      <c r="Z498" s="714"/>
      <c r="AA498" s="398">
        <f t="shared" si="91"/>
        <v>0</v>
      </c>
      <c r="AB498" s="712"/>
      <c r="AC498" s="713"/>
      <c r="AD498" s="714"/>
      <c r="AE498" s="398">
        <f t="shared" si="92"/>
        <v>0</v>
      </c>
      <c r="AF498" s="712"/>
      <c r="AG498" s="713"/>
      <c r="AH498" s="714"/>
      <c r="AI498" s="398">
        <f t="shared" si="93"/>
        <v>0</v>
      </c>
      <c r="AJ498" s="712"/>
      <c r="AK498" s="713"/>
      <c r="AL498" s="714"/>
      <c r="AM498" s="398">
        <f t="shared" si="94"/>
        <v>0</v>
      </c>
    </row>
    <row r="499" spans="1:39" ht="15.75" customHeight="1" x14ac:dyDescent="0.3">
      <c r="A499" s="2161"/>
      <c r="B499" s="1313" t="str">
        <f t="shared" si="90"/>
        <v/>
      </c>
      <c r="C499" s="1011">
        <f>IF($D$2="NO",0,ROUNDDOWN(SUM(PROD!$V$5:V500)/IF(Iniciar!$C$25="kilos",40,1),0)-SUM($C$4:$C498))</f>
        <v>0</v>
      </c>
      <c r="D499" s="702"/>
      <c r="E499" s="702"/>
      <c r="F499" s="300">
        <f t="shared" si="95"/>
        <v>-95000</v>
      </c>
      <c r="G499" s="694"/>
      <c r="H499" s="695"/>
      <c r="I499" s="1314"/>
      <c r="J499" s="1315">
        <f>IF(K$1&gt;0,ROUNDUP(SUM(PROD!AM$5:AM500)/K$1*K$2,0),0)-SUM(J$4:J498)</f>
        <v>0</v>
      </c>
      <c r="K499" s="1316">
        <f t="shared" si="97"/>
        <v>0</v>
      </c>
      <c r="L499" s="1314"/>
      <c r="M499" s="1315">
        <f>IF(N$1&gt;0,ROUNDUP(SUM(PROD!L$5:L500,-PROD!AM$5:AM500,-PROD!AZ$5:AZ500)/N$1*N$2,0),0)-SUM(M$4:M498)</f>
        <v>0</v>
      </c>
      <c r="N499" s="1316">
        <f t="shared" si="98"/>
        <v>0</v>
      </c>
      <c r="O499" s="1317">
        <f t="shared" si="87"/>
        <v>0</v>
      </c>
      <c r="P499" s="1318"/>
      <c r="Q499" s="1319"/>
      <c r="R499" s="1320">
        <f t="shared" si="88"/>
        <v>0</v>
      </c>
      <c r="S499" s="1316">
        <f t="shared" si="89"/>
        <v>0</v>
      </c>
      <c r="T499" s="712"/>
      <c r="U499" s="713"/>
      <c r="V499" s="714"/>
      <c r="W499" s="398">
        <f t="shared" si="96"/>
        <v>0</v>
      </c>
      <c r="X499" s="712"/>
      <c r="Y499" s="713"/>
      <c r="Z499" s="714"/>
      <c r="AA499" s="398">
        <f t="shared" si="91"/>
        <v>0</v>
      </c>
      <c r="AB499" s="712"/>
      <c r="AC499" s="713"/>
      <c r="AD499" s="714"/>
      <c r="AE499" s="398">
        <f t="shared" si="92"/>
        <v>0</v>
      </c>
      <c r="AF499" s="712"/>
      <c r="AG499" s="713"/>
      <c r="AH499" s="714"/>
      <c r="AI499" s="398">
        <f t="shared" si="93"/>
        <v>0</v>
      </c>
      <c r="AJ499" s="712"/>
      <c r="AK499" s="713"/>
      <c r="AL499" s="714"/>
      <c r="AM499" s="398">
        <f t="shared" si="94"/>
        <v>0</v>
      </c>
    </row>
    <row r="500" spans="1:39" ht="16.5" customHeight="1" x14ac:dyDescent="0.3">
      <c r="A500" s="2162"/>
      <c r="B500" s="1313" t="str">
        <f t="shared" si="90"/>
        <v/>
      </c>
      <c r="C500" s="1011">
        <f>IF($D$2="NO",0,ROUNDDOWN(SUM(PROD!$V$5:V501)/IF(Iniciar!$C$25="kilos",40,1),0)-SUM($C$4:$C499))</f>
        <v>0</v>
      </c>
      <c r="D500" s="702"/>
      <c r="E500" s="702"/>
      <c r="F500" s="300">
        <f t="shared" si="95"/>
        <v>-95000</v>
      </c>
      <c r="G500" s="694"/>
      <c r="H500" s="695"/>
      <c r="I500" s="1314"/>
      <c r="J500" s="1315">
        <f>IF(K$1&gt;0,ROUNDUP(SUM(PROD!AM$5:AM501)/K$1*K$2,0),0)-SUM(J$4:J499)</f>
        <v>0</v>
      </c>
      <c r="K500" s="1316">
        <f t="shared" si="97"/>
        <v>0</v>
      </c>
      <c r="L500" s="1314"/>
      <c r="M500" s="1315">
        <f>IF(N$1&gt;0,ROUNDUP(SUM(PROD!L$5:L501,-PROD!AM$5:AM501,-PROD!AZ$5:AZ501)/N$1*N$2,0),0)-SUM(M$4:M499)</f>
        <v>0</v>
      </c>
      <c r="N500" s="1316">
        <f t="shared" si="98"/>
        <v>0</v>
      </c>
      <c r="O500" s="1317">
        <f t="shared" si="87"/>
        <v>0</v>
      </c>
      <c r="P500" s="1318"/>
      <c r="Q500" s="1319"/>
      <c r="R500" s="1320">
        <f t="shared" si="88"/>
        <v>0</v>
      </c>
      <c r="S500" s="1316">
        <f t="shared" si="89"/>
        <v>0</v>
      </c>
      <c r="T500" s="712"/>
      <c r="U500" s="713"/>
      <c r="V500" s="714"/>
      <c r="W500" s="398">
        <f t="shared" si="96"/>
        <v>0</v>
      </c>
      <c r="X500" s="712"/>
      <c r="Y500" s="713"/>
      <c r="Z500" s="714"/>
      <c r="AA500" s="398">
        <f t="shared" si="91"/>
        <v>0</v>
      </c>
      <c r="AB500" s="712"/>
      <c r="AC500" s="713"/>
      <c r="AD500" s="714"/>
      <c r="AE500" s="398">
        <f t="shared" si="92"/>
        <v>0</v>
      </c>
      <c r="AF500" s="712"/>
      <c r="AG500" s="713"/>
      <c r="AH500" s="714"/>
      <c r="AI500" s="398">
        <f t="shared" si="93"/>
        <v>0</v>
      </c>
      <c r="AJ500" s="712"/>
      <c r="AK500" s="713"/>
      <c r="AL500" s="714"/>
      <c r="AM500" s="398">
        <f t="shared" si="94"/>
        <v>0</v>
      </c>
    </row>
    <row r="501" spans="1:39" ht="16.5" customHeight="1" x14ac:dyDescent="0.3">
      <c r="A501" s="2160">
        <f>A494+1</f>
        <v>89</v>
      </c>
      <c r="B501" s="1313" t="str">
        <f t="shared" si="90"/>
        <v/>
      </c>
      <c r="C501" s="1011">
        <f>IF($D$2="NO",0,ROUNDDOWN(SUM(PROD!$V$5:V502)/IF(Iniciar!$C$25="kilos",40,1),0)-SUM($C$4:$C500))</f>
        <v>0</v>
      </c>
      <c r="D501" s="702"/>
      <c r="E501" s="702"/>
      <c r="F501" s="300">
        <f t="shared" si="95"/>
        <v>-95000</v>
      </c>
      <c r="G501" s="694"/>
      <c r="H501" s="695"/>
      <c r="I501" s="1314"/>
      <c r="J501" s="1315">
        <f>IF(K$1&gt;0,ROUNDUP(SUM(PROD!AM$5:AM502)/K$1*K$2,0),0)-SUM(J$4:J500)</f>
        <v>0</v>
      </c>
      <c r="K501" s="1316">
        <f t="shared" si="97"/>
        <v>0</v>
      </c>
      <c r="L501" s="1314"/>
      <c r="M501" s="1315">
        <f>IF(N$1&gt;0,ROUNDUP(SUM(PROD!L$5:L502,-PROD!AM$5:AM502,-PROD!AZ$5:AZ502)/N$1*N$2,0),0)-SUM(M$4:M500)</f>
        <v>0</v>
      </c>
      <c r="N501" s="1316">
        <f t="shared" si="98"/>
        <v>0</v>
      </c>
      <c r="O501" s="1317">
        <f t="shared" si="87"/>
        <v>0</v>
      </c>
      <c r="P501" s="1318"/>
      <c r="Q501" s="1319"/>
      <c r="R501" s="1320">
        <f t="shared" si="88"/>
        <v>0</v>
      </c>
      <c r="S501" s="1316">
        <f t="shared" si="89"/>
        <v>0</v>
      </c>
      <c r="T501" s="712"/>
      <c r="U501" s="713"/>
      <c r="V501" s="714"/>
      <c r="W501" s="398">
        <f t="shared" si="96"/>
        <v>0</v>
      </c>
      <c r="X501" s="712"/>
      <c r="Y501" s="713"/>
      <c r="Z501" s="714"/>
      <c r="AA501" s="398">
        <f t="shared" si="91"/>
        <v>0</v>
      </c>
      <c r="AB501" s="712"/>
      <c r="AC501" s="713"/>
      <c r="AD501" s="714"/>
      <c r="AE501" s="398">
        <f t="shared" si="92"/>
        <v>0</v>
      </c>
      <c r="AF501" s="712"/>
      <c r="AG501" s="713"/>
      <c r="AH501" s="714"/>
      <c r="AI501" s="398">
        <f t="shared" si="93"/>
        <v>0</v>
      </c>
      <c r="AJ501" s="712"/>
      <c r="AK501" s="713"/>
      <c r="AL501" s="714"/>
      <c r="AM501" s="398">
        <f t="shared" si="94"/>
        <v>0</v>
      </c>
    </row>
    <row r="502" spans="1:39" ht="15.75" customHeight="1" x14ac:dyDescent="0.3">
      <c r="A502" s="2161"/>
      <c r="B502" s="1313" t="str">
        <f t="shared" si="90"/>
        <v/>
      </c>
      <c r="C502" s="1011">
        <f>IF($D$2="NO",0,ROUNDDOWN(SUM(PROD!$V$5:V503)/IF(Iniciar!$C$25="kilos",40,1),0)-SUM($C$4:$C501))</f>
        <v>0</v>
      </c>
      <c r="D502" s="702"/>
      <c r="E502" s="702"/>
      <c r="F502" s="300">
        <f t="shared" si="95"/>
        <v>-95000</v>
      </c>
      <c r="G502" s="694"/>
      <c r="H502" s="695"/>
      <c r="I502" s="1314"/>
      <c r="J502" s="1315">
        <f>IF(K$1&gt;0,ROUNDUP(SUM(PROD!AM$5:AM503)/K$1*K$2,0),0)-SUM(J$4:J501)</f>
        <v>0</v>
      </c>
      <c r="K502" s="1316">
        <f t="shared" si="97"/>
        <v>0</v>
      </c>
      <c r="L502" s="1314"/>
      <c r="M502" s="1315">
        <f>IF(N$1&gt;0,ROUNDUP(SUM(PROD!L$5:L503,-PROD!AM$5:AM503,-PROD!AZ$5:AZ503)/N$1*N$2,0),0)-SUM(M$4:M501)</f>
        <v>0</v>
      </c>
      <c r="N502" s="1316">
        <f t="shared" si="98"/>
        <v>0</v>
      </c>
      <c r="O502" s="1317">
        <f t="shared" si="87"/>
        <v>0</v>
      </c>
      <c r="P502" s="1318"/>
      <c r="Q502" s="1319"/>
      <c r="R502" s="1320">
        <f t="shared" si="88"/>
        <v>0</v>
      </c>
      <c r="S502" s="1316">
        <f t="shared" si="89"/>
        <v>0</v>
      </c>
      <c r="T502" s="712"/>
      <c r="U502" s="713"/>
      <c r="V502" s="714"/>
      <c r="W502" s="398">
        <f t="shared" si="96"/>
        <v>0</v>
      </c>
      <c r="X502" s="712"/>
      <c r="Y502" s="713"/>
      <c r="Z502" s="714"/>
      <c r="AA502" s="398">
        <f t="shared" si="91"/>
        <v>0</v>
      </c>
      <c r="AB502" s="712"/>
      <c r="AC502" s="713"/>
      <c r="AD502" s="714"/>
      <c r="AE502" s="398">
        <f t="shared" si="92"/>
        <v>0</v>
      </c>
      <c r="AF502" s="712"/>
      <c r="AG502" s="713"/>
      <c r="AH502" s="714"/>
      <c r="AI502" s="398">
        <f t="shared" si="93"/>
        <v>0</v>
      </c>
      <c r="AJ502" s="712"/>
      <c r="AK502" s="713"/>
      <c r="AL502" s="714"/>
      <c r="AM502" s="398">
        <f t="shared" si="94"/>
        <v>0</v>
      </c>
    </row>
    <row r="503" spans="1:39" ht="15.75" customHeight="1" x14ac:dyDescent="0.3">
      <c r="A503" s="2161"/>
      <c r="B503" s="1313" t="str">
        <f t="shared" si="90"/>
        <v/>
      </c>
      <c r="C503" s="1011">
        <f>IF($D$2="NO",0,ROUNDDOWN(SUM(PROD!$V$5:V504)/IF(Iniciar!$C$25="kilos",40,1),0)-SUM($C$4:$C502))</f>
        <v>0</v>
      </c>
      <c r="D503" s="702"/>
      <c r="E503" s="702"/>
      <c r="F503" s="300">
        <f t="shared" si="95"/>
        <v>-95000</v>
      </c>
      <c r="G503" s="694"/>
      <c r="H503" s="695"/>
      <c r="I503" s="1314"/>
      <c r="J503" s="1315">
        <f>IF(K$1&gt;0,ROUNDUP(SUM(PROD!AM$5:AM504)/K$1*K$2,0),0)-SUM(J$4:J502)</f>
        <v>0</v>
      </c>
      <c r="K503" s="1316">
        <f t="shared" si="97"/>
        <v>0</v>
      </c>
      <c r="L503" s="1314"/>
      <c r="M503" s="1315">
        <f>IF(N$1&gt;0,ROUNDUP(SUM(PROD!L$5:L504,-PROD!AM$5:AM504,-PROD!AZ$5:AZ504)/N$1*N$2,0),0)-SUM(M$4:M502)</f>
        <v>0</v>
      </c>
      <c r="N503" s="1316">
        <f t="shared" si="98"/>
        <v>0</v>
      </c>
      <c r="O503" s="1317">
        <f t="shared" si="87"/>
        <v>0</v>
      </c>
      <c r="P503" s="1318"/>
      <c r="Q503" s="1319"/>
      <c r="R503" s="1320">
        <f t="shared" si="88"/>
        <v>0</v>
      </c>
      <c r="S503" s="1316">
        <f t="shared" si="89"/>
        <v>0</v>
      </c>
      <c r="T503" s="712"/>
      <c r="U503" s="713"/>
      <c r="V503" s="714"/>
      <c r="W503" s="398">
        <f t="shared" si="96"/>
        <v>0</v>
      </c>
      <c r="X503" s="712"/>
      <c r="Y503" s="713"/>
      <c r="Z503" s="714"/>
      <c r="AA503" s="398">
        <f t="shared" si="91"/>
        <v>0</v>
      </c>
      <c r="AB503" s="712"/>
      <c r="AC503" s="713"/>
      <c r="AD503" s="714"/>
      <c r="AE503" s="398">
        <f t="shared" si="92"/>
        <v>0</v>
      </c>
      <c r="AF503" s="712"/>
      <c r="AG503" s="713"/>
      <c r="AH503" s="714"/>
      <c r="AI503" s="398">
        <f t="shared" si="93"/>
        <v>0</v>
      </c>
      <c r="AJ503" s="712"/>
      <c r="AK503" s="713"/>
      <c r="AL503" s="714"/>
      <c r="AM503" s="398">
        <f t="shared" si="94"/>
        <v>0</v>
      </c>
    </row>
    <row r="504" spans="1:39" ht="15.75" customHeight="1" x14ac:dyDescent="0.3">
      <c r="A504" s="2161"/>
      <c r="B504" s="1313" t="str">
        <f t="shared" si="90"/>
        <v/>
      </c>
      <c r="C504" s="1011">
        <f>IF($D$2="NO",0,ROUNDDOWN(SUM(PROD!$V$5:V505)/IF(Iniciar!$C$25="kilos",40,1),0)-SUM($C$4:$C503))</f>
        <v>0</v>
      </c>
      <c r="D504" s="702"/>
      <c r="E504" s="702"/>
      <c r="F504" s="300">
        <f t="shared" si="95"/>
        <v>-95000</v>
      </c>
      <c r="G504" s="694"/>
      <c r="H504" s="695"/>
      <c r="I504" s="1314"/>
      <c r="J504" s="1315">
        <f>IF(K$1&gt;0,ROUNDUP(SUM(PROD!AM$5:AM505)/K$1*K$2,0),0)-SUM(J$4:J503)</f>
        <v>0</v>
      </c>
      <c r="K504" s="1316">
        <f t="shared" si="97"/>
        <v>0</v>
      </c>
      <c r="L504" s="1314"/>
      <c r="M504" s="1315">
        <f>IF(N$1&gt;0,ROUNDUP(SUM(PROD!L$5:L505,-PROD!AM$5:AM505,-PROD!AZ$5:AZ505)/N$1*N$2,0),0)-SUM(M$4:M503)</f>
        <v>0</v>
      </c>
      <c r="N504" s="1316">
        <f t="shared" si="98"/>
        <v>0</v>
      </c>
      <c r="O504" s="1317">
        <f t="shared" si="87"/>
        <v>0</v>
      </c>
      <c r="P504" s="1318"/>
      <c r="Q504" s="1319"/>
      <c r="R504" s="1320">
        <f t="shared" si="88"/>
        <v>0</v>
      </c>
      <c r="S504" s="1316">
        <f t="shared" si="89"/>
        <v>0</v>
      </c>
      <c r="T504" s="712"/>
      <c r="U504" s="713"/>
      <c r="V504" s="714"/>
      <c r="W504" s="398">
        <f t="shared" si="96"/>
        <v>0</v>
      </c>
      <c r="X504" s="712"/>
      <c r="Y504" s="713"/>
      <c r="Z504" s="714"/>
      <c r="AA504" s="398">
        <f t="shared" si="91"/>
        <v>0</v>
      </c>
      <c r="AB504" s="712"/>
      <c r="AC504" s="713"/>
      <c r="AD504" s="714"/>
      <c r="AE504" s="398">
        <f t="shared" si="92"/>
        <v>0</v>
      </c>
      <c r="AF504" s="712"/>
      <c r="AG504" s="713"/>
      <c r="AH504" s="714"/>
      <c r="AI504" s="398">
        <f t="shared" si="93"/>
        <v>0</v>
      </c>
      <c r="AJ504" s="712"/>
      <c r="AK504" s="713"/>
      <c r="AL504" s="714"/>
      <c r="AM504" s="398">
        <f t="shared" si="94"/>
        <v>0</v>
      </c>
    </row>
    <row r="505" spans="1:39" ht="15.75" customHeight="1" x14ac:dyDescent="0.3">
      <c r="A505" s="2161"/>
      <c r="B505" s="1313" t="str">
        <f t="shared" si="90"/>
        <v/>
      </c>
      <c r="C505" s="1011">
        <f>IF($D$2="NO",0,ROUNDDOWN(SUM(PROD!$V$5:V506)/IF(Iniciar!$C$25="kilos",40,1),0)-SUM($C$4:$C504))</f>
        <v>0</v>
      </c>
      <c r="D505" s="702"/>
      <c r="E505" s="702"/>
      <c r="F505" s="300">
        <f t="shared" si="95"/>
        <v>-95000</v>
      </c>
      <c r="G505" s="694"/>
      <c r="H505" s="695"/>
      <c r="I505" s="1314"/>
      <c r="J505" s="1315">
        <f>IF(K$1&gt;0,ROUNDUP(SUM(PROD!AM$5:AM506)/K$1*K$2,0),0)-SUM(J$4:J504)</f>
        <v>0</v>
      </c>
      <c r="K505" s="1316">
        <f t="shared" si="97"/>
        <v>0</v>
      </c>
      <c r="L505" s="1314"/>
      <c r="M505" s="1315">
        <f>IF(N$1&gt;0,ROUNDUP(SUM(PROD!L$5:L506,-PROD!AM$5:AM506,-PROD!AZ$5:AZ506)/N$1*N$2,0),0)-SUM(M$4:M504)</f>
        <v>0</v>
      </c>
      <c r="N505" s="1316">
        <f t="shared" si="98"/>
        <v>0</v>
      </c>
      <c r="O505" s="1317">
        <f t="shared" si="87"/>
        <v>0</v>
      </c>
      <c r="P505" s="1318"/>
      <c r="Q505" s="1319"/>
      <c r="R505" s="1320">
        <f t="shared" si="88"/>
        <v>0</v>
      </c>
      <c r="S505" s="1316">
        <f t="shared" si="89"/>
        <v>0</v>
      </c>
      <c r="T505" s="712"/>
      <c r="U505" s="713"/>
      <c r="V505" s="714"/>
      <c r="W505" s="398">
        <f t="shared" si="96"/>
        <v>0</v>
      </c>
      <c r="X505" s="712"/>
      <c r="Y505" s="713"/>
      <c r="Z505" s="714"/>
      <c r="AA505" s="398">
        <f t="shared" si="91"/>
        <v>0</v>
      </c>
      <c r="AB505" s="712"/>
      <c r="AC505" s="713"/>
      <c r="AD505" s="714"/>
      <c r="AE505" s="398">
        <f t="shared" si="92"/>
        <v>0</v>
      </c>
      <c r="AF505" s="712"/>
      <c r="AG505" s="713"/>
      <c r="AH505" s="714"/>
      <c r="AI505" s="398">
        <f t="shared" si="93"/>
        <v>0</v>
      </c>
      <c r="AJ505" s="712"/>
      <c r="AK505" s="713"/>
      <c r="AL505" s="714"/>
      <c r="AM505" s="398">
        <f t="shared" si="94"/>
        <v>0</v>
      </c>
    </row>
    <row r="506" spans="1:39" ht="15.75" customHeight="1" x14ac:dyDescent="0.3">
      <c r="A506" s="2161"/>
      <c r="B506" s="1313" t="str">
        <f t="shared" si="90"/>
        <v/>
      </c>
      <c r="C506" s="1011">
        <f>IF($D$2="NO",0,ROUNDDOWN(SUM(PROD!$V$5:V507)/IF(Iniciar!$C$25="kilos",40,1),0)-SUM($C$4:$C505))</f>
        <v>0</v>
      </c>
      <c r="D506" s="702"/>
      <c r="E506" s="702"/>
      <c r="F506" s="300">
        <f t="shared" si="95"/>
        <v>-95000</v>
      </c>
      <c r="G506" s="694"/>
      <c r="H506" s="695"/>
      <c r="I506" s="1314"/>
      <c r="J506" s="1315">
        <f>IF(K$1&gt;0,ROUNDUP(SUM(PROD!AM$5:AM507)/K$1*K$2,0),0)-SUM(J$4:J505)</f>
        <v>0</v>
      </c>
      <c r="K506" s="1316">
        <f t="shared" si="97"/>
        <v>0</v>
      </c>
      <c r="L506" s="1314"/>
      <c r="M506" s="1315">
        <f>IF(N$1&gt;0,ROUNDUP(SUM(PROD!L$5:L507,-PROD!AM$5:AM507,-PROD!AZ$5:AZ507)/N$1*N$2,0),0)-SUM(M$4:M505)</f>
        <v>0</v>
      </c>
      <c r="N506" s="1316">
        <f t="shared" si="98"/>
        <v>0</v>
      </c>
      <c r="O506" s="1317">
        <f t="shared" si="87"/>
        <v>0</v>
      </c>
      <c r="P506" s="1318"/>
      <c r="Q506" s="1319"/>
      <c r="R506" s="1320">
        <f t="shared" si="88"/>
        <v>0</v>
      </c>
      <c r="S506" s="1316">
        <f t="shared" si="89"/>
        <v>0</v>
      </c>
      <c r="T506" s="712"/>
      <c r="U506" s="713"/>
      <c r="V506" s="714"/>
      <c r="W506" s="398">
        <f t="shared" si="96"/>
        <v>0</v>
      </c>
      <c r="X506" s="712"/>
      <c r="Y506" s="713"/>
      <c r="Z506" s="714"/>
      <c r="AA506" s="398">
        <f t="shared" si="91"/>
        <v>0</v>
      </c>
      <c r="AB506" s="712"/>
      <c r="AC506" s="713"/>
      <c r="AD506" s="714"/>
      <c r="AE506" s="398">
        <f t="shared" si="92"/>
        <v>0</v>
      </c>
      <c r="AF506" s="712"/>
      <c r="AG506" s="713"/>
      <c r="AH506" s="714"/>
      <c r="AI506" s="398">
        <f t="shared" si="93"/>
        <v>0</v>
      </c>
      <c r="AJ506" s="712"/>
      <c r="AK506" s="713"/>
      <c r="AL506" s="714"/>
      <c r="AM506" s="398">
        <f t="shared" si="94"/>
        <v>0</v>
      </c>
    </row>
    <row r="507" spans="1:39" ht="16.5" customHeight="1" x14ac:dyDescent="0.3">
      <c r="A507" s="2162"/>
      <c r="B507" s="1313" t="str">
        <f t="shared" si="90"/>
        <v/>
      </c>
      <c r="C507" s="1011">
        <f>IF($D$2="NO",0,ROUNDDOWN(SUM(PROD!$V$5:V508)/IF(Iniciar!$C$25="kilos",40,1),0)-SUM($C$4:$C506))</f>
        <v>0</v>
      </c>
      <c r="D507" s="702"/>
      <c r="E507" s="702"/>
      <c r="F507" s="300">
        <f t="shared" si="95"/>
        <v>-95000</v>
      </c>
      <c r="G507" s="694"/>
      <c r="H507" s="695"/>
      <c r="I507" s="1314"/>
      <c r="J507" s="1315">
        <f>IF(K$1&gt;0,ROUNDUP(SUM(PROD!AM$5:AM508)/K$1*K$2,0),0)-SUM(J$4:J506)</f>
        <v>0</v>
      </c>
      <c r="K507" s="1316">
        <f t="shared" si="97"/>
        <v>0</v>
      </c>
      <c r="L507" s="1314"/>
      <c r="M507" s="1315">
        <f>IF(N$1&gt;0,ROUNDUP(SUM(PROD!L$5:L508,-PROD!AM$5:AM508,-PROD!AZ$5:AZ508)/N$1*N$2,0),0)-SUM(M$4:M506)</f>
        <v>0</v>
      </c>
      <c r="N507" s="1316">
        <f t="shared" si="98"/>
        <v>0</v>
      </c>
      <c r="O507" s="1317">
        <f t="shared" si="87"/>
        <v>0</v>
      </c>
      <c r="P507" s="1318"/>
      <c r="Q507" s="1319"/>
      <c r="R507" s="1320">
        <f t="shared" si="88"/>
        <v>0</v>
      </c>
      <c r="S507" s="1316">
        <f t="shared" si="89"/>
        <v>0</v>
      </c>
      <c r="T507" s="712"/>
      <c r="U507" s="713"/>
      <c r="V507" s="714"/>
      <c r="W507" s="398">
        <f t="shared" si="96"/>
        <v>0</v>
      </c>
      <c r="X507" s="712"/>
      <c r="Y507" s="713"/>
      <c r="Z507" s="714"/>
      <c r="AA507" s="398">
        <f t="shared" si="91"/>
        <v>0</v>
      </c>
      <c r="AB507" s="712"/>
      <c r="AC507" s="713"/>
      <c r="AD507" s="714"/>
      <c r="AE507" s="398">
        <f t="shared" si="92"/>
        <v>0</v>
      </c>
      <c r="AF507" s="712"/>
      <c r="AG507" s="713"/>
      <c r="AH507" s="714"/>
      <c r="AI507" s="398">
        <f t="shared" si="93"/>
        <v>0</v>
      </c>
      <c r="AJ507" s="712"/>
      <c r="AK507" s="713"/>
      <c r="AL507" s="714"/>
      <c r="AM507" s="398">
        <f t="shared" si="94"/>
        <v>0</v>
      </c>
    </row>
    <row r="508" spans="1:39" ht="16.5" customHeight="1" x14ac:dyDescent="0.3">
      <c r="A508" s="2160">
        <f>A501+1</f>
        <v>90</v>
      </c>
      <c r="B508" s="1313" t="str">
        <f t="shared" si="90"/>
        <v/>
      </c>
      <c r="C508" s="1011">
        <f>IF($D$2="NO",0,ROUNDDOWN(SUM(PROD!$V$5:V509)/IF(Iniciar!$C$25="kilos",40,1),0)-SUM($C$4:$C507))</f>
        <v>0</v>
      </c>
      <c r="D508" s="702"/>
      <c r="E508" s="702"/>
      <c r="F508" s="300">
        <f t="shared" si="95"/>
        <v>-95000</v>
      </c>
      <c r="G508" s="694"/>
      <c r="H508" s="695"/>
      <c r="I508" s="1314"/>
      <c r="J508" s="1315">
        <f>IF(K$1&gt;0,ROUNDUP(SUM(PROD!AM$5:AM509)/K$1*K$2,0),0)-SUM(J$4:J507)</f>
        <v>0</v>
      </c>
      <c r="K508" s="1316">
        <f t="shared" si="97"/>
        <v>0</v>
      </c>
      <c r="L508" s="1314"/>
      <c r="M508" s="1315">
        <f>IF(N$1&gt;0,ROUNDUP(SUM(PROD!L$5:L509,-PROD!AM$5:AM509,-PROD!AZ$5:AZ509)/N$1*N$2,0),0)-SUM(M$4:M507)</f>
        <v>0</v>
      </c>
      <c r="N508" s="1316">
        <f t="shared" si="98"/>
        <v>0</v>
      </c>
      <c r="O508" s="1317">
        <f t="shared" si="87"/>
        <v>0</v>
      </c>
      <c r="P508" s="1318"/>
      <c r="Q508" s="1319"/>
      <c r="R508" s="1320">
        <f t="shared" si="88"/>
        <v>0</v>
      </c>
      <c r="S508" s="1316">
        <f t="shared" si="89"/>
        <v>0</v>
      </c>
      <c r="T508" s="712"/>
      <c r="U508" s="713"/>
      <c r="V508" s="714"/>
      <c r="W508" s="398">
        <f t="shared" si="96"/>
        <v>0</v>
      </c>
      <c r="X508" s="712"/>
      <c r="Y508" s="713"/>
      <c r="Z508" s="714"/>
      <c r="AA508" s="398">
        <f t="shared" si="91"/>
        <v>0</v>
      </c>
      <c r="AB508" s="712"/>
      <c r="AC508" s="713"/>
      <c r="AD508" s="714"/>
      <c r="AE508" s="398">
        <f t="shared" si="92"/>
        <v>0</v>
      </c>
      <c r="AF508" s="712"/>
      <c r="AG508" s="713"/>
      <c r="AH508" s="714"/>
      <c r="AI508" s="398">
        <f t="shared" si="93"/>
        <v>0</v>
      </c>
      <c r="AJ508" s="712"/>
      <c r="AK508" s="713"/>
      <c r="AL508" s="714"/>
      <c r="AM508" s="398">
        <f t="shared" si="94"/>
        <v>0</v>
      </c>
    </row>
    <row r="509" spans="1:39" ht="15.75" customHeight="1" x14ac:dyDescent="0.3">
      <c r="A509" s="2161"/>
      <c r="B509" s="1313" t="str">
        <f t="shared" si="90"/>
        <v/>
      </c>
      <c r="C509" s="1011">
        <f>IF($D$2="NO",0,ROUNDDOWN(SUM(PROD!$V$5:V510)/IF(Iniciar!$C$25="kilos",40,1),0)-SUM($C$4:$C508))</f>
        <v>0</v>
      </c>
      <c r="D509" s="702"/>
      <c r="E509" s="702"/>
      <c r="F509" s="300">
        <f t="shared" si="95"/>
        <v>-95000</v>
      </c>
      <c r="G509" s="694"/>
      <c r="H509" s="695"/>
      <c r="I509" s="1314"/>
      <c r="J509" s="1315">
        <f>IF(K$1&gt;0,ROUNDUP(SUM(PROD!AM$5:AM510)/K$1*K$2,0),0)-SUM(J$4:J508)</f>
        <v>0</v>
      </c>
      <c r="K509" s="1316">
        <f t="shared" si="97"/>
        <v>0</v>
      </c>
      <c r="L509" s="1314"/>
      <c r="M509" s="1315">
        <f>IF(N$1&gt;0,ROUNDUP(SUM(PROD!L$5:L510,-PROD!AM$5:AM510,-PROD!AZ$5:AZ510)/N$1*N$2,0),0)-SUM(M$4:M508)</f>
        <v>0</v>
      </c>
      <c r="N509" s="1316">
        <f t="shared" si="98"/>
        <v>0</v>
      </c>
      <c r="O509" s="1317">
        <f t="shared" si="87"/>
        <v>0</v>
      </c>
      <c r="P509" s="1318"/>
      <c r="Q509" s="1319"/>
      <c r="R509" s="1320">
        <f t="shared" si="88"/>
        <v>0</v>
      </c>
      <c r="S509" s="1316">
        <f t="shared" si="89"/>
        <v>0</v>
      </c>
      <c r="T509" s="712"/>
      <c r="U509" s="713"/>
      <c r="V509" s="714"/>
      <c r="W509" s="398">
        <f t="shared" si="96"/>
        <v>0</v>
      </c>
      <c r="X509" s="712"/>
      <c r="Y509" s="713"/>
      <c r="Z509" s="714"/>
      <c r="AA509" s="398">
        <f t="shared" si="91"/>
        <v>0</v>
      </c>
      <c r="AB509" s="712"/>
      <c r="AC509" s="713"/>
      <c r="AD509" s="714"/>
      <c r="AE509" s="398">
        <f t="shared" si="92"/>
        <v>0</v>
      </c>
      <c r="AF509" s="712"/>
      <c r="AG509" s="713"/>
      <c r="AH509" s="714"/>
      <c r="AI509" s="398">
        <f t="shared" si="93"/>
        <v>0</v>
      </c>
      <c r="AJ509" s="712"/>
      <c r="AK509" s="713"/>
      <c r="AL509" s="714"/>
      <c r="AM509" s="398">
        <f t="shared" si="94"/>
        <v>0</v>
      </c>
    </row>
    <row r="510" spans="1:39" ht="15.75" customHeight="1" x14ac:dyDescent="0.3">
      <c r="A510" s="2161"/>
      <c r="B510" s="1313" t="str">
        <f t="shared" si="90"/>
        <v/>
      </c>
      <c r="C510" s="1011">
        <f>IF($D$2="NO",0,ROUNDDOWN(SUM(PROD!$V$5:V511)/IF(Iniciar!$C$25="kilos",40,1),0)-SUM($C$4:$C509))</f>
        <v>0</v>
      </c>
      <c r="D510" s="702"/>
      <c r="E510" s="702"/>
      <c r="F510" s="300">
        <f t="shared" si="95"/>
        <v>-95000</v>
      </c>
      <c r="G510" s="694"/>
      <c r="H510" s="695"/>
      <c r="I510" s="1314"/>
      <c r="J510" s="1315">
        <f>IF(K$1&gt;0,ROUNDUP(SUM(PROD!AM$5:AM511)/K$1*K$2,0),0)-SUM(J$4:J509)</f>
        <v>0</v>
      </c>
      <c r="K510" s="1316">
        <f t="shared" si="97"/>
        <v>0</v>
      </c>
      <c r="L510" s="1314"/>
      <c r="M510" s="1315">
        <f>IF(N$1&gt;0,ROUNDUP(SUM(PROD!L$5:L511,-PROD!AM$5:AM511,-PROD!AZ$5:AZ511)/N$1*N$2,0),0)-SUM(M$4:M509)</f>
        <v>0</v>
      </c>
      <c r="N510" s="1316">
        <f t="shared" si="98"/>
        <v>0</v>
      </c>
      <c r="O510" s="1317">
        <f t="shared" si="87"/>
        <v>0</v>
      </c>
      <c r="P510" s="1318"/>
      <c r="Q510" s="1319"/>
      <c r="R510" s="1320">
        <f t="shared" si="88"/>
        <v>0</v>
      </c>
      <c r="S510" s="1316">
        <f t="shared" si="89"/>
        <v>0</v>
      </c>
      <c r="T510" s="712"/>
      <c r="U510" s="713"/>
      <c r="V510" s="714"/>
      <c r="W510" s="398">
        <f t="shared" si="96"/>
        <v>0</v>
      </c>
      <c r="X510" s="712"/>
      <c r="Y510" s="713"/>
      <c r="Z510" s="714"/>
      <c r="AA510" s="398">
        <f t="shared" si="91"/>
        <v>0</v>
      </c>
      <c r="AB510" s="712"/>
      <c r="AC510" s="713"/>
      <c r="AD510" s="714"/>
      <c r="AE510" s="398">
        <f t="shared" si="92"/>
        <v>0</v>
      </c>
      <c r="AF510" s="712"/>
      <c r="AG510" s="713"/>
      <c r="AH510" s="714"/>
      <c r="AI510" s="398">
        <f t="shared" si="93"/>
        <v>0</v>
      </c>
      <c r="AJ510" s="712"/>
      <c r="AK510" s="713"/>
      <c r="AL510" s="714"/>
      <c r="AM510" s="398">
        <f t="shared" si="94"/>
        <v>0</v>
      </c>
    </row>
    <row r="511" spans="1:39" ht="15.75" customHeight="1" x14ac:dyDescent="0.3">
      <c r="A511" s="2161"/>
      <c r="B511" s="1313" t="str">
        <f t="shared" si="90"/>
        <v/>
      </c>
      <c r="C511" s="1011">
        <f>IF($D$2="NO",0,ROUNDDOWN(SUM(PROD!$V$5:V512)/IF(Iniciar!$C$25="kilos",40,1),0)-SUM($C$4:$C510))</f>
        <v>0</v>
      </c>
      <c r="D511" s="702"/>
      <c r="E511" s="702"/>
      <c r="F511" s="300">
        <f t="shared" si="95"/>
        <v>-95000</v>
      </c>
      <c r="G511" s="694"/>
      <c r="H511" s="695"/>
      <c r="I511" s="1314"/>
      <c r="J511" s="1315">
        <f>IF(K$1&gt;0,ROUNDUP(SUM(PROD!AM$5:AM512)/K$1*K$2,0),0)-SUM(J$4:J510)</f>
        <v>0</v>
      </c>
      <c r="K511" s="1316">
        <f t="shared" si="97"/>
        <v>0</v>
      </c>
      <c r="L511" s="1314"/>
      <c r="M511" s="1315">
        <f>IF(N$1&gt;0,ROUNDUP(SUM(PROD!L$5:L512,-PROD!AM$5:AM512,-PROD!AZ$5:AZ512)/N$1*N$2,0),0)-SUM(M$4:M510)</f>
        <v>0</v>
      </c>
      <c r="N511" s="1316">
        <f t="shared" si="98"/>
        <v>0</v>
      </c>
      <c r="O511" s="1317">
        <f t="shared" si="87"/>
        <v>0</v>
      </c>
      <c r="P511" s="1318"/>
      <c r="Q511" s="1319"/>
      <c r="R511" s="1320">
        <f t="shared" si="88"/>
        <v>0</v>
      </c>
      <c r="S511" s="1316">
        <f t="shared" si="89"/>
        <v>0</v>
      </c>
      <c r="T511" s="712"/>
      <c r="U511" s="713"/>
      <c r="V511" s="714"/>
      <c r="W511" s="398">
        <f t="shared" si="96"/>
        <v>0</v>
      </c>
      <c r="X511" s="712"/>
      <c r="Y511" s="713"/>
      <c r="Z511" s="714"/>
      <c r="AA511" s="398">
        <f t="shared" si="91"/>
        <v>0</v>
      </c>
      <c r="AB511" s="712"/>
      <c r="AC511" s="713"/>
      <c r="AD511" s="714"/>
      <c r="AE511" s="398">
        <f t="shared" si="92"/>
        <v>0</v>
      </c>
      <c r="AF511" s="712"/>
      <c r="AG511" s="713"/>
      <c r="AH511" s="714"/>
      <c r="AI511" s="398">
        <f t="shared" si="93"/>
        <v>0</v>
      </c>
      <c r="AJ511" s="712"/>
      <c r="AK511" s="713"/>
      <c r="AL511" s="714"/>
      <c r="AM511" s="398">
        <f t="shared" si="94"/>
        <v>0</v>
      </c>
    </row>
    <row r="512" spans="1:39" ht="15.75" customHeight="1" x14ac:dyDescent="0.3">
      <c r="A512" s="2161"/>
      <c r="B512" s="1313" t="str">
        <f t="shared" si="90"/>
        <v/>
      </c>
      <c r="C512" s="1011">
        <f>IF($D$2="NO",0,ROUNDDOWN(SUM(PROD!$V$5:V513)/IF(Iniciar!$C$25="kilos",40,1),0)-SUM($C$4:$C511))</f>
        <v>0</v>
      </c>
      <c r="D512" s="702"/>
      <c r="E512" s="702"/>
      <c r="F512" s="300">
        <f t="shared" si="95"/>
        <v>-95000</v>
      </c>
      <c r="G512" s="694"/>
      <c r="H512" s="695"/>
      <c r="I512" s="1314"/>
      <c r="J512" s="1315">
        <f>IF(K$1&gt;0,ROUNDUP(SUM(PROD!AM$5:AM513)/K$1*K$2,0),0)-SUM(J$4:J511)</f>
        <v>0</v>
      </c>
      <c r="K512" s="1316">
        <f t="shared" si="97"/>
        <v>0</v>
      </c>
      <c r="L512" s="1314"/>
      <c r="M512" s="1315">
        <f>IF(N$1&gt;0,ROUNDUP(SUM(PROD!L$5:L513,-PROD!AM$5:AM513,-PROD!AZ$5:AZ513)/N$1*N$2,0),0)-SUM(M$4:M511)</f>
        <v>0</v>
      </c>
      <c r="N512" s="1316">
        <f t="shared" si="98"/>
        <v>0</v>
      </c>
      <c r="O512" s="1317">
        <f t="shared" si="87"/>
        <v>0</v>
      </c>
      <c r="P512" s="1318"/>
      <c r="Q512" s="1319"/>
      <c r="R512" s="1320">
        <f t="shared" si="88"/>
        <v>0</v>
      </c>
      <c r="S512" s="1316">
        <f t="shared" si="89"/>
        <v>0</v>
      </c>
      <c r="T512" s="712"/>
      <c r="U512" s="713"/>
      <c r="V512" s="714"/>
      <c r="W512" s="398">
        <f t="shared" si="96"/>
        <v>0</v>
      </c>
      <c r="X512" s="712"/>
      <c r="Y512" s="713"/>
      <c r="Z512" s="714"/>
      <c r="AA512" s="398">
        <f t="shared" si="91"/>
        <v>0</v>
      </c>
      <c r="AB512" s="712"/>
      <c r="AC512" s="713"/>
      <c r="AD512" s="714"/>
      <c r="AE512" s="398">
        <f t="shared" si="92"/>
        <v>0</v>
      </c>
      <c r="AF512" s="712"/>
      <c r="AG512" s="713"/>
      <c r="AH512" s="714"/>
      <c r="AI512" s="398">
        <f t="shared" si="93"/>
        <v>0</v>
      </c>
      <c r="AJ512" s="712"/>
      <c r="AK512" s="713"/>
      <c r="AL512" s="714"/>
      <c r="AM512" s="398">
        <f t="shared" si="94"/>
        <v>0</v>
      </c>
    </row>
    <row r="513" spans="1:39" ht="15.75" customHeight="1" x14ac:dyDescent="0.3">
      <c r="A513" s="2161"/>
      <c r="B513" s="1313" t="str">
        <f t="shared" si="90"/>
        <v/>
      </c>
      <c r="C513" s="1011">
        <f>IF($D$2="NO",0,ROUNDDOWN(SUM(PROD!$V$5:V514)/IF(Iniciar!$C$25="kilos",40,1),0)-SUM($C$4:$C512))</f>
        <v>0</v>
      </c>
      <c r="D513" s="702"/>
      <c r="E513" s="702"/>
      <c r="F513" s="300">
        <f t="shared" si="95"/>
        <v>-95000</v>
      </c>
      <c r="G513" s="694"/>
      <c r="H513" s="695"/>
      <c r="I513" s="1314"/>
      <c r="J513" s="1315">
        <f>IF(K$1&gt;0,ROUNDUP(SUM(PROD!AM$5:AM514)/K$1*K$2,0),0)-SUM(J$4:J512)</f>
        <v>0</v>
      </c>
      <c r="K513" s="1316">
        <f t="shared" si="97"/>
        <v>0</v>
      </c>
      <c r="L513" s="1314"/>
      <c r="M513" s="1315">
        <f>IF(N$1&gt;0,ROUNDUP(SUM(PROD!L$5:L514,-PROD!AM$5:AM514,-PROD!AZ$5:AZ514)/N$1*N$2,0),0)-SUM(M$4:M512)</f>
        <v>0</v>
      </c>
      <c r="N513" s="1316">
        <f t="shared" si="98"/>
        <v>0</v>
      </c>
      <c r="O513" s="1317">
        <f t="shared" si="87"/>
        <v>0</v>
      </c>
      <c r="P513" s="1318"/>
      <c r="Q513" s="1319"/>
      <c r="R513" s="1320">
        <f t="shared" si="88"/>
        <v>0</v>
      </c>
      <c r="S513" s="1316">
        <f t="shared" si="89"/>
        <v>0</v>
      </c>
      <c r="T513" s="712"/>
      <c r="U513" s="713"/>
      <c r="V513" s="714"/>
      <c r="W513" s="398">
        <f t="shared" si="96"/>
        <v>0</v>
      </c>
      <c r="X513" s="712"/>
      <c r="Y513" s="713"/>
      <c r="Z513" s="714"/>
      <c r="AA513" s="398">
        <f t="shared" si="91"/>
        <v>0</v>
      </c>
      <c r="AB513" s="712"/>
      <c r="AC513" s="713"/>
      <c r="AD513" s="714"/>
      <c r="AE513" s="398">
        <f t="shared" si="92"/>
        <v>0</v>
      </c>
      <c r="AF513" s="712"/>
      <c r="AG513" s="713"/>
      <c r="AH513" s="714"/>
      <c r="AI513" s="398">
        <f t="shared" si="93"/>
        <v>0</v>
      </c>
      <c r="AJ513" s="712"/>
      <c r="AK513" s="713"/>
      <c r="AL513" s="714"/>
      <c r="AM513" s="398">
        <f t="shared" si="94"/>
        <v>0</v>
      </c>
    </row>
    <row r="514" spans="1:39" ht="16.5" customHeight="1" x14ac:dyDescent="0.3">
      <c r="A514" s="2162"/>
      <c r="B514" s="1313" t="str">
        <f t="shared" si="90"/>
        <v/>
      </c>
      <c r="C514" s="1011">
        <f>IF($D$2="NO",0,ROUNDDOWN(SUM(PROD!$V$5:V515)/IF(Iniciar!$C$25="kilos",40,1),0)-SUM($C$4:$C513))</f>
        <v>0</v>
      </c>
      <c r="D514" s="702"/>
      <c r="E514" s="702"/>
      <c r="F514" s="300">
        <f t="shared" si="95"/>
        <v>-95000</v>
      </c>
      <c r="G514" s="694"/>
      <c r="H514" s="695"/>
      <c r="I514" s="1314"/>
      <c r="J514" s="1315">
        <f>IF(K$1&gt;0,ROUNDUP(SUM(PROD!AM$5:AM515)/K$1*K$2,0),0)-SUM(J$4:J513)</f>
        <v>0</v>
      </c>
      <c r="K514" s="1316">
        <f t="shared" si="97"/>
        <v>0</v>
      </c>
      <c r="L514" s="1314"/>
      <c r="M514" s="1315">
        <f>IF(N$1&gt;0,ROUNDUP(SUM(PROD!L$5:L515,-PROD!AM$5:AM515,-PROD!AZ$5:AZ515)/N$1*N$2,0),0)-SUM(M$4:M513)</f>
        <v>0</v>
      </c>
      <c r="N514" s="1316">
        <f t="shared" si="98"/>
        <v>0</v>
      </c>
      <c r="O514" s="1317">
        <f t="shared" si="87"/>
        <v>0</v>
      </c>
      <c r="P514" s="1318"/>
      <c r="Q514" s="1319"/>
      <c r="R514" s="1320">
        <f t="shared" si="88"/>
        <v>0</v>
      </c>
      <c r="S514" s="1316">
        <f t="shared" si="89"/>
        <v>0</v>
      </c>
      <c r="T514" s="712"/>
      <c r="U514" s="713"/>
      <c r="V514" s="714"/>
      <c r="W514" s="398">
        <f t="shared" si="96"/>
        <v>0</v>
      </c>
      <c r="X514" s="712"/>
      <c r="Y514" s="713"/>
      <c r="Z514" s="714"/>
      <c r="AA514" s="398">
        <f t="shared" si="91"/>
        <v>0</v>
      </c>
      <c r="AB514" s="712"/>
      <c r="AC514" s="713"/>
      <c r="AD514" s="714"/>
      <c r="AE514" s="398">
        <f t="shared" si="92"/>
        <v>0</v>
      </c>
      <c r="AF514" s="712"/>
      <c r="AG514" s="713"/>
      <c r="AH514" s="714"/>
      <c r="AI514" s="398">
        <f t="shared" si="93"/>
        <v>0</v>
      </c>
      <c r="AJ514" s="712"/>
      <c r="AK514" s="713"/>
      <c r="AL514" s="714"/>
      <c r="AM514" s="398">
        <f t="shared" si="94"/>
        <v>0</v>
      </c>
    </row>
    <row r="515" spans="1:39" ht="16.5" customHeight="1" x14ac:dyDescent="0.3">
      <c r="A515" s="2160">
        <f>A508+1</f>
        <v>91</v>
      </c>
      <c r="B515" s="1313" t="str">
        <f t="shared" si="90"/>
        <v/>
      </c>
      <c r="C515" s="1011">
        <f>IF($D$2="NO",0,ROUNDDOWN(SUM(PROD!$V$5:V516)/IF(Iniciar!$C$25="kilos",40,1),0)-SUM($C$4:$C514))</f>
        <v>0</v>
      </c>
      <c r="D515" s="702"/>
      <c r="E515" s="702"/>
      <c r="F515" s="300">
        <f t="shared" si="95"/>
        <v>-95000</v>
      </c>
      <c r="G515" s="694"/>
      <c r="H515" s="695"/>
      <c r="I515" s="1314"/>
      <c r="J515" s="1315">
        <f>IF(K$1&gt;0,ROUNDUP(SUM(PROD!AM$5:AM516)/K$1*K$2,0),0)-SUM(J$4:J514)</f>
        <v>0</v>
      </c>
      <c r="K515" s="1316">
        <f t="shared" si="97"/>
        <v>0</v>
      </c>
      <c r="L515" s="1314"/>
      <c r="M515" s="1315">
        <f>IF(N$1&gt;0,ROUNDUP(SUM(PROD!L$5:L516,-PROD!AM$5:AM516,-PROD!AZ$5:AZ516)/N$1*N$2,0),0)-SUM(M$4:M514)</f>
        <v>0</v>
      </c>
      <c r="N515" s="1316">
        <f t="shared" si="98"/>
        <v>0</v>
      </c>
      <c r="O515" s="1317">
        <f t="shared" si="87"/>
        <v>0</v>
      </c>
      <c r="P515" s="1318"/>
      <c r="Q515" s="1319"/>
      <c r="R515" s="1320">
        <f t="shared" si="88"/>
        <v>0</v>
      </c>
      <c r="S515" s="1316">
        <f t="shared" si="89"/>
        <v>0</v>
      </c>
      <c r="T515" s="712"/>
      <c r="U515" s="713"/>
      <c r="V515" s="714"/>
      <c r="W515" s="398">
        <f t="shared" si="96"/>
        <v>0</v>
      </c>
      <c r="X515" s="712"/>
      <c r="Y515" s="713"/>
      <c r="Z515" s="714"/>
      <c r="AA515" s="398">
        <f t="shared" si="91"/>
        <v>0</v>
      </c>
      <c r="AB515" s="712"/>
      <c r="AC515" s="713"/>
      <c r="AD515" s="714"/>
      <c r="AE515" s="398">
        <f t="shared" si="92"/>
        <v>0</v>
      </c>
      <c r="AF515" s="712"/>
      <c r="AG515" s="713"/>
      <c r="AH515" s="714"/>
      <c r="AI515" s="398">
        <f t="shared" si="93"/>
        <v>0</v>
      </c>
      <c r="AJ515" s="712"/>
      <c r="AK515" s="713"/>
      <c r="AL515" s="714"/>
      <c r="AM515" s="398">
        <f t="shared" si="94"/>
        <v>0</v>
      </c>
    </row>
    <row r="516" spans="1:39" ht="15.75" customHeight="1" x14ac:dyDescent="0.3">
      <c r="A516" s="2161"/>
      <c r="B516" s="1313" t="str">
        <f t="shared" si="90"/>
        <v/>
      </c>
      <c r="C516" s="1011">
        <f>IF($D$2="NO",0,ROUNDDOWN(SUM(PROD!$V$5:V517)/IF(Iniciar!$C$25="kilos",40,1),0)-SUM($C$4:$C515))</f>
        <v>0</v>
      </c>
      <c r="D516" s="702"/>
      <c r="E516" s="702"/>
      <c r="F516" s="300">
        <f t="shared" si="95"/>
        <v>-95000</v>
      </c>
      <c r="G516" s="694"/>
      <c r="H516" s="695"/>
      <c r="I516" s="1314"/>
      <c r="J516" s="1315">
        <f>IF(K$1&gt;0,ROUNDUP(SUM(PROD!AM$5:AM517)/K$1*K$2,0),0)-SUM(J$4:J515)</f>
        <v>0</v>
      </c>
      <c r="K516" s="1316">
        <f t="shared" si="97"/>
        <v>0</v>
      </c>
      <c r="L516" s="1314"/>
      <c r="M516" s="1315">
        <f>IF(N$1&gt;0,ROUNDUP(SUM(PROD!L$5:L517,-PROD!AM$5:AM517,-PROD!AZ$5:AZ517)/N$1*N$2,0),0)-SUM(M$4:M515)</f>
        <v>0</v>
      </c>
      <c r="N516" s="1316">
        <f t="shared" si="98"/>
        <v>0</v>
      </c>
      <c r="O516" s="1317">
        <f t="shared" ref="O516:O579" si="99">L516+I516</f>
        <v>0</v>
      </c>
      <c r="P516" s="1318"/>
      <c r="Q516" s="1319"/>
      <c r="R516" s="1320">
        <f t="shared" ref="R516:R579" si="100">M516+J516</f>
        <v>0</v>
      </c>
      <c r="S516" s="1316">
        <f t="shared" ref="S516:S579" si="101">N516+K516</f>
        <v>0</v>
      </c>
      <c r="T516" s="712"/>
      <c r="U516" s="713"/>
      <c r="V516" s="714"/>
      <c r="W516" s="398">
        <f t="shared" si="96"/>
        <v>0</v>
      </c>
      <c r="X516" s="712"/>
      <c r="Y516" s="713"/>
      <c r="Z516" s="714"/>
      <c r="AA516" s="398">
        <f t="shared" si="91"/>
        <v>0</v>
      </c>
      <c r="AB516" s="712"/>
      <c r="AC516" s="713"/>
      <c r="AD516" s="714"/>
      <c r="AE516" s="398">
        <f t="shared" si="92"/>
        <v>0</v>
      </c>
      <c r="AF516" s="712"/>
      <c r="AG516" s="713"/>
      <c r="AH516" s="714"/>
      <c r="AI516" s="398">
        <f t="shared" si="93"/>
        <v>0</v>
      </c>
      <c r="AJ516" s="712"/>
      <c r="AK516" s="713"/>
      <c r="AL516" s="714"/>
      <c r="AM516" s="398">
        <f t="shared" si="94"/>
        <v>0</v>
      </c>
    </row>
    <row r="517" spans="1:39" ht="15.75" customHeight="1" x14ac:dyDescent="0.3">
      <c r="A517" s="2161"/>
      <c r="B517" s="1313" t="str">
        <f t="shared" ref="B517:B580" si="102">IF(B516="","",B516+1)</f>
        <v/>
      </c>
      <c r="C517" s="1011">
        <f>IF($D$2="NO",0,ROUNDDOWN(SUM(PROD!$V$5:V518)/IF(Iniciar!$C$25="kilos",40,1),0)-SUM($C$4:$C516))</f>
        <v>0</v>
      </c>
      <c r="D517" s="702"/>
      <c r="E517" s="702"/>
      <c r="F517" s="300">
        <f t="shared" si="95"/>
        <v>-95000</v>
      </c>
      <c r="G517" s="694"/>
      <c r="H517" s="695"/>
      <c r="I517" s="1314"/>
      <c r="J517" s="1315">
        <f>IF(K$1&gt;0,ROUNDUP(SUM(PROD!AM$5:AM518)/K$1*K$2,0),0)-SUM(J$4:J516)</f>
        <v>0</v>
      </c>
      <c r="K517" s="1316">
        <f t="shared" si="97"/>
        <v>0</v>
      </c>
      <c r="L517" s="1314"/>
      <c r="M517" s="1315">
        <f>IF(N$1&gt;0,ROUNDUP(SUM(PROD!L$5:L518,-PROD!AM$5:AM518,-PROD!AZ$5:AZ518)/N$1*N$2,0),0)-SUM(M$4:M516)</f>
        <v>0</v>
      </c>
      <c r="N517" s="1316">
        <f t="shared" si="98"/>
        <v>0</v>
      </c>
      <c r="O517" s="1317">
        <f t="shared" si="99"/>
        <v>0</v>
      </c>
      <c r="P517" s="1318"/>
      <c r="Q517" s="1319"/>
      <c r="R517" s="1320">
        <f t="shared" si="100"/>
        <v>0</v>
      </c>
      <c r="S517" s="1316">
        <f t="shared" si="101"/>
        <v>0</v>
      </c>
      <c r="T517" s="712"/>
      <c r="U517" s="713"/>
      <c r="V517" s="714"/>
      <c r="W517" s="398">
        <f t="shared" si="96"/>
        <v>0</v>
      </c>
      <c r="X517" s="712"/>
      <c r="Y517" s="713"/>
      <c r="Z517" s="714"/>
      <c r="AA517" s="398">
        <f t="shared" ref="AA517:AA580" si="103">AA516+Y517-Z517</f>
        <v>0</v>
      </c>
      <c r="AB517" s="712"/>
      <c r="AC517" s="713"/>
      <c r="AD517" s="714"/>
      <c r="AE517" s="398">
        <f t="shared" ref="AE517:AE580" si="104">AE516+AC517-AD517</f>
        <v>0</v>
      </c>
      <c r="AF517" s="712"/>
      <c r="AG517" s="713"/>
      <c r="AH517" s="714"/>
      <c r="AI517" s="398">
        <f t="shared" ref="AI517:AI580" si="105">AI516+AG517-AH517</f>
        <v>0</v>
      </c>
      <c r="AJ517" s="712"/>
      <c r="AK517" s="713"/>
      <c r="AL517" s="714"/>
      <c r="AM517" s="398">
        <f t="shared" ref="AM517:AM580" si="106">AM516+AK517-AL517</f>
        <v>0</v>
      </c>
    </row>
    <row r="518" spans="1:39" ht="15.75" customHeight="1" x14ac:dyDescent="0.3">
      <c r="A518" s="2161"/>
      <c r="B518" s="1313" t="str">
        <f t="shared" si="102"/>
        <v/>
      </c>
      <c r="C518" s="1011">
        <f>IF($D$2="NO",0,ROUNDDOWN(SUM(PROD!$V$5:V519)/IF(Iniciar!$C$25="kilos",40,1),0)-SUM($C$4:$C517))</f>
        <v>0</v>
      </c>
      <c r="D518" s="702"/>
      <c r="E518" s="702"/>
      <c r="F518" s="300">
        <f t="shared" si="95"/>
        <v>-95000</v>
      </c>
      <c r="G518" s="694"/>
      <c r="H518" s="695"/>
      <c r="I518" s="1314"/>
      <c r="J518" s="1315">
        <f>IF(K$1&gt;0,ROUNDUP(SUM(PROD!AM$5:AM519)/K$1*K$2,0),0)-SUM(J$4:J517)</f>
        <v>0</v>
      </c>
      <c r="K518" s="1316">
        <f t="shared" si="97"/>
        <v>0</v>
      </c>
      <c r="L518" s="1314"/>
      <c r="M518" s="1315">
        <f>IF(N$1&gt;0,ROUNDUP(SUM(PROD!L$5:L519,-PROD!AM$5:AM519,-PROD!AZ$5:AZ519)/N$1*N$2,0),0)-SUM(M$4:M517)</f>
        <v>0</v>
      </c>
      <c r="N518" s="1316">
        <f t="shared" si="98"/>
        <v>0</v>
      </c>
      <c r="O518" s="1317">
        <f t="shared" si="99"/>
        <v>0</v>
      </c>
      <c r="P518" s="1318"/>
      <c r="Q518" s="1319"/>
      <c r="R518" s="1320">
        <f t="shared" si="100"/>
        <v>0</v>
      </c>
      <c r="S518" s="1316">
        <f t="shared" si="101"/>
        <v>0</v>
      </c>
      <c r="T518" s="712"/>
      <c r="U518" s="713"/>
      <c r="V518" s="714"/>
      <c r="W518" s="398">
        <f t="shared" si="96"/>
        <v>0</v>
      </c>
      <c r="X518" s="712"/>
      <c r="Y518" s="713"/>
      <c r="Z518" s="714"/>
      <c r="AA518" s="398">
        <f t="shared" si="103"/>
        <v>0</v>
      </c>
      <c r="AB518" s="712"/>
      <c r="AC518" s="713"/>
      <c r="AD518" s="714"/>
      <c r="AE518" s="398">
        <f t="shared" si="104"/>
        <v>0</v>
      </c>
      <c r="AF518" s="712"/>
      <c r="AG518" s="713"/>
      <c r="AH518" s="714"/>
      <c r="AI518" s="398">
        <f t="shared" si="105"/>
        <v>0</v>
      </c>
      <c r="AJ518" s="712"/>
      <c r="AK518" s="713"/>
      <c r="AL518" s="714"/>
      <c r="AM518" s="398">
        <f t="shared" si="106"/>
        <v>0</v>
      </c>
    </row>
    <row r="519" spans="1:39" ht="15.75" customHeight="1" x14ac:dyDescent="0.3">
      <c r="A519" s="2161"/>
      <c r="B519" s="1313" t="str">
        <f t="shared" si="102"/>
        <v/>
      </c>
      <c r="C519" s="1011">
        <f>IF($D$2="NO",0,ROUNDDOWN(SUM(PROD!$V$5:V520)/IF(Iniciar!$C$25="kilos",40,1),0)-SUM($C$4:$C518))</f>
        <v>0</v>
      </c>
      <c r="D519" s="702"/>
      <c r="E519" s="702"/>
      <c r="F519" s="300">
        <f t="shared" si="95"/>
        <v>-95000</v>
      </c>
      <c r="G519" s="694"/>
      <c r="H519" s="695"/>
      <c r="I519" s="1314"/>
      <c r="J519" s="1315">
        <f>IF(K$1&gt;0,ROUNDUP(SUM(PROD!AM$5:AM520)/K$1*K$2,0),0)-SUM(J$4:J518)</f>
        <v>0</v>
      </c>
      <c r="K519" s="1316">
        <f t="shared" si="97"/>
        <v>0</v>
      </c>
      <c r="L519" s="1314"/>
      <c r="M519" s="1315">
        <f>IF(N$1&gt;0,ROUNDUP(SUM(PROD!L$5:L520,-PROD!AM$5:AM520,-PROD!AZ$5:AZ520)/N$1*N$2,0),0)-SUM(M$4:M518)</f>
        <v>0</v>
      </c>
      <c r="N519" s="1316">
        <f t="shared" si="98"/>
        <v>0</v>
      </c>
      <c r="O519" s="1317">
        <f t="shared" si="99"/>
        <v>0</v>
      </c>
      <c r="P519" s="1318"/>
      <c r="Q519" s="1319"/>
      <c r="R519" s="1320">
        <f t="shared" si="100"/>
        <v>0</v>
      </c>
      <c r="S519" s="1316">
        <f t="shared" si="101"/>
        <v>0</v>
      </c>
      <c r="T519" s="712"/>
      <c r="U519" s="713"/>
      <c r="V519" s="714"/>
      <c r="W519" s="398">
        <f t="shared" si="96"/>
        <v>0</v>
      </c>
      <c r="X519" s="712"/>
      <c r="Y519" s="713"/>
      <c r="Z519" s="714"/>
      <c r="AA519" s="398">
        <f t="shared" si="103"/>
        <v>0</v>
      </c>
      <c r="AB519" s="712"/>
      <c r="AC519" s="713"/>
      <c r="AD519" s="714"/>
      <c r="AE519" s="398">
        <f t="shared" si="104"/>
        <v>0</v>
      </c>
      <c r="AF519" s="712"/>
      <c r="AG519" s="713"/>
      <c r="AH519" s="714"/>
      <c r="AI519" s="398">
        <f t="shared" si="105"/>
        <v>0</v>
      </c>
      <c r="AJ519" s="712"/>
      <c r="AK519" s="713"/>
      <c r="AL519" s="714"/>
      <c r="AM519" s="398">
        <f t="shared" si="106"/>
        <v>0</v>
      </c>
    </row>
    <row r="520" spans="1:39" ht="15.75" customHeight="1" x14ac:dyDescent="0.3">
      <c r="A520" s="2161"/>
      <c r="B520" s="1313" t="str">
        <f t="shared" si="102"/>
        <v/>
      </c>
      <c r="C520" s="1011">
        <f>IF($D$2="NO",0,ROUNDDOWN(SUM(PROD!$V$5:V521)/IF(Iniciar!$C$25="kilos",40,1),0)-SUM($C$4:$C519))</f>
        <v>0</v>
      </c>
      <c r="D520" s="702"/>
      <c r="E520" s="702"/>
      <c r="F520" s="300">
        <f t="shared" si="95"/>
        <v>-95000</v>
      </c>
      <c r="G520" s="694"/>
      <c r="H520" s="695"/>
      <c r="I520" s="1314"/>
      <c r="J520" s="1315">
        <f>IF(K$1&gt;0,ROUNDUP(SUM(PROD!AM$5:AM521)/K$1*K$2,0),0)-SUM(J$4:J519)</f>
        <v>0</v>
      </c>
      <c r="K520" s="1316">
        <f t="shared" si="97"/>
        <v>0</v>
      </c>
      <c r="L520" s="1314"/>
      <c r="M520" s="1315">
        <f>IF(N$1&gt;0,ROUNDUP(SUM(PROD!L$5:L521,-PROD!AM$5:AM521,-PROD!AZ$5:AZ521)/N$1*N$2,0),0)-SUM(M$4:M519)</f>
        <v>0</v>
      </c>
      <c r="N520" s="1316">
        <f t="shared" si="98"/>
        <v>0</v>
      </c>
      <c r="O520" s="1317">
        <f t="shared" si="99"/>
        <v>0</v>
      </c>
      <c r="P520" s="1318"/>
      <c r="Q520" s="1319"/>
      <c r="R520" s="1320">
        <f t="shared" si="100"/>
        <v>0</v>
      </c>
      <c r="S520" s="1316">
        <f t="shared" si="101"/>
        <v>0</v>
      </c>
      <c r="T520" s="712"/>
      <c r="U520" s="713"/>
      <c r="V520" s="714"/>
      <c r="W520" s="398">
        <f t="shared" si="96"/>
        <v>0</v>
      </c>
      <c r="X520" s="712"/>
      <c r="Y520" s="713"/>
      <c r="Z520" s="714"/>
      <c r="AA520" s="398">
        <f t="shared" si="103"/>
        <v>0</v>
      </c>
      <c r="AB520" s="712"/>
      <c r="AC520" s="713"/>
      <c r="AD520" s="714"/>
      <c r="AE520" s="398">
        <f t="shared" si="104"/>
        <v>0</v>
      </c>
      <c r="AF520" s="712"/>
      <c r="AG520" s="713"/>
      <c r="AH520" s="714"/>
      <c r="AI520" s="398">
        <f t="shared" si="105"/>
        <v>0</v>
      </c>
      <c r="AJ520" s="712"/>
      <c r="AK520" s="713"/>
      <c r="AL520" s="714"/>
      <c r="AM520" s="398">
        <f t="shared" si="106"/>
        <v>0</v>
      </c>
    </row>
    <row r="521" spans="1:39" ht="16.5" customHeight="1" x14ac:dyDescent="0.3">
      <c r="A521" s="2162"/>
      <c r="B521" s="1313" t="str">
        <f t="shared" si="102"/>
        <v/>
      </c>
      <c r="C521" s="1011">
        <f>IF($D$2="NO",0,ROUNDDOWN(SUM(PROD!$V$5:V522)/IF(Iniciar!$C$25="kilos",40,1),0)-SUM($C$4:$C520))</f>
        <v>0</v>
      </c>
      <c r="D521" s="702"/>
      <c r="E521" s="702"/>
      <c r="F521" s="300">
        <f t="shared" si="95"/>
        <v>-95000</v>
      </c>
      <c r="G521" s="694"/>
      <c r="H521" s="695"/>
      <c r="I521" s="1314"/>
      <c r="J521" s="1315">
        <f>IF(K$1&gt;0,ROUNDUP(SUM(PROD!AM$5:AM522)/K$1*K$2,0),0)-SUM(J$4:J520)</f>
        <v>0</v>
      </c>
      <c r="K521" s="1316">
        <f t="shared" si="97"/>
        <v>0</v>
      </c>
      <c r="L521" s="1314"/>
      <c r="M521" s="1315">
        <f>IF(N$1&gt;0,ROUNDUP(SUM(PROD!L$5:L522,-PROD!AM$5:AM522,-PROD!AZ$5:AZ522)/N$1*N$2,0),0)-SUM(M$4:M520)</f>
        <v>0</v>
      </c>
      <c r="N521" s="1316">
        <f t="shared" si="98"/>
        <v>0</v>
      </c>
      <c r="O521" s="1317">
        <f t="shared" si="99"/>
        <v>0</v>
      </c>
      <c r="P521" s="1318"/>
      <c r="Q521" s="1319"/>
      <c r="R521" s="1320">
        <f t="shared" si="100"/>
        <v>0</v>
      </c>
      <c r="S521" s="1316">
        <f t="shared" si="101"/>
        <v>0</v>
      </c>
      <c r="T521" s="712"/>
      <c r="U521" s="713"/>
      <c r="V521" s="714"/>
      <c r="W521" s="398">
        <f t="shared" si="96"/>
        <v>0</v>
      </c>
      <c r="X521" s="712"/>
      <c r="Y521" s="713"/>
      <c r="Z521" s="714"/>
      <c r="AA521" s="398">
        <f t="shared" si="103"/>
        <v>0</v>
      </c>
      <c r="AB521" s="712"/>
      <c r="AC521" s="713"/>
      <c r="AD521" s="714"/>
      <c r="AE521" s="398">
        <f t="shared" si="104"/>
        <v>0</v>
      </c>
      <c r="AF521" s="712"/>
      <c r="AG521" s="713"/>
      <c r="AH521" s="714"/>
      <c r="AI521" s="398">
        <f t="shared" si="105"/>
        <v>0</v>
      </c>
      <c r="AJ521" s="712"/>
      <c r="AK521" s="713"/>
      <c r="AL521" s="714"/>
      <c r="AM521" s="398">
        <f t="shared" si="106"/>
        <v>0</v>
      </c>
    </row>
    <row r="522" spans="1:39" ht="16.5" customHeight="1" x14ac:dyDescent="0.3">
      <c r="A522" s="2160">
        <f>A515+1</f>
        <v>92</v>
      </c>
      <c r="B522" s="1313" t="str">
        <f t="shared" si="102"/>
        <v/>
      </c>
      <c r="C522" s="1011">
        <f>IF($D$2="NO",0,ROUNDDOWN(SUM(PROD!$V$5:V523)/IF(Iniciar!$C$25="kilos",40,1),0)-SUM($C$4:$C521))</f>
        <v>0</v>
      </c>
      <c r="D522" s="702"/>
      <c r="E522" s="702"/>
      <c r="F522" s="300">
        <f t="shared" si="95"/>
        <v>-95000</v>
      </c>
      <c r="G522" s="694"/>
      <c r="H522" s="695"/>
      <c r="I522" s="1314"/>
      <c r="J522" s="1315">
        <f>IF(K$1&gt;0,ROUNDUP(SUM(PROD!AM$5:AM523)/K$1*K$2,0),0)-SUM(J$4:J521)</f>
        <v>0</v>
      </c>
      <c r="K522" s="1316">
        <f t="shared" si="97"/>
        <v>0</v>
      </c>
      <c r="L522" s="1314"/>
      <c r="M522" s="1315">
        <f>IF(N$1&gt;0,ROUNDUP(SUM(PROD!L$5:L523,-PROD!AM$5:AM523,-PROD!AZ$5:AZ523)/N$1*N$2,0),0)-SUM(M$4:M521)</f>
        <v>0</v>
      </c>
      <c r="N522" s="1316">
        <f t="shared" si="98"/>
        <v>0</v>
      </c>
      <c r="O522" s="1317">
        <f t="shared" si="99"/>
        <v>0</v>
      </c>
      <c r="P522" s="1318"/>
      <c r="Q522" s="1319"/>
      <c r="R522" s="1320">
        <f t="shared" si="100"/>
        <v>0</v>
      </c>
      <c r="S522" s="1316">
        <f t="shared" si="101"/>
        <v>0</v>
      </c>
      <c r="T522" s="712"/>
      <c r="U522" s="713"/>
      <c r="V522" s="714"/>
      <c r="W522" s="398">
        <f t="shared" si="96"/>
        <v>0</v>
      </c>
      <c r="X522" s="712"/>
      <c r="Y522" s="713"/>
      <c r="Z522" s="714"/>
      <c r="AA522" s="398">
        <f t="shared" si="103"/>
        <v>0</v>
      </c>
      <c r="AB522" s="712"/>
      <c r="AC522" s="713"/>
      <c r="AD522" s="714"/>
      <c r="AE522" s="398">
        <f t="shared" si="104"/>
        <v>0</v>
      </c>
      <c r="AF522" s="712"/>
      <c r="AG522" s="713"/>
      <c r="AH522" s="714"/>
      <c r="AI522" s="398">
        <f t="shared" si="105"/>
        <v>0</v>
      </c>
      <c r="AJ522" s="712"/>
      <c r="AK522" s="713"/>
      <c r="AL522" s="714"/>
      <c r="AM522" s="398">
        <f t="shared" si="106"/>
        <v>0</v>
      </c>
    </row>
    <row r="523" spans="1:39" ht="15.75" customHeight="1" x14ac:dyDescent="0.3">
      <c r="A523" s="2161"/>
      <c r="B523" s="1313" t="str">
        <f t="shared" si="102"/>
        <v/>
      </c>
      <c r="C523" s="1011">
        <f>IF($D$2="NO",0,ROUNDDOWN(SUM(PROD!$V$5:V524)/IF(Iniciar!$C$25="kilos",40,1),0)-SUM($C$4:$C522))</f>
        <v>0</v>
      </c>
      <c r="D523" s="702"/>
      <c r="E523" s="702"/>
      <c r="F523" s="300">
        <f t="shared" ref="F523:F586" si="107">F522+C523+D523-E523</f>
        <v>-95000</v>
      </c>
      <c r="G523" s="694"/>
      <c r="H523" s="695"/>
      <c r="I523" s="1314"/>
      <c r="J523" s="1315">
        <f>IF(K$1&gt;0,ROUNDUP(SUM(PROD!AM$5:AM524)/K$1*K$2,0),0)-SUM(J$4:J522)</f>
        <v>0</v>
      </c>
      <c r="K523" s="1316">
        <f t="shared" si="97"/>
        <v>0</v>
      </c>
      <c r="L523" s="1314"/>
      <c r="M523" s="1315">
        <f>IF(N$1&gt;0,ROUNDUP(SUM(PROD!L$5:L524,-PROD!AM$5:AM524,-PROD!AZ$5:AZ524)/N$1*N$2,0),0)-SUM(M$4:M522)</f>
        <v>0</v>
      </c>
      <c r="N523" s="1316">
        <f t="shared" si="98"/>
        <v>0</v>
      </c>
      <c r="O523" s="1317">
        <f t="shared" si="99"/>
        <v>0</v>
      </c>
      <c r="P523" s="1318"/>
      <c r="Q523" s="1319"/>
      <c r="R523" s="1320">
        <f t="shared" si="100"/>
        <v>0</v>
      </c>
      <c r="S523" s="1316">
        <f t="shared" si="101"/>
        <v>0</v>
      </c>
      <c r="T523" s="712"/>
      <c r="U523" s="713"/>
      <c r="V523" s="714"/>
      <c r="W523" s="398">
        <f t="shared" si="96"/>
        <v>0</v>
      </c>
      <c r="X523" s="712"/>
      <c r="Y523" s="713"/>
      <c r="Z523" s="714"/>
      <c r="AA523" s="398">
        <f t="shared" si="103"/>
        <v>0</v>
      </c>
      <c r="AB523" s="712"/>
      <c r="AC523" s="713"/>
      <c r="AD523" s="714"/>
      <c r="AE523" s="398">
        <f t="shared" si="104"/>
        <v>0</v>
      </c>
      <c r="AF523" s="712"/>
      <c r="AG523" s="713"/>
      <c r="AH523" s="714"/>
      <c r="AI523" s="398">
        <f t="shared" si="105"/>
        <v>0</v>
      </c>
      <c r="AJ523" s="712"/>
      <c r="AK523" s="713"/>
      <c r="AL523" s="714"/>
      <c r="AM523" s="398">
        <f t="shared" si="106"/>
        <v>0</v>
      </c>
    </row>
    <row r="524" spans="1:39" ht="15.75" customHeight="1" x14ac:dyDescent="0.3">
      <c r="A524" s="2161"/>
      <c r="B524" s="1313" t="str">
        <f t="shared" si="102"/>
        <v/>
      </c>
      <c r="C524" s="1011">
        <f>IF($D$2="NO",0,ROUNDDOWN(SUM(PROD!$V$5:V525)/IF(Iniciar!$C$25="kilos",40,1),0)-SUM($C$4:$C523))</f>
        <v>0</v>
      </c>
      <c r="D524" s="702"/>
      <c r="E524" s="702"/>
      <c r="F524" s="300">
        <f t="shared" si="107"/>
        <v>-95000</v>
      </c>
      <c r="G524" s="694"/>
      <c r="H524" s="695"/>
      <c r="I524" s="1314"/>
      <c r="J524" s="1315">
        <f>IF(K$1&gt;0,ROUNDUP(SUM(PROD!AM$5:AM525)/K$1*K$2,0),0)-SUM(J$4:J523)</f>
        <v>0</v>
      </c>
      <c r="K524" s="1316">
        <f t="shared" si="97"/>
        <v>0</v>
      </c>
      <c r="L524" s="1314"/>
      <c r="M524" s="1315">
        <f>IF(N$1&gt;0,ROUNDUP(SUM(PROD!L$5:L525,-PROD!AM$5:AM525,-PROD!AZ$5:AZ525)/N$1*N$2,0),0)-SUM(M$4:M523)</f>
        <v>0</v>
      </c>
      <c r="N524" s="1316">
        <f t="shared" si="98"/>
        <v>0</v>
      </c>
      <c r="O524" s="1317">
        <f t="shared" si="99"/>
        <v>0</v>
      </c>
      <c r="P524" s="1318"/>
      <c r="Q524" s="1319"/>
      <c r="R524" s="1320">
        <f t="shared" si="100"/>
        <v>0</v>
      </c>
      <c r="S524" s="1316">
        <f t="shared" si="101"/>
        <v>0</v>
      </c>
      <c r="T524" s="712"/>
      <c r="U524" s="713"/>
      <c r="V524" s="714"/>
      <c r="W524" s="398">
        <f t="shared" si="96"/>
        <v>0</v>
      </c>
      <c r="X524" s="712"/>
      <c r="Y524" s="713"/>
      <c r="Z524" s="714"/>
      <c r="AA524" s="398">
        <f t="shared" si="103"/>
        <v>0</v>
      </c>
      <c r="AB524" s="712"/>
      <c r="AC524" s="713"/>
      <c r="AD524" s="714"/>
      <c r="AE524" s="398">
        <f t="shared" si="104"/>
        <v>0</v>
      </c>
      <c r="AF524" s="712"/>
      <c r="AG524" s="713"/>
      <c r="AH524" s="714"/>
      <c r="AI524" s="398">
        <f t="shared" si="105"/>
        <v>0</v>
      </c>
      <c r="AJ524" s="712"/>
      <c r="AK524" s="713"/>
      <c r="AL524" s="714"/>
      <c r="AM524" s="398">
        <f t="shared" si="106"/>
        <v>0</v>
      </c>
    </row>
    <row r="525" spans="1:39" ht="15.75" customHeight="1" x14ac:dyDescent="0.3">
      <c r="A525" s="2161"/>
      <c r="B525" s="1313" t="str">
        <f t="shared" si="102"/>
        <v/>
      </c>
      <c r="C525" s="1011">
        <f>IF($D$2="NO",0,ROUNDDOWN(SUM(PROD!$V$5:V526)/IF(Iniciar!$C$25="kilos",40,1),0)-SUM($C$4:$C524))</f>
        <v>0</v>
      </c>
      <c r="D525" s="702"/>
      <c r="E525" s="702"/>
      <c r="F525" s="300">
        <f t="shared" si="107"/>
        <v>-95000</v>
      </c>
      <c r="G525" s="694"/>
      <c r="H525" s="695"/>
      <c r="I525" s="1314"/>
      <c r="J525" s="1315">
        <f>IF(K$1&gt;0,ROUNDUP(SUM(PROD!AM$5:AM526)/K$1*K$2,0),0)-SUM(J$4:J524)</f>
        <v>0</v>
      </c>
      <c r="K525" s="1316">
        <f t="shared" si="97"/>
        <v>0</v>
      </c>
      <c r="L525" s="1314"/>
      <c r="M525" s="1315">
        <f>IF(N$1&gt;0,ROUNDUP(SUM(PROD!L$5:L526,-PROD!AM$5:AM526,-PROD!AZ$5:AZ526)/N$1*N$2,0),0)-SUM(M$4:M524)</f>
        <v>0</v>
      </c>
      <c r="N525" s="1316">
        <f t="shared" si="98"/>
        <v>0</v>
      </c>
      <c r="O525" s="1317">
        <f t="shared" si="99"/>
        <v>0</v>
      </c>
      <c r="P525" s="1318"/>
      <c r="Q525" s="1319"/>
      <c r="R525" s="1320">
        <f t="shared" si="100"/>
        <v>0</v>
      </c>
      <c r="S525" s="1316">
        <f t="shared" si="101"/>
        <v>0</v>
      </c>
      <c r="T525" s="712"/>
      <c r="U525" s="713"/>
      <c r="V525" s="714"/>
      <c r="W525" s="398">
        <f t="shared" si="96"/>
        <v>0</v>
      </c>
      <c r="X525" s="712"/>
      <c r="Y525" s="713"/>
      <c r="Z525" s="714"/>
      <c r="AA525" s="398">
        <f t="shared" si="103"/>
        <v>0</v>
      </c>
      <c r="AB525" s="712"/>
      <c r="AC525" s="713"/>
      <c r="AD525" s="714"/>
      <c r="AE525" s="398">
        <f t="shared" si="104"/>
        <v>0</v>
      </c>
      <c r="AF525" s="712"/>
      <c r="AG525" s="713"/>
      <c r="AH525" s="714"/>
      <c r="AI525" s="398">
        <f t="shared" si="105"/>
        <v>0</v>
      </c>
      <c r="AJ525" s="712"/>
      <c r="AK525" s="713"/>
      <c r="AL525" s="714"/>
      <c r="AM525" s="398">
        <f t="shared" si="106"/>
        <v>0</v>
      </c>
    </row>
    <row r="526" spans="1:39" ht="15.75" customHeight="1" x14ac:dyDescent="0.3">
      <c r="A526" s="2161"/>
      <c r="B526" s="1313" t="str">
        <f t="shared" si="102"/>
        <v/>
      </c>
      <c r="C526" s="1011">
        <f>IF($D$2="NO",0,ROUNDDOWN(SUM(PROD!$V$5:V527)/IF(Iniciar!$C$25="kilos",40,1),0)-SUM($C$4:$C525))</f>
        <v>0</v>
      </c>
      <c r="D526" s="702"/>
      <c r="E526" s="702"/>
      <c r="F526" s="300">
        <f t="shared" si="107"/>
        <v>-95000</v>
      </c>
      <c r="G526" s="694"/>
      <c r="H526" s="695"/>
      <c r="I526" s="1314"/>
      <c r="J526" s="1315">
        <f>IF(K$1&gt;0,ROUNDUP(SUM(PROD!AM$5:AM527)/K$1*K$2,0),0)-SUM(J$4:J525)</f>
        <v>0</v>
      </c>
      <c r="K526" s="1316">
        <f t="shared" si="97"/>
        <v>0</v>
      </c>
      <c r="L526" s="1314"/>
      <c r="M526" s="1315">
        <f>IF(N$1&gt;0,ROUNDUP(SUM(PROD!L$5:L527,-PROD!AM$5:AM527,-PROD!AZ$5:AZ527)/N$1*N$2,0),0)-SUM(M$4:M525)</f>
        <v>0</v>
      </c>
      <c r="N526" s="1316">
        <f t="shared" si="98"/>
        <v>0</v>
      </c>
      <c r="O526" s="1317">
        <f t="shared" si="99"/>
        <v>0</v>
      </c>
      <c r="P526" s="1318"/>
      <c r="Q526" s="1319"/>
      <c r="R526" s="1320">
        <f t="shared" si="100"/>
        <v>0</v>
      </c>
      <c r="S526" s="1316">
        <f t="shared" si="101"/>
        <v>0</v>
      </c>
      <c r="T526" s="712"/>
      <c r="U526" s="713"/>
      <c r="V526" s="714"/>
      <c r="W526" s="398">
        <f t="shared" si="96"/>
        <v>0</v>
      </c>
      <c r="X526" s="712"/>
      <c r="Y526" s="713"/>
      <c r="Z526" s="714"/>
      <c r="AA526" s="398">
        <f t="shared" si="103"/>
        <v>0</v>
      </c>
      <c r="AB526" s="712"/>
      <c r="AC526" s="713"/>
      <c r="AD526" s="714"/>
      <c r="AE526" s="398">
        <f t="shared" si="104"/>
        <v>0</v>
      </c>
      <c r="AF526" s="712"/>
      <c r="AG526" s="713"/>
      <c r="AH526" s="714"/>
      <c r="AI526" s="398">
        <f t="shared" si="105"/>
        <v>0</v>
      </c>
      <c r="AJ526" s="712"/>
      <c r="AK526" s="713"/>
      <c r="AL526" s="714"/>
      <c r="AM526" s="398">
        <f t="shared" si="106"/>
        <v>0</v>
      </c>
    </row>
    <row r="527" spans="1:39" ht="15.75" customHeight="1" x14ac:dyDescent="0.3">
      <c r="A527" s="2161"/>
      <c r="B527" s="1313" t="str">
        <f t="shared" si="102"/>
        <v/>
      </c>
      <c r="C527" s="1011">
        <f>IF($D$2="NO",0,ROUNDDOWN(SUM(PROD!$V$5:V528)/IF(Iniciar!$C$25="kilos",40,1),0)-SUM($C$4:$C526))</f>
        <v>0</v>
      </c>
      <c r="D527" s="702"/>
      <c r="E527" s="702"/>
      <c r="F527" s="300">
        <f t="shared" si="107"/>
        <v>-95000</v>
      </c>
      <c r="G527" s="694"/>
      <c r="H527" s="695"/>
      <c r="I527" s="1314"/>
      <c r="J527" s="1315">
        <f>IF(K$1&gt;0,ROUNDUP(SUM(PROD!AM$5:AM528)/K$1*K$2,0),0)-SUM(J$4:J526)</f>
        <v>0</v>
      </c>
      <c r="K527" s="1316">
        <f t="shared" si="97"/>
        <v>0</v>
      </c>
      <c r="L527" s="1314"/>
      <c r="M527" s="1315">
        <f>IF(N$1&gt;0,ROUNDUP(SUM(PROD!L$5:L528,-PROD!AM$5:AM528,-PROD!AZ$5:AZ528)/N$1*N$2,0),0)-SUM(M$4:M526)</f>
        <v>0</v>
      </c>
      <c r="N527" s="1316">
        <f t="shared" si="98"/>
        <v>0</v>
      </c>
      <c r="O527" s="1317">
        <f t="shared" si="99"/>
        <v>0</v>
      </c>
      <c r="P527" s="1318"/>
      <c r="Q527" s="1319"/>
      <c r="R527" s="1320">
        <f t="shared" si="100"/>
        <v>0</v>
      </c>
      <c r="S527" s="1316">
        <f t="shared" si="101"/>
        <v>0</v>
      </c>
      <c r="T527" s="712"/>
      <c r="U527" s="713"/>
      <c r="V527" s="714"/>
      <c r="W527" s="398">
        <f t="shared" si="96"/>
        <v>0</v>
      </c>
      <c r="X527" s="712"/>
      <c r="Y527" s="713"/>
      <c r="Z527" s="714"/>
      <c r="AA527" s="398">
        <f t="shared" si="103"/>
        <v>0</v>
      </c>
      <c r="AB527" s="712"/>
      <c r="AC527" s="713"/>
      <c r="AD527" s="714"/>
      <c r="AE527" s="398">
        <f t="shared" si="104"/>
        <v>0</v>
      </c>
      <c r="AF527" s="712"/>
      <c r="AG527" s="713"/>
      <c r="AH527" s="714"/>
      <c r="AI527" s="398">
        <f t="shared" si="105"/>
        <v>0</v>
      </c>
      <c r="AJ527" s="712"/>
      <c r="AK527" s="713"/>
      <c r="AL527" s="714"/>
      <c r="AM527" s="398">
        <f t="shared" si="106"/>
        <v>0</v>
      </c>
    </row>
    <row r="528" spans="1:39" ht="16.5" customHeight="1" x14ac:dyDescent="0.3">
      <c r="A528" s="2162"/>
      <c r="B528" s="1313" t="str">
        <f t="shared" si="102"/>
        <v/>
      </c>
      <c r="C528" s="1011">
        <f>IF($D$2="NO",0,ROUNDDOWN(SUM(PROD!$V$5:V529)/IF(Iniciar!$C$25="kilos",40,1),0)-SUM($C$4:$C527))</f>
        <v>0</v>
      </c>
      <c r="D528" s="702"/>
      <c r="E528" s="702"/>
      <c r="F528" s="300">
        <f t="shared" si="107"/>
        <v>-95000</v>
      </c>
      <c r="G528" s="694"/>
      <c r="H528" s="695"/>
      <c r="I528" s="1314"/>
      <c r="J528" s="1315">
        <f>IF(K$1&gt;0,ROUNDUP(SUM(PROD!AM$5:AM529)/K$1*K$2,0),0)-SUM(J$4:J527)</f>
        <v>0</v>
      </c>
      <c r="K528" s="1316">
        <f t="shared" si="97"/>
        <v>0</v>
      </c>
      <c r="L528" s="1314"/>
      <c r="M528" s="1315">
        <f>IF(N$1&gt;0,ROUNDUP(SUM(PROD!L$5:L529,-PROD!AM$5:AM529,-PROD!AZ$5:AZ529)/N$1*N$2,0),0)-SUM(M$4:M527)</f>
        <v>0</v>
      </c>
      <c r="N528" s="1316">
        <f t="shared" si="98"/>
        <v>0</v>
      </c>
      <c r="O528" s="1317">
        <f t="shared" si="99"/>
        <v>0</v>
      </c>
      <c r="P528" s="1318"/>
      <c r="Q528" s="1319"/>
      <c r="R528" s="1320">
        <f t="shared" si="100"/>
        <v>0</v>
      </c>
      <c r="S528" s="1316">
        <f t="shared" si="101"/>
        <v>0</v>
      </c>
      <c r="T528" s="712"/>
      <c r="U528" s="713"/>
      <c r="V528" s="714"/>
      <c r="W528" s="398">
        <f t="shared" si="96"/>
        <v>0</v>
      </c>
      <c r="X528" s="712"/>
      <c r="Y528" s="713"/>
      <c r="Z528" s="714"/>
      <c r="AA528" s="398">
        <f t="shared" si="103"/>
        <v>0</v>
      </c>
      <c r="AB528" s="712"/>
      <c r="AC528" s="713"/>
      <c r="AD528" s="714"/>
      <c r="AE528" s="398">
        <f t="shared" si="104"/>
        <v>0</v>
      </c>
      <c r="AF528" s="712"/>
      <c r="AG528" s="713"/>
      <c r="AH528" s="714"/>
      <c r="AI528" s="398">
        <f t="shared" si="105"/>
        <v>0</v>
      </c>
      <c r="AJ528" s="712"/>
      <c r="AK528" s="713"/>
      <c r="AL528" s="714"/>
      <c r="AM528" s="398">
        <f t="shared" si="106"/>
        <v>0</v>
      </c>
    </row>
    <row r="529" spans="1:39" ht="16.5" customHeight="1" x14ac:dyDescent="0.3">
      <c r="A529" s="2160">
        <f>A522+1</f>
        <v>93</v>
      </c>
      <c r="B529" s="1313" t="str">
        <f t="shared" si="102"/>
        <v/>
      </c>
      <c r="C529" s="1011">
        <f>IF($D$2="NO",0,ROUNDDOWN(SUM(PROD!$V$5:V530)/IF(Iniciar!$C$25="kilos",40,1),0)-SUM($C$4:$C528))</f>
        <v>0</v>
      </c>
      <c r="D529" s="702"/>
      <c r="E529" s="702"/>
      <c r="F529" s="300">
        <f t="shared" si="107"/>
        <v>-95000</v>
      </c>
      <c r="G529" s="694"/>
      <c r="H529" s="695"/>
      <c r="I529" s="1314"/>
      <c r="J529" s="1315">
        <f>IF(K$1&gt;0,ROUNDUP(SUM(PROD!AM$5:AM530)/K$1*K$2,0),0)-SUM(J$4:J528)</f>
        <v>0</v>
      </c>
      <c r="K529" s="1316">
        <f t="shared" si="97"/>
        <v>0</v>
      </c>
      <c r="L529" s="1314"/>
      <c r="M529" s="1315">
        <f>IF(N$1&gt;0,ROUNDUP(SUM(PROD!L$5:L530,-PROD!AM$5:AM530,-PROD!AZ$5:AZ530)/N$1*N$2,0),0)-SUM(M$4:M528)</f>
        <v>0</v>
      </c>
      <c r="N529" s="1316">
        <f t="shared" si="98"/>
        <v>0</v>
      </c>
      <c r="O529" s="1317">
        <f t="shared" si="99"/>
        <v>0</v>
      </c>
      <c r="P529" s="1318"/>
      <c r="Q529" s="1319"/>
      <c r="R529" s="1320">
        <f t="shared" si="100"/>
        <v>0</v>
      </c>
      <c r="S529" s="1316">
        <f t="shared" si="101"/>
        <v>0</v>
      </c>
      <c r="T529" s="712"/>
      <c r="U529" s="713"/>
      <c r="V529" s="714"/>
      <c r="W529" s="398">
        <f t="shared" si="96"/>
        <v>0</v>
      </c>
      <c r="X529" s="712"/>
      <c r="Y529" s="713"/>
      <c r="Z529" s="714"/>
      <c r="AA529" s="398">
        <f t="shared" si="103"/>
        <v>0</v>
      </c>
      <c r="AB529" s="712"/>
      <c r="AC529" s="713"/>
      <c r="AD529" s="714"/>
      <c r="AE529" s="398">
        <f t="shared" si="104"/>
        <v>0</v>
      </c>
      <c r="AF529" s="712"/>
      <c r="AG529" s="713"/>
      <c r="AH529" s="714"/>
      <c r="AI529" s="398">
        <f t="shared" si="105"/>
        <v>0</v>
      </c>
      <c r="AJ529" s="712"/>
      <c r="AK529" s="713"/>
      <c r="AL529" s="714"/>
      <c r="AM529" s="398">
        <f t="shared" si="106"/>
        <v>0</v>
      </c>
    </row>
    <row r="530" spans="1:39" ht="15.75" customHeight="1" x14ac:dyDescent="0.3">
      <c r="A530" s="2161"/>
      <c r="B530" s="1313" t="str">
        <f t="shared" si="102"/>
        <v/>
      </c>
      <c r="C530" s="1011">
        <f>IF($D$2="NO",0,ROUNDDOWN(SUM(PROD!$V$5:V531)/IF(Iniciar!$C$25="kilos",40,1),0)-SUM($C$4:$C529))</f>
        <v>0</v>
      </c>
      <c r="D530" s="702"/>
      <c r="E530" s="702"/>
      <c r="F530" s="300">
        <f t="shared" si="107"/>
        <v>-95000</v>
      </c>
      <c r="G530" s="694"/>
      <c r="H530" s="695"/>
      <c r="I530" s="1314"/>
      <c r="J530" s="1315">
        <f>IF(K$1&gt;0,ROUNDUP(SUM(PROD!AM$5:AM531)/K$1*K$2,0),0)-SUM(J$4:J529)</f>
        <v>0</v>
      </c>
      <c r="K530" s="1316">
        <f t="shared" si="97"/>
        <v>0</v>
      </c>
      <c r="L530" s="1314"/>
      <c r="M530" s="1315">
        <f>IF(N$1&gt;0,ROUNDUP(SUM(PROD!L$5:L531,-PROD!AM$5:AM531,-PROD!AZ$5:AZ531)/N$1*N$2,0),0)-SUM(M$4:M529)</f>
        <v>0</v>
      </c>
      <c r="N530" s="1316">
        <f t="shared" si="98"/>
        <v>0</v>
      </c>
      <c r="O530" s="1317">
        <f t="shared" si="99"/>
        <v>0</v>
      </c>
      <c r="P530" s="1318"/>
      <c r="Q530" s="1319"/>
      <c r="R530" s="1320">
        <f t="shared" si="100"/>
        <v>0</v>
      </c>
      <c r="S530" s="1316">
        <f t="shared" si="101"/>
        <v>0</v>
      </c>
      <c r="T530" s="712"/>
      <c r="U530" s="713"/>
      <c r="V530" s="714"/>
      <c r="W530" s="398">
        <f t="shared" ref="W530:W593" si="108">W529+U530-V530</f>
        <v>0</v>
      </c>
      <c r="X530" s="712"/>
      <c r="Y530" s="713"/>
      <c r="Z530" s="714"/>
      <c r="AA530" s="398">
        <f t="shared" si="103"/>
        <v>0</v>
      </c>
      <c r="AB530" s="712"/>
      <c r="AC530" s="713"/>
      <c r="AD530" s="714"/>
      <c r="AE530" s="398">
        <f t="shared" si="104"/>
        <v>0</v>
      </c>
      <c r="AF530" s="712"/>
      <c r="AG530" s="713"/>
      <c r="AH530" s="714"/>
      <c r="AI530" s="398">
        <f t="shared" si="105"/>
        <v>0</v>
      </c>
      <c r="AJ530" s="712"/>
      <c r="AK530" s="713"/>
      <c r="AL530" s="714"/>
      <c r="AM530" s="398">
        <f t="shared" si="106"/>
        <v>0</v>
      </c>
    </row>
    <row r="531" spans="1:39" ht="15.75" customHeight="1" x14ac:dyDescent="0.3">
      <c r="A531" s="2161"/>
      <c r="B531" s="1313" t="str">
        <f t="shared" si="102"/>
        <v/>
      </c>
      <c r="C531" s="1011">
        <f>IF($D$2="NO",0,ROUNDDOWN(SUM(PROD!$V$5:V532)/IF(Iniciar!$C$25="kilos",40,1),0)-SUM($C$4:$C530))</f>
        <v>0</v>
      </c>
      <c r="D531" s="702"/>
      <c r="E531" s="702"/>
      <c r="F531" s="300">
        <f t="shared" si="107"/>
        <v>-95000</v>
      </c>
      <c r="G531" s="694"/>
      <c r="H531" s="695"/>
      <c r="I531" s="1314"/>
      <c r="J531" s="1315">
        <f>IF(K$1&gt;0,ROUNDUP(SUM(PROD!AM$5:AM532)/K$1*K$2,0),0)-SUM(J$4:J530)</f>
        <v>0</v>
      </c>
      <c r="K531" s="1316">
        <f t="shared" si="97"/>
        <v>0</v>
      </c>
      <c r="L531" s="1314"/>
      <c r="M531" s="1315">
        <f>IF(N$1&gt;0,ROUNDUP(SUM(PROD!L$5:L532,-PROD!AM$5:AM532,-PROD!AZ$5:AZ532)/N$1*N$2,0),0)-SUM(M$4:M530)</f>
        <v>0</v>
      </c>
      <c r="N531" s="1316">
        <f t="shared" si="98"/>
        <v>0</v>
      </c>
      <c r="O531" s="1317">
        <f t="shared" si="99"/>
        <v>0</v>
      </c>
      <c r="P531" s="1318"/>
      <c r="Q531" s="1319"/>
      <c r="R531" s="1320">
        <f t="shared" si="100"/>
        <v>0</v>
      </c>
      <c r="S531" s="1316">
        <f t="shared" si="101"/>
        <v>0</v>
      </c>
      <c r="T531" s="712"/>
      <c r="U531" s="713"/>
      <c r="V531" s="714"/>
      <c r="W531" s="398">
        <f t="shared" si="108"/>
        <v>0</v>
      </c>
      <c r="X531" s="712"/>
      <c r="Y531" s="713"/>
      <c r="Z531" s="714"/>
      <c r="AA531" s="398">
        <f t="shared" si="103"/>
        <v>0</v>
      </c>
      <c r="AB531" s="712"/>
      <c r="AC531" s="713"/>
      <c r="AD531" s="714"/>
      <c r="AE531" s="398">
        <f t="shared" si="104"/>
        <v>0</v>
      </c>
      <c r="AF531" s="712"/>
      <c r="AG531" s="713"/>
      <c r="AH531" s="714"/>
      <c r="AI531" s="398">
        <f t="shared" si="105"/>
        <v>0</v>
      </c>
      <c r="AJ531" s="712"/>
      <c r="AK531" s="713"/>
      <c r="AL531" s="714"/>
      <c r="AM531" s="398">
        <f t="shared" si="106"/>
        <v>0</v>
      </c>
    </row>
    <row r="532" spans="1:39" ht="15.75" customHeight="1" x14ac:dyDescent="0.3">
      <c r="A532" s="2161"/>
      <c r="B532" s="1313" t="str">
        <f t="shared" si="102"/>
        <v/>
      </c>
      <c r="C532" s="1011">
        <f>IF($D$2="NO",0,ROUNDDOWN(SUM(PROD!$V$5:V533)/IF(Iniciar!$C$25="kilos",40,1),0)-SUM($C$4:$C531))</f>
        <v>0</v>
      </c>
      <c r="D532" s="702"/>
      <c r="E532" s="702"/>
      <c r="F532" s="300">
        <f t="shared" si="107"/>
        <v>-95000</v>
      </c>
      <c r="G532" s="694"/>
      <c r="H532" s="695"/>
      <c r="I532" s="1314"/>
      <c r="J532" s="1315">
        <f>IF(K$1&gt;0,ROUNDUP(SUM(PROD!AM$5:AM533)/K$1*K$2,0),0)-SUM(J$4:J531)</f>
        <v>0</v>
      </c>
      <c r="K532" s="1316">
        <f t="shared" si="97"/>
        <v>0</v>
      </c>
      <c r="L532" s="1314"/>
      <c r="M532" s="1315">
        <f>IF(N$1&gt;0,ROUNDUP(SUM(PROD!L$5:L533,-PROD!AM$5:AM533,-PROD!AZ$5:AZ533)/N$1*N$2,0),0)-SUM(M$4:M531)</f>
        <v>0</v>
      </c>
      <c r="N532" s="1316">
        <f t="shared" si="98"/>
        <v>0</v>
      </c>
      <c r="O532" s="1317">
        <f t="shared" si="99"/>
        <v>0</v>
      </c>
      <c r="P532" s="1318"/>
      <c r="Q532" s="1319"/>
      <c r="R532" s="1320">
        <f t="shared" si="100"/>
        <v>0</v>
      </c>
      <c r="S532" s="1316">
        <f t="shared" si="101"/>
        <v>0</v>
      </c>
      <c r="T532" s="712"/>
      <c r="U532" s="713"/>
      <c r="V532" s="714"/>
      <c r="W532" s="398">
        <f t="shared" si="108"/>
        <v>0</v>
      </c>
      <c r="X532" s="712"/>
      <c r="Y532" s="713"/>
      <c r="Z532" s="714"/>
      <c r="AA532" s="398">
        <f t="shared" si="103"/>
        <v>0</v>
      </c>
      <c r="AB532" s="712"/>
      <c r="AC532" s="713"/>
      <c r="AD532" s="714"/>
      <c r="AE532" s="398">
        <f t="shared" si="104"/>
        <v>0</v>
      </c>
      <c r="AF532" s="712"/>
      <c r="AG532" s="713"/>
      <c r="AH532" s="714"/>
      <c r="AI532" s="398">
        <f t="shared" si="105"/>
        <v>0</v>
      </c>
      <c r="AJ532" s="712"/>
      <c r="AK532" s="713"/>
      <c r="AL532" s="714"/>
      <c r="AM532" s="398">
        <f t="shared" si="106"/>
        <v>0</v>
      </c>
    </row>
    <row r="533" spans="1:39" ht="15.75" customHeight="1" x14ac:dyDescent="0.3">
      <c r="A533" s="2161"/>
      <c r="B533" s="1313" t="str">
        <f t="shared" si="102"/>
        <v/>
      </c>
      <c r="C533" s="1011">
        <f>IF($D$2="NO",0,ROUNDDOWN(SUM(PROD!$V$5:V534)/IF(Iniciar!$C$25="kilos",40,1),0)-SUM($C$4:$C532))</f>
        <v>0</v>
      </c>
      <c r="D533" s="702"/>
      <c r="E533" s="702"/>
      <c r="F533" s="300">
        <f t="shared" si="107"/>
        <v>-95000</v>
      </c>
      <c r="G533" s="694"/>
      <c r="H533" s="695"/>
      <c r="I533" s="1314"/>
      <c r="J533" s="1315">
        <f>IF(K$1&gt;0,ROUNDUP(SUM(PROD!AM$5:AM534)/K$1*K$2,0),0)-SUM(J$4:J532)</f>
        <v>0</v>
      </c>
      <c r="K533" s="1316">
        <f t="shared" si="97"/>
        <v>0</v>
      </c>
      <c r="L533" s="1314"/>
      <c r="M533" s="1315">
        <f>IF(N$1&gt;0,ROUNDUP(SUM(PROD!L$5:L534,-PROD!AM$5:AM534,-PROD!AZ$5:AZ534)/N$1*N$2,0),0)-SUM(M$4:M532)</f>
        <v>0</v>
      </c>
      <c r="N533" s="1316">
        <f t="shared" si="98"/>
        <v>0</v>
      </c>
      <c r="O533" s="1317">
        <f t="shared" si="99"/>
        <v>0</v>
      </c>
      <c r="P533" s="1318"/>
      <c r="Q533" s="1319"/>
      <c r="R533" s="1320">
        <f t="shared" si="100"/>
        <v>0</v>
      </c>
      <c r="S533" s="1316">
        <f t="shared" si="101"/>
        <v>0</v>
      </c>
      <c r="T533" s="712"/>
      <c r="U533" s="713"/>
      <c r="V533" s="714"/>
      <c r="W533" s="398">
        <f t="shared" si="108"/>
        <v>0</v>
      </c>
      <c r="X533" s="712"/>
      <c r="Y533" s="713"/>
      <c r="Z533" s="714"/>
      <c r="AA533" s="398">
        <f t="shared" si="103"/>
        <v>0</v>
      </c>
      <c r="AB533" s="712"/>
      <c r="AC533" s="713"/>
      <c r="AD533" s="714"/>
      <c r="AE533" s="398">
        <f t="shared" si="104"/>
        <v>0</v>
      </c>
      <c r="AF533" s="712"/>
      <c r="AG533" s="713"/>
      <c r="AH533" s="714"/>
      <c r="AI533" s="398">
        <f t="shared" si="105"/>
        <v>0</v>
      </c>
      <c r="AJ533" s="712"/>
      <c r="AK533" s="713"/>
      <c r="AL533" s="714"/>
      <c r="AM533" s="398">
        <f t="shared" si="106"/>
        <v>0</v>
      </c>
    </row>
    <row r="534" spans="1:39" ht="15.75" customHeight="1" x14ac:dyDescent="0.3">
      <c r="A534" s="2161"/>
      <c r="B534" s="1313" t="str">
        <f t="shared" si="102"/>
        <v/>
      </c>
      <c r="C534" s="1011">
        <f>IF($D$2="NO",0,ROUNDDOWN(SUM(PROD!$V$5:V535)/IF(Iniciar!$C$25="kilos",40,1),0)-SUM($C$4:$C533))</f>
        <v>0</v>
      </c>
      <c r="D534" s="702"/>
      <c r="E534" s="702"/>
      <c r="F534" s="300">
        <f t="shared" si="107"/>
        <v>-95000</v>
      </c>
      <c r="G534" s="694"/>
      <c r="H534" s="695"/>
      <c r="I534" s="1314"/>
      <c r="J534" s="1315">
        <f>IF(K$1&gt;0,ROUNDUP(SUM(PROD!AM$5:AM535)/K$1*K$2,0),0)-SUM(J$4:J533)</f>
        <v>0</v>
      </c>
      <c r="K534" s="1316">
        <f t="shared" si="97"/>
        <v>0</v>
      </c>
      <c r="L534" s="1314"/>
      <c r="M534" s="1315">
        <f>IF(N$1&gt;0,ROUNDUP(SUM(PROD!L$5:L535,-PROD!AM$5:AM535,-PROD!AZ$5:AZ535)/N$1*N$2,0),0)-SUM(M$4:M533)</f>
        <v>0</v>
      </c>
      <c r="N534" s="1316">
        <f t="shared" si="98"/>
        <v>0</v>
      </c>
      <c r="O534" s="1317">
        <f t="shared" si="99"/>
        <v>0</v>
      </c>
      <c r="P534" s="1318"/>
      <c r="Q534" s="1319"/>
      <c r="R534" s="1320">
        <f t="shared" si="100"/>
        <v>0</v>
      </c>
      <c r="S534" s="1316">
        <f t="shared" si="101"/>
        <v>0</v>
      </c>
      <c r="T534" s="712"/>
      <c r="U534" s="713"/>
      <c r="V534" s="714"/>
      <c r="W534" s="398">
        <f t="shared" si="108"/>
        <v>0</v>
      </c>
      <c r="X534" s="712"/>
      <c r="Y534" s="713"/>
      <c r="Z534" s="714"/>
      <c r="AA534" s="398">
        <f t="shared" si="103"/>
        <v>0</v>
      </c>
      <c r="AB534" s="712"/>
      <c r="AC534" s="713"/>
      <c r="AD534" s="714"/>
      <c r="AE534" s="398">
        <f t="shared" si="104"/>
        <v>0</v>
      </c>
      <c r="AF534" s="712"/>
      <c r="AG534" s="713"/>
      <c r="AH534" s="714"/>
      <c r="AI534" s="398">
        <f t="shared" si="105"/>
        <v>0</v>
      </c>
      <c r="AJ534" s="712"/>
      <c r="AK534" s="713"/>
      <c r="AL534" s="714"/>
      <c r="AM534" s="398">
        <f t="shared" si="106"/>
        <v>0</v>
      </c>
    </row>
    <row r="535" spans="1:39" ht="16.5" customHeight="1" x14ac:dyDescent="0.3">
      <c r="A535" s="2162"/>
      <c r="B535" s="1313" t="str">
        <f t="shared" si="102"/>
        <v/>
      </c>
      <c r="C535" s="1011">
        <f>IF($D$2="NO",0,ROUNDDOWN(SUM(PROD!$V$5:V536)/IF(Iniciar!$C$25="kilos",40,1),0)-SUM($C$4:$C534))</f>
        <v>0</v>
      </c>
      <c r="D535" s="702"/>
      <c r="E535" s="702"/>
      <c r="F535" s="300">
        <f t="shared" si="107"/>
        <v>-95000</v>
      </c>
      <c r="G535" s="694"/>
      <c r="H535" s="695"/>
      <c r="I535" s="1314"/>
      <c r="J535" s="1315">
        <f>IF(K$1&gt;0,ROUNDUP(SUM(PROD!AM$5:AM536)/K$1*K$2,0),0)-SUM(J$4:J534)</f>
        <v>0</v>
      </c>
      <c r="K535" s="1316">
        <f t="shared" si="97"/>
        <v>0</v>
      </c>
      <c r="L535" s="1314"/>
      <c r="M535" s="1315">
        <f>IF(N$1&gt;0,ROUNDUP(SUM(PROD!L$5:L536,-PROD!AM$5:AM536,-PROD!AZ$5:AZ536)/N$1*N$2,0),0)-SUM(M$4:M534)</f>
        <v>0</v>
      </c>
      <c r="N535" s="1316">
        <f t="shared" si="98"/>
        <v>0</v>
      </c>
      <c r="O535" s="1317">
        <f t="shared" si="99"/>
        <v>0</v>
      </c>
      <c r="P535" s="1318"/>
      <c r="Q535" s="1319"/>
      <c r="R535" s="1320">
        <f t="shared" si="100"/>
        <v>0</v>
      </c>
      <c r="S535" s="1316">
        <f t="shared" si="101"/>
        <v>0</v>
      </c>
      <c r="T535" s="712"/>
      <c r="U535" s="713"/>
      <c r="V535" s="714"/>
      <c r="W535" s="398">
        <f t="shared" si="108"/>
        <v>0</v>
      </c>
      <c r="X535" s="712"/>
      <c r="Y535" s="713"/>
      <c r="Z535" s="714"/>
      <c r="AA535" s="398">
        <f t="shared" si="103"/>
        <v>0</v>
      </c>
      <c r="AB535" s="712"/>
      <c r="AC535" s="713"/>
      <c r="AD535" s="714"/>
      <c r="AE535" s="398">
        <f t="shared" si="104"/>
        <v>0</v>
      </c>
      <c r="AF535" s="712"/>
      <c r="AG535" s="713"/>
      <c r="AH535" s="714"/>
      <c r="AI535" s="398">
        <f t="shared" si="105"/>
        <v>0</v>
      </c>
      <c r="AJ535" s="712"/>
      <c r="AK535" s="713"/>
      <c r="AL535" s="714"/>
      <c r="AM535" s="398">
        <f t="shared" si="106"/>
        <v>0</v>
      </c>
    </row>
    <row r="536" spans="1:39" ht="16.5" customHeight="1" x14ac:dyDescent="0.3">
      <c r="A536" s="2160">
        <f>A529+1</f>
        <v>94</v>
      </c>
      <c r="B536" s="1313" t="str">
        <f t="shared" si="102"/>
        <v/>
      </c>
      <c r="C536" s="1011">
        <f>IF($D$2="NO",0,ROUNDDOWN(SUM(PROD!$V$5:V537)/IF(Iniciar!$C$25="kilos",40,1),0)-SUM($C$4:$C535))</f>
        <v>0</v>
      </c>
      <c r="D536" s="702"/>
      <c r="E536" s="702"/>
      <c r="F536" s="300">
        <f t="shared" si="107"/>
        <v>-95000</v>
      </c>
      <c r="G536" s="694"/>
      <c r="H536" s="695"/>
      <c r="I536" s="1314"/>
      <c r="J536" s="1315">
        <f>IF(K$1&gt;0,ROUNDUP(SUM(PROD!AM$5:AM537)/K$1*K$2,0),0)-SUM(J$4:J535)</f>
        <v>0</v>
      </c>
      <c r="K536" s="1316">
        <f t="shared" si="97"/>
        <v>0</v>
      </c>
      <c r="L536" s="1314"/>
      <c r="M536" s="1315">
        <f>IF(N$1&gt;0,ROUNDUP(SUM(PROD!L$5:L537,-PROD!AM$5:AM537,-PROD!AZ$5:AZ537)/N$1*N$2,0),0)-SUM(M$4:M535)</f>
        <v>0</v>
      </c>
      <c r="N536" s="1316">
        <f t="shared" si="98"/>
        <v>0</v>
      </c>
      <c r="O536" s="1317">
        <f t="shared" si="99"/>
        <v>0</v>
      </c>
      <c r="P536" s="1318"/>
      <c r="Q536" s="1319"/>
      <c r="R536" s="1320">
        <f t="shared" si="100"/>
        <v>0</v>
      </c>
      <c r="S536" s="1316">
        <f t="shared" si="101"/>
        <v>0</v>
      </c>
      <c r="T536" s="712"/>
      <c r="U536" s="713"/>
      <c r="V536" s="714"/>
      <c r="W536" s="398">
        <f t="shared" si="108"/>
        <v>0</v>
      </c>
      <c r="X536" s="712"/>
      <c r="Y536" s="713"/>
      <c r="Z536" s="714"/>
      <c r="AA536" s="398">
        <f t="shared" si="103"/>
        <v>0</v>
      </c>
      <c r="AB536" s="712"/>
      <c r="AC536" s="713"/>
      <c r="AD536" s="714"/>
      <c r="AE536" s="398">
        <f t="shared" si="104"/>
        <v>0</v>
      </c>
      <c r="AF536" s="712"/>
      <c r="AG536" s="713"/>
      <c r="AH536" s="714"/>
      <c r="AI536" s="398">
        <f t="shared" si="105"/>
        <v>0</v>
      </c>
      <c r="AJ536" s="712"/>
      <c r="AK536" s="713"/>
      <c r="AL536" s="714"/>
      <c r="AM536" s="398">
        <f t="shared" si="106"/>
        <v>0</v>
      </c>
    </row>
    <row r="537" spans="1:39" ht="15.75" customHeight="1" x14ac:dyDescent="0.3">
      <c r="A537" s="2161"/>
      <c r="B537" s="1313" t="str">
        <f t="shared" si="102"/>
        <v/>
      </c>
      <c r="C537" s="1011">
        <f>IF($D$2="NO",0,ROUNDDOWN(SUM(PROD!$V$5:V538)/IF(Iniciar!$C$25="kilos",40,1),0)-SUM($C$4:$C536))</f>
        <v>0</v>
      </c>
      <c r="D537" s="702"/>
      <c r="E537" s="702"/>
      <c r="F537" s="300">
        <f t="shared" si="107"/>
        <v>-95000</v>
      </c>
      <c r="G537" s="694"/>
      <c r="H537" s="695"/>
      <c r="I537" s="1314"/>
      <c r="J537" s="1315">
        <f>IF(K$1&gt;0,ROUNDUP(SUM(PROD!AM$5:AM538)/K$1*K$2,0),0)-SUM(J$4:J536)</f>
        <v>0</v>
      </c>
      <c r="K537" s="1316">
        <f t="shared" si="97"/>
        <v>0</v>
      </c>
      <c r="L537" s="1314"/>
      <c r="M537" s="1315">
        <f>IF(N$1&gt;0,ROUNDUP(SUM(PROD!L$5:L538,-PROD!AM$5:AM538,-PROD!AZ$5:AZ538)/N$1*N$2,0),0)-SUM(M$4:M536)</f>
        <v>0</v>
      </c>
      <c r="N537" s="1316">
        <f t="shared" si="98"/>
        <v>0</v>
      </c>
      <c r="O537" s="1317">
        <f t="shared" si="99"/>
        <v>0</v>
      </c>
      <c r="P537" s="1318"/>
      <c r="Q537" s="1319"/>
      <c r="R537" s="1320">
        <f t="shared" si="100"/>
        <v>0</v>
      </c>
      <c r="S537" s="1316">
        <f t="shared" si="101"/>
        <v>0</v>
      </c>
      <c r="T537" s="712"/>
      <c r="U537" s="713"/>
      <c r="V537" s="714"/>
      <c r="W537" s="398">
        <f t="shared" si="108"/>
        <v>0</v>
      </c>
      <c r="X537" s="712"/>
      <c r="Y537" s="713"/>
      <c r="Z537" s="714"/>
      <c r="AA537" s="398">
        <f t="shared" si="103"/>
        <v>0</v>
      </c>
      <c r="AB537" s="712"/>
      <c r="AC537" s="713"/>
      <c r="AD537" s="714"/>
      <c r="AE537" s="398">
        <f t="shared" si="104"/>
        <v>0</v>
      </c>
      <c r="AF537" s="712"/>
      <c r="AG537" s="713"/>
      <c r="AH537" s="714"/>
      <c r="AI537" s="398">
        <f t="shared" si="105"/>
        <v>0</v>
      </c>
      <c r="AJ537" s="712"/>
      <c r="AK537" s="713"/>
      <c r="AL537" s="714"/>
      <c r="AM537" s="398">
        <f t="shared" si="106"/>
        <v>0</v>
      </c>
    </row>
    <row r="538" spans="1:39" ht="15.75" customHeight="1" x14ac:dyDescent="0.3">
      <c r="A538" s="2161"/>
      <c r="B538" s="1313" t="str">
        <f t="shared" si="102"/>
        <v/>
      </c>
      <c r="C538" s="1011">
        <f>IF($D$2="NO",0,ROUNDDOWN(SUM(PROD!$V$5:V539)/IF(Iniciar!$C$25="kilos",40,1),0)-SUM($C$4:$C537))</f>
        <v>0</v>
      </c>
      <c r="D538" s="702"/>
      <c r="E538" s="702"/>
      <c r="F538" s="300">
        <f t="shared" si="107"/>
        <v>-95000</v>
      </c>
      <c r="G538" s="694"/>
      <c r="H538" s="695"/>
      <c r="I538" s="1314"/>
      <c r="J538" s="1315">
        <f>IF(K$1&gt;0,ROUNDUP(SUM(PROD!AM$5:AM539)/K$1*K$2,0),0)-SUM(J$4:J537)</f>
        <v>0</v>
      </c>
      <c r="K538" s="1316">
        <f t="shared" si="97"/>
        <v>0</v>
      </c>
      <c r="L538" s="1314"/>
      <c r="M538" s="1315">
        <f>IF(N$1&gt;0,ROUNDUP(SUM(PROD!L$5:L539,-PROD!AM$5:AM539,-PROD!AZ$5:AZ539)/N$1*N$2,0),0)-SUM(M$4:M537)</f>
        <v>0</v>
      </c>
      <c r="N538" s="1316">
        <f t="shared" si="98"/>
        <v>0</v>
      </c>
      <c r="O538" s="1317">
        <f t="shared" si="99"/>
        <v>0</v>
      </c>
      <c r="P538" s="1318"/>
      <c r="Q538" s="1319"/>
      <c r="R538" s="1320">
        <f t="shared" si="100"/>
        <v>0</v>
      </c>
      <c r="S538" s="1316">
        <f t="shared" si="101"/>
        <v>0</v>
      </c>
      <c r="T538" s="712"/>
      <c r="U538" s="713"/>
      <c r="V538" s="714"/>
      <c r="W538" s="398">
        <f t="shared" si="108"/>
        <v>0</v>
      </c>
      <c r="X538" s="712"/>
      <c r="Y538" s="713"/>
      <c r="Z538" s="714"/>
      <c r="AA538" s="398">
        <f t="shared" si="103"/>
        <v>0</v>
      </c>
      <c r="AB538" s="712"/>
      <c r="AC538" s="713"/>
      <c r="AD538" s="714"/>
      <c r="AE538" s="398">
        <f t="shared" si="104"/>
        <v>0</v>
      </c>
      <c r="AF538" s="712"/>
      <c r="AG538" s="713"/>
      <c r="AH538" s="714"/>
      <c r="AI538" s="398">
        <f t="shared" si="105"/>
        <v>0</v>
      </c>
      <c r="AJ538" s="712"/>
      <c r="AK538" s="713"/>
      <c r="AL538" s="714"/>
      <c r="AM538" s="398">
        <f t="shared" si="106"/>
        <v>0</v>
      </c>
    </row>
    <row r="539" spans="1:39" ht="15.75" customHeight="1" x14ac:dyDescent="0.3">
      <c r="A539" s="2161"/>
      <c r="B539" s="1313" t="str">
        <f t="shared" si="102"/>
        <v/>
      </c>
      <c r="C539" s="1011">
        <f>IF($D$2="NO",0,ROUNDDOWN(SUM(PROD!$V$5:V540)/IF(Iniciar!$C$25="kilos",40,1),0)-SUM($C$4:$C538))</f>
        <v>0</v>
      </c>
      <c r="D539" s="702"/>
      <c r="E539" s="702"/>
      <c r="F539" s="300">
        <f t="shared" si="107"/>
        <v>-95000</v>
      </c>
      <c r="G539" s="694"/>
      <c r="H539" s="695"/>
      <c r="I539" s="1314"/>
      <c r="J539" s="1315">
        <f>IF(K$1&gt;0,ROUNDUP(SUM(PROD!AM$5:AM540)/K$1*K$2,0),0)-SUM(J$4:J538)</f>
        <v>0</v>
      </c>
      <c r="K539" s="1316">
        <f t="shared" si="97"/>
        <v>0</v>
      </c>
      <c r="L539" s="1314"/>
      <c r="M539" s="1315">
        <f>IF(N$1&gt;0,ROUNDUP(SUM(PROD!L$5:L540,-PROD!AM$5:AM540,-PROD!AZ$5:AZ540)/N$1*N$2,0),0)-SUM(M$4:M538)</f>
        <v>0</v>
      </c>
      <c r="N539" s="1316">
        <f t="shared" si="98"/>
        <v>0</v>
      </c>
      <c r="O539" s="1317">
        <f t="shared" si="99"/>
        <v>0</v>
      </c>
      <c r="P539" s="1318"/>
      <c r="Q539" s="1319"/>
      <c r="R539" s="1320">
        <f t="shared" si="100"/>
        <v>0</v>
      </c>
      <c r="S539" s="1316">
        <f t="shared" si="101"/>
        <v>0</v>
      </c>
      <c r="T539" s="712"/>
      <c r="U539" s="713"/>
      <c r="V539" s="714"/>
      <c r="W539" s="398">
        <f t="shared" si="108"/>
        <v>0</v>
      </c>
      <c r="X539" s="712"/>
      <c r="Y539" s="713"/>
      <c r="Z539" s="714"/>
      <c r="AA539" s="398">
        <f t="shared" si="103"/>
        <v>0</v>
      </c>
      <c r="AB539" s="712"/>
      <c r="AC539" s="713"/>
      <c r="AD539" s="714"/>
      <c r="AE539" s="398">
        <f t="shared" si="104"/>
        <v>0</v>
      </c>
      <c r="AF539" s="712"/>
      <c r="AG539" s="713"/>
      <c r="AH539" s="714"/>
      <c r="AI539" s="398">
        <f t="shared" si="105"/>
        <v>0</v>
      </c>
      <c r="AJ539" s="712"/>
      <c r="AK539" s="713"/>
      <c r="AL539" s="714"/>
      <c r="AM539" s="398">
        <f t="shared" si="106"/>
        <v>0</v>
      </c>
    </row>
    <row r="540" spans="1:39" ht="15.75" customHeight="1" x14ac:dyDescent="0.3">
      <c r="A540" s="2161"/>
      <c r="B540" s="1313" t="str">
        <f t="shared" si="102"/>
        <v/>
      </c>
      <c r="C540" s="1011">
        <f>IF($D$2="NO",0,ROUNDDOWN(SUM(PROD!$V$5:V541)/IF(Iniciar!$C$25="kilos",40,1),0)-SUM($C$4:$C539))</f>
        <v>0</v>
      </c>
      <c r="D540" s="702"/>
      <c r="E540" s="702"/>
      <c r="F540" s="300">
        <f t="shared" si="107"/>
        <v>-95000</v>
      </c>
      <c r="G540" s="694"/>
      <c r="H540" s="695"/>
      <c r="I540" s="1314"/>
      <c r="J540" s="1315">
        <f>IF(K$1&gt;0,ROUNDUP(SUM(PROD!AM$5:AM541)/K$1*K$2,0),0)-SUM(J$4:J539)</f>
        <v>0</v>
      </c>
      <c r="K540" s="1316">
        <f t="shared" si="97"/>
        <v>0</v>
      </c>
      <c r="L540" s="1314"/>
      <c r="M540" s="1315">
        <f>IF(N$1&gt;0,ROUNDUP(SUM(PROD!L$5:L541,-PROD!AM$5:AM541,-PROD!AZ$5:AZ541)/N$1*N$2,0),0)-SUM(M$4:M539)</f>
        <v>0</v>
      </c>
      <c r="N540" s="1316">
        <f t="shared" si="98"/>
        <v>0</v>
      </c>
      <c r="O540" s="1317">
        <f t="shared" si="99"/>
        <v>0</v>
      </c>
      <c r="P540" s="1318"/>
      <c r="Q540" s="1319"/>
      <c r="R540" s="1320">
        <f t="shared" si="100"/>
        <v>0</v>
      </c>
      <c r="S540" s="1316">
        <f t="shared" si="101"/>
        <v>0</v>
      </c>
      <c r="T540" s="712"/>
      <c r="U540" s="713"/>
      <c r="V540" s="714"/>
      <c r="W540" s="398">
        <f t="shared" si="108"/>
        <v>0</v>
      </c>
      <c r="X540" s="712"/>
      <c r="Y540" s="713"/>
      <c r="Z540" s="714"/>
      <c r="AA540" s="398">
        <f t="shared" si="103"/>
        <v>0</v>
      </c>
      <c r="AB540" s="712"/>
      <c r="AC540" s="713"/>
      <c r="AD540" s="714"/>
      <c r="AE540" s="398">
        <f t="shared" si="104"/>
        <v>0</v>
      </c>
      <c r="AF540" s="712"/>
      <c r="AG540" s="713"/>
      <c r="AH540" s="714"/>
      <c r="AI540" s="398">
        <f t="shared" si="105"/>
        <v>0</v>
      </c>
      <c r="AJ540" s="712"/>
      <c r="AK540" s="713"/>
      <c r="AL540" s="714"/>
      <c r="AM540" s="398">
        <f t="shared" si="106"/>
        <v>0</v>
      </c>
    </row>
    <row r="541" spans="1:39" ht="15.75" customHeight="1" x14ac:dyDescent="0.3">
      <c r="A541" s="2161"/>
      <c r="B541" s="1313" t="str">
        <f t="shared" si="102"/>
        <v/>
      </c>
      <c r="C541" s="1011">
        <f>IF($D$2="NO",0,ROUNDDOWN(SUM(PROD!$V$5:V542)/IF(Iniciar!$C$25="kilos",40,1),0)-SUM($C$4:$C540))</f>
        <v>0</v>
      </c>
      <c r="D541" s="702"/>
      <c r="E541" s="702"/>
      <c r="F541" s="300">
        <f t="shared" si="107"/>
        <v>-95000</v>
      </c>
      <c r="G541" s="694"/>
      <c r="H541" s="695"/>
      <c r="I541" s="1314"/>
      <c r="J541" s="1315">
        <f>IF(K$1&gt;0,ROUNDUP(SUM(PROD!AM$5:AM542)/K$1*K$2,0),0)-SUM(J$4:J540)</f>
        <v>0</v>
      </c>
      <c r="K541" s="1316">
        <f t="shared" si="97"/>
        <v>0</v>
      </c>
      <c r="L541" s="1314"/>
      <c r="M541" s="1315">
        <f>IF(N$1&gt;0,ROUNDUP(SUM(PROD!L$5:L542,-PROD!AM$5:AM542,-PROD!AZ$5:AZ542)/N$1*N$2,0),0)-SUM(M$4:M540)</f>
        <v>0</v>
      </c>
      <c r="N541" s="1316">
        <f t="shared" si="98"/>
        <v>0</v>
      </c>
      <c r="O541" s="1317">
        <f t="shared" si="99"/>
        <v>0</v>
      </c>
      <c r="P541" s="1318"/>
      <c r="Q541" s="1319"/>
      <c r="R541" s="1320">
        <f t="shared" si="100"/>
        <v>0</v>
      </c>
      <c r="S541" s="1316">
        <f t="shared" si="101"/>
        <v>0</v>
      </c>
      <c r="T541" s="712"/>
      <c r="U541" s="713"/>
      <c r="V541" s="714"/>
      <c r="W541" s="398">
        <f t="shared" si="108"/>
        <v>0</v>
      </c>
      <c r="X541" s="712"/>
      <c r="Y541" s="713"/>
      <c r="Z541" s="714"/>
      <c r="AA541" s="398">
        <f t="shared" si="103"/>
        <v>0</v>
      </c>
      <c r="AB541" s="712"/>
      <c r="AC541" s="713"/>
      <c r="AD541" s="714"/>
      <c r="AE541" s="398">
        <f t="shared" si="104"/>
        <v>0</v>
      </c>
      <c r="AF541" s="712"/>
      <c r="AG541" s="713"/>
      <c r="AH541" s="714"/>
      <c r="AI541" s="398">
        <f t="shared" si="105"/>
        <v>0</v>
      </c>
      <c r="AJ541" s="712"/>
      <c r="AK541" s="713"/>
      <c r="AL541" s="714"/>
      <c r="AM541" s="398">
        <f t="shared" si="106"/>
        <v>0</v>
      </c>
    </row>
    <row r="542" spans="1:39" ht="16.5" customHeight="1" x14ac:dyDescent="0.3">
      <c r="A542" s="2162"/>
      <c r="B542" s="1313" t="str">
        <f t="shared" si="102"/>
        <v/>
      </c>
      <c r="C542" s="1011">
        <f>IF($D$2="NO",0,ROUNDDOWN(SUM(PROD!$V$5:V543)/IF(Iniciar!$C$25="kilos",40,1),0)-SUM($C$4:$C541))</f>
        <v>0</v>
      </c>
      <c r="D542" s="702"/>
      <c r="E542" s="702"/>
      <c r="F542" s="300">
        <f t="shared" si="107"/>
        <v>-95000</v>
      </c>
      <c r="G542" s="694"/>
      <c r="H542" s="695"/>
      <c r="I542" s="1314"/>
      <c r="J542" s="1315">
        <f>IF(K$1&gt;0,ROUNDUP(SUM(PROD!AM$5:AM543)/K$1*K$2,0),0)-SUM(J$4:J541)</f>
        <v>0</v>
      </c>
      <c r="K542" s="1316">
        <f t="shared" si="97"/>
        <v>0</v>
      </c>
      <c r="L542" s="1314"/>
      <c r="M542" s="1315">
        <f>IF(N$1&gt;0,ROUNDUP(SUM(PROD!L$5:L543,-PROD!AM$5:AM543,-PROD!AZ$5:AZ543)/N$1*N$2,0),0)-SUM(M$4:M541)</f>
        <v>0</v>
      </c>
      <c r="N542" s="1316">
        <f t="shared" si="98"/>
        <v>0</v>
      </c>
      <c r="O542" s="1317">
        <f t="shared" si="99"/>
        <v>0</v>
      </c>
      <c r="P542" s="1318"/>
      <c r="Q542" s="1319"/>
      <c r="R542" s="1320">
        <f t="shared" si="100"/>
        <v>0</v>
      </c>
      <c r="S542" s="1316">
        <f t="shared" si="101"/>
        <v>0</v>
      </c>
      <c r="T542" s="712"/>
      <c r="U542" s="713"/>
      <c r="V542" s="714"/>
      <c r="W542" s="398">
        <f t="shared" si="108"/>
        <v>0</v>
      </c>
      <c r="X542" s="712"/>
      <c r="Y542" s="713"/>
      <c r="Z542" s="714"/>
      <c r="AA542" s="398">
        <f t="shared" si="103"/>
        <v>0</v>
      </c>
      <c r="AB542" s="712"/>
      <c r="AC542" s="713"/>
      <c r="AD542" s="714"/>
      <c r="AE542" s="398">
        <f t="shared" si="104"/>
        <v>0</v>
      </c>
      <c r="AF542" s="712"/>
      <c r="AG542" s="713"/>
      <c r="AH542" s="714"/>
      <c r="AI542" s="398">
        <f t="shared" si="105"/>
        <v>0</v>
      </c>
      <c r="AJ542" s="712"/>
      <c r="AK542" s="713"/>
      <c r="AL542" s="714"/>
      <c r="AM542" s="398">
        <f t="shared" si="106"/>
        <v>0</v>
      </c>
    </row>
    <row r="543" spans="1:39" ht="16.5" customHeight="1" x14ac:dyDescent="0.3">
      <c r="A543" s="2160">
        <f>A536+1</f>
        <v>95</v>
      </c>
      <c r="B543" s="1313" t="str">
        <f t="shared" si="102"/>
        <v/>
      </c>
      <c r="C543" s="1011">
        <f>IF($D$2="NO",0,ROUNDDOWN(SUM(PROD!$V$5:V544)/IF(Iniciar!$C$25="kilos",40,1),0)-SUM($C$4:$C542))</f>
        <v>0</v>
      </c>
      <c r="D543" s="702"/>
      <c r="E543" s="702"/>
      <c r="F543" s="300">
        <f t="shared" si="107"/>
        <v>-95000</v>
      </c>
      <c r="G543" s="694"/>
      <c r="H543" s="695"/>
      <c r="I543" s="1314"/>
      <c r="J543" s="1315">
        <f>IF(K$1&gt;0,ROUNDUP(SUM(PROD!AM$5:AM544)/K$1*K$2,0),0)-SUM(J$4:J542)</f>
        <v>0</v>
      </c>
      <c r="K543" s="1316">
        <f t="shared" si="97"/>
        <v>0</v>
      </c>
      <c r="L543" s="1314"/>
      <c r="M543" s="1315">
        <f>IF(N$1&gt;0,ROUNDUP(SUM(PROD!L$5:L544,-PROD!AM$5:AM544,-PROD!AZ$5:AZ544)/N$1*N$2,0),0)-SUM(M$4:M542)</f>
        <v>0</v>
      </c>
      <c r="N543" s="1316">
        <f t="shared" si="98"/>
        <v>0</v>
      </c>
      <c r="O543" s="1317">
        <f t="shared" si="99"/>
        <v>0</v>
      </c>
      <c r="P543" s="1318"/>
      <c r="Q543" s="1319"/>
      <c r="R543" s="1320">
        <f t="shared" si="100"/>
        <v>0</v>
      </c>
      <c r="S543" s="1316">
        <f t="shared" si="101"/>
        <v>0</v>
      </c>
      <c r="T543" s="712"/>
      <c r="U543" s="713"/>
      <c r="V543" s="714"/>
      <c r="W543" s="398">
        <f t="shared" si="108"/>
        <v>0</v>
      </c>
      <c r="X543" s="712"/>
      <c r="Y543" s="713"/>
      <c r="Z543" s="714"/>
      <c r="AA543" s="398">
        <f t="shared" si="103"/>
        <v>0</v>
      </c>
      <c r="AB543" s="712"/>
      <c r="AC543" s="713"/>
      <c r="AD543" s="714"/>
      <c r="AE543" s="398">
        <f t="shared" si="104"/>
        <v>0</v>
      </c>
      <c r="AF543" s="712"/>
      <c r="AG543" s="713"/>
      <c r="AH543" s="714"/>
      <c r="AI543" s="398">
        <f t="shared" si="105"/>
        <v>0</v>
      </c>
      <c r="AJ543" s="712"/>
      <c r="AK543" s="713"/>
      <c r="AL543" s="714"/>
      <c r="AM543" s="398">
        <f t="shared" si="106"/>
        <v>0</v>
      </c>
    </row>
    <row r="544" spans="1:39" ht="15.75" customHeight="1" x14ac:dyDescent="0.3">
      <c r="A544" s="2161"/>
      <c r="B544" s="1313" t="str">
        <f t="shared" si="102"/>
        <v/>
      </c>
      <c r="C544" s="1011">
        <f>IF($D$2="NO",0,ROUNDDOWN(SUM(PROD!$V$5:V545)/IF(Iniciar!$C$25="kilos",40,1),0)-SUM($C$4:$C543))</f>
        <v>0</v>
      </c>
      <c r="D544" s="702"/>
      <c r="E544" s="702"/>
      <c r="F544" s="300">
        <f t="shared" si="107"/>
        <v>-95000</v>
      </c>
      <c r="G544" s="694"/>
      <c r="H544" s="695"/>
      <c r="I544" s="1314"/>
      <c r="J544" s="1315">
        <f>IF(K$1&gt;0,ROUNDUP(SUM(PROD!AM$5:AM545)/K$1*K$2,0),0)-SUM(J$4:J543)</f>
        <v>0</v>
      </c>
      <c r="K544" s="1316">
        <f t="shared" si="97"/>
        <v>0</v>
      </c>
      <c r="L544" s="1314"/>
      <c r="M544" s="1315">
        <f>IF(N$1&gt;0,ROUNDUP(SUM(PROD!L$5:L545,-PROD!AM$5:AM545,-PROD!AZ$5:AZ545)/N$1*N$2,0),0)-SUM(M$4:M543)</f>
        <v>0</v>
      </c>
      <c r="N544" s="1316">
        <f t="shared" si="98"/>
        <v>0</v>
      </c>
      <c r="O544" s="1317">
        <f t="shared" si="99"/>
        <v>0</v>
      </c>
      <c r="P544" s="1318"/>
      <c r="Q544" s="1319"/>
      <c r="R544" s="1320">
        <f t="shared" si="100"/>
        <v>0</v>
      </c>
      <c r="S544" s="1316">
        <f t="shared" si="101"/>
        <v>0</v>
      </c>
      <c r="T544" s="712"/>
      <c r="U544" s="713"/>
      <c r="V544" s="714"/>
      <c r="W544" s="398">
        <f t="shared" si="108"/>
        <v>0</v>
      </c>
      <c r="X544" s="712"/>
      <c r="Y544" s="713"/>
      <c r="Z544" s="714"/>
      <c r="AA544" s="398">
        <f t="shared" si="103"/>
        <v>0</v>
      </c>
      <c r="AB544" s="712"/>
      <c r="AC544" s="713"/>
      <c r="AD544" s="714"/>
      <c r="AE544" s="398">
        <f t="shared" si="104"/>
        <v>0</v>
      </c>
      <c r="AF544" s="712"/>
      <c r="AG544" s="713"/>
      <c r="AH544" s="714"/>
      <c r="AI544" s="398">
        <f t="shared" si="105"/>
        <v>0</v>
      </c>
      <c r="AJ544" s="712"/>
      <c r="AK544" s="713"/>
      <c r="AL544" s="714"/>
      <c r="AM544" s="398">
        <f t="shared" si="106"/>
        <v>0</v>
      </c>
    </row>
    <row r="545" spans="1:39" ht="15.75" customHeight="1" x14ac:dyDescent="0.3">
      <c r="A545" s="2161"/>
      <c r="B545" s="1313" t="str">
        <f t="shared" si="102"/>
        <v/>
      </c>
      <c r="C545" s="1011">
        <f>IF($D$2="NO",0,ROUNDDOWN(SUM(PROD!$V$5:V546)/IF(Iniciar!$C$25="kilos",40,1),0)-SUM($C$4:$C544))</f>
        <v>0</v>
      </c>
      <c r="D545" s="702"/>
      <c r="E545" s="702"/>
      <c r="F545" s="300">
        <f t="shared" si="107"/>
        <v>-95000</v>
      </c>
      <c r="G545" s="694"/>
      <c r="H545" s="695"/>
      <c r="I545" s="1314"/>
      <c r="J545" s="1315">
        <f>IF(K$1&gt;0,ROUNDUP(SUM(PROD!AM$5:AM546)/K$1*K$2,0),0)-SUM(J$4:J544)</f>
        <v>0</v>
      </c>
      <c r="K545" s="1316">
        <f t="shared" si="97"/>
        <v>0</v>
      </c>
      <c r="L545" s="1314"/>
      <c r="M545" s="1315">
        <f>IF(N$1&gt;0,ROUNDUP(SUM(PROD!L$5:L546,-PROD!AM$5:AM546,-PROD!AZ$5:AZ546)/N$1*N$2,0),0)-SUM(M$4:M544)</f>
        <v>0</v>
      </c>
      <c r="N545" s="1316">
        <f t="shared" si="98"/>
        <v>0</v>
      </c>
      <c r="O545" s="1317">
        <f t="shared" si="99"/>
        <v>0</v>
      </c>
      <c r="P545" s="1318"/>
      <c r="Q545" s="1319"/>
      <c r="R545" s="1320">
        <f t="shared" si="100"/>
        <v>0</v>
      </c>
      <c r="S545" s="1316">
        <f t="shared" si="101"/>
        <v>0</v>
      </c>
      <c r="T545" s="712"/>
      <c r="U545" s="713"/>
      <c r="V545" s="714"/>
      <c r="W545" s="398">
        <f t="shared" si="108"/>
        <v>0</v>
      </c>
      <c r="X545" s="712"/>
      <c r="Y545" s="713"/>
      <c r="Z545" s="714"/>
      <c r="AA545" s="398">
        <f t="shared" si="103"/>
        <v>0</v>
      </c>
      <c r="AB545" s="712"/>
      <c r="AC545" s="713"/>
      <c r="AD545" s="714"/>
      <c r="AE545" s="398">
        <f t="shared" si="104"/>
        <v>0</v>
      </c>
      <c r="AF545" s="712"/>
      <c r="AG545" s="713"/>
      <c r="AH545" s="714"/>
      <c r="AI545" s="398">
        <f t="shared" si="105"/>
        <v>0</v>
      </c>
      <c r="AJ545" s="712"/>
      <c r="AK545" s="713"/>
      <c r="AL545" s="714"/>
      <c r="AM545" s="398">
        <f t="shared" si="106"/>
        <v>0</v>
      </c>
    </row>
    <row r="546" spans="1:39" ht="15.75" customHeight="1" x14ac:dyDescent="0.3">
      <c r="A546" s="2161"/>
      <c r="B546" s="1313" t="str">
        <f t="shared" si="102"/>
        <v/>
      </c>
      <c r="C546" s="1011">
        <f>IF($D$2="NO",0,ROUNDDOWN(SUM(PROD!$V$5:V547)/IF(Iniciar!$C$25="kilos",40,1),0)-SUM($C$4:$C545))</f>
        <v>0</v>
      </c>
      <c r="D546" s="702"/>
      <c r="E546" s="702"/>
      <c r="F546" s="300">
        <f t="shared" si="107"/>
        <v>-95000</v>
      </c>
      <c r="G546" s="694"/>
      <c r="H546" s="695"/>
      <c r="I546" s="1314"/>
      <c r="J546" s="1315">
        <f>IF(K$1&gt;0,ROUNDUP(SUM(PROD!AM$5:AM547)/K$1*K$2,0),0)-SUM(J$4:J545)</f>
        <v>0</v>
      </c>
      <c r="K546" s="1316">
        <f t="shared" si="97"/>
        <v>0</v>
      </c>
      <c r="L546" s="1314"/>
      <c r="M546" s="1315">
        <f>IF(N$1&gt;0,ROUNDUP(SUM(PROD!L$5:L547,-PROD!AM$5:AM547,-PROD!AZ$5:AZ547)/N$1*N$2,0),0)-SUM(M$4:M545)</f>
        <v>0</v>
      </c>
      <c r="N546" s="1316">
        <f t="shared" si="98"/>
        <v>0</v>
      </c>
      <c r="O546" s="1317">
        <f t="shared" si="99"/>
        <v>0</v>
      </c>
      <c r="P546" s="1318"/>
      <c r="Q546" s="1319"/>
      <c r="R546" s="1320">
        <f t="shared" si="100"/>
        <v>0</v>
      </c>
      <c r="S546" s="1316">
        <f t="shared" si="101"/>
        <v>0</v>
      </c>
      <c r="T546" s="712"/>
      <c r="U546" s="713"/>
      <c r="V546" s="714"/>
      <c r="W546" s="398">
        <f t="shared" si="108"/>
        <v>0</v>
      </c>
      <c r="X546" s="712"/>
      <c r="Y546" s="713"/>
      <c r="Z546" s="714"/>
      <c r="AA546" s="398">
        <f t="shared" si="103"/>
        <v>0</v>
      </c>
      <c r="AB546" s="712"/>
      <c r="AC546" s="713"/>
      <c r="AD546" s="714"/>
      <c r="AE546" s="398">
        <f t="shared" si="104"/>
        <v>0</v>
      </c>
      <c r="AF546" s="712"/>
      <c r="AG546" s="713"/>
      <c r="AH546" s="714"/>
      <c r="AI546" s="398">
        <f t="shared" si="105"/>
        <v>0</v>
      </c>
      <c r="AJ546" s="712"/>
      <c r="AK546" s="713"/>
      <c r="AL546" s="714"/>
      <c r="AM546" s="398">
        <f t="shared" si="106"/>
        <v>0</v>
      </c>
    </row>
    <row r="547" spans="1:39" ht="15.75" customHeight="1" x14ac:dyDescent="0.3">
      <c r="A547" s="2161"/>
      <c r="B547" s="1313" t="str">
        <f t="shared" si="102"/>
        <v/>
      </c>
      <c r="C547" s="1011">
        <f>IF($D$2="NO",0,ROUNDDOWN(SUM(PROD!$V$5:V548)/IF(Iniciar!$C$25="kilos",40,1),0)-SUM($C$4:$C546))</f>
        <v>0</v>
      </c>
      <c r="D547" s="702"/>
      <c r="E547" s="702"/>
      <c r="F547" s="300">
        <f t="shared" si="107"/>
        <v>-95000</v>
      </c>
      <c r="G547" s="694"/>
      <c r="H547" s="695"/>
      <c r="I547" s="1314"/>
      <c r="J547" s="1315">
        <f>IF(K$1&gt;0,ROUNDUP(SUM(PROD!AM$5:AM548)/K$1*K$2,0),0)-SUM(J$4:J546)</f>
        <v>0</v>
      </c>
      <c r="K547" s="1316">
        <f t="shared" si="97"/>
        <v>0</v>
      </c>
      <c r="L547" s="1314"/>
      <c r="M547" s="1315">
        <f>IF(N$1&gt;0,ROUNDUP(SUM(PROD!L$5:L548,-PROD!AM$5:AM548,-PROD!AZ$5:AZ548)/N$1*N$2,0),0)-SUM(M$4:M546)</f>
        <v>0</v>
      </c>
      <c r="N547" s="1316">
        <f t="shared" si="98"/>
        <v>0</v>
      </c>
      <c r="O547" s="1317">
        <f t="shared" si="99"/>
        <v>0</v>
      </c>
      <c r="P547" s="1318"/>
      <c r="Q547" s="1319"/>
      <c r="R547" s="1320">
        <f t="shared" si="100"/>
        <v>0</v>
      </c>
      <c r="S547" s="1316">
        <f t="shared" si="101"/>
        <v>0</v>
      </c>
      <c r="T547" s="712"/>
      <c r="U547" s="713"/>
      <c r="V547" s="714"/>
      <c r="W547" s="398">
        <f t="shared" si="108"/>
        <v>0</v>
      </c>
      <c r="X547" s="712"/>
      <c r="Y547" s="713"/>
      <c r="Z547" s="714"/>
      <c r="AA547" s="398">
        <f t="shared" si="103"/>
        <v>0</v>
      </c>
      <c r="AB547" s="712"/>
      <c r="AC547" s="713"/>
      <c r="AD547" s="714"/>
      <c r="AE547" s="398">
        <f t="shared" si="104"/>
        <v>0</v>
      </c>
      <c r="AF547" s="712"/>
      <c r="AG547" s="713"/>
      <c r="AH547" s="714"/>
      <c r="AI547" s="398">
        <f t="shared" si="105"/>
        <v>0</v>
      </c>
      <c r="AJ547" s="712"/>
      <c r="AK547" s="713"/>
      <c r="AL547" s="714"/>
      <c r="AM547" s="398">
        <f t="shared" si="106"/>
        <v>0</v>
      </c>
    </row>
    <row r="548" spans="1:39" ht="15.75" customHeight="1" x14ac:dyDescent="0.3">
      <c r="A548" s="2161"/>
      <c r="B548" s="1313" t="str">
        <f t="shared" si="102"/>
        <v/>
      </c>
      <c r="C548" s="1011">
        <f>IF($D$2="NO",0,ROUNDDOWN(SUM(PROD!$V$5:V549)/IF(Iniciar!$C$25="kilos",40,1),0)-SUM($C$4:$C547))</f>
        <v>0</v>
      </c>
      <c r="D548" s="702"/>
      <c r="E548" s="702"/>
      <c r="F548" s="300">
        <f t="shared" si="107"/>
        <v>-95000</v>
      </c>
      <c r="G548" s="694"/>
      <c r="H548" s="695"/>
      <c r="I548" s="1314"/>
      <c r="J548" s="1315">
        <f>IF(K$1&gt;0,ROUNDUP(SUM(PROD!AM$5:AM549)/K$1*K$2,0),0)-SUM(J$4:J547)</f>
        <v>0</v>
      </c>
      <c r="K548" s="1316">
        <f t="shared" si="97"/>
        <v>0</v>
      </c>
      <c r="L548" s="1314"/>
      <c r="M548" s="1315">
        <f>IF(N$1&gt;0,ROUNDUP(SUM(PROD!L$5:L549,-PROD!AM$5:AM549,-PROD!AZ$5:AZ549)/N$1*N$2,0),0)-SUM(M$4:M547)</f>
        <v>0</v>
      </c>
      <c r="N548" s="1316">
        <f t="shared" si="98"/>
        <v>0</v>
      </c>
      <c r="O548" s="1317">
        <f t="shared" si="99"/>
        <v>0</v>
      </c>
      <c r="P548" s="1318"/>
      <c r="Q548" s="1319"/>
      <c r="R548" s="1320">
        <f t="shared" si="100"/>
        <v>0</v>
      </c>
      <c r="S548" s="1316">
        <f t="shared" si="101"/>
        <v>0</v>
      </c>
      <c r="T548" s="712"/>
      <c r="U548" s="713"/>
      <c r="V548" s="714"/>
      <c r="W548" s="398">
        <f t="shared" si="108"/>
        <v>0</v>
      </c>
      <c r="X548" s="712"/>
      <c r="Y548" s="713"/>
      <c r="Z548" s="714"/>
      <c r="AA548" s="398">
        <f t="shared" si="103"/>
        <v>0</v>
      </c>
      <c r="AB548" s="712"/>
      <c r="AC548" s="713"/>
      <c r="AD548" s="714"/>
      <c r="AE548" s="398">
        <f t="shared" si="104"/>
        <v>0</v>
      </c>
      <c r="AF548" s="712"/>
      <c r="AG548" s="713"/>
      <c r="AH548" s="714"/>
      <c r="AI548" s="398">
        <f t="shared" si="105"/>
        <v>0</v>
      </c>
      <c r="AJ548" s="712"/>
      <c r="AK548" s="713"/>
      <c r="AL548" s="714"/>
      <c r="AM548" s="398">
        <f t="shared" si="106"/>
        <v>0</v>
      </c>
    </row>
    <row r="549" spans="1:39" ht="16.5" customHeight="1" x14ac:dyDescent="0.3">
      <c r="A549" s="2162"/>
      <c r="B549" s="1313" t="str">
        <f t="shared" si="102"/>
        <v/>
      </c>
      <c r="C549" s="1011">
        <f>IF($D$2="NO",0,ROUNDDOWN(SUM(PROD!$V$5:V550)/IF(Iniciar!$C$25="kilos",40,1),0)-SUM($C$4:$C548))</f>
        <v>0</v>
      </c>
      <c r="D549" s="702"/>
      <c r="E549" s="702"/>
      <c r="F549" s="300">
        <f t="shared" si="107"/>
        <v>-95000</v>
      </c>
      <c r="G549" s="694"/>
      <c r="H549" s="695"/>
      <c r="I549" s="1314"/>
      <c r="J549" s="1315">
        <f>IF(K$1&gt;0,ROUNDUP(SUM(PROD!AM$5:AM550)/K$1*K$2,0),0)-SUM(J$4:J548)</f>
        <v>0</v>
      </c>
      <c r="K549" s="1316">
        <f t="shared" si="97"/>
        <v>0</v>
      </c>
      <c r="L549" s="1314"/>
      <c r="M549" s="1315">
        <f>IF(N$1&gt;0,ROUNDUP(SUM(PROD!L$5:L550,-PROD!AM$5:AM550,-PROD!AZ$5:AZ550)/N$1*N$2,0),0)-SUM(M$4:M548)</f>
        <v>0</v>
      </c>
      <c r="N549" s="1316">
        <f t="shared" si="98"/>
        <v>0</v>
      </c>
      <c r="O549" s="1317">
        <f t="shared" si="99"/>
        <v>0</v>
      </c>
      <c r="P549" s="1318"/>
      <c r="Q549" s="1319"/>
      <c r="R549" s="1320">
        <f t="shared" si="100"/>
        <v>0</v>
      </c>
      <c r="S549" s="1316">
        <f t="shared" si="101"/>
        <v>0</v>
      </c>
      <c r="T549" s="712"/>
      <c r="U549" s="713"/>
      <c r="V549" s="714"/>
      <c r="W549" s="398">
        <f t="shared" si="108"/>
        <v>0</v>
      </c>
      <c r="X549" s="712"/>
      <c r="Y549" s="713"/>
      <c r="Z549" s="714"/>
      <c r="AA549" s="398">
        <f t="shared" si="103"/>
        <v>0</v>
      </c>
      <c r="AB549" s="712"/>
      <c r="AC549" s="713"/>
      <c r="AD549" s="714"/>
      <c r="AE549" s="398">
        <f t="shared" si="104"/>
        <v>0</v>
      </c>
      <c r="AF549" s="712"/>
      <c r="AG549" s="713"/>
      <c r="AH549" s="714"/>
      <c r="AI549" s="398">
        <f t="shared" si="105"/>
        <v>0</v>
      </c>
      <c r="AJ549" s="712"/>
      <c r="AK549" s="713"/>
      <c r="AL549" s="714"/>
      <c r="AM549" s="398">
        <f t="shared" si="106"/>
        <v>0</v>
      </c>
    </row>
    <row r="550" spans="1:39" ht="16.5" customHeight="1" x14ac:dyDescent="0.3">
      <c r="A550" s="2160">
        <f>A543+1</f>
        <v>96</v>
      </c>
      <c r="B550" s="1313" t="str">
        <f t="shared" si="102"/>
        <v/>
      </c>
      <c r="C550" s="1011">
        <f>IF($D$2="NO",0,ROUNDDOWN(SUM(PROD!$V$5:V551)/IF(Iniciar!$C$25="kilos",40,1),0)-SUM($C$4:$C549))</f>
        <v>0</v>
      </c>
      <c r="D550" s="702"/>
      <c r="E550" s="702"/>
      <c r="F550" s="300">
        <f t="shared" si="107"/>
        <v>-95000</v>
      </c>
      <c r="G550" s="694"/>
      <c r="H550" s="695"/>
      <c r="I550" s="1314"/>
      <c r="J550" s="1315">
        <f>IF(K$1&gt;0,ROUNDUP(SUM(PROD!AM$5:AM551)/K$1*K$2,0),0)-SUM(J$4:J549)</f>
        <v>0</v>
      </c>
      <c r="K550" s="1316">
        <f t="shared" si="97"/>
        <v>0</v>
      </c>
      <c r="L550" s="1314"/>
      <c r="M550" s="1315">
        <f>IF(N$1&gt;0,ROUNDUP(SUM(PROD!L$5:L551,-PROD!AM$5:AM551,-PROD!AZ$5:AZ551)/N$1*N$2,0),0)-SUM(M$4:M549)</f>
        <v>0</v>
      </c>
      <c r="N550" s="1316">
        <f t="shared" si="98"/>
        <v>0</v>
      </c>
      <c r="O550" s="1317">
        <f t="shared" si="99"/>
        <v>0</v>
      </c>
      <c r="P550" s="1318"/>
      <c r="Q550" s="1319"/>
      <c r="R550" s="1320">
        <f t="shared" si="100"/>
        <v>0</v>
      </c>
      <c r="S550" s="1316">
        <f t="shared" si="101"/>
        <v>0</v>
      </c>
      <c r="T550" s="712"/>
      <c r="U550" s="713"/>
      <c r="V550" s="714"/>
      <c r="W550" s="398">
        <f t="shared" si="108"/>
        <v>0</v>
      </c>
      <c r="X550" s="712"/>
      <c r="Y550" s="713"/>
      <c r="Z550" s="714"/>
      <c r="AA550" s="398">
        <f t="shared" si="103"/>
        <v>0</v>
      </c>
      <c r="AB550" s="712"/>
      <c r="AC550" s="713"/>
      <c r="AD550" s="714"/>
      <c r="AE550" s="398">
        <f t="shared" si="104"/>
        <v>0</v>
      </c>
      <c r="AF550" s="712"/>
      <c r="AG550" s="713"/>
      <c r="AH550" s="714"/>
      <c r="AI550" s="398">
        <f t="shared" si="105"/>
        <v>0</v>
      </c>
      <c r="AJ550" s="712"/>
      <c r="AK550" s="713"/>
      <c r="AL550" s="714"/>
      <c r="AM550" s="398">
        <f t="shared" si="106"/>
        <v>0</v>
      </c>
    </row>
    <row r="551" spans="1:39" ht="15.75" customHeight="1" x14ac:dyDescent="0.3">
      <c r="A551" s="2161"/>
      <c r="B551" s="1313" t="str">
        <f t="shared" si="102"/>
        <v/>
      </c>
      <c r="C551" s="1011">
        <f>IF($D$2="NO",0,ROUNDDOWN(SUM(PROD!$V$5:V552)/IF(Iniciar!$C$25="kilos",40,1),0)-SUM($C$4:$C550))</f>
        <v>0</v>
      </c>
      <c r="D551" s="702"/>
      <c r="E551" s="702"/>
      <c r="F551" s="300">
        <f t="shared" si="107"/>
        <v>-95000</v>
      </c>
      <c r="G551" s="694"/>
      <c r="H551" s="695"/>
      <c r="I551" s="1314"/>
      <c r="J551" s="1315">
        <f>IF(K$1&gt;0,ROUNDUP(SUM(PROD!AM$5:AM552)/K$1*K$2,0),0)-SUM(J$4:J550)</f>
        <v>0</v>
      </c>
      <c r="K551" s="1316">
        <f t="shared" si="97"/>
        <v>0</v>
      </c>
      <c r="L551" s="1314"/>
      <c r="M551" s="1315">
        <f>IF(N$1&gt;0,ROUNDUP(SUM(PROD!L$5:L552,-PROD!AM$5:AM552,-PROD!AZ$5:AZ552)/N$1*N$2,0),0)-SUM(M$4:M550)</f>
        <v>0</v>
      </c>
      <c r="N551" s="1316">
        <f t="shared" si="98"/>
        <v>0</v>
      </c>
      <c r="O551" s="1317">
        <f t="shared" si="99"/>
        <v>0</v>
      </c>
      <c r="P551" s="1318"/>
      <c r="Q551" s="1319"/>
      <c r="R551" s="1320">
        <f t="shared" si="100"/>
        <v>0</v>
      </c>
      <c r="S551" s="1316">
        <f t="shared" si="101"/>
        <v>0</v>
      </c>
      <c r="T551" s="712"/>
      <c r="U551" s="713"/>
      <c r="V551" s="714"/>
      <c r="W551" s="398">
        <f t="shared" si="108"/>
        <v>0</v>
      </c>
      <c r="X551" s="712"/>
      <c r="Y551" s="713"/>
      <c r="Z551" s="714"/>
      <c r="AA551" s="398">
        <f t="shared" si="103"/>
        <v>0</v>
      </c>
      <c r="AB551" s="712"/>
      <c r="AC551" s="713"/>
      <c r="AD551" s="714"/>
      <c r="AE551" s="398">
        <f t="shared" si="104"/>
        <v>0</v>
      </c>
      <c r="AF551" s="712"/>
      <c r="AG551" s="713"/>
      <c r="AH551" s="714"/>
      <c r="AI551" s="398">
        <f t="shared" si="105"/>
        <v>0</v>
      </c>
      <c r="AJ551" s="712"/>
      <c r="AK551" s="713"/>
      <c r="AL551" s="714"/>
      <c r="AM551" s="398">
        <f t="shared" si="106"/>
        <v>0</v>
      </c>
    </row>
    <row r="552" spans="1:39" ht="15.75" customHeight="1" x14ac:dyDescent="0.3">
      <c r="A552" s="2161"/>
      <c r="B552" s="1313" t="str">
        <f t="shared" si="102"/>
        <v/>
      </c>
      <c r="C552" s="1011">
        <f>IF($D$2="NO",0,ROUNDDOWN(SUM(PROD!$V$5:V553)/IF(Iniciar!$C$25="kilos",40,1),0)-SUM($C$4:$C551))</f>
        <v>0</v>
      </c>
      <c r="D552" s="702"/>
      <c r="E552" s="702"/>
      <c r="F552" s="300">
        <f t="shared" si="107"/>
        <v>-95000</v>
      </c>
      <c r="G552" s="694"/>
      <c r="H552" s="695"/>
      <c r="I552" s="1314"/>
      <c r="J552" s="1315">
        <f>IF(K$1&gt;0,ROUNDUP(SUM(PROD!AM$5:AM553)/K$1*K$2,0),0)-SUM(J$4:J551)</f>
        <v>0</v>
      </c>
      <c r="K552" s="1316">
        <f t="shared" si="97"/>
        <v>0</v>
      </c>
      <c r="L552" s="1314"/>
      <c r="M552" s="1315">
        <f>IF(N$1&gt;0,ROUNDUP(SUM(PROD!L$5:L553,-PROD!AM$5:AM553,-PROD!AZ$5:AZ553)/N$1*N$2,0),0)-SUM(M$4:M551)</f>
        <v>0</v>
      </c>
      <c r="N552" s="1316">
        <f t="shared" si="98"/>
        <v>0</v>
      </c>
      <c r="O552" s="1317">
        <f t="shared" si="99"/>
        <v>0</v>
      </c>
      <c r="P552" s="1318"/>
      <c r="Q552" s="1319"/>
      <c r="R552" s="1320">
        <f t="shared" si="100"/>
        <v>0</v>
      </c>
      <c r="S552" s="1316">
        <f t="shared" si="101"/>
        <v>0</v>
      </c>
      <c r="T552" s="712"/>
      <c r="U552" s="713"/>
      <c r="V552" s="714"/>
      <c r="W552" s="398">
        <f t="shared" si="108"/>
        <v>0</v>
      </c>
      <c r="X552" s="712"/>
      <c r="Y552" s="713"/>
      <c r="Z552" s="714"/>
      <c r="AA552" s="398">
        <f t="shared" si="103"/>
        <v>0</v>
      </c>
      <c r="AB552" s="712"/>
      <c r="AC552" s="713"/>
      <c r="AD552" s="714"/>
      <c r="AE552" s="398">
        <f t="shared" si="104"/>
        <v>0</v>
      </c>
      <c r="AF552" s="712"/>
      <c r="AG552" s="713"/>
      <c r="AH552" s="714"/>
      <c r="AI552" s="398">
        <f t="shared" si="105"/>
        <v>0</v>
      </c>
      <c r="AJ552" s="712"/>
      <c r="AK552" s="713"/>
      <c r="AL552" s="714"/>
      <c r="AM552" s="398">
        <f t="shared" si="106"/>
        <v>0</v>
      </c>
    </row>
    <row r="553" spans="1:39" ht="15.75" customHeight="1" x14ac:dyDescent="0.3">
      <c r="A553" s="2161"/>
      <c r="B553" s="1313" t="str">
        <f t="shared" si="102"/>
        <v/>
      </c>
      <c r="C553" s="1011">
        <f>IF($D$2="NO",0,ROUNDDOWN(SUM(PROD!$V$5:V554)/IF(Iniciar!$C$25="kilos",40,1),0)-SUM($C$4:$C552))</f>
        <v>0</v>
      </c>
      <c r="D553" s="702"/>
      <c r="E553" s="702"/>
      <c r="F553" s="300">
        <f t="shared" si="107"/>
        <v>-95000</v>
      </c>
      <c r="G553" s="694"/>
      <c r="H553" s="695"/>
      <c r="I553" s="1314"/>
      <c r="J553" s="1315">
        <f>IF(K$1&gt;0,ROUNDUP(SUM(PROD!AM$5:AM554)/K$1*K$2,0),0)-SUM(J$4:J552)</f>
        <v>0</v>
      </c>
      <c r="K553" s="1316">
        <f t="shared" si="97"/>
        <v>0</v>
      </c>
      <c r="L553" s="1314"/>
      <c r="M553" s="1315">
        <f>IF(N$1&gt;0,ROUNDUP(SUM(PROD!L$5:L554,-PROD!AM$5:AM554,-PROD!AZ$5:AZ554)/N$1*N$2,0),0)-SUM(M$4:M552)</f>
        <v>0</v>
      </c>
      <c r="N553" s="1316">
        <f t="shared" si="98"/>
        <v>0</v>
      </c>
      <c r="O553" s="1317">
        <f t="shared" si="99"/>
        <v>0</v>
      </c>
      <c r="P553" s="1318"/>
      <c r="Q553" s="1319"/>
      <c r="R553" s="1320">
        <f t="shared" si="100"/>
        <v>0</v>
      </c>
      <c r="S553" s="1316">
        <f t="shared" si="101"/>
        <v>0</v>
      </c>
      <c r="T553" s="712"/>
      <c r="U553" s="713"/>
      <c r="V553" s="714"/>
      <c r="W553" s="398">
        <f t="shared" si="108"/>
        <v>0</v>
      </c>
      <c r="X553" s="712"/>
      <c r="Y553" s="713"/>
      <c r="Z553" s="714"/>
      <c r="AA553" s="398">
        <f t="shared" si="103"/>
        <v>0</v>
      </c>
      <c r="AB553" s="712"/>
      <c r="AC553" s="713"/>
      <c r="AD553" s="714"/>
      <c r="AE553" s="398">
        <f t="shared" si="104"/>
        <v>0</v>
      </c>
      <c r="AF553" s="712"/>
      <c r="AG553" s="713"/>
      <c r="AH553" s="714"/>
      <c r="AI553" s="398">
        <f t="shared" si="105"/>
        <v>0</v>
      </c>
      <c r="AJ553" s="712"/>
      <c r="AK553" s="713"/>
      <c r="AL553" s="714"/>
      <c r="AM553" s="398">
        <f t="shared" si="106"/>
        <v>0</v>
      </c>
    </row>
    <row r="554" spans="1:39" ht="15.75" customHeight="1" x14ac:dyDescent="0.3">
      <c r="A554" s="2161"/>
      <c r="B554" s="1313" t="str">
        <f t="shared" si="102"/>
        <v/>
      </c>
      <c r="C554" s="1011">
        <f>IF($D$2="NO",0,ROUNDDOWN(SUM(PROD!$V$5:V555)/IF(Iniciar!$C$25="kilos",40,1),0)-SUM($C$4:$C553))</f>
        <v>0</v>
      </c>
      <c r="D554" s="702"/>
      <c r="E554" s="702"/>
      <c r="F554" s="300">
        <f t="shared" si="107"/>
        <v>-95000</v>
      </c>
      <c r="G554" s="694"/>
      <c r="H554" s="695"/>
      <c r="I554" s="1314"/>
      <c r="J554" s="1315">
        <f>IF(K$1&gt;0,ROUNDUP(SUM(PROD!AM$5:AM555)/K$1*K$2,0),0)-SUM(J$4:J553)</f>
        <v>0</v>
      </c>
      <c r="K554" s="1316">
        <f t="shared" si="97"/>
        <v>0</v>
      </c>
      <c r="L554" s="1314"/>
      <c r="M554" s="1315">
        <f>IF(N$1&gt;0,ROUNDUP(SUM(PROD!L$5:L555,-PROD!AM$5:AM555,-PROD!AZ$5:AZ555)/N$1*N$2,0),0)-SUM(M$4:M553)</f>
        <v>0</v>
      </c>
      <c r="N554" s="1316">
        <f t="shared" si="98"/>
        <v>0</v>
      </c>
      <c r="O554" s="1317">
        <f t="shared" si="99"/>
        <v>0</v>
      </c>
      <c r="P554" s="1318"/>
      <c r="Q554" s="1319"/>
      <c r="R554" s="1320">
        <f t="shared" si="100"/>
        <v>0</v>
      </c>
      <c r="S554" s="1316">
        <f t="shared" si="101"/>
        <v>0</v>
      </c>
      <c r="T554" s="712"/>
      <c r="U554" s="713"/>
      <c r="V554" s="714"/>
      <c r="W554" s="398">
        <f t="shared" si="108"/>
        <v>0</v>
      </c>
      <c r="X554" s="712"/>
      <c r="Y554" s="713"/>
      <c r="Z554" s="714"/>
      <c r="AA554" s="398">
        <f t="shared" si="103"/>
        <v>0</v>
      </c>
      <c r="AB554" s="712"/>
      <c r="AC554" s="713"/>
      <c r="AD554" s="714"/>
      <c r="AE554" s="398">
        <f t="shared" si="104"/>
        <v>0</v>
      </c>
      <c r="AF554" s="712"/>
      <c r="AG554" s="713"/>
      <c r="AH554" s="714"/>
      <c r="AI554" s="398">
        <f t="shared" si="105"/>
        <v>0</v>
      </c>
      <c r="AJ554" s="712"/>
      <c r="AK554" s="713"/>
      <c r="AL554" s="714"/>
      <c r="AM554" s="398">
        <f t="shared" si="106"/>
        <v>0</v>
      </c>
    </row>
    <row r="555" spans="1:39" ht="15.75" customHeight="1" x14ac:dyDescent="0.3">
      <c r="A555" s="2161"/>
      <c r="B555" s="1313" t="str">
        <f t="shared" si="102"/>
        <v/>
      </c>
      <c r="C555" s="1011">
        <f>IF($D$2="NO",0,ROUNDDOWN(SUM(PROD!$V$5:V556)/IF(Iniciar!$C$25="kilos",40,1),0)-SUM($C$4:$C554))</f>
        <v>0</v>
      </c>
      <c r="D555" s="702"/>
      <c r="E555" s="702"/>
      <c r="F555" s="300">
        <f t="shared" si="107"/>
        <v>-95000</v>
      </c>
      <c r="G555" s="694"/>
      <c r="H555" s="695"/>
      <c r="I555" s="1314"/>
      <c r="J555" s="1315">
        <f>IF(K$1&gt;0,ROUNDUP(SUM(PROD!AM$5:AM556)/K$1*K$2,0),0)-SUM(J$4:J554)</f>
        <v>0</v>
      </c>
      <c r="K555" s="1316">
        <f t="shared" si="97"/>
        <v>0</v>
      </c>
      <c r="L555" s="1314"/>
      <c r="M555" s="1315">
        <f>IF(N$1&gt;0,ROUNDUP(SUM(PROD!L$5:L556,-PROD!AM$5:AM556,-PROD!AZ$5:AZ556)/N$1*N$2,0),0)-SUM(M$4:M554)</f>
        <v>0</v>
      </c>
      <c r="N555" s="1316">
        <f t="shared" si="98"/>
        <v>0</v>
      </c>
      <c r="O555" s="1317">
        <f t="shared" si="99"/>
        <v>0</v>
      </c>
      <c r="P555" s="1318"/>
      <c r="Q555" s="1319"/>
      <c r="R555" s="1320">
        <f t="shared" si="100"/>
        <v>0</v>
      </c>
      <c r="S555" s="1316">
        <f t="shared" si="101"/>
        <v>0</v>
      </c>
      <c r="T555" s="712"/>
      <c r="U555" s="713"/>
      <c r="V555" s="714"/>
      <c r="W555" s="398">
        <f t="shared" si="108"/>
        <v>0</v>
      </c>
      <c r="X555" s="712"/>
      <c r="Y555" s="713"/>
      <c r="Z555" s="714"/>
      <c r="AA555" s="398">
        <f t="shared" si="103"/>
        <v>0</v>
      </c>
      <c r="AB555" s="712"/>
      <c r="AC555" s="713"/>
      <c r="AD555" s="714"/>
      <c r="AE555" s="398">
        <f t="shared" si="104"/>
        <v>0</v>
      </c>
      <c r="AF555" s="712"/>
      <c r="AG555" s="713"/>
      <c r="AH555" s="714"/>
      <c r="AI555" s="398">
        <f t="shared" si="105"/>
        <v>0</v>
      </c>
      <c r="AJ555" s="712"/>
      <c r="AK555" s="713"/>
      <c r="AL555" s="714"/>
      <c r="AM555" s="398">
        <f t="shared" si="106"/>
        <v>0</v>
      </c>
    </row>
    <row r="556" spans="1:39" ht="16.5" customHeight="1" x14ac:dyDescent="0.3">
      <c r="A556" s="2162"/>
      <c r="B556" s="1313" t="str">
        <f t="shared" si="102"/>
        <v/>
      </c>
      <c r="C556" s="1011">
        <f>IF($D$2="NO",0,ROUNDDOWN(SUM(PROD!$V$5:V557)/IF(Iniciar!$C$25="kilos",40,1),0)-SUM($C$4:$C555))</f>
        <v>0</v>
      </c>
      <c r="D556" s="702"/>
      <c r="E556" s="702"/>
      <c r="F556" s="300">
        <f t="shared" si="107"/>
        <v>-95000</v>
      </c>
      <c r="G556" s="694"/>
      <c r="H556" s="695"/>
      <c r="I556" s="1314"/>
      <c r="J556" s="1315">
        <f>IF(K$1&gt;0,ROUNDUP(SUM(PROD!AM$5:AM557)/K$1*K$2,0),0)-SUM(J$4:J555)</f>
        <v>0</v>
      </c>
      <c r="K556" s="1316">
        <f t="shared" si="97"/>
        <v>0</v>
      </c>
      <c r="L556" s="1314"/>
      <c r="M556" s="1315">
        <f>IF(N$1&gt;0,ROUNDUP(SUM(PROD!L$5:L557,-PROD!AM$5:AM557,-PROD!AZ$5:AZ557)/N$1*N$2,0),0)-SUM(M$4:M555)</f>
        <v>0</v>
      </c>
      <c r="N556" s="1316">
        <f t="shared" si="98"/>
        <v>0</v>
      </c>
      <c r="O556" s="1317">
        <f t="shared" si="99"/>
        <v>0</v>
      </c>
      <c r="P556" s="1318"/>
      <c r="Q556" s="1319"/>
      <c r="R556" s="1320">
        <f t="shared" si="100"/>
        <v>0</v>
      </c>
      <c r="S556" s="1316">
        <f t="shared" si="101"/>
        <v>0</v>
      </c>
      <c r="T556" s="712"/>
      <c r="U556" s="713"/>
      <c r="V556" s="714"/>
      <c r="W556" s="398">
        <f t="shared" si="108"/>
        <v>0</v>
      </c>
      <c r="X556" s="712"/>
      <c r="Y556" s="713"/>
      <c r="Z556" s="714"/>
      <c r="AA556" s="398">
        <f t="shared" si="103"/>
        <v>0</v>
      </c>
      <c r="AB556" s="712"/>
      <c r="AC556" s="713"/>
      <c r="AD556" s="714"/>
      <c r="AE556" s="398">
        <f t="shared" si="104"/>
        <v>0</v>
      </c>
      <c r="AF556" s="712"/>
      <c r="AG556" s="713"/>
      <c r="AH556" s="714"/>
      <c r="AI556" s="398">
        <f t="shared" si="105"/>
        <v>0</v>
      </c>
      <c r="AJ556" s="712"/>
      <c r="AK556" s="713"/>
      <c r="AL556" s="714"/>
      <c r="AM556" s="398">
        <f t="shared" si="106"/>
        <v>0</v>
      </c>
    </row>
    <row r="557" spans="1:39" ht="16.5" customHeight="1" x14ac:dyDescent="0.3">
      <c r="A557" s="2160">
        <f>A550+1</f>
        <v>97</v>
      </c>
      <c r="B557" s="1313" t="str">
        <f t="shared" si="102"/>
        <v/>
      </c>
      <c r="C557" s="1011">
        <f>IF($D$2="NO",0,ROUNDDOWN(SUM(PROD!$V$5:V558)/IF(Iniciar!$C$25="kilos",40,1),0)-SUM($C$4:$C556))</f>
        <v>0</v>
      </c>
      <c r="D557" s="702"/>
      <c r="E557" s="702"/>
      <c r="F557" s="300">
        <f t="shared" si="107"/>
        <v>-95000</v>
      </c>
      <c r="G557" s="694"/>
      <c r="H557" s="695"/>
      <c r="I557" s="1314"/>
      <c r="J557" s="1315">
        <f>IF(K$1&gt;0,ROUNDUP(SUM(PROD!AM$5:AM558)/K$1*K$2,0),0)-SUM(J$4:J556)</f>
        <v>0</v>
      </c>
      <c r="K557" s="1316">
        <f t="shared" si="97"/>
        <v>0</v>
      </c>
      <c r="L557" s="1314"/>
      <c r="M557" s="1315">
        <f>IF(N$1&gt;0,ROUNDUP(SUM(PROD!L$5:L558,-PROD!AM$5:AM558,-PROD!AZ$5:AZ558)/N$1*N$2,0),0)-SUM(M$4:M556)</f>
        <v>0</v>
      </c>
      <c r="N557" s="1316">
        <f t="shared" si="98"/>
        <v>0</v>
      </c>
      <c r="O557" s="1317">
        <f t="shared" si="99"/>
        <v>0</v>
      </c>
      <c r="P557" s="1318"/>
      <c r="Q557" s="1319"/>
      <c r="R557" s="1320">
        <f t="shared" si="100"/>
        <v>0</v>
      </c>
      <c r="S557" s="1316">
        <f t="shared" si="101"/>
        <v>0</v>
      </c>
      <c r="T557" s="712"/>
      <c r="U557" s="713"/>
      <c r="V557" s="714"/>
      <c r="W557" s="398">
        <f t="shared" si="108"/>
        <v>0</v>
      </c>
      <c r="X557" s="712"/>
      <c r="Y557" s="713"/>
      <c r="Z557" s="714"/>
      <c r="AA557" s="398">
        <f t="shared" si="103"/>
        <v>0</v>
      </c>
      <c r="AB557" s="712"/>
      <c r="AC557" s="713"/>
      <c r="AD557" s="714"/>
      <c r="AE557" s="398">
        <f t="shared" si="104"/>
        <v>0</v>
      </c>
      <c r="AF557" s="712"/>
      <c r="AG557" s="713"/>
      <c r="AH557" s="714"/>
      <c r="AI557" s="398">
        <f t="shared" si="105"/>
        <v>0</v>
      </c>
      <c r="AJ557" s="712"/>
      <c r="AK557" s="713"/>
      <c r="AL557" s="714"/>
      <c r="AM557" s="398">
        <f t="shared" si="106"/>
        <v>0</v>
      </c>
    </row>
    <row r="558" spans="1:39" ht="15.75" customHeight="1" x14ac:dyDescent="0.3">
      <c r="A558" s="2161"/>
      <c r="B558" s="1313" t="str">
        <f t="shared" si="102"/>
        <v/>
      </c>
      <c r="C558" s="1011">
        <f>IF($D$2="NO",0,ROUNDDOWN(SUM(PROD!$V$5:V559)/IF(Iniciar!$C$25="kilos",40,1),0)-SUM($C$4:$C557))</f>
        <v>0</v>
      </c>
      <c r="D558" s="702"/>
      <c r="E558" s="702"/>
      <c r="F558" s="300">
        <f t="shared" si="107"/>
        <v>-95000</v>
      </c>
      <c r="G558" s="694"/>
      <c r="H558" s="695"/>
      <c r="I558" s="1314"/>
      <c r="J558" s="1315">
        <f>IF(K$1&gt;0,ROUNDUP(SUM(PROD!AM$5:AM559)/K$1*K$2,0),0)-SUM(J$4:J557)</f>
        <v>0</v>
      </c>
      <c r="K558" s="1316">
        <f t="shared" si="97"/>
        <v>0</v>
      </c>
      <c r="L558" s="1314"/>
      <c r="M558" s="1315">
        <f>IF(N$1&gt;0,ROUNDUP(SUM(PROD!L$5:L559,-PROD!AM$5:AM559,-PROD!AZ$5:AZ559)/N$1*N$2,0),0)-SUM(M$4:M557)</f>
        <v>0</v>
      </c>
      <c r="N558" s="1316">
        <f t="shared" si="98"/>
        <v>0</v>
      </c>
      <c r="O558" s="1317">
        <f t="shared" si="99"/>
        <v>0</v>
      </c>
      <c r="P558" s="1318"/>
      <c r="Q558" s="1319"/>
      <c r="R558" s="1320">
        <f t="shared" si="100"/>
        <v>0</v>
      </c>
      <c r="S558" s="1316">
        <f t="shared" si="101"/>
        <v>0</v>
      </c>
      <c r="T558" s="712"/>
      <c r="U558" s="713"/>
      <c r="V558" s="714"/>
      <c r="W558" s="398">
        <f t="shared" si="108"/>
        <v>0</v>
      </c>
      <c r="X558" s="712"/>
      <c r="Y558" s="713"/>
      <c r="Z558" s="714"/>
      <c r="AA558" s="398">
        <f t="shared" si="103"/>
        <v>0</v>
      </c>
      <c r="AB558" s="712"/>
      <c r="AC558" s="713"/>
      <c r="AD558" s="714"/>
      <c r="AE558" s="398">
        <f t="shared" si="104"/>
        <v>0</v>
      </c>
      <c r="AF558" s="712"/>
      <c r="AG558" s="713"/>
      <c r="AH558" s="714"/>
      <c r="AI558" s="398">
        <f t="shared" si="105"/>
        <v>0</v>
      </c>
      <c r="AJ558" s="712"/>
      <c r="AK558" s="713"/>
      <c r="AL558" s="714"/>
      <c r="AM558" s="398">
        <f t="shared" si="106"/>
        <v>0</v>
      </c>
    </row>
    <row r="559" spans="1:39" ht="15.75" customHeight="1" x14ac:dyDescent="0.3">
      <c r="A559" s="2161"/>
      <c r="B559" s="1313" t="str">
        <f t="shared" si="102"/>
        <v/>
      </c>
      <c r="C559" s="1011">
        <f>IF($D$2="NO",0,ROUNDDOWN(SUM(PROD!$V$5:V560)/IF(Iniciar!$C$25="kilos",40,1),0)-SUM($C$4:$C558))</f>
        <v>0</v>
      </c>
      <c r="D559" s="702"/>
      <c r="E559" s="702"/>
      <c r="F559" s="300">
        <f t="shared" si="107"/>
        <v>-95000</v>
      </c>
      <c r="G559" s="694"/>
      <c r="H559" s="695"/>
      <c r="I559" s="1314"/>
      <c r="J559" s="1315">
        <f>IF(K$1&gt;0,ROUNDUP(SUM(PROD!AM$5:AM560)/K$1*K$2,0),0)-SUM(J$4:J558)</f>
        <v>0</v>
      </c>
      <c r="K559" s="1316">
        <f t="shared" si="97"/>
        <v>0</v>
      </c>
      <c r="L559" s="1314"/>
      <c r="M559" s="1315">
        <f>IF(N$1&gt;0,ROUNDUP(SUM(PROD!L$5:L560,-PROD!AM$5:AM560,-PROD!AZ$5:AZ560)/N$1*N$2,0),0)-SUM(M$4:M558)</f>
        <v>0</v>
      </c>
      <c r="N559" s="1316">
        <f t="shared" si="98"/>
        <v>0</v>
      </c>
      <c r="O559" s="1317">
        <f t="shared" si="99"/>
        <v>0</v>
      </c>
      <c r="P559" s="1318"/>
      <c r="Q559" s="1319"/>
      <c r="R559" s="1320">
        <f t="shared" si="100"/>
        <v>0</v>
      </c>
      <c r="S559" s="1316">
        <f t="shared" si="101"/>
        <v>0</v>
      </c>
      <c r="T559" s="712"/>
      <c r="U559" s="713"/>
      <c r="V559" s="714"/>
      <c r="W559" s="398">
        <f t="shared" si="108"/>
        <v>0</v>
      </c>
      <c r="X559" s="712"/>
      <c r="Y559" s="713"/>
      <c r="Z559" s="714"/>
      <c r="AA559" s="398">
        <f t="shared" si="103"/>
        <v>0</v>
      </c>
      <c r="AB559" s="712"/>
      <c r="AC559" s="713"/>
      <c r="AD559" s="714"/>
      <c r="AE559" s="398">
        <f t="shared" si="104"/>
        <v>0</v>
      </c>
      <c r="AF559" s="712"/>
      <c r="AG559" s="713"/>
      <c r="AH559" s="714"/>
      <c r="AI559" s="398">
        <f t="shared" si="105"/>
        <v>0</v>
      </c>
      <c r="AJ559" s="712"/>
      <c r="AK559" s="713"/>
      <c r="AL559" s="714"/>
      <c r="AM559" s="398">
        <f t="shared" si="106"/>
        <v>0</v>
      </c>
    </row>
    <row r="560" spans="1:39" ht="15.75" customHeight="1" x14ac:dyDescent="0.3">
      <c r="A560" s="2161"/>
      <c r="B560" s="1313" t="str">
        <f t="shared" si="102"/>
        <v/>
      </c>
      <c r="C560" s="1011">
        <f>IF($D$2="NO",0,ROUNDDOWN(SUM(PROD!$V$5:V561)/IF(Iniciar!$C$25="kilos",40,1),0)-SUM($C$4:$C559))</f>
        <v>0</v>
      </c>
      <c r="D560" s="702"/>
      <c r="E560" s="702"/>
      <c r="F560" s="300">
        <f t="shared" si="107"/>
        <v>-95000</v>
      </c>
      <c r="G560" s="694"/>
      <c r="H560" s="695"/>
      <c r="I560" s="1314"/>
      <c r="J560" s="1315">
        <f>IF(K$1&gt;0,ROUNDUP(SUM(PROD!AM$5:AM561)/K$1*K$2,0),0)-SUM(J$4:J559)</f>
        <v>0</v>
      </c>
      <c r="K560" s="1316">
        <f t="shared" si="97"/>
        <v>0</v>
      </c>
      <c r="L560" s="1314"/>
      <c r="M560" s="1315">
        <f>IF(N$1&gt;0,ROUNDUP(SUM(PROD!L$5:L561,-PROD!AM$5:AM561,-PROD!AZ$5:AZ561)/N$1*N$2,0),0)-SUM(M$4:M559)</f>
        <v>0</v>
      </c>
      <c r="N560" s="1316">
        <f t="shared" si="98"/>
        <v>0</v>
      </c>
      <c r="O560" s="1317">
        <f t="shared" si="99"/>
        <v>0</v>
      </c>
      <c r="P560" s="1318"/>
      <c r="Q560" s="1319"/>
      <c r="R560" s="1320">
        <f t="shared" si="100"/>
        <v>0</v>
      </c>
      <c r="S560" s="1316">
        <f t="shared" si="101"/>
        <v>0</v>
      </c>
      <c r="T560" s="712"/>
      <c r="U560" s="713"/>
      <c r="V560" s="714"/>
      <c r="W560" s="398">
        <f t="shared" si="108"/>
        <v>0</v>
      </c>
      <c r="X560" s="712"/>
      <c r="Y560" s="713"/>
      <c r="Z560" s="714"/>
      <c r="AA560" s="398">
        <f t="shared" si="103"/>
        <v>0</v>
      </c>
      <c r="AB560" s="712"/>
      <c r="AC560" s="713"/>
      <c r="AD560" s="714"/>
      <c r="AE560" s="398">
        <f t="shared" si="104"/>
        <v>0</v>
      </c>
      <c r="AF560" s="712"/>
      <c r="AG560" s="713"/>
      <c r="AH560" s="714"/>
      <c r="AI560" s="398">
        <f t="shared" si="105"/>
        <v>0</v>
      </c>
      <c r="AJ560" s="712"/>
      <c r="AK560" s="713"/>
      <c r="AL560" s="714"/>
      <c r="AM560" s="398">
        <f t="shared" si="106"/>
        <v>0</v>
      </c>
    </row>
    <row r="561" spans="1:39" ht="15.75" customHeight="1" x14ac:dyDescent="0.3">
      <c r="A561" s="2161"/>
      <c r="B561" s="1313" t="str">
        <f t="shared" si="102"/>
        <v/>
      </c>
      <c r="C561" s="1011">
        <f>IF($D$2="NO",0,ROUNDDOWN(SUM(PROD!$V$5:V562)/IF(Iniciar!$C$25="kilos",40,1),0)-SUM($C$4:$C560))</f>
        <v>0</v>
      </c>
      <c r="D561" s="702"/>
      <c r="E561" s="702"/>
      <c r="F561" s="300">
        <f t="shared" si="107"/>
        <v>-95000</v>
      </c>
      <c r="G561" s="694"/>
      <c r="H561" s="695"/>
      <c r="I561" s="1314"/>
      <c r="J561" s="1315">
        <f>IF(K$1&gt;0,ROUNDUP(SUM(PROD!AM$5:AM562)/K$1*K$2,0),0)-SUM(J$4:J560)</f>
        <v>0</v>
      </c>
      <c r="K561" s="1316">
        <f t="shared" si="97"/>
        <v>0</v>
      </c>
      <c r="L561" s="1314"/>
      <c r="M561" s="1315">
        <f>IF(N$1&gt;0,ROUNDUP(SUM(PROD!L$5:L562,-PROD!AM$5:AM562,-PROD!AZ$5:AZ562)/N$1*N$2,0),0)-SUM(M$4:M560)</f>
        <v>0</v>
      </c>
      <c r="N561" s="1316">
        <f t="shared" si="98"/>
        <v>0</v>
      </c>
      <c r="O561" s="1317">
        <f t="shared" si="99"/>
        <v>0</v>
      </c>
      <c r="P561" s="1318"/>
      <c r="Q561" s="1319"/>
      <c r="R561" s="1320">
        <f t="shared" si="100"/>
        <v>0</v>
      </c>
      <c r="S561" s="1316">
        <f t="shared" si="101"/>
        <v>0</v>
      </c>
      <c r="T561" s="712"/>
      <c r="U561" s="713"/>
      <c r="V561" s="714"/>
      <c r="W561" s="398">
        <f t="shared" si="108"/>
        <v>0</v>
      </c>
      <c r="X561" s="712"/>
      <c r="Y561" s="713"/>
      <c r="Z561" s="714"/>
      <c r="AA561" s="398">
        <f t="shared" si="103"/>
        <v>0</v>
      </c>
      <c r="AB561" s="712"/>
      <c r="AC561" s="713"/>
      <c r="AD561" s="714"/>
      <c r="AE561" s="398">
        <f t="shared" si="104"/>
        <v>0</v>
      </c>
      <c r="AF561" s="712"/>
      <c r="AG561" s="713"/>
      <c r="AH561" s="714"/>
      <c r="AI561" s="398">
        <f t="shared" si="105"/>
        <v>0</v>
      </c>
      <c r="AJ561" s="712"/>
      <c r="AK561" s="713"/>
      <c r="AL561" s="714"/>
      <c r="AM561" s="398">
        <f t="shared" si="106"/>
        <v>0</v>
      </c>
    </row>
    <row r="562" spans="1:39" ht="15.75" customHeight="1" x14ac:dyDescent="0.3">
      <c r="A562" s="2161"/>
      <c r="B562" s="1313" t="str">
        <f t="shared" si="102"/>
        <v/>
      </c>
      <c r="C562" s="1011">
        <f>IF($D$2="NO",0,ROUNDDOWN(SUM(PROD!$V$5:V563)/IF(Iniciar!$C$25="kilos",40,1),0)-SUM($C$4:$C561))</f>
        <v>0</v>
      </c>
      <c r="D562" s="702"/>
      <c r="E562" s="702"/>
      <c r="F562" s="300">
        <f t="shared" si="107"/>
        <v>-95000</v>
      </c>
      <c r="G562" s="694"/>
      <c r="H562" s="695"/>
      <c r="I562" s="1314"/>
      <c r="J562" s="1315">
        <f>IF(K$1&gt;0,ROUNDUP(SUM(PROD!AM$5:AM563)/K$1*K$2,0),0)-SUM(J$4:J561)</f>
        <v>0</v>
      </c>
      <c r="K562" s="1316">
        <f t="shared" si="97"/>
        <v>0</v>
      </c>
      <c r="L562" s="1314"/>
      <c r="M562" s="1315">
        <f>IF(N$1&gt;0,ROUNDUP(SUM(PROD!L$5:L563,-PROD!AM$5:AM563,-PROD!AZ$5:AZ563)/N$1*N$2,0),0)-SUM(M$4:M561)</f>
        <v>0</v>
      </c>
      <c r="N562" s="1316">
        <f t="shared" si="98"/>
        <v>0</v>
      </c>
      <c r="O562" s="1317">
        <f t="shared" si="99"/>
        <v>0</v>
      </c>
      <c r="P562" s="1318"/>
      <c r="Q562" s="1319"/>
      <c r="R562" s="1320">
        <f t="shared" si="100"/>
        <v>0</v>
      </c>
      <c r="S562" s="1316">
        <f t="shared" si="101"/>
        <v>0</v>
      </c>
      <c r="T562" s="712"/>
      <c r="U562" s="713"/>
      <c r="V562" s="714"/>
      <c r="W562" s="398">
        <f t="shared" si="108"/>
        <v>0</v>
      </c>
      <c r="X562" s="712"/>
      <c r="Y562" s="713"/>
      <c r="Z562" s="714"/>
      <c r="AA562" s="398">
        <f t="shared" si="103"/>
        <v>0</v>
      </c>
      <c r="AB562" s="712"/>
      <c r="AC562" s="713"/>
      <c r="AD562" s="714"/>
      <c r="AE562" s="398">
        <f t="shared" si="104"/>
        <v>0</v>
      </c>
      <c r="AF562" s="712"/>
      <c r="AG562" s="713"/>
      <c r="AH562" s="714"/>
      <c r="AI562" s="398">
        <f t="shared" si="105"/>
        <v>0</v>
      </c>
      <c r="AJ562" s="712"/>
      <c r="AK562" s="713"/>
      <c r="AL562" s="714"/>
      <c r="AM562" s="398">
        <f t="shared" si="106"/>
        <v>0</v>
      </c>
    </row>
    <row r="563" spans="1:39" ht="16.5" customHeight="1" x14ac:dyDescent="0.3">
      <c r="A563" s="2162"/>
      <c r="B563" s="1313" t="str">
        <f t="shared" si="102"/>
        <v/>
      </c>
      <c r="C563" s="1011">
        <f>IF($D$2="NO",0,ROUNDDOWN(SUM(PROD!$V$5:V564)/IF(Iniciar!$C$25="kilos",40,1),0)-SUM($C$4:$C562))</f>
        <v>0</v>
      </c>
      <c r="D563" s="702"/>
      <c r="E563" s="702"/>
      <c r="F563" s="300">
        <f t="shared" si="107"/>
        <v>-95000</v>
      </c>
      <c r="G563" s="694"/>
      <c r="H563" s="695"/>
      <c r="I563" s="1314"/>
      <c r="J563" s="1315">
        <f>IF(K$1&gt;0,ROUNDUP(SUM(PROD!AM$5:AM564)/K$1*K$2,0),0)-SUM(J$4:J562)</f>
        <v>0</v>
      </c>
      <c r="K563" s="1316">
        <f t="shared" si="97"/>
        <v>0</v>
      </c>
      <c r="L563" s="1314"/>
      <c r="M563" s="1315">
        <f>IF(N$1&gt;0,ROUNDUP(SUM(PROD!L$5:L564,-PROD!AM$5:AM564,-PROD!AZ$5:AZ564)/N$1*N$2,0),0)-SUM(M$4:M562)</f>
        <v>0</v>
      </c>
      <c r="N563" s="1316">
        <f t="shared" si="98"/>
        <v>0</v>
      </c>
      <c r="O563" s="1317">
        <f t="shared" si="99"/>
        <v>0</v>
      </c>
      <c r="P563" s="1318"/>
      <c r="Q563" s="1319"/>
      <c r="R563" s="1320">
        <f t="shared" si="100"/>
        <v>0</v>
      </c>
      <c r="S563" s="1316">
        <f t="shared" si="101"/>
        <v>0</v>
      </c>
      <c r="T563" s="712"/>
      <c r="U563" s="713"/>
      <c r="V563" s="714"/>
      <c r="W563" s="398">
        <f t="shared" si="108"/>
        <v>0</v>
      </c>
      <c r="X563" s="712"/>
      <c r="Y563" s="713"/>
      <c r="Z563" s="714"/>
      <c r="AA563" s="398">
        <f t="shared" si="103"/>
        <v>0</v>
      </c>
      <c r="AB563" s="712"/>
      <c r="AC563" s="713"/>
      <c r="AD563" s="714"/>
      <c r="AE563" s="398">
        <f t="shared" si="104"/>
        <v>0</v>
      </c>
      <c r="AF563" s="712"/>
      <c r="AG563" s="713"/>
      <c r="AH563" s="714"/>
      <c r="AI563" s="398">
        <f t="shared" si="105"/>
        <v>0</v>
      </c>
      <c r="AJ563" s="712"/>
      <c r="AK563" s="713"/>
      <c r="AL563" s="714"/>
      <c r="AM563" s="398">
        <f t="shared" si="106"/>
        <v>0</v>
      </c>
    </row>
    <row r="564" spans="1:39" ht="16.5" customHeight="1" x14ac:dyDescent="0.3">
      <c r="A564" s="2160">
        <f>A557+1</f>
        <v>98</v>
      </c>
      <c r="B564" s="1313" t="str">
        <f t="shared" si="102"/>
        <v/>
      </c>
      <c r="C564" s="1011">
        <f>IF($D$2="NO",0,ROUNDDOWN(SUM(PROD!$V$5:V565)/IF(Iniciar!$C$25="kilos",40,1),0)-SUM($C$4:$C563))</f>
        <v>0</v>
      </c>
      <c r="D564" s="702"/>
      <c r="E564" s="702"/>
      <c r="F564" s="300">
        <f t="shared" si="107"/>
        <v>-95000</v>
      </c>
      <c r="G564" s="694"/>
      <c r="H564" s="695"/>
      <c r="I564" s="1314"/>
      <c r="J564" s="1315">
        <f>IF(K$1&gt;0,ROUNDUP(SUM(PROD!AM$5:AM565)/K$1*K$2,0),0)-SUM(J$4:J563)</f>
        <v>0</v>
      </c>
      <c r="K564" s="1316">
        <f t="shared" si="97"/>
        <v>0</v>
      </c>
      <c r="L564" s="1314"/>
      <c r="M564" s="1315">
        <f>IF(N$1&gt;0,ROUNDUP(SUM(PROD!L$5:L565,-PROD!AM$5:AM565,-PROD!AZ$5:AZ565)/N$1*N$2,0),0)-SUM(M$4:M563)</f>
        <v>0</v>
      </c>
      <c r="N564" s="1316">
        <f t="shared" si="98"/>
        <v>0</v>
      </c>
      <c r="O564" s="1317">
        <f t="shared" si="99"/>
        <v>0</v>
      </c>
      <c r="P564" s="1318"/>
      <c r="Q564" s="1319"/>
      <c r="R564" s="1320">
        <f t="shared" si="100"/>
        <v>0</v>
      </c>
      <c r="S564" s="1316">
        <f t="shared" si="101"/>
        <v>0</v>
      </c>
      <c r="T564" s="712"/>
      <c r="U564" s="713"/>
      <c r="V564" s="714"/>
      <c r="W564" s="398">
        <f t="shared" si="108"/>
        <v>0</v>
      </c>
      <c r="X564" s="712"/>
      <c r="Y564" s="713"/>
      <c r="Z564" s="714"/>
      <c r="AA564" s="398">
        <f t="shared" si="103"/>
        <v>0</v>
      </c>
      <c r="AB564" s="712"/>
      <c r="AC564" s="713"/>
      <c r="AD564" s="714"/>
      <c r="AE564" s="398">
        <f t="shared" si="104"/>
        <v>0</v>
      </c>
      <c r="AF564" s="712"/>
      <c r="AG564" s="713"/>
      <c r="AH564" s="714"/>
      <c r="AI564" s="398">
        <f t="shared" si="105"/>
        <v>0</v>
      </c>
      <c r="AJ564" s="712"/>
      <c r="AK564" s="713"/>
      <c r="AL564" s="714"/>
      <c r="AM564" s="398">
        <f t="shared" si="106"/>
        <v>0</v>
      </c>
    </row>
    <row r="565" spans="1:39" ht="15.75" customHeight="1" x14ac:dyDescent="0.3">
      <c r="A565" s="2161"/>
      <c r="B565" s="1313" t="str">
        <f t="shared" si="102"/>
        <v/>
      </c>
      <c r="C565" s="1011">
        <f>IF($D$2="NO",0,ROUNDDOWN(SUM(PROD!$V$5:V566)/IF(Iniciar!$C$25="kilos",40,1),0)-SUM($C$4:$C564))</f>
        <v>0</v>
      </c>
      <c r="D565" s="702"/>
      <c r="E565" s="702"/>
      <c r="F565" s="300">
        <f t="shared" si="107"/>
        <v>-95000</v>
      </c>
      <c r="G565" s="694"/>
      <c r="H565" s="695"/>
      <c r="I565" s="1314"/>
      <c r="J565" s="1315">
        <f>IF(K$1&gt;0,ROUNDUP(SUM(PROD!AM$5:AM566)/K$1*K$2,0),0)-SUM(J$4:J564)</f>
        <v>0</v>
      </c>
      <c r="K565" s="1316">
        <f t="shared" si="97"/>
        <v>0</v>
      </c>
      <c r="L565" s="1314"/>
      <c r="M565" s="1315">
        <f>IF(N$1&gt;0,ROUNDUP(SUM(PROD!L$5:L566,-PROD!AM$5:AM566,-PROD!AZ$5:AZ566)/N$1*N$2,0),0)-SUM(M$4:M564)</f>
        <v>0</v>
      </c>
      <c r="N565" s="1316">
        <f t="shared" si="98"/>
        <v>0</v>
      </c>
      <c r="O565" s="1317">
        <f t="shared" si="99"/>
        <v>0</v>
      </c>
      <c r="P565" s="1318"/>
      <c r="Q565" s="1319"/>
      <c r="R565" s="1320">
        <f t="shared" si="100"/>
        <v>0</v>
      </c>
      <c r="S565" s="1316">
        <f t="shared" si="101"/>
        <v>0</v>
      </c>
      <c r="T565" s="712"/>
      <c r="U565" s="713"/>
      <c r="V565" s="714"/>
      <c r="W565" s="398">
        <f t="shared" si="108"/>
        <v>0</v>
      </c>
      <c r="X565" s="712"/>
      <c r="Y565" s="713"/>
      <c r="Z565" s="714"/>
      <c r="AA565" s="398">
        <f t="shared" si="103"/>
        <v>0</v>
      </c>
      <c r="AB565" s="712"/>
      <c r="AC565" s="713"/>
      <c r="AD565" s="714"/>
      <c r="AE565" s="398">
        <f t="shared" si="104"/>
        <v>0</v>
      </c>
      <c r="AF565" s="712"/>
      <c r="AG565" s="713"/>
      <c r="AH565" s="714"/>
      <c r="AI565" s="398">
        <f t="shared" si="105"/>
        <v>0</v>
      </c>
      <c r="AJ565" s="712"/>
      <c r="AK565" s="713"/>
      <c r="AL565" s="714"/>
      <c r="AM565" s="398">
        <f t="shared" si="106"/>
        <v>0</v>
      </c>
    </row>
    <row r="566" spans="1:39" ht="15.75" customHeight="1" x14ac:dyDescent="0.3">
      <c r="A566" s="2161"/>
      <c r="B566" s="1313" t="str">
        <f t="shared" si="102"/>
        <v/>
      </c>
      <c r="C566" s="1011">
        <f>IF($D$2="NO",0,ROUNDDOWN(SUM(PROD!$V$5:V567)/IF(Iniciar!$C$25="kilos",40,1),0)-SUM($C$4:$C565))</f>
        <v>0</v>
      </c>
      <c r="D566" s="702"/>
      <c r="E566" s="702"/>
      <c r="F566" s="300">
        <f t="shared" si="107"/>
        <v>-95000</v>
      </c>
      <c r="G566" s="694"/>
      <c r="H566" s="695"/>
      <c r="I566" s="1314"/>
      <c r="J566" s="1315">
        <f>IF(K$1&gt;0,ROUNDUP(SUM(PROD!AM$5:AM567)/K$1*K$2,0),0)-SUM(J$4:J565)</f>
        <v>0</v>
      </c>
      <c r="K566" s="1316">
        <f t="shared" si="97"/>
        <v>0</v>
      </c>
      <c r="L566" s="1314"/>
      <c r="M566" s="1315">
        <f>IF(N$1&gt;0,ROUNDUP(SUM(PROD!L$5:L567,-PROD!AM$5:AM567,-PROD!AZ$5:AZ567)/N$1*N$2,0),0)-SUM(M$4:M565)</f>
        <v>0</v>
      </c>
      <c r="N566" s="1316">
        <f t="shared" si="98"/>
        <v>0</v>
      </c>
      <c r="O566" s="1317">
        <f t="shared" si="99"/>
        <v>0</v>
      </c>
      <c r="P566" s="1318"/>
      <c r="Q566" s="1319"/>
      <c r="R566" s="1320">
        <f t="shared" si="100"/>
        <v>0</v>
      </c>
      <c r="S566" s="1316">
        <f t="shared" si="101"/>
        <v>0</v>
      </c>
      <c r="T566" s="712"/>
      <c r="U566" s="713"/>
      <c r="V566" s="714"/>
      <c r="W566" s="398">
        <f t="shared" si="108"/>
        <v>0</v>
      </c>
      <c r="X566" s="712"/>
      <c r="Y566" s="713"/>
      <c r="Z566" s="714"/>
      <c r="AA566" s="398">
        <f t="shared" si="103"/>
        <v>0</v>
      </c>
      <c r="AB566" s="712"/>
      <c r="AC566" s="713"/>
      <c r="AD566" s="714"/>
      <c r="AE566" s="398">
        <f t="shared" si="104"/>
        <v>0</v>
      </c>
      <c r="AF566" s="712"/>
      <c r="AG566" s="713"/>
      <c r="AH566" s="714"/>
      <c r="AI566" s="398">
        <f t="shared" si="105"/>
        <v>0</v>
      </c>
      <c r="AJ566" s="712"/>
      <c r="AK566" s="713"/>
      <c r="AL566" s="714"/>
      <c r="AM566" s="398">
        <f t="shared" si="106"/>
        <v>0</v>
      </c>
    </row>
    <row r="567" spans="1:39" ht="15.75" customHeight="1" x14ac:dyDescent="0.3">
      <c r="A567" s="2161"/>
      <c r="B567" s="1313" t="str">
        <f t="shared" si="102"/>
        <v/>
      </c>
      <c r="C567" s="1011">
        <f>IF($D$2="NO",0,ROUNDDOWN(SUM(PROD!$V$5:V568)/IF(Iniciar!$C$25="kilos",40,1),0)-SUM($C$4:$C566))</f>
        <v>0</v>
      </c>
      <c r="D567" s="702"/>
      <c r="E567" s="702"/>
      <c r="F567" s="300">
        <f t="shared" si="107"/>
        <v>-95000</v>
      </c>
      <c r="G567" s="694"/>
      <c r="H567" s="695"/>
      <c r="I567" s="1314"/>
      <c r="J567" s="1315">
        <f>IF(K$1&gt;0,ROUNDUP(SUM(PROD!AM$5:AM568)/K$1*K$2,0),0)-SUM(J$4:J566)</f>
        <v>0</v>
      </c>
      <c r="K567" s="1316">
        <f t="shared" si="97"/>
        <v>0</v>
      </c>
      <c r="L567" s="1314"/>
      <c r="M567" s="1315">
        <f>IF(N$1&gt;0,ROUNDUP(SUM(PROD!L$5:L568,-PROD!AM$5:AM568,-PROD!AZ$5:AZ568)/N$1*N$2,0),0)-SUM(M$4:M566)</f>
        <v>0</v>
      </c>
      <c r="N567" s="1316">
        <f t="shared" si="98"/>
        <v>0</v>
      </c>
      <c r="O567" s="1317">
        <f t="shared" si="99"/>
        <v>0</v>
      </c>
      <c r="P567" s="1318"/>
      <c r="Q567" s="1319"/>
      <c r="R567" s="1320">
        <f t="shared" si="100"/>
        <v>0</v>
      </c>
      <c r="S567" s="1316">
        <f t="shared" si="101"/>
        <v>0</v>
      </c>
      <c r="T567" s="712"/>
      <c r="U567" s="713"/>
      <c r="V567" s="714"/>
      <c r="W567" s="398">
        <f t="shared" si="108"/>
        <v>0</v>
      </c>
      <c r="X567" s="712"/>
      <c r="Y567" s="713"/>
      <c r="Z567" s="714"/>
      <c r="AA567" s="398">
        <f t="shared" si="103"/>
        <v>0</v>
      </c>
      <c r="AB567" s="712"/>
      <c r="AC567" s="713"/>
      <c r="AD567" s="714"/>
      <c r="AE567" s="398">
        <f t="shared" si="104"/>
        <v>0</v>
      </c>
      <c r="AF567" s="712"/>
      <c r="AG567" s="713"/>
      <c r="AH567" s="714"/>
      <c r="AI567" s="398">
        <f t="shared" si="105"/>
        <v>0</v>
      </c>
      <c r="AJ567" s="712"/>
      <c r="AK567" s="713"/>
      <c r="AL567" s="714"/>
      <c r="AM567" s="398">
        <f t="shared" si="106"/>
        <v>0</v>
      </c>
    </row>
    <row r="568" spans="1:39" ht="15.75" customHeight="1" x14ac:dyDescent="0.3">
      <c r="A568" s="2161"/>
      <c r="B568" s="1313" t="str">
        <f t="shared" si="102"/>
        <v/>
      </c>
      <c r="C568" s="1011">
        <f>IF($D$2="NO",0,ROUNDDOWN(SUM(PROD!$V$5:V569)/IF(Iniciar!$C$25="kilos",40,1),0)-SUM($C$4:$C567))</f>
        <v>0</v>
      </c>
      <c r="D568" s="702"/>
      <c r="E568" s="702"/>
      <c r="F568" s="300">
        <f t="shared" si="107"/>
        <v>-95000</v>
      </c>
      <c r="G568" s="694"/>
      <c r="H568" s="695"/>
      <c r="I568" s="1314"/>
      <c r="J568" s="1315">
        <f>IF(K$1&gt;0,ROUNDUP(SUM(PROD!AM$5:AM569)/K$1*K$2,0),0)-SUM(J$4:J567)</f>
        <v>0</v>
      </c>
      <c r="K568" s="1316">
        <f t="shared" si="97"/>
        <v>0</v>
      </c>
      <c r="L568" s="1314"/>
      <c r="M568" s="1315">
        <f>IF(N$1&gt;0,ROUNDUP(SUM(PROD!L$5:L569,-PROD!AM$5:AM569,-PROD!AZ$5:AZ569)/N$1*N$2,0),0)-SUM(M$4:M567)</f>
        <v>0</v>
      </c>
      <c r="N568" s="1316">
        <f t="shared" si="98"/>
        <v>0</v>
      </c>
      <c r="O568" s="1317">
        <f t="shared" si="99"/>
        <v>0</v>
      </c>
      <c r="P568" s="1318"/>
      <c r="Q568" s="1319"/>
      <c r="R568" s="1320">
        <f t="shared" si="100"/>
        <v>0</v>
      </c>
      <c r="S568" s="1316">
        <f t="shared" si="101"/>
        <v>0</v>
      </c>
      <c r="T568" s="712"/>
      <c r="U568" s="713"/>
      <c r="V568" s="714"/>
      <c r="W568" s="398">
        <f t="shared" si="108"/>
        <v>0</v>
      </c>
      <c r="X568" s="712"/>
      <c r="Y568" s="713"/>
      <c r="Z568" s="714"/>
      <c r="AA568" s="398">
        <f t="shared" si="103"/>
        <v>0</v>
      </c>
      <c r="AB568" s="712"/>
      <c r="AC568" s="713"/>
      <c r="AD568" s="714"/>
      <c r="AE568" s="398">
        <f t="shared" si="104"/>
        <v>0</v>
      </c>
      <c r="AF568" s="712"/>
      <c r="AG568" s="713"/>
      <c r="AH568" s="714"/>
      <c r="AI568" s="398">
        <f t="shared" si="105"/>
        <v>0</v>
      </c>
      <c r="AJ568" s="712"/>
      <c r="AK568" s="713"/>
      <c r="AL568" s="714"/>
      <c r="AM568" s="398">
        <f t="shared" si="106"/>
        <v>0</v>
      </c>
    </row>
    <row r="569" spans="1:39" ht="15.75" customHeight="1" x14ac:dyDescent="0.3">
      <c r="A569" s="2161"/>
      <c r="B569" s="1313" t="str">
        <f t="shared" si="102"/>
        <v/>
      </c>
      <c r="C569" s="1011">
        <f>IF($D$2="NO",0,ROUNDDOWN(SUM(PROD!$V$5:V570)/IF(Iniciar!$C$25="kilos",40,1),0)-SUM($C$4:$C568))</f>
        <v>0</v>
      </c>
      <c r="D569" s="702"/>
      <c r="E569" s="702"/>
      <c r="F569" s="300">
        <f t="shared" si="107"/>
        <v>-95000</v>
      </c>
      <c r="G569" s="694"/>
      <c r="H569" s="695"/>
      <c r="I569" s="1314"/>
      <c r="J569" s="1315">
        <f>IF(K$1&gt;0,ROUNDUP(SUM(PROD!AM$5:AM570)/K$1*K$2,0),0)-SUM(J$4:J568)</f>
        <v>0</v>
      </c>
      <c r="K569" s="1316">
        <f t="shared" si="97"/>
        <v>0</v>
      </c>
      <c r="L569" s="1314"/>
      <c r="M569" s="1315">
        <f>IF(N$1&gt;0,ROUNDUP(SUM(PROD!L$5:L570,-PROD!AM$5:AM570,-PROD!AZ$5:AZ570)/N$1*N$2,0),0)-SUM(M$4:M568)</f>
        <v>0</v>
      </c>
      <c r="N569" s="1316">
        <f t="shared" si="98"/>
        <v>0</v>
      </c>
      <c r="O569" s="1317">
        <f t="shared" si="99"/>
        <v>0</v>
      </c>
      <c r="P569" s="1318"/>
      <c r="Q569" s="1319"/>
      <c r="R569" s="1320">
        <f t="shared" si="100"/>
        <v>0</v>
      </c>
      <c r="S569" s="1316">
        <f t="shared" si="101"/>
        <v>0</v>
      </c>
      <c r="T569" s="712"/>
      <c r="U569" s="713"/>
      <c r="V569" s="714"/>
      <c r="W569" s="398">
        <f t="shared" si="108"/>
        <v>0</v>
      </c>
      <c r="X569" s="712"/>
      <c r="Y569" s="713"/>
      <c r="Z569" s="714"/>
      <c r="AA569" s="398">
        <f t="shared" si="103"/>
        <v>0</v>
      </c>
      <c r="AB569" s="712"/>
      <c r="AC569" s="713"/>
      <c r="AD569" s="714"/>
      <c r="AE569" s="398">
        <f t="shared" si="104"/>
        <v>0</v>
      </c>
      <c r="AF569" s="712"/>
      <c r="AG569" s="713"/>
      <c r="AH569" s="714"/>
      <c r="AI569" s="398">
        <f t="shared" si="105"/>
        <v>0</v>
      </c>
      <c r="AJ569" s="712"/>
      <c r="AK569" s="713"/>
      <c r="AL569" s="714"/>
      <c r="AM569" s="398">
        <f t="shared" si="106"/>
        <v>0</v>
      </c>
    </row>
    <row r="570" spans="1:39" ht="16.5" customHeight="1" x14ac:dyDescent="0.3">
      <c r="A570" s="2162"/>
      <c r="B570" s="1313" t="str">
        <f t="shared" si="102"/>
        <v/>
      </c>
      <c r="C570" s="1011">
        <f>IF($D$2="NO",0,ROUNDDOWN(SUM(PROD!$V$5:V571)/IF(Iniciar!$C$25="kilos",40,1),0)-SUM($C$4:$C569))</f>
        <v>0</v>
      </c>
      <c r="D570" s="702"/>
      <c r="E570" s="702"/>
      <c r="F570" s="300">
        <f t="shared" si="107"/>
        <v>-95000</v>
      </c>
      <c r="G570" s="694"/>
      <c r="H570" s="695"/>
      <c r="I570" s="1314"/>
      <c r="J570" s="1315">
        <f>IF(K$1&gt;0,ROUNDUP(SUM(PROD!AM$5:AM571)/K$1*K$2,0),0)-SUM(J$4:J569)</f>
        <v>0</v>
      </c>
      <c r="K570" s="1316">
        <f t="shared" si="97"/>
        <v>0</v>
      </c>
      <c r="L570" s="1314"/>
      <c r="M570" s="1315">
        <f>IF(N$1&gt;0,ROUNDUP(SUM(PROD!L$5:L571,-PROD!AM$5:AM571,-PROD!AZ$5:AZ571)/N$1*N$2,0),0)-SUM(M$4:M569)</f>
        <v>0</v>
      </c>
      <c r="N570" s="1316">
        <f t="shared" si="98"/>
        <v>0</v>
      </c>
      <c r="O570" s="1317">
        <f t="shared" si="99"/>
        <v>0</v>
      </c>
      <c r="P570" s="1318"/>
      <c r="Q570" s="1319"/>
      <c r="R570" s="1320">
        <f t="shared" si="100"/>
        <v>0</v>
      </c>
      <c r="S570" s="1316">
        <f t="shared" si="101"/>
        <v>0</v>
      </c>
      <c r="T570" s="712"/>
      <c r="U570" s="713"/>
      <c r="V570" s="714"/>
      <c r="W570" s="398">
        <f t="shared" si="108"/>
        <v>0</v>
      </c>
      <c r="X570" s="712"/>
      <c r="Y570" s="713"/>
      <c r="Z570" s="714"/>
      <c r="AA570" s="398">
        <f t="shared" si="103"/>
        <v>0</v>
      </c>
      <c r="AB570" s="712"/>
      <c r="AC570" s="713"/>
      <c r="AD570" s="714"/>
      <c r="AE570" s="398">
        <f t="shared" si="104"/>
        <v>0</v>
      </c>
      <c r="AF570" s="712"/>
      <c r="AG570" s="713"/>
      <c r="AH570" s="714"/>
      <c r="AI570" s="398">
        <f t="shared" si="105"/>
        <v>0</v>
      </c>
      <c r="AJ570" s="712"/>
      <c r="AK570" s="713"/>
      <c r="AL570" s="714"/>
      <c r="AM570" s="398">
        <f t="shared" si="106"/>
        <v>0</v>
      </c>
    </row>
    <row r="571" spans="1:39" ht="16.5" customHeight="1" x14ac:dyDescent="0.3">
      <c r="A571" s="2160">
        <f>A564+1</f>
        <v>99</v>
      </c>
      <c r="B571" s="1313" t="str">
        <f t="shared" si="102"/>
        <v/>
      </c>
      <c r="C571" s="1011">
        <f>IF($D$2="NO",0,ROUNDDOWN(SUM(PROD!$V$5:V572)/IF(Iniciar!$C$25="kilos",40,1),0)-SUM($C$4:$C570))</f>
        <v>0</v>
      </c>
      <c r="D571" s="702"/>
      <c r="E571" s="702"/>
      <c r="F571" s="300">
        <f t="shared" si="107"/>
        <v>-95000</v>
      </c>
      <c r="G571" s="694"/>
      <c r="H571" s="695"/>
      <c r="I571" s="1314"/>
      <c r="J571" s="1315">
        <f>IF(K$1&gt;0,ROUNDUP(SUM(PROD!AM$5:AM572)/K$1*K$2,0),0)-SUM(J$4:J570)</f>
        <v>0</v>
      </c>
      <c r="K571" s="1316">
        <f t="shared" si="97"/>
        <v>0</v>
      </c>
      <c r="L571" s="1314"/>
      <c r="M571" s="1315">
        <f>IF(N$1&gt;0,ROUNDUP(SUM(PROD!L$5:L572,-PROD!AM$5:AM572,-PROD!AZ$5:AZ572)/N$1*N$2,0),0)-SUM(M$4:M570)</f>
        <v>0</v>
      </c>
      <c r="N571" s="1316">
        <f t="shared" si="98"/>
        <v>0</v>
      </c>
      <c r="O571" s="1317">
        <f t="shared" si="99"/>
        <v>0</v>
      </c>
      <c r="P571" s="1318"/>
      <c r="Q571" s="1319"/>
      <c r="R571" s="1320">
        <f t="shared" si="100"/>
        <v>0</v>
      </c>
      <c r="S571" s="1316">
        <f t="shared" si="101"/>
        <v>0</v>
      </c>
      <c r="T571" s="712"/>
      <c r="U571" s="713"/>
      <c r="V571" s="714"/>
      <c r="W571" s="398">
        <f t="shared" si="108"/>
        <v>0</v>
      </c>
      <c r="X571" s="712"/>
      <c r="Y571" s="713"/>
      <c r="Z571" s="714"/>
      <c r="AA571" s="398">
        <f t="shared" si="103"/>
        <v>0</v>
      </c>
      <c r="AB571" s="712"/>
      <c r="AC571" s="713"/>
      <c r="AD571" s="714"/>
      <c r="AE571" s="398">
        <f t="shared" si="104"/>
        <v>0</v>
      </c>
      <c r="AF571" s="712"/>
      <c r="AG571" s="713"/>
      <c r="AH571" s="714"/>
      <c r="AI571" s="398">
        <f t="shared" si="105"/>
        <v>0</v>
      </c>
      <c r="AJ571" s="712"/>
      <c r="AK571" s="713"/>
      <c r="AL571" s="714"/>
      <c r="AM571" s="398">
        <f t="shared" si="106"/>
        <v>0</v>
      </c>
    </row>
    <row r="572" spans="1:39" ht="15.75" customHeight="1" x14ac:dyDescent="0.3">
      <c r="A572" s="2161"/>
      <c r="B572" s="1313" t="str">
        <f t="shared" si="102"/>
        <v/>
      </c>
      <c r="C572" s="1011">
        <f>IF($D$2="NO",0,ROUNDDOWN(SUM(PROD!$V$5:V573)/IF(Iniciar!$C$25="kilos",40,1),0)-SUM($C$4:$C571))</f>
        <v>0</v>
      </c>
      <c r="D572" s="702"/>
      <c r="E572" s="702"/>
      <c r="F572" s="300">
        <f t="shared" si="107"/>
        <v>-95000</v>
      </c>
      <c r="G572" s="694"/>
      <c r="H572" s="695"/>
      <c r="I572" s="1314"/>
      <c r="J572" s="1315">
        <f>IF(K$1&gt;0,ROUNDUP(SUM(PROD!AM$5:AM573)/K$1*K$2,0),0)-SUM(J$4:J571)</f>
        <v>0</v>
      </c>
      <c r="K572" s="1316">
        <f t="shared" si="97"/>
        <v>0</v>
      </c>
      <c r="L572" s="1314"/>
      <c r="M572" s="1315">
        <f>IF(N$1&gt;0,ROUNDUP(SUM(PROD!L$5:L573,-PROD!AM$5:AM573,-PROD!AZ$5:AZ573)/N$1*N$2,0),0)-SUM(M$4:M571)</f>
        <v>0</v>
      </c>
      <c r="N572" s="1316">
        <f t="shared" si="98"/>
        <v>0</v>
      </c>
      <c r="O572" s="1317">
        <f t="shared" si="99"/>
        <v>0</v>
      </c>
      <c r="P572" s="1318"/>
      <c r="Q572" s="1319"/>
      <c r="R572" s="1320">
        <f t="shared" si="100"/>
        <v>0</v>
      </c>
      <c r="S572" s="1316">
        <f t="shared" si="101"/>
        <v>0</v>
      </c>
      <c r="T572" s="712"/>
      <c r="U572" s="713"/>
      <c r="V572" s="714"/>
      <c r="W572" s="398">
        <f t="shared" si="108"/>
        <v>0</v>
      </c>
      <c r="X572" s="712"/>
      <c r="Y572" s="713"/>
      <c r="Z572" s="714"/>
      <c r="AA572" s="398">
        <f t="shared" si="103"/>
        <v>0</v>
      </c>
      <c r="AB572" s="712"/>
      <c r="AC572" s="713"/>
      <c r="AD572" s="714"/>
      <c r="AE572" s="398">
        <f t="shared" si="104"/>
        <v>0</v>
      </c>
      <c r="AF572" s="712"/>
      <c r="AG572" s="713"/>
      <c r="AH572" s="714"/>
      <c r="AI572" s="398">
        <f t="shared" si="105"/>
        <v>0</v>
      </c>
      <c r="AJ572" s="712"/>
      <c r="AK572" s="713"/>
      <c r="AL572" s="714"/>
      <c r="AM572" s="398">
        <f t="shared" si="106"/>
        <v>0</v>
      </c>
    </row>
    <row r="573" spans="1:39" ht="15.75" customHeight="1" x14ac:dyDescent="0.3">
      <c r="A573" s="2161"/>
      <c r="B573" s="1313" t="str">
        <f t="shared" si="102"/>
        <v/>
      </c>
      <c r="C573" s="1011">
        <f>IF($D$2="NO",0,ROUNDDOWN(SUM(PROD!$V$5:V574)/IF(Iniciar!$C$25="kilos",40,1),0)-SUM($C$4:$C572))</f>
        <v>0</v>
      </c>
      <c r="D573" s="702"/>
      <c r="E573" s="702"/>
      <c r="F573" s="300">
        <f t="shared" si="107"/>
        <v>-95000</v>
      </c>
      <c r="G573" s="694"/>
      <c r="H573" s="695"/>
      <c r="I573" s="1314"/>
      <c r="J573" s="1315">
        <f>IF(K$1&gt;0,ROUNDUP(SUM(PROD!AM$5:AM574)/K$1*K$2,0),0)-SUM(J$4:J572)</f>
        <v>0</v>
      </c>
      <c r="K573" s="1316">
        <f t="shared" si="97"/>
        <v>0</v>
      </c>
      <c r="L573" s="1314"/>
      <c r="M573" s="1315">
        <f>IF(N$1&gt;0,ROUNDUP(SUM(PROD!L$5:L574,-PROD!AM$5:AM574,-PROD!AZ$5:AZ574)/N$1*N$2,0),0)-SUM(M$4:M572)</f>
        <v>0</v>
      </c>
      <c r="N573" s="1316">
        <f t="shared" si="98"/>
        <v>0</v>
      </c>
      <c r="O573" s="1317">
        <f t="shared" si="99"/>
        <v>0</v>
      </c>
      <c r="P573" s="1318"/>
      <c r="Q573" s="1319"/>
      <c r="R573" s="1320">
        <f t="shared" si="100"/>
        <v>0</v>
      </c>
      <c r="S573" s="1316">
        <f t="shared" si="101"/>
        <v>0</v>
      </c>
      <c r="T573" s="712"/>
      <c r="U573" s="713"/>
      <c r="V573" s="714"/>
      <c r="W573" s="398">
        <f t="shared" si="108"/>
        <v>0</v>
      </c>
      <c r="X573" s="712"/>
      <c r="Y573" s="713"/>
      <c r="Z573" s="714"/>
      <c r="AA573" s="398">
        <f t="shared" si="103"/>
        <v>0</v>
      </c>
      <c r="AB573" s="712"/>
      <c r="AC573" s="713"/>
      <c r="AD573" s="714"/>
      <c r="AE573" s="398">
        <f t="shared" si="104"/>
        <v>0</v>
      </c>
      <c r="AF573" s="712"/>
      <c r="AG573" s="713"/>
      <c r="AH573" s="714"/>
      <c r="AI573" s="398">
        <f t="shared" si="105"/>
        <v>0</v>
      </c>
      <c r="AJ573" s="712"/>
      <c r="AK573" s="713"/>
      <c r="AL573" s="714"/>
      <c r="AM573" s="398">
        <f t="shared" si="106"/>
        <v>0</v>
      </c>
    </row>
    <row r="574" spans="1:39" ht="15.75" customHeight="1" x14ac:dyDescent="0.3">
      <c r="A574" s="2161"/>
      <c r="B574" s="1313" t="str">
        <f t="shared" si="102"/>
        <v/>
      </c>
      <c r="C574" s="1011">
        <f>IF($D$2="NO",0,ROUNDDOWN(SUM(PROD!$V$5:V575)/IF(Iniciar!$C$25="kilos",40,1),0)-SUM($C$4:$C573))</f>
        <v>0</v>
      </c>
      <c r="D574" s="702"/>
      <c r="E574" s="702"/>
      <c r="F574" s="300">
        <f t="shared" si="107"/>
        <v>-95000</v>
      </c>
      <c r="G574" s="694"/>
      <c r="H574" s="695"/>
      <c r="I574" s="1314"/>
      <c r="J574" s="1315">
        <f>IF(K$1&gt;0,ROUNDUP(SUM(PROD!AM$5:AM575)/K$1*K$2,0),0)-SUM(J$4:J573)</f>
        <v>0</v>
      </c>
      <c r="K574" s="1316">
        <f t="shared" si="97"/>
        <v>0</v>
      </c>
      <c r="L574" s="1314"/>
      <c r="M574" s="1315">
        <f>IF(N$1&gt;0,ROUNDUP(SUM(PROD!L$5:L575,-PROD!AM$5:AM575,-PROD!AZ$5:AZ575)/N$1*N$2,0),0)-SUM(M$4:M573)</f>
        <v>0</v>
      </c>
      <c r="N574" s="1316">
        <f t="shared" si="98"/>
        <v>0</v>
      </c>
      <c r="O574" s="1317">
        <f t="shared" si="99"/>
        <v>0</v>
      </c>
      <c r="P574" s="1318"/>
      <c r="Q574" s="1319"/>
      <c r="R574" s="1320">
        <f t="shared" si="100"/>
        <v>0</v>
      </c>
      <c r="S574" s="1316">
        <f t="shared" si="101"/>
        <v>0</v>
      </c>
      <c r="T574" s="712"/>
      <c r="U574" s="713"/>
      <c r="V574" s="714"/>
      <c r="W574" s="398">
        <f t="shared" si="108"/>
        <v>0</v>
      </c>
      <c r="X574" s="712"/>
      <c r="Y574" s="713"/>
      <c r="Z574" s="714"/>
      <c r="AA574" s="398">
        <f t="shared" si="103"/>
        <v>0</v>
      </c>
      <c r="AB574" s="712"/>
      <c r="AC574" s="713"/>
      <c r="AD574" s="714"/>
      <c r="AE574" s="398">
        <f t="shared" si="104"/>
        <v>0</v>
      </c>
      <c r="AF574" s="712"/>
      <c r="AG574" s="713"/>
      <c r="AH574" s="714"/>
      <c r="AI574" s="398">
        <f t="shared" si="105"/>
        <v>0</v>
      </c>
      <c r="AJ574" s="712"/>
      <c r="AK574" s="713"/>
      <c r="AL574" s="714"/>
      <c r="AM574" s="398">
        <f t="shared" si="106"/>
        <v>0</v>
      </c>
    </row>
    <row r="575" spans="1:39" ht="15.75" customHeight="1" x14ac:dyDescent="0.3">
      <c r="A575" s="2161"/>
      <c r="B575" s="1313" t="str">
        <f t="shared" si="102"/>
        <v/>
      </c>
      <c r="C575" s="1011">
        <f>IF($D$2="NO",0,ROUNDDOWN(SUM(PROD!$V$5:V576)/IF(Iniciar!$C$25="kilos",40,1),0)-SUM($C$4:$C574))</f>
        <v>0</v>
      </c>
      <c r="D575" s="702"/>
      <c r="E575" s="702"/>
      <c r="F575" s="300">
        <f t="shared" si="107"/>
        <v>-95000</v>
      </c>
      <c r="G575" s="694"/>
      <c r="H575" s="695"/>
      <c r="I575" s="1314"/>
      <c r="J575" s="1315">
        <f>IF(K$1&gt;0,ROUNDUP(SUM(PROD!AM$5:AM576)/K$1*K$2,0),0)-SUM(J$4:J574)</f>
        <v>0</v>
      </c>
      <c r="K575" s="1316">
        <f t="shared" si="97"/>
        <v>0</v>
      </c>
      <c r="L575" s="1314"/>
      <c r="M575" s="1315">
        <f>IF(N$1&gt;0,ROUNDUP(SUM(PROD!L$5:L576,-PROD!AM$5:AM576,-PROD!AZ$5:AZ576)/N$1*N$2,0),0)-SUM(M$4:M574)</f>
        <v>0</v>
      </c>
      <c r="N575" s="1316">
        <f t="shared" si="98"/>
        <v>0</v>
      </c>
      <c r="O575" s="1317">
        <f t="shared" si="99"/>
        <v>0</v>
      </c>
      <c r="P575" s="1318"/>
      <c r="Q575" s="1319"/>
      <c r="R575" s="1320">
        <f t="shared" si="100"/>
        <v>0</v>
      </c>
      <c r="S575" s="1316">
        <f t="shared" si="101"/>
        <v>0</v>
      </c>
      <c r="T575" s="712"/>
      <c r="U575" s="713"/>
      <c r="V575" s="714"/>
      <c r="W575" s="398">
        <f t="shared" si="108"/>
        <v>0</v>
      </c>
      <c r="X575" s="712"/>
      <c r="Y575" s="713"/>
      <c r="Z575" s="714"/>
      <c r="AA575" s="398">
        <f t="shared" si="103"/>
        <v>0</v>
      </c>
      <c r="AB575" s="712"/>
      <c r="AC575" s="713"/>
      <c r="AD575" s="714"/>
      <c r="AE575" s="398">
        <f t="shared" si="104"/>
        <v>0</v>
      </c>
      <c r="AF575" s="712"/>
      <c r="AG575" s="713"/>
      <c r="AH575" s="714"/>
      <c r="AI575" s="398">
        <f t="shared" si="105"/>
        <v>0</v>
      </c>
      <c r="AJ575" s="712"/>
      <c r="AK575" s="713"/>
      <c r="AL575" s="714"/>
      <c r="AM575" s="398">
        <f t="shared" si="106"/>
        <v>0</v>
      </c>
    </row>
    <row r="576" spans="1:39" ht="15.75" customHeight="1" x14ac:dyDescent="0.3">
      <c r="A576" s="2161"/>
      <c r="B576" s="1313" t="str">
        <f t="shared" si="102"/>
        <v/>
      </c>
      <c r="C576" s="1011">
        <f>IF($D$2="NO",0,ROUNDDOWN(SUM(PROD!$V$5:V577)/IF(Iniciar!$C$25="kilos",40,1),0)-SUM($C$4:$C575))</f>
        <v>0</v>
      </c>
      <c r="D576" s="702"/>
      <c r="E576" s="702"/>
      <c r="F576" s="300">
        <f t="shared" si="107"/>
        <v>-95000</v>
      </c>
      <c r="G576" s="694"/>
      <c r="H576" s="695"/>
      <c r="I576" s="1314"/>
      <c r="J576" s="1315">
        <f>IF(K$1&gt;0,ROUNDUP(SUM(PROD!AM$5:AM577)/K$1*K$2,0),0)-SUM(J$4:J575)</f>
        <v>0</v>
      </c>
      <c r="K576" s="1316">
        <f t="shared" si="97"/>
        <v>0</v>
      </c>
      <c r="L576" s="1314"/>
      <c r="M576" s="1315">
        <f>IF(N$1&gt;0,ROUNDUP(SUM(PROD!L$5:L577,-PROD!AM$5:AM577,-PROD!AZ$5:AZ577)/N$1*N$2,0),0)-SUM(M$4:M575)</f>
        <v>0</v>
      </c>
      <c r="N576" s="1316">
        <f t="shared" si="98"/>
        <v>0</v>
      </c>
      <c r="O576" s="1317">
        <f t="shared" si="99"/>
        <v>0</v>
      </c>
      <c r="P576" s="1318"/>
      <c r="Q576" s="1319"/>
      <c r="R576" s="1320">
        <f t="shared" si="100"/>
        <v>0</v>
      </c>
      <c r="S576" s="1316">
        <f t="shared" si="101"/>
        <v>0</v>
      </c>
      <c r="T576" s="712"/>
      <c r="U576" s="713"/>
      <c r="V576" s="714"/>
      <c r="W576" s="398">
        <f t="shared" si="108"/>
        <v>0</v>
      </c>
      <c r="X576" s="712"/>
      <c r="Y576" s="713"/>
      <c r="Z576" s="714"/>
      <c r="AA576" s="398">
        <f t="shared" si="103"/>
        <v>0</v>
      </c>
      <c r="AB576" s="712"/>
      <c r="AC576" s="713"/>
      <c r="AD576" s="714"/>
      <c r="AE576" s="398">
        <f t="shared" si="104"/>
        <v>0</v>
      </c>
      <c r="AF576" s="712"/>
      <c r="AG576" s="713"/>
      <c r="AH576" s="714"/>
      <c r="AI576" s="398">
        <f t="shared" si="105"/>
        <v>0</v>
      </c>
      <c r="AJ576" s="712"/>
      <c r="AK576" s="713"/>
      <c r="AL576" s="714"/>
      <c r="AM576" s="398">
        <f t="shared" si="106"/>
        <v>0</v>
      </c>
    </row>
    <row r="577" spans="1:39" ht="16.5" customHeight="1" x14ac:dyDescent="0.3">
      <c r="A577" s="2162"/>
      <c r="B577" s="1313" t="str">
        <f t="shared" si="102"/>
        <v/>
      </c>
      <c r="C577" s="1011">
        <f>IF($D$2="NO",0,ROUNDDOWN(SUM(PROD!$V$5:V578)/IF(Iniciar!$C$25="kilos",40,1),0)-SUM($C$4:$C576))</f>
        <v>0</v>
      </c>
      <c r="D577" s="702"/>
      <c r="E577" s="702"/>
      <c r="F577" s="300">
        <f t="shared" si="107"/>
        <v>-95000</v>
      </c>
      <c r="G577" s="694"/>
      <c r="H577" s="695"/>
      <c r="I577" s="1314"/>
      <c r="J577" s="1315">
        <f>IF(K$1&gt;0,ROUNDUP(SUM(PROD!AM$5:AM578)/K$1*K$2,0),0)-SUM(J$4:J576)</f>
        <v>0</v>
      </c>
      <c r="K577" s="1316">
        <f t="shared" si="97"/>
        <v>0</v>
      </c>
      <c r="L577" s="1314"/>
      <c r="M577" s="1315">
        <f>IF(N$1&gt;0,ROUNDUP(SUM(PROD!L$5:L578,-PROD!AM$5:AM578,-PROD!AZ$5:AZ578)/N$1*N$2,0),0)-SUM(M$4:M576)</f>
        <v>0</v>
      </c>
      <c r="N577" s="1316">
        <f t="shared" si="98"/>
        <v>0</v>
      </c>
      <c r="O577" s="1317">
        <f t="shared" si="99"/>
        <v>0</v>
      </c>
      <c r="P577" s="1318"/>
      <c r="Q577" s="1319"/>
      <c r="R577" s="1320">
        <f t="shared" si="100"/>
        <v>0</v>
      </c>
      <c r="S577" s="1316">
        <f t="shared" si="101"/>
        <v>0</v>
      </c>
      <c r="T577" s="712"/>
      <c r="U577" s="713"/>
      <c r="V577" s="714"/>
      <c r="W577" s="398">
        <f t="shared" si="108"/>
        <v>0</v>
      </c>
      <c r="X577" s="712"/>
      <c r="Y577" s="713"/>
      <c r="Z577" s="714"/>
      <c r="AA577" s="398">
        <f t="shared" si="103"/>
        <v>0</v>
      </c>
      <c r="AB577" s="712"/>
      <c r="AC577" s="713"/>
      <c r="AD577" s="714"/>
      <c r="AE577" s="398">
        <f t="shared" si="104"/>
        <v>0</v>
      </c>
      <c r="AF577" s="712"/>
      <c r="AG577" s="713"/>
      <c r="AH577" s="714"/>
      <c r="AI577" s="398">
        <f t="shared" si="105"/>
        <v>0</v>
      </c>
      <c r="AJ577" s="712"/>
      <c r="AK577" s="713"/>
      <c r="AL577" s="714"/>
      <c r="AM577" s="398">
        <f t="shared" si="106"/>
        <v>0</v>
      </c>
    </row>
    <row r="578" spans="1:39" ht="16.5" customHeight="1" x14ac:dyDescent="0.3">
      <c r="A578" s="2160">
        <f>A571+1</f>
        <v>100</v>
      </c>
      <c r="B578" s="1313" t="str">
        <f t="shared" si="102"/>
        <v/>
      </c>
      <c r="C578" s="1011">
        <f>IF($D$2="NO",0,ROUNDDOWN(SUM(PROD!$V$5:V579)/IF(Iniciar!$C$25="kilos",40,1),0)-SUM($C$4:$C577))</f>
        <v>0</v>
      </c>
      <c r="D578" s="702"/>
      <c r="E578" s="702"/>
      <c r="F578" s="300">
        <f t="shared" si="107"/>
        <v>-95000</v>
      </c>
      <c r="G578" s="694"/>
      <c r="H578" s="695"/>
      <c r="I578" s="1314"/>
      <c r="J578" s="1315">
        <f>IF(K$1&gt;0,ROUNDUP(SUM(PROD!AM$5:AM579)/K$1*K$2,0),0)-SUM(J$4:J577)</f>
        <v>0</v>
      </c>
      <c r="K578" s="1316">
        <f t="shared" si="97"/>
        <v>0</v>
      </c>
      <c r="L578" s="1314"/>
      <c r="M578" s="1315">
        <f>IF(N$1&gt;0,ROUNDUP(SUM(PROD!L$5:L579,-PROD!AM$5:AM579,-PROD!AZ$5:AZ579)/N$1*N$2,0),0)-SUM(M$4:M577)</f>
        <v>0</v>
      </c>
      <c r="N578" s="1316">
        <f t="shared" si="98"/>
        <v>0</v>
      </c>
      <c r="O578" s="1317">
        <f t="shared" si="99"/>
        <v>0</v>
      </c>
      <c r="P578" s="1318"/>
      <c r="Q578" s="1319"/>
      <c r="R578" s="1320">
        <f t="shared" si="100"/>
        <v>0</v>
      </c>
      <c r="S578" s="1316">
        <f t="shared" si="101"/>
        <v>0</v>
      </c>
      <c r="T578" s="712"/>
      <c r="U578" s="713"/>
      <c r="V578" s="714"/>
      <c r="W578" s="398">
        <f t="shared" si="108"/>
        <v>0</v>
      </c>
      <c r="X578" s="712"/>
      <c r="Y578" s="713"/>
      <c r="Z578" s="714"/>
      <c r="AA578" s="398">
        <f t="shared" si="103"/>
        <v>0</v>
      </c>
      <c r="AB578" s="712"/>
      <c r="AC578" s="713"/>
      <c r="AD578" s="714"/>
      <c r="AE578" s="398">
        <f t="shared" si="104"/>
        <v>0</v>
      </c>
      <c r="AF578" s="712"/>
      <c r="AG578" s="713"/>
      <c r="AH578" s="714"/>
      <c r="AI578" s="398">
        <f t="shared" si="105"/>
        <v>0</v>
      </c>
      <c r="AJ578" s="712"/>
      <c r="AK578" s="713"/>
      <c r="AL578" s="714"/>
      <c r="AM578" s="398">
        <f t="shared" si="106"/>
        <v>0</v>
      </c>
    </row>
    <row r="579" spans="1:39" ht="15.75" customHeight="1" x14ac:dyDescent="0.3">
      <c r="A579" s="2161"/>
      <c r="B579" s="1313" t="str">
        <f t="shared" si="102"/>
        <v/>
      </c>
      <c r="C579" s="1011">
        <f>IF($D$2="NO",0,ROUNDDOWN(SUM(PROD!$V$5:V580)/IF(Iniciar!$C$25="kilos",40,1),0)-SUM($C$4:$C578))</f>
        <v>0</v>
      </c>
      <c r="D579" s="702"/>
      <c r="E579" s="702"/>
      <c r="F579" s="300">
        <f t="shared" si="107"/>
        <v>-95000</v>
      </c>
      <c r="G579" s="694"/>
      <c r="H579" s="695"/>
      <c r="I579" s="1314"/>
      <c r="J579" s="1315">
        <f>IF(K$1&gt;0,ROUNDUP(SUM(PROD!AM$5:AM580)/K$1*K$2,0),0)-SUM(J$4:J578)</f>
        <v>0</v>
      </c>
      <c r="K579" s="1316">
        <f t="shared" si="97"/>
        <v>0</v>
      </c>
      <c r="L579" s="1314"/>
      <c r="M579" s="1315">
        <f>IF(N$1&gt;0,ROUNDUP(SUM(PROD!L$5:L580,-PROD!AM$5:AM580,-PROD!AZ$5:AZ580)/N$1*N$2,0),0)-SUM(M$4:M578)</f>
        <v>0</v>
      </c>
      <c r="N579" s="1316">
        <f t="shared" si="98"/>
        <v>0</v>
      </c>
      <c r="O579" s="1317">
        <f t="shared" si="99"/>
        <v>0</v>
      </c>
      <c r="P579" s="1318"/>
      <c r="Q579" s="1319"/>
      <c r="R579" s="1320">
        <f t="shared" si="100"/>
        <v>0</v>
      </c>
      <c r="S579" s="1316">
        <f t="shared" si="101"/>
        <v>0</v>
      </c>
      <c r="T579" s="712"/>
      <c r="U579" s="713"/>
      <c r="V579" s="714"/>
      <c r="W579" s="398">
        <f t="shared" si="108"/>
        <v>0</v>
      </c>
      <c r="X579" s="712"/>
      <c r="Y579" s="713"/>
      <c r="Z579" s="714"/>
      <c r="AA579" s="398">
        <f t="shared" si="103"/>
        <v>0</v>
      </c>
      <c r="AB579" s="712"/>
      <c r="AC579" s="713"/>
      <c r="AD579" s="714"/>
      <c r="AE579" s="398">
        <f t="shared" si="104"/>
        <v>0</v>
      </c>
      <c r="AF579" s="712"/>
      <c r="AG579" s="713"/>
      <c r="AH579" s="714"/>
      <c r="AI579" s="398">
        <f t="shared" si="105"/>
        <v>0</v>
      </c>
      <c r="AJ579" s="712"/>
      <c r="AK579" s="713"/>
      <c r="AL579" s="714"/>
      <c r="AM579" s="398">
        <f t="shared" si="106"/>
        <v>0</v>
      </c>
    </row>
    <row r="580" spans="1:39" ht="15.75" customHeight="1" x14ac:dyDescent="0.3">
      <c r="A580" s="2161"/>
      <c r="B580" s="1313" t="str">
        <f t="shared" si="102"/>
        <v/>
      </c>
      <c r="C580" s="1011">
        <f>IF($D$2="NO",0,ROUNDDOWN(SUM(PROD!$V$5:V581)/IF(Iniciar!$C$25="kilos",40,1),0)-SUM($C$4:$C579))</f>
        <v>0</v>
      </c>
      <c r="D580" s="702"/>
      <c r="E580" s="702"/>
      <c r="F580" s="300">
        <f t="shared" si="107"/>
        <v>-95000</v>
      </c>
      <c r="G580" s="694"/>
      <c r="H580" s="695"/>
      <c r="I580" s="1314"/>
      <c r="J580" s="1315">
        <f>IF(K$1&gt;0,ROUNDUP(SUM(PROD!AM$5:AM581)/K$1*K$2,0),0)-SUM(J$4:J579)</f>
        <v>0</v>
      </c>
      <c r="K580" s="1316">
        <f t="shared" si="97"/>
        <v>0</v>
      </c>
      <c r="L580" s="1314"/>
      <c r="M580" s="1315">
        <f>IF(N$1&gt;0,ROUNDUP(SUM(PROD!L$5:L581,-PROD!AM$5:AM581,-PROD!AZ$5:AZ581)/N$1*N$2,0),0)-SUM(M$4:M579)</f>
        <v>0</v>
      </c>
      <c r="N580" s="1316">
        <f t="shared" si="98"/>
        <v>0</v>
      </c>
      <c r="O580" s="1317">
        <f t="shared" ref="O580:O643" si="109">L580+I580</f>
        <v>0</v>
      </c>
      <c r="P580" s="1318"/>
      <c r="Q580" s="1319"/>
      <c r="R580" s="1320">
        <f t="shared" ref="R580:R643" si="110">M580+J580</f>
        <v>0</v>
      </c>
      <c r="S580" s="1316">
        <f t="shared" ref="S580:S643" si="111">N580+K580</f>
        <v>0</v>
      </c>
      <c r="T580" s="712"/>
      <c r="U580" s="713"/>
      <c r="V580" s="714"/>
      <c r="W580" s="398">
        <f t="shared" si="108"/>
        <v>0</v>
      </c>
      <c r="X580" s="712"/>
      <c r="Y580" s="713"/>
      <c r="Z580" s="714"/>
      <c r="AA580" s="398">
        <f t="shared" si="103"/>
        <v>0</v>
      </c>
      <c r="AB580" s="712"/>
      <c r="AC580" s="713"/>
      <c r="AD580" s="714"/>
      <c r="AE580" s="398">
        <f t="shared" si="104"/>
        <v>0</v>
      </c>
      <c r="AF580" s="712"/>
      <c r="AG580" s="713"/>
      <c r="AH580" s="714"/>
      <c r="AI580" s="398">
        <f t="shared" si="105"/>
        <v>0</v>
      </c>
      <c r="AJ580" s="712"/>
      <c r="AK580" s="713"/>
      <c r="AL580" s="714"/>
      <c r="AM580" s="398">
        <f t="shared" si="106"/>
        <v>0</v>
      </c>
    </row>
    <row r="581" spans="1:39" ht="15.75" customHeight="1" x14ac:dyDescent="0.3">
      <c r="A581" s="2161"/>
      <c r="B581" s="1313" t="str">
        <f t="shared" ref="B581:B644" si="112">IF(B580="","",B580+1)</f>
        <v/>
      </c>
      <c r="C581" s="1011">
        <f>IF($D$2="NO",0,ROUNDDOWN(SUM(PROD!$V$5:V582)/IF(Iniciar!$C$25="kilos",40,1),0)-SUM($C$4:$C580))</f>
        <v>0</v>
      </c>
      <c r="D581" s="702"/>
      <c r="E581" s="702"/>
      <c r="F581" s="300">
        <f t="shared" si="107"/>
        <v>-95000</v>
      </c>
      <c r="G581" s="694"/>
      <c r="H581" s="695"/>
      <c r="I581" s="1314"/>
      <c r="J581" s="1315">
        <f>IF(K$1&gt;0,ROUNDUP(SUM(PROD!AM$5:AM582)/K$1*K$2,0),0)-SUM(J$4:J580)</f>
        <v>0</v>
      </c>
      <c r="K581" s="1316">
        <f t="shared" si="97"/>
        <v>0</v>
      </c>
      <c r="L581" s="1314"/>
      <c r="M581" s="1315">
        <f>IF(N$1&gt;0,ROUNDUP(SUM(PROD!L$5:L582,-PROD!AM$5:AM582,-PROD!AZ$5:AZ582)/N$1*N$2,0),0)-SUM(M$4:M580)</f>
        <v>0</v>
      </c>
      <c r="N581" s="1316">
        <f t="shared" si="98"/>
        <v>0</v>
      </c>
      <c r="O581" s="1317">
        <f t="shared" si="109"/>
        <v>0</v>
      </c>
      <c r="P581" s="1318"/>
      <c r="Q581" s="1319"/>
      <c r="R581" s="1320">
        <f t="shared" si="110"/>
        <v>0</v>
      </c>
      <c r="S581" s="1316">
        <f t="shared" si="111"/>
        <v>0</v>
      </c>
      <c r="T581" s="712"/>
      <c r="U581" s="713"/>
      <c r="V581" s="714"/>
      <c r="W581" s="398">
        <f t="shared" si="108"/>
        <v>0</v>
      </c>
      <c r="X581" s="712"/>
      <c r="Y581" s="713"/>
      <c r="Z581" s="714"/>
      <c r="AA581" s="398">
        <f t="shared" ref="AA581:AA644" si="113">AA580+Y581-Z581</f>
        <v>0</v>
      </c>
      <c r="AB581" s="712"/>
      <c r="AC581" s="713"/>
      <c r="AD581" s="714"/>
      <c r="AE581" s="398">
        <f t="shared" ref="AE581:AE644" si="114">AE580+AC581-AD581</f>
        <v>0</v>
      </c>
      <c r="AF581" s="712"/>
      <c r="AG581" s="713"/>
      <c r="AH581" s="714"/>
      <c r="AI581" s="398">
        <f t="shared" ref="AI581:AI644" si="115">AI580+AG581-AH581</f>
        <v>0</v>
      </c>
      <c r="AJ581" s="712"/>
      <c r="AK581" s="713"/>
      <c r="AL581" s="714"/>
      <c r="AM581" s="398">
        <f t="shared" ref="AM581:AM644" si="116">AM580+AK581-AL581</f>
        <v>0</v>
      </c>
    </row>
    <row r="582" spans="1:39" ht="15.75" customHeight="1" x14ac:dyDescent="0.3">
      <c r="A582" s="2161"/>
      <c r="B582" s="1313" t="str">
        <f t="shared" si="112"/>
        <v/>
      </c>
      <c r="C582" s="1011">
        <f>IF($D$2="NO",0,ROUNDDOWN(SUM(PROD!$V$5:V583)/IF(Iniciar!$C$25="kilos",40,1),0)-SUM($C$4:$C581))</f>
        <v>0</v>
      </c>
      <c r="D582" s="702"/>
      <c r="E582" s="702"/>
      <c r="F582" s="300">
        <f t="shared" si="107"/>
        <v>-95000</v>
      </c>
      <c r="G582" s="694"/>
      <c r="H582" s="695"/>
      <c r="I582" s="1314"/>
      <c r="J582" s="1315">
        <f>IF(K$1&gt;0,ROUNDUP(SUM(PROD!AM$5:AM583)/K$1*K$2,0),0)-SUM(J$4:J581)</f>
        <v>0</v>
      </c>
      <c r="K582" s="1316">
        <f t="shared" si="97"/>
        <v>0</v>
      </c>
      <c r="L582" s="1314"/>
      <c r="M582" s="1315">
        <f>IF(N$1&gt;0,ROUNDUP(SUM(PROD!L$5:L583,-PROD!AM$5:AM583,-PROD!AZ$5:AZ583)/N$1*N$2,0),0)-SUM(M$4:M581)</f>
        <v>0</v>
      </c>
      <c r="N582" s="1316">
        <f t="shared" si="98"/>
        <v>0</v>
      </c>
      <c r="O582" s="1317">
        <f t="shared" si="109"/>
        <v>0</v>
      </c>
      <c r="P582" s="1318"/>
      <c r="Q582" s="1319"/>
      <c r="R582" s="1320">
        <f t="shared" si="110"/>
        <v>0</v>
      </c>
      <c r="S582" s="1316">
        <f t="shared" si="111"/>
        <v>0</v>
      </c>
      <c r="T582" s="712"/>
      <c r="U582" s="713"/>
      <c r="V582" s="714"/>
      <c r="W582" s="398">
        <f t="shared" si="108"/>
        <v>0</v>
      </c>
      <c r="X582" s="712"/>
      <c r="Y582" s="713"/>
      <c r="Z582" s="714"/>
      <c r="AA582" s="398">
        <f t="shared" si="113"/>
        <v>0</v>
      </c>
      <c r="AB582" s="712"/>
      <c r="AC582" s="713"/>
      <c r="AD582" s="714"/>
      <c r="AE582" s="398">
        <f t="shared" si="114"/>
        <v>0</v>
      </c>
      <c r="AF582" s="712"/>
      <c r="AG582" s="713"/>
      <c r="AH582" s="714"/>
      <c r="AI582" s="398">
        <f t="shared" si="115"/>
        <v>0</v>
      </c>
      <c r="AJ582" s="712"/>
      <c r="AK582" s="713"/>
      <c r="AL582" s="714"/>
      <c r="AM582" s="398">
        <f t="shared" si="116"/>
        <v>0</v>
      </c>
    </row>
    <row r="583" spans="1:39" ht="15.75" customHeight="1" x14ac:dyDescent="0.3">
      <c r="A583" s="2161"/>
      <c r="B583" s="1313" t="str">
        <f t="shared" si="112"/>
        <v/>
      </c>
      <c r="C583" s="1011">
        <f>IF($D$2="NO",0,ROUNDDOWN(SUM(PROD!$V$5:V584)/IF(Iniciar!$C$25="kilos",40,1),0)-SUM($C$4:$C582))</f>
        <v>0</v>
      </c>
      <c r="D583" s="702"/>
      <c r="E583" s="702"/>
      <c r="F583" s="300">
        <f t="shared" si="107"/>
        <v>-95000</v>
      </c>
      <c r="G583" s="694"/>
      <c r="H583" s="695"/>
      <c r="I583" s="1314"/>
      <c r="J583" s="1315">
        <f>IF(K$1&gt;0,ROUNDUP(SUM(PROD!AM$5:AM584)/K$1*K$2,0),0)-SUM(J$4:J582)</f>
        <v>0</v>
      </c>
      <c r="K583" s="1316">
        <f t="shared" si="97"/>
        <v>0</v>
      </c>
      <c r="L583" s="1314"/>
      <c r="M583" s="1315">
        <f>IF(N$1&gt;0,ROUNDUP(SUM(PROD!L$5:L584,-PROD!AM$5:AM584,-PROD!AZ$5:AZ584)/N$1*N$2,0),0)-SUM(M$4:M582)</f>
        <v>0</v>
      </c>
      <c r="N583" s="1316">
        <f t="shared" si="98"/>
        <v>0</v>
      </c>
      <c r="O583" s="1317">
        <f t="shared" si="109"/>
        <v>0</v>
      </c>
      <c r="P583" s="1318"/>
      <c r="Q583" s="1319"/>
      <c r="R583" s="1320">
        <f t="shared" si="110"/>
        <v>0</v>
      </c>
      <c r="S583" s="1316">
        <f t="shared" si="111"/>
        <v>0</v>
      </c>
      <c r="T583" s="712"/>
      <c r="U583" s="713"/>
      <c r="V583" s="714"/>
      <c r="W583" s="398">
        <f t="shared" si="108"/>
        <v>0</v>
      </c>
      <c r="X583" s="712"/>
      <c r="Y583" s="713"/>
      <c r="Z583" s="714"/>
      <c r="AA583" s="398">
        <f t="shared" si="113"/>
        <v>0</v>
      </c>
      <c r="AB583" s="712"/>
      <c r="AC583" s="713"/>
      <c r="AD583" s="714"/>
      <c r="AE583" s="398">
        <f t="shared" si="114"/>
        <v>0</v>
      </c>
      <c r="AF583" s="712"/>
      <c r="AG583" s="713"/>
      <c r="AH583" s="714"/>
      <c r="AI583" s="398">
        <f t="shared" si="115"/>
        <v>0</v>
      </c>
      <c r="AJ583" s="712"/>
      <c r="AK583" s="713"/>
      <c r="AL583" s="714"/>
      <c r="AM583" s="398">
        <f t="shared" si="116"/>
        <v>0</v>
      </c>
    </row>
    <row r="584" spans="1:39" ht="16.5" customHeight="1" x14ac:dyDescent="0.3">
      <c r="A584" s="2162"/>
      <c r="B584" s="1313" t="str">
        <f t="shared" si="112"/>
        <v/>
      </c>
      <c r="C584" s="1011">
        <f>IF($D$2="NO",0,ROUNDDOWN(SUM(PROD!$V$5:V585)/IF(Iniciar!$C$25="kilos",40,1),0)-SUM($C$4:$C583))</f>
        <v>0</v>
      </c>
      <c r="D584" s="702"/>
      <c r="E584" s="702"/>
      <c r="F584" s="300">
        <f t="shared" si="107"/>
        <v>-95000</v>
      </c>
      <c r="G584" s="694"/>
      <c r="H584" s="695"/>
      <c r="I584" s="1314"/>
      <c r="J584" s="1315">
        <f>IF(K$1&gt;0,ROUNDUP(SUM(PROD!AM$5:AM585)/K$1*K$2,0),0)-SUM(J$4:J583)</f>
        <v>0</v>
      </c>
      <c r="K584" s="1316">
        <f t="shared" si="97"/>
        <v>0</v>
      </c>
      <c r="L584" s="1314"/>
      <c r="M584" s="1315">
        <f>IF(N$1&gt;0,ROUNDUP(SUM(PROD!L$5:L585,-PROD!AM$5:AM585,-PROD!AZ$5:AZ585)/N$1*N$2,0),0)-SUM(M$4:M583)</f>
        <v>0</v>
      </c>
      <c r="N584" s="1316">
        <f t="shared" si="98"/>
        <v>0</v>
      </c>
      <c r="O584" s="1317">
        <f t="shared" si="109"/>
        <v>0</v>
      </c>
      <c r="P584" s="1318"/>
      <c r="Q584" s="1319"/>
      <c r="R584" s="1320">
        <f t="shared" si="110"/>
        <v>0</v>
      </c>
      <c r="S584" s="1316">
        <f t="shared" si="111"/>
        <v>0</v>
      </c>
      <c r="T584" s="712"/>
      <c r="U584" s="713"/>
      <c r="V584" s="714"/>
      <c r="W584" s="398">
        <f t="shared" si="108"/>
        <v>0</v>
      </c>
      <c r="X584" s="712"/>
      <c r="Y584" s="713"/>
      <c r="Z584" s="714"/>
      <c r="AA584" s="398">
        <f t="shared" si="113"/>
        <v>0</v>
      </c>
      <c r="AB584" s="712"/>
      <c r="AC584" s="713"/>
      <c r="AD584" s="714"/>
      <c r="AE584" s="398">
        <f t="shared" si="114"/>
        <v>0</v>
      </c>
      <c r="AF584" s="712"/>
      <c r="AG584" s="713"/>
      <c r="AH584" s="714"/>
      <c r="AI584" s="398">
        <f t="shared" si="115"/>
        <v>0</v>
      </c>
      <c r="AJ584" s="712"/>
      <c r="AK584" s="713"/>
      <c r="AL584" s="714"/>
      <c r="AM584" s="398">
        <f t="shared" si="116"/>
        <v>0</v>
      </c>
    </row>
    <row r="585" spans="1:39" ht="16.5" customHeight="1" x14ac:dyDescent="0.3">
      <c r="A585" s="2160">
        <f>A578+1</f>
        <v>101</v>
      </c>
      <c r="B585" s="1313" t="str">
        <f t="shared" si="112"/>
        <v/>
      </c>
      <c r="C585" s="1011">
        <f>IF($D$2="NO",0,ROUNDDOWN(SUM(PROD!$V$5:V586)/IF(Iniciar!$C$25="kilos",40,1),0)-SUM($C$4:$C584))</f>
        <v>0</v>
      </c>
      <c r="D585" s="702"/>
      <c r="E585" s="702"/>
      <c r="F585" s="300">
        <f t="shared" si="107"/>
        <v>-95000</v>
      </c>
      <c r="G585" s="694"/>
      <c r="H585" s="695"/>
      <c r="I585" s="1314"/>
      <c r="J585" s="1315">
        <f>IF(K$1&gt;0,ROUNDUP(SUM(PROD!AM$5:AM586)/K$1*K$2,0),0)-SUM(J$4:J584)</f>
        <v>0</v>
      </c>
      <c r="K585" s="1316">
        <f t="shared" si="97"/>
        <v>0</v>
      </c>
      <c r="L585" s="1314"/>
      <c r="M585" s="1315">
        <f>IF(N$1&gt;0,ROUNDUP(SUM(PROD!L$5:L586,-PROD!AM$5:AM586,-PROD!AZ$5:AZ586)/N$1*N$2,0),0)-SUM(M$4:M584)</f>
        <v>0</v>
      </c>
      <c r="N585" s="1316">
        <f t="shared" si="98"/>
        <v>0</v>
      </c>
      <c r="O585" s="1317">
        <f t="shared" si="109"/>
        <v>0</v>
      </c>
      <c r="P585" s="1318"/>
      <c r="Q585" s="1319"/>
      <c r="R585" s="1320">
        <f t="shared" si="110"/>
        <v>0</v>
      </c>
      <c r="S585" s="1316">
        <f t="shared" si="111"/>
        <v>0</v>
      </c>
      <c r="T585" s="712"/>
      <c r="U585" s="713"/>
      <c r="V585" s="714"/>
      <c r="W585" s="398">
        <f t="shared" si="108"/>
        <v>0</v>
      </c>
      <c r="X585" s="712"/>
      <c r="Y585" s="713"/>
      <c r="Z585" s="714"/>
      <c r="AA585" s="398">
        <f t="shared" si="113"/>
        <v>0</v>
      </c>
      <c r="AB585" s="712"/>
      <c r="AC585" s="713"/>
      <c r="AD585" s="714"/>
      <c r="AE585" s="398">
        <f t="shared" si="114"/>
        <v>0</v>
      </c>
      <c r="AF585" s="712"/>
      <c r="AG585" s="713"/>
      <c r="AH585" s="714"/>
      <c r="AI585" s="398">
        <f t="shared" si="115"/>
        <v>0</v>
      </c>
      <c r="AJ585" s="712"/>
      <c r="AK585" s="713"/>
      <c r="AL585" s="714"/>
      <c r="AM585" s="398">
        <f t="shared" si="116"/>
        <v>0</v>
      </c>
    </row>
    <row r="586" spans="1:39" ht="15.75" customHeight="1" x14ac:dyDescent="0.3">
      <c r="A586" s="2161"/>
      <c r="B586" s="1313" t="str">
        <f t="shared" si="112"/>
        <v/>
      </c>
      <c r="C586" s="1011">
        <f>IF($D$2="NO",0,ROUNDDOWN(SUM(PROD!$V$5:V587)/IF(Iniciar!$C$25="kilos",40,1),0)-SUM($C$4:$C585))</f>
        <v>0</v>
      </c>
      <c r="D586" s="702"/>
      <c r="E586" s="702"/>
      <c r="F586" s="300">
        <f t="shared" si="107"/>
        <v>-95000</v>
      </c>
      <c r="G586" s="694"/>
      <c r="H586" s="695"/>
      <c r="I586" s="1314"/>
      <c r="J586" s="1315">
        <f>IF(K$1&gt;0,ROUNDUP(SUM(PROD!AM$5:AM587)/K$1*K$2,0),0)-SUM(J$4:J585)</f>
        <v>0</v>
      </c>
      <c r="K586" s="1316">
        <f t="shared" si="97"/>
        <v>0</v>
      </c>
      <c r="L586" s="1314"/>
      <c r="M586" s="1315">
        <f>IF(N$1&gt;0,ROUNDUP(SUM(PROD!L$5:L587,-PROD!AM$5:AM587,-PROD!AZ$5:AZ587)/N$1*N$2,0),0)-SUM(M$4:M585)</f>
        <v>0</v>
      </c>
      <c r="N586" s="1316">
        <f t="shared" si="98"/>
        <v>0</v>
      </c>
      <c r="O586" s="1317">
        <f t="shared" si="109"/>
        <v>0</v>
      </c>
      <c r="P586" s="1318"/>
      <c r="Q586" s="1319"/>
      <c r="R586" s="1320">
        <f t="shared" si="110"/>
        <v>0</v>
      </c>
      <c r="S586" s="1316">
        <f t="shared" si="111"/>
        <v>0</v>
      </c>
      <c r="T586" s="712"/>
      <c r="U586" s="713"/>
      <c r="V586" s="714"/>
      <c r="W586" s="398">
        <f t="shared" si="108"/>
        <v>0</v>
      </c>
      <c r="X586" s="712"/>
      <c r="Y586" s="713"/>
      <c r="Z586" s="714"/>
      <c r="AA586" s="398">
        <f t="shared" si="113"/>
        <v>0</v>
      </c>
      <c r="AB586" s="712"/>
      <c r="AC586" s="713"/>
      <c r="AD586" s="714"/>
      <c r="AE586" s="398">
        <f t="shared" si="114"/>
        <v>0</v>
      </c>
      <c r="AF586" s="712"/>
      <c r="AG586" s="713"/>
      <c r="AH586" s="714"/>
      <c r="AI586" s="398">
        <f t="shared" si="115"/>
        <v>0</v>
      </c>
      <c r="AJ586" s="712"/>
      <c r="AK586" s="713"/>
      <c r="AL586" s="714"/>
      <c r="AM586" s="398">
        <f t="shared" si="116"/>
        <v>0</v>
      </c>
    </row>
    <row r="587" spans="1:39" ht="15.75" customHeight="1" x14ac:dyDescent="0.3">
      <c r="A587" s="2161"/>
      <c r="B587" s="1313" t="str">
        <f t="shared" si="112"/>
        <v/>
      </c>
      <c r="C587" s="1011">
        <f>IF($D$2="NO",0,ROUNDDOWN(SUM(PROD!$V$5:V588)/IF(Iniciar!$C$25="kilos",40,1),0)-SUM($C$4:$C586))</f>
        <v>0</v>
      </c>
      <c r="D587" s="702"/>
      <c r="E587" s="702"/>
      <c r="F587" s="300">
        <f t="shared" ref="F587:F650" si="117">F586+C587+D587-E587</f>
        <v>-95000</v>
      </c>
      <c r="G587" s="694"/>
      <c r="H587" s="695"/>
      <c r="I587" s="1314"/>
      <c r="J587" s="1315">
        <f>IF(K$1&gt;0,ROUNDUP(SUM(PROD!AM$5:AM588)/K$1*K$2,0),0)-SUM(J$4:J586)</f>
        <v>0</v>
      </c>
      <c r="K587" s="1316">
        <f t="shared" si="97"/>
        <v>0</v>
      </c>
      <c r="L587" s="1314"/>
      <c r="M587" s="1315">
        <f>IF(N$1&gt;0,ROUNDUP(SUM(PROD!L$5:L588,-PROD!AM$5:AM588,-PROD!AZ$5:AZ588)/N$1*N$2,0),0)-SUM(M$4:M586)</f>
        <v>0</v>
      </c>
      <c r="N587" s="1316">
        <f t="shared" si="98"/>
        <v>0</v>
      </c>
      <c r="O587" s="1317">
        <f t="shared" si="109"/>
        <v>0</v>
      </c>
      <c r="P587" s="1318"/>
      <c r="Q587" s="1319"/>
      <c r="R587" s="1320">
        <f t="shared" si="110"/>
        <v>0</v>
      </c>
      <c r="S587" s="1316">
        <f t="shared" si="111"/>
        <v>0</v>
      </c>
      <c r="T587" s="712"/>
      <c r="U587" s="713"/>
      <c r="V587" s="714"/>
      <c r="W587" s="398">
        <f t="shared" si="108"/>
        <v>0</v>
      </c>
      <c r="X587" s="712"/>
      <c r="Y587" s="713"/>
      <c r="Z587" s="714"/>
      <c r="AA587" s="398">
        <f t="shared" si="113"/>
        <v>0</v>
      </c>
      <c r="AB587" s="712"/>
      <c r="AC587" s="713"/>
      <c r="AD587" s="714"/>
      <c r="AE587" s="398">
        <f t="shared" si="114"/>
        <v>0</v>
      </c>
      <c r="AF587" s="712"/>
      <c r="AG587" s="713"/>
      <c r="AH587" s="714"/>
      <c r="AI587" s="398">
        <f t="shared" si="115"/>
        <v>0</v>
      </c>
      <c r="AJ587" s="712"/>
      <c r="AK587" s="713"/>
      <c r="AL587" s="714"/>
      <c r="AM587" s="398">
        <f t="shared" si="116"/>
        <v>0</v>
      </c>
    </row>
    <row r="588" spans="1:39" ht="15.75" customHeight="1" x14ac:dyDescent="0.3">
      <c r="A588" s="2161"/>
      <c r="B588" s="1313" t="str">
        <f t="shared" si="112"/>
        <v/>
      </c>
      <c r="C588" s="1011">
        <f>IF($D$2="NO",0,ROUNDDOWN(SUM(PROD!$V$5:V589)/IF(Iniciar!$C$25="kilos",40,1),0)-SUM($C$4:$C587))</f>
        <v>0</v>
      </c>
      <c r="D588" s="702"/>
      <c r="E588" s="702"/>
      <c r="F588" s="300">
        <f t="shared" si="117"/>
        <v>-95000</v>
      </c>
      <c r="G588" s="694"/>
      <c r="H588" s="695"/>
      <c r="I588" s="1314"/>
      <c r="J588" s="1315">
        <f>IF(K$1&gt;0,ROUNDUP(SUM(PROD!AM$5:AM589)/K$1*K$2,0),0)-SUM(J$4:J587)</f>
        <v>0</v>
      </c>
      <c r="K588" s="1316">
        <f t="shared" si="97"/>
        <v>0</v>
      </c>
      <c r="L588" s="1314"/>
      <c r="M588" s="1315">
        <f>IF(N$1&gt;0,ROUNDUP(SUM(PROD!L$5:L589,-PROD!AM$5:AM589,-PROD!AZ$5:AZ589)/N$1*N$2,0),0)-SUM(M$4:M587)</f>
        <v>0</v>
      </c>
      <c r="N588" s="1316">
        <f t="shared" si="98"/>
        <v>0</v>
      </c>
      <c r="O588" s="1317">
        <f t="shared" si="109"/>
        <v>0</v>
      </c>
      <c r="P588" s="1318"/>
      <c r="Q588" s="1319"/>
      <c r="R588" s="1320">
        <f t="shared" si="110"/>
        <v>0</v>
      </c>
      <c r="S588" s="1316">
        <f t="shared" si="111"/>
        <v>0</v>
      </c>
      <c r="T588" s="712"/>
      <c r="U588" s="713"/>
      <c r="V588" s="714"/>
      <c r="W588" s="398">
        <f t="shared" si="108"/>
        <v>0</v>
      </c>
      <c r="X588" s="712"/>
      <c r="Y588" s="713"/>
      <c r="Z588" s="714"/>
      <c r="AA588" s="398">
        <f t="shared" si="113"/>
        <v>0</v>
      </c>
      <c r="AB588" s="712"/>
      <c r="AC588" s="713"/>
      <c r="AD588" s="714"/>
      <c r="AE588" s="398">
        <f t="shared" si="114"/>
        <v>0</v>
      </c>
      <c r="AF588" s="712"/>
      <c r="AG588" s="713"/>
      <c r="AH588" s="714"/>
      <c r="AI588" s="398">
        <f t="shared" si="115"/>
        <v>0</v>
      </c>
      <c r="AJ588" s="712"/>
      <c r="AK588" s="713"/>
      <c r="AL588" s="714"/>
      <c r="AM588" s="398">
        <f t="shared" si="116"/>
        <v>0</v>
      </c>
    </row>
    <row r="589" spans="1:39" ht="15.75" customHeight="1" x14ac:dyDescent="0.3">
      <c r="A589" s="2161"/>
      <c r="B589" s="1313" t="str">
        <f t="shared" si="112"/>
        <v/>
      </c>
      <c r="C589" s="1011">
        <f>IF($D$2="NO",0,ROUNDDOWN(SUM(PROD!$V$5:V590)/IF(Iniciar!$C$25="kilos",40,1),0)-SUM($C$4:$C588))</f>
        <v>0</v>
      </c>
      <c r="D589" s="702"/>
      <c r="E589" s="702"/>
      <c r="F589" s="300">
        <f t="shared" si="117"/>
        <v>-95000</v>
      </c>
      <c r="G589" s="694"/>
      <c r="H589" s="695"/>
      <c r="I589" s="1314"/>
      <c r="J589" s="1315">
        <f>IF(K$1&gt;0,ROUNDUP(SUM(PROD!AM$5:AM590)/K$1*K$2,0),0)-SUM(J$4:J588)</f>
        <v>0</v>
      </c>
      <c r="K589" s="1316">
        <f t="shared" si="97"/>
        <v>0</v>
      </c>
      <c r="L589" s="1314"/>
      <c r="M589" s="1315">
        <f>IF(N$1&gt;0,ROUNDUP(SUM(PROD!L$5:L590,-PROD!AM$5:AM590,-PROD!AZ$5:AZ590)/N$1*N$2,0),0)-SUM(M$4:M588)</f>
        <v>0</v>
      </c>
      <c r="N589" s="1316">
        <f t="shared" si="98"/>
        <v>0</v>
      </c>
      <c r="O589" s="1317">
        <f t="shared" si="109"/>
        <v>0</v>
      </c>
      <c r="P589" s="1318"/>
      <c r="Q589" s="1319"/>
      <c r="R589" s="1320">
        <f t="shared" si="110"/>
        <v>0</v>
      </c>
      <c r="S589" s="1316">
        <f t="shared" si="111"/>
        <v>0</v>
      </c>
      <c r="T589" s="712"/>
      <c r="U589" s="713"/>
      <c r="V589" s="714"/>
      <c r="W589" s="398">
        <f t="shared" si="108"/>
        <v>0</v>
      </c>
      <c r="X589" s="712"/>
      <c r="Y589" s="713"/>
      <c r="Z589" s="714"/>
      <c r="AA589" s="398">
        <f t="shared" si="113"/>
        <v>0</v>
      </c>
      <c r="AB589" s="712"/>
      <c r="AC589" s="713"/>
      <c r="AD589" s="714"/>
      <c r="AE589" s="398">
        <f t="shared" si="114"/>
        <v>0</v>
      </c>
      <c r="AF589" s="712"/>
      <c r="AG589" s="713"/>
      <c r="AH589" s="714"/>
      <c r="AI589" s="398">
        <f t="shared" si="115"/>
        <v>0</v>
      </c>
      <c r="AJ589" s="712"/>
      <c r="AK589" s="713"/>
      <c r="AL589" s="714"/>
      <c r="AM589" s="398">
        <f t="shared" si="116"/>
        <v>0</v>
      </c>
    </row>
    <row r="590" spans="1:39" ht="15.75" customHeight="1" x14ac:dyDescent="0.3">
      <c r="A590" s="2161"/>
      <c r="B590" s="1313" t="str">
        <f t="shared" si="112"/>
        <v/>
      </c>
      <c r="C590" s="1011">
        <f>IF($D$2="NO",0,ROUNDDOWN(SUM(PROD!$V$5:V591)/IF(Iniciar!$C$25="kilos",40,1),0)-SUM($C$4:$C589))</f>
        <v>0</v>
      </c>
      <c r="D590" s="702"/>
      <c r="E590" s="702"/>
      <c r="F590" s="300">
        <f t="shared" si="117"/>
        <v>-95000</v>
      </c>
      <c r="G590" s="694"/>
      <c r="H590" s="695"/>
      <c r="I590" s="1314"/>
      <c r="J590" s="1315">
        <f>IF(K$1&gt;0,ROUNDUP(SUM(PROD!AM$5:AM591)/K$1*K$2,0),0)-SUM(J$4:J589)</f>
        <v>0</v>
      </c>
      <c r="K590" s="1316">
        <f t="shared" si="97"/>
        <v>0</v>
      </c>
      <c r="L590" s="1314"/>
      <c r="M590" s="1315">
        <f>IF(N$1&gt;0,ROUNDUP(SUM(PROD!L$5:L591,-PROD!AM$5:AM591,-PROD!AZ$5:AZ591)/N$1*N$2,0),0)-SUM(M$4:M589)</f>
        <v>0</v>
      </c>
      <c r="N590" s="1316">
        <f t="shared" si="98"/>
        <v>0</v>
      </c>
      <c r="O590" s="1317">
        <f t="shared" si="109"/>
        <v>0</v>
      </c>
      <c r="P590" s="1318"/>
      <c r="Q590" s="1319"/>
      <c r="R590" s="1320">
        <f t="shared" si="110"/>
        <v>0</v>
      </c>
      <c r="S590" s="1316">
        <f t="shared" si="111"/>
        <v>0</v>
      </c>
      <c r="T590" s="712"/>
      <c r="U590" s="713"/>
      <c r="V590" s="714"/>
      <c r="W590" s="398">
        <f t="shared" si="108"/>
        <v>0</v>
      </c>
      <c r="X590" s="712"/>
      <c r="Y590" s="713"/>
      <c r="Z590" s="714"/>
      <c r="AA590" s="398">
        <f t="shared" si="113"/>
        <v>0</v>
      </c>
      <c r="AB590" s="712"/>
      <c r="AC590" s="713"/>
      <c r="AD590" s="714"/>
      <c r="AE590" s="398">
        <f t="shared" si="114"/>
        <v>0</v>
      </c>
      <c r="AF590" s="712"/>
      <c r="AG590" s="713"/>
      <c r="AH590" s="714"/>
      <c r="AI590" s="398">
        <f t="shared" si="115"/>
        <v>0</v>
      </c>
      <c r="AJ590" s="712"/>
      <c r="AK590" s="713"/>
      <c r="AL590" s="714"/>
      <c r="AM590" s="398">
        <f t="shared" si="116"/>
        <v>0</v>
      </c>
    </row>
    <row r="591" spans="1:39" ht="16.5" customHeight="1" x14ac:dyDescent="0.3">
      <c r="A591" s="2162"/>
      <c r="B591" s="1313" t="str">
        <f t="shared" si="112"/>
        <v/>
      </c>
      <c r="C591" s="1011">
        <f>IF($D$2="NO",0,ROUNDDOWN(SUM(PROD!$V$5:V592)/IF(Iniciar!$C$25="kilos",40,1),0)-SUM($C$4:$C590))</f>
        <v>0</v>
      </c>
      <c r="D591" s="702"/>
      <c r="E591" s="702"/>
      <c r="F591" s="300">
        <f t="shared" si="117"/>
        <v>-95000</v>
      </c>
      <c r="G591" s="694"/>
      <c r="H591" s="695"/>
      <c r="I591" s="1314"/>
      <c r="J591" s="1315">
        <f>IF(K$1&gt;0,ROUNDUP(SUM(PROD!AM$5:AM592)/K$1*K$2,0),0)-SUM(J$4:J590)</f>
        <v>0</v>
      </c>
      <c r="K591" s="1316">
        <f t="shared" si="97"/>
        <v>0</v>
      </c>
      <c r="L591" s="1314"/>
      <c r="M591" s="1315">
        <f>IF(N$1&gt;0,ROUNDUP(SUM(PROD!L$5:L592,-PROD!AM$5:AM592,-PROD!AZ$5:AZ592)/N$1*N$2,0),0)-SUM(M$4:M590)</f>
        <v>0</v>
      </c>
      <c r="N591" s="1316">
        <f t="shared" si="98"/>
        <v>0</v>
      </c>
      <c r="O591" s="1317">
        <f t="shared" si="109"/>
        <v>0</v>
      </c>
      <c r="P591" s="1318"/>
      <c r="Q591" s="1319"/>
      <c r="R591" s="1320">
        <f t="shared" si="110"/>
        <v>0</v>
      </c>
      <c r="S591" s="1316">
        <f t="shared" si="111"/>
        <v>0</v>
      </c>
      <c r="T591" s="712"/>
      <c r="U591" s="713"/>
      <c r="V591" s="714"/>
      <c r="W591" s="398">
        <f t="shared" si="108"/>
        <v>0</v>
      </c>
      <c r="X591" s="712"/>
      <c r="Y591" s="713"/>
      <c r="Z591" s="714"/>
      <c r="AA591" s="398">
        <f t="shared" si="113"/>
        <v>0</v>
      </c>
      <c r="AB591" s="712"/>
      <c r="AC591" s="713"/>
      <c r="AD591" s="714"/>
      <c r="AE591" s="398">
        <f t="shared" si="114"/>
        <v>0</v>
      </c>
      <c r="AF591" s="712"/>
      <c r="AG591" s="713"/>
      <c r="AH591" s="714"/>
      <c r="AI591" s="398">
        <f t="shared" si="115"/>
        <v>0</v>
      </c>
      <c r="AJ591" s="712"/>
      <c r="AK591" s="713"/>
      <c r="AL591" s="714"/>
      <c r="AM591" s="398">
        <f t="shared" si="116"/>
        <v>0</v>
      </c>
    </row>
    <row r="592" spans="1:39" ht="16.5" customHeight="1" x14ac:dyDescent="0.3">
      <c r="A592" s="2160">
        <f>A585+1</f>
        <v>102</v>
      </c>
      <c r="B592" s="1313" t="str">
        <f t="shared" si="112"/>
        <v/>
      </c>
      <c r="C592" s="1011">
        <f>IF($D$2="NO",0,ROUNDDOWN(SUM(PROD!$V$5:V593)/IF(Iniciar!$C$25="kilos",40,1),0)-SUM($C$4:$C591))</f>
        <v>0</v>
      </c>
      <c r="D592" s="702"/>
      <c r="E592" s="702"/>
      <c r="F592" s="300">
        <f t="shared" si="117"/>
        <v>-95000</v>
      </c>
      <c r="G592" s="694"/>
      <c r="H592" s="695"/>
      <c r="I592" s="1314"/>
      <c r="J592" s="1315">
        <f>IF(K$1&gt;0,ROUNDUP(SUM(PROD!AM$5:AM593)/K$1*K$2,0),0)-SUM(J$4:J591)</f>
        <v>0</v>
      </c>
      <c r="K592" s="1316">
        <f t="shared" si="97"/>
        <v>0</v>
      </c>
      <c r="L592" s="1314"/>
      <c r="M592" s="1315">
        <f>IF(N$1&gt;0,ROUNDUP(SUM(PROD!L$5:L593,-PROD!AM$5:AM593,-PROD!AZ$5:AZ593)/N$1*N$2,0),0)-SUM(M$4:M591)</f>
        <v>0</v>
      </c>
      <c r="N592" s="1316">
        <f t="shared" si="98"/>
        <v>0</v>
      </c>
      <c r="O592" s="1317">
        <f t="shared" si="109"/>
        <v>0</v>
      </c>
      <c r="P592" s="1318"/>
      <c r="Q592" s="1319"/>
      <c r="R592" s="1320">
        <f t="shared" si="110"/>
        <v>0</v>
      </c>
      <c r="S592" s="1316">
        <f t="shared" si="111"/>
        <v>0</v>
      </c>
      <c r="T592" s="712"/>
      <c r="U592" s="713"/>
      <c r="V592" s="714"/>
      <c r="W592" s="398">
        <f t="shared" si="108"/>
        <v>0</v>
      </c>
      <c r="X592" s="712"/>
      <c r="Y592" s="713"/>
      <c r="Z592" s="714"/>
      <c r="AA592" s="398">
        <f t="shared" si="113"/>
        <v>0</v>
      </c>
      <c r="AB592" s="712"/>
      <c r="AC592" s="713"/>
      <c r="AD592" s="714"/>
      <c r="AE592" s="398">
        <f t="shared" si="114"/>
        <v>0</v>
      </c>
      <c r="AF592" s="712"/>
      <c r="AG592" s="713"/>
      <c r="AH592" s="714"/>
      <c r="AI592" s="398">
        <f t="shared" si="115"/>
        <v>0</v>
      </c>
      <c r="AJ592" s="712"/>
      <c r="AK592" s="713"/>
      <c r="AL592" s="714"/>
      <c r="AM592" s="398">
        <f t="shared" si="116"/>
        <v>0</v>
      </c>
    </row>
    <row r="593" spans="1:39" ht="15.75" customHeight="1" x14ac:dyDescent="0.3">
      <c r="A593" s="2161"/>
      <c r="B593" s="1313" t="str">
        <f t="shared" si="112"/>
        <v/>
      </c>
      <c r="C593" s="1011">
        <f>IF($D$2="NO",0,ROUNDDOWN(SUM(PROD!$V$5:V594)/IF(Iniciar!$C$25="kilos",40,1),0)-SUM($C$4:$C592))</f>
        <v>0</v>
      </c>
      <c r="D593" s="702"/>
      <c r="E593" s="702"/>
      <c r="F593" s="300">
        <f t="shared" si="117"/>
        <v>-95000</v>
      </c>
      <c r="G593" s="694"/>
      <c r="H593" s="695"/>
      <c r="I593" s="1314"/>
      <c r="J593" s="1315">
        <f>IF(K$1&gt;0,ROUNDUP(SUM(PROD!AM$5:AM594)/K$1*K$2,0),0)-SUM(J$4:J592)</f>
        <v>0</v>
      </c>
      <c r="K593" s="1316">
        <f t="shared" si="97"/>
        <v>0</v>
      </c>
      <c r="L593" s="1314"/>
      <c r="M593" s="1315">
        <f>IF(N$1&gt;0,ROUNDUP(SUM(PROD!L$5:L594,-PROD!AM$5:AM594,-PROD!AZ$5:AZ594)/N$1*N$2,0),0)-SUM(M$4:M592)</f>
        <v>0</v>
      </c>
      <c r="N593" s="1316">
        <f t="shared" si="98"/>
        <v>0</v>
      </c>
      <c r="O593" s="1317">
        <f t="shared" si="109"/>
        <v>0</v>
      </c>
      <c r="P593" s="1318"/>
      <c r="Q593" s="1319"/>
      <c r="R593" s="1320">
        <f t="shared" si="110"/>
        <v>0</v>
      </c>
      <c r="S593" s="1316">
        <f t="shared" si="111"/>
        <v>0</v>
      </c>
      <c r="T593" s="712"/>
      <c r="U593" s="713"/>
      <c r="V593" s="714"/>
      <c r="W593" s="398">
        <f t="shared" si="108"/>
        <v>0</v>
      </c>
      <c r="X593" s="712"/>
      <c r="Y593" s="713"/>
      <c r="Z593" s="714"/>
      <c r="AA593" s="398">
        <f t="shared" si="113"/>
        <v>0</v>
      </c>
      <c r="AB593" s="712"/>
      <c r="AC593" s="713"/>
      <c r="AD593" s="714"/>
      <c r="AE593" s="398">
        <f t="shared" si="114"/>
        <v>0</v>
      </c>
      <c r="AF593" s="712"/>
      <c r="AG593" s="713"/>
      <c r="AH593" s="714"/>
      <c r="AI593" s="398">
        <f t="shared" si="115"/>
        <v>0</v>
      </c>
      <c r="AJ593" s="712"/>
      <c r="AK593" s="713"/>
      <c r="AL593" s="714"/>
      <c r="AM593" s="398">
        <f t="shared" si="116"/>
        <v>0</v>
      </c>
    </row>
    <row r="594" spans="1:39" ht="15.75" customHeight="1" x14ac:dyDescent="0.3">
      <c r="A594" s="2161"/>
      <c r="B594" s="1313" t="str">
        <f t="shared" si="112"/>
        <v/>
      </c>
      <c r="C594" s="1011">
        <f>IF($D$2="NO",0,ROUNDDOWN(SUM(PROD!$V$5:V595)/IF(Iniciar!$C$25="kilos",40,1),0)-SUM($C$4:$C593))</f>
        <v>0</v>
      </c>
      <c r="D594" s="702"/>
      <c r="E594" s="702"/>
      <c r="F594" s="300">
        <f t="shared" si="117"/>
        <v>-95000</v>
      </c>
      <c r="G594" s="694"/>
      <c r="H594" s="695"/>
      <c r="I594" s="1314"/>
      <c r="J594" s="1315">
        <f>IF(K$1&gt;0,ROUNDUP(SUM(PROD!AM$5:AM595)/K$1*K$2,0),0)-SUM(J$4:J593)</f>
        <v>0</v>
      </c>
      <c r="K594" s="1316">
        <f t="shared" si="97"/>
        <v>0</v>
      </c>
      <c r="L594" s="1314"/>
      <c r="M594" s="1315">
        <f>IF(N$1&gt;0,ROUNDUP(SUM(PROD!L$5:L595,-PROD!AM$5:AM595,-PROD!AZ$5:AZ595)/N$1*N$2,0),0)-SUM(M$4:M593)</f>
        <v>0</v>
      </c>
      <c r="N594" s="1316">
        <f t="shared" si="98"/>
        <v>0</v>
      </c>
      <c r="O594" s="1317">
        <f t="shared" si="109"/>
        <v>0</v>
      </c>
      <c r="P594" s="1318"/>
      <c r="Q594" s="1319"/>
      <c r="R594" s="1320">
        <f t="shared" si="110"/>
        <v>0</v>
      </c>
      <c r="S594" s="1316">
        <f t="shared" si="111"/>
        <v>0</v>
      </c>
      <c r="T594" s="712"/>
      <c r="U594" s="713"/>
      <c r="V594" s="714"/>
      <c r="W594" s="398">
        <f t="shared" ref="W594:W657" si="118">W593+U594-V594</f>
        <v>0</v>
      </c>
      <c r="X594" s="712"/>
      <c r="Y594" s="713"/>
      <c r="Z594" s="714"/>
      <c r="AA594" s="398">
        <f t="shared" si="113"/>
        <v>0</v>
      </c>
      <c r="AB594" s="712"/>
      <c r="AC594" s="713"/>
      <c r="AD594" s="714"/>
      <c r="AE594" s="398">
        <f t="shared" si="114"/>
        <v>0</v>
      </c>
      <c r="AF594" s="712"/>
      <c r="AG594" s="713"/>
      <c r="AH594" s="714"/>
      <c r="AI594" s="398">
        <f t="shared" si="115"/>
        <v>0</v>
      </c>
      <c r="AJ594" s="712"/>
      <c r="AK594" s="713"/>
      <c r="AL594" s="714"/>
      <c r="AM594" s="398">
        <f t="shared" si="116"/>
        <v>0</v>
      </c>
    </row>
    <row r="595" spans="1:39" ht="15.75" customHeight="1" x14ac:dyDescent="0.3">
      <c r="A595" s="2161"/>
      <c r="B595" s="1313" t="str">
        <f t="shared" si="112"/>
        <v/>
      </c>
      <c r="C595" s="1011">
        <f>IF($D$2="NO",0,ROUNDDOWN(SUM(PROD!$V$5:V596)/IF(Iniciar!$C$25="kilos",40,1),0)-SUM($C$4:$C594))</f>
        <v>0</v>
      </c>
      <c r="D595" s="702"/>
      <c r="E595" s="702"/>
      <c r="F595" s="300">
        <f t="shared" si="117"/>
        <v>-95000</v>
      </c>
      <c r="G595" s="694"/>
      <c r="H595" s="695"/>
      <c r="I595" s="1314"/>
      <c r="J595" s="1315">
        <f>IF(K$1&gt;0,ROUNDUP(SUM(PROD!AM$5:AM596)/K$1*K$2,0),0)-SUM(J$4:J594)</f>
        <v>0</v>
      </c>
      <c r="K595" s="1316">
        <f t="shared" si="97"/>
        <v>0</v>
      </c>
      <c r="L595" s="1314"/>
      <c r="M595" s="1315">
        <f>IF(N$1&gt;0,ROUNDUP(SUM(PROD!L$5:L596,-PROD!AM$5:AM596,-PROD!AZ$5:AZ596)/N$1*N$2,0),0)-SUM(M$4:M594)</f>
        <v>0</v>
      </c>
      <c r="N595" s="1316">
        <f t="shared" si="98"/>
        <v>0</v>
      </c>
      <c r="O595" s="1317">
        <f t="shared" si="109"/>
        <v>0</v>
      </c>
      <c r="P595" s="1318"/>
      <c r="Q595" s="1319"/>
      <c r="R595" s="1320">
        <f t="shared" si="110"/>
        <v>0</v>
      </c>
      <c r="S595" s="1316">
        <f t="shared" si="111"/>
        <v>0</v>
      </c>
      <c r="T595" s="712"/>
      <c r="U595" s="713"/>
      <c r="V595" s="714"/>
      <c r="W595" s="398">
        <f t="shared" si="118"/>
        <v>0</v>
      </c>
      <c r="X595" s="712"/>
      <c r="Y595" s="713"/>
      <c r="Z595" s="714"/>
      <c r="AA595" s="398">
        <f t="shared" si="113"/>
        <v>0</v>
      </c>
      <c r="AB595" s="712"/>
      <c r="AC595" s="713"/>
      <c r="AD595" s="714"/>
      <c r="AE595" s="398">
        <f t="shared" si="114"/>
        <v>0</v>
      </c>
      <c r="AF595" s="712"/>
      <c r="AG595" s="713"/>
      <c r="AH595" s="714"/>
      <c r="AI595" s="398">
        <f t="shared" si="115"/>
        <v>0</v>
      </c>
      <c r="AJ595" s="712"/>
      <c r="AK595" s="713"/>
      <c r="AL595" s="714"/>
      <c r="AM595" s="398">
        <f t="shared" si="116"/>
        <v>0</v>
      </c>
    </row>
    <row r="596" spans="1:39" ht="15.75" customHeight="1" x14ac:dyDescent="0.3">
      <c r="A596" s="2161"/>
      <c r="B596" s="1313" t="str">
        <f t="shared" si="112"/>
        <v/>
      </c>
      <c r="C596" s="1011">
        <f>IF($D$2="NO",0,ROUNDDOWN(SUM(PROD!$V$5:V597)/IF(Iniciar!$C$25="kilos",40,1),0)-SUM($C$4:$C595))</f>
        <v>0</v>
      </c>
      <c r="D596" s="702"/>
      <c r="E596" s="702"/>
      <c r="F596" s="300">
        <f t="shared" si="117"/>
        <v>-95000</v>
      </c>
      <c r="G596" s="694"/>
      <c r="H596" s="695"/>
      <c r="I596" s="1314"/>
      <c r="J596" s="1315">
        <f>IF(K$1&gt;0,ROUNDUP(SUM(PROD!AM$5:AM597)/K$1*K$2,0),0)-SUM(J$4:J595)</f>
        <v>0</v>
      </c>
      <c r="K596" s="1316">
        <f t="shared" si="97"/>
        <v>0</v>
      </c>
      <c r="L596" s="1314"/>
      <c r="M596" s="1315">
        <f>IF(N$1&gt;0,ROUNDUP(SUM(PROD!L$5:L597,-PROD!AM$5:AM597,-PROD!AZ$5:AZ597)/N$1*N$2,0),0)-SUM(M$4:M595)</f>
        <v>0</v>
      </c>
      <c r="N596" s="1316">
        <f t="shared" si="98"/>
        <v>0</v>
      </c>
      <c r="O596" s="1317">
        <f t="shared" si="109"/>
        <v>0</v>
      </c>
      <c r="P596" s="1318"/>
      <c r="Q596" s="1319"/>
      <c r="R596" s="1320">
        <f t="shared" si="110"/>
        <v>0</v>
      </c>
      <c r="S596" s="1316">
        <f t="shared" si="111"/>
        <v>0</v>
      </c>
      <c r="T596" s="712"/>
      <c r="U596" s="713"/>
      <c r="V596" s="714"/>
      <c r="W596" s="398">
        <f t="shared" si="118"/>
        <v>0</v>
      </c>
      <c r="X596" s="712"/>
      <c r="Y596" s="713"/>
      <c r="Z596" s="714"/>
      <c r="AA596" s="398">
        <f t="shared" si="113"/>
        <v>0</v>
      </c>
      <c r="AB596" s="712"/>
      <c r="AC596" s="713"/>
      <c r="AD596" s="714"/>
      <c r="AE596" s="398">
        <f t="shared" si="114"/>
        <v>0</v>
      </c>
      <c r="AF596" s="712"/>
      <c r="AG596" s="713"/>
      <c r="AH596" s="714"/>
      <c r="AI596" s="398">
        <f t="shared" si="115"/>
        <v>0</v>
      </c>
      <c r="AJ596" s="712"/>
      <c r="AK596" s="713"/>
      <c r="AL596" s="714"/>
      <c r="AM596" s="398">
        <f t="shared" si="116"/>
        <v>0</v>
      </c>
    </row>
    <row r="597" spans="1:39" ht="15.75" customHeight="1" x14ac:dyDescent="0.3">
      <c r="A597" s="2161"/>
      <c r="B597" s="1313" t="str">
        <f t="shared" si="112"/>
        <v/>
      </c>
      <c r="C597" s="1011">
        <f>IF($D$2="NO",0,ROUNDDOWN(SUM(PROD!$V$5:V598)/IF(Iniciar!$C$25="kilos",40,1),0)-SUM($C$4:$C596))</f>
        <v>0</v>
      </c>
      <c r="D597" s="702"/>
      <c r="E597" s="702"/>
      <c r="F597" s="300">
        <f t="shared" si="117"/>
        <v>-95000</v>
      </c>
      <c r="G597" s="694"/>
      <c r="H597" s="695"/>
      <c r="I597" s="1314"/>
      <c r="J597" s="1315">
        <f>IF(K$1&gt;0,ROUNDUP(SUM(PROD!AM$5:AM598)/K$1*K$2,0),0)-SUM(J$4:J596)</f>
        <v>0</v>
      </c>
      <c r="K597" s="1316">
        <f t="shared" si="97"/>
        <v>0</v>
      </c>
      <c r="L597" s="1314"/>
      <c r="M597" s="1315">
        <f>IF(N$1&gt;0,ROUNDUP(SUM(PROD!L$5:L598,-PROD!AM$5:AM598,-PROD!AZ$5:AZ598)/N$1*N$2,0),0)-SUM(M$4:M596)</f>
        <v>0</v>
      </c>
      <c r="N597" s="1316">
        <f t="shared" si="98"/>
        <v>0</v>
      </c>
      <c r="O597" s="1317">
        <f t="shared" si="109"/>
        <v>0</v>
      </c>
      <c r="P597" s="1318"/>
      <c r="Q597" s="1319"/>
      <c r="R597" s="1320">
        <f t="shared" si="110"/>
        <v>0</v>
      </c>
      <c r="S597" s="1316">
        <f t="shared" si="111"/>
        <v>0</v>
      </c>
      <c r="T597" s="712"/>
      <c r="U597" s="713"/>
      <c r="V597" s="714"/>
      <c r="W597" s="398">
        <f t="shared" si="118"/>
        <v>0</v>
      </c>
      <c r="X597" s="712"/>
      <c r="Y597" s="713"/>
      <c r="Z597" s="714"/>
      <c r="AA597" s="398">
        <f t="shared" si="113"/>
        <v>0</v>
      </c>
      <c r="AB597" s="712"/>
      <c r="AC597" s="713"/>
      <c r="AD597" s="714"/>
      <c r="AE597" s="398">
        <f t="shared" si="114"/>
        <v>0</v>
      </c>
      <c r="AF597" s="712"/>
      <c r="AG597" s="713"/>
      <c r="AH597" s="714"/>
      <c r="AI597" s="398">
        <f t="shared" si="115"/>
        <v>0</v>
      </c>
      <c r="AJ597" s="712"/>
      <c r="AK597" s="713"/>
      <c r="AL597" s="714"/>
      <c r="AM597" s="398">
        <f t="shared" si="116"/>
        <v>0</v>
      </c>
    </row>
    <row r="598" spans="1:39" ht="16.5" customHeight="1" x14ac:dyDescent="0.3">
      <c r="A598" s="2162"/>
      <c r="B598" s="1313" t="str">
        <f t="shared" si="112"/>
        <v/>
      </c>
      <c r="C598" s="1011">
        <f>IF($D$2="NO",0,ROUNDDOWN(SUM(PROD!$V$5:V599)/IF(Iniciar!$C$25="kilos",40,1),0)-SUM($C$4:$C597))</f>
        <v>0</v>
      </c>
      <c r="D598" s="702"/>
      <c r="E598" s="702"/>
      <c r="F598" s="300">
        <f t="shared" si="117"/>
        <v>-95000</v>
      </c>
      <c r="G598" s="694"/>
      <c r="H598" s="695"/>
      <c r="I598" s="1314"/>
      <c r="J598" s="1315">
        <f>IF(K$1&gt;0,ROUNDUP(SUM(PROD!AM$5:AM599)/K$1*K$2,0),0)-SUM(J$4:J597)</f>
        <v>0</v>
      </c>
      <c r="K598" s="1316">
        <f t="shared" si="97"/>
        <v>0</v>
      </c>
      <c r="L598" s="1314"/>
      <c r="M598" s="1315">
        <f>IF(N$1&gt;0,ROUNDUP(SUM(PROD!L$5:L599,-PROD!AM$5:AM599,-PROD!AZ$5:AZ599)/N$1*N$2,0),0)-SUM(M$4:M597)</f>
        <v>0</v>
      </c>
      <c r="N598" s="1316">
        <f t="shared" si="98"/>
        <v>0</v>
      </c>
      <c r="O598" s="1317">
        <f t="shared" si="109"/>
        <v>0</v>
      </c>
      <c r="P598" s="1318"/>
      <c r="Q598" s="1319"/>
      <c r="R598" s="1320">
        <f t="shared" si="110"/>
        <v>0</v>
      </c>
      <c r="S598" s="1316">
        <f t="shared" si="111"/>
        <v>0</v>
      </c>
      <c r="T598" s="712"/>
      <c r="U598" s="713"/>
      <c r="V598" s="714"/>
      <c r="W598" s="398">
        <f t="shared" si="118"/>
        <v>0</v>
      </c>
      <c r="X598" s="712"/>
      <c r="Y598" s="713"/>
      <c r="Z598" s="714"/>
      <c r="AA598" s="398">
        <f t="shared" si="113"/>
        <v>0</v>
      </c>
      <c r="AB598" s="712"/>
      <c r="AC598" s="713"/>
      <c r="AD598" s="714"/>
      <c r="AE598" s="398">
        <f t="shared" si="114"/>
        <v>0</v>
      </c>
      <c r="AF598" s="712"/>
      <c r="AG598" s="713"/>
      <c r="AH598" s="714"/>
      <c r="AI598" s="398">
        <f t="shared" si="115"/>
        <v>0</v>
      </c>
      <c r="AJ598" s="712"/>
      <c r="AK598" s="713"/>
      <c r="AL598" s="714"/>
      <c r="AM598" s="398">
        <f t="shared" si="116"/>
        <v>0</v>
      </c>
    </row>
    <row r="599" spans="1:39" ht="16.5" customHeight="1" x14ac:dyDescent="0.3">
      <c r="A599" s="2160">
        <f>A592+1</f>
        <v>103</v>
      </c>
      <c r="B599" s="1313" t="str">
        <f t="shared" si="112"/>
        <v/>
      </c>
      <c r="C599" s="1011">
        <f>IF($D$2="NO",0,ROUNDDOWN(SUM(PROD!$V$5:V600)/IF(Iniciar!$C$25="kilos",40,1),0)-SUM($C$4:$C598))</f>
        <v>0</v>
      </c>
      <c r="D599" s="702"/>
      <c r="E599" s="702"/>
      <c r="F599" s="300">
        <f t="shared" si="117"/>
        <v>-95000</v>
      </c>
      <c r="G599" s="694"/>
      <c r="H599" s="695"/>
      <c r="I599" s="1314"/>
      <c r="J599" s="1315">
        <f>IF(K$1&gt;0,ROUNDUP(SUM(PROD!AM$5:AM600)/K$1*K$2,0),0)-SUM(J$4:J598)</f>
        <v>0</v>
      </c>
      <c r="K599" s="1316">
        <f t="shared" si="97"/>
        <v>0</v>
      </c>
      <c r="L599" s="1314"/>
      <c r="M599" s="1315">
        <f>IF(N$1&gt;0,ROUNDUP(SUM(PROD!L$5:L600,-PROD!AM$5:AM600,-PROD!AZ$5:AZ600)/N$1*N$2,0),0)-SUM(M$4:M598)</f>
        <v>0</v>
      </c>
      <c r="N599" s="1316">
        <f t="shared" si="98"/>
        <v>0</v>
      </c>
      <c r="O599" s="1317">
        <f t="shared" si="109"/>
        <v>0</v>
      </c>
      <c r="P599" s="1318"/>
      <c r="Q599" s="1319"/>
      <c r="R599" s="1320">
        <f t="shared" si="110"/>
        <v>0</v>
      </c>
      <c r="S599" s="1316">
        <f t="shared" si="111"/>
        <v>0</v>
      </c>
      <c r="T599" s="712"/>
      <c r="U599" s="713"/>
      <c r="V599" s="714"/>
      <c r="W599" s="398">
        <f t="shared" si="118"/>
        <v>0</v>
      </c>
      <c r="X599" s="712"/>
      <c r="Y599" s="713"/>
      <c r="Z599" s="714"/>
      <c r="AA599" s="398">
        <f t="shared" si="113"/>
        <v>0</v>
      </c>
      <c r="AB599" s="712"/>
      <c r="AC599" s="713"/>
      <c r="AD599" s="714"/>
      <c r="AE599" s="398">
        <f t="shared" si="114"/>
        <v>0</v>
      </c>
      <c r="AF599" s="712"/>
      <c r="AG599" s="713"/>
      <c r="AH599" s="714"/>
      <c r="AI599" s="398">
        <f t="shared" si="115"/>
        <v>0</v>
      </c>
      <c r="AJ599" s="712"/>
      <c r="AK599" s="713"/>
      <c r="AL599" s="714"/>
      <c r="AM599" s="398">
        <f t="shared" si="116"/>
        <v>0</v>
      </c>
    </row>
    <row r="600" spans="1:39" ht="15.75" customHeight="1" x14ac:dyDescent="0.3">
      <c r="A600" s="2161"/>
      <c r="B600" s="1313" t="str">
        <f t="shared" si="112"/>
        <v/>
      </c>
      <c r="C600" s="1011">
        <f>IF($D$2="NO",0,ROUNDDOWN(SUM(PROD!$V$5:V601)/IF(Iniciar!$C$25="kilos",40,1),0)-SUM($C$4:$C599))</f>
        <v>0</v>
      </c>
      <c r="D600" s="702"/>
      <c r="E600" s="702"/>
      <c r="F600" s="300">
        <f t="shared" si="117"/>
        <v>-95000</v>
      </c>
      <c r="G600" s="694"/>
      <c r="H600" s="695"/>
      <c r="I600" s="1314"/>
      <c r="J600" s="1315">
        <f>IF(K$1&gt;0,ROUNDUP(SUM(PROD!AM$5:AM601)/K$1*K$2,0),0)-SUM(J$4:J599)</f>
        <v>0</v>
      </c>
      <c r="K600" s="1316">
        <f t="shared" si="97"/>
        <v>0</v>
      </c>
      <c r="L600" s="1314"/>
      <c r="M600" s="1315">
        <f>IF(N$1&gt;0,ROUNDUP(SUM(PROD!L$5:L601,-PROD!AM$5:AM601,-PROD!AZ$5:AZ601)/N$1*N$2,0),0)-SUM(M$4:M599)</f>
        <v>0</v>
      </c>
      <c r="N600" s="1316">
        <f t="shared" si="98"/>
        <v>0</v>
      </c>
      <c r="O600" s="1317">
        <f t="shared" si="109"/>
        <v>0</v>
      </c>
      <c r="P600" s="1318"/>
      <c r="Q600" s="1319"/>
      <c r="R600" s="1320">
        <f t="shared" si="110"/>
        <v>0</v>
      </c>
      <c r="S600" s="1316">
        <f t="shared" si="111"/>
        <v>0</v>
      </c>
      <c r="T600" s="712"/>
      <c r="U600" s="713"/>
      <c r="V600" s="714"/>
      <c r="W600" s="398">
        <f t="shared" si="118"/>
        <v>0</v>
      </c>
      <c r="X600" s="712"/>
      <c r="Y600" s="713"/>
      <c r="Z600" s="714"/>
      <c r="AA600" s="398">
        <f t="shared" si="113"/>
        <v>0</v>
      </c>
      <c r="AB600" s="712"/>
      <c r="AC600" s="713"/>
      <c r="AD600" s="714"/>
      <c r="AE600" s="398">
        <f t="shared" si="114"/>
        <v>0</v>
      </c>
      <c r="AF600" s="712"/>
      <c r="AG600" s="713"/>
      <c r="AH600" s="714"/>
      <c r="AI600" s="398">
        <f t="shared" si="115"/>
        <v>0</v>
      </c>
      <c r="AJ600" s="712"/>
      <c r="AK600" s="713"/>
      <c r="AL600" s="714"/>
      <c r="AM600" s="398">
        <f t="shared" si="116"/>
        <v>0</v>
      </c>
    </row>
    <row r="601" spans="1:39" ht="15.75" customHeight="1" x14ac:dyDescent="0.3">
      <c r="A601" s="2161"/>
      <c r="B601" s="1313" t="str">
        <f t="shared" si="112"/>
        <v/>
      </c>
      <c r="C601" s="1011">
        <f>IF($D$2="NO",0,ROUNDDOWN(SUM(PROD!$V$5:V602)/IF(Iniciar!$C$25="kilos",40,1),0)-SUM($C$4:$C600))</f>
        <v>0</v>
      </c>
      <c r="D601" s="702"/>
      <c r="E601" s="702"/>
      <c r="F601" s="300">
        <f t="shared" si="117"/>
        <v>-95000</v>
      </c>
      <c r="G601" s="694"/>
      <c r="H601" s="695"/>
      <c r="I601" s="1314"/>
      <c r="J601" s="1315">
        <f>IF(K$1&gt;0,ROUNDUP(SUM(PROD!AM$5:AM602)/K$1*K$2,0),0)-SUM(J$4:J600)</f>
        <v>0</v>
      </c>
      <c r="K601" s="1316">
        <f t="shared" si="97"/>
        <v>0</v>
      </c>
      <c r="L601" s="1314"/>
      <c r="M601" s="1315">
        <f>IF(N$1&gt;0,ROUNDUP(SUM(PROD!L$5:L602,-PROD!AM$5:AM602,-PROD!AZ$5:AZ602)/N$1*N$2,0),0)-SUM(M$4:M600)</f>
        <v>0</v>
      </c>
      <c r="N601" s="1316">
        <f t="shared" si="98"/>
        <v>0</v>
      </c>
      <c r="O601" s="1317">
        <f t="shared" si="109"/>
        <v>0</v>
      </c>
      <c r="P601" s="1318"/>
      <c r="Q601" s="1319"/>
      <c r="R601" s="1320">
        <f t="shared" si="110"/>
        <v>0</v>
      </c>
      <c r="S601" s="1316">
        <f t="shared" si="111"/>
        <v>0</v>
      </c>
      <c r="T601" s="712"/>
      <c r="U601" s="713"/>
      <c r="V601" s="714"/>
      <c r="W601" s="398">
        <f t="shared" si="118"/>
        <v>0</v>
      </c>
      <c r="X601" s="712"/>
      <c r="Y601" s="713"/>
      <c r="Z601" s="714"/>
      <c r="AA601" s="398">
        <f t="shared" si="113"/>
        <v>0</v>
      </c>
      <c r="AB601" s="712"/>
      <c r="AC601" s="713"/>
      <c r="AD601" s="714"/>
      <c r="AE601" s="398">
        <f t="shared" si="114"/>
        <v>0</v>
      </c>
      <c r="AF601" s="712"/>
      <c r="AG601" s="713"/>
      <c r="AH601" s="714"/>
      <c r="AI601" s="398">
        <f t="shared" si="115"/>
        <v>0</v>
      </c>
      <c r="AJ601" s="712"/>
      <c r="AK601" s="713"/>
      <c r="AL601" s="714"/>
      <c r="AM601" s="398">
        <f t="shared" si="116"/>
        <v>0</v>
      </c>
    </row>
    <row r="602" spans="1:39" ht="15.75" customHeight="1" x14ac:dyDescent="0.3">
      <c r="A602" s="2161"/>
      <c r="B602" s="1313" t="str">
        <f t="shared" si="112"/>
        <v/>
      </c>
      <c r="C602" s="1011">
        <f>IF($D$2="NO",0,ROUNDDOWN(SUM(PROD!$V$5:V603)/IF(Iniciar!$C$25="kilos",40,1),0)-SUM($C$4:$C601))</f>
        <v>0</v>
      </c>
      <c r="D602" s="702"/>
      <c r="E602" s="702"/>
      <c r="F602" s="300">
        <f t="shared" si="117"/>
        <v>-95000</v>
      </c>
      <c r="G602" s="694"/>
      <c r="H602" s="695"/>
      <c r="I602" s="1314"/>
      <c r="J602" s="1315">
        <f>IF(K$1&gt;0,ROUNDUP(SUM(PROD!AM$5:AM603)/K$1*K$2,0),0)-SUM(J$4:J601)</f>
        <v>0</v>
      </c>
      <c r="K602" s="1316">
        <f t="shared" si="97"/>
        <v>0</v>
      </c>
      <c r="L602" s="1314"/>
      <c r="M602" s="1315">
        <f>IF(N$1&gt;0,ROUNDUP(SUM(PROD!L$5:L603,-PROD!AM$5:AM603,-PROD!AZ$5:AZ603)/N$1*N$2,0),0)-SUM(M$4:M601)</f>
        <v>0</v>
      </c>
      <c r="N602" s="1316">
        <f t="shared" si="98"/>
        <v>0</v>
      </c>
      <c r="O602" s="1317">
        <f t="shared" si="109"/>
        <v>0</v>
      </c>
      <c r="P602" s="1318"/>
      <c r="Q602" s="1319"/>
      <c r="R602" s="1320">
        <f t="shared" si="110"/>
        <v>0</v>
      </c>
      <c r="S602" s="1316">
        <f t="shared" si="111"/>
        <v>0</v>
      </c>
      <c r="T602" s="712"/>
      <c r="U602" s="713"/>
      <c r="V602" s="714"/>
      <c r="W602" s="398">
        <f t="shared" si="118"/>
        <v>0</v>
      </c>
      <c r="X602" s="712"/>
      <c r="Y602" s="713"/>
      <c r="Z602" s="714"/>
      <c r="AA602" s="398">
        <f t="shared" si="113"/>
        <v>0</v>
      </c>
      <c r="AB602" s="712"/>
      <c r="AC602" s="713"/>
      <c r="AD602" s="714"/>
      <c r="AE602" s="398">
        <f t="shared" si="114"/>
        <v>0</v>
      </c>
      <c r="AF602" s="712"/>
      <c r="AG602" s="713"/>
      <c r="AH602" s="714"/>
      <c r="AI602" s="398">
        <f t="shared" si="115"/>
        <v>0</v>
      </c>
      <c r="AJ602" s="712"/>
      <c r="AK602" s="713"/>
      <c r="AL602" s="714"/>
      <c r="AM602" s="398">
        <f t="shared" si="116"/>
        <v>0</v>
      </c>
    </row>
    <row r="603" spans="1:39" ht="15.75" customHeight="1" x14ac:dyDescent="0.3">
      <c r="A603" s="2161"/>
      <c r="B603" s="1313" t="str">
        <f t="shared" si="112"/>
        <v/>
      </c>
      <c r="C603" s="1011">
        <f>IF($D$2="NO",0,ROUNDDOWN(SUM(PROD!$V$5:V604)/IF(Iniciar!$C$25="kilos",40,1),0)-SUM($C$4:$C602))</f>
        <v>0</v>
      </c>
      <c r="D603" s="702"/>
      <c r="E603" s="702"/>
      <c r="F603" s="300">
        <f t="shared" si="117"/>
        <v>-95000</v>
      </c>
      <c r="G603" s="694"/>
      <c r="H603" s="695"/>
      <c r="I603" s="1314"/>
      <c r="J603" s="1315">
        <f>IF(K$1&gt;0,ROUNDUP(SUM(PROD!AM$5:AM604)/K$1*K$2,0),0)-SUM(J$4:J602)</f>
        <v>0</v>
      </c>
      <c r="K603" s="1316">
        <f t="shared" si="97"/>
        <v>0</v>
      </c>
      <c r="L603" s="1314"/>
      <c r="M603" s="1315">
        <f>IF(N$1&gt;0,ROUNDUP(SUM(PROD!L$5:L604,-PROD!AM$5:AM604,-PROD!AZ$5:AZ604)/N$1*N$2,0),0)-SUM(M$4:M602)</f>
        <v>0</v>
      </c>
      <c r="N603" s="1316">
        <f t="shared" si="98"/>
        <v>0</v>
      </c>
      <c r="O603" s="1317">
        <f t="shared" si="109"/>
        <v>0</v>
      </c>
      <c r="P603" s="1318"/>
      <c r="Q603" s="1319"/>
      <c r="R603" s="1320">
        <f t="shared" si="110"/>
        <v>0</v>
      </c>
      <c r="S603" s="1316">
        <f t="shared" si="111"/>
        <v>0</v>
      </c>
      <c r="T603" s="712"/>
      <c r="U603" s="713"/>
      <c r="V603" s="714"/>
      <c r="W603" s="398">
        <f t="shared" si="118"/>
        <v>0</v>
      </c>
      <c r="X603" s="712"/>
      <c r="Y603" s="713"/>
      <c r="Z603" s="714"/>
      <c r="AA603" s="398">
        <f t="shared" si="113"/>
        <v>0</v>
      </c>
      <c r="AB603" s="712"/>
      <c r="AC603" s="713"/>
      <c r="AD603" s="714"/>
      <c r="AE603" s="398">
        <f t="shared" si="114"/>
        <v>0</v>
      </c>
      <c r="AF603" s="712"/>
      <c r="AG603" s="713"/>
      <c r="AH603" s="714"/>
      <c r="AI603" s="398">
        <f t="shared" si="115"/>
        <v>0</v>
      </c>
      <c r="AJ603" s="712"/>
      <c r="AK603" s="713"/>
      <c r="AL603" s="714"/>
      <c r="AM603" s="398">
        <f t="shared" si="116"/>
        <v>0</v>
      </c>
    </row>
    <row r="604" spans="1:39" ht="15.75" customHeight="1" x14ac:dyDescent="0.3">
      <c r="A604" s="2161"/>
      <c r="B604" s="1313" t="str">
        <f t="shared" si="112"/>
        <v/>
      </c>
      <c r="C604" s="1011">
        <f>IF($D$2="NO",0,ROUNDDOWN(SUM(PROD!$V$5:V605)/IF(Iniciar!$C$25="kilos",40,1),0)-SUM($C$4:$C603))</f>
        <v>0</v>
      </c>
      <c r="D604" s="702"/>
      <c r="E604" s="702"/>
      <c r="F604" s="300">
        <f t="shared" si="117"/>
        <v>-95000</v>
      </c>
      <c r="G604" s="694"/>
      <c r="H604" s="695"/>
      <c r="I604" s="1314"/>
      <c r="J604" s="1315">
        <f>IF(K$1&gt;0,ROUNDUP(SUM(PROD!AM$5:AM605)/K$1*K$2,0),0)-SUM(J$4:J603)</f>
        <v>0</v>
      </c>
      <c r="K604" s="1316">
        <f t="shared" si="97"/>
        <v>0</v>
      </c>
      <c r="L604" s="1314"/>
      <c r="M604" s="1315">
        <f>IF(N$1&gt;0,ROUNDUP(SUM(PROD!L$5:L605,-PROD!AM$5:AM605,-PROD!AZ$5:AZ605)/N$1*N$2,0),0)-SUM(M$4:M603)</f>
        <v>0</v>
      </c>
      <c r="N604" s="1316">
        <f t="shared" si="98"/>
        <v>0</v>
      </c>
      <c r="O604" s="1317">
        <f t="shared" si="109"/>
        <v>0</v>
      </c>
      <c r="P604" s="1318"/>
      <c r="Q604" s="1319"/>
      <c r="R604" s="1320">
        <f t="shared" si="110"/>
        <v>0</v>
      </c>
      <c r="S604" s="1316">
        <f t="shared" si="111"/>
        <v>0</v>
      </c>
      <c r="T604" s="712"/>
      <c r="U604" s="713"/>
      <c r="V604" s="714"/>
      <c r="W604" s="398">
        <f t="shared" si="118"/>
        <v>0</v>
      </c>
      <c r="X604" s="712"/>
      <c r="Y604" s="713"/>
      <c r="Z604" s="714"/>
      <c r="AA604" s="398">
        <f t="shared" si="113"/>
        <v>0</v>
      </c>
      <c r="AB604" s="712"/>
      <c r="AC604" s="713"/>
      <c r="AD604" s="714"/>
      <c r="AE604" s="398">
        <f t="shared" si="114"/>
        <v>0</v>
      </c>
      <c r="AF604" s="712"/>
      <c r="AG604" s="713"/>
      <c r="AH604" s="714"/>
      <c r="AI604" s="398">
        <f t="shared" si="115"/>
        <v>0</v>
      </c>
      <c r="AJ604" s="712"/>
      <c r="AK604" s="713"/>
      <c r="AL604" s="714"/>
      <c r="AM604" s="398">
        <f t="shared" si="116"/>
        <v>0</v>
      </c>
    </row>
    <row r="605" spans="1:39" ht="16.5" customHeight="1" x14ac:dyDescent="0.3">
      <c r="A605" s="2162"/>
      <c r="B605" s="1313" t="str">
        <f t="shared" si="112"/>
        <v/>
      </c>
      <c r="C605" s="1011">
        <f>IF($D$2="NO",0,ROUNDDOWN(SUM(PROD!$V$5:V606)/IF(Iniciar!$C$25="kilos",40,1),0)-SUM($C$4:$C604))</f>
        <v>0</v>
      </c>
      <c r="D605" s="702"/>
      <c r="E605" s="702"/>
      <c r="F605" s="300">
        <f t="shared" si="117"/>
        <v>-95000</v>
      </c>
      <c r="G605" s="694"/>
      <c r="H605" s="695"/>
      <c r="I605" s="1314"/>
      <c r="J605" s="1315">
        <f>IF(K$1&gt;0,ROUNDUP(SUM(PROD!AM$5:AM606)/K$1*K$2,0),0)-SUM(J$4:J604)</f>
        <v>0</v>
      </c>
      <c r="K605" s="1316">
        <f t="shared" si="97"/>
        <v>0</v>
      </c>
      <c r="L605" s="1314"/>
      <c r="M605" s="1315">
        <f>IF(N$1&gt;0,ROUNDUP(SUM(PROD!L$5:L606,-PROD!AM$5:AM606,-PROD!AZ$5:AZ606)/N$1*N$2,0),0)-SUM(M$4:M604)</f>
        <v>0</v>
      </c>
      <c r="N605" s="1316">
        <f t="shared" si="98"/>
        <v>0</v>
      </c>
      <c r="O605" s="1317">
        <f t="shared" si="109"/>
        <v>0</v>
      </c>
      <c r="P605" s="1318"/>
      <c r="Q605" s="1319"/>
      <c r="R605" s="1320">
        <f t="shared" si="110"/>
        <v>0</v>
      </c>
      <c r="S605" s="1316">
        <f t="shared" si="111"/>
        <v>0</v>
      </c>
      <c r="T605" s="712"/>
      <c r="U605" s="713"/>
      <c r="V605" s="714"/>
      <c r="W605" s="398">
        <f t="shared" si="118"/>
        <v>0</v>
      </c>
      <c r="X605" s="712"/>
      <c r="Y605" s="713"/>
      <c r="Z605" s="714"/>
      <c r="AA605" s="398">
        <f t="shared" si="113"/>
        <v>0</v>
      </c>
      <c r="AB605" s="712"/>
      <c r="AC605" s="713"/>
      <c r="AD605" s="714"/>
      <c r="AE605" s="398">
        <f t="shared" si="114"/>
        <v>0</v>
      </c>
      <c r="AF605" s="712"/>
      <c r="AG605" s="713"/>
      <c r="AH605" s="714"/>
      <c r="AI605" s="398">
        <f t="shared" si="115"/>
        <v>0</v>
      </c>
      <c r="AJ605" s="712"/>
      <c r="AK605" s="713"/>
      <c r="AL605" s="714"/>
      <c r="AM605" s="398">
        <f t="shared" si="116"/>
        <v>0</v>
      </c>
    </row>
    <row r="606" spans="1:39" ht="16.5" customHeight="1" x14ac:dyDescent="0.3">
      <c r="A606" s="2160">
        <f>A599+1</f>
        <v>104</v>
      </c>
      <c r="B606" s="1313" t="str">
        <f t="shared" si="112"/>
        <v/>
      </c>
      <c r="C606" s="1011">
        <f>IF($D$2="NO",0,ROUNDDOWN(SUM(PROD!$V$5:V607)/IF(Iniciar!$C$25="kilos",40,1),0)-SUM($C$4:$C605))</f>
        <v>0</v>
      </c>
      <c r="D606" s="702"/>
      <c r="E606" s="702"/>
      <c r="F606" s="300">
        <f t="shared" si="117"/>
        <v>-95000</v>
      </c>
      <c r="G606" s="694"/>
      <c r="H606" s="695"/>
      <c r="I606" s="1314"/>
      <c r="J606" s="1315">
        <f>IF(K$1&gt;0,ROUNDUP(SUM(PROD!AM$5:AM607)/K$1*K$2,0),0)-SUM(J$4:J605)</f>
        <v>0</v>
      </c>
      <c r="K606" s="1316">
        <f t="shared" si="97"/>
        <v>0</v>
      </c>
      <c r="L606" s="1314"/>
      <c r="M606" s="1315">
        <f>IF(N$1&gt;0,ROUNDUP(SUM(PROD!L$5:L607,-PROD!AM$5:AM607,-PROD!AZ$5:AZ607)/N$1*N$2,0),0)-SUM(M$4:M605)</f>
        <v>0</v>
      </c>
      <c r="N606" s="1316">
        <f t="shared" si="98"/>
        <v>0</v>
      </c>
      <c r="O606" s="1317">
        <f t="shared" si="109"/>
        <v>0</v>
      </c>
      <c r="P606" s="1318"/>
      <c r="Q606" s="1319"/>
      <c r="R606" s="1320">
        <f t="shared" si="110"/>
        <v>0</v>
      </c>
      <c r="S606" s="1316">
        <f t="shared" si="111"/>
        <v>0</v>
      </c>
      <c r="T606" s="712"/>
      <c r="U606" s="713"/>
      <c r="V606" s="714"/>
      <c r="W606" s="398">
        <f t="shared" si="118"/>
        <v>0</v>
      </c>
      <c r="X606" s="712"/>
      <c r="Y606" s="713"/>
      <c r="Z606" s="714"/>
      <c r="AA606" s="398">
        <f t="shared" si="113"/>
        <v>0</v>
      </c>
      <c r="AB606" s="712"/>
      <c r="AC606" s="713"/>
      <c r="AD606" s="714"/>
      <c r="AE606" s="398">
        <f t="shared" si="114"/>
        <v>0</v>
      </c>
      <c r="AF606" s="712"/>
      <c r="AG606" s="713"/>
      <c r="AH606" s="714"/>
      <c r="AI606" s="398">
        <f t="shared" si="115"/>
        <v>0</v>
      </c>
      <c r="AJ606" s="712"/>
      <c r="AK606" s="713"/>
      <c r="AL606" s="714"/>
      <c r="AM606" s="398">
        <f t="shared" si="116"/>
        <v>0</v>
      </c>
    </row>
    <row r="607" spans="1:39" ht="15.75" customHeight="1" x14ac:dyDescent="0.3">
      <c r="A607" s="2161"/>
      <c r="B607" s="1313" t="str">
        <f t="shared" si="112"/>
        <v/>
      </c>
      <c r="C607" s="1011">
        <f>IF($D$2="NO",0,ROUNDDOWN(SUM(PROD!$V$5:V608)/IF(Iniciar!$C$25="kilos",40,1),0)-SUM($C$4:$C606))</f>
        <v>0</v>
      </c>
      <c r="D607" s="702"/>
      <c r="E607" s="702"/>
      <c r="F607" s="300">
        <f t="shared" si="117"/>
        <v>-95000</v>
      </c>
      <c r="G607" s="694"/>
      <c r="H607" s="695"/>
      <c r="I607" s="1314"/>
      <c r="J607" s="1315">
        <f>IF(K$1&gt;0,ROUNDUP(SUM(PROD!AM$5:AM608)/K$1*K$2,0),0)-SUM(J$4:J606)</f>
        <v>0</v>
      </c>
      <c r="K607" s="1316">
        <f t="shared" si="97"/>
        <v>0</v>
      </c>
      <c r="L607" s="1314"/>
      <c r="M607" s="1315">
        <f>IF(N$1&gt;0,ROUNDUP(SUM(PROD!L$5:L608,-PROD!AM$5:AM608,-PROD!AZ$5:AZ608)/N$1*N$2,0),0)-SUM(M$4:M606)</f>
        <v>0</v>
      </c>
      <c r="N607" s="1316">
        <f t="shared" si="98"/>
        <v>0</v>
      </c>
      <c r="O607" s="1317">
        <f t="shared" si="109"/>
        <v>0</v>
      </c>
      <c r="P607" s="1318"/>
      <c r="Q607" s="1319"/>
      <c r="R607" s="1320">
        <f t="shared" si="110"/>
        <v>0</v>
      </c>
      <c r="S607" s="1316">
        <f t="shared" si="111"/>
        <v>0</v>
      </c>
      <c r="T607" s="712"/>
      <c r="U607" s="713"/>
      <c r="V607" s="714"/>
      <c r="W607" s="398">
        <f t="shared" si="118"/>
        <v>0</v>
      </c>
      <c r="X607" s="712"/>
      <c r="Y607" s="713"/>
      <c r="Z607" s="714"/>
      <c r="AA607" s="398">
        <f t="shared" si="113"/>
        <v>0</v>
      </c>
      <c r="AB607" s="712"/>
      <c r="AC607" s="713"/>
      <c r="AD607" s="714"/>
      <c r="AE607" s="398">
        <f t="shared" si="114"/>
        <v>0</v>
      </c>
      <c r="AF607" s="712"/>
      <c r="AG607" s="713"/>
      <c r="AH607" s="714"/>
      <c r="AI607" s="398">
        <f t="shared" si="115"/>
        <v>0</v>
      </c>
      <c r="AJ607" s="712"/>
      <c r="AK607" s="713"/>
      <c r="AL607" s="714"/>
      <c r="AM607" s="398">
        <f t="shared" si="116"/>
        <v>0</v>
      </c>
    </row>
    <row r="608" spans="1:39" ht="15.75" customHeight="1" x14ac:dyDescent="0.3">
      <c r="A608" s="2161"/>
      <c r="B608" s="1313" t="str">
        <f t="shared" si="112"/>
        <v/>
      </c>
      <c r="C608" s="1011">
        <f>IF($D$2="NO",0,ROUNDDOWN(SUM(PROD!$V$5:V609)/IF(Iniciar!$C$25="kilos",40,1),0)-SUM($C$4:$C607))</f>
        <v>0</v>
      </c>
      <c r="D608" s="702"/>
      <c r="E608" s="702"/>
      <c r="F608" s="300">
        <f t="shared" si="117"/>
        <v>-95000</v>
      </c>
      <c r="G608" s="694"/>
      <c r="H608" s="695"/>
      <c r="I608" s="1314"/>
      <c r="J608" s="1315">
        <f>IF(K$1&gt;0,ROUNDUP(SUM(PROD!AM$5:AM609)/K$1*K$2,0),0)-SUM(J$4:J607)</f>
        <v>0</v>
      </c>
      <c r="K608" s="1316">
        <f t="shared" si="97"/>
        <v>0</v>
      </c>
      <c r="L608" s="1314"/>
      <c r="M608" s="1315">
        <f>IF(N$1&gt;0,ROUNDUP(SUM(PROD!L$5:L609,-PROD!AM$5:AM609,-PROD!AZ$5:AZ609)/N$1*N$2,0),0)-SUM(M$4:M607)</f>
        <v>0</v>
      </c>
      <c r="N608" s="1316">
        <f t="shared" si="98"/>
        <v>0</v>
      </c>
      <c r="O608" s="1317">
        <f t="shared" si="109"/>
        <v>0</v>
      </c>
      <c r="P608" s="1318"/>
      <c r="Q608" s="1319"/>
      <c r="R608" s="1320">
        <f t="shared" si="110"/>
        <v>0</v>
      </c>
      <c r="S608" s="1316">
        <f t="shared" si="111"/>
        <v>0</v>
      </c>
      <c r="T608" s="712"/>
      <c r="U608" s="713"/>
      <c r="V608" s="714"/>
      <c r="W608" s="398">
        <f t="shared" si="118"/>
        <v>0</v>
      </c>
      <c r="X608" s="712"/>
      <c r="Y608" s="713"/>
      <c r="Z608" s="714"/>
      <c r="AA608" s="398">
        <f t="shared" si="113"/>
        <v>0</v>
      </c>
      <c r="AB608" s="712"/>
      <c r="AC608" s="713"/>
      <c r="AD608" s="714"/>
      <c r="AE608" s="398">
        <f t="shared" si="114"/>
        <v>0</v>
      </c>
      <c r="AF608" s="712"/>
      <c r="AG608" s="713"/>
      <c r="AH608" s="714"/>
      <c r="AI608" s="398">
        <f t="shared" si="115"/>
        <v>0</v>
      </c>
      <c r="AJ608" s="712"/>
      <c r="AK608" s="713"/>
      <c r="AL608" s="714"/>
      <c r="AM608" s="398">
        <f t="shared" si="116"/>
        <v>0</v>
      </c>
    </row>
    <row r="609" spans="1:39" ht="15.75" customHeight="1" x14ac:dyDescent="0.3">
      <c r="A609" s="2161"/>
      <c r="B609" s="1313" t="str">
        <f t="shared" si="112"/>
        <v/>
      </c>
      <c r="C609" s="1011">
        <f>IF($D$2="NO",0,ROUNDDOWN(SUM(PROD!$V$5:V610)/IF(Iniciar!$C$25="kilos",40,1),0)-SUM($C$4:$C608))</f>
        <v>0</v>
      </c>
      <c r="D609" s="702"/>
      <c r="E609" s="702"/>
      <c r="F609" s="300">
        <f t="shared" si="117"/>
        <v>-95000</v>
      </c>
      <c r="G609" s="694"/>
      <c r="H609" s="695"/>
      <c r="I609" s="1314"/>
      <c r="J609" s="1315">
        <f>IF(K$1&gt;0,ROUNDUP(SUM(PROD!AM$5:AM610)/K$1*K$2,0),0)-SUM(J$4:J608)</f>
        <v>0</v>
      </c>
      <c r="K609" s="1316">
        <f t="shared" si="97"/>
        <v>0</v>
      </c>
      <c r="L609" s="1314"/>
      <c r="M609" s="1315">
        <f>IF(N$1&gt;0,ROUNDUP(SUM(PROD!L$5:L610,-PROD!AM$5:AM610,-PROD!AZ$5:AZ610)/N$1*N$2,0),0)-SUM(M$4:M608)</f>
        <v>0</v>
      </c>
      <c r="N609" s="1316">
        <f t="shared" si="98"/>
        <v>0</v>
      </c>
      <c r="O609" s="1317">
        <f t="shared" si="109"/>
        <v>0</v>
      </c>
      <c r="P609" s="1318"/>
      <c r="Q609" s="1319"/>
      <c r="R609" s="1320">
        <f t="shared" si="110"/>
        <v>0</v>
      </c>
      <c r="S609" s="1316">
        <f t="shared" si="111"/>
        <v>0</v>
      </c>
      <c r="T609" s="712"/>
      <c r="U609" s="713"/>
      <c r="V609" s="714"/>
      <c r="W609" s="398">
        <f t="shared" si="118"/>
        <v>0</v>
      </c>
      <c r="X609" s="712"/>
      <c r="Y609" s="713"/>
      <c r="Z609" s="714"/>
      <c r="AA609" s="398">
        <f t="shared" si="113"/>
        <v>0</v>
      </c>
      <c r="AB609" s="712"/>
      <c r="AC609" s="713"/>
      <c r="AD609" s="714"/>
      <c r="AE609" s="398">
        <f t="shared" si="114"/>
        <v>0</v>
      </c>
      <c r="AF609" s="712"/>
      <c r="AG609" s="713"/>
      <c r="AH609" s="714"/>
      <c r="AI609" s="398">
        <f t="shared" si="115"/>
        <v>0</v>
      </c>
      <c r="AJ609" s="712"/>
      <c r="AK609" s="713"/>
      <c r="AL609" s="714"/>
      <c r="AM609" s="398">
        <f t="shared" si="116"/>
        <v>0</v>
      </c>
    </row>
    <row r="610" spans="1:39" ht="15.75" customHeight="1" x14ac:dyDescent="0.3">
      <c r="A610" s="2161"/>
      <c r="B610" s="1313" t="str">
        <f t="shared" si="112"/>
        <v/>
      </c>
      <c r="C610" s="1011">
        <f>IF($D$2="NO",0,ROUNDDOWN(SUM(PROD!$V$5:V611)/IF(Iniciar!$C$25="kilos",40,1),0)-SUM($C$4:$C609))</f>
        <v>0</v>
      </c>
      <c r="D610" s="702"/>
      <c r="E610" s="702"/>
      <c r="F610" s="300">
        <f t="shared" si="117"/>
        <v>-95000</v>
      </c>
      <c r="G610" s="694"/>
      <c r="H610" s="695"/>
      <c r="I610" s="1314"/>
      <c r="J610" s="1315">
        <f>IF(K$1&gt;0,ROUNDUP(SUM(PROD!AM$5:AM611)/K$1*K$2,0),0)-SUM(J$4:J609)</f>
        <v>0</v>
      </c>
      <c r="K610" s="1316">
        <f t="shared" si="97"/>
        <v>0</v>
      </c>
      <c r="L610" s="1314"/>
      <c r="M610" s="1315">
        <f>IF(N$1&gt;0,ROUNDUP(SUM(PROD!L$5:L611,-PROD!AM$5:AM611,-PROD!AZ$5:AZ611)/N$1*N$2,0),0)-SUM(M$4:M609)</f>
        <v>0</v>
      </c>
      <c r="N610" s="1316">
        <f t="shared" si="98"/>
        <v>0</v>
      </c>
      <c r="O610" s="1317">
        <f t="shared" si="109"/>
        <v>0</v>
      </c>
      <c r="P610" s="1318"/>
      <c r="Q610" s="1319"/>
      <c r="R610" s="1320">
        <f t="shared" si="110"/>
        <v>0</v>
      </c>
      <c r="S610" s="1316">
        <f t="shared" si="111"/>
        <v>0</v>
      </c>
      <c r="T610" s="712"/>
      <c r="U610" s="713"/>
      <c r="V610" s="714"/>
      <c r="W610" s="398">
        <f t="shared" si="118"/>
        <v>0</v>
      </c>
      <c r="X610" s="712"/>
      <c r="Y610" s="713"/>
      <c r="Z610" s="714"/>
      <c r="AA610" s="398">
        <f t="shared" si="113"/>
        <v>0</v>
      </c>
      <c r="AB610" s="712"/>
      <c r="AC610" s="713"/>
      <c r="AD610" s="714"/>
      <c r="AE610" s="398">
        <f t="shared" si="114"/>
        <v>0</v>
      </c>
      <c r="AF610" s="712"/>
      <c r="AG610" s="713"/>
      <c r="AH610" s="714"/>
      <c r="AI610" s="398">
        <f t="shared" si="115"/>
        <v>0</v>
      </c>
      <c r="AJ610" s="712"/>
      <c r="AK610" s="713"/>
      <c r="AL610" s="714"/>
      <c r="AM610" s="398">
        <f t="shared" si="116"/>
        <v>0</v>
      </c>
    </row>
    <row r="611" spans="1:39" ht="15.75" customHeight="1" x14ac:dyDescent="0.3">
      <c r="A611" s="2161"/>
      <c r="B611" s="1313" t="str">
        <f t="shared" si="112"/>
        <v/>
      </c>
      <c r="C611" s="1011">
        <f>IF($D$2="NO",0,ROUNDDOWN(SUM(PROD!$V$5:V612)/IF(Iniciar!$C$25="kilos",40,1),0)-SUM($C$4:$C610))</f>
        <v>0</v>
      </c>
      <c r="D611" s="702"/>
      <c r="E611" s="702"/>
      <c r="F611" s="300">
        <f t="shared" si="117"/>
        <v>-95000</v>
      </c>
      <c r="G611" s="694"/>
      <c r="H611" s="695"/>
      <c r="I611" s="1314"/>
      <c r="J611" s="1315">
        <f>IF(K$1&gt;0,ROUNDUP(SUM(PROD!AM$5:AM612)/K$1*K$2,0),0)-SUM(J$4:J610)</f>
        <v>0</v>
      </c>
      <c r="K611" s="1316">
        <f t="shared" si="97"/>
        <v>0</v>
      </c>
      <c r="L611" s="1314"/>
      <c r="M611" s="1315">
        <f>IF(N$1&gt;0,ROUNDUP(SUM(PROD!L$5:L612,-PROD!AM$5:AM612,-PROD!AZ$5:AZ612)/N$1*N$2,0),0)-SUM(M$4:M610)</f>
        <v>0</v>
      </c>
      <c r="N611" s="1316">
        <f t="shared" si="98"/>
        <v>0</v>
      </c>
      <c r="O611" s="1317">
        <f t="shared" si="109"/>
        <v>0</v>
      </c>
      <c r="P611" s="1318"/>
      <c r="Q611" s="1319"/>
      <c r="R611" s="1320">
        <f t="shared" si="110"/>
        <v>0</v>
      </c>
      <c r="S611" s="1316">
        <f t="shared" si="111"/>
        <v>0</v>
      </c>
      <c r="T611" s="712"/>
      <c r="U611" s="713"/>
      <c r="V611" s="714"/>
      <c r="W611" s="398">
        <f t="shared" si="118"/>
        <v>0</v>
      </c>
      <c r="X611" s="712"/>
      <c r="Y611" s="713"/>
      <c r="Z611" s="714"/>
      <c r="AA611" s="398">
        <f t="shared" si="113"/>
        <v>0</v>
      </c>
      <c r="AB611" s="712"/>
      <c r="AC611" s="713"/>
      <c r="AD611" s="714"/>
      <c r="AE611" s="398">
        <f t="shared" si="114"/>
        <v>0</v>
      </c>
      <c r="AF611" s="712"/>
      <c r="AG611" s="713"/>
      <c r="AH611" s="714"/>
      <c r="AI611" s="398">
        <f t="shared" si="115"/>
        <v>0</v>
      </c>
      <c r="AJ611" s="712"/>
      <c r="AK611" s="713"/>
      <c r="AL611" s="714"/>
      <c r="AM611" s="398">
        <f t="shared" si="116"/>
        <v>0</v>
      </c>
    </row>
    <row r="612" spans="1:39" ht="16.5" customHeight="1" x14ac:dyDescent="0.3">
      <c r="A612" s="2162"/>
      <c r="B612" s="1313" t="str">
        <f t="shared" si="112"/>
        <v/>
      </c>
      <c r="C612" s="1011">
        <f>IF($D$2="NO",0,ROUNDDOWN(SUM(PROD!$V$5:V613)/IF(Iniciar!$C$25="kilos",40,1),0)-SUM($C$4:$C611))</f>
        <v>0</v>
      </c>
      <c r="D612" s="702"/>
      <c r="E612" s="702"/>
      <c r="F612" s="300">
        <f t="shared" si="117"/>
        <v>-95000</v>
      </c>
      <c r="G612" s="694"/>
      <c r="H612" s="695"/>
      <c r="I612" s="1314"/>
      <c r="J612" s="1315">
        <f>IF(K$1&gt;0,ROUNDUP(SUM(PROD!AM$5:AM613)/K$1*K$2,0),0)-SUM(J$4:J611)</f>
        <v>0</v>
      </c>
      <c r="K612" s="1316">
        <f t="shared" si="97"/>
        <v>0</v>
      </c>
      <c r="L612" s="1314"/>
      <c r="M612" s="1315">
        <f>IF(N$1&gt;0,ROUNDUP(SUM(PROD!L$5:L613,-PROD!AM$5:AM613,-PROD!AZ$5:AZ613)/N$1*N$2,0),0)-SUM(M$4:M611)</f>
        <v>0</v>
      </c>
      <c r="N612" s="1316">
        <f t="shared" si="98"/>
        <v>0</v>
      </c>
      <c r="O612" s="1317">
        <f t="shared" si="109"/>
        <v>0</v>
      </c>
      <c r="P612" s="1318"/>
      <c r="Q612" s="1319"/>
      <c r="R612" s="1320">
        <f t="shared" si="110"/>
        <v>0</v>
      </c>
      <c r="S612" s="1316">
        <f t="shared" si="111"/>
        <v>0</v>
      </c>
      <c r="T612" s="712"/>
      <c r="U612" s="713"/>
      <c r="V612" s="714"/>
      <c r="W612" s="398">
        <f t="shared" si="118"/>
        <v>0</v>
      </c>
      <c r="X612" s="712"/>
      <c r="Y612" s="713"/>
      <c r="Z612" s="714"/>
      <c r="AA612" s="398">
        <f t="shared" si="113"/>
        <v>0</v>
      </c>
      <c r="AB612" s="712"/>
      <c r="AC612" s="713"/>
      <c r="AD612" s="714"/>
      <c r="AE612" s="398">
        <f t="shared" si="114"/>
        <v>0</v>
      </c>
      <c r="AF612" s="712"/>
      <c r="AG612" s="713"/>
      <c r="AH612" s="714"/>
      <c r="AI612" s="398">
        <f t="shared" si="115"/>
        <v>0</v>
      </c>
      <c r="AJ612" s="712"/>
      <c r="AK612" s="713"/>
      <c r="AL612" s="714"/>
      <c r="AM612" s="398">
        <f t="shared" si="116"/>
        <v>0</v>
      </c>
    </row>
    <row r="613" spans="1:39" ht="16.5" customHeight="1" x14ac:dyDescent="0.3">
      <c r="A613" s="2160">
        <f>A606+1</f>
        <v>105</v>
      </c>
      <c r="B613" s="1313" t="str">
        <f t="shared" si="112"/>
        <v/>
      </c>
      <c r="C613" s="1011">
        <f>IF($D$2="NO",0,ROUNDDOWN(SUM(PROD!$V$5:V614)/IF(Iniciar!$C$25="kilos",40,1),0)-SUM($C$4:$C612))</f>
        <v>0</v>
      </c>
      <c r="D613" s="702"/>
      <c r="E613" s="702"/>
      <c r="F613" s="300">
        <f t="shared" si="117"/>
        <v>-95000</v>
      </c>
      <c r="G613" s="694"/>
      <c r="H613" s="695"/>
      <c r="I613" s="1314"/>
      <c r="J613" s="1315">
        <f>IF(K$1&gt;0,ROUNDUP(SUM(PROD!AM$5:AM614)/K$1*K$2,0),0)-SUM(J$4:J612)</f>
        <v>0</v>
      </c>
      <c r="K613" s="1316">
        <f t="shared" si="97"/>
        <v>0</v>
      </c>
      <c r="L613" s="1314"/>
      <c r="M613" s="1315">
        <f>IF(N$1&gt;0,ROUNDUP(SUM(PROD!L$5:L614,-PROD!AM$5:AM614,-PROD!AZ$5:AZ614)/N$1*N$2,0),0)-SUM(M$4:M612)</f>
        <v>0</v>
      </c>
      <c r="N613" s="1316">
        <f t="shared" si="98"/>
        <v>0</v>
      </c>
      <c r="O613" s="1317">
        <f t="shared" si="109"/>
        <v>0</v>
      </c>
      <c r="P613" s="1318"/>
      <c r="Q613" s="1319"/>
      <c r="R613" s="1320">
        <f t="shared" si="110"/>
        <v>0</v>
      </c>
      <c r="S613" s="1316">
        <f t="shared" si="111"/>
        <v>0</v>
      </c>
      <c r="T613" s="712"/>
      <c r="U613" s="713"/>
      <c r="V613" s="714"/>
      <c r="W613" s="398">
        <f t="shared" si="118"/>
        <v>0</v>
      </c>
      <c r="X613" s="712"/>
      <c r="Y613" s="713"/>
      <c r="Z613" s="714"/>
      <c r="AA613" s="398">
        <f t="shared" si="113"/>
        <v>0</v>
      </c>
      <c r="AB613" s="712"/>
      <c r="AC613" s="713"/>
      <c r="AD613" s="714"/>
      <c r="AE613" s="398">
        <f t="shared" si="114"/>
        <v>0</v>
      </c>
      <c r="AF613" s="712"/>
      <c r="AG613" s="713"/>
      <c r="AH613" s="714"/>
      <c r="AI613" s="398">
        <f t="shared" si="115"/>
        <v>0</v>
      </c>
      <c r="AJ613" s="712"/>
      <c r="AK613" s="713"/>
      <c r="AL613" s="714"/>
      <c r="AM613" s="398">
        <f t="shared" si="116"/>
        <v>0</v>
      </c>
    </row>
    <row r="614" spans="1:39" ht="15.75" customHeight="1" x14ac:dyDescent="0.3">
      <c r="A614" s="2161"/>
      <c r="B614" s="1313" t="str">
        <f t="shared" si="112"/>
        <v/>
      </c>
      <c r="C614" s="1011">
        <f>IF($D$2="NO",0,ROUNDDOWN(SUM(PROD!$V$5:V615)/IF(Iniciar!$C$25="kilos",40,1),0)-SUM($C$4:$C613))</f>
        <v>0</v>
      </c>
      <c r="D614" s="702"/>
      <c r="E614" s="702"/>
      <c r="F614" s="300">
        <f t="shared" si="117"/>
        <v>-95000</v>
      </c>
      <c r="G614" s="694"/>
      <c r="H614" s="695"/>
      <c r="I614" s="1314"/>
      <c r="J614" s="1315">
        <f>IF(K$1&gt;0,ROUNDUP(SUM(PROD!AM$5:AM615)/K$1*K$2,0),0)-SUM(J$4:J613)</f>
        <v>0</v>
      </c>
      <c r="K614" s="1316">
        <f t="shared" si="97"/>
        <v>0</v>
      </c>
      <c r="L614" s="1314"/>
      <c r="M614" s="1315">
        <f>IF(N$1&gt;0,ROUNDUP(SUM(PROD!L$5:L615,-PROD!AM$5:AM615,-PROD!AZ$5:AZ615)/N$1*N$2,0),0)-SUM(M$4:M613)</f>
        <v>0</v>
      </c>
      <c r="N614" s="1316">
        <f t="shared" si="98"/>
        <v>0</v>
      </c>
      <c r="O614" s="1317">
        <f t="shared" si="109"/>
        <v>0</v>
      </c>
      <c r="P614" s="1318"/>
      <c r="Q614" s="1319"/>
      <c r="R614" s="1320">
        <f t="shared" si="110"/>
        <v>0</v>
      </c>
      <c r="S614" s="1316">
        <f t="shared" si="111"/>
        <v>0</v>
      </c>
      <c r="T614" s="712"/>
      <c r="U614" s="713"/>
      <c r="V614" s="714"/>
      <c r="W614" s="398">
        <f t="shared" si="118"/>
        <v>0</v>
      </c>
      <c r="X614" s="712"/>
      <c r="Y614" s="713"/>
      <c r="Z614" s="714"/>
      <c r="AA614" s="398">
        <f t="shared" si="113"/>
        <v>0</v>
      </c>
      <c r="AB614" s="712"/>
      <c r="AC614" s="713"/>
      <c r="AD614" s="714"/>
      <c r="AE614" s="398">
        <f t="shared" si="114"/>
        <v>0</v>
      </c>
      <c r="AF614" s="712"/>
      <c r="AG614" s="713"/>
      <c r="AH614" s="714"/>
      <c r="AI614" s="398">
        <f t="shared" si="115"/>
        <v>0</v>
      </c>
      <c r="AJ614" s="712"/>
      <c r="AK614" s="713"/>
      <c r="AL614" s="714"/>
      <c r="AM614" s="398">
        <f t="shared" si="116"/>
        <v>0</v>
      </c>
    </row>
    <row r="615" spans="1:39" ht="15.75" customHeight="1" x14ac:dyDescent="0.3">
      <c r="A615" s="2161"/>
      <c r="B615" s="1313" t="str">
        <f t="shared" si="112"/>
        <v/>
      </c>
      <c r="C615" s="1011">
        <f>IF($D$2="NO",0,ROUNDDOWN(SUM(PROD!$V$5:V616)/IF(Iniciar!$C$25="kilos",40,1),0)-SUM($C$4:$C614))</f>
        <v>0</v>
      </c>
      <c r="D615" s="702"/>
      <c r="E615" s="702"/>
      <c r="F615" s="300">
        <f t="shared" si="117"/>
        <v>-95000</v>
      </c>
      <c r="G615" s="694"/>
      <c r="H615" s="695"/>
      <c r="I615" s="1314"/>
      <c r="J615" s="1315">
        <f>IF(K$1&gt;0,ROUNDUP(SUM(PROD!AM$5:AM616)/K$1*K$2,0),0)-SUM(J$4:J614)</f>
        <v>0</v>
      </c>
      <c r="K615" s="1316">
        <f t="shared" si="97"/>
        <v>0</v>
      </c>
      <c r="L615" s="1314"/>
      <c r="M615" s="1315">
        <f>IF(N$1&gt;0,ROUNDUP(SUM(PROD!L$5:L616,-PROD!AM$5:AM616,-PROD!AZ$5:AZ616)/N$1*N$2,0),0)-SUM(M$4:M614)</f>
        <v>0</v>
      </c>
      <c r="N615" s="1316">
        <f t="shared" si="98"/>
        <v>0</v>
      </c>
      <c r="O615" s="1317">
        <f t="shared" si="109"/>
        <v>0</v>
      </c>
      <c r="P615" s="1318"/>
      <c r="Q615" s="1319"/>
      <c r="R615" s="1320">
        <f t="shared" si="110"/>
        <v>0</v>
      </c>
      <c r="S615" s="1316">
        <f t="shared" si="111"/>
        <v>0</v>
      </c>
      <c r="T615" s="712"/>
      <c r="U615" s="713"/>
      <c r="V615" s="714"/>
      <c r="W615" s="398">
        <f t="shared" si="118"/>
        <v>0</v>
      </c>
      <c r="X615" s="712"/>
      <c r="Y615" s="713"/>
      <c r="Z615" s="714"/>
      <c r="AA615" s="398">
        <f t="shared" si="113"/>
        <v>0</v>
      </c>
      <c r="AB615" s="712"/>
      <c r="AC615" s="713"/>
      <c r="AD615" s="714"/>
      <c r="AE615" s="398">
        <f t="shared" si="114"/>
        <v>0</v>
      </c>
      <c r="AF615" s="712"/>
      <c r="AG615" s="713"/>
      <c r="AH615" s="714"/>
      <c r="AI615" s="398">
        <f t="shared" si="115"/>
        <v>0</v>
      </c>
      <c r="AJ615" s="712"/>
      <c r="AK615" s="713"/>
      <c r="AL615" s="714"/>
      <c r="AM615" s="398">
        <f t="shared" si="116"/>
        <v>0</v>
      </c>
    </row>
    <row r="616" spans="1:39" ht="15.75" customHeight="1" x14ac:dyDescent="0.3">
      <c r="A616" s="2161"/>
      <c r="B616" s="1313" t="str">
        <f t="shared" si="112"/>
        <v/>
      </c>
      <c r="C616" s="1011">
        <f>IF($D$2="NO",0,ROUNDDOWN(SUM(PROD!$V$5:V617)/IF(Iniciar!$C$25="kilos",40,1),0)-SUM($C$4:$C615))</f>
        <v>0</v>
      </c>
      <c r="D616" s="702"/>
      <c r="E616" s="702"/>
      <c r="F616" s="300">
        <f t="shared" si="117"/>
        <v>-95000</v>
      </c>
      <c r="G616" s="694"/>
      <c r="H616" s="695"/>
      <c r="I616" s="1314"/>
      <c r="J616" s="1315">
        <f>IF(K$1&gt;0,ROUNDUP(SUM(PROD!AM$5:AM617)/K$1*K$2,0),0)-SUM(J$4:J615)</f>
        <v>0</v>
      </c>
      <c r="K616" s="1316">
        <f t="shared" si="97"/>
        <v>0</v>
      </c>
      <c r="L616" s="1314"/>
      <c r="M616" s="1315">
        <f>IF(N$1&gt;0,ROUNDUP(SUM(PROD!L$5:L617,-PROD!AM$5:AM617,-PROD!AZ$5:AZ617)/N$1*N$2,0),0)-SUM(M$4:M615)</f>
        <v>0</v>
      </c>
      <c r="N616" s="1316">
        <f t="shared" si="98"/>
        <v>0</v>
      </c>
      <c r="O616" s="1317">
        <f t="shared" si="109"/>
        <v>0</v>
      </c>
      <c r="P616" s="1318"/>
      <c r="Q616" s="1319"/>
      <c r="R616" s="1320">
        <f t="shared" si="110"/>
        <v>0</v>
      </c>
      <c r="S616" s="1316">
        <f t="shared" si="111"/>
        <v>0</v>
      </c>
      <c r="T616" s="712"/>
      <c r="U616" s="713"/>
      <c r="V616" s="714"/>
      <c r="W616" s="398">
        <f t="shared" si="118"/>
        <v>0</v>
      </c>
      <c r="X616" s="712"/>
      <c r="Y616" s="713"/>
      <c r="Z616" s="714"/>
      <c r="AA616" s="398">
        <f t="shared" si="113"/>
        <v>0</v>
      </c>
      <c r="AB616" s="712"/>
      <c r="AC616" s="713"/>
      <c r="AD616" s="714"/>
      <c r="AE616" s="398">
        <f t="shared" si="114"/>
        <v>0</v>
      </c>
      <c r="AF616" s="712"/>
      <c r="AG616" s="713"/>
      <c r="AH616" s="714"/>
      <c r="AI616" s="398">
        <f t="shared" si="115"/>
        <v>0</v>
      </c>
      <c r="AJ616" s="712"/>
      <c r="AK616" s="713"/>
      <c r="AL616" s="714"/>
      <c r="AM616" s="398">
        <f t="shared" si="116"/>
        <v>0</v>
      </c>
    </row>
    <row r="617" spans="1:39" ht="15.75" customHeight="1" x14ac:dyDescent="0.3">
      <c r="A617" s="2161"/>
      <c r="B617" s="1313" t="str">
        <f t="shared" si="112"/>
        <v/>
      </c>
      <c r="C617" s="1011">
        <f>IF($D$2="NO",0,ROUNDDOWN(SUM(PROD!$V$5:V618)/IF(Iniciar!$C$25="kilos",40,1),0)-SUM($C$4:$C616))</f>
        <v>0</v>
      </c>
      <c r="D617" s="702"/>
      <c r="E617" s="702"/>
      <c r="F617" s="300">
        <f t="shared" si="117"/>
        <v>-95000</v>
      </c>
      <c r="G617" s="694"/>
      <c r="H617" s="695"/>
      <c r="I617" s="1314"/>
      <c r="J617" s="1315">
        <f>IF(K$1&gt;0,ROUNDUP(SUM(PROD!AM$5:AM618)/K$1*K$2,0),0)-SUM(J$4:J616)</f>
        <v>0</v>
      </c>
      <c r="K617" s="1316">
        <f t="shared" si="97"/>
        <v>0</v>
      </c>
      <c r="L617" s="1314"/>
      <c r="M617" s="1315">
        <f>IF(N$1&gt;0,ROUNDUP(SUM(PROD!L$5:L618,-PROD!AM$5:AM618,-PROD!AZ$5:AZ618)/N$1*N$2,0),0)-SUM(M$4:M616)</f>
        <v>0</v>
      </c>
      <c r="N617" s="1316">
        <f t="shared" si="98"/>
        <v>0</v>
      </c>
      <c r="O617" s="1317">
        <f t="shared" si="109"/>
        <v>0</v>
      </c>
      <c r="P617" s="1318"/>
      <c r="Q617" s="1319"/>
      <c r="R617" s="1320">
        <f t="shared" si="110"/>
        <v>0</v>
      </c>
      <c r="S617" s="1316">
        <f t="shared" si="111"/>
        <v>0</v>
      </c>
      <c r="T617" s="712"/>
      <c r="U617" s="713"/>
      <c r="V617" s="714"/>
      <c r="W617" s="398">
        <f t="shared" si="118"/>
        <v>0</v>
      </c>
      <c r="X617" s="712"/>
      <c r="Y617" s="713"/>
      <c r="Z617" s="714"/>
      <c r="AA617" s="398">
        <f t="shared" si="113"/>
        <v>0</v>
      </c>
      <c r="AB617" s="712"/>
      <c r="AC617" s="713"/>
      <c r="AD617" s="714"/>
      <c r="AE617" s="398">
        <f t="shared" si="114"/>
        <v>0</v>
      </c>
      <c r="AF617" s="712"/>
      <c r="AG617" s="713"/>
      <c r="AH617" s="714"/>
      <c r="AI617" s="398">
        <f t="shared" si="115"/>
        <v>0</v>
      </c>
      <c r="AJ617" s="712"/>
      <c r="AK617" s="713"/>
      <c r="AL617" s="714"/>
      <c r="AM617" s="398">
        <f t="shared" si="116"/>
        <v>0</v>
      </c>
    </row>
    <row r="618" spans="1:39" ht="15.75" customHeight="1" x14ac:dyDescent="0.3">
      <c r="A618" s="2161"/>
      <c r="B618" s="1313" t="str">
        <f t="shared" si="112"/>
        <v/>
      </c>
      <c r="C618" s="1011">
        <f>IF($D$2="NO",0,ROUNDDOWN(SUM(PROD!$V$5:V619)/IF(Iniciar!$C$25="kilos",40,1),0)-SUM($C$4:$C617))</f>
        <v>0</v>
      </c>
      <c r="D618" s="702"/>
      <c r="E618" s="702"/>
      <c r="F618" s="300">
        <f t="shared" si="117"/>
        <v>-95000</v>
      </c>
      <c r="G618" s="694"/>
      <c r="H618" s="695"/>
      <c r="I618" s="1314"/>
      <c r="J618" s="1315">
        <f>IF(K$1&gt;0,ROUNDUP(SUM(PROD!AM$5:AM619)/K$1*K$2,0),0)-SUM(J$4:J617)</f>
        <v>0</v>
      </c>
      <c r="K618" s="1316">
        <f t="shared" si="97"/>
        <v>0</v>
      </c>
      <c r="L618" s="1314"/>
      <c r="M618" s="1315">
        <f>IF(N$1&gt;0,ROUNDUP(SUM(PROD!L$5:L619,-PROD!AM$5:AM619,-PROD!AZ$5:AZ619)/N$1*N$2,0),0)-SUM(M$4:M617)</f>
        <v>0</v>
      </c>
      <c r="N618" s="1316">
        <f t="shared" si="98"/>
        <v>0</v>
      </c>
      <c r="O618" s="1317">
        <f t="shared" si="109"/>
        <v>0</v>
      </c>
      <c r="P618" s="1318"/>
      <c r="Q618" s="1319"/>
      <c r="R618" s="1320">
        <f t="shared" si="110"/>
        <v>0</v>
      </c>
      <c r="S618" s="1316">
        <f t="shared" si="111"/>
        <v>0</v>
      </c>
      <c r="T618" s="712"/>
      <c r="U618" s="713"/>
      <c r="V618" s="714"/>
      <c r="W618" s="398">
        <f t="shared" si="118"/>
        <v>0</v>
      </c>
      <c r="X618" s="712"/>
      <c r="Y618" s="713"/>
      <c r="Z618" s="714"/>
      <c r="AA618" s="398">
        <f t="shared" si="113"/>
        <v>0</v>
      </c>
      <c r="AB618" s="712"/>
      <c r="AC618" s="713"/>
      <c r="AD618" s="714"/>
      <c r="AE618" s="398">
        <f t="shared" si="114"/>
        <v>0</v>
      </c>
      <c r="AF618" s="712"/>
      <c r="AG618" s="713"/>
      <c r="AH618" s="714"/>
      <c r="AI618" s="398">
        <f t="shared" si="115"/>
        <v>0</v>
      </c>
      <c r="AJ618" s="712"/>
      <c r="AK618" s="713"/>
      <c r="AL618" s="714"/>
      <c r="AM618" s="398">
        <f t="shared" si="116"/>
        <v>0</v>
      </c>
    </row>
    <row r="619" spans="1:39" ht="16.5" customHeight="1" x14ac:dyDescent="0.3">
      <c r="A619" s="2162"/>
      <c r="B619" s="1313" t="str">
        <f t="shared" si="112"/>
        <v/>
      </c>
      <c r="C619" s="1011">
        <f>IF($D$2="NO",0,ROUNDDOWN(SUM(PROD!$V$5:V620)/IF(Iniciar!$C$25="kilos",40,1),0)-SUM($C$4:$C618))</f>
        <v>0</v>
      </c>
      <c r="D619" s="702"/>
      <c r="E619" s="702"/>
      <c r="F619" s="300">
        <f t="shared" si="117"/>
        <v>-95000</v>
      </c>
      <c r="G619" s="694"/>
      <c r="H619" s="695"/>
      <c r="I619" s="1314"/>
      <c r="J619" s="1315">
        <f>IF(K$1&gt;0,ROUNDUP(SUM(PROD!AM$5:AM620)/K$1*K$2,0),0)-SUM(J$4:J618)</f>
        <v>0</v>
      </c>
      <c r="K619" s="1316">
        <f t="shared" si="97"/>
        <v>0</v>
      </c>
      <c r="L619" s="1314"/>
      <c r="M619" s="1315">
        <f>IF(N$1&gt;0,ROUNDUP(SUM(PROD!L$5:L620,-PROD!AM$5:AM620,-PROD!AZ$5:AZ620)/N$1*N$2,0),0)-SUM(M$4:M618)</f>
        <v>0</v>
      </c>
      <c r="N619" s="1316">
        <f t="shared" si="98"/>
        <v>0</v>
      </c>
      <c r="O619" s="1317">
        <f t="shared" si="109"/>
        <v>0</v>
      </c>
      <c r="P619" s="1318"/>
      <c r="Q619" s="1319"/>
      <c r="R619" s="1320">
        <f t="shared" si="110"/>
        <v>0</v>
      </c>
      <c r="S619" s="1316">
        <f t="shared" si="111"/>
        <v>0</v>
      </c>
      <c r="T619" s="712"/>
      <c r="U619" s="713"/>
      <c r="V619" s="714"/>
      <c r="W619" s="398">
        <f t="shared" si="118"/>
        <v>0</v>
      </c>
      <c r="X619" s="712"/>
      <c r="Y619" s="713"/>
      <c r="Z619" s="714"/>
      <c r="AA619" s="398">
        <f t="shared" si="113"/>
        <v>0</v>
      </c>
      <c r="AB619" s="712"/>
      <c r="AC619" s="713"/>
      <c r="AD619" s="714"/>
      <c r="AE619" s="398">
        <f t="shared" si="114"/>
        <v>0</v>
      </c>
      <c r="AF619" s="712"/>
      <c r="AG619" s="713"/>
      <c r="AH619" s="714"/>
      <c r="AI619" s="398">
        <f t="shared" si="115"/>
        <v>0</v>
      </c>
      <c r="AJ619" s="712"/>
      <c r="AK619" s="713"/>
      <c r="AL619" s="714"/>
      <c r="AM619" s="398">
        <f t="shared" si="116"/>
        <v>0</v>
      </c>
    </row>
    <row r="620" spans="1:39" ht="16.5" customHeight="1" x14ac:dyDescent="0.3">
      <c r="A620" s="2160">
        <f>A613+1</f>
        <v>106</v>
      </c>
      <c r="B620" s="1313" t="str">
        <f t="shared" si="112"/>
        <v/>
      </c>
      <c r="C620" s="1011">
        <f>IF($D$2="NO",0,ROUNDDOWN(SUM(PROD!$V$5:V621)/IF(Iniciar!$C$25="kilos",40,1),0)-SUM($C$4:$C619))</f>
        <v>0</v>
      </c>
      <c r="D620" s="702"/>
      <c r="E620" s="702"/>
      <c r="F620" s="300">
        <f t="shared" si="117"/>
        <v>-95000</v>
      </c>
      <c r="G620" s="694"/>
      <c r="H620" s="695"/>
      <c r="I620" s="1314"/>
      <c r="J620" s="1315">
        <f>IF(K$1&gt;0,ROUNDUP(SUM(PROD!AM$5:AM621)/K$1*K$2,0),0)-SUM(J$4:J619)</f>
        <v>0</v>
      </c>
      <c r="K620" s="1316">
        <f t="shared" si="97"/>
        <v>0</v>
      </c>
      <c r="L620" s="1314"/>
      <c r="M620" s="1315">
        <f>IF(N$1&gt;0,ROUNDUP(SUM(PROD!L$5:L621,-PROD!AM$5:AM621,-PROD!AZ$5:AZ621)/N$1*N$2,0),0)-SUM(M$4:M619)</f>
        <v>0</v>
      </c>
      <c r="N620" s="1316">
        <f t="shared" si="98"/>
        <v>0</v>
      </c>
      <c r="O620" s="1317">
        <f t="shared" si="109"/>
        <v>0</v>
      </c>
      <c r="P620" s="1318"/>
      <c r="Q620" s="1319"/>
      <c r="R620" s="1320">
        <f t="shared" si="110"/>
        <v>0</v>
      </c>
      <c r="S620" s="1316">
        <f t="shared" si="111"/>
        <v>0</v>
      </c>
      <c r="T620" s="712"/>
      <c r="U620" s="713"/>
      <c r="V620" s="714"/>
      <c r="W620" s="398">
        <f t="shared" si="118"/>
        <v>0</v>
      </c>
      <c r="X620" s="712"/>
      <c r="Y620" s="713"/>
      <c r="Z620" s="714"/>
      <c r="AA620" s="398">
        <f t="shared" si="113"/>
        <v>0</v>
      </c>
      <c r="AB620" s="712"/>
      <c r="AC620" s="713"/>
      <c r="AD620" s="714"/>
      <c r="AE620" s="398">
        <f t="shared" si="114"/>
        <v>0</v>
      </c>
      <c r="AF620" s="712"/>
      <c r="AG620" s="713"/>
      <c r="AH620" s="714"/>
      <c r="AI620" s="398">
        <f t="shared" si="115"/>
        <v>0</v>
      </c>
      <c r="AJ620" s="712"/>
      <c r="AK620" s="713"/>
      <c r="AL620" s="714"/>
      <c r="AM620" s="398">
        <f t="shared" si="116"/>
        <v>0</v>
      </c>
    </row>
    <row r="621" spans="1:39" ht="15.75" customHeight="1" x14ac:dyDescent="0.3">
      <c r="A621" s="2161"/>
      <c r="B621" s="1313" t="str">
        <f t="shared" si="112"/>
        <v/>
      </c>
      <c r="C621" s="1011">
        <f>IF($D$2="NO",0,ROUNDDOWN(SUM(PROD!$V$5:V622)/IF(Iniciar!$C$25="kilos",40,1),0)-SUM($C$4:$C620))</f>
        <v>0</v>
      </c>
      <c r="D621" s="702"/>
      <c r="E621" s="702"/>
      <c r="F621" s="300">
        <f t="shared" si="117"/>
        <v>-95000</v>
      </c>
      <c r="G621" s="694"/>
      <c r="H621" s="695"/>
      <c r="I621" s="1314"/>
      <c r="J621" s="1315">
        <f>IF(K$1&gt;0,ROUNDUP(SUM(PROD!AM$5:AM622)/K$1*K$2,0),0)-SUM(J$4:J620)</f>
        <v>0</v>
      </c>
      <c r="K621" s="1316">
        <f t="shared" si="97"/>
        <v>0</v>
      </c>
      <c r="L621" s="1314"/>
      <c r="M621" s="1315">
        <f>IF(N$1&gt;0,ROUNDUP(SUM(PROD!L$5:L622,-PROD!AM$5:AM622,-PROD!AZ$5:AZ622)/N$1*N$2,0),0)-SUM(M$4:M620)</f>
        <v>0</v>
      </c>
      <c r="N621" s="1316">
        <f t="shared" si="98"/>
        <v>0</v>
      </c>
      <c r="O621" s="1317">
        <f t="shared" si="109"/>
        <v>0</v>
      </c>
      <c r="P621" s="1318"/>
      <c r="Q621" s="1319"/>
      <c r="R621" s="1320">
        <f t="shared" si="110"/>
        <v>0</v>
      </c>
      <c r="S621" s="1316">
        <f t="shared" si="111"/>
        <v>0</v>
      </c>
      <c r="T621" s="712"/>
      <c r="U621" s="713"/>
      <c r="V621" s="714"/>
      <c r="W621" s="398">
        <f t="shared" si="118"/>
        <v>0</v>
      </c>
      <c r="X621" s="712"/>
      <c r="Y621" s="713"/>
      <c r="Z621" s="714"/>
      <c r="AA621" s="398">
        <f t="shared" si="113"/>
        <v>0</v>
      </c>
      <c r="AB621" s="712"/>
      <c r="AC621" s="713"/>
      <c r="AD621" s="714"/>
      <c r="AE621" s="398">
        <f t="shared" si="114"/>
        <v>0</v>
      </c>
      <c r="AF621" s="712"/>
      <c r="AG621" s="713"/>
      <c r="AH621" s="714"/>
      <c r="AI621" s="398">
        <f t="shared" si="115"/>
        <v>0</v>
      </c>
      <c r="AJ621" s="712"/>
      <c r="AK621" s="713"/>
      <c r="AL621" s="714"/>
      <c r="AM621" s="398">
        <f t="shared" si="116"/>
        <v>0</v>
      </c>
    </row>
    <row r="622" spans="1:39" ht="15.75" customHeight="1" x14ac:dyDescent="0.3">
      <c r="A622" s="2161"/>
      <c r="B622" s="1313" t="str">
        <f t="shared" si="112"/>
        <v/>
      </c>
      <c r="C622" s="1011">
        <f>IF($D$2="NO",0,ROUNDDOWN(SUM(PROD!$V$5:V623)/IF(Iniciar!$C$25="kilos",40,1),0)-SUM($C$4:$C621))</f>
        <v>0</v>
      </c>
      <c r="D622" s="702"/>
      <c r="E622" s="702"/>
      <c r="F622" s="300">
        <f t="shared" si="117"/>
        <v>-95000</v>
      </c>
      <c r="G622" s="694"/>
      <c r="H622" s="695"/>
      <c r="I622" s="1314"/>
      <c r="J622" s="1315">
        <f>IF(K$1&gt;0,ROUNDUP(SUM(PROD!AM$5:AM623)/K$1*K$2,0),0)-SUM(J$4:J621)</f>
        <v>0</v>
      </c>
      <c r="K622" s="1316">
        <f t="shared" si="97"/>
        <v>0</v>
      </c>
      <c r="L622" s="1314"/>
      <c r="M622" s="1315">
        <f>IF(N$1&gt;0,ROUNDUP(SUM(PROD!L$5:L623,-PROD!AM$5:AM623,-PROD!AZ$5:AZ623)/N$1*N$2,0),0)-SUM(M$4:M621)</f>
        <v>0</v>
      </c>
      <c r="N622" s="1316">
        <f t="shared" si="98"/>
        <v>0</v>
      </c>
      <c r="O622" s="1317">
        <f t="shared" si="109"/>
        <v>0</v>
      </c>
      <c r="P622" s="1318"/>
      <c r="Q622" s="1319"/>
      <c r="R622" s="1320">
        <f t="shared" si="110"/>
        <v>0</v>
      </c>
      <c r="S622" s="1316">
        <f t="shared" si="111"/>
        <v>0</v>
      </c>
      <c r="T622" s="712"/>
      <c r="U622" s="713"/>
      <c r="V622" s="714"/>
      <c r="W622" s="398">
        <f t="shared" si="118"/>
        <v>0</v>
      </c>
      <c r="X622" s="712"/>
      <c r="Y622" s="713"/>
      <c r="Z622" s="714"/>
      <c r="AA622" s="398">
        <f t="shared" si="113"/>
        <v>0</v>
      </c>
      <c r="AB622" s="712"/>
      <c r="AC622" s="713"/>
      <c r="AD622" s="714"/>
      <c r="AE622" s="398">
        <f t="shared" si="114"/>
        <v>0</v>
      </c>
      <c r="AF622" s="712"/>
      <c r="AG622" s="713"/>
      <c r="AH622" s="714"/>
      <c r="AI622" s="398">
        <f t="shared" si="115"/>
        <v>0</v>
      </c>
      <c r="AJ622" s="712"/>
      <c r="AK622" s="713"/>
      <c r="AL622" s="714"/>
      <c r="AM622" s="398">
        <f t="shared" si="116"/>
        <v>0</v>
      </c>
    </row>
    <row r="623" spans="1:39" ht="15.75" customHeight="1" x14ac:dyDescent="0.3">
      <c r="A623" s="2161"/>
      <c r="B623" s="1313" t="str">
        <f t="shared" si="112"/>
        <v/>
      </c>
      <c r="C623" s="1011">
        <f>IF($D$2="NO",0,ROUNDDOWN(SUM(PROD!$V$5:V624)/IF(Iniciar!$C$25="kilos",40,1),0)-SUM($C$4:$C622))</f>
        <v>0</v>
      </c>
      <c r="D623" s="702"/>
      <c r="E623" s="702"/>
      <c r="F623" s="300">
        <f t="shared" si="117"/>
        <v>-95000</v>
      </c>
      <c r="G623" s="694"/>
      <c r="H623" s="695"/>
      <c r="I623" s="1314"/>
      <c r="J623" s="1315">
        <f>IF(K$1&gt;0,ROUNDUP(SUM(PROD!AM$5:AM624)/K$1*K$2,0),0)-SUM(J$4:J622)</f>
        <v>0</v>
      </c>
      <c r="K623" s="1316">
        <f t="shared" si="97"/>
        <v>0</v>
      </c>
      <c r="L623" s="1314"/>
      <c r="M623" s="1315">
        <f>IF(N$1&gt;0,ROUNDUP(SUM(PROD!L$5:L624,-PROD!AM$5:AM624,-PROD!AZ$5:AZ624)/N$1*N$2,0),0)-SUM(M$4:M622)</f>
        <v>0</v>
      </c>
      <c r="N623" s="1316">
        <f t="shared" si="98"/>
        <v>0</v>
      </c>
      <c r="O623" s="1317">
        <f t="shared" si="109"/>
        <v>0</v>
      </c>
      <c r="P623" s="1318"/>
      <c r="Q623" s="1319"/>
      <c r="R623" s="1320">
        <f t="shared" si="110"/>
        <v>0</v>
      </c>
      <c r="S623" s="1316">
        <f t="shared" si="111"/>
        <v>0</v>
      </c>
      <c r="T623" s="712"/>
      <c r="U623" s="713"/>
      <c r="V623" s="714"/>
      <c r="W623" s="398">
        <f t="shared" si="118"/>
        <v>0</v>
      </c>
      <c r="X623" s="712"/>
      <c r="Y623" s="713"/>
      <c r="Z623" s="714"/>
      <c r="AA623" s="398">
        <f t="shared" si="113"/>
        <v>0</v>
      </c>
      <c r="AB623" s="712"/>
      <c r="AC623" s="713"/>
      <c r="AD623" s="714"/>
      <c r="AE623" s="398">
        <f t="shared" si="114"/>
        <v>0</v>
      </c>
      <c r="AF623" s="712"/>
      <c r="AG623" s="713"/>
      <c r="AH623" s="714"/>
      <c r="AI623" s="398">
        <f t="shared" si="115"/>
        <v>0</v>
      </c>
      <c r="AJ623" s="712"/>
      <c r="AK623" s="713"/>
      <c r="AL623" s="714"/>
      <c r="AM623" s="398">
        <f t="shared" si="116"/>
        <v>0</v>
      </c>
    </row>
    <row r="624" spans="1:39" ht="15.75" customHeight="1" x14ac:dyDescent="0.3">
      <c r="A624" s="2161"/>
      <c r="B624" s="1313" t="str">
        <f t="shared" si="112"/>
        <v/>
      </c>
      <c r="C624" s="1011">
        <f>IF($D$2="NO",0,ROUNDDOWN(SUM(PROD!$V$5:V625)/IF(Iniciar!$C$25="kilos",40,1),0)-SUM($C$4:$C623))</f>
        <v>0</v>
      </c>
      <c r="D624" s="702"/>
      <c r="E624" s="702"/>
      <c r="F624" s="300">
        <f t="shared" si="117"/>
        <v>-95000</v>
      </c>
      <c r="G624" s="694"/>
      <c r="H624" s="695"/>
      <c r="I624" s="1314"/>
      <c r="J624" s="1315">
        <f>IF(K$1&gt;0,ROUNDUP(SUM(PROD!AM$5:AM625)/K$1*K$2,0),0)-SUM(J$4:J623)</f>
        <v>0</v>
      </c>
      <c r="K624" s="1316">
        <f t="shared" si="97"/>
        <v>0</v>
      </c>
      <c r="L624" s="1314"/>
      <c r="M624" s="1315">
        <f>IF(N$1&gt;0,ROUNDUP(SUM(PROD!L$5:L625,-PROD!AM$5:AM625,-PROD!AZ$5:AZ625)/N$1*N$2,0),0)-SUM(M$4:M623)</f>
        <v>0</v>
      </c>
      <c r="N624" s="1316">
        <f t="shared" si="98"/>
        <v>0</v>
      </c>
      <c r="O624" s="1317">
        <f t="shared" si="109"/>
        <v>0</v>
      </c>
      <c r="P624" s="1318"/>
      <c r="Q624" s="1319"/>
      <c r="R624" s="1320">
        <f t="shared" si="110"/>
        <v>0</v>
      </c>
      <c r="S624" s="1316">
        <f t="shared" si="111"/>
        <v>0</v>
      </c>
      <c r="T624" s="712"/>
      <c r="U624" s="713"/>
      <c r="V624" s="714"/>
      <c r="W624" s="398">
        <f t="shared" si="118"/>
        <v>0</v>
      </c>
      <c r="X624" s="712"/>
      <c r="Y624" s="713"/>
      <c r="Z624" s="714"/>
      <c r="AA624" s="398">
        <f t="shared" si="113"/>
        <v>0</v>
      </c>
      <c r="AB624" s="712"/>
      <c r="AC624" s="713"/>
      <c r="AD624" s="714"/>
      <c r="AE624" s="398">
        <f t="shared" si="114"/>
        <v>0</v>
      </c>
      <c r="AF624" s="712"/>
      <c r="AG624" s="713"/>
      <c r="AH624" s="714"/>
      <c r="AI624" s="398">
        <f t="shared" si="115"/>
        <v>0</v>
      </c>
      <c r="AJ624" s="712"/>
      <c r="AK624" s="713"/>
      <c r="AL624" s="714"/>
      <c r="AM624" s="398">
        <f t="shared" si="116"/>
        <v>0</v>
      </c>
    </row>
    <row r="625" spans="1:39" ht="15.75" customHeight="1" x14ac:dyDescent="0.3">
      <c r="A625" s="2161"/>
      <c r="B625" s="1313" t="str">
        <f t="shared" si="112"/>
        <v/>
      </c>
      <c r="C625" s="1011">
        <f>IF($D$2="NO",0,ROUNDDOWN(SUM(PROD!$V$5:V626)/IF(Iniciar!$C$25="kilos",40,1),0)-SUM($C$4:$C624))</f>
        <v>0</v>
      </c>
      <c r="D625" s="702"/>
      <c r="E625" s="702"/>
      <c r="F625" s="300">
        <f t="shared" si="117"/>
        <v>-95000</v>
      </c>
      <c r="G625" s="694"/>
      <c r="H625" s="695"/>
      <c r="I625" s="1314"/>
      <c r="J625" s="1315">
        <f>IF(K$1&gt;0,ROUNDUP(SUM(PROD!AM$5:AM626)/K$1*K$2,0),0)-SUM(J$4:J624)</f>
        <v>0</v>
      </c>
      <c r="K625" s="1316">
        <f t="shared" si="97"/>
        <v>0</v>
      </c>
      <c r="L625" s="1314"/>
      <c r="M625" s="1315">
        <f>IF(N$1&gt;0,ROUNDUP(SUM(PROD!L$5:L626,-PROD!AM$5:AM626,-PROD!AZ$5:AZ626)/N$1*N$2,0),0)-SUM(M$4:M624)</f>
        <v>0</v>
      </c>
      <c r="N625" s="1316">
        <f t="shared" si="98"/>
        <v>0</v>
      </c>
      <c r="O625" s="1317">
        <f t="shared" si="109"/>
        <v>0</v>
      </c>
      <c r="P625" s="1318"/>
      <c r="Q625" s="1319"/>
      <c r="R625" s="1320">
        <f t="shared" si="110"/>
        <v>0</v>
      </c>
      <c r="S625" s="1316">
        <f t="shared" si="111"/>
        <v>0</v>
      </c>
      <c r="T625" s="712"/>
      <c r="U625" s="713"/>
      <c r="V625" s="714"/>
      <c r="W625" s="398">
        <f t="shared" si="118"/>
        <v>0</v>
      </c>
      <c r="X625" s="712"/>
      <c r="Y625" s="713"/>
      <c r="Z625" s="714"/>
      <c r="AA625" s="398">
        <f t="shared" si="113"/>
        <v>0</v>
      </c>
      <c r="AB625" s="712"/>
      <c r="AC625" s="713"/>
      <c r="AD625" s="714"/>
      <c r="AE625" s="398">
        <f t="shared" si="114"/>
        <v>0</v>
      </c>
      <c r="AF625" s="712"/>
      <c r="AG625" s="713"/>
      <c r="AH625" s="714"/>
      <c r="AI625" s="398">
        <f t="shared" si="115"/>
        <v>0</v>
      </c>
      <c r="AJ625" s="712"/>
      <c r="AK625" s="713"/>
      <c r="AL625" s="714"/>
      <c r="AM625" s="398">
        <f t="shared" si="116"/>
        <v>0</v>
      </c>
    </row>
    <row r="626" spans="1:39" ht="16.5" customHeight="1" x14ac:dyDescent="0.3">
      <c r="A626" s="2162"/>
      <c r="B626" s="1313" t="str">
        <f t="shared" si="112"/>
        <v/>
      </c>
      <c r="C626" s="1011">
        <f>IF($D$2="NO",0,ROUNDDOWN(SUM(PROD!$V$5:V627)/IF(Iniciar!$C$25="kilos",40,1),0)-SUM($C$4:$C625))</f>
        <v>0</v>
      </c>
      <c r="D626" s="702"/>
      <c r="E626" s="702"/>
      <c r="F626" s="300">
        <f t="shared" si="117"/>
        <v>-95000</v>
      </c>
      <c r="G626" s="694"/>
      <c r="H626" s="695"/>
      <c r="I626" s="1314"/>
      <c r="J626" s="1315">
        <f>IF(K$1&gt;0,ROUNDUP(SUM(PROD!AM$5:AM627)/K$1*K$2,0),0)-SUM(J$4:J625)</f>
        <v>0</v>
      </c>
      <c r="K626" s="1316">
        <f t="shared" si="97"/>
        <v>0</v>
      </c>
      <c r="L626" s="1314"/>
      <c r="M626" s="1315">
        <f>IF(N$1&gt;0,ROUNDUP(SUM(PROD!L$5:L627,-PROD!AM$5:AM627,-PROD!AZ$5:AZ627)/N$1*N$2,0),0)-SUM(M$4:M625)</f>
        <v>0</v>
      </c>
      <c r="N626" s="1316">
        <f t="shared" si="98"/>
        <v>0</v>
      </c>
      <c r="O626" s="1317">
        <f t="shared" si="109"/>
        <v>0</v>
      </c>
      <c r="P626" s="1318"/>
      <c r="Q626" s="1319"/>
      <c r="R626" s="1320">
        <f t="shared" si="110"/>
        <v>0</v>
      </c>
      <c r="S626" s="1316">
        <f t="shared" si="111"/>
        <v>0</v>
      </c>
      <c r="T626" s="712"/>
      <c r="U626" s="713"/>
      <c r="V626" s="714"/>
      <c r="W626" s="398">
        <f t="shared" si="118"/>
        <v>0</v>
      </c>
      <c r="X626" s="712"/>
      <c r="Y626" s="713"/>
      <c r="Z626" s="714"/>
      <c r="AA626" s="398">
        <f t="shared" si="113"/>
        <v>0</v>
      </c>
      <c r="AB626" s="712"/>
      <c r="AC626" s="713"/>
      <c r="AD626" s="714"/>
      <c r="AE626" s="398">
        <f t="shared" si="114"/>
        <v>0</v>
      </c>
      <c r="AF626" s="712"/>
      <c r="AG626" s="713"/>
      <c r="AH626" s="714"/>
      <c r="AI626" s="398">
        <f t="shared" si="115"/>
        <v>0</v>
      </c>
      <c r="AJ626" s="712"/>
      <c r="AK626" s="713"/>
      <c r="AL626" s="714"/>
      <c r="AM626" s="398">
        <f t="shared" si="116"/>
        <v>0</v>
      </c>
    </row>
    <row r="627" spans="1:39" ht="16.5" customHeight="1" x14ac:dyDescent="0.3">
      <c r="A627" s="2160">
        <f>A620+1</f>
        <v>107</v>
      </c>
      <c r="B627" s="1313" t="str">
        <f t="shared" si="112"/>
        <v/>
      </c>
      <c r="C627" s="1011">
        <f>IF($D$2="NO",0,ROUNDDOWN(SUM(PROD!$V$5:V628)/IF(Iniciar!$C$25="kilos",40,1),0)-SUM($C$4:$C626))</f>
        <v>0</v>
      </c>
      <c r="D627" s="702"/>
      <c r="E627" s="702"/>
      <c r="F627" s="300">
        <f t="shared" si="117"/>
        <v>-95000</v>
      </c>
      <c r="G627" s="694"/>
      <c r="H627" s="695"/>
      <c r="I627" s="1314"/>
      <c r="J627" s="1315">
        <f>IF(K$1&gt;0,ROUNDUP(SUM(PROD!AM$5:AM628)/K$1*K$2,0),0)-SUM(J$4:J626)</f>
        <v>0</v>
      </c>
      <c r="K627" s="1316">
        <f t="shared" si="97"/>
        <v>0</v>
      </c>
      <c r="L627" s="1314"/>
      <c r="M627" s="1315">
        <f>IF(N$1&gt;0,ROUNDUP(SUM(PROD!L$5:L628,-PROD!AM$5:AM628,-PROD!AZ$5:AZ628)/N$1*N$2,0),0)-SUM(M$4:M626)</f>
        <v>0</v>
      </c>
      <c r="N627" s="1316">
        <f t="shared" si="98"/>
        <v>0</v>
      </c>
      <c r="O627" s="1317">
        <f t="shared" si="109"/>
        <v>0</v>
      </c>
      <c r="P627" s="1318"/>
      <c r="Q627" s="1319"/>
      <c r="R627" s="1320">
        <f t="shared" si="110"/>
        <v>0</v>
      </c>
      <c r="S627" s="1316">
        <f t="shared" si="111"/>
        <v>0</v>
      </c>
      <c r="T627" s="712"/>
      <c r="U627" s="713"/>
      <c r="V627" s="714"/>
      <c r="W627" s="398">
        <f t="shared" si="118"/>
        <v>0</v>
      </c>
      <c r="X627" s="712"/>
      <c r="Y627" s="713"/>
      <c r="Z627" s="714"/>
      <c r="AA627" s="398">
        <f t="shared" si="113"/>
        <v>0</v>
      </c>
      <c r="AB627" s="712"/>
      <c r="AC627" s="713"/>
      <c r="AD627" s="714"/>
      <c r="AE627" s="398">
        <f t="shared" si="114"/>
        <v>0</v>
      </c>
      <c r="AF627" s="712"/>
      <c r="AG627" s="713"/>
      <c r="AH627" s="714"/>
      <c r="AI627" s="398">
        <f t="shared" si="115"/>
        <v>0</v>
      </c>
      <c r="AJ627" s="712"/>
      <c r="AK627" s="713"/>
      <c r="AL627" s="714"/>
      <c r="AM627" s="398">
        <f t="shared" si="116"/>
        <v>0</v>
      </c>
    </row>
    <row r="628" spans="1:39" ht="15.75" customHeight="1" x14ac:dyDescent="0.3">
      <c r="A628" s="2161"/>
      <c r="B628" s="1313" t="str">
        <f t="shared" si="112"/>
        <v/>
      </c>
      <c r="C628" s="1011">
        <f>IF($D$2="NO",0,ROUNDDOWN(SUM(PROD!$V$5:V629)/IF(Iniciar!$C$25="kilos",40,1),0)-SUM($C$4:$C627))</f>
        <v>0</v>
      </c>
      <c r="D628" s="702"/>
      <c r="E628" s="702"/>
      <c r="F628" s="300">
        <f t="shared" si="117"/>
        <v>-95000</v>
      </c>
      <c r="G628" s="694"/>
      <c r="H628" s="695"/>
      <c r="I628" s="1314"/>
      <c r="J628" s="1315">
        <f>IF(K$1&gt;0,ROUNDUP(SUM(PROD!AM$5:AM629)/K$1*K$2,0),0)-SUM(J$4:J627)</f>
        <v>0</v>
      </c>
      <c r="K628" s="1316">
        <f t="shared" si="97"/>
        <v>0</v>
      </c>
      <c r="L628" s="1314"/>
      <c r="M628" s="1315">
        <f>IF(N$1&gt;0,ROUNDUP(SUM(PROD!L$5:L629,-PROD!AM$5:AM629,-PROD!AZ$5:AZ629)/N$1*N$2,0),0)-SUM(M$4:M627)</f>
        <v>0</v>
      </c>
      <c r="N628" s="1316">
        <f t="shared" si="98"/>
        <v>0</v>
      </c>
      <c r="O628" s="1317">
        <f t="shared" si="109"/>
        <v>0</v>
      </c>
      <c r="P628" s="1318"/>
      <c r="Q628" s="1319"/>
      <c r="R628" s="1320">
        <f t="shared" si="110"/>
        <v>0</v>
      </c>
      <c r="S628" s="1316">
        <f t="shared" si="111"/>
        <v>0</v>
      </c>
      <c r="T628" s="712"/>
      <c r="U628" s="713"/>
      <c r="V628" s="714"/>
      <c r="W628" s="398">
        <f t="shared" si="118"/>
        <v>0</v>
      </c>
      <c r="X628" s="712"/>
      <c r="Y628" s="713"/>
      <c r="Z628" s="714"/>
      <c r="AA628" s="398">
        <f t="shared" si="113"/>
        <v>0</v>
      </c>
      <c r="AB628" s="712"/>
      <c r="AC628" s="713"/>
      <c r="AD628" s="714"/>
      <c r="AE628" s="398">
        <f t="shared" si="114"/>
        <v>0</v>
      </c>
      <c r="AF628" s="712"/>
      <c r="AG628" s="713"/>
      <c r="AH628" s="714"/>
      <c r="AI628" s="398">
        <f t="shared" si="115"/>
        <v>0</v>
      </c>
      <c r="AJ628" s="712"/>
      <c r="AK628" s="713"/>
      <c r="AL628" s="714"/>
      <c r="AM628" s="398">
        <f t="shared" si="116"/>
        <v>0</v>
      </c>
    </row>
    <row r="629" spans="1:39" ht="15.75" customHeight="1" x14ac:dyDescent="0.3">
      <c r="A629" s="2161"/>
      <c r="B629" s="1313" t="str">
        <f t="shared" si="112"/>
        <v/>
      </c>
      <c r="C629" s="1011">
        <f>IF($D$2="NO",0,ROUNDDOWN(SUM(PROD!$V$5:V630)/IF(Iniciar!$C$25="kilos",40,1),0)-SUM($C$4:$C628))</f>
        <v>0</v>
      </c>
      <c r="D629" s="702"/>
      <c r="E629" s="702"/>
      <c r="F629" s="300">
        <f t="shared" si="117"/>
        <v>-95000</v>
      </c>
      <c r="G629" s="694"/>
      <c r="H629" s="695"/>
      <c r="I629" s="1314"/>
      <c r="J629" s="1315">
        <f>IF(K$1&gt;0,ROUNDUP(SUM(PROD!AM$5:AM630)/K$1*K$2,0),0)-SUM(J$4:J628)</f>
        <v>0</v>
      </c>
      <c r="K629" s="1316">
        <f t="shared" si="97"/>
        <v>0</v>
      </c>
      <c r="L629" s="1314"/>
      <c r="M629" s="1315">
        <f>IF(N$1&gt;0,ROUNDUP(SUM(PROD!L$5:L630,-PROD!AM$5:AM630,-PROD!AZ$5:AZ630)/N$1*N$2,0),0)-SUM(M$4:M628)</f>
        <v>0</v>
      </c>
      <c r="N629" s="1316">
        <f t="shared" si="98"/>
        <v>0</v>
      </c>
      <c r="O629" s="1317">
        <f t="shared" si="109"/>
        <v>0</v>
      </c>
      <c r="P629" s="1318"/>
      <c r="Q629" s="1319"/>
      <c r="R629" s="1320">
        <f t="shared" si="110"/>
        <v>0</v>
      </c>
      <c r="S629" s="1316">
        <f t="shared" si="111"/>
        <v>0</v>
      </c>
      <c r="T629" s="712"/>
      <c r="U629" s="713"/>
      <c r="V629" s="714"/>
      <c r="W629" s="398">
        <f t="shared" si="118"/>
        <v>0</v>
      </c>
      <c r="X629" s="712"/>
      <c r="Y629" s="713"/>
      <c r="Z629" s="714"/>
      <c r="AA629" s="398">
        <f t="shared" si="113"/>
        <v>0</v>
      </c>
      <c r="AB629" s="712"/>
      <c r="AC629" s="713"/>
      <c r="AD629" s="714"/>
      <c r="AE629" s="398">
        <f t="shared" si="114"/>
        <v>0</v>
      </c>
      <c r="AF629" s="712"/>
      <c r="AG629" s="713"/>
      <c r="AH629" s="714"/>
      <c r="AI629" s="398">
        <f t="shared" si="115"/>
        <v>0</v>
      </c>
      <c r="AJ629" s="712"/>
      <c r="AK629" s="713"/>
      <c r="AL629" s="714"/>
      <c r="AM629" s="398">
        <f t="shared" si="116"/>
        <v>0</v>
      </c>
    </row>
    <row r="630" spans="1:39" ht="15.75" customHeight="1" x14ac:dyDescent="0.3">
      <c r="A630" s="2161"/>
      <c r="B630" s="1313" t="str">
        <f t="shared" si="112"/>
        <v/>
      </c>
      <c r="C630" s="1011">
        <f>IF($D$2="NO",0,ROUNDDOWN(SUM(PROD!$V$5:V631)/IF(Iniciar!$C$25="kilos",40,1),0)-SUM($C$4:$C629))</f>
        <v>0</v>
      </c>
      <c r="D630" s="702"/>
      <c r="E630" s="702"/>
      <c r="F630" s="300">
        <f t="shared" si="117"/>
        <v>-95000</v>
      </c>
      <c r="G630" s="694"/>
      <c r="H630" s="695"/>
      <c r="I630" s="1314"/>
      <c r="J630" s="1315">
        <f>IF(K$1&gt;0,ROUNDUP(SUM(PROD!AM$5:AM631)/K$1*K$2,0),0)-SUM(J$4:J629)</f>
        <v>0</v>
      </c>
      <c r="K630" s="1316">
        <f t="shared" si="97"/>
        <v>0</v>
      </c>
      <c r="L630" s="1314"/>
      <c r="M630" s="1315">
        <f>IF(N$1&gt;0,ROUNDUP(SUM(PROD!L$5:L631,-PROD!AM$5:AM631,-PROD!AZ$5:AZ631)/N$1*N$2,0),0)-SUM(M$4:M629)</f>
        <v>0</v>
      </c>
      <c r="N630" s="1316">
        <f t="shared" si="98"/>
        <v>0</v>
      </c>
      <c r="O630" s="1317">
        <f t="shared" si="109"/>
        <v>0</v>
      </c>
      <c r="P630" s="1318"/>
      <c r="Q630" s="1319"/>
      <c r="R630" s="1320">
        <f t="shared" si="110"/>
        <v>0</v>
      </c>
      <c r="S630" s="1316">
        <f t="shared" si="111"/>
        <v>0</v>
      </c>
      <c r="T630" s="712"/>
      <c r="U630" s="713"/>
      <c r="V630" s="714"/>
      <c r="W630" s="398">
        <f t="shared" si="118"/>
        <v>0</v>
      </c>
      <c r="X630" s="712"/>
      <c r="Y630" s="713"/>
      <c r="Z630" s="714"/>
      <c r="AA630" s="398">
        <f t="shared" si="113"/>
        <v>0</v>
      </c>
      <c r="AB630" s="712"/>
      <c r="AC630" s="713"/>
      <c r="AD630" s="714"/>
      <c r="AE630" s="398">
        <f t="shared" si="114"/>
        <v>0</v>
      </c>
      <c r="AF630" s="712"/>
      <c r="AG630" s="713"/>
      <c r="AH630" s="714"/>
      <c r="AI630" s="398">
        <f t="shared" si="115"/>
        <v>0</v>
      </c>
      <c r="AJ630" s="712"/>
      <c r="AK630" s="713"/>
      <c r="AL630" s="714"/>
      <c r="AM630" s="398">
        <f t="shared" si="116"/>
        <v>0</v>
      </c>
    </row>
    <row r="631" spans="1:39" ht="15.75" customHeight="1" x14ac:dyDescent="0.3">
      <c r="A631" s="2161"/>
      <c r="B631" s="1313" t="str">
        <f t="shared" si="112"/>
        <v/>
      </c>
      <c r="C631" s="1011">
        <f>IF($D$2="NO",0,ROUNDDOWN(SUM(PROD!$V$5:V632)/IF(Iniciar!$C$25="kilos",40,1),0)-SUM($C$4:$C630))</f>
        <v>0</v>
      </c>
      <c r="D631" s="702"/>
      <c r="E631" s="702"/>
      <c r="F631" s="300">
        <f t="shared" si="117"/>
        <v>-95000</v>
      </c>
      <c r="G631" s="694"/>
      <c r="H631" s="695"/>
      <c r="I631" s="1314"/>
      <c r="J631" s="1315">
        <f>IF(K$1&gt;0,ROUNDUP(SUM(PROD!AM$5:AM632)/K$1*K$2,0),0)-SUM(J$4:J630)</f>
        <v>0</v>
      </c>
      <c r="K631" s="1316">
        <f t="shared" si="97"/>
        <v>0</v>
      </c>
      <c r="L631" s="1314"/>
      <c r="M631" s="1315">
        <f>IF(N$1&gt;0,ROUNDUP(SUM(PROD!L$5:L632,-PROD!AM$5:AM632,-PROD!AZ$5:AZ632)/N$1*N$2,0),0)-SUM(M$4:M630)</f>
        <v>0</v>
      </c>
      <c r="N631" s="1316">
        <f t="shared" si="98"/>
        <v>0</v>
      </c>
      <c r="O631" s="1317">
        <f t="shared" si="109"/>
        <v>0</v>
      </c>
      <c r="P631" s="1318"/>
      <c r="Q631" s="1319"/>
      <c r="R631" s="1320">
        <f t="shared" si="110"/>
        <v>0</v>
      </c>
      <c r="S631" s="1316">
        <f t="shared" si="111"/>
        <v>0</v>
      </c>
      <c r="T631" s="712"/>
      <c r="U631" s="713"/>
      <c r="V631" s="714"/>
      <c r="W631" s="398">
        <f t="shared" si="118"/>
        <v>0</v>
      </c>
      <c r="X631" s="712"/>
      <c r="Y631" s="713"/>
      <c r="Z631" s="714"/>
      <c r="AA631" s="398">
        <f t="shared" si="113"/>
        <v>0</v>
      </c>
      <c r="AB631" s="712"/>
      <c r="AC631" s="713"/>
      <c r="AD631" s="714"/>
      <c r="AE631" s="398">
        <f t="shared" si="114"/>
        <v>0</v>
      </c>
      <c r="AF631" s="712"/>
      <c r="AG631" s="713"/>
      <c r="AH631" s="714"/>
      <c r="AI631" s="398">
        <f t="shared" si="115"/>
        <v>0</v>
      </c>
      <c r="AJ631" s="712"/>
      <c r="AK631" s="713"/>
      <c r="AL631" s="714"/>
      <c r="AM631" s="398">
        <f t="shared" si="116"/>
        <v>0</v>
      </c>
    </row>
    <row r="632" spans="1:39" ht="15.75" customHeight="1" x14ac:dyDescent="0.3">
      <c r="A632" s="2161"/>
      <c r="B632" s="1313" t="str">
        <f t="shared" si="112"/>
        <v/>
      </c>
      <c r="C632" s="1011">
        <f>IF($D$2="NO",0,ROUNDDOWN(SUM(PROD!$V$5:V633)/IF(Iniciar!$C$25="kilos",40,1),0)-SUM($C$4:$C631))</f>
        <v>0</v>
      </c>
      <c r="D632" s="702"/>
      <c r="E632" s="702"/>
      <c r="F632" s="300">
        <f t="shared" si="117"/>
        <v>-95000</v>
      </c>
      <c r="G632" s="694"/>
      <c r="H632" s="695"/>
      <c r="I632" s="1314"/>
      <c r="J632" s="1315">
        <f>IF(K$1&gt;0,ROUNDUP(SUM(PROD!AM$5:AM633)/K$1*K$2,0),0)-SUM(J$4:J631)</f>
        <v>0</v>
      </c>
      <c r="K632" s="1316">
        <f t="shared" si="97"/>
        <v>0</v>
      </c>
      <c r="L632" s="1314"/>
      <c r="M632" s="1315">
        <f>IF(N$1&gt;0,ROUNDUP(SUM(PROD!L$5:L633,-PROD!AM$5:AM633,-PROD!AZ$5:AZ633)/N$1*N$2,0),0)-SUM(M$4:M631)</f>
        <v>0</v>
      </c>
      <c r="N632" s="1316">
        <f t="shared" si="98"/>
        <v>0</v>
      </c>
      <c r="O632" s="1317">
        <f t="shared" si="109"/>
        <v>0</v>
      </c>
      <c r="P632" s="1318"/>
      <c r="Q632" s="1319"/>
      <c r="R632" s="1320">
        <f t="shared" si="110"/>
        <v>0</v>
      </c>
      <c r="S632" s="1316">
        <f t="shared" si="111"/>
        <v>0</v>
      </c>
      <c r="T632" s="712"/>
      <c r="U632" s="713"/>
      <c r="V632" s="714"/>
      <c r="W632" s="398">
        <f t="shared" si="118"/>
        <v>0</v>
      </c>
      <c r="X632" s="712"/>
      <c r="Y632" s="713"/>
      <c r="Z632" s="714"/>
      <c r="AA632" s="398">
        <f t="shared" si="113"/>
        <v>0</v>
      </c>
      <c r="AB632" s="712"/>
      <c r="AC632" s="713"/>
      <c r="AD632" s="714"/>
      <c r="AE632" s="398">
        <f t="shared" si="114"/>
        <v>0</v>
      </c>
      <c r="AF632" s="712"/>
      <c r="AG632" s="713"/>
      <c r="AH632" s="714"/>
      <c r="AI632" s="398">
        <f t="shared" si="115"/>
        <v>0</v>
      </c>
      <c r="AJ632" s="712"/>
      <c r="AK632" s="713"/>
      <c r="AL632" s="714"/>
      <c r="AM632" s="398">
        <f t="shared" si="116"/>
        <v>0</v>
      </c>
    </row>
    <row r="633" spans="1:39" ht="16.5" customHeight="1" x14ac:dyDescent="0.3">
      <c r="A633" s="2162"/>
      <c r="B633" s="1313" t="str">
        <f t="shared" si="112"/>
        <v/>
      </c>
      <c r="C633" s="1011">
        <f>IF($D$2="NO",0,ROUNDDOWN(SUM(PROD!$V$5:V634)/IF(Iniciar!$C$25="kilos",40,1),0)-SUM($C$4:$C632))</f>
        <v>0</v>
      </c>
      <c r="D633" s="702"/>
      <c r="E633" s="702"/>
      <c r="F633" s="300">
        <f t="shared" si="117"/>
        <v>-95000</v>
      </c>
      <c r="G633" s="694"/>
      <c r="H633" s="695"/>
      <c r="I633" s="1314"/>
      <c r="J633" s="1315">
        <f>IF(K$1&gt;0,ROUNDUP(SUM(PROD!AM$5:AM634)/K$1*K$2,0),0)-SUM(J$4:J632)</f>
        <v>0</v>
      </c>
      <c r="K633" s="1316">
        <f t="shared" si="97"/>
        <v>0</v>
      </c>
      <c r="L633" s="1314"/>
      <c r="M633" s="1315">
        <f>IF(N$1&gt;0,ROUNDUP(SUM(PROD!L$5:L634,-PROD!AM$5:AM634,-PROD!AZ$5:AZ634)/N$1*N$2,0),0)-SUM(M$4:M632)</f>
        <v>0</v>
      </c>
      <c r="N633" s="1316">
        <f t="shared" si="98"/>
        <v>0</v>
      </c>
      <c r="O633" s="1317">
        <f t="shared" si="109"/>
        <v>0</v>
      </c>
      <c r="P633" s="1318"/>
      <c r="Q633" s="1319"/>
      <c r="R633" s="1320">
        <f t="shared" si="110"/>
        <v>0</v>
      </c>
      <c r="S633" s="1316">
        <f t="shared" si="111"/>
        <v>0</v>
      </c>
      <c r="T633" s="712"/>
      <c r="U633" s="713"/>
      <c r="V633" s="714"/>
      <c r="W633" s="398">
        <f t="shared" si="118"/>
        <v>0</v>
      </c>
      <c r="X633" s="712"/>
      <c r="Y633" s="713"/>
      <c r="Z633" s="714"/>
      <c r="AA633" s="398">
        <f t="shared" si="113"/>
        <v>0</v>
      </c>
      <c r="AB633" s="712"/>
      <c r="AC633" s="713"/>
      <c r="AD633" s="714"/>
      <c r="AE633" s="398">
        <f t="shared" si="114"/>
        <v>0</v>
      </c>
      <c r="AF633" s="712"/>
      <c r="AG633" s="713"/>
      <c r="AH633" s="714"/>
      <c r="AI633" s="398">
        <f t="shared" si="115"/>
        <v>0</v>
      </c>
      <c r="AJ633" s="712"/>
      <c r="AK633" s="713"/>
      <c r="AL633" s="714"/>
      <c r="AM633" s="398">
        <f t="shared" si="116"/>
        <v>0</v>
      </c>
    </row>
    <row r="634" spans="1:39" ht="16.5" customHeight="1" x14ac:dyDescent="0.3">
      <c r="A634" s="2160">
        <f>A627+1</f>
        <v>108</v>
      </c>
      <c r="B634" s="1313" t="str">
        <f t="shared" si="112"/>
        <v/>
      </c>
      <c r="C634" s="1011">
        <f>IF($D$2="NO",0,ROUNDDOWN(SUM(PROD!$V$5:V635)/IF(Iniciar!$C$25="kilos",40,1),0)-SUM($C$4:$C633))</f>
        <v>0</v>
      </c>
      <c r="D634" s="702"/>
      <c r="E634" s="702"/>
      <c r="F634" s="300">
        <f t="shared" si="117"/>
        <v>-95000</v>
      </c>
      <c r="G634" s="694"/>
      <c r="H634" s="695"/>
      <c r="I634" s="1314"/>
      <c r="J634" s="1315">
        <f>IF(K$1&gt;0,ROUNDUP(SUM(PROD!AM$5:AM635)/K$1*K$2,0),0)-SUM(J$4:J633)</f>
        <v>0</v>
      </c>
      <c r="K634" s="1316">
        <f t="shared" si="97"/>
        <v>0</v>
      </c>
      <c r="L634" s="1314"/>
      <c r="M634" s="1315">
        <f>IF(N$1&gt;0,ROUNDUP(SUM(PROD!L$5:L635,-PROD!AM$5:AM635,-PROD!AZ$5:AZ635)/N$1*N$2,0),0)-SUM(M$4:M633)</f>
        <v>0</v>
      </c>
      <c r="N634" s="1316">
        <f t="shared" si="98"/>
        <v>0</v>
      </c>
      <c r="O634" s="1317">
        <f t="shared" si="109"/>
        <v>0</v>
      </c>
      <c r="P634" s="1318"/>
      <c r="Q634" s="1319"/>
      <c r="R634" s="1320">
        <f t="shared" si="110"/>
        <v>0</v>
      </c>
      <c r="S634" s="1316">
        <f t="shared" si="111"/>
        <v>0</v>
      </c>
      <c r="T634" s="712"/>
      <c r="U634" s="713"/>
      <c r="V634" s="714"/>
      <c r="W634" s="398">
        <f t="shared" si="118"/>
        <v>0</v>
      </c>
      <c r="X634" s="712"/>
      <c r="Y634" s="713"/>
      <c r="Z634" s="714"/>
      <c r="AA634" s="398">
        <f t="shared" si="113"/>
        <v>0</v>
      </c>
      <c r="AB634" s="712"/>
      <c r="AC634" s="713"/>
      <c r="AD634" s="714"/>
      <c r="AE634" s="398">
        <f t="shared" si="114"/>
        <v>0</v>
      </c>
      <c r="AF634" s="712"/>
      <c r="AG634" s="713"/>
      <c r="AH634" s="714"/>
      <c r="AI634" s="398">
        <f t="shared" si="115"/>
        <v>0</v>
      </c>
      <c r="AJ634" s="712"/>
      <c r="AK634" s="713"/>
      <c r="AL634" s="714"/>
      <c r="AM634" s="398">
        <f t="shared" si="116"/>
        <v>0</v>
      </c>
    </row>
    <row r="635" spans="1:39" ht="15.75" customHeight="1" x14ac:dyDescent="0.3">
      <c r="A635" s="2161"/>
      <c r="B635" s="1313" t="str">
        <f t="shared" si="112"/>
        <v/>
      </c>
      <c r="C635" s="1011">
        <f>IF($D$2="NO",0,ROUNDDOWN(SUM(PROD!$V$5:V636)/IF(Iniciar!$C$25="kilos",40,1),0)-SUM($C$4:$C634))</f>
        <v>0</v>
      </c>
      <c r="D635" s="702"/>
      <c r="E635" s="702"/>
      <c r="F635" s="300">
        <f t="shared" si="117"/>
        <v>-95000</v>
      </c>
      <c r="G635" s="694"/>
      <c r="H635" s="695"/>
      <c r="I635" s="1314"/>
      <c r="J635" s="1315">
        <f>IF(K$1&gt;0,ROUNDUP(SUM(PROD!AM$5:AM636)/K$1*K$2,0),0)-SUM(J$4:J634)</f>
        <v>0</v>
      </c>
      <c r="K635" s="1316">
        <f t="shared" si="97"/>
        <v>0</v>
      </c>
      <c r="L635" s="1314"/>
      <c r="M635" s="1315">
        <f>IF(N$1&gt;0,ROUNDUP(SUM(PROD!L$5:L636,-PROD!AM$5:AM636,-PROD!AZ$5:AZ636)/N$1*N$2,0),0)-SUM(M$4:M634)</f>
        <v>0</v>
      </c>
      <c r="N635" s="1316">
        <f t="shared" si="98"/>
        <v>0</v>
      </c>
      <c r="O635" s="1317">
        <f t="shared" si="109"/>
        <v>0</v>
      </c>
      <c r="P635" s="1318"/>
      <c r="Q635" s="1319"/>
      <c r="R635" s="1320">
        <f t="shared" si="110"/>
        <v>0</v>
      </c>
      <c r="S635" s="1316">
        <f t="shared" si="111"/>
        <v>0</v>
      </c>
      <c r="T635" s="712"/>
      <c r="U635" s="713"/>
      <c r="V635" s="714"/>
      <c r="W635" s="398">
        <f t="shared" si="118"/>
        <v>0</v>
      </c>
      <c r="X635" s="712"/>
      <c r="Y635" s="713"/>
      <c r="Z635" s="714"/>
      <c r="AA635" s="398">
        <f t="shared" si="113"/>
        <v>0</v>
      </c>
      <c r="AB635" s="712"/>
      <c r="AC635" s="713"/>
      <c r="AD635" s="714"/>
      <c r="AE635" s="398">
        <f t="shared" si="114"/>
        <v>0</v>
      </c>
      <c r="AF635" s="712"/>
      <c r="AG635" s="713"/>
      <c r="AH635" s="714"/>
      <c r="AI635" s="398">
        <f t="shared" si="115"/>
        <v>0</v>
      </c>
      <c r="AJ635" s="712"/>
      <c r="AK635" s="713"/>
      <c r="AL635" s="714"/>
      <c r="AM635" s="398">
        <f t="shared" si="116"/>
        <v>0</v>
      </c>
    </row>
    <row r="636" spans="1:39" ht="15.75" customHeight="1" x14ac:dyDescent="0.3">
      <c r="A636" s="2161"/>
      <c r="B636" s="1313" t="str">
        <f t="shared" si="112"/>
        <v/>
      </c>
      <c r="C636" s="1011">
        <f>IF($D$2="NO",0,ROUNDDOWN(SUM(PROD!$V$5:V637)/IF(Iniciar!$C$25="kilos",40,1),0)-SUM($C$4:$C635))</f>
        <v>0</v>
      </c>
      <c r="D636" s="702"/>
      <c r="E636" s="702"/>
      <c r="F636" s="300">
        <f t="shared" si="117"/>
        <v>-95000</v>
      </c>
      <c r="G636" s="694"/>
      <c r="H636" s="695"/>
      <c r="I636" s="1314"/>
      <c r="J636" s="1315">
        <f>IF(K$1&gt;0,ROUNDUP(SUM(PROD!AM$5:AM637)/K$1*K$2,0),0)-SUM(J$4:J635)</f>
        <v>0</v>
      </c>
      <c r="K636" s="1316">
        <f t="shared" si="97"/>
        <v>0</v>
      </c>
      <c r="L636" s="1314"/>
      <c r="M636" s="1315">
        <f>IF(N$1&gt;0,ROUNDUP(SUM(PROD!L$5:L637,-PROD!AM$5:AM637,-PROD!AZ$5:AZ637)/N$1*N$2,0),0)-SUM(M$4:M635)</f>
        <v>0</v>
      </c>
      <c r="N636" s="1316">
        <f t="shared" si="98"/>
        <v>0</v>
      </c>
      <c r="O636" s="1317">
        <f t="shared" si="109"/>
        <v>0</v>
      </c>
      <c r="P636" s="1318"/>
      <c r="Q636" s="1319"/>
      <c r="R636" s="1320">
        <f t="shared" si="110"/>
        <v>0</v>
      </c>
      <c r="S636" s="1316">
        <f t="shared" si="111"/>
        <v>0</v>
      </c>
      <c r="T636" s="712"/>
      <c r="U636" s="713"/>
      <c r="V636" s="714"/>
      <c r="W636" s="398">
        <f t="shared" si="118"/>
        <v>0</v>
      </c>
      <c r="X636" s="712"/>
      <c r="Y636" s="713"/>
      <c r="Z636" s="714"/>
      <c r="AA636" s="398">
        <f t="shared" si="113"/>
        <v>0</v>
      </c>
      <c r="AB636" s="712"/>
      <c r="AC636" s="713"/>
      <c r="AD636" s="714"/>
      <c r="AE636" s="398">
        <f t="shared" si="114"/>
        <v>0</v>
      </c>
      <c r="AF636" s="712"/>
      <c r="AG636" s="713"/>
      <c r="AH636" s="714"/>
      <c r="AI636" s="398">
        <f t="shared" si="115"/>
        <v>0</v>
      </c>
      <c r="AJ636" s="712"/>
      <c r="AK636" s="713"/>
      <c r="AL636" s="714"/>
      <c r="AM636" s="398">
        <f t="shared" si="116"/>
        <v>0</v>
      </c>
    </row>
    <row r="637" spans="1:39" ht="15.75" customHeight="1" x14ac:dyDescent="0.3">
      <c r="A637" s="2161"/>
      <c r="B637" s="1313" t="str">
        <f t="shared" si="112"/>
        <v/>
      </c>
      <c r="C637" s="1011">
        <f>IF($D$2="NO",0,ROUNDDOWN(SUM(PROD!$V$5:V638)/IF(Iniciar!$C$25="kilos",40,1),0)-SUM($C$4:$C636))</f>
        <v>0</v>
      </c>
      <c r="D637" s="702"/>
      <c r="E637" s="702"/>
      <c r="F637" s="300">
        <f t="shared" si="117"/>
        <v>-95000</v>
      </c>
      <c r="G637" s="694"/>
      <c r="H637" s="695"/>
      <c r="I637" s="1314"/>
      <c r="J637" s="1315">
        <f>IF(K$1&gt;0,ROUNDUP(SUM(PROD!AM$5:AM638)/K$1*K$2,0),0)-SUM(J$4:J636)</f>
        <v>0</v>
      </c>
      <c r="K637" s="1316">
        <f t="shared" si="97"/>
        <v>0</v>
      </c>
      <c r="L637" s="1314"/>
      <c r="M637" s="1315">
        <f>IF(N$1&gt;0,ROUNDUP(SUM(PROD!L$5:L638,-PROD!AM$5:AM638,-PROD!AZ$5:AZ638)/N$1*N$2,0),0)-SUM(M$4:M636)</f>
        <v>0</v>
      </c>
      <c r="N637" s="1316">
        <f t="shared" si="98"/>
        <v>0</v>
      </c>
      <c r="O637" s="1317">
        <f t="shared" si="109"/>
        <v>0</v>
      </c>
      <c r="P637" s="1318"/>
      <c r="Q637" s="1319"/>
      <c r="R637" s="1320">
        <f t="shared" si="110"/>
        <v>0</v>
      </c>
      <c r="S637" s="1316">
        <f t="shared" si="111"/>
        <v>0</v>
      </c>
      <c r="T637" s="712"/>
      <c r="U637" s="713"/>
      <c r="V637" s="714"/>
      <c r="W637" s="398">
        <f t="shared" si="118"/>
        <v>0</v>
      </c>
      <c r="X637" s="712"/>
      <c r="Y637" s="713"/>
      <c r="Z637" s="714"/>
      <c r="AA637" s="398">
        <f t="shared" si="113"/>
        <v>0</v>
      </c>
      <c r="AB637" s="712"/>
      <c r="AC637" s="713"/>
      <c r="AD637" s="714"/>
      <c r="AE637" s="398">
        <f t="shared" si="114"/>
        <v>0</v>
      </c>
      <c r="AF637" s="712"/>
      <c r="AG637" s="713"/>
      <c r="AH637" s="714"/>
      <c r="AI637" s="398">
        <f t="shared" si="115"/>
        <v>0</v>
      </c>
      <c r="AJ637" s="712"/>
      <c r="AK637" s="713"/>
      <c r="AL637" s="714"/>
      <c r="AM637" s="398">
        <f t="shared" si="116"/>
        <v>0</v>
      </c>
    </row>
    <row r="638" spans="1:39" ht="15.75" customHeight="1" x14ac:dyDescent="0.3">
      <c r="A638" s="2161"/>
      <c r="B638" s="1313" t="str">
        <f t="shared" si="112"/>
        <v/>
      </c>
      <c r="C638" s="1011">
        <f>IF($D$2="NO",0,ROUNDDOWN(SUM(PROD!$V$5:V639)/IF(Iniciar!$C$25="kilos",40,1),0)-SUM($C$4:$C637))</f>
        <v>0</v>
      </c>
      <c r="D638" s="702"/>
      <c r="E638" s="702"/>
      <c r="F638" s="300">
        <f t="shared" si="117"/>
        <v>-95000</v>
      </c>
      <c r="G638" s="694"/>
      <c r="H638" s="695"/>
      <c r="I638" s="1314"/>
      <c r="J638" s="1315">
        <f>IF(K$1&gt;0,ROUNDUP(SUM(PROD!AM$5:AM639)/K$1*K$2,0),0)-SUM(J$4:J637)</f>
        <v>0</v>
      </c>
      <c r="K638" s="1316">
        <f t="shared" si="97"/>
        <v>0</v>
      </c>
      <c r="L638" s="1314"/>
      <c r="M638" s="1315">
        <f>IF(N$1&gt;0,ROUNDUP(SUM(PROD!L$5:L639,-PROD!AM$5:AM639,-PROD!AZ$5:AZ639)/N$1*N$2,0),0)-SUM(M$4:M637)</f>
        <v>0</v>
      </c>
      <c r="N638" s="1316">
        <f t="shared" si="98"/>
        <v>0</v>
      </c>
      <c r="O638" s="1317">
        <f t="shared" si="109"/>
        <v>0</v>
      </c>
      <c r="P638" s="1318"/>
      <c r="Q638" s="1319"/>
      <c r="R638" s="1320">
        <f t="shared" si="110"/>
        <v>0</v>
      </c>
      <c r="S638" s="1316">
        <f t="shared" si="111"/>
        <v>0</v>
      </c>
      <c r="T638" s="712"/>
      <c r="U638" s="713"/>
      <c r="V638" s="714"/>
      <c r="W638" s="398">
        <f t="shared" si="118"/>
        <v>0</v>
      </c>
      <c r="X638" s="712"/>
      <c r="Y638" s="713"/>
      <c r="Z638" s="714"/>
      <c r="AA638" s="398">
        <f t="shared" si="113"/>
        <v>0</v>
      </c>
      <c r="AB638" s="712"/>
      <c r="AC638" s="713"/>
      <c r="AD638" s="714"/>
      <c r="AE638" s="398">
        <f t="shared" si="114"/>
        <v>0</v>
      </c>
      <c r="AF638" s="712"/>
      <c r="AG638" s="713"/>
      <c r="AH638" s="714"/>
      <c r="AI638" s="398">
        <f t="shared" si="115"/>
        <v>0</v>
      </c>
      <c r="AJ638" s="712"/>
      <c r="AK638" s="713"/>
      <c r="AL638" s="714"/>
      <c r="AM638" s="398">
        <f t="shared" si="116"/>
        <v>0</v>
      </c>
    </row>
    <row r="639" spans="1:39" ht="15.75" customHeight="1" x14ac:dyDescent="0.3">
      <c r="A639" s="2161"/>
      <c r="B639" s="1313" t="str">
        <f t="shared" si="112"/>
        <v/>
      </c>
      <c r="C639" s="1011">
        <f>IF($D$2="NO",0,ROUNDDOWN(SUM(PROD!$V$5:V640)/IF(Iniciar!$C$25="kilos",40,1),0)-SUM($C$4:$C638))</f>
        <v>0</v>
      </c>
      <c r="D639" s="702"/>
      <c r="E639" s="702"/>
      <c r="F639" s="300">
        <f t="shared" si="117"/>
        <v>-95000</v>
      </c>
      <c r="G639" s="694"/>
      <c r="H639" s="695"/>
      <c r="I639" s="1314"/>
      <c r="J639" s="1315">
        <f>IF(K$1&gt;0,ROUNDUP(SUM(PROD!AM$5:AM640)/K$1*K$2,0),0)-SUM(J$4:J638)</f>
        <v>0</v>
      </c>
      <c r="K639" s="1316">
        <f t="shared" si="97"/>
        <v>0</v>
      </c>
      <c r="L639" s="1314"/>
      <c r="M639" s="1315">
        <f>IF(N$1&gt;0,ROUNDUP(SUM(PROD!L$5:L640,-PROD!AM$5:AM640,-PROD!AZ$5:AZ640)/N$1*N$2,0),0)-SUM(M$4:M638)</f>
        <v>0</v>
      </c>
      <c r="N639" s="1316">
        <f t="shared" si="98"/>
        <v>0</v>
      </c>
      <c r="O639" s="1317">
        <f t="shared" si="109"/>
        <v>0</v>
      </c>
      <c r="P639" s="1318"/>
      <c r="Q639" s="1319"/>
      <c r="R639" s="1320">
        <f t="shared" si="110"/>
        <v>0</v>
      </c>
      <c r="S639" s="1316">
        <f t="shared" si="111"/>
        <v>0</v>
      </c>
      <c r="T639" s="712"/>
      <c r="U639" s="713"/>
      <c r="V639" s="714"/>
      <c r="W639" s="398">
        <f t="shared" si="118"/>
        <v>0</v>
      </c>
      <c r="X639" s="712"/>
      <c r="Y639" s="713"/>
      <c r="Z639" s="714"/>
      <c r="AA639" s="398">
        <f t="shared" si="113"/>
        <v>0</v>
      </c>
      <c r="AB639" s="712"/>
      <c r="AC639" s="713"/>
      <c r="AD639" s="714"/>
      <c r="AE639" s="398">
        <f t="shared" si="114"/>
        <v>0</v>
      </c>
      <c r="AF639" s="712"/>
      <c r="AG639" s="713"/>
      <c r="AH639" s="714"/>
      <c r="AI639" s="398">
        <f t="shared" si="115"/>
        <v>0</v>
      </c>
      <c r="AJ639" s="712"/>
      <c r="AK639" s="713"/>
      <c r="AL639" s="714"/>
      <c r="AM639" s="398">
        <f t="shared" si="116"/>
        <v>0</v>
      </c>
    </row>
    <row r="640" spans="1:39" ht="16.5" customHeight="1" x14ac:dyDescent="0.3">
      <c r="A640" s="2162"/>
      <c r="B640" s="1313" t="str">
        <f t="shared" si="112"/>
        <v/>
      </c>
      <c r="C640" s="1011">
        <f>IF($D$2="NO",0,ROUNDDOWN(SUM(PROD!$V$5:V641)/IF(Iniciar!$C$25="kilos",40,1),0)-SUM($C$4:$C639))</f>
        <v>0</v>
      </c>
      <c r="D640" s="702"/>
      <c r="E640" s="702"/>
      <c r="F640" s="300">
        <f t="shared" si="117"/>
        <v>-95000</v>
      </c>
      <c r="G640" s="694"/>
      <c r="H640" s="695"/>
      <c r="I640" s="1314"/>
      <c r="J640" s="1315">
        <f>IF(K$1&gt;0,ROUNDUP(SUM(PROD!AM$5:AM641)/K$1*K$2,0),0)-SUM(J$4:J639)</f>
        <v>0</v>
      </c>
      <c r="K640" s="1316">
        <f t="shared" si="97"/>
        <v>0</v>
      </c>
      <c r="L640" s="1314"/>
      <c r="M640" s="1315">
        <f>IF(N$1&gt;0,ROUNDUP(SUM(PROD!L$5:L641,-PROD!AM$5:AM641,-PROD!AZ$5:AZ641)/N$1*N$2,0),0)-SUM(M$4:M639)</f>
        <v>0</v>
      </c>
      <c r="N640" s="1316">
        <f t="shared" si="98"/>
        <v>0</v>
      </c>
      <c r="O640" s="1317">
        <f t="shared" si="109"/>
        <v>0</v>
      </c>
      <c r="P640" s="1318"/>
      <c r="Q640" s="1319"/>
      <c r="R640" s="1320">
        <f t="shared" si="110"/>
        <v>0</v>
      </c>
      <c r="S640" s="1316">
        <f t="shared" si="111"/>
        <v>0</v>
      </c>
      <c r="T640" s="712"/>
      <c r="U640" s="713"/>
      <c r="V640" s="714"/>
      <c r="W640" s="398">
        <f t="shared" si="118"/>
        <v>0</v>
      </c>
      <c r="X640" s="712"/>
      <c r="Y640" s="713"/>
      <c r="Z640" s="714"/>
      <c r="AA640" s="398">
        <f t="shared" si="113"/>
        <v>0</v>
      </c>
      <c r="AB640" s="712"/>
      <c r="AC640" s="713"/>
      <c r="AD640" s="714"/>
      <c r="AE640" s="398">
        <f t="shared" si="114"/>
        <v>0</v>
      </c>
      <c r="AF640" s="712"/>
      <c r="AG640" s="713"/>
      <c r="AH640" s="714"/>
      <c r="AI640" s="398">
        <f t="shared" si="115"/>
        <v>0</v>
      </c>
      <c r="AJ640" s="712"/>
      <c r="AK640" s="713"/>
      <c r="AL640" s="714"/>
      <c r="AM640" s="398">
        <f t="shared" si="116"/>
        <v>0</v>
      </c>
    </row>
    <row r="641" spans="1:39" ht="16.5" customHeight="1" x14ac:dyDescent="0.3">
      <c r="A641" s="2160">
        <f>A634+1</f>
        <v>109</v>
      </c>
      <c r="B641" s="1313" t="str">
        <f t="shared" si="112"/>
        <v/>
      </c>
      <c r="C641" s="1011">
        <f>IF($D$2="NO",0,ROUNDDOWN(SUM(PROD!$V$5:V642)/IF(Iniciar!$C$25="kilos",40,1),0)-SUM($C$4:$C640))</f>
        <v>0</v>
      </c>
      <c r="D641" s="702"/>
      <c r="E641" s="702"/>
      <c r="F641" s="300">
        <f t="shared" si="117"/>
        <v>-95000</v>
      </c>
      <c r="G641" s="694"/>
      <c r="H641" s="695"/>
      <c r="I641" s="1314"/>
      <c r="J641" s="1315">
        <f>IF(K$1&gt;0,ROUNDUP(SUM(PROD!AM$5:AM642)/K$1*K$2,0),0)-SUM(J$4:J640)</f>
        <v>0</v>
      </c>
      <c r="K641" s="1316">
        <f t="shared" si="97"/>
        <v>0</v>
      </c>
      <c r="L641" s="1314"/>
      <c r="M641" s="1315">
        <f>IF(N$1&gt;0,ROUNDUP(SUM(PROD!L$5:L642,-PROD!AM$5:AM642,-PROD!AZ$5:AZ642)/N$1*N$2,0),0)-SUM(M$4:M640)</f>
        <v>0</v>
      </c>
      <c r="N641" s="1316">
        <f t="shared" si="98"/>
        <v>0</v>
      </c>
      <c r="O641" s="1317">
        <f t="shared" si="109"/>
        <v>0</v>
      </c>
      <c r="P641" s="1318"/>
      <c r="Q641" s="1319"/>
      <c r="R641" s="1320">
        <f t="shared" si="110"/>
        <v>0</v>
      </c>
      <c r="S641" s="1316">
        <f t="shared" si="111"/>
        <v>0</v>
      </c>
      <c r="T641" s="712"/>
      <c r="U641" s="713"/>
      <c r="V641" s="714"/>
      <c r="W641" s="398">
        <f t="shared" si="118"/>
        <v>0</v>
      </c>
      <c r="X641" s="712"/>
      <c r="Y641" s="713"/>
      <c r="Z641" s="714"/>
      <c r="AA641" s="398">
        <f t="shared" si="113"/>
        <v>0</v>
      </c>
      <c r="AB641" s="712"/>
      <c r="AC641" s="713"/>
      <c r="AD641" s="714"/>
      <c r="AE641" s="398">
        <f t="shared" si="114"/>
        <v>0</v>
      </c>
      <c r="AF641" s="712"/>
      <c r="AG641" s="713"/>
      <c r="AH641" s="714"/>
      <c r="AI641" s="398">
        <f t="shared" si="115"/>
        <v>0</v>
      </c>
      <c r="AJ641" s="712"/>
      <c r="AK641" s="713"/>
      <c r="AL641" s="714"/>
      <c r="AM641" s="398">
        <f t="shared" si="116"/>
        <v>0</v>
      </c>
    </row>
    <row r="642" spans="1:39" ht="15.75" customHeight="1" x14ac:dyDescent="0.3">
      <c r="A642" s="2161"/>
      <c r="B642" s="1313" t="str">
        <f t="shared" si="112"/>
        <v/>
      </c>
      <c r="C642" s="1011">
        <f>IF($D$2="NO",0,ROUNDDOWN(SUM(PROD!$V$5:V643)/IF(Iniciar!$C$25="kilos",40,1),0)-SUM($C$4:$C641))</f>
        <v>0</v>
      </c>
      <c r="D642" s="702"/>
      <c r="E642" s="702"/>
      <c r="F642" s="300">
        <f t="shared" si="117"/>
        <v>-95000</v>
      </c>
      <c r="G642" s="694"/>
      <c r="H642" s="695"/>
      <c r="I642" s="1314"/>
      <c r="J642" s="1315">
        <f>IF(K$1&gt;0,ROUNDUP(SUM(PROD!AM$5:AM643)/K$1*K$2,0),0)-SUM(J$4:J641)</f>
        <v>0</v>
      </c>
      <c r="K642" s="1316">
        <f t="shared" si="97"/>
        <v>0</v>
      </c>
      <c r="L642" s="1314"/>
      <c r="M642" s="1315">
        <f>IF(N$1&gt;0,ROUNDUP(SUM(PROD!L$5:L643,-PROD!AM$5:AM643,-PROD!AZ$5:AZ643)/N$1*N$2,0),0)-SUM(M$4:M641)</f>
        <v>0</v>
      </c>
      <c r="N642" s="1316">
        <f t="shared" si="98"/>
        <v>0</v>
      </c>
      <c r="O642" s="1317">
        <f t="shared" si="109"/>
        <v>0</v>
      </c>
      <c r="P642" s="1318"/>
      <c r="Q642" s="1319"/>
      <c r="R642" s="1320">
        <f t="shared" si="110"/>
        <v>0</v>
      </c>
      <c r="S642" s="1316">
        <f t="shared" si="111"/>
        <v>0</v>
      </c>
      <c r="T642" s="712"/>
      <c r="U642" s="713"/>
      <c r="V642" s="714"/>
      <c r="W642" s="398">
        <f t="shared" si="118"/>
        <v>0</v>
      </c>
      <c r="X642" s="712"/>
      <c r="Y642" s="713"/>
      <c r="Z642" s="714"/>
      <c r="AA642" s="398">
        <f t="shared" si="113"/>
        <v>0</v>
      </c>
      <c r="AB642" s="712"/>
      <c r="AC642" s="713"/>
      <c r="AD642" s="714"/>
      <c r="AE642" s="398">
        <f t="shared" si="114"/>
        <v>0</v>
      </c>
      <c r="AF642" s="712"/>
      <c r="AG642" s="713"/>
      <c r="AH642" s="714"/>
      <c r="AI642" s="398">
        <f t="shared" si="115"/>
        <v>0</v>
      </c>
      <c r="AJ642" s="712"/>
      <c r="AK642" s="713"/>
      <c r="AL642" s="714"/>
      <c r="AM642" s="398">
        <f t="shared" si="116"/>
        <v>0</v>
      </c>
    </row>
    <row r="643" spans="1:39" ht="15.75" customHeight="1" x14ac:dyDescent="0.3">
      <c r="A643" s="2161"/>
      <c r="B643" s="1313" t="str">
        <f t="shared" si="112"/>
        <v/>
      </c>
      <c r="C643" s="1011">
        <f>IF($D$2="NO",0,ROUNDDOWN(SUM(PROD!$V$5:V644)/IF(Iniciar!$C$25="kilos",40,1),0)-SUM($C$4:$C642))</f>
        <v>0</v>
      </c>
      <c r="D643" s="702"/>
      <c r="E643" s="702"/>
      <c r="F643" s="300">
        <f t="shared" si="117"/>
        <v>-95000</v>
      </c>
      <c r="G643" s="694"/>
      <c r="H643" s="695"/>
      <c r="I643" s="1314"/>
      <c r="J643" s="1315">
        <f>IF(K$1&gt;0,ROUNDUP(SUM(PROD!AM$5:AM644)/K$1*K$2,0),0)-SUM(J$4:J642)</f>
        <v>0</v>
      </c>
      <c r="K643" s="1316">
        <f t="shared" si="97"/>
        <v>0</v>
      </c>
      <c r="L643" s="1314"/>
      <c r="M643" s="1315">
        <f>IF(N$1&gt;0,ROUNDUP(SUM(PROD!L$5:L644,-PROD!AM$5:AM644,-PROD!AZ$5:AZ644)/N$1*N$2,0),0)-SUM(M$4:M642)</f>
        <v>0</v>
      </c>
      <c r="N643" s="1316">
        <f t="shared" si="98"/>
        <v>0</v>
      </c>
      <c r="O643" s="1317">
        <f t="shared" si="109"/>
        <v>0</v>
      </c>
      <c r="P643" s="1318"/>
      <c r="Q643" s="1319"/>
      <c r="R643" s="1320">
        <f t="shared" si="110"/>
        <v>0</v>
      </c>
      <c r="S643" s="1316">
        <f t="shared" si="111"/>
        <v>0</v>
      </c>
      <c r="T643" s="712"/>
      <c r="U643" s="713"/>
      <c r="V643" s="714"/>
      <c r="W643" s="398">
        <f t="shared" si="118"/>
        <v>0</v>
      </c>
      <c r="X643" s="712"/>
      <c r="Y643" s="713"/>
      <c r="Z643" s="714"/>
      <c r="AA643" s="398">
        <f t="shared" si="113"/>
        <v>0</v>
      </c>
      <c r="AB643" s="712"/>
      <c r="AC643" s="713"/>
      <c r="AD643" s="714"/>
      <c r="AE643" s="398">
        <f t="shared" si="114"/>
        <v>0</v>
      </c>
      <c r="AF643" s="712"/>
      <c r="AG643" s="713"/>
      <c r="AH643" s="714"/>
      <c r="AI643" s="398">
        <f t="shared" si="115"/>
        <v>0</v>
      </c>
      <c r="AJ643" s="712"/>
      <c r="AK643" s="713"/>
      <c r="AL643" s="714"/>
      <c r="AM643" s="398">
        <f t="shared" si="116"/>
        <v>0</v>
      </c>
    </row>
    <row r="644" spans="1:39" ht="15.75" customHeight="1" x14ac:dyDescent="0.3">
      <c r="A644" s="2161"/>
      <c r="B644" s="1313" t="str">
        <f t="shared" si="112"/>
        <v/>
      </c>
      <c r="C644" s="1011">
        <f>IF($D$2="NO",0,ROUNDDOWN(SUM(PROD!$V$5:V645)/IF(Iniciar!$C$25="kilos",40,1),0)-SUM($C$4:$C643))</f>
        <v>0</v>
      </c>
      <c r="D644" s="702"/>
      <c r="E644" s="702"/>
      <c r="F644" s="300">
        <f t="shared" si="117"/>
        <v>-95000</v>
      </c>
      <c r="G644" s="694"/>
      <c r="H644" s="695"/>
      <c r="I644" s="1314"/>
      <c r="J644" s="1315">
        <f>IF(K$1&gt;0,ROUNDUP(SUM(PROD!AM$5:AM645)/K$1*K$2,0),0)-SUM(J$4:J643)</f>
        <v>0</v>
      </c>
      <c r="K644" s="1316">
        <f t="shared" si="97"/>
        <v>0</v>
      </c>
      <c r="L644" s="1314"/>
      <c r="M644" s="1315">
        <f>IF(N$1&gt;0,ROUNDUP(SUM(PROD!L$5:L645,-PROD!AM$5:AM645,-PROD!AZ$5:AZ645)/N$1*N$2,0),0)-SUM(M$4:M643)</f>
        <v>0</v>
      </c>
      <c r="N644" s="1316">
        <f t="shared" si="98"/>
        <v>0</v>
      </c>
      <c r="O644" s="1317">
        <f t="shared" ref="O644:O707" si="119">L644+I644</f>
        <v>0</v>
      </c>
      <c r="P644" s="1318"/>
      <c r="Q644" s="1319"/>
      <c r="R644" s="1320">
        <f t="shared" ref="R644:R707" si="120">M644+J644</f>
        <v>0</v>
      </c>
      <c r="S644" s="1316">
        <f t="shared" ref="S644:S707" si="121">N644+K644</f>
        <v>0</v>
      </c>
      <c r="T644" s="712"/>
      <c r="U644" s="713"/>
      <c r="V644" s="714"/>
      <c r="W644" s="398">
        <f t="shared" si="118"/>
        <v>0</v>
      </c>
      <c r="X644" s="712"/>
      <c r="Y644" s="713"/>
      <c r="Z644" s="714"/>
      <c r="AA644" s="398">
        <f t="shared" si="113"/>
        <v>0</v>
      </c>
      <c r="AB644" s="712"/>
      <c r="AC644" s="713"/>
      <c r="AD644" s="714"/>
      <c r="AE644" s="398">
        <f t="shared" si="114"/>
        <v>0</v>
      </c>
      <c r="AF644" s="712"/>
      <c r="AG644" s="713"/>
      <c r="AH644" s="714"/>
      <c r="AI644" s="398">
        <f t="shared" si="115"/>
        <v>0</v>
      </c>
      <c r="AJ644" s="712"/>
      <c r="AK644" s="713"/>
      <c r="AL644" s="714"/>
      <c r="AM644" s="398">
        <f t="shared" si="116"/>
        <v>0</v>
      </c>
    </row>
    <row r="645" spans="1:39" ht="15.75" customHeight="1" x14ac:dyDescent="0.3">
      <c r="A645" s="2161"/>
      <c r="B645" s="1313" t="str">
        <f t="shared" ref="B645:B708" si="122">IF(B644="","",B644+1)</f>
        <v/>
      </c>
      <c r="C645" s="1011">
        <f>IF($D$2="NO",0,ROUNDDOWN(SUM(PROD!$V$5:V646)/IF(Iniciar!$C$25="kilos",40,1),0)-SUM($C$4:$C644))</f>
        <v>0</v>
      </c>
      <c r="D645" s="702"/>
      <c r="E645" s="702"/>
      <c r="F645" s="300">
        <f t="shared" si="117"/>
        <v>-95000</v>
      </c>
      <c r="G645" s="694"/>
      <c r="H645" s="695"/>
      <c r="I645" s="1314"/>
      <c r="J645" s="1315">
        <f>IF(K$1&gt;0,ROUNDUP(SUM(PROD!AM$5:AM646)/K$1*K$2,0),0)-SUM(J$4:J644)</f>
        <v>0</v>
      </c>
      <c r="K645" s="1316">
        <f t="shared" si="97"/>
        <v>0</v>
      </c>
      <c r="L645" s="1314"/>
      <c r="M645" s="1315">
        <f>IF(N$1&gt;0,ROUNDUP(SUM(PROD!L$5:L646,-PROD!AM$5:AM646,-PROD!AZ$5:AZ646)/N$1*N$2,0),0)-SUM(M$4:M644)</f>
        <v>0</v>
      </c>
      <c r="N645" s="1316">
        <f t="shared" si="98"/>
        <v>0</v>
      </c>
      <c r="O645" s="1317">
        <f t="shared" si="119"/>
        <v>0</v>
      </c>
      <c r="P645" s="1318"/>
      <c r="Q645" s="1319"/>
      <c r="R645" s="1320">
        <f t="shared" si="120"/>
        <v>0</v>
      </c>
      <c r="S645" s="1316">
        <f t="shared" si="121"/>
        <v>0</v>
      </c>
      <c r="T645" s="712"/>
      <c r="U645" s="713"/>
      <c r="V645" s="714"/>
      <c r="W645" s="398">
        <f t="shared" si="118"/>
        <v>0</v>
      </c>
      <c r="X645" s="712"/>
      <c r="Y645" s="713"/>
      <c r="Z645" s="714"/>
      <c r="AA645" s="398">
        <f t="shared" ref="AA645:AA708" si="123">AA644+Y645-Z645</f>
        <v>0</v>
      </c>
      <c r="AB645" s="712"/>
      <c r="AC645" s="713"/>
      <c r="AD645" s="714"/>
      <c r="AE645" s="398">
        <f t="shared" ref="AE645:AE708" si="124">AE644+AC645-AD645</f>
        <v>0</v>
      </c>
      <c r="AF645" s="712"/>
      <c r="AG645" s="713"/>
      <c r="AH645" s="714"/>
      <c r="AI645" s="398">
        <f t="shared" ref="AI645:AI708" si="125">AI644+AG645-AH645</f>
        <v>0</v>
      </c>
      <c r="AJ645" s="712"/>
      <c r="AK645" s="713"/>
      <c r="AL645" s="714"/>
      <c r="AM645" s="398">
        <f t="shared" ref="AM645:AM708" si="126">AM644+AK645-AL645</f>
        <v>0</v>
      </c>
    </row>
    <row r="646" spans="1:39" ht="15.75" customHeight="1" x14ac:dyDescent="0.3">
      <c r="A646" s="2161"/>
      <c r="B646" s="1313" t="str">
        <f t="shared" si="122"/>
        <v/>
      </c>
      <c r="C646" s="1011">
        <f>IF($D$2="NO",0,ROUNDDOWN(SUM(PROD!$V$5:V647)/IF(Iniciar!$C$25="kilos",40,1),0)-SUM($C$4:$C645))</f>
        <v>0</v>
      </c>
      <c r="D646" s="702"/>
      <c r="E646" s="702"/>
      <c r="F646" s="300">
        <f t="shared" si="117"/>
        <v>-95000</v>
      </c>
      <c r="G646" s="694"/>
      <c r="H646" s="695"/>
      <c r="I646" s="1314"/>
      <c r="J646" s="1315">
        <f>IF(K$1&gt;0,ROUNDUP(SUM(PROD!AM$5:AM647)/K$1*K$2,0),0)-SUM(J$4:J645)</f>
        <v>0</v>
      </c>
      <c r="K646" s="1316">
        <f t="shared" si="97"/>
        <v>0</v>
      </c>
      <c r="L646" s="1314"/>
      <c r="M646" s="1315">
        <f>IF(N$1&gt;0,ROUNDUP(SUM(PROD!L$5:L647,-PROD!AM$5:AM647,-PROD!AZ$5:AZ647)/N$1*N$2,0),0)-SUM(M$4:M645)</f>
        <v>0</v>
      </c>
      <c r="N646" s="1316">
        <f t="shared" si="98"/>
        <v>0</v>
      </c>
      <c r="O646" s="1317">
        <f t="shared" si="119"/>
        <v>0</v>
      </c>
      <c r="P646" s="1318"/>
      <c r="Q646" s="1319"/>
      <c r="R646" s="1320">
        <f t="shared" si="120"/>
        <v>0</v>
      </c>
      <c r="S646" s="1316">
        <f t="shared" si="121"/>
        <v>0</v>
      </c>
      <c r="T646" s="712"/>
      <c r="U646" s="713"/>
      <c r="V646" s="714"/>
      <c r="W646" s="398">
        <f t="shared" si="118"/>
        <v>0</v>
      </c>
      <c r="X646" s="712"/>
      <c r="Y646" s="713"/>
      <c r="Z646" s="714"/>
      <c r="AA646" s="398">
        <f t="shared" si="123"/>
        <v>0</v>
      </c>
      <c r="AB646" s="712"/>
      <c r="AC646" s="713"/>
      <c r="AD646" s="714"/>
      <c r="AE646" s="398">
        <f t="shared" si="124"/>
        <v>0</v>
      </c>
      <c r="AF646" s="712"/>
      <c r="AG646" s="713"/>
      <c r="AH646" s="714"/>
      <c r="AI646" s="398">
        <f t="shared" si="125"/>
        <v>0</v>
      </c>
      <c r="AJ646" s="712"/>
      <c r="AK646" s="713"/>
      <c r="AL646" s="714"/>
      <c r="AM646" s="398">
        <f t="shared" si="126"/>
        <v>0</v>
      </c>
    </row>
    <row r="647" spans="1:39" ht="16.5" customHeight="1" x14ac:dyDescent="0.3">
      <c r="A647" s="2162"/>
      <c r="B647" s="1313" t="str">
        <f t="shared" si="122"/>
        <v/>
      </c>
      <c r="C647" s="1011">
        <f>IF($D$2="NO",0,ROUNDDOWN(SUM(PROD!$V$5:V648)/IF(Iniciar!$C$25="kilos",40,1),0)-SUM($C$4:$C646))</f>
        <v>0</v>
      </c>
      <c r="D647" s="702"/>
      <c r="E647" s="702"/>
      <c r="F647" s="300">
        <f t="shared" si="117"/>
        <v>-95000</v>
      </c>
      <c r="G647" s="694"/>
      <c r="H647" s="695"/>
      <c r="I647" s="1314"/>
      <c r="J647" s="1315">
        <f>IF(K$1&gt;0,ROUNDUP(SUM(PROD!AM$5:AM648)/K$1*K$2,0),0)-SUM(J$4:J646)</f>
        <v>0</v>
      </c>
      <c r="K647" s="1316">
        <f t="shared" si="97"/>
        <v>0</v>
      </c>
      <c r="L647" s="1314"/>
      <c r="M647" s="1315">
        <f>IF(N$1&gt;0,ROUNDUP(SUM(PROD!L$5:L648,-PROD!AM$5:AM648,-PROD!AZ$5:AZ648)/N$1*N$2,0),0)-SUM(M$4:M646)</f>
        <v>0</v>
      </c>
      <c r="N647" s="1316">
        <f t="shared" si="98"/>
        <v>0</v>
      </c>
      <c r="O647" s="1317">
        <f t="shared" si="119"/>
        <v>0</v>
      </c>
      <c r="P647" s="1318"/>
      <c r="Q647" s="1319"/>
      <c r="R647" s="1320">
        <f t="shared" si="120"/>
        <v>0</v>
      </c>
      <c r="S647" s="1316">
        <f t="shared" si="121"/>
        <v>0</v>
      </c>
      <c r="T647" s="712"/>
      <c r="U647" s="713"/>
      <c r="V647" s="714"/>
      <c r="W647" s="398">
        <f t="shared" si="118"/>
        <v>0</v>
      </c>
      <c r="X647" s="712"/>
      <c r="Y647" s="713"/>
      <c r="Z647" s="714"/>
      <c r="AA647" s="398">
        <f t="shared" si="123"/>
        <v>0</v>
      </c>
      <c r="AB647" s="712"/>
      <c r="AC647" s="713"/>
      <c r="AD647" s="714"/>
      <c r="AE647" s="398">
        <f t="shared" si="124"/>
        <v>0</v>
      </c>
      <c r="AF647" s="712"/>
      <c r="AG647" s="713"/>
      <c r="AH647" s="714"/>
      <c r="AI647" s="398">
        <f t="shared" si="125"/>
        <v>0</v>
      </c>
      <c r="AJ647" s="712"/>
      <c r="AK647" s="713"/>
      <c r="AL647" s="714"/>
      <c r="AM647" s="398">
        <f t="shared" si="126"/>
        <v>0</v>
      </c>
    </row>
    <row r="648" spans="1:39" ht="16.5" customHeight="1" x14ac:dyDescent="0.3">
      <c r="A648" s="2160">
        <f>A641+1</f>
        <v>110</v>
      </c>
      <c r="B648" s="1313" t="str">
        <f t="shared" si="122"/>
        <v/>
      </c>
      <c r="C648" s="1011">
        <f>IF($D$2="NO",0,ROUNDDOWN(SUM(PROD!$V$5:V649)/IF(Iniciar!$C$25="kilos",40,1),0)-SUM($C$4:$C647))</f>
        <v>0</v>
      </c>
      <c r="D648" s="702"/>
      <c r="E648" s="702"/>
      <c r="F648" s="300">
        <f t="shared" si="117"/>
        <v>-95000</v>
      </c>
      <c r="G648" s="694"/>
      <c r="H648" s="695"/>
      <c r="I648" s="1314"/>
      <c r="J648" s="1315">
        <f>IF(K$1&gt;0,ROUNDUP(SUM(PROD!AM$5:AM649)/K$1*K$2,0),0)-SUM(J$4:J647)</f>
        <v>0</v>
      </c>
      <c r="K648" s="1316">
        <f t="shared" si="97"/>
        <v>0</v>
      </c>
      <c r="L648" s="1314"/>
      <c r="M648" s="1315">
        <f>IF(N$1&gt;0,ROUNDUP(SUM(PROD!L$5:L649,-PROD!AM$5:AM649,-PROD!AZ$5:AZ649)/N$1*N$2,0),0)-SUM(M$4:M647)</f>
        <v>0</v>
      </c>
      <c r="N648" s="1316">
        <f t="shared" si="98"/>
        <v>0</v>
      </c>
      <c r="O648" s="1317">
        <f t="shared" si="119"/>
        <v>0</v>
      </c>
      <c r="P648" s="1318"/>
      <c r="Q648" s="1319"/>
      <c r="R648" s="1320">
        <f t="shared" si="120"/>
        <v>0</v>
      </c>
      <c r="S648" s="1316">
        <f t="shared" si="121"/>
        <v>0</v>
      </c>
      <c r="T648" s="712"/>
      <c r="U648" s="713"/>
      <c r="V648" s="714"/>
      <c r="W648" s="398">
        <f t="shared" si="118"/>
        <v>0</v>
      </c>
      <c r="X648" s="712"/>
      <c r="Y648" s="713"/>
      <c r="Z648" s="714"/>
      <c r="AA648" s="398">
        <f t="shared" si="123"/>
        <v>0</v>
      </c>
      <c r="AB648" s="712"/>
      <c r="AC648" s="713"/>
      <c r="AD648" s="714"/>
      <c r="AE648" s="398">
        <f t="shared" si="124"/>
        <v>0</v>
      </c>
      <c r="AF648" s="712"/>
      <c r="AG648" s="713"/>
      <c r="AH648" s="714"/>
      <c r="AI648" s="398">
        <f t="shared" si="125"/>
        <v>0</v>
      </c>
      <c r="AJ648" s="712"/>
      <c r="AK648" s="713"/>
      <c r="AL648" s="714"/>
      <c r="AM648" s="398">
        <f t="shared" si="126"/>
        <v>0</v>
      </c>
    </row>
    <row r="649" spans="1:39" ht="15.75" customHeight="1" x14ac:dyDescent="0.3">
      <c r="A649" s="2161"/>
      <c r="B649" s="1313" t="str">
        <f t="shared" si="122"/>
        <v/>
      </c>
      <c r="C649" s="1011">
        <f>IF($D$2="NO",0,ROUNDDOWN(SUM(PROD!$V$5:V650)/IF(Iniciar!$C$25="kilos",40,1),0)-SUM($C$4:$C648))</f>
        <v>0</v>
      </c>
      <c r="D649" s="702"/>
      <c r="E649" s="702"/>
      <c r="F649" s="300">
        <f t="shared" si="117"/>
        <v>-95000</v>
      </c>
      <c r="G649" s="694"/>
      <c r="H649" s="695"/>
      <c r="I649" s="1314"/>
      <c r="J649" s="1315">
        <f>IF(K$1&gt;0,ROUNDUP(SUM(PROD!AM$5:AM650)/K$1*K$2,0),0)-SUM(J$4:J648)</f>
        <v>0</v>
      </c>
      <c r="K649" s="1316">
        <f t="shared" si="97"/>
        <v>0</v>
      </c>
      <c r="L649" s="1314"/>
      <c r="M649" s="1315">
        <f>IF(N$1&gt;0,ROUNDUP(SUM(PROD!L$5:L650,-PROD!AM$5:AM650,-PROD!AZ$5:AZ650)/N$1*N$2,0),0)-SUM(M$4:M648)</f>
        <v>0</v>
      </c>
      <c r="N649" s="1316">
        <f t="shared" si="98"/>
        <v>0</v>
      </c>
      <c r="O649" s="1317">
        <f t="shared" si="119"/>
        <v>0</v>
      </c>
      <c r="P649" s="1318"/>
      <c r="Q649" s="1319"/>
      <c r="R649" s="1320">
        <f t="shared" si="120"/>
        <v>0</v>
      </c>
      <c r="S649" s="1316">
        <f t="shared" si="121"/>
        <v>0</v>
      </c>
      <c r="T649" s="712"/>
      <c r="U649" s="713"/>
      <c r="V649" s="714"/>
      <c r="W649" s="398">
        <f t="shared" si="118"/>
        <v>0</v>
      </c>
      <c r="X649" s="712"/>
      <c r="Y649" s="713"/>
      <c r="Z649" s="714"/>
      <c r="AA649" s="398">
        <f t="shared" si="123"/>
        <v>0</v>
      </c>
      <c r="AB649" s="712"/>
      <c r="AC649" s="713"/>
      <c r="AD649" s="714"/>
      <c r="AE649" s="398">
        <f t="shared" si="124"/>
        <v>0</v>
      </c>
      <c r="AF649" s="712"/>
      <c r="AG649" s="713"/>
      <c r="AH649" s="714"/>
      <c r="AI649" s="398">
        <f t="shared" si="125"/>
        <v>0</v>
      </c>
      <c r="AJ649" s="712"/>
      <c r="AK649" s="713"/>
      <c r="AL649" s="714"/>
      <c r="AM649" s="398">
        <f t="shared" si="126"/>
        <v>0</v>
      </c>
    </row>
    <row r="650" spans="1:39" ht="15.75" customHeight="1" x14ac:dyDescent="0.3">
      <c r="A650" s="2161"/>
      <c r="B650" s="1313" t="str">
        <f t="shared" si="122"/>
        <v/>
      </c>
      <c r="C650" s="1011">
        <f>IF($D$2="NO",0,ROUNDDOWN(SUM(PROD!$V$5:V651)/IF(Iniciar!$C$25="kilos",40,1),0)-SUM($C$4:$C649))</f>
        <v>0</v>
      </c>
      <c r="D650" s="702"/>
      <c r="E650" s="702"/>
      <c r="F650" s="300">
        <f t="shared" si="117"/>
        <v>-95000</v>
      </c>
      <c r="G650" s="694"/>
      <c r="H650" s="695"/>
      <c r="I650" s="1314"/>
      <c r="J650" s="1315">
        <f>IF(K$1&gt;0,ROUNDUP(SUM(PROD!AM$5:AM651)/K$1*K$2,0),0)-SUM(J$4:J649)</f>
        <v>0</v>
      </c>
      <c r="K650" s="1316">
        <f t="shared" si="97"/>
        <v>0</v>
      </c>
      <c r="L650" s="1314"/>
      <c r="M650" s="1315">
        <f>IF(N$1&gt;0,ROUNDUP(SUM(PROD!L$5:L651,-PROD!AM$5:AM651,-PROD!AZ$5:AZ651)/N$1*N$2,0),0)-SUM(M$4:M649)</f>
        <v>0</v>
      </c>
      <c r="N650" s="1316">
        <f t="shared" si="98"/>
        <v>0</v>
      </c>
      <c r="O650" s="1317">
        <f t="shared" si="119"/>
        <v>0</v>
      </c>
      <c r="P650" s="1318"/>
      <c r="Q650" s="1319"/>
      <c r="R650" s="1320">
        <f t="shared" si="120"/>
        <v>0</v>
      </c>
      <c r="S650" s="1316">
        <f t="shared" si="121"/>
        <v>0</v>
      </c>
      <c r="T650" s="712"/>
      <c r="U650" s="713"/>
      <c r="V650" s="714"/>
      <c r="W650" s="398">
        <f t="shared" si="118"/>
        <v>0</v>
      </c>
      <c r="X650" s="712"/>
      <c r="Y650" s="713"/>
      <c r="Z650" s="714"/>
      <c r="AA650" s="398">
        <f t="shared" si="123"/>
        <v>0</v>
      </c>
      <c r="AB650" s="712"/>
      <c r="AC650" s="713"/>
      <c r="AD650" s="714"/>
      <c r="AE650" s="398">
        <f t="shared" si="124"/>
        <v>0</v>
      </c>
      <c r="AF650" s="712"/>
      <c r="AG650" s="713"/>
      <c r="AH650" s="714"/>
      <c r="AI650" s="398">
        <f t="shared" si="125"/>
        <v>0</v>
      </c>
      <c r="AJ650" s="712"/>
      <c r="AK650" s="713"/>
      <c r="AL650" s="714"/>
      <c r="AM650" s="398">
        <f t="shared" si="126"/>
        <v>0</v>
      </c>
    </row>
    <row r="651" spans="1:39" ht="15.75" customHeight="1" x14ac:dyDescent="0.3">
      <c r="A651" s="2161"/>
      <c r="B651" s="1313" t="str">
        <f t="shared" si="122"/>
        <v/>
      </c>
      <c r="C651" s="1011">
        <f>IF($D$2="NO",0,ROUNDDOWN(SUM(PROD!$V$5:V652)/IF(Iniciar!$C$25="kilos",40,1),0)-SUM($C$4:$C650))</f>
        <v>0</v>
      </c>
      <c r="D651" s="702"/>
      <c r="E651" s="702"/>
      <c r="F651" s="300">
        <f t="shared" ref="F651:F714" si="127">F650+C651+D651-E651</f>
        <v>-95000</v>
      </c>
      <c r="G651" s="694"/>
      <c r="H651" s="695"/>
      <c r="I651" s="1314"/>
      <c r="J651" s="1315">
        <f>IF(K$1&gt;0,ROUNDUP(SUM(PROD!AM$5:AM652)/K$1*K$2,0),0)-SUM(J$4:J650)</f>
        <v>0</v>
      </c>
      <c r="K651" s="1316">
        <f t="shared" si="97"/>
        <v>0</v>
      </c>
      <c r="L651" s="1314"/>
      <c r="M651" s="1315">
        <f>IF(N$1&gt;0,ROUNDUP(SUM(PROD!L$5:L652,-PROD!AM$5:AM652,-PROD!AZ$5:AZ652)/N$1*N$2,0),0)-SUM(M$4:M650)</f>
        <v>0</v>
      </c>
      <c r="N651" s="1316">
        <f t="shared" si="98"/>
        <v>0</v>
      </c>
      <c r="O651" s="1317">
        <f t="shared" si="119"/>
        <v>0</v>
      </c>
      <c r="P651" s="1318"/>
      <c r="Q651" s="1319"/>
      <c r="R651" s="1320">
        <f t="shared" si="120"/>
        <v>0</v>
      </c>
      <c r="S651" s="1316">
        <f t="shared" si="121"/>
        <v>0</v>
      </c>
      <c r="T651" s="712"/>
      <c r="U651" s="713"/>
      <c r="V651" s="714"/>
      <c r="W651" s="398">
        <f t="shared" si="118"/>
        <v>0</v>
      </c>
      <c r="X651" s="712"/>
      <c r="Y651" s="713"/>
      <c r="Z651" s="714"/>
      <c r="AA651" s="398">
        <f t="shared" si="123"/>
        <v>0</v>
      </c>
      <c r="AB651" s="712"/>
      <c r="AC651" s="713"/>
      <c r="AD651" s="714"/>
      <c r="AE651" s="398">
        <f t="shared" si="124"/>
        <v>0</v>
      </c>
      <c r="AF651" s="712"/>
      <c r="AG651" s="713"/>
      <c r="AH651" s="714"/>
      <c r="AI651" s="398">
        <f t="shared" si="125"/>
        <v>0</v>
      </c>
      <c r="AJ651" s="712"/>
      <c r="AK651" s="713"/>
      <c r="AL651" s="714"/>
      <c r="AM651" s="398">
        <f t="shared" si="126"/>
        <v>0</v>
      </c>
    </row>
    <row r="652" spans="1:39" ht="15.75" customHeight="1" x14ac:dyDescent="0.3">
      <c r="A652" s="2161"/>
      <c r="B652" s="1313" t="str">
        <f t="shared" si="122"/>
        <v/>
      </c>
      <c r="C652" s="1011">
        <f>IF($D$2="NO",0,ROUNDDOWN(SUM(PROD!$V$5:V653)/IF(Iniciar!$C$25="kilos",40,1),0)-SUM($C$4:$C651))</f>
        <v>0</v>
      </c>
      <c r="D652" s="702"/>
      <c r="E652" s="702"/>
      <c r="F652" s="300">
        <f t="shared" si="127"/>
        <v>-95000</v>
      </c>
      <c r="G652" s="694"/>
      <c r="H652" s="695"/>
      <c r="I652" s="1314"/>
      <c r="J652" s="1315">
        <f>IF(K$1&gt;0,ROUNDUP(SUM(PROD!AM$5:AM653)/K$1*K$2,0),0)-SUM(J$4:J651)</f>
        <v>0</v>
      </c>
      <c r="K652" s="1316">
        <f t="shared" si="97"/>
        <v>0</v>
      </c>
      <c r="L652" s="1314"/>
      <c r="M652" s="1315">
        <f>IF(N$1&gt;0,ROUNDUP(SUM(PROD!L$5:L653,-PROD!AM$5:AM653,-PROD!AZ$5:AZ653)/N$1*N$2,0),0)-SUM(M$4:M651)</f>
        <v>0</v>
      </c>
      <c r="N652" s="1316">
        <f t="shared" si="98"/>
        <v>0</v>
      </c>
      <c r="O652" s="1317">
        <f t="shared" si="119"/>
        <v>0</v>
      </c>
      <c r="P652" s="1318"/>
      <c r="Q652" s="1319"/>
      <c r="R652" s="1320">
        <f t="shared" si="120"/>
        <v>0</v>
      </c>
      <c r="S652" s="1316">
        <f t="shared" si="121"/>
        <v>0</v>
      </c>
      <c r="T652" s="712"/>
      <c r="U652" s="713"/>
      <c r="V652" s="714"/>
      <c r="W652" s="398">
        <f t="shared" si="118"/>
        <v>0</v>
      </c>
      <c r="X652" s="712"/>
      <c r="Y652" s="713"/>
      <c r="Z652" s="714"/>
      <c r="AA652" s="398">
        <f t="shared" si="123"/>
        <v>0</v>
      </c>
      <c r="AB652" s="712"/>
      <c r="AC652" s="713"/>
      <c r="AD652" s="714"/>
      <c r="AE652" s="398">
        <f t="shared" si="124"/>
        <v>0</v>
      </c>
      <c r="AF652" s="712"/>
      <c r="AG652" s="713"/>
      <c r="AH652" s="714"/>
      <c r="AI652" s="398">
        <f t="shared" si="125"/>
        <v>0</v>
      </c>
      <c r="AJ652" s="712"/>
      <c r="AK652" s="713"/>
      <c r="AL652" s="714"/>
      <c r="AM652" s="398">
        <f t="shared" si="126"/>
        <v>0</v>
      </c>
    </row>
    <row r="653" spans="1:39" ht="15.75" customHeight="1" x14ac:dyDescent="0.3">
      <c r="A653" s="2161"/>
      <c r="B653" s="1313" t="str">
        <f t="shared" si="122"/>
        <v/>
      </c>
      <c r="C653" s="1011">
        <f>IF($D$2="NO",0,ROUNDDOWN(SUM(PROD!$V$5:V654)/IF(Iniciar!$C$25="kilos",40,1),0)-SUM($C$4:$C652))</f>
        <v>0</v>
      </c>
      <c r="D653" s="702"/>
      <c r="E653" s="702"/>
      <c r="F653" s="300">
        <f t="shared" si="127"/>
        <v>-95000</v>
      </c>
      <c r="G653" s="694"/>
      <c r="H653" s="695"/>
      <c r="I653" s="1314"/>
      <c r="J653" s="1315">
        <f>IF(K$1&gt;0,ROUNDUP(SUM(PROD!AM$5:AM654)/K$1*K$2,0),0)-SUM(J$4:J652)</f>
        <v>0</v>
      </c>
      <c r="K653" s="1316">
        <f t="shared" si="97"/>
        <v>0</v>
      </c>
      <c r="L653" s="1314"/>
      <c r="M653" s="1315">
        <f>IF(N$1&gt;0,ROUNDUP(SUM(PROD!L$5:L654,-PROD!AM$5:AM654,-PROD!AZ$5:AZ654)/N$1*N$2,0),0)-SUM(M$4:M652)</f>
        <v>0</v>
      </c>
      <c r="N653" s="1316">
        <f t="shared" si="98"/>
        <v>0</v>
      </c>
      <c r="O653" s="1317">
        <f t="shared" si="119"/>
        <v>0</v>
      </c>
      <c r="P653" s="1318"/>
      <c r="Q653" s="1319"/>
      <c r="R653" s="1320">
        <f t="shared" si="120"/>
        <v>0</v>
      </c>
      <c r="S653" s="1316">
        <f t="shared" si="121"/>
        <v>0</v>
      </c>
      <c r="T653" s="712"/>
      <c r="U653" s="713"/>
      <c r="V653" s="714"/>
      <c r="W653" s="398">
        <f t="shared" si="118"/>
        <v>0</v>
      </c>
      <c r="X653" s="712"/>
      <c r="Y653" s="713"/>
      <c r="Z653" s="714"/>
      <c r="AA653" s="398">
        <f t="shared" si="123"/>
        <v>0</v>
      </c>
      <c r="AB653" s="712"/>
      <c r="AC653" s="713"/>
      <c r="AD653" s="714"/>
      <c r="AE653" s="398">
        <f t="shared" si="124"/>
        <v>0</v>
      </c>
      <c r="AF653" s="712"/>
      <c r="AG653" s="713"/>
      <c r="AH653" s="714"/>
      <c r="AI653" s="398">
        <f t="shared" si="125"/>
        <v>0</v>
      </c>
      <c r="AJ653" s="712"/>
      <c r="AK653" s="713"/>
      <c r="AL653" s="714"/>
      <c r="AM653" s="398">
        <f t="shared" si="126"/>
        <v>0</v>
      </c>
    </row>
    <row r="654" spans="1:39" ht="16.5" customHeight="1" x14ac:dyDescent="0.3">
      <c r="A654" s="2162"/>
      <c r="B654" s="1313" t="str">
        <f t="shared" si="122"/>
        <v/>
      </c>
      <c r="C654" s="1011">
        <f>IF($D$2="NO",0,ROUNDDOWN(SUM(PROD!$V$5:V655)/IF(Iniciar!$C$25="kilos",40,1),0)-SUM($C$4:$C653))</f>
        <v>0</v>
      </c>
      <c r="D654" s="702"/>
      <c r="E654" s="702"/>
      <c r="F654" s="300">
        <f t="shared" si="127"/>
        <v>-95000</v>
      </c>
      <c r="G654" s="694"/>
      <c r="H654" s="695"/>
      <c r="I654" s="1314"/>
      <c r="J654" s="1315">
        <f>IF(K$1&gt;0,ROUNDUP(SUM(PROD!AM$5:AM655)/K$1*K$2,0),0)-SUM(J$4:J653)</f>
        <v>0</v>
      </c>
      <c r="K654" s="1316">
        <f t="shared" si="97"/>
        <v>0</v>
      </c>
      <c r="L654" s="1314"/>
      <c r="M654" s="1315">
        <f>IF(N$1&gt;0,ROUNDUP(SUM(PROD!L$5:L655,-PROD!AM$5:AM655,-PROD!AZ$5:AZ655)/N$1*N$2,0),0)-SUM(M$4:M653)</f>
        <v>0</v>
      </c>
      <c r="N654" s="1316">
        <f t="shared" si="98"/>
        <v>0</v>
      </c>
      <c r="O654" s="1317">
        <f t="shared" si="119"/>
        <v>0</v>
      </c>
      <c r="P654" s="1318"/>
      <c r="Q654" s="1319"/>
      <c r="R654" s="1320">
        <f t="shared" si="120"/>
        <v>0</v>
      </c>
      <c r="S654" s="1316">
        <f t="shared" si="121"/>
        <v>0</v>
      </c>
      <c r="T654" s="712"/>
      <c r="U654" s="713"/>
      <c r="V654" s="714"/>
      <c r="W654" s="398">
        <f t="shared" si="118"/>
        <v>0</v>
      </c>
      <c r="X654" s="712"/>
      <c r="Y654" s="713"/>
      <c r="Z654" s="714"/>
      <c r="AA654" s="398">
        <f t="shared" si="123"/>
        <v>0</v>
      </c>
      <c r="AB654" s="712"/>
      <c r="AC654" s="713"/>
      <c r="AD654" s="714"/>
      <c r="AE654" s="398">
        <f t="shared" si="124"/>
        <v>0</v>
      </c>
      <c r="AF654" s="712"/>
      <c r="AG654" s="713"/>
      <c r="AH654" s="714"/>
      <c r="AI654" s="398">
        <f t="shared" si="125"/>
        <v>0</v>
      </c>
      <c r="AJ654" s="712"/>
      <c r="AK654" s="713"/>
      <c r="AL654" s="714"/>
      <c r="AM654" s="398">
        <f t="shared" si="126"/>
        <v>0</v>
      </c>
    </row>
    <row r="655" spans="1:39" ht="16.5" customHeight="1" x14ac:dyDescent="0.3">
      <c r="A655" s="2160">
        <f>A648+1</f>
        <v>111</v>
      </c>
      <c r="B655" s="1313" t="str">
        <f t="shared" si="122"/>
        <v/>
      </c>
      <c r="C655" s="1011">
        <f>IF($D$2="NO",0,ROUNDDOWN(SUM(PROD!$V$5:V656)/IF(Iniciar!$C$25="kilos",40,1),0)-SUM($C$4:$C654))</f>
        <v>0</v>
      </c>
      <c r="D655" s="702"/>
      <c r="E655" s="702"/>
      <c r="F655" s="300">
        <f t="shared" si="127"/>
        <v>-95000</v>
      </c>
      <c r="G655" s="694"/>
      <c r="H655" s="695"/>
      <c r="I655" s="1314"/>
      <c r="J655" s="1315">
        <f>IF(K$1&gt;0,ROUNDUP(SUM(PROD!AM$5:AM656)/K$1*K$2,0),0)-SUM(J$4:J654)</f>
        <v>0</v>
      </c>
      <c r="K655" s="1316">
        <f t="shared" si="97"/>
        <v>0</v>
      </c>
      <c r="L655" s="1314"/>
      <c r="M655" s="1315">
        <f>IF(N$1&gt;0,ROUNDUP(SUM(PROD!L$5:L656,-PROD!AM$5:AM656,-PROD!AZ$5:AZ656)/N$1*N$2,0),0)-SUM(M$4:M654)</f>
        <v>0</v>
      </c>
      <c r="N655" s="1316">
        <f t="shared" si="98"/>
        <v>0</v>
      </c>
      <c r="O655" s="1317">
        <f t="shared" si="119"/>
        <v>0</v>
      </c>
      <c r="P655" s="1318"/>
      <c r="Q655" s="1319"/>
      <c r="R655" s="1320">
        <f t="shared" si="120"/>
        <v>0</v>
      </c>
      <c r="S655" s="1316">
        <f t="shared" si="121"/>
        <v>0</v>
      </c>
      <c r="T655" s="712"/>
      <c r="U655" s="713"/>
      <c r="V655" s="714"/>
      <c r="W655" s="398">
        <f t="shared" si="118"/>
        <v>0</v>
      </c>
      <c r="X655" s="712"/>
      <c r="Y655" s="713"/>
      <c r="Z655" s="714"/>
      <c r="AA655" s="398">
        <f t="shared" si="123"/>
        <v>0</v>
      </c>
      <c r="AB655" s="712"/>
      <c r="AC655" s="713"/>
      <c r="AD655" s="714"/>
      <c r="AE655" s="398">
        <f t="shared" si="124"/>
        <v>0</v>
      </c>
      <c r="AF655" s="712"/>
      <c r="AG655" s="713"/>
      <c r="AH655" s="714"/>
      <c r="AI655" s="398">
        <f t="shared" si="125"/>
        <v>0</v>
      </c>
      <c r="AJ655" s="712"/>
      <c r="AK655" s="713"/>
      <c r="AL655" s="714"/>
      <c r="AM655" s="398">
        <f t="shared" si="126"/>
        <v>0</v>
      </c>
    </row>
    <row r="656" spans="1:39" ht="15.75" customHeight="1" x14ac:dyDescent="0.3">
      <c r="A656" s="2161"/>
      <c r="B656" s="1313" t="str">
        <f t="shared" si="122"/>
        <v/>
      </c>
      <c r="C656" s="1011">
        <f>IF($D$2="NO",0,ROUNDDOWN(SUM(PROD!$V$5:V657)/IF(Iniciar!$C$25="kilos",40,1),0)-SUM($C$4:$C655))</f>
        <v>0</v>
      </c>
      <c r="D656" s="702"/>
      <c r="E656" s="702"/>
      <c r="F656" s="300">
        <f t="shared" si="127"/>
        <v>-95000</v>
      </c>
      <c r="G656" s="694"/>
      <c r="H656" s="695"/>
      <c r="I656" s="1314"/>
      <c r="J656" s="1315">
        <f>IF(K$1&gt;0,ROUNDUP(SUM(PROD!AM$5:AM657)/K$1*K$2,0),0)-SUM(J$4:J655)</f>
        <v>0</v>
      </c>
      <c r="K656" s="1316">
        <f t="shared" si="97"/>
        <v>0</v>
      </c>
      <c r="L656" s="1314"/>
      <c r="M656" s="1315">
        <f>IF(N$1&gt;0,ROUNDUP(SUM(PROD!L$5:L657,-PROD!AM$5:AM657,-PROD!AZ$5:AZ657)/N$1*N$2,0),0)-SUM(M$4:M655)</f>
        <v>0</v>
      </c>
      <c r="N656" s="1316">
        <f t="shared" si="98"/>
        <v>0</v>
      </c>
      <c r="O656" s="1317">
        <f t="shared" si="119"/>
        <v>0</v>
      </c>
      <c r="P656" s="1318"/>
      <c r="Q656" s="1319"/>
      <c r="R656" s="1320">
        <f t="shared" si="120"/>
        <v>0</v>
      </c>
      <c r="S656" s="1316">
        <f t="shared" si="121"/>
        <v>0</v>
      </c>
      <c r="T656" s="712"/>
      <c r="U656" s="713"/>
      <c r="V656" s="714"/>
      <c r="W656" s="398">
        <f t="shared" si="118"/>
        <v>0</v>
      </c>
      <c r="X656" s="712"/>
      <c r="Y656" s="713"/>
      <c r="Z656" s="714"/>
      <c r="AA656" s="398">
        <f t="shared" si="123"/>
        <v>0</v>
      </c>
      <c r="AB656" s="712"/>
      <c r="AC656" s="713"/>
      <c r="AD656" s="714"/>
      <c r="AE656" s="398">
        <f t="shared" si="124"/>
        <v>0</v>
      </c>
      <c r="AF656" s="712"/>
      <c r="AG656" s="713"/>
      <c r="AH656" s="714"/>
      <c r="AI656" s="398">
        <f t="shared" si="125"/>
        <v>0</v>
      </c>
      <c r="AJ656" s="712"/>
      <c r="AK656" s="713"/>
      <c r="AL656" s="714"/>
      <c r="AM656" s="398">
        <f t="shared" si="126"/>
        <v>0</v>
      </c>
    </row>
    <row r="657" spans="1:39" ht="15.75" customHeight="1" x14ac:dyDescent="0.3">
      <c r="A657" s="2161"/>
      <c r="B657" s="1313" t="str">
        <f t="shared" si="122"/>
        <v/>
      </c>
      <c r="C657" s="1011">
        <f>IF($D$2="NO",0,ROUNDDOWN(SUM(PROD!$V$5:V658)/IF(Iniciar!$C$25="kilos",40,1),0)-SUM($C$4:$C656))</f>
        <v>0</v>
      </c>
      <c r="D657" s="702"/>
      <c r="E657" s="702"/>
      <c r="F657" s="300">
        <f t="shared" si="127"/>
        <v>-95000</v>
      </c>
      <c r="G657" s="694"/>
      <c r="H657" s="695"/>
      <c r="I657" s="1314"/>
      <c r="J657" s="1315">
        <f>IF(K$1&gt;0,ROUNDUP(SUM(PROD!AM$5:AM658)/K$1*K$2,0),0)-SUM(J$4:J656)</f>
        <v>0</v>
      </c>
      <c r="K657" s="1316">
        <f t="shared" si="97"/>
        <v>0</v>
      </c>
      <c r="L657" s="1314"/>
      <c r="M657" s="1315">
        <f>IF(N$1&gt;0,ROUNDUP(SUM(PROD!L$5:L658,-PROD!AM$5:AM658,-PROD!AZ$5:AZ658)/N$1*N$2,0),0)-SUM(M$4:M656)</f>
        <v>0</v>
      </c>
      <c r="N657" s="1316">
        <f t="shared" si="98"/>
        <v>0</v>
      </c>
      <c r="O657" s="1317">
        <f t="shared" si="119"/>
        <v>0</v>
      </c>
      <c r="P657" s="1318"/>
      <c r="Q657" s="1319"/>
      <c r="R657" s="1320">
        <f t="shared" si="120"/>
        <v>0</v>
      </c>
      <c r="S657" s="1316">
        <f t="shared" si="121"/>
        <v>0</v>
      </c>
      <c r="T657" s="712"/>
      <c r="U657" s="713"/>
      <c r="V657" s="714"/>
      <c r="W657" s="398">
        <f t="shared" si="118"/>
        <v>0</v>
      </c>
      <c r="X657" s="712"/>
      <c r="Y657" s="713"/>
      <c r="Z657" s="714"/>
      <c r="AA657" s="398">
        <f t="shared" si="123"/>
        <v>0</v>
      </c>
      <c r="AB657" s="712"/>
      <c r="AC657" s="713"/>
      <c r="AD657" s="714"/>
      <c r="AE657" s="398">
        <f t="shared" si="124"/>
        <v>0</v>
      </c>
      <c r="AF657" s="712"/>
      <c r="AG657" s="713"/>
      <c r="AH657" s="714"/>
      <c r="AI657" s="398">
        <f t="shared" si="125"/>
        <v>0</v>
      </c>
      <c r="AJ657" s="712"/>
      <c r="AK657" s="713"/>
      <c r="AL657" s="714"/>
      <c r="AM657" s="398">
        <f t="shared" si="126"/>
        <v>0</v>
      </c>
    </row>
    <row r="658" spans="1:39" ht="15.75" customHeight="1" x14ac:dyDescent="0.3">
      <c r="A658" s="2161"/>
      <c r="B658" s="1313" t="str">
        <f t="shared" si="122"/>
        <v/>
      </c>
      <c r="C658" s="1011">
        <f>IF($D$2="NO",0,ROUNDDOWN(SUM(PROD!$V$5:V659)/IF(Iniciar!$C$25="kilos",40,1),0)-SUM($C$4:$C657))</f>
        <v>0</v>
      </c>
      <c r="D658" s="702"/>
      <c r="E658" s="702"/>
      <c r="F658" s="300">
        <f t="shared" si="127"/>
        <v>-95000</v>
      </c>
      <c r="G658" s="694"/>
      <c r="H658" s="695"/>
      <c r="I658" s="1314"/>
      <c r="J658" s="1315">
        <f>IF(K$1&gt;0,ROUNDUP(SUM(PROD!AM$5:AM659)/K$1*K$2,0),0)-SUM(J$4:J657)</f>
        <v>0</v>
      </c>
      <c r="K658" s="1316">
        <f t="shared" si="97"/>
        <v>0</v>
      </c>
      <c r="L658" s="1314"/>
      <c r="M658" s="1315">
        <f>IF(N$1&gt;0,ROUNDUP(SUM(PROD!L$5:L659,-PROD!AM$5:AM659,-PROD!AZ$5:AZ659)/N$1*N$2,0),0)-SUM(M$4:M657)</f>
        <v>0</v>
      </c>
      <c r="N658" s="1316">
        <f t="shared" si="98"/>
        <v>0</v>
      </c>
      <c r="O658" s="1317">
        <f t="shared" si="119"/>
        <v>0</v>
      </c>
      <c r="P658" s="1318"/>
      <c r="Q658" s="1319"/>
      <c r="R658" s="1320">
        <f t="shared" si="120"/>
        <v>0</v>
      </c>
      <c r="S658" s="1316">
        <f t="shared" si="121"/>
        <v>0</v>
      </c>
      <c r="T658" s="712"/>
      <c r="U658" s="713"/>
      <c r="V658" s="714"/>
      <c r="W658" s="398">
        <f t="shared" ref="W658:W721" si="128">W657+U658-V658</f>
        <v>0</v>
      </c>
      <c r="X658" s="712"/>
      <c r="Y658" s="713"/>
      <c r="Z658" s="714"/>
      <c r="AA658" s="398">
        <f t="shared" si="123"/>
        <v>0</v>
      </c>
      <c r="AB658" s="712"/>
      <c r="AC658" s="713"/>
      <c r="AD658" s="714"/>
      <c r="AE658" s="398">
        <f t="shared" si="124"/>
        <v>0</v>
      </c>
      <c r="AF658" s="712"/>
      <c r="AG658" s="713"/>
      <c r="AH658" s="714"/>
      <c r="AI658" s="398">
        <f t="shared" si="125"/>
        <v>0</v>
      </c>
      <c r="AJ658" s="712"/>
      <c r="AK658" s="713"/>
      <c r="AL658" s="714"/>
      <c r="AM658" s="398">
        <f t="shared" si="126"/>
        <v>0</v>
      </c>
    </row>
    <row r="659" spans="1:39" ht="15.75" customHeight="1" x14ac:dyDescent="0.3">
      <c r="A659" s="2161"/>
      <c r="B659" s="1313" t="str">
        <f t="shared" si="122"/>
        <v/>
      </c>
      <c r="C659" s="1011">
        <f>IF($D$2="NO",0,ROUNDDOWN(SUM(PROD!$V$5:V660)/IF(Iniciar!$C$25="kilos",40,1),0)-SUM($C$4:$C658))</f>
        <v>0</v>
      </c>
      <c r="D659" s="702"/>
      <c r="E659" s="702"/>
      <c r="F659" s="300">
        <f t="shared" si="127"/>
        <v>-95000</v>
      </c>
      <c r="G659" s="694"/>
      <c r="H659" s="695"/>
      <c r="I659" s="1314"/>
      <c r="J659" s="1315">
        <f>IF(K$1&gt;0,ROUNDUP(SUM(PROD!AM$5:AM660)/K$1*K$2,0),0)-SUM(J$4:J658)</f>
        <v>0</v>
      </c>
      <c r="K659" s="1316">
        <f t="shared" si="97"/>
        <v>0</v>
      </c>
      <c r="L659" s="1314"/>
      <c r="M659" s="1315">
        <f>IF(N$1&gt;0,ROUNDUP(SUM(PROD!L$5:L660,-PROD!AM$5:AM660,-PROD!AZ$5:AZ660)/N$1*N$2,0),0)-SUM(M$4:M658)</f>
        <v>0</v>
      </c>
      <c r="N659" s="1316">
        <f t="shared" si="98"/>
        <v>0</v>
      </c>
      <c r="O659" s="1317">
        <f t="shared" si="119"/>
        <v>0</v>
      </c>
      <c r="P659" s="1318"/>
      <c r="Q659" s="1319"/>
      <c r="R659" s="1320">
        <f t="shared" si="120"/>
        <v>0</v>
      </c>
      <c r="S659" s="1316">
        <f t="shared" si="121"/>
        <v>0</v>
      </c>
      <c r="T659" s="712"/>
      <c r="U659" s="713"/>
      <c r="V659" s="714"/>
      <c r="W659" s="398">
        <f t="shared" si="128"/>
        <v>0</v>
      </c>
      <c r="X659" s="712"/>
      <c r="Y659" s="713"/>
      <c r="Z659" s="714"/>
      <c r="AA659" s="398">
        <f t="shared" si="123"/>
        <v>0</v>
      </c>
      <c r="AB659" s="712"/>
      <c r="AC659" s="713"/>
      <c r="AD659" s="714"/>
      <c r="AE659" s="398">
        <f t="shared" si="124"/>
        <v>0</v>
      </c>
      <c r="AF659" s="712"/>
      <c r="AG659" s="713"/>
      <c r="AH659" s="714"/>
      <c r="AI659" s="398">
        <f t="shared" si="125"/>
        <v>0</v>
      </c>
      <c r="AJ659" s="712"/>
      <c r="AK659" s="713"/>
      <c r="AL659" s="714"/>
      <c r="AM659" s="398">
        <f t="shared" si="126"/>
        <v>0</v>
      </c>
    </row>
    <row r="660" spans="1:39" ht="15.75" customHeight="1" x14ac:dyDescent="0.3">
      <c r="A660" s="2161"/>
      <c r="B660" s="1313" t="str">
        <f t="shared" si="122"/>
        <v/>
      </c>
      <c r="C660" s="1011">
        <f>IF($D$2="NO",0,ROUNDDOWN(SUM(PROD!$V$5:V661)/IF(Iniciar!$C$25="kilos",40,1),0)-SUM($C$4:$C659))</f>
        <v>0</v>
      </c>
      <c r="D660" s="702"/>
      <c r="E660" s="702"/>
      <c r="F660" s="300">
        <f t="shared" si="127"/>
        <v>-95000</v>
      </c>
      <c r="G660" s="694"/>
      <c r="H660" s="695"/>
      <c r="I660" s="1314"/>
      <c r="J660" s="1315">
        <f>IF(K$1&gt;0,ROUNDUP(SUM(PROD!AM$5:AM661)/K$1*K$2,0),0)-SUM(J$4:J659)</f>
        <v>0</v>
      </c>
      <c r="K660" s="1316">
        <f t="shared" si="97"/>
        <v>0</v>
      </c>
      <c r="L660" s="1314"/>
      <c r="M660" s="1315">
        <f>IF(N$1&gt;0,ROUNDUP(SUM(PROD!L$5:L661,-PROD!AM$5:AM661,-PROD!AZ$5:AZ661)/N$1*N$2,0),0)-SUM(M$4:M659)</f>
        <v>0</v>
      </c>
      <c r="N660" s="1316">
        <f t="shared" si="98"/>
        <v>0</v>
      </c>
      <c r="O660" s="1317">
        <f t="shared" si="119"/>
        <v>0</v>
      </c>
      <c r="P660" s="1318"/>
      <c r="Q660" s="1319"/>
      <c r="R660" s="1320">
        <f t="shared" si="120"/>
        <v>0</v>
      </c>
      <c r="S660" s="1316">
        <f t="shared" si="121"/>
        <v>0</v>
      </c>
      <c r="T660" s="712"/>
      <c r="U660" s="713"/>
      <c r="V660" s="714"/>
      <c r="W660" s="398">
        <f t="shared" si="128"/>
        <v>0</v>
      </c>
      <c r="X660" s="712"/>
      <c r="Y660" s="713"/>
      <c r="Z660" s="714"/>
      <c r="AA660" s="398">
        <f t="shared" si="123"/>
        <v>0</v>
      </c>
      <c r="AB660" s="712"/>
      <c r="AC660" s="713"/>
      <c r="AD660" s="714"/>
      <c r="AE660" s="398">
        <f t="shared" si="124"/>
        <v>0</v>
      </c>
      <c r="AF660" s="712"/>
      <c r="AG660" s="713"/>
      <c r="AH660" s="714"/>
      <c r="AI660" s="398">
        <f t="shared" si="125"/>
        <v>0</v>
      </c>
      <c r="AJ660" s="712"/>
      <c r="AK660" s="713"/>
      <c r="AL660" s="714"/>
      <c r="AM660" s="398">
        <f t="shared" si="126"/>
        <v>0</v>
      </c>
    </row>
    <row r="661" spans="1:39" ht="16.5" customHeight="1" x14ac:dyDescent="0.3">
      <c r="A661" s="2162"/>
      <c r="B661" s="1313" t="str">
        <f t="shared" si="122"/>
        <v/>
      </c>
      <c r="C661" s="1011">
        <f>IF($D$2="NO",0,ROUNDDOWN(SUM(PROD!$V$5:V662)/IF(Iniciar!$C$25="kilos",40,1),0)-SUM($C$4:$C660))</f>
        <v>0</v>
      </c>
      <c r="D661" s="702"/>
      <c r="E661" s="702"/>
      <c r="F661" s="300">
        <f t="shared" si="127"/>
        <v>-95000</v>
      </c>
      <c r="G661" s="694"/>
      <c r="H661" s="695"/>
      <c r="I661" s="1314"/>
      <c r="J661" s="1315">
        <f>IF(K$1&gt;0,ROUNDUP(SUM(PROD!AM$5:AM662)/K$1*K$2,0),0)-SUM(J$4:J660)</f>
        <v>0</v>
      </c>
      <c r="K661" s="1316">
        <f t="shared" si="97"/>
        <v>0</v>
      </c>
      <c r="L661" s="1314"/>
      <c r="M661" s="1315">
        <f>IF(N$1&gt;0,ROUNDUP(SUM(PROD!L$5:L662,-PROD!AM$5:AM662,-PROD!AZ$5:AZ662)/N$1*N$2,0),0)-SUM(M$4:M660)</f>
        <v>0</v>
      </c>
      <c r="N661" s="1316">
        <f t="shared" si="98"/>
        <v>0</v>
      </c>
      <c r="O661" s="1317">
        <f t="shared" si="119"/>
        <v>0</v>
      </c>
      <c r="P661" s="1318"/>
      <c r="Q661" s="1319"/>
      <c r="R661" s="1320">
        <f t="shared" si="120"/>
        <v>0</v>
      </c>
      <c r="S661" s="1316">
        <f t="shared" si="121"/>
        <v>0</v>
      </c>
      <c r="T661" s="712"/>
      <c r="U661" s="713"/>
      <c r="V661" s="714"/>
      <c r="W661" s="398">
        <f t="shared" si="128"/>
        <v>0</v>
      </c>
      <c r="X661" s="712"/>
      <c r="Y661" s="713"/>
      <c r="Z661" s="714"/>
      <c r="AA661" s="398">
        <f t="shared" si="123"/>
        <v>0</v>
      </c>
      <c r="AB661" s="712"/>
      <c r="AC661" s="713"/>
      <c r="AD661" s="714"/>
      <c r="AE661" s="398">
        <f t="shared" si="124"/>
        <v>0</v>
      </c>
      <c r="AF661" s="712"/>
      <c r="AG661" s="713"/>
      <c r="AH661" s="714"/>
      <c r="AI661" s="398">
        <f t="shared" si="125"/>
        <v>0</v>
      </c>
      <c r="AJ661" s="712"/>
      <c r="AK661" s="713"/>
      <c r="AL661" s="714"/>
      <c r="AM661" s="398">
        <f t="shared" si="126"/>
        <v>0</v>
      </c>
    </row>
    <row r="662" spans="1:39" ht="16.5" customHeight="1" x14ac:dyDescent="0.3">
      <c r="A662" s="2160">
        <f>A655+1</f>
        <v>112</v>
      </c>
      <c r="B662" s="1313" t="str">
        <f t="shared" si="122"/>
        <v/>
      </c>
      <c r="C662" s="1011">
        <f>IF($D$2="NO",0,ROUNDDOWN(SUM(PROD!$V$5:V663)/IF(Iniciar!$C$25="kilos",40,1),0)-SUM($C$4:$C661))</f>
        <v>0</v>
      </c>
      <c r="D662" s="702"/>
      <c r="E662" s="702"/>
      <c r="F662" s="300">
        <f t="shared" si="127"/>
        <v>-95000</v>
      </c>
      <c r="G662" s="694"/>
      <c r="H662" s="695"/>
      <c r="I662" s="1314"/>
      <c r="J662" s="1315">
        <f>IF(K$1&gt;0,ROUNDUP(SUM(PROD!AM$5:AM663)/K$1*K$2,0),0)-SUM(J$4:J661)</f>
        <v>0</v>
      </c>
      <c r="K662" s="1316">
        <f t="shared" si="97"/>
        <v>0</v>
      </c>
      <c r="L662" s="1314"/>
      <c r="M662" s="1315">
        <f>IF(N$1&gt;0,ROUNDUP(SUM(PROD!L$5:L663,-PROD!AM$5:AM663,-PROD!AZ$5:AZ663)/N$1*N$2,0),0)-SUM(M$4:M661)</f>
        <v>0</v>
      </c>
      <c r="N662" s="1316">
        <f t="shared" si="98"/>
        <v>0</v>
      </c>
      <c r="O662" s="1317">
        <f t="shared" si="119"/>
        <v>0</v>
      </c>
      <c r="P662" s="1318"/>
      <c r="Q662" s="1319"/>
      <c r="R662" s="1320">
        <f t="shared" si="120"/>
        <v>0</v>
      </c>
      <c r="S662" s="1316">
        <f t="shared" si="121"/>
        <v>0</v>
      </c>
      <c r="T662" s="712"/>
      <c r="U662" s="713"/>
      <c r="V662" s="714"/>
      <c r="W662" s="398">
        <f t="shared" si="128"/>
        <v>0</v>
      </c>
      <c r="X662" s="712"/>
      <c r="Y662" s="713"/>
      <c r="Z662" s="714"/>
      <c r="AA662" s="398">
        <f t="shared" si="123"/>
        <v>0</v>
      </c>
      <c r="AB662" s="712"/>
      <c r="AC662" s="713"/>
      <c r="AD662" s="714"/>
      <c r="AE662" s="398">
        <f t="shared" si="124"/>
        <v>0</v>
      </c>
      <c r="AF662" s="712"/>
      <c r="AG662" s="713"/>
      <c r="AH662" s="714"/>
      <c r="AI662" s="398">
        <f t="shared" si="125"/>
        <v>0</v>
      </c>
      <c r="AJ662" s="712"/>
      <c r="AK662" s="713"/>
      <c r="AL662" s="714"/>
      <c r="AM662" s="398">
        <f t="shared" si="126"/>
        <v>0</v>
      </c>
    </row>
    <row r="663" spans="1:39" ht="15.75" customHeight="1" x14ac:dyDescent="0.3">
      <c r="A663" s="2161"/>
      <c r="B663" s="1313" t="str">
        <f t="shared" si="122"/>
        <v/>
      </c>
      <c r="C663" s="1011">
        <f>IF($D$2="NO",0,ROUNDDOWN(SUM(PROD!$V$5:V664)/IF(Iniciar!$C$25="kilos",40,1),0)-SUM($C$4:$C662))</f>
        <v>0</v>
      </c>
      <c r="D663" s="702"/>
      <c r="E663" s="702"/>
      <c r="F663" s="300">
        <f t="shared" si="127"/>
        <v>-95000</v>
      </c>
      <c r="G663" s="694"/>
      <c r="H663" s="695"/>
      <c r="I663" s="1314"/>
      <c r="J663" s="1315">
        <f>IF(K$1&gt;0,ROUNDUP(SUM(PROD!AM$5:AM664)/K$1*K$2,0),0)-SUM(J$4:J662)</f>
        <v>0</v>
      </c>
      <c r="K663" s="1316">
        <f t="shared" si="97"/>
        <v>0</v>
      </c>
      <c r="L663" s="1314"/>
      <c r="M663" s="1315">
        <f>IF(N$1&gt;0,ROUNDUP(SUM(PROD!L$5:L664,-PROD!AM$5:AM664,-PROD!AZ$5:AZ664)/N$1*N$2,0),0)-SUM(M$4:M662)</f>
        <v>0</v>
      </c>
      <c r="N663" s="1316">
        <f t="shared" si="98"/>
        <v>0</v>
      </c>
      <c r="O663" s="1317">
        <f t="shared" si="119"/>
        <v>0</v>
      </c>
      <c r="P663" s="1318"/>
      <c r="Q663" s="1319"/>
      <c r="R663" s="1320">
        <f t="shared" si="120"/>
        <v>0</v>
      </c>
      <c r="S663" s="1316">
        <f t="shared" si="121"/>
        <v>0</v>
      </c>
      <c r="T663" s="712"/>
      <c r="U663" s="713"/>
      <c r="V663" s="714"/>
      <c r="W663" s="398">
        <f t="shared" si="128"/>
        <v>0</v>
      </c>
      <c r="X663" s="712"/>
      <c r="Y663" s="713"/>
      <c r="Z663" s="714"/>
      <c r="AA663" s="398">
        <f t="shared" si="123"/>
        <v>0</v>
      </c>
      <c r="AB663" s="712"/>
      <c r="AC663" s="713"/>
      <c r="AD663" s="714"/>
      <c r="AE663" s="398">
        <f t="shared" si="124"/>
        <v>0</v>
      </c>
      <c r="AF663" s="712"/>
      <c r="AG663" s="713"/>
      <c r="AH663" s="714"/>
      <c r="AI663" s="398">
        <f t="shared" si="125"/>
        <v>0</v>
      </c>
      <c r="AJ663" s="712"/>
      <c r="AK663" s="713"/>
      <c r="AL663" s="714"/>
      <c r="AM663" s="398">
        <f t="shared" si="126"/>
        <v>0</v>
      </c>
    </row>
    <row r="664" spans="1:39" ht="15.75" customHeight="1" x14ac:dyDescent="0.3">
      <c r="A664" s="2161"/>
      <c r="B664" s="1313" t="str">
        <f t="shared" si="122"/>
        <v/>
      </c>
      <c r="C664" s="1011">
        <f>IF($D$2="NO",0,ROUNDDOWN(SUM(PROD!$V$5:V665)/IF(Iniciar!$C$25="kilos",40,1),0)-SUM($C$4:$C663))</f>
        <v>0</v>
      </c>
      <c r="D664" s="702"/>
      <c r="E664" s="702"/>
      <c r="F664" s="300">
        <f t="shared" si="127"/>
        <v>-95000</v>
      </c>
      <c r="G664" s="694"/>
      <c r="H664" s="695"/>
      <c r="I664" s="1314"/>
      <c r="J664" s="1315">
        <f>IF(K$1&gt;0,ROUNDUP(SUM(PROD!AM$5:AM665)/K$1*K$2,0),0)-SUM(J$4:J663)</f>
        <v>0</v>
      </c>
      <c r="K664" s="1316">
        <f t="shared" si="97"/>
        <v>0</v>
      </c>
      <c r="L664" s="1314"/>
      <c r="M664" s="1315">
        <f>IF(N$1&gt;0,ROUNDUP(SUM(PROD!L$5:L665,-PROD!AM$5:AM665,-PROD!AZ$5:AZ665)/N$1*N$2,0),0)-SUM(M$4:M663)</f>
        <v>0</v>
      </c>
      <c r="N664" s="1316">
        <f t="shared" si="98"/>
        <v>0</v>
      </c>
      <c r="O664" s="1317">
        <f t="shared" si="119"/>
        <v>0</v>
      </c>
      <c r="P664" s="1318"/>
      <c r="Q664" s="1319"/>
      <c r="R664" s="1320">
        <f t="shared" si="120"/>
        <v>0</v>
      </c>
      <c r="S664" s="1316">
        <f t="shared" si="121"/>
        <v>0</v>
      </c>
      <c r="T664" s="712"/>
      <c r="U664" s="713"/>
      <c r="V664" s="714"/>
      <c r="W664" s="398">
        <f t="shared" si="128"/>
        <v>0</v>
      </c>
      <c r="X664" s="712"/>
      <c r="Y664" s="713"/>
      <c r="Z664" s="714"/>
      <c r="AA664" s="398">
        <f t="shared" si="123"/>
        <v>0</v>
      </c>
      <c r="AB664" s="712"/>
      <c r="AC664" s="713"/>
      <c r="AD664" s="714"/>
      <c r="AE664" s="398">
        <f t="shared" si="124"/>
        <v>0</v>
      </c>
      <c r="AF664" s="712"/>
      <c r="AG664" s="713"/>
      <c r="AH664" s="714"/>
      <c r="AI664" s="398">
        <f t="shared" si="125"/>
        <v>0</v>
      </c>
      <c r="AJ664" s="712"/>
      <c r="AK664" s="713"/>
      <c r="AL664" s="714"/>
      <c r="AM664" s="398">
        <f t="shared" si="126"/>
        <v>0</v>
      </c>
    </row>
    <row r="665" spans="1:39" ht="15.75" customHeight="1" x14ac:dyDescent="0.3">
      <c r="A665" s="2161"/>
      <c r="B665" s="1313" t="str">
        <f t="shared" si="122"/>
        <v/>
      </c>
      <c r="C665" s="1011">
        <f>IF($D$2="NO",0,ROUNDDOWN(SUM(PROD!$V$5:V666)/IF(Iniciar!$C$25="kilos",40,1),0)-SUM($C$4:$C664))</f>
        <v>0</v>
      </c>
      <c r="D665" s="702"/>
      <c r="E665" s="702"/>
      <c r="F665" s="300">
        <f t="shared" si="127"/>
        <v>-95000</v>
      </c>
      <c r="G665" s="694"/>
      <c r="H665" s="695"/>
      <c r="I665" s="1314"/>
      <c r="J665" s="1315">
        <f>IF(K$1&gt;0,ROUNDUP(SUM(PROD!AM$5:AM666)/K$1*K$2,0),0)-SUM(J$4:J664)</f>
        <v>0</v>
      </c>
      <c r="K665" s="1316">
        <f t="shared" si="97"/>
        <v>0</v>
      </c>
      <c r="L665" s="1314"/>
      <c r="M665" s="1315">
        <f>IF(N$1&gt;0,ROUNDUP(SUM(PROD!L$5:L666,-PROD!AM$5:AM666,-PROD!AZ$5:AZ666)/N$1*N$2,0),0)-SUM(M$4:M664)</f>
        <v>0</v>
      </c>
      <c r="N665" s="1316">
        <f t="shared" si="98"/>
        <v>0</v>
      </c>
      <c r="O665" s="1317">
        <f t="shared" si="119"/>
        <v>0</v>
      </c>
      <c r="P665" s="1318"/>
      <c r="Q665" s="1319"/>
      <c r="R665" s="1320">
        <f t="shared" si="120"/>
        <v>0</v>
      </c>
      <c r="S665" s="1316">
        <f t="shared" si="121"/>
        <v>0</v>
      </c>
      <c r="T665" s="712"/>
      <c r="U665" s="713"/>
      <c r="V665" s="714"/>
      <c r="W665" s="398">
        <f t="shared" si="128"/>
        <v>0</v>
      </c>
      <c r="X665" s="712"/>
      <c r="Y665" s="713"/>
      <c r="Z665" s="714"/>
      <c r="AA665" s="398">
        <f t="shared" si="123"/>
        <v>0</v>
      </c>
      <c r="AB665" s="712"/>
      <c r="AC665" s="713"/>
      <c r="AD665" s="714"/>
      <c r="AE665" s="398">
        <f t="shared" si="124"/>
        <v>0</v>
      </c>
      <c r="AF665" s="712"/>
      <c r="AG665" s="713"/>
      <c r="AH665" s="714"/>
      <c r="AI665" s="398">
        <f t="shared" si="125"/>
        <v>0</v>
      </c>
      <c r="AJ665" s="712"/>
      <c r="AK665" s="713"/>
      <c r="AL665" s="714"/>
      <c r="AM665" s="398">
        <f t="shared" si="126"/>
        <v>0</v>
      </c>
    </row>
    <row r="666" spans="1:39" ht="15.75" customHeight="1" x14ac:dyDescent="0.3">
      <c r="A666" s="2161"/>
      <c r="B666" s="1313" t="str">
        <f t="shared" si="122"/>
        <v/>
      </c>
      <c r="C666" s="1011">
        <f>IF($D$2="NO",0,ROUNDDOWN(SUM(PROD!$V$5:V667)/IF(Iniciar!$C$25="kilos",40,1),0)-SUM($C$4:$C665))</f>
        <v>0</v>
      </c>
      <c r="D666" s="702"/>
      <c r="E666" s="702"/>
      <c r="F666" s="300">
        <f t="shared" si="127"/>
        <v>-95000</v>
      </c>
      <c r="G666" s="694"/>
      <c r="H666" s="695"/>
      <c r="I666" s="1314"/>
      <c r="J666" s="1315">
        <f>IF(K$1&gt;0,ROUNDUP(SUM(PROD!AM$5:AM667)/K$1*K$2,0),0)-SUM(J$4:J665)</f>
        <v>0</v>
      </c>
      <c r="K666" s="1316">
        <f t="shared" si="97"/>
        <v>0</v>
      </c>
      <c r="L666" s="1314"/>
      <c r="M666" s="1315">
        <f>IF(N$1&gt;0,ROUNDUP(SUM(PROD!L$5:L667,-PROD!AM$5:AM667,-PROD!AZ$5:AZ667)/N$1*N$2,0),0)-SUM(M$4:M665)</f>
        <v>0</v>
      </c>
      <c r="N666" s="1316">
        <f t="shared" si="98"/>
        <v>0</v>
      </c>
      <c r="O666" s="1317">
        <f t="shared" si="119"/>
        <v>0</v>
      </c>
      <c r="P666" s="1318"/>
      <c r="Q666" s="1319"/>
      <c r="R666" s="1320">
        <f t="shared" si="120"/>
        <v>0</v>
      </c>
      <c r="S666" s="1316">
        <f t="shared" si="121"/>
        <v>0</v>
      </c>
      <c r="T666" s="712"/>
      <c r="U666" s="713"/>
      <c r="V666" s="714"/>
      <c r="W666" s="398">
        <f t="shared" si="128"/>
        <v>0</v>
      </c>
      <c r="X666" s="712"/>
      <c r="Y666" s="713"/>
      <c r="Z666" s="714"/>
      <c r="AA666" s="398">
        <f t="shared" si="123"/>
        <v>0</v>
      </c>
      <c r="AB666" s="712"/>
      <c r="AC666" s="713"/>
      <c r="AD666" s="714"/>
      <c r="AE666" s="398">
        <f t="shared" si="124"/>
        <v>0</v>
      </c>
      <c r="AF666" s="712"/>
      <c r="AG666" s="713"/>
      <c r="AH666" s="714"/>
      <c r="AI666" s="398">
        <f t="shared" si="125"/>
        <v>0</v>
      </c>
      <c r="AJ666" s="712"/>
      <c r="AK666" s="713"/>
      <c r="AL666" s="714"/>
      <c r="AM666" s="398">
        <f t="shared" si="126"/>
        <v>0</v>
      </c>
    </row>
    <row r="667" spans="1:39" ht="15.75" customHeight="1" x14ac:dyDescent="0.3">
      <c r="A667" s="2161"/>
      <c r="B667" s="1313" t="str">
        <f t="shared" si="122"/>
        <v/>
      </c>
      <c r="C667" s="1011">
        <f>IF($D$2="NO",0,ROUNDDOWN(SUM(PROD!$V$5:V668)/IF(Iniciar!$C$25="kilos",40,1),0)-SUM($C$4:$C666))</f>
        <v>0</v>
      </c>
      <c r="D667" s="702"/>
      <c r="E667" s="702"/>
      <c r="F667" s="300">
        <f t="shared" si="127"/>
        <v>-95000</v>
      </c>
      <c r="G667" s="694"/>
      <c r="H667" s="695"/>
      <c r="I667" s="1314"/>
      <c r="J667" s="1315">
        <f>IF(K$1&gt;0,ROUNDUP(SUM(PROD!AM$5:AM668)/K$1*K$2,0),0)-SUM(J$4:J666)</f>
        <v>0</v>
      </c>
      <c r="K667" s="1316">
        <f t="shared" si="97"/>
        <v>0</v>
      </c>
      <c r="L667" s="1314"/>
      <c r="M667" s="1315">
        <f>IF(N$1&gt;0,ROUNDUP(SUM(PROD!L$5:L668,-PROD!AM$5:AM668,-PROD!AZ$5:AZ668)/N$1*N$2,0),0)-SUM(M$4:M666)</f>
        <v>0</v>
      </c>
      <c r="N667" s="1316">
        <f t="shared" si="98"/>
        <v>0</v>
      </c>
      <c r="O667" s="1317">
        <f t="shared" si="119"/>
        <v>0</v>
      </c>
      <c r="P667" s="1318"/>
      <c r="Q667" s="1319"/>
      <c r="R667" s="1320">
        <f t="shared" si="120"/>
        <v>0</v>
      </c>
      <c r="S667" s="1316">
        <f t="shared" si="121"/>
        <v>0</v>
      </c>
      <c r="T667" s="712"/>
      <c r="U667" s="713"/>
      <c r="V667" s="714"/>
      <c r="W667" s="398">
        <f t="shared" si="128"/>
        <v>0</v>
      </c>
      <c r="X667" s="712"/>
      <c r="Y667" s="713"/>
      <c r="Z667" s="714"/>
      <c r="AA667" s="398">
        <f t="shared" si="123"/>
        <v>0</v>
      </c>
      <c r="AB667" s="712"/>
      <c r="AC667" s="713"/>
      <c r="AD667" s="714"/>
      <c r="AE667" s="398">
        <f t="shared" si="124"/>
        <v>0</v>
      </c>
      <c r="AF667" s="712"/>
      <c r="AG667" s="713"/>
      <c r="AH667" s="714"/>
      <c r="AI667" s="398">
        <f t="shared" si="125"/>
        <v>0</v>
      </c>
      <c r="AJ667" s="712"/>
      <c r="AK667" s="713"/>
      <c r="AL667" s="714"/>
      <c r="AM667" s="398">
        <f t="shared" si="126"/>
        <v>0</v>
      </c>
    </row>
    <row r="668" spans="1:39" ht="16.5" customHeight="1" x14ac:dyDescent="0.3">
      <c r="A668" s="2162"/>
      <c r="B668" s="1313" t="str">
        <f t="shared" si="122"/>
        <v/>
      </c>
      <c r="C668" s="1011">
        <f>IF($D$2="NO",0,ROUNDDOWN(SUM(PROD!$V$5:V669)/IF(Iniciar!$C$25="kilos",40,1),0)-SUM($C$4:$C667))</f>
        <v>0</v>
      </c>
      <c r="D668" s="702"/>
      <c r="E668" s="702"/>
      <c r="F668" s="300">
        <f t="shared" si="127"/>
        <v>-95000</v>
      </c>
      <c r="G668" s="694"/>
      <c r="H668" s="695"/>
      <c r="I668" s="1314"/>
      <c r="J668" s="1315">
        <f>IF(K$1&gt;0,ROUNDUP(SUM(PROD!AM$5:AM669)/K$1*K$2,0),0)-SUM(J$4:J667)</f>
        <v>0</v>
      </c>
      <c r="K668" s="1316">
        <f t="shared" si="97"/>
        <v>0</v>
      </c>
      <c r="L668" s="1314"/>
      <c r="M668" s="1315">
        <f>IF(N$1&gt;0,ROUNDUP(SUM(PROD!L$5:L669,-PROD!AM$5:AM669,-PROD!AZ$5:AZ669)/N$1*N$2,0),0)-SUM(M$4:M667)</f>
        <v>0</v>
      </c>
      <c r="N668" s="1316">
        <f t="shared" si="98"/>
        <v>0</v>
      </c>
      <c r="O668" s="1317">
        <f t="shared" si="119"/>
        <v>0</v>
      </c>
      <c r="P668" s="1318"/>
      <c r="Q668" s="1319"/>
      <c r="R668" s="1320">
        <f t="shared" si="120"/>
        <v>0</v>
      </c>
      <c r="S668" s="1316">
        <f t="shared" si="121"/>
        <v>0</v>
      </c>
      <c r="T668" s="712"/>
      <c r="U668" s="713"/>
      <c r="V668" s="714"/>
      <c r="W668" s="398">
        <f t="shared" si="128"/>
        <v>0</v>
      </c>
      <c r="X668" s="712"/>
      <c r="Y668" s="713"/>
      <c r="Z668" s="714"/>
      <c r="AA668" s="398">
        <f t="shared" si="123"/>
        <v>0</v>
      </c>
      <c r="AB668" s="712"/>
      <c r="AC668" s="713"/>
      <c r="AD668" s="714"/>
      <c r="AE668" s="398">
        <f t="shared" si="124"/>
        <v>0</v>
      </c>
      <c r="AF668" s="712"/>
      <c r="AG668" s="713"/>
      <c r="AH668" s="714"/>
      <c r="AI668" s="398">
        <f t="shared" si="125"/>
        <v>0</v>
      </c>
      <c r="AJ668" s="712"/>
      <c r="AK668" s="713"/>
      <c r="AL668" s="714"/>
      <c r="AM668" s="398">
        <f t="shared" si="126"/>
        <v>0</v>
      </c>
    </row>
    <row r="669" spans="1:39" ht="16.5" customHeight="1" x14ac:dyDescent="0.3">
      <c r="A669" s="2160">
        <f>A662+1</f>
        <v>113</v>
      </c>
      <c r="B669" s="1313" t="str">
        <f t="shared" si="122"/>
        <v/>
      </c>
      <c r="C669" s="1011">
        <f>IF($D$2="NO",0,ROUNDDOWN(SUM(PROD!$V$5:V670)/IF(Iniciar!$C$25="kilos",40,1),0)-SUM($C$4:$C668))</f>
        <v>0</v>
      </c>
      <c r="D669" s="702"/>
      <c r="E669" s="702"/>
      <c r="F669" s="300">
        <f t="shared" si="127"/>
        <v>-95000</v>
      </c>
      <c r="G669" s="694"/>
      <c r="H669" s="695"/>
      <c r="I669" s="1314"/>
      <c r="J669" s="1315">
        <f>IF(K$1&gt;0,ROUNDUP(SUM(PROD!AM$5:AM670)/K$1*K$2,0),0)-SUM(J$4:J668)</f>
        <v>0</v>
      </c>
      <c r="K669" s="1316">
        <f t="shared" si="97"/>
        <v>0</v>
      </c>
      <c r="L669" s="1314"/>
      <c r="M669" s="1315">
        <f>IF(N$1&gt;0,ROUNDUP(SUM(PROD!L$5:L670,-PROD!AM$5:AM670,-PROD!AZ$5:AZ670)/N$1*N$2,0),0)-SUM(M$4:M668)</f>
        <v>0</v>
      </c>
      <c r="N669" s="1316">
        <f t="shared" si="98"/>
        <v>0</v>
      </c>
      <c r="O669" s="1317">
        <f t="shared" si="119"/>
        <v>0</v>
      </c>
      <c r="P669" s="1318"/>
      <c r="Q669" s="1319"/>
      <c r="R669" s="1320">
        <f t="shared" si="120"/>
        <v>0</v>
      </c>
      <c r="S669" s="1316">
        <f t="shared" si="121"/>
        <v>0</v>
      </c>
      <c r="T669" s="712"/>
      <c r="U669" s="713"/>
      <c r="V669" s="714"/>
      <c r="W669" s="398">
        <f t="shared" si="128"/>
        <v>0</v>
      </c>
      <c r="X669" s="712"/>
      <c r="Y669" s="713"/>
      <c r="Z669" s="714"/>
      <c r="AA669" s="398">
        <f t="shared" si="123"/>
        <v>0</v>
      </c>
      <c r="AB669" s="712"/>
      <c r="AC669" s="713"/>
      <c r="AD669" s="714"/>
      <c r="AE669" s="398">
        <f t="shared" si="124"/>
        <v>0</v>
      </c>
      <c r="AF669" s="712"/>
      <c r="AG669" s="713"/>
      <c r="AH669" s="714"/>
      <c r="AI669" s="398">
        <f t="shared" si="125"/>
        <v>0</v>
      </c>
      <c r="AJ669" s="712"/>
      <c r="AK669" s="713"/>
      <c r="AL669" s="714"/>
      <c r="AM669" s="398">
        <f t="shared" si="126"/>
        <v>0</v>
      </c>
    </row>
    <row r="670" spans="1:39" ht="15.75" customHeight="1" x14ac:dyDescent="0.3">
      <c r="A670" s="2161"/>
      <c r="B670" s="1313" t="str">
        <f t="shared" si="122"/>
        <v/>
      </c>
      <c r="C670" s="1011">
        <f>IF($D$2="NO",0,ROUNDDOWN(SUM(PROD!$V$5:V671)/IF(Iniciar!$C$25="kilos",40,1),0)-SUM($C$4:$C669))</f>
        <v>0</v>
      </c>
      <c r="D670" s="702"/>
      <c r="E670" s="702"/>
      <c r="F670" s="300">
        <f t="shared" si="127"/>
        <v>-95000</v>
      </c>
      <c r="G670" s="694"/>
      <c r="H670" s="695"/>
      <c r="I670" s="1314"/>
      <c r="J670" s="1315">
        <f>IF(K$1&gt;0,ROUNDUP(SUM(PROD!AM$5:AM671)/K$1*K$2,0),0)-SUM(J$4:J669)</f>
        <v>0</v>
      </c>
      <c r="K670" s="1316">
        <f t="shared" si="97"/>
        <v>0</v>
      </c>
      <c r="L670" s="1314"/>
      <c r="M670" s="1315">
        <f>IF(N$1&gt;0,ROUNDUP(SUM(PROD!L$5:L671,-PROD!AM$5:AM671,-PROD!AZ$5:AZ671)/N$1*N$2,0),0)-SUM(M$4:M669)</f>
        <v>0</v>
      </c>
      <c r="N670" s="1316">
        <f t="shared" si="98"/>
        <v>0</v>
      </c>
      <c r="O670" s="1317">
        <f t="shared" si="119"/>
        <v>0</v>
      </c>
      <c r="P670" s="1318"/>
      <c r="Q670" s="1319"/>
      <c r="R670" s="1320">
        <f t="shared" si="120"/>
        <v>0</v>
      </c>
      <c r="S670" s="1316">
        <f t="shared" si="121"/>
        <v>0</v>
      </c>
      <c r="T670" s="712"/>
      <c r="U670" s="713"/>
      <c r="V670" s="714"/>
      <c r="W670" s="398">
        <f t="shared" si="128"/>
        <v>0</v>
      </c>
      <c r="X670" s="712"/>
      <c r="Y670" s="713"/>
      <c r="Z670" s="714"/>
      <c r="AA670" s="398">
        <f t="shared" si="123"/>
        <v>0</v>
      </c>
      <c r="AB670" s="712"/>
      <c r="AC670" s="713"/>
      <c r="AD670" s="714"/>
      <c r="AE670" s="398">
        <f t="shared" si="124"/>
        <v>0</v>
      </c>
      <c r="AF670" s="712"/>
      <c r="AG670" s="713"/>
      <c r="AH670" s="714"/>
      <c r="AI670" s="398">
        <f t="shared" si="125"/>
        <v>0</v>
      </c>
      <c r="AJ670" s="712"/>
      <c r="AK670" s="713"/>
      <c r="AL670" s="714"/>
      <c r="AM670" s="398">
        <f t="shared" si="126"/>
        <v>0</v>
      </c>
    </row>
    <row r="671" spans="1:39" ht="15.75" customHeight="1" x14ac:dyDescent="0.3">
      <c r="A671" s="2161"/>
      <c r="B671" s="1313" t="str">
        <f t="shared" si="122"/>
        <v/>
      </c>
      <c r="C671" s="1011">
        <f>IF($D$2="NO",0,ROUNDDOWN(SUM(PROD!$V$5:V672)/IF(Iniciar!$C$25="kilos",40,1),0)-SUM($C$4:$C670))</f>
        <v>0</v>
      </c>
      <c r="D671" s="702"/>
      <c r="E671" s="702"/>
      <c r="F671" s="300">
        <f t="shared" si="127"/>
        <v>-95000</v>
      </c>
      <c r="G671" s="694"/>
      <c r="H671" s="695"/>
      <c r="I671" s="1314"/>
      <c r="J671" s="1315">
        <f>IF(K$1&gt;0,ROUNDUP(SUM(PROD!AM$5:AM672)/K$1*K$2,0),0)-SUM(J$4:J670)</f>
        <v>0</v>
      </c>
      <c r="K671" s="1316">
        <f t="shared" si="97"/>
        <v>0</v>
      </c>
      <c r="L671" s="1314"/>
      <c r="M671" s="1315">
        <f>IF(N$1&gt;0,ROUNDUP(SUM(PROD!L$5:L672,-PROD!AM$5:AM672,-PROD!AZ$5:AZ672)/N$1*N$2,0),0)-SUM(M$4:M670)</f>
        <v>0</v>
      </c>
      <c r="N671" s="1316">
        <f t="shared" si="98"/>
        <v>0</v>
      </c>
      <c r="O671" s="1317">
        <f t="shared" si="119"/>
        <v>0</v>
      </c>
      <c r="P671" s="1318"/>
      <c r="Q671" s="1319"/>
      <c r="R671" s="1320">
        <f t="shared" si="120"/>
        <v>0</v>
      </c>
      <c r="S671" s="1316">
        <f t="shared" si="121"/>
        <v>0</v>
      </c>
      <c r="T671" s="712"/>
      <c r="U671" s="713"/>
      <c r="V671" s="714"/>
      <c r="W671" s="398">
        <f t="shared" si="128"/>
        <v>0</v>
      </c>
      <c r="X671" s="712"/>
      <c r="Y671" s="713"/>
      <c r="Z671" s="714"/>
      <c r="AA671" s="398">
        <f t="shared" si="123"/>
        <v>0</v>
      </c>
      <c r="AB671" s="712"/>
      <c r="AC671" s="713"/>
      <c r="AD671" s="714"/>
      <c r="AE671" s="398">
        <f t="shared" si="124"/>
        <v>0</v>
      </c>
      <c r="AF671" s="712"/>
      <c r="AG671" s="713"/>
      <c r="AH671" s="714"/>
      <c r="AI671" s="398">
        <f t="shared" si="125"/>
        <v>0</v>
      </c>
      <c r="AJ671" s="712"/>
      <c r="AK671" s="713"/>
      <c r="AL671" s="714"/>
      <c r="AM671" s="398">
        <f t="shared" si="126"/>
        <v>0</v>
      </c>
    </row>
    <row r="672" spans="1:39" ht="15.75" customHeight="1" x14ac:dyDescent="0.3">
      <c r="A672" s="2161"/>
      <c r="B672" s="1313" t="str">
        <f t="shared" si="122"/>
        <v/>
      </c>
      <c r="C672" s="1011">
        <f>IF($D$2="NO",0,ROUNDDOWN(SUM(PROD!$V$5:V673)/IF(Iniciar!$C$25="kilos",40,1),0)-SUM($C$4:$C671))</f>
        <v>0</v>
      </c>
      <c r="D672" s="702"/>
      <c r="E672" s="702"/>
      <c r="F672" s="300">
        <f t="shared" si="127"/>
        <v>-95000</v>
      </c>
      <c r="G672" s="694"/>
      <c r="H672" s="695"/>
      <c r="I672" s="1314"/>
      <c r="J672" s="1315">
        <f>IF(K$1&gt;0,ROUNDUP(SUM(PROD!AM$5:AM673)/K$1*K$2,0),0)-SUM(J$4:J671)</f>
        <v>0</v>
      </c>
      <c r="K672" s="1316">
        <f t="shared" si="97"/>
        <v>0</v>
      </c>
      <c r="L672" s="1314"/>
      <c r="M672" s="1315">
        <f>IF(N$1&gt;0,ROUNDUP(SUM(PROD!L$5:L673,-PROD!AM$5:AM673,-PROD!AZ$5:AZ673)/N$1*N$2,0),0)-SUM(M$4:M671)</f>
        <v>0</v>
      </c>
      <c r="N672" s="1316">
        <f t="shared" si="98"/>
        <v>0</v>
      </c>
      <c r="O672" s="1317">
        <f t="shared" si="119"/>
        <v>0</v>
      </c>
      <c r="P672" s="1318"/>
      <c r="Q672" s="1319"/>
      <c r="R672" s="1320">
        <f t="shared" si="120"/>
        <v>0</v>
      </c>
      <c r="S672" s="1316">
        <f t="shared" si="121"/>
        <v>0</v>
      </c>
      <c r="T672" s="712"/>
      <c r="U672" s="713"/>
      <c r="V672" s="714"/>
      <c r="W672" s="398">
        <f t="shared" si="128"/>
        <v>0</v>
      </c>
      <c r="X672" s="712"/>
      <c r="Y672" s="713"/>
      <c r="Z672" s="714"/>
      <c r="AA672" s="398">
        <f t="shared" si="123"/>
        <v>0</v>
      </c>
      <c r="AB672" s="712"/>
      <c r="AC672" s="713"/>
      <c r="AD672" s="714"/>
      <c r="AE672" s="398">
        <f t="shared" si="124"/>
        <v>0</v>
      </c>
      <c r="AF672" s="712"/>
      <c r="AG672" s="713"/>
      <c r="AH672" s="714"/>
      <c r="AI672" s="398">
        <f t="shared" si="125"/>
        <v>0</v>
      </c>
      <c r="AJ672" s="712"/>
      <c r="AK672" s="713"/>
      <c r="AL672" s="714"/>
      <c r="AM672" s="398">
        <f t="shared" si="126"/>
        <v>0</v>
      </c>
    </row>
    <row r="673" spans="1:39" ht="15.75" customHeight="1" x14ac:dyDescent="0.3">
      <c r="A673" s="2161"/>
      <c r="B673" s="1313" t="str">
        <f t="shared" si="122"/>
        <v/>
      </c>
      <c r="C673" s="1011">
        <f>IF($D$2="NO",0,ROUNDDOWN(SUM(PROD!$V$5:V674)/IF(Iniciar!$C$25="kilos",40,1),0)-SUM($C$4:$C672))</f>
        <v>0</v>
      </c>
      <c r="D673" s="702"/>
      <c r="E673" s="702"/>
      <c r="F673" s="300">
        <f t="shared" si="127"/>
        <v>-95000</v>
      </c>
      <c r="G673" s="694"/>
      <c r="H673" s="695"/>
      <c r="I673" s="1314"/>
      <c r="J673" s="1315">
        <f>IF(K$1&gt;0,ROUNDUP(SUM(PROD!AM$5:AM674)/K$1*K$2,0),0)-SUM(J$4:J672)</f>
        <v>0</v>
      </c>
      <c r="K673" s="1316">
        <f t="shared" si="97"/>
        <v>0</v>
      </c>
      <c r="L673" s="1314"/>
      <c r="M673" s="1315">
        <f>IF(N$1&gt;0,ROUNDUP(SUM(PROD!L$5:L674,-PROD!AM$5:AM674,-PROD!AZ$5:AZ674)/N$1*N$2,0),0)-SUM(M$4:M672)</f>
        <v>0</v>
      </c>
      <c r="N673" s="1316">
        <f t="shared" si="98"/>
        <v>0</v>
      </c>
      <c r="O673" s="1317">
        <f t="shared" si="119"/>
        <v>0</v>
      </c>
      <c r="P673" s="1318"/>
      <c r="Q673" s="1319"/>
      <c r="R673" s="1320">
        <f t="shared" si="120"/>
        <v>0</v>
      </c>
      <c r="S673" s="1316">
        <f t="shared" si="121"/>
        <v>0</v>
      </c>
      <c r="T673" s="712"/>
      <c r="U673" s="713"/>
      <c r="V673" s="714"/>
      <c r="W673" s="398">
        <f t="shared" si="128"/>
        <v>0</v>
      </c>
      <c r="X673" s="712"/>
      <c r="Y673" s="713"/>
      <c r="Z673" s="714"/>
      <c r="AA673" s="398">
        <f t="shared" si="123"/>
        <v>0</v>
      </c>
      <c r="AB673" s="712"/>
      <c r="AC673" s="713"/>
      <c r="AD673" s="714"/>
      <c r="AE673" s="398">
        <f t="shared" si="124"/>
        <v>0</v>
      </c>
      <c r="AF673" s="712"/>
      <c r="AG673" s="713"/>
      <c r="AH673" s="714"/>
      <c r="AI673" s="398">
        <f t="shared" si="125"/>
        <v>0</v>
      </c>
      <c r="AJ673" s="712"/>
      <c r="AK673" s="713"/>
      <c r="AL673" s="714"/>
      <c r="AM673" s="398">
        <f t="shared" si="126"/>
        <v>0</v>
      </c>
    </row>
    <row r="674" spans="1:39" ht="15.75" customHeight="1" x14ac:dyDescent="0.3">
      <c r="A674" s="2161"/>
      <c r="B674" s="1313" t="str">
        <f t="shared" si="122"/>
        <v/>
      </c>
      <c r="C674" s="1011">
        <f>IF($D$2="NO",0,ROUNDDOWN(SUM(PROD!$V$5:V675)/IF(Iniciar!$C$25="kilos",40,1),0)-SUM($C$4:$C673))</f>
        <v>0</v>
      </c>
      <c r="D674" s="702"/>
      <c r="E674" s="702"/>
      <c r="F674" s="300">
        <f t="shared" si="127"/>
        <v>-95000</v>
      </c>
      <c r="G674" s="694"/>
      <c r="H674" s="695"/>
      <c r="I674" s="1314"/>
      <c r="J674" s="1315">
        <f>IF(K$1&gt;0,ROUNDUP(SUM(PROD!AM$5:AM675)/K$1*K$2,0),0)-SUM(J$4:J673)</f>
        <v>0</v>
      </c>
      <c r="K674" s="1316">
        <f t="shared" si="97"/>
        <v>0</v>
      </c>
      <c r="L674" s="1314"/>
      <c r="M674" s="1315">
        <f>IF(N$1&gt;0,ROUNDUP(SUM(PROD!L$5:L675,-PROD!AM$5:AM675,-PROD!AZ$5:AZ675)/N$1*N$2,0),0)-SUM(M$4:M673)</f>
        <v>0</v>
      </c>
      <c r="N674" s="1316">
        <f t="shared" si="98"/>
        <v>0</v>
      </c>
      <c r="O674" s="1317">
        <f t="shared" si="119"/>
        <v>0</v>
      </c>
      <c r="P674" s="1318"/>
      <c r="Q674" s="1319"/>
      <c r="R674" s="1320">
        <f t="shared" si="120"/>
        <v>0</v>
      </c>
      <c r="S674" s="1316">
        <f t="shared" si="121"/>
        <v>0</v>
      </c>
      <c r="T674" s="712"/>
      <c r="U674" s="713"/>
      <c r="V674" s="714"/>
      <c r="W674" s="398">
        <f t="shared" si="128"/>
        <v>0</v>
      </c>
      <c r="X674" s="712"/>
      <c r="Y674" s="713"/>
      <c r="Z674" s="714"/>
      <c r="AA674" s="398">
        <f t="shared" si="123"/>
        <v>0</v>
      </c>
      <c r="AB674" s="712"/>
      <c r="AC674" s="713"/>
      <c r="AD674" s="714"/>
      <c r="AE674" s="398">
        <f t="shared" si="124"/>
        <v>0</v>
      </c>
      <c r="AF674" s="712"/>
      <c r="AG674" s="713"/>
      <c r="AH674" s="714"/>
      <c r="AI674" s="398">
        <f t="shared" si="125"/>
        <v>0</v>
      </c>
      <c r="AJ674" s="712"/>
      <c r="AK674" s="713"/>
      <c r="AL674" s="714"/>
      <c r="AM674" s="398">
        <f t="shared" si="126"/>
        <v>0</v>
      </c>
    </row>
    <row r="675" spans="1:39" ht="16.5" customHeight="1" x14ac:dyDescent="0.3">
      <c r="A675" s="2162"/>
      <c r="B675" s="1313" t="str">
        <f t="shared" si="122"/>
        <v/>
      </c>
      <c r="C675" s="1011">
        <f>IF($D$2="NO",0,ROUNDDOWN(SUM(PROD!$V$5:V676)/IF(Iniciar!$C$25="kilos",40,1),0)-SUM($C$4:$C674))</f>
        <v>0</v>
      </c>
      <c r="D675" s="702"/>
      <c r="E675" s="702"/>
      <c r="F675" s="300">
        <f t="shared" si="127"/>
        <v>-95000</v>
      </c>
      <c r="G675" s="694"/>
      <c r="H675" s="695"/>
      <c r="I675" s="1314"/>
      <c r="J675" s="1315">
        <f>IF(K$1&gt;0,ROUNDUP(SUM(PROD!AM$5:AM676)/K$1*K$2,0),0)-SUM(J$4:J674)</f>
        <v>0</v>
      </c>
      <c r="K675" s="1316">
        <f t="shared" si="97"/>
        <v>0</v>
      </c>
      <c r="L675" s="1314"/>
      <c r="M675" s="1315">
        <f>IF(N$1&gt;0,ROUNDUP(SUM(PROD!L$5:L676,-PROD!AM$5:AM676,-PROD!AZ$5:AZ676)/N$1*N$2,0),0)-SUM(M$4:M674)</f>
        <v>0</v>
      </c>
      <c r="N675" s="1316">
        <f t="shared" si="98"/>
        <v>0</v>
      </c>
      <c r="O675" s="1317">
        <f t="shared" si="119"/>
        <v>0</v>
      </c>
      <c r="P675" s="1318"/>
      <c r="Q675" s="1319"/>
      <c r="R675" s="1320">
        <f t="shared" si="120"/>
        <v>0</v>
      </c>
      <c r="S675" s="1316">
        <f t="shared" si="121"/>
        <v>0</v>
      </c>
      <c r="T675" s="712"/>
      <c r="U675" s="713"/>
      <c r="V675" s="714"/>
      <c r="W675" s="398">
        <f t="shared" si="128"/>
        <v>0</v>
      </c>
      <c r="X675" s="712"/>
      <c r="Y675" s="713"/>
      <c r="Z675" s="714"/>
      <c r="AA675" s="398">
        <f t="shared" si="123"/>
        <v>0</v>
      </c>
      <c r="AB675" s="712"/>
      <c r="AC675" s="713"/>
      <c r="AD675" s="714"/>
      <c r="AE675" s="398">
        <f t="shared" si="124"/>
        <v>0</v>
      </c>
      <c r="AF675" s="712"/>
      <c r="AG675" s="713"/>
      <c r="AH675" s="714"/>
      <c r="AI675" s="398">
        <f t="shared" si="125"/>
        <v>0</v>
      </c>
      <c r="AJ675" s="712"/>
      <c r="AK675" s="713"/>
      <c r="AL675" s="714"/>
      <c r="AM675" s="398">
        <f t="shared" si="126"/>
        <v>0</v>
      </c>
    </row>
    <row r="676" spans="1:39" ht="16.5" customHeight="1" x14ac:dyDescent="0.3">
      <c r="A676" s="2160">
        <f>A669+1</f>
        <v>114</v>
      </c>
      <c r="B676" s="1313" t="str">
        <f t="shared" si="122"/>
        <v/>
      </c>
      <c r="C676" s="1011">
        <f>IF($D$2="NO",0,ROUNDDOWN(SUM(PROD!$V$5:V677)/IF(Iniciar!$C$25="kilos",40,1),0)-SUM($C$4:$C675))</f>
        <v>0</v>
      </c>
      <c r="D676" s="702"/>
      <c r="E676" s="702"/>
      <c r="F676" s="300">
        <f t="shared" si="127"/>
        <v>-95000</v>
      </c>
      <c r="G676" s="694"/>
      <c r="H676" s="695"/>
      <c r="I676" s="1314"/>
      <c r="J676" s="1315">
        <f>IF(K$1&gt;0,ROUNDUP(SUM(PROD!AM$5:AM677)/K$1*K$2,0),0)-SUM(J$4:J675)</f>
        <v>0</v>
      </c>
      <c r="K676" s="1316">
        <f t="shared" si="97"/>
        <v>0</v>
      </c>
      <c r="L676" s="1314"/>
      <c r="M676" s="1315">
        <f>IF(N$1&gt;0,ROUNDUP(SUM(PROD!L$5:L677,-PROD!AM$5:AM677,-PROD!AZ$5:AZ677)/N$1*N$2,0),0)-SUM(M$4:M675)</f>
        <v>0</v>
      </c>
      <c r="N676" s="1316">
        <f t="shared" si="98"/>
        <v>0</v>
      </c>
      <c r="O676" s="1317">
        <f t="shared" si="119"/>
        <v>0</v>
      </c>
      <c r="P676" s="1318"/>
      <c r="Q676" s="1319"/>
      <c r="R676" s="1320">
        <f t="shared" si="120"/>
        <v>0</v>
      </c>
      <c r="S676" s="1316">
        <f t="shared" si="121"/>
        <v>0</v>
      </c>
      <c r="T676" s="712"/>
      <c r="U676" s="713"/>
      <c r="V676" s="714"/>
      <c r="W676" s="398">
        <f t="shared" si="128"/>
        <v>0</v>
      </c>
      <c r="X676" s="712"/>
      <c r="Y676" s="713"/>
      <c r="Z676" s="714"/>
      <c r="AA676" s="398">
        <f t="shared" si="123"/>
        <v>0</v>
      </c>
      <c r="AB676" s="712"/>
      <c r="AC676" s="713"/>
      <c r="AD676" s="714"/>
      <c r="AE676" s="398">
        <f t="shared" si="124"/>
        <v>0</v>
      </c>
      <c r="AF676" s="712"/>
      <c r="AG676" s="713"/>
      <c r="AH676" s="714"/>
      <c r="AI676" s="398">
        <f t="shared" si="125"/>
        <v>0</v>
      </c>
      <c r="AJ676" s="712"/>
      <c r="AK676" s="713"/>
      <c r="AL676" s="714"/>
      <c r="AM676" s="398">
        <f t="shared" si="126"/>
        <v>0</v>
      </c>
    </row>
    <row r="677" spans="1:39" ht="15.75" customHeight="1" x14ac:dyDescent="0.3">
      <c r="A677" s="2161"/>
      <c r="B677" s="1313" t="str">
        <f t="shared" si="122"/>
        <v/>
      </c>
      <c r="C677" s="1011">
        <f>IF($D$2="NO",0,ROUNDDOWN(SUM(PROD!$V$5:V678)/IF(Iniciar!$C$25="kilos",40,1),0)-SUM($C$4:$C676))</f>
        <v>0</v>
      </c>
      <c r="D677" s="702"/>
      <c r="E677" s="702"/>
      <c r="F677" s="300">
        <f t="shared" si="127"/>
        <v>-95000</v>
      </c>
      <c r="G677" s="694"/>
      <c r="H677" s="695"/>
      <c r="I677" s="1314"/>
      <c r="J677" s="1315">
        <f>IF(K$1&gt;0,ROUNDUP(SUM(PROD!AM$5:AM678)/K$1*K$2,0),0)-SUM(J$4:J676)</f>
        <v>0</v>
      </c>
      <c r="K677" s="1316">
        <f t="shared" si="97"/>
        <v>0</v>
      </c>
      <c r="L677" s="1314"/>
      <c r="M677" s="1315">
        <f>IF(N$1&gt;0,ROUNDUP(SUM(PROD!L$5:L678,-PROD!AM$5:AM678,-PROD!AZ$5:AZ678)/N$1*N$2,0),0)-SUM(M$4:M676)</f>
        <v>0</v>
      </c>
      <c r="N677" s="1316">
        <f t="shared" si="98"/>
        <v>0</v>
      </c>
      <c r="O677" s="1317">
        <f t="shared" si="119"/>
        <v>0</v>
      </c>
      <c r="P677" s="1318"/>
      <c r="Q677" s="1319"/>
      <c r="R677" s="1320">
        <f t="shared" si="120"/>
        <v>0</v>
      </c>
      <c r="S677" s="1316">
        <f t="shared" si="121"/>
        <v>0</v>
      </c>
      <c r="T677" s="712"/>
      <c r="U677" s="713"/>
      <c r="V677" s="714"/>
      <c r="W677" s="398">
        <f t="shared" si="128"/>
        <v>0</v>
      </c>
      <c r="X677" s="712"/>
      <c r="Y677" s="713"/>
      <c r="Z677" s="714"/>
      <c r="AA677" s="398">
        <f t="shared" si="123"/>
        <v>0</v>
      </c>
      <c r="AB677" s="712"/>
      <c r="AC677" s="713"/>
      <c r="AD677" s="714"/>
      <c r="AE677" s="398">
        <f t="shared" si="124"/>
        <v>0</v>
      </c>
      <c r="AF677" s="712"/>
      <c r="AG677" s="713"/>
      <c r="AH677" s="714"/>
      <c r="AI677" s="398">
        <f t="shared" si="125"/>
        <v>0</v>
      </c>
      <c r="AJ677" s="712"/>
      <c r="AK677" s="713"/>
      <c r="AL677" s="714"/>
      <c r="AM677" s="398">
        <f t="shared" si="126"/>
        <v>0</v>
      </c>
    </row>
    <row r="678" spans="1:39" ht="15.75" customHeight="1" x14ac:dyDescent="0.3">
      <c r="A678" s="2161"/>
      <c r="B678" s="1313" t="str">
        <f t="shared" si="122"/>
        <v/>
      </c>
      <c r="C678" s="1011">
        <f>IF($D$2="NO",0,ROUNDDOWN(SUM(PROD!$V$5:V679)/IF(Iniciar!$C$25="kilos",40,1),0)-SUM($C$4:$C677))</f>
        <v>0</v>
      </c>
      <c r="D678" s="702"/>
      <c r="E678" s="702"/>
      <c r="F678" s="300">
        <f t="shared" si="127"/>
        <v>-95000</v>
      </c>
      <c r="G678" s="694"/>
      <c r="H678" s="695"/>
      <c r="I678" s="1314"/>
      <c r="J678" s="1315">
        <f>IF(K$1&gt;0,ROUNDUP(SUM(PROD!AM$5:AM679)/K$1*K$2,0),0)-SUM(J$4:J677)</f>
        <v>0</v>
      </c>
      <c r="K678" s="1316">
        <f t="shared" si="97"/>
        <v>0</v>
      </c>
      <c r="L678" s="1314"/>
      <c r="M678" s="1315">
        <f>IF(N$1&gt;0,ROUNDUP(SUM(PROD!L$5:L679,-PROD!AM$5:AM679,-PROD!AZ$5:AZ679)/N$1*N$2,0),0)-SUM(M$4:M677)</f>
        <v>0</v>
      </c>
      <c r="N678" s="1316">
        <f t="shared" si="98"/>
        <v>0</v>
      </c>
      <c r="O678" s="1317">
        <f t="shared" si="119"/>
        <v>0</v>
      </c>
      <c r="P678" s="1318"/>
      <c r="Q678" s="1319"/>
      <c r="R678" s="1320">
        <f t="shared" si="120"/>
        <v>0</v>
      </c>
      <c r="S678" s="1316">
        <f t="shared" si="121"/>
        <v>0</v>
      </c>
      <c r="T678" s="712"/>
      <c r="U678" s="713"/>
      <c r="V678" s="714"/>
      <c r="W678" s="398">
        <f t="shared" si="128"/>
        <v>0</v>
      </c>
      <c r="X678" s="712"/>
      <c r="Y678" s="713"/>
      <c r="Z678" s="714"/>
      <c r="AA678" s="398">
        <f t="shared" si="123"/>
        <v>0</v>
      </c>
      <c r="AB678" s="712"/>
      <c r="AC678" s="713"/>
      <c r="AD678" s="714"/>
      <c r="AE678" s="398">
        <f t="shared" si="124"/>
        <v>0</v>
      </c>
      <c r="AF678" s="712"/>
      <c r="AG678" s="713"/>
      <c r="AH678" s="714"/>
      <c r="AI678" s="398">
        <f t="shared" si="125"/>
        <v>0</v>
      </c>
      <c r="AJ678" s="712"/>
      <c r="AK678" s="713"/>
      <c r="AL678" s="714"/>
      <c r="AM678" s="398">
        <f t="shared" si="126"/>
        <v>0</v>
      </c>
    </row>
    <row r="679" spans="1:39" ht="15.75" customHeight="1" x14ac:dyDescent="0.3">
      <c r="A679" s="2161"/>
      <c r="B679" s="1313" t="str">
        <f t="shared" si="122"/>
        <v/>
      </c>
      <c r="C679" s="1011">
        <f>IF($D$2="NO",0,ROUNDDOWN(SUM(PROD!$V$5:V680)/IF(Iniciar!$C$25="kilos",40,1),0)-SUM($C$4:$C678))</f>
        <v>0</v>
      </c>
      <c r="D679" s="702"/>
      <c r="E679" s="702"/>
      <c r="F679" s="300">
        <f t="shared" si="127"/>
        <v>-95000</v>
      </c>
      <c r="G679" s="694"/>
      <c r="H679" s="695"/>
      <c r="I679" s="1314"/>
      <c r="J679" s="1315">
        <f>IF(K$1&gt;0,ROUNDUP(SUM(PROD!AM$5:AM680)/K$1*K$2,0),0)-SUM(J$4:J678)</f>
        <v>0</v>
      </c>
      <c r="K679" s="1316">
        <f t="shared" si="97"/>
        <v>0</v>
      </c>
      <c r="L679" s="1314"/>
      <c r="M679" s="1315">
        <f>IF(N$1&gt;0,ROUNDUP(SUM(PROD!L$5:L680,-PROD!AM$5:AM680,-PROD!AZ$5:AZ680)/N$1*N$2,0),0)-SUM(M$4:M678)</f>
        <v>0</v>
      </c>
      <c r="N679" s="1316">
        <f t="shared" si="98"/>
        <v>0</v>
      </c>
      <c r="O679" s="1317">
        <f t="shared" si="119"/>
        <v>0</v>
      </c>
      <c r="P679" s="1318"/>
      <c r="Q679" s="1319"/>
      <c r="R679" s="1320">
        <f t="shared" si="120"/>
        <v>0</v>
      </c>
      <c r="S679" s="1316">
        <f t="shared" si="121"/>
        <v>0</v>
      </c>
      <c r="T679" s="712"/>
      <c r="U679" s="713"/>
      <c r="V679" s="714"/>
      <c r="W679" s="398">
        <f t="shared" si="128"/>
        <v>0</v>
      </c>
      <c r="X679" s="712"/>
      <c r="Y679" s="713"/>
      <c r="Z679" s="714"/>
      <c r="AA679" s="398">
        <f t="shared" si="123"/>
        <v>0</v>
      </c>
      <c r="AB679" s="712"/>
      <c r="AC679" s="713"/>
      <c r="AD679" s="714"/>
      <c r="AE679" s="398">
        <f t="shared" si="124"/>
        <v>0</v>
      </c>
      <c r="AF679" s="712"/>
      <c r="AG679" s="713"/>
      <c r="AH679" s="714"/>
      <c r="AI679" s="398">
        <f t="shared" si="125"/>
        <v>0</v>
      </c>
      <c r="AJ679" s="712"/>
      <c r="AK679" s="713"/>
      <c r="AL679" s="714"/>
      <c r="AM679" s="398">
        <f t="shared" si="126"/>
        <v>0</v>
      </c>
    </row>
    <row r="680" spans="1:39" ht="15.75" customHeight="1" x14ac:dyDescent="0.3">
      <c r="A680" s="2161"/>
      <c r="B680" s="1313" t="str">
        <f t="shared" si="122"/>
        <v/>
      </c>
      <c r="C680" s="1011">
        <f>IF($D$2="NO",0,ROUNDDOWN(SUM(PROD!$V$5:V681)/IF(Iniciar!$C$25="kilos",40,1),0)-SUM($C$4:$C679))</f>
        <v>0</v>
      </c>
      <c r="D680" s="702"/>
      <c r="E680" s="702"/>
      <c r="F680" s="300">
        <f t="shared" si="127"/>
        <v>-95000</v>
      </c>
      <c r="G680" s="694"/>
      <c r="H680" s="695"/>
      <c r="I680" s="1314"/>
      <c r="J680" s="1315">
        <f>IF(K$1&gt;0,ROUNDUP(SUM(PROD!AM$5:AM681)/K$1*K$2,0),0)-SUM(J$4:J679)</f>
        <v>0</v>
      </c>
      <c r="K680" s="1316">
        <f t="shared" si="97"/>
        <v>0</v>
      </c>
      <c r="L680" s="1314"/>
      <c r="M680" s="1315">
        <f>IF(N$1&gt;0,ROUNDUP(SUM(PROD!L$5:L681,-PROD!AM$5:AM681,-PROD!AZ$5:AZ681)/N$1*N$2,0),0)-SUM(M$4:M679)</f>
        <v>0</v>
      </c>
      <c r="N680" s="1316">
        <f t="shared" si="98"/>
        <v>0</v>
      </c>
      <c r="O680" s="1317">
        <f t="shared" si="119"/>
        <v>0</v>
      </c>
      <c r="P680" s="1318"/>
      <c r="Q680" s="1319"/>
      <c r="R680" s="1320">
        <f t="shared" si="120"/>
        <v>0</v>
      </c>
      <c r="S680" s="1316">
        <f t="shared" si="121"/>
        <v>0</v>
      </c>
      <c r="T680" s="712"/>
      <c r="U680" s="713"/>
      <c r="V680" s="714"/>
      <c r="W680" s="398">
        <f t="shared" si="128"/>
        <v>0</v>
      </c>
      <c r="X680" s="712"/>
      <c r="Y680" s="713"/>
      <c r="Z680" s="714"/>
      <c r="AA680" s="398">
        <f t="shared" si="123"/>
        <v>0</v>
      </c>
      <c r="AB680" s="712"/>
      <c r="AC680" s="713"/>
      <c r="AD680" s="714"/>
      <c r="AE680" s="398">
        <f t="shared" si="124"/>
        <v>0</v>
      </c>
      <c r="AF680" s="712"/>
      <c r="AG680" s="713"/>
      <c r="AH680" s="714"/>
      <c r="AI680" s="398">
        <f t="shared" si="125"/>
        <v>0</v>
      </c>
      <c r="AJ680" s="712"/>
      <c r="AK680" s="713"/>
      <c r="AL680" s="714"/>
      <c r="AM680" s="398">
        <f t="shared" si="126"/>
        <v>0</v>
      </c>
    </row>
    <row r="681" spans="1:39" ht="15.75" customHeight="1" x14ac:dyDescent="0.3">
      <c r="A681" s="2161"/>
      <c r="B681" s="1313" t="str">
        <f t="shared" si="122"/>
        <v/>
      </c>
      <c r="C681" s="1011">
        <f>IF($D$2="NO",0,ROUNDDOWN(SUM(PROD!$V$5:V682)/IF(Iniciar!$C$25="kilos",40,1),0)-SUM($C$4:$C680))</f>
        <v>0</v>
      </c>
      <c r="D681" s="702"/>
      <c r="E681" s="702"/>
      <c r="F681" s="300">
        <f t="shared" si="127"/>
        <v>-95000</v>
      </c>
      <c r="G681" s="694"/>
      <c r="H681" s="695"/>
      <c r="I681" s="1314"/>
      <c r="J681" s="1315">
        <f>IF(K$1&gt;0,ROUNDUP(SUM(PROD!AM$5:AM682)/K$1*K$2,0),0)-SUM(J$4:J680)</f>
        <v>0</v>
      </c>
      <c r="K681" s="1316">
        <f t="shared" si="97"/>
        <v>0</v>
      </c>
      <c r="L681" s="1314"/>
      <c r="M681" s="1315">
        <f>IF(N$1&gt;0,ROUNDUP(SUM(PROD!L$5:L682,-PROD!AM$5:AM682,-PROD!AZ$5:AZ682)/N$1*N$2,0),0)-SUM(M$4:M680)</f>
        <v>0</v>
      </c>
      <c r="N681" s="1316">
        <f t="shared" si="98"/>
        <v>0</v>
      </c>
      <c r="O681" s="1317">
        <f t="shared" si="119"/>
        <v>0</v>
      </c>
      <c r="P681" s="1318"/>
      <c r="Q681" s="1319"/>
      <c r="R681" s="1320">
        <f t="shared" si="120"/>
        <v>0</v>
      </c>
      <c r="S681" s="1316">
        <f t="shared" si="121"/>
        <v>0</v>
      </c>
      <c r="T681" s="712"/>
      <c r="U681" s="713"/>
      <c r="V681" s="714"/>
      <c r="W681" s="398">
        <f t="shared" si="128"/>
        <v>0</v>
      </c>
      <c r="X681" s="712"/>
      <c r="Y681" s="713"/>
      <c r="Z681" s="714"/>
      <c r="AA681" s="398">
        <f t="shared" si="123"/>
        <v>0</v>
      </c>
      <c r="AB681" s="712"/>
      <c r="AC681" s="713"/>
      <c r="AD681" s="714"/>
      <c r="AE681" s="398">
        <f t="shared" si="124"/>
        <v>0</v>
      </c>
      <c r="AF681" s="712"/>
      <c r="AG681" s="713"/>
      <c r="AH681" s="714"/>
      <c r="AI681" s="398">
        <f t="shared" si="125"/>
        <v>0</v>
      </c>
      <c r="AJ681" s="712"/>
      <c r="AK681" s="713"/>
      <c r="AL681" s="714"/>
      <c r="AM681" s="398">
        <f t="shared" si="126"/>
        <v>0</v>
      </c>
    </row>
    <row r="682" spans="1:39" ht="16.5" customHeight="1" x14ac:dyDescent="0.3">
      <c r="A682" s="2162"/>
      <c r="B682" s="1313" t="str">
        <f t="shared" si="122"/>
        <v/>
      </c>
      <c r="C682" s="1011">
        <f>IF($D$2="NO",0,ROUNDDOWN(SUM(PROD!$V$5:V683)/IF(Iniciar!$C$25="kilos",40,1),0)-SUM($C$4:$C681))</f>
        <v>0</v>
      </c>
      <c r="D682" s="702"/>
      <c r="E682" s="702"/>
      <c r="F682" s="300">
        <f t="shared" si="127"/>
        <v>-95000</v>
      </c>
      <c r="G682" s="694"/>
      <c r="H682" s="695"/>
      <c r="I682" s="1314"/>
      <c r="J682" s="1315">
        <f>IF(K$1&gt;0,ROUNDUP(SUM(PROD!AM$5:AM683)/K$1*K$2,0),0)-SUM(J$4:J681)</f>
        <v>0</v>
      </c>
      <c r="K682" s="1316">
        <f t="shared" si="97"/>
        <v>0</v>
      </c>
      <c r="L682" s="1314"/>
      <c r="M682" s="1315">
        <f>IF(N$1&gt;0,ROUNDUP(SUM(PROD!L$5:L683,-PROD!AM$5:AM683,-PROD!AZ$5:AZ683)/N$1*N$2,0),0)-SUM(M$4:M681)</f>
        <v>0</v>
      </c>
      <c r="N682" s="1316">
        <f t="shared" si="98"/>
        <v>0</v>
      </c>
      <c r="O682" s="1317">
        <f t="shared" si="119"/>
        <v>0</v>
      </c>
      <c r="P682" s="1318"/>
      <c r="Q682" s="1319"/>
      <c r="R682" s="1320">
        <f t="shared" si="120"/>
        <v>0</v>
      </c>
      <c r="S682" s="1316">
        <f t="shared" si="121"/>
        <v>0</v>
      </c>
      <c r="T682" s="712"/>
      <c r="U682" s="713"/>
      <c r="V682" s="714"/>
      <c r="W682" s="398">
        <f t="shared" si="128"/>
        <v>0</v>
      </c>
      <c r="X682" s="712"/>
      <c r="Y682" s="713"/>
      <c r="Z682" s="714"/>
      <c r="AA682" s="398">
        <f t="shared" si="123"/>
        <v>0</v>
      </c>
      <c r="AB682" s="712"/>
      <c r="AC682" s="713"/>
      <c r="AD682" s="714"/>
      <c r="AE682" s="398">
        <f t="shared" si="124"/>
        <v>0</v>
      </c>
      <c r="AF682" s="712"/>
      <c r="AG682" s="713"/>
      <c r="AH682" s="714"/>
      <c r="AI682" s="398">
        <f t="shared" si="125"/>
        <v>0</v>
      </c>
      <c r="AJ682" s="712"/>
      <c r="AK682" s="713"/>
      <c r="AL682" s="714"/>
      <c r="AM682" s="398">
        <f t="shared" si="126"/>
        <v>0</v>
      </c>
    </row>
    <row r="683" spans="1:39" ht="16.5" customHeight="1" x14ac:dyDescent="0.3">
      <c r="A683" s="2160">
        <f>A676+1</f>
        <v>115</v>
      </c>
      <c r="B683" s="1313" t="str">
        <f t="shared" si="122"/>
        <v/>
      </c>
      <c r="C683" s="1011">
        <f>IF($D$2="NO",0,ROUNDDOWN(SUM(PROD!$V$5:V684)/IF(Iniciar!$C$25="kilos",40,1),0)-SUM($C$4:$C682))</f>
        <v>0</v>
      </c>
      <c r="D683" s="702"/>
      <c r="E683" s="702"/>
      <c r="F683" s="300">
        <f t="shared" si="127"/>
        <v>-95000</v>
      </c>
      <c r="G683" s="694"/>
      <c r="H683" s="695"/>
      <c r="I683" s="1314"/>
      <c r="J683" s="1315">
        <f>IF(K$1&gt;0,ROUNDUP(SUM(PROD!AM$5:AM684)/K$1*K$2,0),0)-SUM(J$4:J682)</f>
        <v>0</v>
      </c>
      <c r="K683" s="1316">
        <f t="shared" si="97"/>
        <v>0</v>
      </c>
      <c r="L683" s="1314"/>
      <c r="M683" s="1315">
        <f>IF(N$1&gt;0,ROUNDUP(SUM(PROD!L$5:L684,-PROD!AM$5:AM684,-PROD!AZ$5:AZ684)/N$1*N$2,0),0)-SUM(M$4:M682)</f>
        <v>0</v>
      </c>
      <c r="N683" s="1316">
        <f t="shared" si="98"/>
        <v>0</v>
      </c>
      <c r="O683" s="1317">
        <f t="shared" si="119"/>
        <v>0</v>
      </c>
      <c r="P683" s="1318"/>
      <c r="Q683" s="1319"/>
      <c r="R683" s="1320">
        <f t="shared" si="120"/>
        <v>0</v>
      </c>
      <c r="S683" s="1316">
        <f t="shared" si="121"/>
        <v>0</v>
      </c>
      <c r="T683" s="712"/>
      <c r="U683" s="713"/>
      <c r="V683" s="714"/>
      <c r="W683" s="398">
        <f t="shared" si="128"/>
        <v>0</v>
      </c>
      <c r="X683" s="712"/>
      <c r="Y683" s="713"/>
      <c r="Z683" s="714"/>
      <c r="AA683" s="398">
        <f t="shared" si="123"/>
        <v>0</v>
      </c>
      <c r="AB683" s="712"/>
      <c r="AC683" s="713"/>
      <c r="AD683" s="714"/>
      <c r="AE683" s="398">
        <f t="shared" si="124"/>
        <v>0</v>
      </c>
      <c r="AF683" s="712"/>
      <c r="AG683" s="713"/>
      <c r="AH683" s="714"/>
      <c r="AI683" s="398">
        <f t="shared" si="125"/>
        <v>0</v>
      </c>
      <c r="AJ683" s="712"/>
      <c r="AK683" s="713"/>
      <c r="AL683" s="714"/>
      <c r="AM683" s="398">
        <f t="shared" si="126"/>
        <v>0</v>
      </c>
    </row>
    <row r="684" spans="1:39" ht="15.75" customHeight="1" x14ac:dyDescent="0.3">
      <c r="A684" s="2161"/>
      <c r="B684" s="1313" t="str">
        <f t="shared" si="122"/>
        <v/>
      </c>
      <c r="C684" s="1011">
        <f>IF($D$2="NO",0,ROUNDDOWN(SUM(PROD!$V$5:V685)/IF(Iniciar!$C$25="kilos",40,1),0)-SUM($C$4:$C683))</f>
        <v>0</v>
      </c>
      <c r="D684" s="702"/>
      <c r="E684" s="702"/>
      <c r="F684" s="300">
        <f t="shared" si="127"/>
        <v>-95000</v>
      </c>
      <c r="G684" s="694"/>
      <c r="H684" s="695"/>
      <c r="I684" s="1314"/>
      <c r="J684" s="1315">
        <f>IF(K$1&gt;0,ROUNDUP(SUM(PROD!AM$5:AM685)/K$1*K$2,0),0)-SUM(J$4:J683)</f>
        <v>0</v>
      </c>
      <c r="K684" s="1316">
        <f t="shared" si="97"/>
        <v>0</v>
      </c>
      <c r="L684" s="1314"/>
      <c r="M684" s="1315">
        <f>IF(N$1&gt;0,ROUNDUP(SUM(PROD!L$5:L685,-PROD!AM$5:AM685,-PROD!AZ$5:AZ685)/N$1*N$2,0),0)-SUM(M$4:M683)</f>
        <v>0</v>
      </c>
      <c r="N684" s="1316">
        <f t="shared" si="98"/>
        <v>0</v>
      </c>
      <c r="O684" s="1317">
        <f t="shared" si="119"/>
        <v>0</v>
      </c>
      <c r="P684" s="1318"/>
      <c r="Q684" s="1319"/>
      <c r="R684" s="1320">
        <f t="shared" si="120"/>
        <v>0</v>
      </c>
      <c r="S684" s="1316">
        <f t="shared" si="121"/>
        <v>0</v>
      </c>
      <c r="T684" s="712"/>
      <c r="U684" s="713"/>
      <c r="V684" s="714"/>
      <c r="W684" s="398">
        <f t="shared" si="128"/>
        <v>0</v>
      </c>
      <c r="X684" s="712"/>
      <c r="Y684" s="713"/>
      <c r="Z684" s="714"/>
      <c r="AA684" s="398">
        <f t="shared" si="123"/>
        <v>0</v>
      </c>
      <c r="AB684" s="712"/>
      <c r="AC684" s="713"/>
      <c r="AD684" s="714"/>
      <c r="AE684" s="398">
        <f t="shared" si="124"/>
        <v>0</v>
      </c>
      <c r="AF684" s="712"/>
      <c r="AG684" s="713"/>
      <c r="AH684" s="714"/>
      <c r="AI684" s="398">
        <f t="shared" si="125"/>
        <v>0</v>
      </c>
      <c r="AJ684" s="712"/>
      <c r="AK684" s="713"/>
      <c r="AL684" s="714"/>
      <c r="AM684" s="398">
        <f t="shared" si="126"/>
        <v>0</v>
      </c>
    </row>
    <row r="685" spans="1:39" ht="15.75" customHeight="1" x14ac:dyDescent="0.3">
      <c r="A685" s="2161"/>
      <c r="B685" s="1313" t="str">
        <f t="shared" si="122"/>
        <v/>
      </c>
      <c r="C685" s="1011">
        <f>IF($D$2="NO",0,ROUNDDOWN(SUM(PROD!$V$5:V686)/IF(Iniciar!$C$25="kilos",40,1),0)-SUM($C$4:$C684))</f>
        <v>0</v>
      </c>
      <c r="D685" s="702"/>
      <c r="E685" s="702"/>
      <c r="F685" s="300">
        <f t="shared" si="127"/>
        <v>-95000</v>
      </c>
      <c r="G685" s="694"/>
      <c r="H685" s="695"/>
      <c r="I685" s="1314"/>
      <c r="J685" s="1315">
        <f>IF(K$1&gt;0,ROUNDUP(SUM(PROD!AM$5:AM686)/K$1*K$2,0),0)-SUM(J$4:J684)</f>
        <v>0</v>
      </c>
      <c r="K685" s="1316">
        <f t="shared" si="97"/>
        <v>0</v>
      </c>
      <c r="L685" s="1314"/>
      <c r="M685" s="1315">
        <f>IF(N$1&gt;0,ROUNDUP(SUM(PROD!L$5:L686,-PROD!AM$5:AM686,-PROD!AZ$5:AZ686)/N$1*N$2,0),0)-SUM(M$4:M684)</f>
        <v>0</v>
      </c>
      <c r="N685" s="1316">
        <f t="shared" si="98"/>
        <v>0</v>
      </c>
      <c r="O685" s="1317">
        <f t="shared" si="119"/>
        <v>0</v>
      </c>
      <c r="P685" s="1318"/>
      <c r="Q685" s="1319"/>
      <c r="R685" s="1320">
        <f t="shared" si="120"/>
        <v>0</v>
      </c>
      <c r="S685" s="1316">
        <f t="shared" si="121"/>
        <v>0</v>
      </c>
      <c r="T685" s="712"/>
      <c r="U685" s="713"/>
      <c r="V685" s="714"/>
      <c r="W685" s="398">
        <f t="shared" si="128"/>
        <v>0</v>
      </c>
      <c r="X685" s="712"/>
      <c r="Y685" s="713"/>
      <c r="Z685" s="714"/>
      <c r="AA685" s="398">
        <f t="shared" si="123"/>
        <v>0</v>
      </c>
      <c r="AB685" s="712"/>
      <c r="AC685" s="713"/>
      <c r="AD685" s="714"/>
      <c r="AE685" s="398">
        <f t="shared" si="124"/>
        <v>0</v>
      </c>
      <c r="AF685" s="712"/>
      <c r="AG685" s="713"/>
      <c r="AH685" s="714"/>
      <c r="AI685" s="398">
        <f t="shared" si="125"/>
        <v>0</v>
      </c>
      <c r="AJ685" s="712"/>
      <c r="AK685" s="713"/>
      <c r="AL685" s="714"/>
      <c r="AM685" s="398">
        <f t="shared" si="126"/>
        <v>0</v>
      </c>
    </row>
    <row r="686" spans="1:39" ht="15.75" customHeight="1" x14ac:dyDescent="0.3">
      <c r="A686" s="2161"/>
      <c r="B686" s="1313" t="str">
        <f t="shared" si="122"/>
        <v/>
      </c>
      <c r="C686" s="1011">
        <f>IF($D$2="NO",0,ROUNDDOWN(SUM(PROD!$V$5:V687)/IF(Iniciar!$C$25="kilos",40,1),0)-SUM($C$4:$C685))</f>
        <v>0</v>
      </c>
      <c r="D686" s="702"/>
      <c r="E686" s="702"/>
      <c r="F686" s="300">
        <f t="shared" si="127"/>
        <v>-95000</v>
      </c>
      <c r="G686" s="694"/>
      <c r="H686" s="695"/>
      <c r="I686" s="1314"/>
      <c r="J686" s="1315">
        <f>IF(K$1&gt;0,ROUNDUP(SUM(PROD!AM$5:AM687)/K$1*K$2,0),0)-SUM(J$4:J685)</f>
        <v>0</v>
      </c>
      <c r="K686" s="1316">
        <f t="shared" ref="K686:K717" si="129">K685+I686-J686</f>
        <v>0</v>
      </c>
      <c r="L686" s="1314"/>
      <c r="M686" s="1315">
        <f>IF(N$1&gt;0,ROUNDUP(SUM(PROD!L$5:L687,-PROD!AM$5:AM687,-PROD!AZ$5:AZ687)/N$1*N$2,0),0)-SUM(M$4:M685)</f>
        <v>0</v>
      </c>
      <c r="N686" s="1316">
        <f t="shared" ref="N686:N717" si="130">N685+L686-M686</f>
        <v>0</v>
      </c>
      <c r="O686" s="1317">
        <f t="shared" si="119"/>
        <v>0</v>
      </c>
      <c r="P686" s="1318"/>
      <c r="Q686" s="1319"/>
      <c r="R686" s="1320">
        <f t="shared" si="120"/>
        <v>0</v>
      </c>
      <c r="S686" s="1316">
        <f t="shared" si="121"/>
        <v>0</v>
      </c>
      <c r="T686" s="712"/>
      <c r="U686" s="713"/>
      <c r="V686" s="714"/>
      <c r="W686" s="398">
        <f t="shared" si="128"/>
        <v>0</v>
      </c>
      <c r="X686" s="712"/>
      <c r="Y686" s="713"/>
      <c r="Z686" s="714"/>
      <c r="AA686" s="398">
        <f t="shared" si="123"/>
        <v>0</v>
      </c>
      <c r="AB686" s="712"/>
      <c r="AC686" s="713"/>
      <c r="AD686" s="714"/>
      <c r="AE686" s="398">
        <f t="shared" si="124"/>
        <v>0</v>
      </c>
      <c r="AF686" s="712"/>
      <c r="AG686" s="713"/>
      <c r="AH686" s="714"/>
      <c r="AI686" s="398">
        <f t="shared" si="125"/>
        <v>0</v>
      </c>
      <c r="AJ686" s="712"/>
      <c r="AK686" s="713"/>
      <c r="AL686" s="714"/>
      <c r="AM686" s="398">
        <f t="shared" si="126"/>
        <v>0</v>
      </c>
    </row>
    <row r="687" spans="1:39" ht="15.75" customHeight="1" x14ac:dyDescent="0.3">
      <c r="A687" s="2161"/>
      <c r="B687" s="1313" t="str">
        <f t="shared" si="122"/>
        <v/>
      </c>
      <c r="C687" s="1011">
        <f>IF($D$2="NO",0,ROUNDDOWN(SUM(PROD!$V$5:V688)/IF(Iniciar!$C$25="kilos",40,1),0)-SUM($C$4:$C686))</f>
        <v>0</v>
      </c>
      <c r="D687" s="702"/>
      <c r="E687" s="702"/>
      <c r="F687" s="300">
        <f t="shared" si="127"/>
        <v>-95000</v>
      </c>
      <c r="G687" s="694"/>
      <c r="H687" s="695"/>
      <c r="I687" s="1314"/>
      <c r="J687" s="1315">
        <f>IF(K$1&gt;0,ROUNDUP(SUM(PROD!AM$5:AM688)/K$1*K$2,0),0)-SUM(J$4:J686)</f>
        <v>0</v>
      </c>
      <c r="K687" s="1316">
        <f t="shared" si="129"/>
        <v>0</v>
      </c>
      <c r="L687" s="1314"/>
      <c r="M687" s="1315">
        <f>IF(N$1&gt;0,ROUNDUP(SUM(PROD!L$5:L688,-PROD!AM$5:AM688,-PROD!AZ$5:AZ688)/N$1*N$2,0),0)-SUM(M$4:M686)</f>
        <v>0</v>
      </c>
      <c r="N687" s="1316">
        <f t="shared" si="130"/>
        <v>0</v>
      </c>
      <c r="O687" s="1317">
        <f t="shared" si="119"/>
        <v>0</v>
      </c>
      <c r="P687" s="1318"/>
      <c r="Q687" s="1319"/>
      <c r="R687" s="1320">
        <f t="shared" si="120"/>
        <v>0</v>
      </c>
      <c r="S687" s="1316">
        <f t="shared" si="121"/>
        <v>0</v>
      </c>
      <c r="T687" s="712"/>
      <c r="U687" s="713"/>
      <c r="V687" s="714"/>
      <c r="W687" s="398">
        <f t="shared" si="128"/>
        <v>0</v>
      </c>
      <c r="X687" s="712"/>
      <c r="Y687" s="713"/>
      <c r="Z687" s="714"/>
      <c r="AA687" s="398">
        <f t="shared" si="123"/>
        <v>0</v>
      </c>
      <c r="AB687" s="712"/>
      <c r="AC687" s="713"/>
      <c r="AD687" s="714"/>
      <c r="AE687" s="398">
        <f t="shared" si="124"/>
        <v>0</v>
      </c>
      <c r="AF687" s="712"/>
      <c r="AG687" s="713"/>
      <c r="AH687" s="714"/>
      <c r="AI687" s="398">
        <f t="shared" si="125"/>
        <v>0</v>
      </c>
      <c r="AJ687" s="712"/>
      <c r="AK687" s="713"/>
      <c r="AL687" s="714"/>
      <c r="AM687" s="398">
        <f t="shared" si="126"/>
        <v>0</v>
      </c>
    </row>
    <row r="688" spans="1:39" ht="15.75" customHeight="1" x14ac:dyDescent="0.3">
      <c r="A688" s="2161"/>
      <c r="B688" s="1313" t="str">
        <f t="shared" si="122"/>
        <v/>
      </c>
      <c r="C688" s="1011">
        <f>IF($D$2="NO",0,ROUNDDOWN(SUM(PROD!$V$5:V689)/IF(Iniciar!$C$25="kilos",40,1),0)-SUM($C$4:$C687))</f>
        <v>0</v>
      </c>
      <c r="D688" s="702"/>
      <c r="E688" s="702"/>
      <c r="F688" s="300">
        <f t="shared" si="127"/>
        <v>-95000</v>
      </c>
      <c r="G688" s="694"/>
      <c r="H688" s="695"/>
      <c r="I688" s="1314"/>
      <c r="J688" s="1315">
        <f>IF(K$1&gt;0,ROUNDUP(SUM(PROD!AM$5:AM689)/K$1*K$2,0),0)-SUM(J$4:J687)</f>
        <v>0</v>
      </c>
      <c r="K688" s="1316">
        <f t="shared" si="129"/>
        <v>0</v>
      </c>
      <c r="L688" s="1314"/>
      <c r="M688" s="1315">
        <f>IF(N$1&gt;0,ROUNDUP(SUM(PROD!L$5:L689,-PROD!AM$5:AM689,-PROD!AZ$5:AZ689)/N$1*N$2,0),0)-SUM(M$4:M687)</f>
        <v>0</v>
      </c>
      <c r="N688" s="1316">
        <f t="shared" si="130"/>
        <v>0</v>
      </c>
      <c r="O688" s="1317">
        <f t="shared" si="119"/>
        <v>0</v>
      </c>
      <c r="P688" s="1318"/>
      <c r="Q688" s="1319"/>
      <c r="R688" s="1320">
        <f t="shared" si="120"/>
        <v>0</v>
      </c>
      <c r="S688" s="1316">
        <f t="shared" si="121"/>
        <v>0</v>
      </c>
      <c r="T688" s="712"/>
      <c r="U688" s="713"/>
      <c r="V688" s="714"/>
      <c r="W688" s="398">
        <f t="shared" si="128"/>
        <v>0</v>
      </c>
      <c r="X688" s="712"/>
      <c r="Y688" s="713"/>
      <c r="Z688" s="714"/>
      <c r="AA688" s="398">
        <f t="shared" si="123"/>
        <v>0</v>
      </c>
      <c r="AB688" s="712"/>
      <c r="AC688" s="713"/>
      <c r="AD688" s="714"/>
      <c r="AE688" s="398">
        <f t="shared" si="124"/>
        <v>0</v>
      </c>
      <c r="AF688" s="712"/>
      <c r="AG688" s="713"/>
      <c r="AH688" s="714"/>
      <c r="AI688" s="398">
        <f t="shared" si="125"/>
        <v>0</v>
      </c>
      <c r="AJ688" s="712"/>
      <c r="AK688" s="713"/>
      <c r="AL688" s="714"/>
      <c r="AM688" s="398">
        <f t="shared" si="126"/>
        <v>0</v>
      </c>
    </row>
    <row r="689" spans="1:39" ht="16.5" customHeight="1" x14ac:dyDescent="0.3">
      <c r="A689" s="2162"/>
      <c r="B689" s="1313" t="str">
        <f t="shared" si="122"/>
        <v/>
      </c>
      <c r="C689" s="1011">
        <f>IF($D$2="NO",0,ROUNDDOWN(SUM(PROD!$V$5:V690)/IF(Iniciar!$C$25="kilos",40,1),0)-SUM($C$4:$C688))</f>
        <v>0</v>
      </c>
      <c r="D689" s="702"/>
      <c r="E689" s="702"/>
      <c r="F689" s="300">
        <f t="shared" si="127"/>
        <v>-95000</v>
      </c>
      <c r="G689" s="694"/>
      <c r="H689" s="695"/>
      <c r="I689" s="1314"/>
      <c r="J689" s="1315">
        <f>IF(K$1&gt;0,ROUNDUP(SUM(PROD!AM$5:AM690)/K$1*K$2,0),0)-SUM(J$4:J688)</f>
        <v>0</v>
      </c>
      <c r="K689" s="1316">
        <f t="shared" si="129"/>
        <v>0</v>
      </c>
      <c r="L689" s="1314"/>
      <c r="M689" s="1315">
        <f>IF(N$1&gt;0,ROUNDUP(SUM(PROD!L$5:L690,-PROD!AM$5:AM690,-PROD!AZ$5:AZ690)/N$1*N$2,0),0)-SUM(M$4:M688)</f>
        <v>0</v>
      </c>
      <c r="N689" s="1316">
        <f t="shared" si="130"/>
        <v>0</v>
      </c>
      <c r="O689" s="1317">
        <f t="shared" si="119"/>
        <v>0</v>
      </c>
      <c r="P689" s="1318"/>
      <c r="Q689" s="1319"/>
      <c r="R689" s="1320">
        <f t="shared" si="120"/>
        <v>0</v>
      </c>
      <c r="S689" s="1316">
        <f t="shared" si="121"/>
        <v>0</v>
      </c>
      <c r="T689" s="712"/>
      <c r="U689" s="713"/>
      <c r="V689" s="714"/>
      <c r="W689" s="398">
        <f t="shared" si="128"/>
        <v>0</v>
      </c>
      <c r="X689" s="712"/>
      <c r="Y689" s="713"/>
      <c r="Z689" s="714"/>
      <c r="AA689" s="398">
        <f t="shared" si="123"/>
        <v>0</v>
      </c>
      <c r="AB689" s="712"/>
      <c r="AC689" s="713"/>
      <c r="AD689" s="714"/>
      <c r="AE689" s="398">
        <f t="shared" si="124"/>
        <v>0</v>
      </c>
      <c r="AF689" s="712"/>
      <c r="AG689" s="713"/>
      <c r="AH689" s="714"/>
      <c r="AI689" s="398">
        <f t="shared" si="125"/>
        <v>0</v>
      </c>
      <c r="AJ689" s="712"/>
      <c r="AK689" s="713"/>
      <c r="AL689" s="714"/>
      <c r="AM689" s="398">
        <f t="shared" si="126"/>
        <v>0</v>
      </c>
    </row>
    <row r="690" spans="1:39" ht="16.5" customHeight="1" x14ac:dyDescent="0.3">
      <c r="A690" s="2160">
        <f>A683+1</f>
        <v>116</v>
      </c>
      <c r="B690" s="1313" t="str">
        <f t="shared" si="122"/>
        <v/>
      </c>
      <c r="C690" s="1011">
        <f>IF($D$2="NO",0,ROUNDDOWN(SUM(PROD!$V$5:V691)/IF(Iniciar!$C$25="kilos",40,1),0)-SUM($C$4:$C689))</f>
        <v>0</v>
      </c>
      <c r="D690" s="702"/>
      <c r="E690" s="702"/>
      <c r="F690" s="300">
        <f t="shared" si="127"/>
        <v>-95000</v>
      </c>
      <c r="G690" s="694"/>
      <c r="H690" s="695"/>
      <c r="I690" s="1314"/>
      <c r="J690" s="1315">
        <f>IF(K$1&gt;0,ROUNDUP(SUM(PROD!AM$5:AM691)/K$1*K$2,0),0)-SUM(J$4:J689)</f>
        <v>0</v>
      </c>
      <c r="K690" s="1316">
        <f t="shared" si="129"/>
        <v>0</v>
      </c>
      <c r="L690" s="1314"/>
      <c r="M690" s="1315">
        <f>IF(N$1&gt;0,ROUNDUP(SUM(PROD!L$5:L691,-PROD!AM$5:AM691,-PROD!AZ$5:AZ691)/N$1*N$2,0),0)-SUM(M$4:M689)</f>
        <v>0</v>
      </c>
      <c r="N690" s="1316">
        <f t="shared" si="130"/>
        <v>0</v>
      </c>
      <c r="O690" s="1317">
        <f t="shared" si="119"/>
        <v>0</v>
      </c>
      <c r="P690" s="1318"/>
      <c r="Q690" s="1319"/>
      <c r="R690" s="1320">
        <f t="shared" si="120"/>
        <v>0</v>
      </c>
      <c r="S690" s="1316">
        <f t="shared" si="121"/>
        <v>0</v>
      </c>
      <c r="T690" s="712"/>
      <c r="U690" s="713"/>
      <c r="V690" s="714"/>
      <c r="W690" s="398">
        <f t="shared" si="128"/>
        <v>0</v>
      </c>
      <c r="X690" s="712"/>
      <c r="Y690" s="713"/>
      <c r="Z690" s="714"/>
      <c r="AA690" s="398">
        <f t="shared" si="123"/>
        <v>0</v>
      </c>
      <c r="AB690" s="712"/>
      <c r="AC690" s="713"/>
      <c r="AD690" s="714"/>
      <c r="AE690" s="398">
        <f t="shared" si="124"/>
        <v>0</v>
      </c>
      <c r="AF690" s="712"/>
      <c r="AG690" s="713"/>
      <c r="AH690" s="714"/>
      <c r="AI690" s="398">
        <f t="shared" si="125"/>
        <v>0</v>
      </c>
      <c r="AJ690" s="712"/>
      <c r="AK690" s="713"/>
      <c r="AL690" s="714"/>
      <c r="AM690" s="398">
        <f t="shared" si="126"/>
        <v>0</v>
      </c>
    </row>
    <row r="691" spans="1:39" ht="15.75" customHeight="1" x14ac:dyDescent="0.3">
      <c r="A691" s="2161"/>
      <c r="B691" s="1313" t="str">
        <f t="shared" si="122"/>
        <v/>
      </c>
      <c r="C691" s="1011">
        <f>IF($D$2="NO",0,ROUNDDOWN(SUM(PROD!$V$5:V692)/IF(Iniciar!$C$25="kilos",40,1),0)-SUM($C$4:$C690))</f>
        <v>0</v>
      </c>
      <c r="D691" s="702"/>
      <c r="E691" s="702"/>
      <c r="F691" s="300">
        <f t="shared" si="127"/>
        <v>-95000</v>
      </c>
      <c r="G691" s="694"/>
      <c r="H691" s="695"/>
      <c r="I691" s="1314"/>
      <c r="J691" s="1315">
        <f>IF(K$1&gt;0,ROUNDUP(SUM(PROD!AM$5:AM692)/K$1*K$2,0),0)-SUM(J$4:J690)</f>
        <v>0</v>
      </c>
      <c r="K691" s="1316">
        <f t="shared" si="129"/>
        <v>0</v>
      </c>
      <c r="L691" s="1314"/>
      <c r="M691" s="1315">
        <f>IF(N$1&gt;0,ROUNDUP(SUM(PROD!L$5:L692,-PROD!AM$5:AM692,-PROD!AZ$5:AZ692)/N$1*N$2,0),0)-SUM(M$4:M690)</f>
        <v>0</v>
      </c>
      <c r="N691" s="1316">
        <f t="shared" si="130"/>
        <v>0</v>
      </c>
      <c r="O691" s="1317">
        <f t="shared" si="119"/>
        <v>0</v>
      </c>
      <c r="P691" s="1318"/>
      <c r="Q691" s="1319"/>
      <c r="R691" s="1320">
        <f t="shared" si="120"/>
        <v>0</v>
      </c>
      <c r="S691" s="1316">
        <f t="shared" si="121"/>
        <v>0</v>
      </c>
      <c r="T691" s="712"/>
      <c r="U691" s="713"/>
      <c r="V691" s="714"/>
      <c r="W691" s="398">
        <f t="shared" si="128"/>
        <v>0</v>
      </c>
      <c r="X691" s="712"/>
      <c r="Y691" s="713"/>
      <c r="Z691" s="714"/>
      <c r="AA691" s="398">
        <f t="shared" si="123"/>
        <v>0</v>
      </c>
      <c r="AB691" s="712"/>
      <c r="AC691" s="713"/>
      <c r="AD691" s="714"/>
      <c r="AE691" s="398">
        <f t="shared" si="124"/>
        <v>0</v>
      </c>
      <c r="AF691" s="712"/>
      <c r="AG691" s="713"/>
      <c r="AH691" s="714"/>
      <c r="AI691" s="398">
        <f t="shared" si="125"/>
        <v>0</v>
      </c>
      <c r="AJ691" s="712"/>
      <c r="AK691" s="713"/>
      <c r="AL691" s="714"/>
      <c r="AM691" s="398">
        <f t="shared" si="126"/>
        <v>0</v>
      </c>
    </row>
    <row r="692" spans="1:39" ht="15.75" customHeight="1" x14ac:dyDescent="0.3">
      <c r="A692" s="2161"/>
      <c r="B692" s="1313" t="str">
        <f t="shared" si="122"/>
        <v/>
      </c>
      <c r="C692" s="1011">
        <f>IF($D$2="NO",0,ROUNDDOWN(SUM(PROD!$V$5:V693)/IF(Iniciar!$C$25="kilos",40,1),0)-SUM($C$4:$C691))</f>
        <v>0</v>
      </c>
      <c r="D692" s="702"/>
      <c r="E692" s="702"/>
      <c r="F692" s="300">
        <f t="shared" si="127"/>
        <v>-95000</v>
      </c>
      <c r="G692" s="694"/>
      <c r="H692" s="695"/>
      <c r="I692" s="1314"/>
      <c r="J692" s="1315">
        <f>IF(K$1&gt;0,ROUNDUP(SUM(PROD!AM$5:AM693)/K$1*K$2,0),0)-SUM(J$4:J691)</f>
        <v>0</v>
      </c>
      <c r="K692" s="1316">
        <f t="shared" si="129"/>
        <v>0</v>
      </c>
      <c r="L692" s="1314"/>
      <c r="M692" s="1315">
        <f>IF(N$1&gt;0,ROUNDUP(SUM(PROD!L$5:L693,-PROD!AM$5:AM693,-PROD!AZ$5:AZ693)/N$1*N$2,0),0)-SUM(M$4:M691)</f>
        <v>0</v>
      </c>
      <c r="N692" s="1316">
        <f t="shared" si="130"/>
        <v>0</v>
      </c>
      <c r="O692" s="1317">
        <f t="shared" si="119"/>
        <v>0</v>
      </c>
      <c r="P692" s="1318"/>
      <c r="Q692" s="1319"/>
      <c r="R692" s="1320">
        <f t="shared" si="120"/>
        <v>0</v>
      </c>
      <c r="S692" s="1316">
        <f t="shared" si="121"/>
        <v>0</v>
      </c>
      <c r="T692" s="712"/>
      <c r="U692" s="713"/>
      <c r="V692" s="714"/>
      <c r="W692" s="398">
        <f t="shared" si="128"/>
        <v>0</v>
      </c>
      <c r="X692" s="712"/>
      <c r="Y692" s="713"/>
      <c r="Z692" s="714"/>
      <c r="AA692" s="398">
        <f t="shared" si="123"/>
        <v>0</v>
      </c>
      <c r="AB692" s="712"/>
      <c r="AC692" s="713"/>
      <c r="AD692" s="714"/>
      <c r="AE692" s="398">
        <f t="shared" si="124"/>
        <v>0</v>
      </c>
      <c r="AF692" s="712"/>
      <c r="AG692" s="713"/>
      <c r="AH692" s="714"/>
      <c r="AI692" s="398">
        <f t="shared" si="125"/>
        <v>0</v>
      </c>
      <c r="AJ692" s="712"/>
      <c r="AK692" s="713"/>
      <c r="AL692" s="714"/>
      <c r="AM692" s="398">
        <f t="shared" si="126"/>
        <v>0</v>
      </c>
    </row>
    <row r="693" spans="1:39" ht="15.75" customHeight="1" x14ac:dyDescent="0.3">
      <c r="A693" s="2161"/>
      <c r="B693" s="1313" t="str">
        <f t="shared" si="122"/>
        <v/>
      </c>
      <c r="C693" s="1011">
        <f>IF($D$2="NO",0,ROUNDDOWN(SUM(PROD!$V$5:V694)/IF(Iniciar!$C$25="kilos",40,1),0)-SUM($C$4:$C692))</f>
        <v>0</v>
      </c>
      <c r="D693" s="702"/>
      <c r="E693" s="702"/>
      <c r="F693" s="300">
        <f t="shared" si="127"/>
        <v>-95000</v>
      </c>
      <c r="G693" s="694"/>
      <c r="H693" s="695"/>
      <c r="I693" s="1314"/>
      <c r="J693" s="1315">
        <f>IF(K$1&gt;0,ROUNDUP(SUM(PROD!AM$5:AM694)/K$1*K$2,0),0)-SUM(J$4:J692)</f>
        <v>0</v>
      </c>
      <c r="K693" s="1316">
        <f t="shared" si="129"/>
        <v>0</v>
      </c>
      <c r="L693" s="1314"/>
      <c r="M693" s="1315">
        <f>IF(N$1&gt;0,ROUNDUP(SUM(PROD!L$5:L694,-PROD!AM$5:AM694,-PROD!AZ$5:AZ694)/N$1*N$2,0),0)-SUM(M$4:M692)</f>
        <v>0</v>
      </c>
      <c r="N693" s="1316">
        <f t="shared" si="130"/>
        <v>0</v>
      </c>
      <c r="O693" s="1317">
        <f t="shared" si="119"/>
        <v>0</v>
      </c>
      <c r="P693" s="1318"/>
      <c r="Q693" s="1319"/>
      <c r="R693" s="1320">
        <f t="shared" si="120"/>
        <v>0</v>
      </c>
      <c r="S693" s="1316">
        <f t="shared" si="121"/>
        <v>0</v>
      </c>
      <c r="T693" s="712"/>
      <c r="U693" s="713"/>
      <c r="V693" s="714"/>
      <c r="W693" s="398">
        <f t="shared" si="128"/>
        <v>0</v>
      </c>
      <c r="X693" s="712"/>
      <c r="Y693" s="713"/>
      <c r="Z693" s="714"/>
      <c r="AA693" s="398">
        <f t="shared" si="123"/>
        <v>0</v>
      </c>
      <c r="AB693" s="712"/>
      <c r="AC693" s="713"/>
      <c r="AD693" s="714"/>
      <c r="AE693" s="398">
        <f t="shared" si="124"/>
        <v>0</v>
      </c>
      <c r="AF693" s="712"/>
      <c r="AG693" s="713"/>
      <c r="AH693" s="714"/>
      <c r="AI693" s="398">
        <f t="shared" si="125"/>
        <v>0</v>
      </c>
      <c r="AJ693" s="712"/>
      <c r="AK693" s="713"/>
      <c r="AL693" s="714"/>
      <c r="AM693" s="398">
        <f t="shared" si="126"/>
        <v>0</v>
      </c>
    </row>
    <row r="694" spans="1:39" ht="15.75" customHeight="1" x14ac:dyDescent="0.3">
      <c r="A694" s="2161"/>
      <c r="B694" s="1313" t="str">
        <f t="shared" si="122"/>
        <v/>
      </c>
      <c r="C694" s="1011">
        <f>IF($D$2="NO",0,ROUNDDOWN(SUM(PROD!$V$5:V695)/IF(Iniciar!$C$25="kilos",40,1),0)-SUM($C$4:$C693))</f>
        <v>0</v>
      </c>
      <c r="D694" s="702"/>
      <c r="E694" s="702"/>
      <c r="F694" s="300">
        <f t="shared" si="127"/>
        <v>-95000</v>
      </c>
      <c r="G694" s="694"/>
      <c r="H694" s="695"/>
      <c r="I694" s="1314"/>
      <c r="J694" s="1315">
        <f>IF(K$1&gt;0,ROUNDUP(SUM(PROD!AM$5:AM695)/K$1*K$2,0),0)-SUM(J$4:J693)</f>
        <v>0</v>
      </c>
      <c r="K694" s="1316">
        <f t="shared" si="129"/>
        <v>0</v>
      </c>
      <c r="L694" s="1314"/>
      <c r="M694" s="1315">
        <f>IF(N$1&gt;0,ROUNDUP(SUM(PROD!L$5:L695,-PROD!AM$5:AM695,-PROD!AZ$5:AZ695)/N$1*N$2,0),0)-SUM(M$4:M693)</f>
        <v>0</v>
      </c>
      <c r="N694" s="1316">
        <f t="shared" si="130"/>
        <v>0</v>
      </c>
      <c r="O694" s="1317">
        <f t="shared" si="119"/>
        <v>0</v>
      </c>
      <c r="P694" s="1318"/>
      <c r="Q694" s="1319"/>
      <c r="R694" s="1320">
        <f t="shared" si="120"/>
        <v>0</v>
      </c>
      <c r="S694" s="1316">
        <f t="shared" si="121"/>
        <v>0</v>
      </c>
      <c r="T694" s="712"/>
      <c r="U694" s="713"/>
      <c r="V694" s="714"/>
      <c r="W694" s="398">
        <f t="shared" si="128"/>
        <v>0</v>
      </c>
      <c r="X694" s="712"/>
      <c r="Y694" s="713"/>
      <c r="Z694" s="714"/>
      <c r="AA694" s="398">
        <f t="shared" si="123"/>
        <v>0</v>
      </c>
      <c r="AB694" s="712"/>
      <c r="AC694" s="713"/>
      <c r="AD694" s="714"/>
      <c r="AE694" s="398">
        <f t="shared" si="124"/>
        <v>0</v>
      </c>
      <c r="AF694" s="712"/>
      <c r="AG694" s="713"/>
      <c r="AH694" s="714"/>
      <c r="AI694" s="398">
        <f t="shared" si="125"/>
        <v>0</v>
      </c>
      <c r="AJ694" s="712"/>
      <c r="AK694" s="713"/>
      <c r="AL694" s="714"/>
      <c r="AM694" s="398">
        <f t="shared" si="126"/>
        <v>0</v>
      </c>
    </row>
    <row r="695" spans="1:39" ht="15.75" customHeight="1" x14ac:dyDescent="0.3">
      <c r="A695" s="2161"/>
      <c r="B695" s="1313" t="str">
        <f t="shared" si="122"/>
        <v/>
      </c>
      <c r="C695" s="1011">
        <f>IF($D$2="NO",0,ROUNDDOWN(SUM(PROD!$V$5:V696)/IF(Iniciar!$C$25="kilos",40,1),0)-SUM($C$4:$C694))</f>
        <v>0</v>
      </c>
      <c r="D695" s="702"/>
      <c r="E695" s="702"/>
      <c r="F695" s="300">
        <f t="shared" si="127"/>
        <v>-95000</v>
      </c>
      <c r="G695" s="694"/>
      <c r="H695" s="695"/>
      <c r="I695" s="1314"/>
      <c r="J695" s="1315">
        <f>IF(K$1&gt;0,ROUNDUP(SUM(PROD!AM$5:AM696)/K$1*K$2,0),0)-SUM(J$4:J694)</f>
        <v>0</v>
      </c>
      <c r="K695" s="1316">
        <f t="shared" si="129"/>
        <v>0</v>
      </c>
      <c r="L695" s="1314"/>
      <c r="M695" s="1315">
        <f>IF(N$1&gt;0,ROUNDUP(SUM(PROD!L$5:L696,-PROD!AM$5:AM696,-PROD!AZ$5:AZ696)/N$1*N$2,0),0)-SUM(M$4:M694)</f>
        <v>0</v>
      </c>
      <c r="N695" s="1316">
        <f t="shared" si="130"/>
        <v>0</v>
      </c>
      <c r="O695" s="1317">
        <f t="shared" si="119"/>
        <v>0</v>
      </c>
      <c r="P695" s="1318"/>
      <c r="Q695" s="1319"/>
      <c r="R695" s="1320">
        <f t="shared" si="120"/>
        <v>0</v>
      </c>
      <c r="S695" s="1316">
        <f t="shared" si="121"/>
        <v>0</v>
      </c>
      <c r="T695" s="712"/>
      <c r="U695" s="713"/>
      <c r="V695" s="714"/>
      <c r="W695" s="398">
        <f t="shared" si="128"/>
        <v>0</v>
      </c>
      <c r="X695" s="712"/>
      <c r="Y695" s="713"/>
      <c r="Z695" s="714"/>
      <c r="AA695" s="398">
        <f t="shared" si="123"/>
        <v>0</v>
      </c>
      <c r="AB695" s="712"/>
      <c r="AC695" s="713"/>
      <c r="AD695" s="714"/>
      <c r="AE695" s="398">
        <f t="shared" si="124"/>
        <v>0</v>
      </c>
      <c r="AF695" s="712"/>
      <c r="AG695" s="713"/>
      <c r="AH695" s="714"/>
      <c r="AI695" s="398">
        <f t="shared" si="125"/>
        <v>0</v>
      </c>
      <c r="AJ695" s="712"/>
      <c r="AK695" s="713"/>
      <c r="AL695" s="714"/>
      <c r="AM695" s="398">
        <f t="shared" si="126"/>
        <v>0</v>
      </c>
    </row>
    <row r="696" spans="1:39" ht="16.5" customHeight="1" x14ac:dyDescent="0.3">
      <c r="A696" s="2162"/>
      <c r="B696" s="1313" t="str">
        <f t="shared" si="122"/>
        <v/>
      </c>
      <c r="C696" s="1011">
        <f>IF($D$2="NO",0,ROUNDDOWN(SUM(PROD!$V$5:V697)/IF(Iniciar!$C$25="kilos",40,1),0)-SUM($C$4:$C695))</f>
        <v>0</v>
      </c>
      <c r="D696" s="702"/>
      <c r="E696" s="702"/>
      <c r="F696" s="300">
        <f t="shared" si="127"/>
        <v>-95000</v>
      </c>
      <c r="G696" s="694"/>
      <c r="H696" s="695"/>
      <c r="I696" s="1314"/>
      <c r="J696" s="1315">
        <f>IF(K$1&gt;0,ROUNDUP(SUM(PROD!AM$5:AM697)/K$1*K$2,0),0)-SUM(J$4:J695)</f>
        <v>0</v>
      </c>
      <c r="K696" s="1316">
        <f t="shared" si="129"/>
        <v>0</v>
      </c>
      <c r="L696" s="1314"/>
      <c r="M696" s="1315">
        <f>IF(N$1&gt;0,ROUNDUP(SUM(PROD!L$5:L697,-PROD!AM$5:AM697,-PROD!AZ$5:AZ697)/N$1*N$2,0),0)-SUM(M$4:M695)</f>
        <v>0</v>
      </c>
      <c r="N696" s="1316">
        <f t="shared" si="130"/>
        <v>0</v>
      </c>
      <c r="O696" s="1317">
        <f t="shared" si="119"/>
        <v>0</v>
      </c>
      <c r="P696" s="1318"/>
      <c r="Q696" s="1319"/>
      <c r="R696" s="1320">
        <f t="shared" si="120"/>
        <v>0</v>
      </c>
      <c r="S696" s="1316">
        <f t="shared" si="121"/>
        <v>0</v>
      </c>
      <c r="T696" s="712"/>
      <c r="U696" s="713"/>
      <c r="V696" s="714"/>
      <c r="W696" s="398">
        <f t="shared" si="128"/>
        <v>0</v>
      </c>
      <c r="X696" s="712"/>
      <c r="Y696" s="713"/>
      <c r="Z696" s="714"/>
      <c r="AA696" s="398">
        <f t="shared" si="123"/>
        <v>0</v>
      </c>
      <c r="AB696" s="712"/>
      <c r="AC696" s="713"/>
      <c r="AD696" s="714"/>
      <c r="AE696" s="398">
        <f t="shared" si="124"/>
        <v>0</v>
      </c>
      <c r="AF696" s="712"/>
      <c r="AG696" s="713"/>
      <c r="AH696" s="714"/>
      <c r="AI696" s="398">
        <f t="shared" si="125"/>
        <v>0</v>
      </c>
      <c r="AJ696" s="712"/>
      <c r="AK696" s="713"/>
      <c r="AL696" s="714"/>
      <c r="AM696" s="398">
        <f t="shared" si="126"/>
        <v>0</v>
      </c>
    </row>
    <row r="697" spans="1:39" ht="16.5" customHeight="1" x14ac:dyDescent="0.3">
      <c r="A697" s="2160">
        <f>A690+1</f>
        <v>117</v>
      </c>
      <c r="B697" s="1313" t="str">
        <f t="shared" si="122"/>
        <v/>
      </c>
      <c r="C697" s="1011">
        <f>IF($D$2="NO",0,ROUNDDOWN(SUM(PROD!$V$5:V698)/IF(Iniciar!$C$25="kilos",40,1),0)-SUM($C$4:$C696))</f>
        <v>0</v>
      </c>
      <c r="D697" s="702"/>
      <c r="E697" s="702"/>
      <c r="F697" s="300">
        <f t="shared" si="127"/>
        <v>-95000</v>
      </c>
      <c r="G697" s="694"/>
      <c r="H697" s="695"/>
      <c r="I697" s="1314"/>
      <c r="J697" s="1315">
        <f>IF(K$1&gt;0,ROUNDUP(SUM(PROD!AM$5:AM698)/K$1*K$2,0),0)-SUM(J$4:J696)</f>
        <v>0</v>
      </c>
      <c r="K697" s="1316">
        <f t="shared" si="129"/>
        <v>0</v>
      </c>
      <c r="L697" s="1314"/>
      <c r="M697" s="1315">
        <f>IF(N$1&gt;0,ROUNDUP(SUM(PROD!L$5:L698,-PROD!AM$5:AM698,-PROD!AZ$5:AZ698)/N$1*N$2,0),0)-SUM(M$4:M696)</f>
        <v>0</v>
      </c>
      <c r="N697" s="1316">
        <f t="shared" si="130"/>
        <v>0</v>
      </c>
      <c r="O697" s="1317">
        <f t="shared" si="119"/>
        <v>0</v>
      </c>
      <c r="P697" s="1318"/>
      <c r="Q697" s="1319"/>
      <c r="R697" s="1320">
        <f t="shared" si="120"/>
        <v>0</v>
      </c>
      <c r="S697" s="1316">
        <f t="shared" si="121"/>
        <v>0</v>
      </c>
      <c r="T697" s="712"/>
      <c r="U697" s="713"/>
      <c r="V697" s="714"/>
      <c r="W697" s="398">
        <f t="shared" si="128"/>
        <v>0</v>
      </c>
      <c r="X697" s="712"/>
      <c r="Y697" s="713"/>
      <c r="Z697" s="714"/>
      <c r="AA697" s="398">
        <f t="shared" si="123"/>
        <v>0</v>
      </c>
      <c r="AB697" s="712"/>
      <c r="AC697" s="713"/>
      <c r="AD697" s="714"/>
      <c r="AE697" s="398">
        <f t="shared" si="124"/>
        <v>0</v>
      </c>
      <c r="AF697" s="712"/>
      <c r="AG697" s="713"/>
      <c r="AH697" s="714"/>
      <c r="AI697" s="398">
        <f t="shared" si="125"/>
        <v>0</v>
      </c>
      <c r="AJ697" s="712"/>
      <c r="AK697" s="713"/>
      <c r="AL697" s="714"/>
      <c r="AM697" s="398">
        <f t="shared" si="126"/>
        <v>0</v>
      </c>
    </row>
    <row r="698" spans="1:39" ht="15.75" customHeight="1" x14ac:dyDescent="0.3">
      <c r="A698" s="2161"/>
      <c r="B698" s="1313" t="str">
        <f t="shared" si="122"/>
        <v/>
      </c>
      <c r="C698" s="1011">
        <f>IF($D$2="NO",0,ROUNDDOWN(SUM(PROD!$V$5:V699)/IF(Iniciar!$C$25="kilos",40,1),0)-SUM($C$4:$C697))</f>
        <v>0</v>
      </c>
      <c r="D698" s="702"/>
      <c r="E698" s="702"/>
      <c r="F698" s="300">
        <f t="shared" si="127"/>
        <v>-95000</v>
      </c>
      <c r="G698" s="694"/>
      <c r="H698" s="695"/>
      <c r="I698" s="1314"/>
      <c r="J698" s="1315">
        <f>IF(K$1&gt;0,ROUNDUP(SUM(PROD!AM$5:AM699)/K$1*K$2,0),0)-SUM(J$4:J697)</f>
        <v>0</v>
      </c>
      <c r="K698" s="1316">
        <f t="shared" si="129"/>
        <v>0</v>
      </c>
      <c r="L698" s="1314"/>
      <c r="M698" s="1315">
        <f>IF(N$1&gt;0,ROUNDUP(SUM(PROD!L$5:L699,-PROD!AM$5:AM699,-PROD!AZ$5:AZ699)/N$1*N$2,0),0)-SUM(M$4:M697)</f>
        <v>0</v>
      </c>
      <c r="N698" s="1316">
        <f t="shared" si="130"/>
        <v>0</v>
      </c>
      <c r="O698" s="1317">
        <f t="shared" si="119"/>
        <v>0</v>
      </c>
      <c r="P698" s="1318"/>
      <c r="Q698" s="1319"/>
      <c r="R698" s="1320">
        <f t="shared" si="120"/>
        <v>0</v>
      </c>
      <c r="S698" s="1316">
        <f t="shared" si="121"/>
        <v>0</v>
      </c>
      <c r="T698" s="712"/>
      <c r="U698" s="713"/>
      <c r="V698" s="714"/>
      <c r="W698" s="398">
        <f t="shared" si="128"/>
        <v>0</v>
      </c>
      <c r="X698" s="712"/>
      <c r="Y698" s="713"/>
      <c r="Z698" s="714"/>
      <c r="AA698" s="398">
        <f t="shared" si="123"/>
        <v>0</v>
      </c>
      <c r="AB698" s="712"/>
      <c r="AC698" s="713"/>
      <c r="AD698" s="714"/>
      <c r="AE698" s="398">
        <f t="shared" si="124"/>
        <v>0</v>
      </c>
      <c r="AF698" s="712"/>
      <c r="AG698" s="713"/>
      <c r="AH698" s="714"/>
      <c r="AI698" s="398">
        <f t="shared" si="125"/>
        <v>0</v>
      </c>
      <c r="AJ698" s="712"/>
      <c r="AK698" s="713"/>
      <c r="AL698" s="714"/>
      <c r="AM698" s="398">
        <f t="shared" si="126"/>
        <v>0</v>
      </c>
    </row>
    <row r="699" spans="1:39" ht="15.75" customHeight="1" x14ac:dyDescent="0.3">
      <c r="A699" s="2161"/>
      <c r="B699" s="1313" t="str">
        <f t="shared" si="122"/>
        <v/>
      </c>
      <c r="C699" s="1011">
        <f>IF($D$2="NO",0,ROUNDDOWN(SUM(PROD!$V$5:V700)/IF(Iniciar!$C$25="kilos",40,1),0)-SUM($C$4:$C698))</f>
        <v>0</v>
      </c>
      <c r="D699" s="702"/>
      <c r="E699" s="702"/>
      <c r="F699" s="300">
        <f t="shared" si="127"/>
        <v>-95000</v>
      </c>
      <c r="G699" s="694"/>
      <c r="H699" s="695"/>
      <c r="I699" s="1314"/>
      <c r="J699" s="1315">
        <f>IF(K$1&gt;0,ROUNDUP(SUM(PROD!AM$5:AM700)/K$1*K$2,0),0)-SUM(J$4:J698)</f>
        <v>0</v>
      </c>
      <c r="K699" s="1316">
        <f t="shared" si="129"/>
        <v>0</v>
      </c>
      <c r="L699" s="1314"/>
      <c r="M699" s="1315">
        <f>IF(N$1&gt;0,ROUNDUP(SUM(PROD!L$5:L700,-PROD!AM$5:AM700,-PROD!AZ$5:AZ700)/N$1*N$2,0),0)-SUM(M$4:M698)</f>
        <v>0</v>
      </c>
      <c r="N699" s="1316">
        <f t="shared" si="130"/>
        <v>0</v>
      </c>
      <c r="O699" s="1317">
        <f t="shared" si="119"/>
        <v>0</v>
      </c>
      <c r="P699" s="1318"/>
      <c r="Q699" s="1319"/>
      <c r="R699" s="1320">
        <f t="shared" si="120"/>
        <v>0</v>
      </c>
      <c r="S699" s="1316">
        <f t="shared" si="121"/>
        <v>0</v>
      </c>
      <c r="T699" s="712"/>
      <c r="U699" s="713"/>
      <c r="V699" s="714"/>
      <c r="W699" s="398">
        <f t="shared" si="128"/>
        <v>0</v>
      </c>
      <c r="X699" s="712"/>
      <c r="Y699" s="713"/>
      <c r="Z699" s="714"/>
      <c r="AA699" s="398">
        <f t="shared" si="123"/>
        <v>0</v>
      </c>
      <c r="AB699" s="712"/>
      <c r="AC699" s="713"/>
      <c r="AD699" s="714"/>
      <c r="AE699" s="398">
        <f t="shared" si="124"/>
        <v>0</v>
      </c>
      <c r="AF699" s="712"/>
      <c r="AG699" s="713"/>
      <c r="AH699" s="714"/>
      <c r="AI699" s="398">
        <f t="shared" si="125"/>
        <v>0</v>
      </c>
      <c r="AJ699" s="712"/>
      <c r="AK699" s="713"/>
      <c r="AL699" s="714"/>
      <c r="AM699" s="398">
        <f t="shared" si="126"/>
        <v>0</v>
      </c>
    </row>
    <row r="700" spans="1:39" ht="15.75" customHeight="1" x14ac:dyDescent="0.3">
      <c r="A700" s="2161"/>
      <c r="B700" s="1313" t="str">
        <f t="shared" si="122"/>
        <v/>
      </c>
      <c r="C700" s="1011">
        <f>IF($D$2="NO",0,ROUNDDOWN(SUM(PROD!$V$5:V701)/IF(Iniciar!$C$25="kilos",40,1),0)-SUM($C$4:$C699))</f>
        <v>0</v>
      </c>
      <c r="D700" s="702"/>
      <c r="E700" s="702"/>
      <c r="F700" s="300">
        <f t="shared" si="127"/>
        <v>-95000</v>
      </c>
      <c r="G700" s="694"/>
      <c r="H700" s="695"/>
      <c r="I700" s="1314"/>
      <c r="J700" s="1315">
        <f>IF(K$1&gt;0,ROUNDUP(SUM(PROD!AM$5:AM701)/K$1*K$2,0),0)-SUM(J$4:J699)</f>
        <v>0</v>
      </c>
      <c r="K700" s="1316">
        <f t="shared" si="129"/>
        <v>0</v>
      </c>
      <c r="L700" s="1314"/>
      <c r="M700" s="1315">
        <f>IF(N$1&gt;0,ROUNDUP(SUM(PROD!L$5:L701,-PROD!AM$5:AM701,-PROD!AZ$5:AZ701)/N$1*N$2,0),0)-SUM(M$4:M699)</f>
        <v>0</v>
      </c>
      <c r="N700" s="1316">
        <f t="shared" si="130"/>
        <v>0</v>
      </c>
      <c r="O700" s="1317">
        <f t="shared" si="119"/>
        <v>0</v>
      </c>
      <c r="P700" s="1318"/>
      <c r="Q700" s="1319"/>
      <c r="R700" s="1320">
        <f t="shared" si="120"/>
        <v>0</v>
      </c>
      <c r="S700" s="1316">
        <f t="shared" si="121"/>
        <v>0</v>
      </c>
      <c r="T700" s="712"/>
      <c r="U700" s="713"/>
      <c r="V700" s="714"/>
      <c r="W700" s="398">
        <f t="shared" si="128"/>
        <v>0</v>
      </c>
      <c r="X700" s="712"/>
      <c r="Y700" s="713"/>
      <c r="Z700" s="714"/>
      <c r="AA700" s="398">
        <f t="shared" si="123"/>
        <v>0</v>
      </c>
      <c r="AB700" s="712"/>
      <c r="AC700" s="713"/>
      <c r="AD700" s="714"/>
      <c r="AE700" s="398">
        <f t="shared" si="124"/>
        <v>0</v>
      </c>
      <c r="AF700" s="712"/>
      <c r="AG700" s="713"/>
      <c r="AH700" s="714"/>
      <c r="AI700" s="398">
        <f t="shared" si="125"/>
        <v>0</v>
      </c>
      <c r="AJ700" s="712"/>
      <c r="AK700" s="713"/>
      <c r="AL700" s="714"/>
      <c r="AM700" s="398">
        <f t="shared" si="126"/>
        <v>0</v>
      </c>
    </row>
    <row r="701" spans="1:39" ht="15.75" customHeight="1" x14ac:dyDescent="0.3">
      <c r="A701" s="2161"/>
      <c r="B701" s="1313" t="str">
        <f t="shared" si="122"/>
        <v/>
      </c>
      <c r="C701" s="1011">
        <f>IF($D$2="NO",0,ROUNDDOWN(SUM(PROD!$V$5:V702)/IF(Iniciar!$C$25="kilos",40,1),0)-SUM($C$4:$C700))</f>
        <v>0</v>
      </c>
      <c r="D701" s="702"/>
      <c r="E701" s="702"/>
      <c r="F701" s="300">
        <f t="shared" si="127"/>
        <v>-95000</v>
      </c>
      <c r="G701" s="694"/>
      <c r="H701" s="695"/>
      <c r="I701" s="1314"/>
      <c r="J701" s="1315">
        <f>IF(K$1&gt;0,ROUNDUP(SUM(PROD!AM$5:AM702)/K$1*K$2,0),0)-SUM(J$4:J700)</f>
        <v>0</v>
      </c>
      <c r="K701" s="1316">
        <f t="shared" si="129"/>
        <v>0</v>
      </c>
      <c r="L701" s="1314"/>
      <c r="M701" s="1315">
        <f>IF(N$1&gt;0,ROUNDUP(SUM(PROD!L$5:L702,-PROD!AM$5:AM702,-PROD!AZ$5:AZ702)/N$1*N$2,0),0)-SUM(M$4:M700)</f>
        <v>0</v>
      </c>
      <c r="N701" s="1316">
        <f t="shared" si="130"/>
        <v>0</v>
      </c>
      <c r="O701" s="1317">
        <f t="shared" si="119"/>
        <v>0</v>
      </c>
      <c r="P701" s="1318"/>
      <c r="Q701" s="1319"/>
      <c r="R701" s="1320">
        <f t="shared" si="120"/>
        <v>0</v>
      </c>
      <c r="S701" s="1316">
        <f t="shared" si="121"/>
        <v>0</v>
      </c>
      <c r="T701" s="712"/>
      <c r="U701" s="713"/>
      <c r="V701" s="714"/>
      <c r="W701" s="398">
        <f t="shared" si="128"/>
        <v>0</v>
      </c>
      <c r="X701" s="712"/>
      <c r="Y701" s="713"/>
      <c r="Z701" s="714"/>
      <c r="AA701" s="398">
        <f t="shared" si="123"/>
        <v>0</v>
      </c>
      <c r="AB701" s="712"/>
      <c r="AC701" s="713"/>
      <c r="AD701" s="714"/>
      <c r="AE701" s="398">
        <f t="shared" si="124"/>
        <v>0</v>
      </c>
      <c r="AF701" s="712"/>
      <c r="AG701" s="713"/>
      <c r="AH701" s="714"/>
      <c r="AI701" s="398">
        <f t="shared" si="125"/>
        <v>0</v>
      </c>
      <c r="AJ701" s="712"/>
      <c r="AK701" s="713"/>
      <c r="AL701" s="714"/>
      <c r="AM701" s="398">
        <f t="shared" si="126"/>
        <v>0</v>
      </c>
    </row>
    <row r="702" spans="1:39" ht="15.75" customHeight="1" x14ac:dyDescent="0.3">
      <c r="A702" s="2161"/>
      <c r="B702" s="1313" t="str">
        <f t="shared" si="122"/>
        <v/>
      </c>
      <c r="C702" s="1011">
        <f>IF($D$2="NO",0,ROUNDDOWN(SUM(PROD!$V$5:V703)/IF(Iniciar!$C$25="kilos",40,1),0)-SUM($C$4:$C701))</f>
        <v>0</v>
      </c>
      <c r="D702" s="702"/>
      <c r="E702" s="702"/>
      <c r="F702" s="300">
        <f t="shared" si="127"/>
        <v>-95000</v>
      </c>
      <c r="G702" s="694"/>
      <c r="H702" s="695"/>
      <c r="I702" s="1314"/>
      <c r="J702" s="1315">
        <f>IF(K$1&gt;0,ROUNDUP(SUM(PROD!AM$5:AM703)/K$1*K$2,0),0)-SUM(J$4:J701)</f>
        <v>0</v>
      </c>
      <c r="K702" s="1316">
        <f t="shared" si="129"/>
        <v>0</v>
      </c>
      <c r="L702" s="1314"/>
      <c r="M702" s="1315">
        <f>IF(N$1&gt;0,ROUNDUP(SUM(PROD!L$5:L703,-PROD!AM$5:AM703,-PROD!AZ$5:AZ703)/N$1*N$2,0),0)-SUM(M$4:M701)</f>
        <v>0</v>
      </c>
      <c r="N702" s="1316">
        <f t="shared" si="130"/>
        <v>0</v>
      </c>
      <c r="O702" s="1317">
        <f t="shared" si="119"/>
        <v>0</v>
      </c>
      <c r="P702" s="1318"/>
      <c r="Q702" s="1319"/>
      <c r="R702" s="1320">
        <f t="shared" si="120"/>
        <v>0</v>
      </c>
      <c r="S702" s="1316">
        <f t="shared" si="121"/>
        <v>0</v>
      </c>
      <c r="T702" s="712"/>
      <c r="U702" s="713"/>
      <c r="V702" s="714"/>
      <c r="W702" s="398">
        <f t="shared" si="128"/>
        <v>0</v>
      </c>
      <c r="X702" s="712"/>
      <c r="Y702" s="713"/>
      <c r="Z702" s="714"/>
      <c r="AA702" s="398">
        <f t="shared" si="123"/>
        <v>0</v>
      </c>
      <c r="AB702" s="712"/>
      <c r="AC702" s="713"/>
      <c r="AD702" s="714"/>
      <c r="AE702" s="398">
        <f t="shared" si="124"/>
        <v>0</v>
      </c>
      <c r="AF702" s="712"/>
      <c r="AG702" s="713"/>
      <c r="AH702" s="714"/>
      <c r="AI702" s="398">
        <f t="shared" si="125"/>
        <v>0</v>
      </c>
      <c r="AJ702" s="712"/>
      <c r="AK702" s="713"/>
      <c r="AL702" s="714"/>
      <c r="AM702" s="398">
        <f t="shared" si="126"/>
        <v>0</v>
      </c>
    </row>
    <row r="703" spans="1:39" ht="16.5" customHeight="1" x14ac:dyDescent="0.3">
      <c r="A703" s="2162"/>
      <c r="B703" s="1313" t="str">
        <f t="shared" si="122"/>
        <v/>
      </c>
      <c r="C703" s="1011">
        <f>IF($D$2="NO",0,ROUNDDOWN(SUM(PROD!$V$5:V704)/IF(Iniciar!$C$25="kilos",40,1),0)-SUM($C$4:$C702))</f>
        <v>0</v>
      </c>
      <c r="D703" s="702"/>
      <c r="E703" s="702"/>
      <c r="F703" s="300">
        <f t="shared" si="127"/>
        <v>-95000</v>
      </c>
      <c r="G703" s="694"/>
      <c r="H703" s="695"/>
      <c r="I703" s="1314"/>
      <c r="J703" s="1315">
        <f>IF(K$1&gt;0,ROUNDUP(SUM(PROD!AM$5:AM704)/K$1*K$2,0),0)-SUM(J$4:J702)</f>
        <v>0</v>
      </c>
      <c r="K703" s="1316">
        <f t="shared" si="129"/>
        <v>0</v>
      </c>
      <c r="L703" s="1314"/>
      <c r="M703" s="1315">
        <f>IF(N$1&gt;0,ROUNDUP(SUM(PROD!L$5:L704,-PROD!AM$5:AM704,-PROD!AZ$5:AZ704)/N$1*N$2,0),0)-SUM(M$4:M702)</f>
        <v>0</v>
      </c>
      <c r="N703" s="1316">
        <f t="shared" si="130"/>
        <v>0</v>
      </c>
      <c r="O703" s="1317">
        <f t="shared" si="119"/>
        <v>0</v>
      </c>
      <c r="P703" s="1318"/>
      <c r="Q703" s="1319"/>
      <c r="R703" s="1320">
        <f t="shared" si="120"/>
        <v>0</v>
      </c>
      <c r="S703" s="1316">
        <f t="shared" si="121"/>
        <v>0</v>
      </c>
      <c r="T703" s="712"/>
      <c r="U703" s="713"/>
      <c r="V703" s="714"/>
      <c r="W703" s="398">
        <f t="shared" si="128"/>
        <v>0</v>
      </c>
      <c r="X703" s="712"/>
      <c r="Y703" s="713"/>
      <c r="Z703" s="714"/>
      <c r="AA703" s="398">
        <f t="shared" si="123"/>
        <v>0</v>
      </c>
      <c r="AB703" s="712"/>
      <c r="AC703" s="713"/>
      <c r="AD703" s="714"/>
      <c r="AE703" s="398">
        <f t="shared" si="124"/>
        <v>0</v>
      </c>
      <c r="AF703" s="712"/>
      <c r="AG703" s="713"/>
      <c r="AH703" s="714"/>
      <c r="AI703" s="398">
        <f t="shared" si="125"/>
        <v>0</v>
      </c>
      <c r="AJ703" s="712"/>
      <c r="AK703" s="713"/>
      <c r="AL703" s="714"/>
      <c r="AM703" s="398">
        <f t="shared" si="126"/>
        <v>0</v>
      </c>
    </row>
    <row r="704" spans="1:39" ht="16.5" customHeight="1" x14ac:dyDescent="0.3">
      <c r="A704" s="2160">
        <f>A697+1</f>
        <v>118</v>
      </c>
      <c r="B704" s="1313" t="str">
        <f t="shared" si="122"/>
        <v/>
      </c>
      <c r="C704" s="1011">
        <f>IF($D$2="NO",0,ROUNDDOWN(SUM(PROD!$V$5:V705)/IF(Iniciar!$C$25="kilos",40,1),0)-SUM($C$4:$C703))</f>
        <v>0</v>
      </c>
      <c r="D704" s="702"/>
      <c r="E704" s="702"/>
      <c r="F704" s="300">
        <f t="shared" si="127"/>
        <v>-95000</v>
      </c>
      <c r="G704" s="694"/>
      <c r="H704" s="695"/>
      <c r="I704" s="1314"/>
      <c r="J704" s="1315">
        <f>IF(K$1&gt;0,ROUNDUP(SUM(PROD!AM$5:AM705)/K$1*K$2,0),0)-SUM(J$4:J703)</f>
        <v>0</v>
      </c>
      <c r="K704" s="1316">
        <f t="shared" si="129"/>
        <v>0</v>
      </c>
      <c r="L704" s="1314"/>
      <c r="M704" s="1315">
        <f>IF(N$1&gt;0,ROUNDUP(SUM(PROD!L$5:L705,-PROD!AM$5:AM705,-PROD!AZ$5:AZ705)/N$1*N$2,0),0)-SUM(M$4:M703)</f>
        <v>0</v>
      </c>
      <c r="N704" s="1316">
        <f t="shared" si="130"/>
        <v>0</v>
      </c>
      <c r="O704" s="1317">
        <f t="shared" si="119"/>
        <v>0</v>
      </c>
      <c r="P704" s="1318"/>
      <c r="Q704" s="1319"/>
      <c r="R704" s="1320">
        <f t="shared" si="120"/>
        <v>0</v>
      </c>
      <c r="S704" s="1316">
        <f t="shared" si="121"/>
        <v>0</v>
      </c>
      <c r="T704" s="712"/>
      <c r="U704" s="713"/>
      <c r="V704" s="714"/>
      <c r="W704" s="398">
        <f t="shared" si="128"/>
        <v>0</v>
      </c>
      <c r="X704" s="712"/>
      <c r="Y704" s="713"/>
      <c r="Z704" s="714"/>
      <c r="AA704" s="398">
        <f t="shared" si="123"/>
        <v>0</v>
      </c>
      <c r="AB704" s="712"/>
      <c r="AC704" s="713"/>
      <c r="AD704" s="714"/>
      <c r="AE704" s="398">
        <f t="shared" si="124"/>
        <v>0</v>
      </c>
      <c r="AF704" s="712"/>
      <c r="AG704" s="713"/>
      <c r="AH704" s="714"/>
      <c r="AI704" s="398">
        <f t="shared" si="125"/>
        <v>0</v>
      </c>
      <c r="AJ704" s="712"/>
      <c r="AK704" s="713"/>
      <c r="AL704" s="714"/>
      <c r="AM704" s="398">
        <f t="shared" si="126"/>
        <v>0</v>
      </c>
    </row>
    <row r="705" spans="1:39" ht="15.75" customHeight="1" x14ac:dyDescent="0.3">
      <c r="A705" s="2161"/>
      <c r="B705" s="1313" t="str">
        <f t="shared" si="122"/>
        <v/>
      </c>
      <c r="C705" s="1011">
        <f>IF($D$2="NO",0,ROUNDDOWN(SUM(PROD!$V$5:V706)/IF(Iniciar!$C$25="kilos",40,1),0)-SUM($C$4:$C704))</f>
        <v>0</v>
      </c>
      <c r="D705" s="702"/>
      <c r="E705" s="702"/>
      <c r="F705" s="300">
        <f t="shared" si="127"/>
        <v>-95000</v>
      </c>
      <c r="G705" s="694"/>
      <c r="H705" s="695"/>
      <c r="I705" s="1314"/>
      <c r="J705" s="1315">
        <f>IF(K$1&gt;0,ROUNDUP(SUM(PROD!AM$5:AM706)/K$1*K$2,0),0)-SUM(J$4:J704)</f>
        <v>0</v>
      </c>
      <c r="K705" s="1316">
        <f t="shared" si="129"/>
        <v>0</v>
      </c>
      <c r="L705" s="1314"/>
      <c r="M705" s="1315">
        <f>IF(N$1&gt;0,ROUNDUP(SUM(PROD!L$5:L706,-PROD!AM$5:AM706,-PROD!AZ$5:AZ706)/N$1*N$2,0),0)-SUM(M$4:M704)</f>
        <v>0</v>
      </c>
      <c r="N705" s="1316">
        <f t="shared" si="130"/>
        <v>0</v>
      </c>
      <c r="O705" s="1317">
        <f t="shared" si="119"/>
        <v>0</v>
      </c>
      <c r="P705" s="1318"/>
      <c r="Q705" s="1319"/>
      <c r="R705" s="1320">
        <f t="shared" si="120"/>
        <v>0</v>
      </c>
      <c r="S705" s="1316">
        <f t="shared" si="121"/>
        <v>0</v>
      </c>
      <c r="T705" s="712"/>
      <c r="U705" s="713"/>
      <c r="V705" s="714"/>
      <c r="W705" s="398">
        <f t="shared" si="128"/>
        <v>0</v>
      </c>
      <c r="X705" s="712"/>
      <c r="Y705" s="713"/>
      <c r="Z705" s="714"/>
      <c r="AA705" s="398">
        <f t="shared" si="123"/>
        <v>0</v>
      </c>
      <c r="AB705" s="712"/>
      <c r="AC705" s="713"/>
      <c r="AD705" s="714"/>
      <c r="AE705" s="398">
        <f t="shared" si="124"/>
        <v>0</v>
      </c>
      <c r="AF705" s="712"/>
      <c r="AG705" s="713"/>
      <c r="AH705" s="714"/>
      <c r="AI705" s="398">
        <f t="shared" si="125"/>
        <v>0</v>
      </c>
      <c r="AJ705" s="712"/>
      <c r="AK705" s="713"/>
      <c r="AL705" s="714"/>
      <c r="AM705" s="398">
        <f t="shared" si="126"/>
        <v>0</v>
      </c>
    </row>
    <row r="706" spans="1:39" ht="15.75" customHeight="1" x14ac:dyDescent="0.3">
      <c r="A706" s="2161"/>
      <c r="B706" s="1313" t="str">
        <f t="shared" si="122"/>
        <v/>
      </c>
      <c r="C706" s="1011">
        <f>IF($D$2="NO",0,ROUNDDOWN(SUM(PROD!$V$5:V707)/IF(Iniciar!$C$25="kilos",40,1),0)-SUM($C$4:$C705))</f>
        <v>0</v>
      </c>
      <c r="D706" s="702"/>
      <c r="E706" s="702"/>
      <c r="F706" s="300">
        <f t="shared" si="127"/>
        <v>-95000</v>
      </c>
      <c r="G706" s="694"/>
      <c r="H706" s="695"/>
      <c r="I706" s="1314"/>
      <c r="J706" s="1315">
        <f>IF(K$1&gt;0,ROUNDUP(SUM(PROD!AM$5:AM707)/K$1*K$2,0),0)-SUM(J$4:J705)</f>
        <v>0</v>
      </c>
      <c r="K706" s="1316">
        <f t="shared" si="129"/>
        <v>0</v>
      </c>
      <c r="L706" s="1314"/>
      <c r="M706" s="1315">
        <f>IF(N$1&gt;0,ROUNDUP(SUM(PROD!L$5:L707,-PROD!AM$5:AM707,-PROD!AZ$5:AZ707)/N$1*N$2,0),0)-SUM(M$4:M705)</f>
        <v>0</v>
      </c>
      <c r="N706" s="1316">
        <f t="shared" si="130"/>
        <v>0</v>
      </c>
      <c r="O706" s="1317">
        <f t="shared" si="119"/>
        <v>0</v>
      </c>
      <c r="P706" s="1318"/>
      <c r="Q706" s="1319"/>
      <c r="R706" s="1320">
        <f t="shared" si="120"/>
        <v>0</v>
      </c>
      <c r="S706" s="1316">
        <f t="shared" si="121"/>
        <v>0</v>
      </c>
      <c r="T706" s="712"/>
      <c r="U706" s="713"/>
      <c r="V706" s="714"/>
      <c r="W706" s="398">
        <f t="shared" si="128"/>
        <v>0</v>
      </c>
      <c r="X706" s="712"/>
      <c r="Y706" s="713"/>
      <c r="Z706" s="714"/>
      <c r="AA706" s="398">
        <f t="shared" si="123"/>
        <v>0</v>
      </c>
      <c r="AB706" s="712"/>
      <c r="AC706" s="713"/>
      <c r="AD706" s="714"/>
      <c r="AE706" s="398">
        <f t="shared" si="124"/>
        <v>0</v>
      </c>
      <c r="AF706" s="712"/>
      <c r="AG706" s="713"/>
      <c r="AH706" s="714"/>
      <c r="AI706" s="398">
        <f t="shared" si="125"/>
        <v>0</v>
      </c>
      <c r="AJ706" s="712"/>
      <c r="AK706" s="713"/>
      <c r="AL706" s="714"/>
      <c r="AM706" s="398">
        <f t="shared" si="126"/>
        <v>0</v>
      </c>
    </row>
    <row r="707" spans="1:39" ht="15.75" customHeight="1" x14ac:dyDescent="0.3">
      <c r="A707" s="2161"/>
      <c r="B707" s="1313" t="str">
        <f t="shared" si="122"/>
        <v/>
      </c>
      <c r="C707" s="1011">
        <f>IF($D$2="NO",0,ROUNDDOWN(SUM(PROD!$V$5:V708)/IF(Iniciar!$C$25="kilos",40,1),0)-SUM($C$4:$C706))</f>
        <v>0</v>
      </c>
      <c r="D707" s="702"/>
      <c r="E707" s="702"/>
      <c r="F707" s="300">
        <f t="shared" si="127"/>
        <v>-95000</v>
      </c>
      <c r="G707" s="694"/>
      <c r="H707" s="695"/>
      <c r="I707" s="1314"/>
      <c r="J707" s="1315">
        <f>IF(K$1&gt;0,ROUNDUP(SUM(PROD!AM$5:AM708)/K$1*K$2,0),0)-SUM(J$4:J706)</f>
        <v>0</v>
      </c>
      <c r="K707" s="1316">
        <f t="shared" si="129"/>
        <v>0</v>
      </c>
      <c r="L707" s="1314"/>
      <c r="M707" s="1315">
        <f>IF(N$1&gt;0,ROUNDUP(SUM(PROD!L$5:L708,-PROD!AM$5:AM708,-PROD!AZ$5:AZ708)/N$1*N$2,0),0)-SUM(M$4:M706)</f>
        <v>0</v>
      </c>
      <c r="N707" s="1316">
        <f t="shared" si="130"/>
        <v>0</v>
      </c>
      <c r="O707" s="1317">
        <f t="shared" si="119"/>
        <v>0</v>
      </c>
      <c r="P707" s="1318"/>
      <c r="Q707" s="1319"/>
      <c r="R707" s="1320">
        <f t="shared" si="120"/>
        <v>0</v>
      </c>
      <c r="S707" s="1316">
        <f t="shared" si="121"/>
        <v>0</v>
      </c>
      <c r="T707" s="712"/>
      <c r="U707" s="713"/>
      <c r="V707" s="714"/>
      <c r="W707" s="398">
        <f t="shared" si="128"/>
        <v>0</v>
      </c>
      <c r="X707" s="712"/>
      <c r="Y707" s="713"/>
      <c r="Z707" s="714"/>
      <c r="AA707" s="398">
        <f t="shared" si="123"/>
        <v>0</v>
      </c>
      <c r="AB707" s="712"/>
      <c r="AC707" s="713"/>
      <c r="AD707" s="714"/>
      <c r="AE707" s="398">
        <f t="shared" si="124"/>
        <v>0</v>
      </c>
      <c r="AF707" s="712"/>
      <c r="AG707" s="713"/>
      <c r="AH707" s="714"/>
      <c r="AI707" s="398">
        <f t="shared" si="125"/>
        <v>0</v>
      </c>
      <c r="AJ707" s="712"/>
      <c r="AK707" s="713"/>
      <c r="AL707" s="714"/>
      <c r="AM707" s="398">
        <f t="shared" si="126"/>
        <v>0</v>
      </c>
    </row>
    <row r="708" spans="1:39" ht="15.75" customHeight="1" x14ac:dyDescent="0.3">
      <c r="A708" s="2161"/>
      <c r="B708" s="1313" t="str">
        <f t="shared" si="122"/>
        <v/>
      </c>
      <c r="C708" s="1011">
        <f>IF($D$2="NO",0,ROUNDDOWN(SUM(PROD!$V$5:V709)/IF(Iniciar!$C$25="kilos",40,1),0)-SUM($C$4:$C707))</f>
        <v>0</v>
      </c>
      <c r="D708" s="702"/>
      <c r="E708" s="702"/>
      <c r="F708" s="300">
        <f t="shared" si="127"/>
        <v>-95000</v>
      </c>
      <c r="G708" s="694"/>
      <c r="H708" s="695"/>
      <c r="I708" s="1314"/>
      <c r="J708" s="1315">
        <f>IF(K$1&gt;0,ROUNDUP(SUM(PROD!AM$5:AM709)/K$1*K$2,0),0)-SUM(J$4:J707)</f>
        <v>0</v>
      </c>
      <c r="K708" s="1316">
        <f t="shared" si="129"/>
        <v>0</v>
      </c>
      <c r="L708" s="1314"/>
      <c r="M708" s="1315">
        <f>IF(N$1&gt;0,ROUNDUP(SUM(PROD!L$5:L709,-PROD!AM$5:AM709,-PROD!AZ$5:AZ709)/N$1*N$2,0),0)-SUM(M$4:M707)</f>
        <v>0</v>
      </c>
      <c r="N708" s="1316">
        <f t="shared" si="130"/>
        <v>0</v>
      </c>
      <c r="O708" s="1317">
        <f t="shared" ref="O708:O724" si="131">L708+I708</f>
        <v>0</v>
      </c>
      <c r="P708" s="1318"/>
      <c r="Q708" s="1319"/>
      <c r="R708" s="1320">
        <f t="shared" ref="R708:R724" si="132">M708+J708</f>
        <v>0</v>
      </c>
      <c r="S708" s="1316">
        <f t="shared" ref="S708:S724" si="133">N708+K708</f>
        <v>0</v>
      </c>
      <c r="T708" s="712"/>
      <c r="U708" s="713"/>
      <c r="V708" s="714"/>
      <c r="W708" s="398">
        <f t="shared" si="128"/>
        <v>0</v>
      </c>
      <c r="X708" s="712"/>
      <c r="Y708" s="713"/>
      <c r="Z708" s="714"/>
      <c r="AA708" s="398">
        <f t="shared" si="123"/>
        <v>0</v>
      </c>
      <c r="AB708" s="712"/>
      <c r="AC708" s="713"/>
      <c r="AD708" s="714"/>
      <c r="AE708" s="398">
        <f t="shared" si="124"/>
        <v>0</v>
      </c>
      <c r="AF708" s="712"/>
      <c r="AG708" s="713"/>
      <c r="AH708" s="714"/>
      <c r="AI708" s="398">
        <f t="shared" si="125"/>
        <v>0</v>
      </c>
      <c r="AJ708" s="712"/>
      <c r="AK708" s="713"/>
      <c r="AL708" s="714"/>
      <c r="AM708" s="398">
        <f t="shared" si="126"/>
        <v>0</v>
      </c>
    </row>
    <row r="709" spans="1:39" ht="15.75" customHeight="1" x14ac:dyDescent="0.3">
      <c r="A709" s="2161"/>
      <c r="B709" s="1313" t="str">
        <f t="shared" ref="B709:B724" si="134">IF(B708="","",B708+1)</f>
        <v/>
      </c>
      <c r="C709" s="1011">
        <f>IF($D$2="NO",0,ROUNDDOWN(SUM(PROD!$V$5:V710)/IF(Iniciar!$C$25="kilos",40,1),0)-SUM($C$4:$C708))</f>
        <v>0</v>
      </c>
      <c r="D709" s="702"/>
      <c r="E709" s="702"/>
      <c r="F709" s="300">
        <f t="shared" si="127"/>
        <v>-95000</v>
      </c>
      <c r="G709" s="694"/>
      <c r="H709" s="695"/>
      <c r="I709" s="1314"/>
      <c r="J709" s="1315">
        <f>IF(K$1&gt;0,ROUNDUP(SUM(PROD!AM$5:AM710)/K$1*K$2,0),0)-SUM(J$4:J708)</f>
        <v>0</v>
      </c>
      <c r="K709" s="1316">
        <f t="shared" si="129"/>
        <v>0</v>
      </c>
      <c r="L709" s="1314"/>
      <c r="M709" s="1315">
        <f>IF(N$1&gt;0,ROUNDUP(SUM(PROD!L$5:L710,-PROD!AM$5:AM710,-PROD!AZ$5:AZ710)/N$1*N$2,0),0)-SUM(M$4:M708)</f>
        <v>0</v>
      </c>
      <c r="N709" s="1316">
        <f t="shared" si="130"/>
        <v>0</v>
      </c>
      <c r="O709" s="1317">
        <f t="shared" si="131"/>
        <v>0</v>
      </c>
      <c r="P709" s="1318"/>
      <c r="Q709" s="1319"/>
      <c r="R709" s="1320">
        <f t="shared" si="132"/>
        <v>0</v>
      </c>
      <c r="S709" s="1316">
        <f t="shared" si="133"/>
        <v>0</v>
      </c>
      <c r="T709" s="712"/>
      <c r="U709" s="713"/>
      <c r="V709" s="714"/>
      <c r="W709" s="398">
        <f t="shared" si="128"/>
        <v>0</v>
      </c>
      <c r="X709" s="712"/>
      <c r="Y709" s="713"/>
      <c r="Z709" s="714"/>
      <c r="AA709" s="398">
        <f t="shared" ref="AA709:AA724" si="135">AA708+Y709-Z709</f>
        <v>0</v>
      </c>
      <c r="AB709" s="712"/>
      <c r="AC709" s="713"/>
      <c r="AD709" s="714"/>
      <c r="AE709" s="398">
        <f t="shared" ref="AE709:AE724" si="136">AE708+AC709-AD709</f>
        <v>0</v>
      </c>
      <c r="AF709" s="712"/>
      <c r="AG709" s="713"/>
      <c r="AH709" s="714"/>
      <c r="AI709" s="398">
        <f t="shared" ref="AI709:AI724" si="137">AI708+AG709-AH709</f>
        <v>0</v>
      </c>
      <c r="AJ709" s="712"/>
      <c r="AK709" s="713"/>
      <c r="AL709" s="714"/>
      <c r="AM709" s="398">
        <f t="shared" ref="AM709:AM724" si="138">AM708+AK709-AL709</f>
        <v>0</v>
      </c>
    </row>
    <row r="710" spans="1:39" ht="16.5" customHeight="1" x14ac:dyDescent="0.3">
      <c r="A710" s="2162"/>
      <c r="B710" s="1313" t="str">
        <f t="shared" si="134"/>
        <v/>
      </c>
      <c r="C710" s="1011">
        <f>IF($D$2="NO",0,ROUNDDOWN(SUM(PROD!$V$5:V711)/IF(Iniciar!$C$25="kilos",40,1),0)-SUM($C$4:$C709))</f>
        <v>0</v>
      </c>
      <c r="D710" s="702"/>
      <c r="E710" s="702"/>
      <c r="F710" s="300">
        <f t="shared" si="127"/>
        <v>-95000</v>
      </c>
      <c r="G710" s="694"/>
      <c r="H710" s="695"/>
      <c r="I710" s="1314"/>
      <c r="J710" s="1315">
        <f>IF(K$1&gt;0,ROUNDUP(SUM(PROD!AM$5:AM711)/K$1*K$2,0),0)-SUM(J$4:J709)</f>
        <v>0</v>
      </c>
      <c r="K710" s="1316">
        <f t="shared" si="129"/>
        <v>0</v>
      </c>
      <c r="L710" s="1314"/>
      <c r="M710" s="1315">
        <f>IF(N$1&gt;0,ROUNDUP(SUM(PROD!L$5:L711,-PROD!AM$5:AM711,-PROD!AZ$5:AZ711)/N$1*N$2,0),0)-SUM(M$4:M709)</f>
        <v>0</v>
      </c>
      <c r="N710" s="1316">
        <f t="shared" si="130"/>
        <v>0</v>
      </c>
      <c r="O710" s="1317">
        <f t="shared" si="131"/>
        <v>0</v>
      </c>
      <c r="P710" s="1318"/>
      <c r="Q710" s="1319"/>
      <c r="R710" s="1320">
        <f t="shared" si="132"/>
        <v>0</v>
      </c>
      <c r="S710" s="1316">
        <f t="shared" si="133"/>
        <v>0</v>
      </c>
      <c r="T710" s="712"/>
      <c r="U710" s="713"/>
      <c r="V710" s="714"/>
      <c r="W710" s="398">
        <f t="shared" si="128"/>
        <v>0</v>
      </c>
      <c r="X710" s="712"/>
      <c r="Y710" s="713"/>
      <c r="Z710" s="714"/>
      <c r="AA710" s="398">
        <f t="shared" si="135"/>
        <v>0</v>
      </c>
      <c r="AB710" s="712"/>
      <c r="AC710" s="713"/>
      <c r="AD710" s="714"/>
      <c r="AE710" s="398">
        <f t="shared" si="136"/>
        <v>0</v>
      </c>
      <c r="AF710" s="712"/>
      <c r="AG710" s="713"/>
      <c r="AH710" s="714"/>
      <c r="AI710" s="398">
        <f t="shared" si="137"/>
        <v>0</v>
      </c>
      <c r="AJ710" s="712"/>
      <c r="AK710" s="713"/>
      <c r="AL710" s="714"/>
      <c r="AM710" s="398">
        <f t="shared" si="138"/>
        <v>0</v>
      </c>
    </row>
    <row r="711" spans="1:39" ht="16.5" customHeight="1" x14ac:dyDescent="0.3">
      <c r="A711" s="2160">
        <f>A704+1</f>
        <v>119</v>
      </c>
      <c r="B711" s="1313" t="str">
        <f t="shared" si="134"/>
        <v/>
      </c>
      <c r="C711" s="1011">
        <f>IF($D$2="NO",0,ROUNDDOWN(SUM(PROD!$V$5:V712)/IF(Iniciar!$C$25="kilos",40,1),0)-SUM($C$4:$C710))</f>
        <v>0</v>
      </c>
      <c r="D711" s="702"/>
      <c r="E711" s="702"/>
      <c r="F711" s="300">
        <f t="shared" si="127"/>
        <v>-95000</v>
      </c>
      <c r="G711" s="694"/>
      <c r="H711" s="695"/>
      <c r="I711" s="1314"/>
      <c r="J711" s="1315">
        <f>IF(K$1&gt;0,ROUNDUP(SUM(PROD!AM$5:AM712)/K$1*K$2,0),0)-SUM(J$4:J710)</f>
        <v>0</v>
      </c>
      <c r="K711" s="1316">
        <f t="shared" si="129"/>
        <v>0</v>
      </c>
      <c r="L711" s="1314"/>
      <c r="M711" s="1315">
        <f>IF(N$1&gt;0,ROUNDUP(SUM(PROD!L$5:L712,-PROD!AM$5:AM712,-PROD!AZ$5:AZ712)/N$1*N$2,0),0)-SUM(M$4:M710)</f>
        <v>0</v>
      </c>
      <c r="N711" s="1316">
        <f t="shared" si="130"/>
        <v>0</v>
      </c>
      <c r="O711" s="1317">
        <f t="shared" si="131"/>
        <v>0</v>
      </c>
      <c r="P711" s="1318"/>
      <c r="Q711" s="1319"/>
      <c r="R711" s="1320">
        <f t="shared" si="132"/>
        <v>0</v>
      </c>
      <c r="S711" s="1316">
        <f t="shared" si="133"/>
        <v>0</v>
      </c>
      <c r="T711" s="712"/>
      <c r="U711" s="713"/>
      <c r="V711" s="714"/>
      <c r="W711" s="398">
        <f t="shared" si="128"/>
        <v>0</v>
      </c>
      <c r="X711" s="712"/>
      <c r="Y711" s="713"/>
      <c r="Z711" s="714"/>
      <c r="AA711" s="398">
        <f t="shared" si="135"/>
        <v>0</v>
      </c>
      <c r="AB711" s="712"/>
      <c r="AC711" s="713"/>
      <c r="AD711" s="714"/>
      <c r="AE711" s="398">
        <f t="shared" si="136"/>
        <v>0</v>
      </c>
      <c r="AF711" s="712"/>
      <c r="AG711" s="713"/>
      <c r="AH711" s="714"/>
      <c r="AI711" s="398">
        <f t="shared" si="137"/>
        <v>0</v>
      </c>
      <c r="AJ711" s="712"/>
      <c r="AK711" s="713"/>
      <c r="AL711" s="714"/>
      <c r="AM711" s="398">
        <f t="shared" si="138"/>
        <v>0</v>
      </c>
    </row>
    <row r="712" spans="1:39" ht="15.75" customHeight="1" x14ac:dyDescent="0.3">
      <c r="A712" s="2161"/>
      <c r="B712" s="1313" t="str">
        <f t="shared" si="134"/>
        <v/>
      </c>
      <c r="C712" s="1011">
        <f>IF($D$2="NO",0,ROUNDDOWN(SUM(PROD!$V$5:V713)/IF(Iniciar!$C$25="kilos",40,1),0)-SUM($C$4:$C711))</f>
        <v>0</v>
      </c>
      <c r="D712" s="702"/>
      <c r="E712" s="702"/>
      <c r="F712" s="300">
        <f t="shared" si="127"/>
        <v>-95000</v>
      </c>
      <c r="G712" s="694"/>
      <c r="H712" s="695"/>
      <c r="I712" s="1314"/>
      <c r="J712" s="1315">
        <f>IF(K$1&gt;0,ROUNDUP(SUM(PROD!AM$5:AM713)/K$1*K$2,0),0)-SUM(J$4:J711)</f>
        <v>0</v>
      </c>
      <c r="K712" s="1316">
        <f t="shared" si="129"/>
        <v>0</v>
      </c>
      <c r="L712" s="1314"/>
      <c r="M712" s="1315">
        <f>IF(N$1&gt;0,ROUNDUP(SUM(PROD!L$5:L713,-PROD!AM$5:AM713,-PROD!AZ$5:AZ713)/N$1*N$2,0),0)-SUM(M$4:M711)</f>
        <v>0</v>
      </c>
      <c r="N712" s="1316">
        <f t="shared" si="130"/>
        <v>0</v>
      </c>
      <c r="O712" s="1317">
        <f t="shared" si="131"/>
        <v>0</v>
      </c>
      <c r="P712" s="1318"/>
      <c r="Q712" s="1319"/>
      <c r="R712" s="1320">
        <f t="shared" si="132"/>
        <v>0</v>
      </c>
      <c r="S712" s="1316">
        <f t="shared" si="133"/>
        <v>0</v>
      </c>
      <c r="T712" s="712"/>
      <c r="U712" s="713"/>
      <c r="V712" s="714"/>
      <c r="W712" s="398">
        <f t="shared" si="128"/>
        <v>0</v>
      </c>
      <c r="X712" s="712"/>
      <c r="Y712" s="713"/>
      <c r="Z712" s="714"/>
      <c r="AA712" s="398">
        <f t="shared" si="135"/>
        <v>0</v>
      </c>
      <c r="AB712" s="712"/>
      <c r="AC712" s="713"/>
      <c r="AD712" s="714"/>
      <c r="AE712" s="398">
        <f t="shared" si="136"/>
        <v>0</v>
      </c>
      <c r="AF712" s="712"/>
      <c r="AG712" s="713"/>
      <c r="AH712" s="714"/>
      <c r="AI712" s="398">
        <f t="shared" si="137"/>
        <v>0</v>
      </c>
      <c r="AJ712" s="712"/>
      <c r="AK712" s="713"/>
      <c r="AL712" s="714"/>
      <c r="AM712" s="398">
        <f t="shared" si="138"/>
        <v>0</v>
      </c>
    </row>
    <row r="713" spans="1:39" ht="15.75" customHeight="1" x14ac:dyDescent="0.3">
      <c r="A713" s="2161"/>
      <c r="B713" s="1313" t="str">
        <f t="shared" si="134"/>
        <v/>
      </c>
      <c r="C713" s="1011">
        <f>IF($D$2="NO",0,ROUNDDOWN(SUM(PROD!$V$5:V714)/IF(Iniciar!$C$25="kilos",40,1),0)-SUM($C$4:$C712))</f>
        <v>0</v>
      </c>
      <c r="D713" s="702"/>
      <c r="E713" s="702"/>
      <c r="F713" s="300">
        <f t="shared" si="127"/>
        <v>-95000</v>
      </c>
      <c r="G713" s="694"/>
      <c r="H713" s="695"/>
      <c r="I713" s="1314"/>
      <c r="J713" s="1315">
        <f>IF(K$1&gt;0,ROUNDUP(SUM(PROD!AM$5:AM714)/K$1*K$2,0),0)-SUM(J$4:J712)</f>
        <v>0</v>
      </c>
      <c r="K713" s="1316">
        <f t="shared" si="129"/>
        <v>0</v>
      </c>
      <c r="L713" s="1314"/>
      <c r="M713" s="1315">
        <f>IF(N$1&gt;0,ROUNDUP(SUM(PROD!L$5:L714,-PROD!AM$5:AM714,-PROD!AZ$5:AZ714)/N$1*N$2,0),0)-SUM(M$4:M712)</f>
        <v>0</v>
      </c>
      <c r="N713" s="1316">
        <f t="shared" si="130"/>
        <v>0</v>
      </c>
      <c r="O713" s="1317">
        <f t="shared" si="131"/>
        <v>0</v>
      </c>
      <c r="P713" s="1318"/>
      <c r="Q713" s="1319"/>
      <c r="R713" s="1320">
        <f t="shared" si="132"/>
        <v>0</v>
      </c>
      <c r="S713" s="1316">
        <f t="shared" si="133"/>
        <v>0</v>
      </c>
      <c r="T713" s="712"/>
      <c r="U713" s="713"/>
      <c r="V713" s="714"/>
      <c r="W713" s="398">
        <f t="shared" si="128"/>
        <v>0</v>
      </c>
      <c r="X713" s="712"/>
      <c r="Y713" s="713"/>
      <c r="Z713" s="714"/>
      <c r="AA713" s="398">
        <f t="shared" si="135"/>
        <v>0</v>
      </c>
      <c r="AB713" s="712"/>
      <c r="AC713" s="713"/>
      <c r="AD713" s="714"/>
      <c r="AE713" s="398">
        <f t="shared" si="136"/>
        <v>0</v>
      </c>
      <c r="AF713" s="712"/>
      <c r="AG713" s="713"/>
      <c r="AH713" s="714"/>
      <c r="AI713" s="398">
        <f t="shared" si="137"/>
        <v>0</v>
      </c>
      <c r="AJ713" s="712"/>
      <c r="AK713" s="713"/>
      <c r="AL713" s="714"/>
      <c r="AM713" s="398">
        <f t="shared" si="138"/>
        <v>0</v>
      </c>
    </row>
    <row r="714" spans="1:39" ht="15.75" customHeight="1" x14ac:dyDescent="0.3">
      <c r="A714" s="2161"/>
      <c r="B714" s="1313" t="str">
        <f t="shared" si="134"/>
        <v/>
      </c>
      <c r="C714" s="1011">
        <f>IF($D$2="NO",0,ROUNDDOWN(SUM(PROD!$V$5:V715)/IF(Iniciar!$C$25="kilos",40,1),0)-SUM($C$4:$C713))</f>
        <v>0</v>
      </c>
      <c r="D714" s="702"/>
      <c r="E714" s="702"/>
      <c r="F714" s="300">
        <f t="shared" si="127"/>
        <v>-95000</v>
      </c>
      <c r="G714" s="694"/>
      <c r="H714" s="695"/>
      <c r="I714" s="1314"/>
      <c r="J714" s="1315">
        <f>IF(K$1&gt;0,ROUNDUP(SUM(PROD!AM$5:AM715)/K$1*K$2,0),0)-SUM(J$4:J713)</f>
        <v>0</v>
      </c>
      <c r="K714" s="1316">
        <f t="shared" si="129"/>
        <v>0</v>
      </c>
      <c r="L714" s="1314"/>
      <c r="M714" s="1315">
        <f>IF(N$1&gt;0,ROUNDUP(SUM(PROD!L$5:L715,-PROD!AM$5:AM715,-PROD!AZ$5:AZ715)/N$1*N$2,0),0)-SUM(M$4:M713)</f>
        <v>0</v>
      </c>
      <c r="N714" s="1316">
        <f t="shared" si="130"/>
        <v>0</v>
      </c>
      <c r="O714" s="1317">
        <f t="shared" si="131"/>
        <v>0</v>
      </c>
      <c r="P714" s="1318"/>
      <c r="Q714" s="1319"/>
      <c r="R714" s="1320">
        <f t="shared" si="132"/>
        <v>0</v>
      </c>
      <c r="S714" s="1316">
        <f t="shared" si="133"/>
        <v>0</v>
      </c>
      <c r="T714" s="712"/>
      <c r="U714" s="713"/>
      <c r="V714" s="714"/>
      <c r="W714" s="398">
        <f t="shared" si="128"/>
        <v>0</v>
      </c>
      <c r="X714" s="712"/>
      <c r="Y714" s="713"/>
      <c r="Z714" s="714"/>
      <c r="AA714" s="398">
        <f t="shared" si="135"/>
        <v>0</v>
      </c>
      <c r="AB714" s="712"/>
      <c r="AC714" s="713"/>
      <c r="AD714" s="714"/>
      <c r="AE714" s="398">
        <f t="shared" si="136"/>
        <v>0</v>
      </c>
      <c r="AF714" s="712"/>
      <c r="AG714" s="713"/>
      <c r="AH714" s="714"/>
      <c r="AI714" s="398">
        <f t="shared" si="137"/>
        <v>0</v>
      </c>
      <c r="AJ714" s="712"/>
      <c r="AK714" s="713"/>
      <c r="AL714" s="714"/>
      <c r="AM714" s="398">
        <f t="shared" si="138"/>
        <v>0</v>
      </c>
    </row>
    <row r="715" spans="1:39" ht="15.75" customHeight="1" x14ac:dyDescent="0.3">
      <c r="A715" s="2161"/>
      <c r="B715" s="1313" t="str">
        <f t="shared" si="134"/>
        <v/>
      </c>
      <c r="C715" s="1011">
        <f>IF($D$2="NO",0,ROUNDDOWN(SUM(PROD!$V$5:V716)/IF(Iniciar!$C$25="kilos",40,1),0)-SUM($C$4:$C714))</f>
        <v>0</v>
      </c>
      <c r="D715" s="702"/>
      <c r="E715" s="702"/>
      <c r="F715" s="300">
        <f t="shared" ref="F715:F724" si="139">F714+C715+D715-E715</f>
        <v>-95000</v>
      </c>
      <c r="G715" s="694"/>
      <c r="H715" s="695"/>
      <c r="I715" s="1314"/>
      <c r="J715" s="1315">
        <f>IF(K$1&gt;0,ROUNDUP(SUM(PROD!AM$5:AM716)/K$1*K$2,0),0)-SUM(J$4:J714)</f>
        <v>0</v>
      </c>
      <c r="K715" s="1316">
        <f t="shared" si="129"/>
        <v>0</v>
      </c>
      <c r="L715" s="1314"/>
      <c r="M715" s="1315">
        <f>IF(N$1&gt;0,ROUNDUP(SUM(PROD!L$5:L716,-PROD!AM$5:AM716,-PROD!AZ$5:AZ716)/N$1*N$2,0),0)-SUM(M$4:M714)</f>
        <v>0</v>
      </c>
      <c r="N715" s="1316">
        <f t="shared" si="130"/>
        <v>0</v>
      </c>
      <c r="O715" s="1317">
        <f t="shared" si="131"/>
        <v>0</v>
      </c>
      <c r="P715" s="1318"/>
      <c r="Q715" s="1319"/>
      <c r="R715" s="1320">
        <f t="shared" si="132"/>
        <v>0</v>
      </c>
      <c r="S715" s="1316">
        <f t="shared" si="133"/>
        <v>0</v>
      </c>
      <c r="T715" s="712"/>
      <c r="U715" s="713"/>
      <c r="V715" s="714"/>
      <c r="W715" s="398">
        <f t="shared" si="128"/>
        <v>0</v>
      </c>
      <c r="X715" s="712"/>
      <c r="Y715" s="713"/>
      <c r="Z715" s="714"/>
      <c r="AA715" s="398">
        <f t="shared" si="135"/>
        <v>0</v>
      </c>
      <c r="AB715" s="712"/>
      <c r="AC715" s="713"/>
      <c r="AD715" s="714"/>
      <c r="AE715" s="398">
        <f t="shared" si="136"/>
        <v>0</v>
      </c>
      <c r="AF715" s="712"/>
      <c r="AG715" s="713"/>
      <c r="AH715" s="714"/>
      <c r="AI715" s="398">
        <f t="shared" si="137"/>
        <v>0</v>
      </c>
      <c r="AJ715" s="712"/>
      <c r="AK715" s="713"/>
      <c r="AL715" s="714"/>
      <c r="AM715" s="398">
        <f t="shared" si="138"/>
        <v>0</v>
      </c>
    </row>
    <row r="716" spans="1:39" ht="15.75" customHeight="1" x14ac:dyDescent="0.3">
      <c r="A716" s="2161"/>
      <c r="B716" s="1313" t="str">
        <f t="shared" si="134"/>
        <v/>
      </c>
      <c r="C716" s="1011">
        <f>IF($D$2="NO",0,ROUNDDOWN(SUM(PROD!$V$5:V717)/IF(Iniciar!$C$25="kilos",40,1),0)-SUM($C$4:$C715))</f>
        <v>0</v>
      </c>
      <c r="D716" s="702"/>
      <c r="E716" s="702"/>
      <c r="F716" s="300">
        <f t="shared" si="139"/>
        <v>-95000</v>
      </c>
      <c r="G716" s="694"/>
      <c r="H716" s="695"/>
      <c r="I716" s="1314"/>
      <c r="J716" s="1315">
        <f>IF(K$1&gt;0,ROUNDUP(SUM(PROD!AM$5:AM717)/K$1*K$2,0),0)-SUM(J$4:J715)</f>
        <v>0</v>
      </c>
      <c r="K716" s="1316">
        <f t="shared" si="129"/>
        <v>0</v>
      </c>
      <c r="L716" s="1314"/>
      <c r="M716" s="1315">
        <f>IF(N$1&gt;0,ROUNDUP(SUM(PROD!L$5:L717,-PROD!AM$5:AM717,-PROD!AZ$5:AZ717)/N$1*N$2,0),0)-SUM(M$4:M715)</f>
        <v>0</v>
      </c>
      <c r="N716" s="1316">
        <f t="shared" si="130"/>
        <v>0</v>
      </c>
      <c r="O716" s="1317">
        <f t="shared" si="131"/>
        <v>0</v>
      </c>
      <c r="P716" s="1318"/>
      <c r="Q716" s="1319"/>
      <c r="R716" s="1320">
        <f t="shared" si="132"/>
        <v>0</v>
      </c>
      <c r="S716" s="1316">
        <f t="shared" si="133"/>
        <v>0</v>
      </c>
      <c r="T716" s="712"/>
      <c r="U716" s="713"/>
      <c r="V716" s="714"/>
      <c r="W716" s="398">
        <f t="shared" si="128"/>
        <v>0</v>
      </c>
      <c r="X716" s="712"/>
      <c r="Y716" s="713"/>
      <c r="Z716" s="714"/>
      <c r="AA716" s="398">
        <f t="shared" si="135"/>
        <v>0</v>
      </c>
      <c r="AB716" s="712"/>
      <c r="AC716" s="713"/>
      <c r="AD716" s="714"/>
      <c r="AE716" s="398">
        <f t="shared" si="136"/>
        <v>0</v>
      </c>
      <c r="AF716" s="712"/>
      <c r="AG716" s="713"/>
      <c r="AH716" s="714"/>
      <c r="AI716" s="398">
        <f t="shared" si="137"/>
        <v>0</v>
      </c>
      <c r="AJ716" s="712"/>
      <c r="AK716" s="713"/>
      <c r="AL716" s="714"/>
      <c r="AM716" s="398">
        <f t="shared" si="138"/>
        <v>0</v>
      </c>
    </row>
    <row r="717" spans="1:39" ht="16.5" customHeight="1" x14ac:dyDescent="0.3">
      <c r="A717" s="2162"/>
      <c r="B717" s="1313" t="str">
        <f t="shared" si="134"/>
        <v/>
      </c>
      <c r="C717" s="1011">
        <f>IF($D$2="NO",0,ROUNDDOWN(SUM(PROD!$V$5:V718)/IF(Iniciar!$C$25="kilos",40,1),0)-SUM($C$4:$C716))</f>
        <v>0</v>
      </c>
      <c r="D717" s="702"/>
      <c r="E717" s="702"/>
      <c r="F717" s="300">
        <f t="shared" si="139"/>
        <v>-95000</v>
      </c>
      <c r="G717" s="694"/>
      <c r="H717" s="695"/>
      <c r="I717" s="1314"/>
      <c r="J717" s="1315">
        <f>IF(K$1&gt;0,ROUNDUP(SUM(PROD!AM$5:AM718)/K$1*K$2,0),0)-SUM(J$4:J716)</f>
        <v>0</v>
      </c>
      <c r="K717" s="1316">
        <f t="shared" si="129"/>
        <v>0</v>
      </c>
      <c r="L717" s="1314"/>
      <c r="M717" s="1315">
        <f>IF(N$1&gt;0,ROUNDUP(SUM(PROD!L$5:L718,-PROD!AM$5:AM718,-PROD!AZ$5:AZ718)/N$1*N$2,0),0)-SUM(M$4:M716)</f>
        <v>0</v>
      </c>
      <c r="N717" s="1316">
        <f t="shared" si="130"/>
        <v>0</v>
      </c>
      <c r="O717" s="1317">
        <f t="shared" si="131"/>
        <v>0</v>
      </c>
      <c r="P717" s="1318"/>
      <c r="Q717" s="1319"/>
      <c r="R717" s="1320">
        <f t="shared" si="132"/>
        <v>0</v>
      </c>
      <c r="S717" s="1316">
        <f t="shared" si="133"/>
        <v>0</v>
      </c>
      <c r="T717" s="712"/>
      <c r="U717" s="713"/>
      <c r="V717" s="714"/>
      <c r="W717" s="398">
        <f t="shared" si="128"/>
        <v>0</v>
      </c>
      <c r="X717" s="712"/>
      <c r="Y717" s="713"/>
      <c r="Z717" s="714"/>
      <c r="AA717" s="398">
        <f t="shared" si="135"/>
        <v>0</v>
      </c>
      <c r="AB717" s="712"/>
      <c r="AC717" s="713"/>
      <c r="AD717" s="714"/>
      <c r="AE717" s="398">
        <f t="shared" si="136"/>
        <v>0</v>
      </c>
      <c r="AF717" s="712"/>
      <c r="AG717" s="713"/>
      <c r="AH717" s="714"/>
      <c r="AI717" s="398">
        <f t="shared" si="137"/>
        <v>0</v>
      </c>
      <c r="AJ717" s="712"/>
      <c r="AK717" s="713"/>
      <c r="AL717" s="714"/>
      <c r="AM717" s="398">
        <f t="shared" si="138"/>
        <v>0</v>
      </c>
    </row>
    <row r="718" spans="1:39" ht="16.5" customHeight="1" x14ac:dyDescent="0.3">
      <c r="A718" s="2160">
        <f>A711+1</f>
        <v>120</v>
      </c>
      <c r="B718" s="1313" t="str">
        <f t="shared" si="134"/>
        <v/>
      </c>
      <c r="C718" s="1011">
        <f>IF($D$2="NO",0,ROUNDDOWN(SUM(PROD!$V$5:V719)/IF(Iniciar!$C$25="kilos",40,1),0)-SUM($C$4:$C717))</f>
        <v>0</v>
      </c>
      <c r="D718" s="702"/>
      <c r="E718" s="702"/>
      <c r="F718" s="300">
        <f t="shared" si="139"/>
        <v>-95000</v>
      </c>
      <c r="G718" s="694"/>
      <c r="H718" s="695"/>
      <c r="I718" s="1314"/>
      <c r="J718" s="1315">
        <f>IF(K$1&gt;0,ROUNDUP(SUM(PROD!AM$5:AM719)/K$1*K$2,0),0)-SUM(J$4:J717)</f>
        <v>0</v>
      </c>
      <c r="K718" s="1316">
        <f>K507+I718-J718</f>
        <v>0</v>
      </c>
      <c r="L718" s="1314"/>
      <c r="M718" s="1315">
        <f>IF(N$1&gt;0,ROUNDUP(SUM(PROD!L$5:L719,-PROD!AM$5:AM719,-PROD!AZ$5:AZ719)/N$1*N$2,0),0)-SUM(M$4:M717)</f>
        <v>0</v>
      </c>
      <c r="N718" s="1316">
        <f>N507+L718-M718</f>
        <v>0</v>
      </c>
      <c r="O718" s="1317">
        <f t="shared" si="131"/>
        <v>0</v>
      </c>
      <c r="P718" s="1318"/>
      <c r="Q718" s="1319"/>
      <c r="R718" s="1320">
        <f t="shared" si="132"/>
        <v>0</v>
      </c>
      <c r="S718" s="1316">
        <f t="shared" si="133"/>
        <v>0</v>
      </c>
      <c r="T718" s="712"/>
      <c r="U718" s="713"/>
      <c r="V718" s="714"/>
      <c r="W718" s="398">
        <f t="shared" si="128"/>
        <v>0</v>
      </c>
      <c r="X718" s="712"/>
      <c r="Y718" s="713"/>
      <c r="Z718" s="714"/>
      <c r="AA718" s="398">
        <f t="shared" si="135"/>
        <v>0</v>
      </c>
      <c r="AB718" s="712"/>
      <c r="AC718" s="713"/>
      <c r="AD718" s="714"/>
      <c r="AE718" s="398">
        <f t="shared" si="136"/>
        <v>0</v>
      </c>
      <c r="AF718" s="712"/>
      <c r="AG718" s="713"/>
      <c r="AH718" s="714"/>
      <c r="AI718" s="398">
        <f t="shared" si="137"/>
        <v>0</v>
      </c>
      <c r="AJ718" s="712"/>
      <c r="AK718" s="713"/>
      <c r="AL718" s="714"/>
      <c r="AM718" s="398">
        <f t="shared" si="138"/>
        <v>0</v>
      </c>
    </row>
    <row r="719" spans="1:39" ht="15.75" customHeight="1" x14ac:dyDescent="0.3">
      <c r="A719" s="2161"/>
      <c r="B719" s="1313" t="str">
        <f t="shared" si="134"/>
        <v/>
      </c>
      <c r="C719" s="1011">
        <f>IF($D$2="NO",0,ROUNDDOWN(SUM(PROD!$V$5:V720)/IF(Iniciar!$C$25="kilos",40,1),0)-SUM($C$4:$C718))</f>
        <v>0</v>
      </c>
      <c r="D719" s="702"/>
      <c r="E719" s="702"/>
      <c r="F719" s="300">
        <f t="shared" si="139"/>
        <v>-95000</v>
      </c>
      <c r="G719" s="694"/>
      <c r="H719" s="695"/>
      <c r="I719" s="1314"/>
      <c r="J719" s="1315">
        <f>IF(K$1&gt;0,ROUNDUP(SUM(PROD!AM$5:AM720)/K$1*K$2,0),0)-SUM(J$4:J718)</f>
        <v>0</v>
      </c>
      <c r="K719" s="1316">
        <f t="shared" si="97"/>
        <v>0</v>
      </c>
      <c r="L719" s="1314"/>
      <c r="M719" s="1315">
        <f>IF(N$1&gt;0,ROUNDUP(SUM(PROD!L$5:L720,-PROD!AM$5:AM720,-PROD!AZ$5:AZ720)/N$1*N$2,0),0)-SUM(M$4:M718)</f>
        <v>0</v>
      </c>
      <c r="N719" s="1316">
        <f t="shared" si="98"/>
        <v>0</v>
      </c>
      <c r="O719" s="1317">
        <f t="shared" si="131"/>
        <v>0</v>
      </c>
      <c r="P719" s="1318"/>
      <c r="Q719" s="1319"/>
      <c r="R719" s="1320">
        <f t="shared" si="132"/>
        <v>0</v>
      </c>
      <c r="S719" s="1316">
        <f t="shared" si="133"/>
        <v>0</v>
      </c>
      <c r="T719" s="712"/>
      <c r="U719" s="713"/>
      <c r="V719" s="714"/>
      <c r="W719" s="398">
        <f t="shared" si="128"/>
        <v>0</v>
      </c>
      <c r="X719" s="712"/>
      <c r="Y719" s="713"/>
      <c r="Z719" s="714"/>
      <c r="AA719" s="398">
        <f t="shared" si="135"/>
        <v>0</v>
      </c>
      <c r="AB719" s="712"/>
      <c r="AC719" s="713"/>
      <c r="AD719" s="714"/>
      <c r="AE719" s="398">
        <f t="shared" si="136"/>
        <v>0</v>
      </c>
      <c r="AF719" s="712"/>
      <c r="AG719" s="713"/>
      <c r="AH719" s="714"/>
      <c r="AI719" s="398">
        <f t="shared" si="137"/>
        <v>0</v>
      </c>
      <c r="AJ719" s="712"/>
      <c r="AK719" s="713"/>
      <c r="AL719" s="714"/>
      <c r="AM719" s="398">
        <f t="shared" si="138"/>
        <v>0</v>
      </c>
    </row>
    <row r="720" spans="1:39" ht="15.75" customHeight="1" x14ac:dyDescent="0.3">
      <c r="A720" s="2161"/>
      <c r="B720" s="1313" t="str">
        <f t="shared" si="134"/>
        <v/>
      </c>
      <c r="C720" s="1011">
        <f>IF($D$2="NO",0,ROUNDDOWN(SUM(PROD!$V$5:V721)/IF(Iniciar!$C$25="kilos",40,1),0)-SUM($C$4:$C719))</f>
        <v>0</v>
      </c>
      <c r="D720" s="702"/>
      <c r="E720" s="702"/>
      <c r="F720" s="300">
        <f t="shared" si="139"/>
        <v>-95000</v>
      </c>
      <c r="G720" s="694"/>
      <c r="H720" s="695"/>
      <c r="I720" s="1314"/>
      <c r="J720" s="1315">
        <f>IF(K$1&gt;0,ROUNDUP(SUM(PROD!AM$5:AM721)/K$1*K$2,0),0)-SUM(J$4:J719)</f>
        <v>0</v>
      </c>
      <c r="K720" s="1316">
        <f t="shared" si="97"/>
        <v>0</v>
      </c>
      <c r="L720" s="1314"/>
      <c r="M720" s="1315">
        <f>IF(N$1&gt;0,ROUNDUP(SUM(PROD!L$5:L721,-PROD!AM$5:AM721,-PROD!AZ$5:AZ721)/N$1*N$2,0),0)-SUM(M$4:M719)</f>
        <v>0</v>
      </c>
      <c r="N720" s="1316">
        <f t="shared" si="98"/>
        <v>0</v>
      </c>
      <c r="O720" s="1317">
        <f t="shared" si="131"/>
        <v>0</v>
      </c>
      <c r="P720" s="1318"/>
      <c r="Q720" s="1319"/>
      <c r="R720" s="1320">
        <f t="shared" si="132"/>
        <v>0</v>
      </c>
      <c r="S720" s="1316">
        <f t="shared" si="133"/>
        <v>0</v>
      </c>
      <c r="T720" s="712"/>
      <c r="U720" s="713"/>
      <c r="V720" s="714"/>
      <c r="W720" s="398">
        <f t="shared" si="128"/>
        <v>0</v>
      </c>
      <c r="X720" s="712"/>
      <c r="Y720" s="713"/>
      <c r="Z720" s="714"/>
      <c r="AA720" s="398">
        <f t="shared" si="135"/>
        <v>0</v>
      </c>
      <c r="AB720" s="712"/>
      <c r="AC720" s="713"/>
      <c r="AD720" s="714"/>
      <c r="AE720" s="398">
        <f t="shared" si="136"/>
        <v>0</v>
      </c>
      <c r="AF720" s="712"/>
      <c r="AG720" s="713"/>
      <c r="AH720" s="714"/>
      <c r="AI720" s="398">
        <f t="shared" si="137"/>
        <v>0</v>
      </c>
      <c r="AJ720" s="712"/>
      <c r="AK720" s="713"/>
      <c r="AL720" s="714"/>
      <c r="AM720" s="398">
        <f t="shared" si="138"/>
        <v>0</v>
      </c>
    </row>
    <row r="721" spans="1:39" ht="15.75" customHeight="1" x14ac:dyDescent="0.3">
      <c r="A721" s="2161"/>
      <c r="B721" s="1313" t="str">
        <f t="shared" si="134"/>
        <v/>
      </c>
      <c r="C721" s="1011">
        <f>IF($D$2="NO",0,ROUNDDOWN(SUM(PROD!$V$5:V722)/IF(Iniciar!$C$25="kilos",40,1),0)-SUM($C$4:$C720))</f>
        <v>0</v>
      </c>
      <c r="D721" s="702"/>
      <c r="E721" s="702"/>
      <c r="F721" s="300">
        <f t="shared" si="139"/>
        <v>-95000</v>
      </c>
      <c r="G721" s="694"/>
      <c r="H721" s="695"/>
      <c r="I721" s="1314"/>
      <c r="J721" s="1315">
        <f>IF(K$1&gt;0,ROUNDUP(SUM(PROD!AM$5:AM722)/K$1*K$2,0),0)-SUM(J$4:J720)</f>
        <v>0</v>
      </c>
      <c r="K721" s="1316">
        <f t="shared" si="97"/>
        <v>0</v>
      </c>
      <c r="L721" s="1314"/>
      <c r="M721" s="1315">
        <f>IF(N$1&gt;0,ROUNDUP(SUM(PROD!L$5:L722,-PROD!AM$5:AM722,-PROD!AZ$5:AZ722)/N$1*N$2,0),0)-SUM(M$4:M720)</f>
        <v>0</v>
      </c>
      <c r="N721" s="1316">
        <f t="shared" si="98"/>
        <v>0</v>
      </c>
      <c r="O721" s="1317">
        <f t="shared" si="131"/>
        <v>0</v>
      </c>
      <c r="P721" s="1318"/>
      <c r="Q721" s="1319"/>
      <c r="R721" s="1320">
        <f t="shared" si="132"/>
        <v>0</v>
      </c>
      <c r="S721" s="1316">
        <f t="shared" si="133"/>
        <v>0</v>
      </c>
      <c r="T721" s="712"/>
      <c r="U721" s="713"/>
      <c r="V721" s="714"/>
      <c r="W721" s="398">
        <f t="shared" si="128"/>
        <v>0</v>
      </c>
      <c r="X721" s="712"/>
      <c r="Y721" s="713"/>
      <c r="Z721" s="714"/>
      <c r="AA721" s="398">
        <f t="shared" si="135"/>
        <v>0</v>
      </c>
      <c r="AB721" s="712"/>
      <c r="AC721" s="713"/>
      <c r="AD721" s="714"/>
      <c r="AE721" s="398">
        <f t="shared" si="136"/>
        <v>0</v>
      </c>
      <c r="AF721" s="712"/>
      <c r="AG721" s="713"/>
      <c r="AH721" s="714"/>
      <c r="AI721" s="398">
        <f t="shared" si="137"/>
        <v>0</v>
      </c>
      <c r="AJ721" s="712"/>
      <c r="AK721" s="713"/>
      <c r="AL721" s="714"/>
      <c r="AM721" s="398">
        <f t="shared" si="138"/>
        <v>0</v>
      </c>
    </row>
    <row r="722" spans="1:39" ht="15.75" customHeight="1" x14ac:dyDescent="0.3">
      <c r="A722" s="2161"/>
      <c r="B722" s="1313" t="str">
        <f t="shared" si="134"/>
        <v/>
      </c>
      <c r="C722" s="1011">
        <f>IF($D$2="NO",0,ROUNDDOWN(SUM(PROD!$V$5:V723)/IF(Iniciar!$C$25="kilos",40,1),0)-SUM($C$4:$C721))</f>
        <v>0</v>
      </c>
      <c r="D722" s="702"/>
      <c r="E722" s="702"/>
      <c r="F722" s="300">
        <f t="shared" si="139"/>
        <v>-95000</v>
      </c>
      <c r="G722" s="694"/>
      <c r="H722" s="695"/>
      <c r="I722" s="1314"/>
      <c r="J722" s="1315">
        <f>IF(K$1&gt;0,ROUNDUP(SUM(PROD!AM$5:AM723)/K$1*K$2,0),0)-SUM(J$4:J721)</f>
        <v>0</v>
      </c>
      <c r="K722" s="1316">
        <f t="shared" si="97"/>
        <v>0</v>
      </c>
      <c r="L722" s="1314"/>
      <c r="M722" s="1315">
        <f>IF(N$1&gt;0,ROUNDUP(SUM(PROD!L$5:L723,-PROD!AM$5:AM723,-PROD!AZ$5:AZ723)/N$1*N$2,0),0)-SUM(M$4:M721)</f>
        <v>0</v>
      </c>
      <c r="N722" s="1316">
        <f t="shared" si="98"/>
        <v>0</v>
      </c>
      <c r="O722" s="1317">
        <f t="shared" si="131"/>
        <v>0</v>
      </c>
      <c r="P722" s="1318"/>
      <c r="Q722" s="1319"/>
      <c r="R722" s="1320">
        <f t="shared" si="132"/>
        <v>0</v>
      </c>
      <c r="S722" s="1316">
        <f t="shared" si="133"/>
        <v>0</v>
      </c>
      <c r="T722" s="712"/>
      <c r="U722" s="713"/>
      <c r="V722" s="714"/>
      <c r="W722" s="398">
        <f>W721+U722-V722</f>
        <v>0</v>
      </c>
      <c r="X722" s="712"/>
      <c r="Y722" s="713"/>
      <c r="Z722" s="714"/>
      <c r="AA722" s="398">
        <f t="shared" si="135"/>
        <v>0</v>
      </c>
      <c r="AB722" s="712"/>
      <c r="AC722" s="713"/>
      <c r="AD722" s="714"/>
      <c r="AE722" s="398">
        <f t="shared" si="136"/>
        <v>0</v>
      </c>
      <c r="AF722" s="712"/>
      <c r="AG722" s="713"/>
      <c r="AH722" s="714"/>
      <c r="AI722" s="398">
        <f t="shared" si="137"/>
        <v>0</v>
      </c>
      <c r="AJ722" s="712"/>
      <c r="AK722" s="713"/>
      <c r="AL722" s="714"/>
      <c r="AM722" s="398">
        <f t="shared" si="138"/>
        <v>0</v>
      </c>
    </row>
    <row r="723" spans="1:39" ht="15.75" customHeight="1" x14ac:dyDescent="0.3">
      <c r="A723" s="2161"/>
      <c r="B723" s="1313" t="str">
        <f t="shared" si="134"/>
        <v/>
      </c>
      <c r="C723" s="1011">
        <f>IF($D$2="NO",0,ROUNDDOWN(SUM(PROD!$V$5:V724)/IF(Iniciar!$C$25="kilos",40,1),0)-SUM($C$4:$C722))</f>
        <v>0</v>
      </c>
      <c r="D723" s="702"/>
      <c r="E723" s="702"/>
      <c r="F723" s="300">
        <f t="shared" si="139"/>
        <v>-95000</v>
      </c>
      <c r="G723" s="694"/>
      <c r="H723" s="695"/>
      <c r="I723" s="1314"/>
      <c r="J723" s="1315">
        <f>IF(K$1&gt;0,ROUNDUP(SUM(PROD!AM$5:AM724)/K$1*K$2,0),0)-SUM(J$4:J722)</f>
        <v>0</v>
      </c>
      <c r="K723" s="1316">
        <f t="shared" si="97"/>
        <v>0</v>
      </c>
      <c r="L723" s="1314"/>
      <c r="M723" s="1315">
        <f>IF(N$1&gt;0,ROUNDUP(SUM(PROD!L$5:L724,-PROD!AM$5:AM724,-PROD!AZ$5:AZ724)/N$1*N$2,0),0)-SUM(M$4:M722)</f>
        <v>0</v>
      </c>
      <c r="N723" s="1316">
        <f t="shared" si="98"/>
        <v>0</v>
      </c>
      <c r="O723" s="1317">
        <f t="shared" si="131"/>
        <v>0</v>
      </c>
      <c r="P723" s="1318"/>
      <c r="Q723" s="1319"/>
      <c r="R723" s="1320">
        <f t="shared" si="132"/>
        <v>0</v>
      </c>
      <c r="S723" s="1316">
        <f t="shared" si="133"/>
        <v>0</v>
      </c>
      <c r="T723" s="712"/>
      <c r="U723" s="713"/>
      <c r="V723" s="714"/>
      <c r="W723" s="398">
        <f>W722+U723-V723</f>
        <v>0</v>
      </c>
      <c r="X723" s="712"/>
      <c r="Y723" s="713"/>
      <c r="Z723" s="714"/>
      <c r="AA723" s="398">
        <f t="shared" si="135"/>
        <v>0</v>
      </c>
      <c r="AB723" s="712"/>
      <c r="AC723" s="713"/>
      <c r="AD723" s="714"/>
      <c r="AE723" s="398">
        <f t="shared" si="136"/>
        <v>0</v>
      </c>
      <c r="AF723" s="712"/>
      <c r="AG723" s="713"/>
      <c r="AH723" s="714"/>
      <c r="AI723" s="398">
        <f t="shared" si="137"/>
        <v>0</v>
      </c>
      <c r="AJ723" s="712"/>
      <c r="AK723" s="713"/>
      <c r="AL723" s="714"/>
      <c r="AM723" s="398">
        <f t="shared" si="138"/>
        <v>0</v>
      </c>
    </row>
    <row r="724" spans="1:39" ht="16.5" customHeight="1" x14ac:dyDescent="0.3">
      <c r="A724" s="2162"/>
      <c r="B724" s="1313" t="str">
        <f t="shared" si="134"/>
        <v/>
      </c>
      <c r="C724" s="1011">
        <f>IF($D$2="NO",0,ROUNDDOWN(SUM(PROD!$V$5:V725)/IF(Iniciar!$C$25="kilos",40,1),0)-SUM($C$4:$C723))</f>
        <v>0</v>
      </c>
      <c r="D724" s="702"/>
      <c r="E724" s="702"/>
      <c r="F724" s="300">
        <f t="shared" si="139"/>
        <v>-95000</v>
      </c>
      <c r="G724" s="694"/>
      <c r="H724" s="695"/>
      <c r="I724" s="1314"/>
      <c r="J724" s="1315">
        <f>IF(K$1&gt;0,ROUNDUP(SUM(PROD!AM$5:AM725)/K$1*K$2,0),0)-SUM(J$4:J723)</f>
        <v>0</v>
      </c>
      <c r="K724" s="1316">
        <f t="shared" si="97"/>
        <v>0</v>
      </c>
      <c r="L724" s="1314"/>
      <c r="M724" s="1315">
        <f>IF(N$1&gt;0,ROUNDUP(SUM(PROD!L$5:L725,-PROD!AM$5:AM725,-PROD!AZ$5:AZ725)/N$1*N$2,0),0)-SUM(M$4:M723)</f>
        <v>0</v>
      </c>
      <c r="N724" s="1316">
        <f t="shared" si="98"/>
        <v>0</v>
      </c>
      <c r="O724" s="1317">
        <f t="shared" si="131"/>
        <v>0</v>
      </c>
      <c r="P724" s="1318"/>
      <c r="Q724" s="1319"/>
      <c r="R724" s="1320">
        <f t="shared" si="132"/>
        <v>0</v>
      </c>
      <c r="S724" s="1316">
        <f t="shared" si="133"/>
        <v>0</v>
      </c>
      <c r="T724" s="712"/>
      <c r="U724" s="713"/>
      <c r="V724" s="714"/>
      <c r="W724" s="398">
        <f>W723+U724-V724</f>
        <v>0</v>
      </c>
      <c r="X724" s="712"/>
      <c r="Y724" s="713"/>
      <c r="Z724" s="714"/>
      <c r="AA724" s="398">
        <f t="shared" si="135"/>
        <v>0</v>
      </c>
      <c r="AB724" s="712"/>
      <c r="AC724" s="713"/>
      <c r="AD724" s="714"/>
      <c r="AE724" s="398">
        <f t="shared" si="136"/>
        <v>0</v>
      </c>
      <c r="AF724" s="712"/>
      <c r="AG724" s="713"/>
      <c r="AH724" s="714"/>
      <c r="AI724" s="398">
        <f t="shared" si="137"/>
        <v>0</v>
      </c>
      <c r="AJ724" s="712"/>
      <c r="AK724" s="713"/>
      <c r="AL724" s="714"/>
      <c r="AM724" s="398">
        <f t="shared" si="138"/>
        <v>0</v>
      </c>
    </row>
    <row r="725" spans="1:39" ht="17.25" thickBot="1" x14ac:dyDescent="0.35">
      <c r="A725" s="352"/>
      <c r="B725" s="352"/>
      <c r="I725" s="352"/>
      <c r="J725" s="352"/>
      <c r="K725" s="352"/>
      <c r="L725" s="352"/>
      <c r="M725" s="352"/>
      <c r="N725" s="352"/>
      <c r="O725" s="352"/>
      <c r="P725" s="352"/>
      <c r="Q725" s="352"/>
      <c r="R725" s="352"/>
      <c r="S725" s="352"/>
    </row>
    <row r="726" spans="1:39" ht="13.5" x14ac:dyDescent="0.15">
      <c r="A726" s="1089" t="s">
        <v>269</v>
      </c>
      <c r="B726" s="1016">
        <f>SUBTOTAL(5,$B$4:$B$724)</f>
        <v>0</v>
      </c>
      <c r="C726" s="2177">
        <f>SUBTOTAL(9,C4:C724)</f>
        <v>0</v>
      </c>
      <c r="D726" s="2179">
        <f>SUBTOTAL(9,D4:D724)</f>
        <v>0</v>
      </c>
      <c r="E726" s="2179">
        <f>SUBTOTAL(9,E4:E724)</f>
        <v>95000</v>
      </c>
      <c r="F726" s="2181">
        <f>IFERROR(LOOKUP(B727,$B$4:$B$724,F$4:F$724),0)</f>
        <v>0</v>
      </c>
      <c r="G726" s="1015"/>
      <c r="H726" s="1015"/>
      <c r="I726" s="2183">
        <f>SUBTOTAL(9,I4:I724)</f>
        <v>0</v>
      </c>
      <c r="J726" s="2185">
        <f>SUBTOTAL(9,J4:J724)</f>
        <v>0</v>
      </c>
      <c r="K726" s="2187" t="e">
        <f>LOOKUP($B$727,$B$4:$B$724,K$4:K$724)</f>
        <v>#N/A</v>
      </c>
      <c r="L726" s="2183">
        <f>SUBTOTAL(9,L4:L724)</f>
        <v>0</v>
      </c>
      <c r="M726" s="2189">
        <f>SUBTOTAL(9,M4:M724)</f>
        <v>0</v>
      </c>
      <c r="N726" s="2191" t="e">
        <f>LOOKUP($B$727,$B$4:$B$724,N$4:N$724)</f>
        <v>#N/A</v>
      </c>
      <c r="O726" s="2193">
        <f>SUBTOTAL(9,O4:O724)</f>
        <v>0</v>
      </c>
      <c r="P726" s="2199" t="s">
        <v>374</v>
      </c>
      <c r="Q726" s="2200"/>
      <c r="R726" s="2195">
        <f>SUBTOTAL(9,R4:R724)</f>
        <v>0</v>
      </c>
      <c r="S726" s="2197" t="e">
        <f>LOOKUP($B$727,$B$4:$B$724,S$4:S$724)</f>
        <v>#N/A</v>
      </c>
      <c r="T726" s="2203" t="str">
        <f>CONCATENATE("T. ",T2," : ")</f>
        <v xml:space="preserve">T. INSUMO 1 : </v>
      </c>
      <c r="U726" s="2204">
        <f>SUBTOTAL(9,U4:U724)</f>
        <v>0</v>
      </c>
      <c r="V726" s="2206">
        <f>SUBTOTAL(9,V4:V724)</f>
        <v>0</v>
      </c>
      <c r="W726" s="2208" t="e">
        <f>LOOKUP($B$727,$B$4:$B$724,W$4:W$724)</f>
        <v>#N/A</v>
      </c>
      <c r="X726" s="2203" t="str">
        <f>CONCATENATE("T. ",X2," : ")</f>
        <v xml:space="preserve">T. INSUMO 2 : </v>
      </c>
      <c r="Y726" s="2204">
        <f>SUBTOTAL(9,Y4:Y724)</f>
        <v>0</v>
      </c>
      <c r="Z726" s="2206">
        <f>SUBTOTAL(9,Z4:Z724)</f>
        <v>0</v>
      </c>
      <c r="AA726" s="2208" t="e">
        <f>LOOKUP($B$727,$B$4:$B$724,AA$4:AA$724)</f>
        <v>#N/A</v>
      </c>
      <c r="AB726" s="2203" t="str">
        <f>CONCATENATE("T. ",AB2," : ")</f>
        <v xml:space="preserve">T. INSUMO 3 : </v>
      </c>
      <c r="AC726" s="2204">
        <f>SUBTOTAL(9,AC4:AC724)</f>
        <v>0</v>
      </c>
      <c r="AD726" s="2206">
        <f>SUBTOTAL(9,AD4:AD724)</f>
        <v>0</v>
      </c>
      <c r="AE726" s="2208" t="e">
        <f>LOOKUP($B$727,$B$4:$B$724,AE$4:AE$724)</f>
        <v>#N/A</v>
      </c>
      <c r="AF726" s="2203" t="str">
        <f>CONCATENATE("T. ",AF2," : ")</f>
        <v xml:space="preserve">T. INSUMO 4 : </v>
      </c>
      <c r="AG726" s="2204">
        <f>SUBTOTAL(9,AG4:AG724)</f>
        <v>0</v>
      </c>
      <c r="AH726" s="2206">
        <f>SUBTOTAL(9,AH4:AH724)</f>
        <v>0</v>
      </c>
      <c r="AI726" s="2208" t="e">
        <f>LOOKUP($B$727,$B$4:$B$724,AI$4:AI$724)</f>
        <v>#N/A</v>
      </c>
      <c r="AJ726" s="2203" t="str">
        <f>CONCATENATE("T. ",AJ2," : ")</f>
        <v xml:space="preserve">T. INSUMO 5 : </v>
      </c>
      <c r="AK726" s="2204">
        <f>SUBTOTAL(9,AK4:AK724)</f>
        <v>0</v>
      </c>
      <c r="AL726" s="2206">
        <f>SUBTOTAL(9,AL4:AL724)</f>
        <v>0</v>
      </c>
      <c r="AM726" s="2208" t="e">
        <f>LOOKUP($B$727,$B$4:$B$724,AM$4:AM$724)</f>
        <v>#N/A</v>
      </c>
    </row>
    <row r="727" spans="1:39" ht="14.25" thickBot="1" x14ac:dyDescent="0.2">
      <c r="A727" s="1090" t="s">
        <v>270</v>
      </c>
      <c r="B727" s="1017">
        <f>SUBTOTAL(4,$B$4:$B$724)</f>
        <v>0</v>
      </c>
      <c r="C727" s="2178"/>
      <c r="D727" s="2180"/>
      <c r="E727" s="2180"/>
      <c r="F727" s="2182"/>
      <c r="G727" s="1015"/>
      <c r="H727" s="1015"/>
      <c r="I727" s="2184"/>
      <c r="J727" s="2186"/>
      <c r="K727" s="2188"/>
      <c r="L727" s="2184"/>
      <c r="M727" s="2190"/>
      <c r="N727" s="2192"/>
      <c r="O727" s="2194"/>
      <c r="P727" s="2201"/>
      <c r="Q727" s="2202"/>
      <c r="R727" s="2196"/>
      <c r="S727" s="2198"/>
      <c r="T727" s="2203"/>
      <c r="U727" s="2205"/>
      <c r="V727" s="2207"/>
      <c r="W727" s="2209"/>
      <c r="X727" s="2203"/>
      <c r="Y727" s="2205"/>
      <c r="Z727" s="2207"/>
      <c r="AA727" s="2209"/>
      <c r="AB727" s="2203"/>
      <c r="AC727" s="2205"/>
      <c r="AD727" s="2207"/>
      <c r="AE727" s="2209"/>
      <c r="AF727" s="2203"/>
      <c r="AG727" s="2205"/>
      <c r="AH727" s="2207"/>
      <c r="AI727" s="2209"/>
      <c r="AJ727" s="2203"/>
      <c r="AK727" s="2205"/>
      <c r="AL727" s="2207"/>
      <c r="AM727" s="2209"/>
    </row>
    <row r="728" spans="1:39" ht="14.25" customHeight="1" x14ac:dyDescent="0.3">
      <c r="C728" s="333"/>
      <c r="I728" s="352"/>
      <c r="J728" s="352"/>
      <c r="K728" s="352"/>
      <c r="L728" s="352"/>
      <c r="M728" s="352"/>
      <c r="N728" s="352"/>
      <c r="O728" s="352"/>
      <c r="P728" s="352"/>
      <c r="Q728" s="352"/>
      <c r="R728" s="352"/>
      <c r="S728" s="352"/>
    </row>
    <row r="729" spans="1:39" x14ac:dyDescent="0.3"/>
    <row r="730" spans="1:39" x14ac:dyDescent="0.3"/>
  </sheetData>
  <sheetProtection algorithmName="SHA-512" hashValue="bj1mw/F4ZW41TD5BsyzZzOwRue7oRGvFbnCqlykqUvMWhTfcmg0FE001/zs2NxCas9PY3gSM7mw03z0oZWglaA==" saltValue="7aKc4PI5pYbXKiNfdrp1EQ==" spinCount="100000" sheet="1" formatCells="0" formatColumns="0" formatRows="0" autoFilter="0" pivotTables="0"/>
  <autoFilter ref="B3:B724" xr:uid="{56EA0F21-6396-4A4C-BA5B-67A483950DB9}"/>
  <customSheetViews>
    <customSheetView guid="{2AFB78BD-0AA0-48F7-9FB9-7ECB21AAFE3F}" showGridLines="0" zeroValues="0" showAutoFilter="1" hiddenRows="1" hiddenColumns="1">
      <pane xSplit="4" ySplit="6" topLeftCell="E7" activePane="bottomRight" state="frozen"/>
      <selection pane="bottomRight" activeCell="B8" sqref="B8"/>
      <rowBreaks count="10" manualBreakCount="10">
        <brk id="55" max="42" man="1"/>
        <brk id="104" max="42" man="1"/>
        <brk id="153" max="42" man="1"/>
        <brk id="202" max="42" man="1"/>
        <brk id="251" max="42" man="1"/>
        <brk id="300" max="42" man="1"/>
        <brk id="349" max="42" man="1"/>
        <brk id="398" max="42" man="1"/>
        <brk id="447" max="42" man="1"/>
        <brk id="496" max="42" man="1"/>
      </rowBreaks>
      <colBreaks count="1" manualBreakCount="1">
        <brk id="5" max="524" man="1"/>
      </colBreaks>
      <pageMargins left="0.43307086614173229" right="0.27559055118110237" top="0.51181102362204722" bottom="0.43307086614173229" header="0.31496062992125984" footer="0.27559055118110237"/>
      <printOptions horizontalCentered="1" verticalCentered="1"/>
      <pageSetup scale="70" fitToWidth="2" fitToHeight="0" orientation="landscape" r:id="rId1"/>
      <headerFooter alignWithMargins="0">
        <oddHeader>&amp;L&amp;F;  &amp;A  &amp;P DE &amp;N&amp;RImpreso en &amp;D;  &amp;T</oddHeader>
      </headerFooter>
      <autoFilter ref="D6:D727" xr:uid="{569CB1CE-8FBD-4AB1-8EFE-E22280E308EF}"/>
    </customSheetView>
  </customSheetViews>
  <mergeCells count="150">
    <mergeCell ref="AL726:AL727"/>
    <mergeCell ref="AM726:AM727"/>
    <mergeCell ref="AC726:AC727"/>
    <mergeCell ref="AD726:AD727"/>
    <mergeCell ref="AE726:AE727"/>
    <mergeCell ref="AF726:AF727"/>
    <mergeCell ref="AG726:AG727"/>
    <mergeCell ref="AH726:AH727"/>
    <mergeCell ref="AI726:AI727"/>
    <mergeCell ref="AJ726:AJ727"/>
    <mergeCell ref="AK726:AK727"/>
    <mergeCell ref="T726:T727"/>
    <mergeCell ref="U726:U727"/>
    <mergeCell ref="V726:V727"/>
    <mergeCell ref="W726:W727"/>
    <mergeCell ref="X726:X727"/>
    <mergeCell ref="Y726:Y727"/>
    <mergeCell ref="Z726:Z727"/>
    <mergeCell ref="AA726:AA727"/>
    <mergeCell ref="AB726:AB727"/>
    <mergeCell ref="L726:L727"/>
    <mergeCell ref="M726:M727"/>
    <mergeCell ref="N726:N727"/>
    <mergeCell ref="O726:O727"/>
    <mergeCell ref="R726:R727"/>
    <mergeCell ref="S726:S727"/>
    <mergeCell ref="P726:Q727"/>
    <mergeCell ref="A284:A290"/>
    <mergeCell ref="A270:A276"/>
    <mergeCell ref="A718:A724"/>
    <mergeCell ref="A480:A486"/>
    <mergeCell ref="A424:A430"/>
    <mergeCell ref="A431:A437"/>
    <mergeCell ref="A396:A402"/>
    <mergeCell ref="A655:A661"/>
    <mergeCell ref="A634:A640"/>
    <mergeCell ref="A641:A647"/>
    <mergeCell ref="A620:A626"/>
    <mergeCell ref="A627:A633"/>
    <mergeCell ref="A606:A612"/>
    <mergeCell ref="A613:A619"/>
    <mergeCell ref="A592:A598"/>
    <mergeCell ref="A599:A605"/>
    <mergeCell ref="A578:A584"/>
    <mergeCell ref="A1:B2"/>
    <mergeCell ref="E2:H2"/>
    <mergeCell ref="C726:C727"/>
    <mergeCell ref="E726:E727"/>
    <mergeCell ref="F726:F727"/>
    <mergeCell ref="D726:D727"/>
    <mergeCell ref="I726:I727"/>
    <mergeCell ref="J726:J727"/>
    <mergeCell ref="K726:K727"/>
    <mergeCell ref="A263:A269"/>
    <mergeCell ref="A389:A395"/>
    <mergeCell ref="A375:A381"/>
    <mergeCell ref="A382:A388"/>
    <mergeCell ref="A361:A367"/>
    <mergeCell ref="A368:A374"/>
    <mergeCell ref="A704:A710"/>
    <mergeCell ref="A711:A717"/>
    <mergeCell ref="A690:A696"/>
    <mergeCell ref="A697:A703"/>
    <mergeCell ref="A676:A682"/>
    <mergeCell ref="A683:A689"/>
    <mergeCell ref="A662:A668"/>
    <mergeCell ref="A669:A675"/>
    <mergeCell ref="A648:A654"/>
    <mergeCell ref="A585:A591"/>
    <mergeCell ref="A564:A570"/>
    <mergeCell ref="A571:A577"/>
    <mergeCell ref="A550:A556"/>
    <mergeCell ref="A557:A563"/>
    <mergeCell ref="A543:A549"/>
    <mergeCell ref="A515:A521"/>
    <mergeCell ref="A473:A479"/>
    <mergeCell ref="A466:A472"/>
    <mergeCell ref="A536:A542"/>
    <mergeCell ref="A522:A528"/>
    <mergeCell ref="A529:A535"/>
    <mergeCell ref="A508:A514"/>
    <mergeCell ref="A403:A409"/>
    <mergeCell ref="A410:A416"/>
    <mergeCell ref="A501:A507"/>
    <mergeCell ref="A417:A423"/>
    <mergeCell ref="A487:A493"/>
    <mergeCell ref="A445:A451"/>
    <mergeCell ref="A438:A444"/>
    <mergeCell ref="A494:A500"/>
    <mergeCell ref="A452:A458"/>
    <mergeCell ref="A459:A465"/>
    <mergeCell ref="A277:A283"/>
    <mergeCell ref="A130:A136"/>
    <mergeCell ref="A109:A115"/>
    <mergeCell ref="A102:A108"/>
    <mergeCell ref="A144:A150"/>
    <mergeCell ref="A137:A143"/>
    <mergeCell ref="A123:A129"/>
    <mergeCell ref="A228:A234"/>
    <mergeCell ref="A151:A157"/>
    <mergeCell ref="A354:A360"/>
    <mergeCell ref="A347:A353"/>
    <mergeCell ref="A340:A346"/>
    <mergeCell ref="A326:A332"/>
    <mergeCell ref="A333:A339"/>
    <mergeCell ref="A319:A325"/>
    <mergeCell ref="A312:A318"/>
    <mergeCell ref="A305:A311"/>
    <mergeCell ref="A291:A297"/>
    <mergeCell ref="A298:A304"/>
    <mergeCell ref="A25:A31"/>
    <mergeCell ref="A18:A24"/>
    <mergeCell ref="A11:A17"/>
    <mergeCell ref="A4:A10"/>
    <mergeCell ref="A53:A59"/>
    <mergeCell ref="A256:A262"/>
    <mergeCell ref="A221:A227"/>
    <mergeCell ref="A214:A220"/>
    <mergeCell ref="A46:A52"/>
    <mergeCell ref="A200:A206"/>
    <mergeCell ref="A193:A199"/>
    <mergeCell ref="A207:A213"/>
    <mergeCell ref="A249:A255"/>
    <mergeCell ref="A242:A248"/>
    <mergeCell ref="A235:A241"/>
    <mergeCell ref="A95:A101"/>
    <mergeCell ref="AB2:AE2"/>
    <mergeCell ref="AF2:AI2"/>
    <mergeCell ref="AJ2:AM2"/>
    <mergeCell ref="O2:S2"/>
    <mergeCell ref="C1:H1"/>
    <mergeCell ref="T2:W2"/>
    <mergeCell ref="X2:AA2"/>
    <mergeCell ref="A179:A185"/>
    <mergeCell ref="A186:A192"/>
    <mergeCell ref="A165:A171"/>
    <mergeCell ref="A172:A178"/>
    <mergeCell ref="A116:A122"/>
    <mergeCell ref="A158:A164"/>
    <mergeCell ref="I1:J1"/>
    <mergeCell ref="L1:M1"/>
    <mergeCell ref="I2:J2"/>
    <mergeCell ref="L2:M2"/>
    <mergeCell ref="A60:A66"/>
    <mergeCell ref="A88:A94"/>
    <mergeCell ref="A81:A87"/>
    <mergeCell ref="A74:A80"/>
    <mergeCell ref="A67:A73"/>
    <mergeCell ref="A39:A45"/>
    <mergeCell ref="A32:A38"/>
  </mergeCells>
  <phoneticPr fontId="0" type="noConversion"/>
  <conditionalFormatting sqref="B4:B724">
    <cfRule type="expression" dxfId="7" priority="1">
      <formula>AND($B4=EOMONTH($B4,0))</formula>
    </cfRule>
  </conditionalFormatting>
  <dataValidations disablePrompts="1" count="5">
    <dataValidation type="list" allowBlank="1" showInputMessage="1" showErrorMessage="1" sqref="I1:J1" xr:uid="{00000000-0002-0000-1000-000017000000}">
      <formula1>"Huevos X Arrume : ,Huevos x Pila : ,Huevos x Bulto : "</formula1>
    </dataValidation>
    <dataValidation type="list" allowBlank="1" showInputMessage="1" showErrorMessage="1" sqref="I2:J2" xr:uid="{00000000-0002-0000-1000-000018000000}">
      <formula1>"# Band. / Arrume : ,# Band. / Pila : ,# Band. / Bulto : "</formula1>
    </dataValidation>
    <dataValidation allowBlank="1" showInputMessage="1" showErrorMessage="1" prompt="Digite en esta celda el nombre del Insumo (Carbonato de Calcio, Miel de Purga, Floculante, Sanitizante Agua, etc.)." sqref="T2:AM2" xr:uid="{57C282A9-107D-4288-B82D-A78C457AD369}"/>
    <dataValidation type="list" allowBlank="1" showInputMessage="1" showErrorMessage="1" sqref="D2" xr:uid="{A114C377-1AB6-4E3B-A43B-95626B5527C8}">
      <formula1>"SI,NO"</formula1>
    </dataValidation>
    <dataValidation type="whole" operator="greaterThan" allowBlank="1" showInputMessage="1" showErrorMessage="1" sqref="F46:H724" xr:uid="{00000000-0002-0000-0A00-000002000000}">
      <formula1>0</formula1>
    </dataValidation>
  </dataValidations>
  <printOptions horizontalCentered="1" verticalCentered="1" gridLinesSet="0"/>
  <pageMargins left="0.43307086614173229" right="0.27559055118110237" top="0.51181102362204722" bottom="0.43307086614173229" header="0.31496062992125984" footer="0.27559055118110237"/>
  <pageSetup scale="70" fitToWidth="2" fitToHeight="0" orientation="landscape" r:id="rId2"/>
  <headerFooter alignWithMargins="0">
    <oddHeader>&amp;L&amp;F;  &amp;A  &amp;P DE &amp;N&amp;RImpreso en &amp;D;  &amp;T</oddHeader>
  </headerFooter>
  <rowBreaks count="10" manualBreakCount="10">
    <brk id="52" max="42" man="1"/>
    <brk id="101" max="42" man="1"/>
    <brk id="150" max="42" man="1"/>
    <brk id="199" max="42" man="1"/>
    <brk id="248" max="42" man="1"/>
    <brk id="297" max="42" man="1"/>
    <brk id="346" max="42" man="1"/>
    <brk id="395" max="42" man="1"/>
    <brk id="444" max="42" man="1"/>
    <brk id="493" max="42"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filterMode="1">
    <pageSetUpPr fitToPage="1"/>
  </sheetPr>
  <dimension ref="A1:BY128"/>
  <sheetViews>
    <sheetView showGridLines="0" showRowColHeaders="0" showZeros="0" showOutlineSymbols="0" zoomScaleNormal="100" workbookViewId="0">
      <pane xSplit="2" ySplit="5" topLeftCell="C6" activePane="bottomRight" state="frozen"/>
      <selection pane="topRight" activeCell="C1" sqref="C1"/>
      <selection pane="bottomLeft" activeCell="A6" sqref="A6"/>
      <selection pane="bottomRight" activeCell="C6" sqref="C6"/>
    </sheetView>
  </sheetViews>
  <sheetFormatPr baseColWidth="10" defaultColWidth="0" defaultRowHeight="13.5" zeroHeight="1" x14ac:dyDescent="0.25"/>
  <cols>
    <col min="1" max="6" width="7.5" style="198" customWidth="1"/>
    <col min="7" max="8" width="7.625" style="198" customWidth="1"/>
    <col min="9" max="9" width="7" style="198" bestFit="1" customWidth="1"/>
    <col min="10" max="10" width="8.25" style="198" customWidth="1"/>
    <col min="11" max="11" width="8.625" style="198" customWidth="1"/>
    <col min="12" max="12" width="8.125" style="198" bestFit="1" customWidth="1"/>
    <col min="13" max="13" width="7.625" style="198" customWidth="1"/>
    <col min="14" max="14" width="7.375" style="198" bestFit="1" customWidth="1"/>
    <col min="15" max="15" width="7.125" style="198" customWidth="1"/>
    <col min="16" max="16" width="6.75" style="198" customWidth="1"/>
    <col min="17" max="18" width="7.25" style="198" customWidth="1"/>
    <col min="19" max="19" width="8.375" style="198" customWidth="1"/>
    <col min="20" max="21" width="7.5" style="198" customWidth="1"/>
    <col min="22" max="22" width="7.75" style="198" customWidth="1"/>
    <col min="23" max="24" width="7.5" style="198" customWidth="1"/>
    <col min="25" max="25" width="9.25" style="198" customWidth="1"/>
    <col min="26" max="27" width="7.5" style="198" customWidth="1"/>
    <col min="28" max="28" width="7.125" style="198" bestFit="1" customWidth="1"/>
    <col min="29" max="30" width="7" style="198" customWidth="1"/>
    <col min="31" max="31" width="7.625" style="198" customWidth="1"/>
    <col min="32" max="32" width="4.625" style="198" customWidth="1"/>
    <col min="33" max="33" width="4.75" style="198" customWidth="1"/>
    <col min="34" max="34" width="4.625" style="198" customWidth="1"/>
    <col min="35" max="35" width="7" style="198" customWidth="1"/>
    <col min="36" max="36" width="7.875" style="198" customWidth="1"/>
    <col min="37" max="40" width="8.25" style="198" customWidth="1"/>
    <col min="41" max="54" width="7.375" style="198" customWidth="1"/>
    <col min="55" max="56" width="7.5" style="198" customWidth="1"/>
    <col min="57" max="57" width="9.75" style="198" customWidth="1"/>
    <col min="58" max="58" width="8.625" style="198" hidden="1" customWidth="1"/>
    <col min="59" max="60" width="8.125" style="198" hidden="1" customWidth="1"/>
    <col min="61" max="62" width="7.875" style="198" customWidth="1"/>
    <col min="63" max="64" width="6.25" style="198" customWidth="1"/>
    <col min="65" max="65" width="7.875" style="198" customWidth="1"/>
    <col min="66" max="66" width="9.5" style="198" bestFit="1" customWidth="1"/>
    <col min="67" max="67" width="8.625" style="198" customWidth="1"/>
    <col min="68" max="68" width="9.625" style="198" customWidth="1"/>
    <col min="69" max="69" width="9.625" style="198" hidden="1" customWidth="1"/>
    <col min="70" max="77" width="4.75" style="198" hidden="1" customWidth="1"/>
    <col min="78" max="16384" width="9.625" style="198" hidden="1"/>
  </cols>
  <sheetData>
    <row r="1" spans="1:64" ht="18" customHeight="1" x14ac:dyDescent="0.3">
      <c r="A1" s="261"/>
      <c r="B1" s="261"/>
      <c r="D1" s="2248" t="str">
        <f>PROD!D1</f>
        <v xml:space="preserve">EMPRESA :  </v>
      </c>
      <c r="E1" s="2249"/>
      <c r="F1" s="2249"/>
      <c r="G1" s="2249"/>
      <c r="H1" s="2249"/>
      <c r="I1" s="2249"/>
      <c r="J1" s="2250"/>
      <c r="K1" s="2224" t="str">
        <f>PROD!I1</f>
        <v xml:space="preserve">Estirpe / Línea : </v>
      </c>
      <c r="L1" s="2225"/>
      <c r="M1" s="2225"/>
      <c r="N1" s="2226"/>
      <c r="O1" s="2233">
        <f>PROD!K1</f>
        <v>0</v>
      </c>
      <c r="P1" s="2234"/>
      <c r="Q1" s="2234"/>
      <c r="R1" s="2234"/>
      <c r="S1" s="2235"/>
      <c r="T1" s="2277" t="str">
        <f>PROD!O1</f>
        <v xml:space="preserve">Altura sobre el nivel del mar : </v>
      </c>
      <c r="U1" s="2278"/>
      <c r="V1" s="2278"/>
      <c r="W1" s="2278"/>
      <c r="X1" s="2278"/>
      <c r="Y1" s="2279"/>
      <c r="Z1" s="2256" t="str">
        <f>PROD!R1</f>
        <v xml:space="preserve">Asesor Técnico : </v>
      </c>
      <c r="AA1" s="2257"/>
      <c r="AB1" s="2257"/>
      <c r="AC1" s="2258"/>
      <c r="AD1" s="2262">
        <f>Iniciar!C7</f>
        <v>0</v>
      </c>
      <c r="AE1" s="2263"/>
      <c r="AF1" s="2263"/>
      <c r="AG1" s="2263"/>
      <c r="AH1" s="2263"/>
      <c r="AI1" s="2210" t="str">
        <f>PROD!AL1</f>
        <v xml:space="preserve">Clase de Alojamiento : </v>
      </c>
      <c r="AJ1" s="2211"/>
      <c r="AK1" s="2211"/>
      <c r="AL1" s="2211"/>
      <c r="AM1" s="2211"/>
      <c r="AN1" s="2212"/>
      <c r="AO1" s="599"/>
      <c r="AP1" s="596"/>
      <c r="AQ1" s="596"/>
      <c r="AR1" s="596"/>
      <c r="AS1" s="596"/>
      <c r="AT1" s="596"/>
      <c r="AU1" s="596"/>
      <c r="BC1" s="596"/>
      <c r="BD1" s="596"/>
      <c r="BE1" s="596"/>
    </row>
    <row r="2" spans="1:64" ht="18" customHeight="1" x14ac:dyDescent="0.3">
      <c r="A2" s="261"/>
      <c r="B2" s="261"/>
      <c r="D2" s="2245" t="str">
        <f>PROD!D2</f>
        <v xml:space="preserve">Nombre de la Granja : </v>
      </c>
      <c r="E2" s="2246"/>
      <c r="F2" s="2247"/>
      <c r="G2" s="2219">
        <f>PROD!H2</f>
        <v>0</v>
      </c>
      <c r="H2" s="2220"/>
      <c r="I2" s="2220"/>
      <c r="J2" s="2221"/>
      <c r="K2" s="2227" t="str">
        <f>PROD!I2</f>
        <v xml:space="preserve">Total Aves Encasetadas : </v>
      </c>
      <c r="L2" s="2228"/>
      <c r="M2" s="2228"/>
      <c r="N2" s="2229"/>
      <c r="O2" s="2236">
        <f>PROD!K2</f>
        <v>0</v>
      </c>
      <c r="P2" s="2237"/>
      <c r="Q2" s="2237"/>
      <c r="R2" s="2237"/>
      <c r="S2" s="2238"/>
      <c r="T2" s="2280"/>
      <c r="U2" s="2281"/>
      <c r="V2" s="2281"/>
      <c r="W2" s="2281"/>
      <c r="X2" s="2281"/>
      <c r="Y2" s="2282"/>
      <c r="Z2" s="2259" t="str">
        <f>PROD!AG1</f>
        <v xml:space="preserve">Equipo de Comederos : </v>
      </c>
      <c r="AA2" s="2260"/>
      <c r="AB2" s="2260"/>
      <c r="AC2" s="2261"/>
      <c r="AD2" s="2270">
        <f>PROD!AI1</f>
        <v>0</v>
      </c>
      <c r="AE2" s="2271"/>
      <c r="AF2" s="2271"/>
      <c r="AG2" s="2271"/>
      <c r="AH2" s="2271"/>
      <c r="AI2" s="2213" t="str">
        <f>PROD!AG2</f>
        <v>Presentación empaque de alimento : Kilos</v>
      </c>
      <c r="AJ2" s="2214"/>
      <c r="AK2" s="2214"/>
      <c r="AL2" s="2214"/>
      <c r="AM2" s="2214"/>
      <c r="AN2" s="2215"/>
      <c r="AO2" s="595"/>
      <c r="AP2" s="596"/>
      <c r="AQ2" s="596"/>
      <c r="AR2" s="596"/>
      <c r="AS2" s="596"/>
      <c r="AT2" s="596"/>
      <c r="AU2" s="596"/>
      <c r="AV2" s="596"/>
      <c r="AW2" s="596"/>
      <c r="AX2" s="596"/>
      <c r="BC2" s="596"/>
      <c r="BD2" s="596"/>
      <c r="BE2" s="596"/>
    </row>
    <row r="3" spans="1:64" ht="18" customHeight="1" thickBot="1" x14ac:dyDescent="0.35">
      <c r="A3" s="261"/>
      <c r="B3" s="261"/>
      <c r="D3" s="785" t="str">
        <f>PROD!M1</f>
        <v xml:space="preserve">Lote # : </v>
      </c>
      <c r="E3" s="786"/>
      <c r="F3" s="787">
        <f>PROD!N1</f>
        <v>0</v>
      </c>
      <c r="G3" s="2222" t="str">
        <f>PROD!M2</f>
        <v xml:space="preserve">Galpón : </v>
      </c>
      <c r="H3" s="2223"/>
      <c r="I3" s="2254">
        <f>PROD!N2</f>
        <v>0</v>
      </c>
      <c r="J3" s="2255"/>
      <c r="K3" s="2230" t="str">
        <f>PROD!R2</f>
        <v xml:space="preserve">Fecha de Inicio semana 19 : </v>
      </c>
      <c r="L3" s="2231"/>
      <c r="M3" s="2231"/>
      <c r="N3" s="2232"/>
      <c r="O3" s="2239" t="str">
        <f>PROD!W2</f>
        <v/>
      </c>
      <c r="P3" s="2240"/>
      <c r="Q3" s="2240"/>
      <c r="R3" s="2240"/>
      <c r="S3" s="2241"/>
      <c r="T3" s="2283" t="str">
        <f>PROD!AC1</f>
        <v xml:space="preserve">Clima : </v>
      </c>
      <c r="U3" s="2284"/>
      <c r="V3" s="2284"/>
      <c r="W3" s="2284"/>
      <c r="X3" s="2284"/>
      <c r="Y3" s="2285"/>
      <c r="Z3" s="2267" t="str">
        <f>PROD!AQ1</f>
        <v xml:space="preserve">Manejo de la Luz : </v>
      </c>
      <c r="AA3" s="2268"/>
      <c r="AB3" s="2268"/>
      <c r="AC3" s="2269"/>
      <c r="AD3" s="2272">
        <f>PROD!AT1</f>
        <v>0</v>
      </c>
      <c r="AE3" s="2273"/>
      <c r="AF3" s="2273"/>
      <c r="AG3" s="2273"/>
      <c r="AH3" s="2273"/>
      <c r="AI3" s="2216" t="str">
        <f>PROD!AC2</f>
        <v xml:space="preserve">Localización Granja : </v>
      </c>
      <c r="AJ3" s="2217"/>
      <c r="AK3" s="2217"/>
      <c r="AL3" s="2217"/>
      <c r="AM3" s="2217"/>
      <c r="AN3" s="2218"/>
      <c r="AO3" s="597"/>
      <c r="AP3" s="598"/>
      <c r="AQ3" s="598"/>
      <c r="AR3" s="598"/>
      <c r="AS3" s="598"/>
      <c r="AT3" s="598"/>
      <c r="AU3" s="598"/>
      <c r="AV3" s="598"/>
      <c r="AW3" s="598"/>
      <c r="AX3" s="598"/>
      <c r="AY3" s="600"/>
      <c r="AZ3" s="600"/>
      <c r="BA3" s="600"/>
      <c r="BB3" s="600"/>
      <c r="BC3" s="598"/>
      <c r="BD3" s="598"/>
      <c r="BE3" s="598"/>
    </row>
    <row r="4" spans="1:64" ht="18" customHeight="1" thickBot="1" x14ac:dyDescent="0.35">
      <c r="A4" s="2251" t="s">
        <v>388</v>
      </c>
      <c r="B4" s="2252"/>
      <c r="C4" s="2252"/>
      <c r="D4" s="2252"/>
      <c r="E4" s="2252"/>
      <c r="F4" s="2253"/>
      <c r="G4" s="2264" t="s">
        <v>272</v>
      </c>
      <c r="H4" s="2265"/>
      <c r="I4" s="2265"/>
      <c r="J4" s="2265"/>
      <c r="K4" s="2265"/>
      <c r="L4" s="2265"/>
      <c r="M4" s="2266"/>
      <c r="N4" s="2264" t="s">
        <v>429</v>
      </c>
      <c r="O4" s="2265"/>
      <c r="P4" s="2265"/>
      <c r="Q4" s="2265"/>
      <c r="R4" s="2265"/>
      <c r="S4" s="2266"/>
      <c r="T4" s="2274" t="s">
        <v>470</v>
      </c>
      <c r="U4" s="2275"/>
      <c r="V4" s="2275"/>
      <c r="W4" s="2275"/>
      <c r="X4" s="2275"/>
      <c r="Y4" s="2276"/>
      <c r="Z4" s="2242" t="s">
        <v>271</v>
      </c>
      <c r="AA4" s="2243"/>
      <c r="AB4" s="2243"/>
      <c r="AC4" s="2243"/>
      <c r="AD4" s="2243"/>
      <c r="AE4" s="2243"/>
      <c r="AF4" s="2243"/>
      <c r="AG4" s="2243"/>
      <c r="AH4" s="2244"/>
      <c r="AI4" s="2289" t="s">
        <v>276</v>
      </c>
      <c r="AJ4" s="2290"/>
      <c r="AK4" s="2290"/>
      <c r="AL4" s="2290"/>
      <c r="AM4" s="2290"/>
      <c r="AN4" s="2291"/>
      <c r="AO4" s="2295" t="s">
        <v>434</v>
      </c>
      <c r="AP4" s="2296"/>
      <c r="AQ4" s="2296"/>
      <c r="AR4" s="2296"/>
      <c r="AS4" s="2296"/>
      <c r="AT4" s="2296"/>
      <c r="AU4" s="2296"/>
      <c r="AV4" s="2297"/>
      <c r="AW4" s="2297"/>
      <c r="AX4" s="2297"/>
      <c r="AY4" s="2298" t="s">
        <v>433</v>
      </c>
      <c r="AZ4" s="2297"/>
      <c r="BA4" s="2297"/>
      <c r="BB4" s="2299"/>
      <c r="BC4" s="2292" t="s">
        <v>384</v>
      </c>
      <c r="BD4" s="2293"/>
      <c r="BE4" s="2294"/>
      <c r="BF4" s="2286" t="s">
        <v>285</v>
      </c>
      <c r="BG4" s="2287"/>
      <c r="BH4" s="2288"/>
      <c r="BI4" s="199"/>
      <c r="BJ4" s="484">
        <v>3</v>
      </c>
      <c r="BK4" s="199"/>
      <c r="BL4" s="199"/>
    </row>
    <row r="5" spans="1:64" s="204" customFormat="1" ht="49.5" thickBot="1" x14ac:dyDescent="0.25">
      <c r="A5" s="1379" t="s">
        <v>0</v>
      </c>
      <c r="B5" s="1380" t="s">
        <v>172</v>
      </c>
      <c r="C5" s="1381" t="s">
        <v>230</v>
      </c>
      <c r="D5" s="1381" t="s">
        <v>132</v>
      </c>
      <c r="E5" s="1382" t="s">
        <v>278</v>
      </c>
      <c r="F5" s="1383" t="s">
        <v>352</v>
      </c>
      <c r="G5" s="1384" t="s">
        <v>401</v>
      </c>
      <c r="H5" s="1385" t="s">
        <v>409</v>
      </c>
      <c r="I5" s="1386" t="s">
        <v>282</v>
      </c>
      <c r="J5" s="1387" t="s">
        <v>253</v>
      </c>
      <c r="K5" s="1388" t="s">
        <v>133</v>
      </c>
      <c r="L5" s="1386" t="s">
        <v>281</v>
      </c>
      <c r="M5" s="1389" t="s">
        <v>290</v>
      </c>
      <c r="N5" s="1390" t="s">
        <v>400</v>
      </c>
      <c r="O5" s="1385" t="s">
        <v>130</v>
      </c>
      <c r="P5" s="1386" t="s">
        <v>279</v>
      </c>
      <c r="Q5" s="1391" t="s">
        <v>246</v>
      </c>
      <c r="R5" s="1392" t="s">
        <v>422</v>
      </c>
      <c r="S5" s="1393" t="s">
        <v>423</v>
      </c>
      <c r="T5" s="1394" t="str">
        <f>GSh!BM5</f>
        <v>Gr X H</v>
      </c>
      <c r="U5" s="1395" t="str">
        <f>GSh!BN5</f>
        <v>Gr X H Tab</v>
      </c>
      <c r="V5" s="1396" t="str">
        <f>GSh!BO5</f>
        <v>% Cumpl  Gr X H</v>
      </c>
      <c r="W5" s="1397" t="str">
        <f>GSh!BP5</f>
        <v>Gr X H Acm</v>
      </c>
      <c r="X5" s="1398" t="str">
        <f>GSh!BQ5</f>
        <v>Gr X H Acm Tab</v>
      </c>
      <c r="Y5" s="1399" t="str">
        <f>GSh!BR5</f>
        <v>% Cumpl  Gr X H Acm</v>
      </c>
      <c r="Z5" s="1400" t="s">
        <v>284</v>
      </c>
      <c r="AA5" s="1401" t="s">
        <v>283</v>
      </c>
      <c r="AB5" s="1402" t="s">
        <v>254</v>
      </c>
      <c r="AC5" s="1403" t="s">
        <v>239</v>
      </c>
      <c r="AD5" s="1404" t="s">
        <v>274</v>
      </c>
      <c r="AE5" s="1405" t="s">
        <v>408</v>
      </c>
      <c r="AF5" s="1406" t="s">
        <v>490</v>
      </c>
      <c r="AG5" s="1407" t="s">
        <v>430</v>
      </c>
      <c r="AH5" s="1408" t="s">
        <v>491</v>
      </c>
      <c r="AI5" s="1409" t="s">
        <v>231</v>
      </c>
      <c r="AJ5" s="1410" t="s">
        <v>275</v>
      </c>
      <c r="AK5" s="1405" t="s">
        <v>438</v>
      </c>
      <c r="AL5" s="1411" t="s">
        <v>412</v>
      </c>
      <c r="AM5" s="1412" t="s">
        <v>277</v>
      </c>
      <c r="AN5" s="1413" t="s">
        <v>407</v>
      </c>
      <c r="AO5" s="1414" t="str">
        <f>PROD!AM4</f>
        <v>AAAA</v>
      </c>
      <c r="AP5" s="1415" t="str">
        <f>PROD!AN4</f>
        <v>AAA</v>
      </c>
      <c r="AQ5" s="1415" t="str">
        <f>PROD!AO4</f>
        <v>AA</v>
      </c>
      <c r="AR5" s="1415" t="str">
        <f>PROD!AP4</f>
        <v>A</v>
      </c>
      <c r="AS5" s="1415" t="str">
        <f>PROD!AQ4</f>
        <v>B</v>
      </c>
      <c r="AT5" s="1415" t="str">
        <f>PROD!AR4</f>
        <v>C</v>
      </c>
      <c r="AU5" s="1416" t="str">
        <f>PROD!AS4</f>
        <v>Congolo</v>
      </c>
      <c r="AV5" s="1417" t="str">
        <f>PROD!AT4</f>
        <v>Rev. Gr.</v>
      </c>
      <c r="AW5" s="1418" t="str">
        <f>PROD!AU4</f>
        <v>Rev. Med</v>
      </c>
      <c r="AX5" s="1419" t="str">
        <f>PROD!AV4</f>
        <v>Rev. Peq</v>
      </c>
      <c r="AY5" s="1420" t="str">
        <f>PROD!AW4</f>
        <v>Prob Color</v>
      </c>
      <c r="AZ5" s="1418" t="str">
        <f>PROD!AX4</f>
        <v>Prob Cásc</v>
      </c>
      <c r="BA5" s="1418" t="str">
        <f>PROD!AY4</f>
        <v>Vencido</v>
      </c>
      <c r="BB5" s="1393" t="str">
        <f>PROD!AZ4</f>
        <v>Roto</v>
      </c>
      <c r="BC5" s="1421" t="s">
        <v>410</v>
      </c>
      <c r="BD5" s="1422" t="s">
        <v>411</v>
      </c>
      <c r="BE5" s="1423" t="s">
        <v>387</v>
      </c>
      <c r="BF5" s="200" t="str">
        <f>CONCATENATE(GSh!BS5," ▼")</f>
        <v>IPP ▼</v>
      </c>
      <c r="BG5" s="201" t="str">
        <f>GSh!BT5</f>
        <v>IPP Tab</v>
      </c>
      <c r="BH5" s="202" t="str">
        <f>GSh!BU5</f>
        <v>% Cumpl  IPP ▼</v>
      </c>
      <c r="BI5" s="203" t="str">
        <f>GSh!AF5</f>
        <v>% Prod. T. Min</v>
      </c>
      <c r="BJ5" s="203" t="str">
        <f>GSh!AG5</f>
        <v>% Prod. T. Max</v>
      </c>
      <c r="BK5" s="203" t="str">
        <f>GSh!AK5</f>
        <v>H.A.A. T Min</v>
      </c>
      <c r="BL5" s="203" t="str">
        <f>GSh!AL5</f>
        <v>H.A.A. T Max</v>
      </c>
    </row>
    <row r="6" spans="1:64" ht="15.75" customHeight="1" thickTop="1" x14ac:dyDescent="0.3">
      <c r="A6" s="264">
        <f>PROD!A5</f>
        <v>18</v>
      </c>
      <c r="B6" s="265">
        <f>GSh!AN6</f>
        <v>0</v>
      </c>
      <c r="C6" s="262">
        <f t="shared" ref="C6" si="0">MSP</f>
        <v>0</v>
      </c>
      <c r="D6" s="262">
        <f t="shared" ref="D6" si="1">MACP</f>
        <v>0</v>
      </c>
      <c r="E6" s="771">
        <f>GSh!AR6</f>
        <v>0</v>
      </c>
      <c r="F6" s="337">
        <f t="shared" ref="F6" si="2">SPVP</f>
        <v>100</v>
      </c>
      <c r="G6" s="504">
        <f>SUMIF(PROD!$BF$5:$BF$725,A6,PROD!$L$5:$L$725)</f>
        <v>0</v>
      </c>
      <c r="H6" s="502">
        <f t="shared" ref="H6" si="3">PP</f>
        <v>0</v>
      </c>
      <c r="I6" s="773">
        <f>GSh!AE6</f>
        <v>0</v>
      </c>
      <c r="J6" s="601">
        <f>GSh!AH6</f>
        <v>0</v>
      </c>
      <c r="K6" s="603">
        <f t="shared" ref="K6" si="4">HAA</f>
        <v>0</v>
      </c>
      <c r="L6" s="775">
        <f>GSh!AJ6</f>
        <v>0</v>
      </c>
      <c r="M6" s="339">
        <f>GSh!AM6</f>
        <v>0</v>
      </c>
      <c r="N6" s="500">
        <f t="shared" ref="N6:N37" si="5">KLSEM</f>
        <v>0</v>
      </c>
      <c r="O6" s="335">
        <f t="shared" ref="O6" si="6">GRADP</f>
        <v>0</v>
      </c>
      <c r="P6" s="775">
        <f>GSh!AU6</f>
        <v>0</v>
      </c>
      <c r="Q6" s="556">
        <f>GSh!AV6</f>
        <v>0</v>
      </c>
      <c r="R6" s="558">
        <f t="shared" ref="R6" si="7">AGUA</f>
        <v>0</v>
      </c>
      <c r="S6" s="1196">
        <f t="shared" ref="S6" si="8">RELAGUA</f>
        <v>0</v>
      </c>
      <c r="T6" s="341">
        <f t="shared" ref="T6" si="9">GXH</f>
        <v>0</v>
      </c>
      <c r="U6" s="777">
        <f>GSh!BN6</f>
        <v>0</v>
      </c>
      <c r="V6" s="342">
        <f>GSh!BO6</f>
        <v>0</v>
      </c>
      <c r="W6" s="341">
        <f t="shared" ref="W6" si="10">GXH</f>
        <v>0</v>
      </c>
      <c r="X6" s="777">
        <f>GSh!BQ6</f>
        <v>0</v>
      </c>
      <c r="Y6" s="342">
        <f>GSh!BR6</f>
        <v>0</v>
      </c>
      <c r="Z6" s="577">
        <f>LOOKUP($A6,PROD!$A$5:$A$725,PROD!$BE$5:$BE$725)</f>
        <v>0</v>
      </c>
      <c r="AA6" s="779">
        <f>GSh!AZ6</f>
        <v>0</v>
      </c>
      <c r="AB6" s="522">
        <f>GSh!BA6</f>
        <v>0</v>
      </c>
      <c r="AC6" s="878"/>
      <c r="AD6" s="782">
        <f>GSh!BK6/10</f>
        <v>0</v>
      </c>
      <c r="AE6" s="589">
        <f>GSh!BL6</f>
        <v>0</v>
      </c>
      <c r="AF6" s="592">
        <f t="shared" ref="AF6:AF37" si="11">IF(AG6&gt;0,IF(AH6&gt;0,100-SUM(AG6:AH6),0),0)</f>
        <v>0</v>
      </c>
      <c r="AG6" s="583"/>
      <c r="AH6" s="586"/>
      <c r="AI6" s="525">
        <f t="shared" ref="AI6" si="12">MHS</f>
        <v>0</v>
      </c>
      <c r="AJ6" s="526">
        <f>GSh!BE6</f>
        <v>0</v>
      </c>
      <c r="AK6" s="519">
        <f>GSh!BF6</f>
        <v>0</v>
      </c>
      <c r="AL6" s="531">
        <f t="shared" ref="AL6" si="13">MHAC</f>
        <v>0</v>
      </c>
      <c r="AM6" s="768">
        <f>GSh!BH6</f>
        <v>0</v>
      </c>
      <c r="AN6" s="519">
        <f>GSh!BI6</f>
        <v>0</v>
      </c>
      <c r="AO6" s="607">
        <f t="shared" ref="AO6:AO37" ca="1" si="14">AAAA</f>
        <v>0</v>
      </c>
      <c r="AP6" s="608">
        <f t="shared" ref="AP6:AP37" ca="1" si="15">AAA</f>
        <v>0</v>
      </c>
      <c r="AQ6" s="608">
        <f t="shared" ref="AQ6:AQ37" ca="1" si="16">AA</f>
        <v>0</v>
      </c>
      <c r="AR6" s="608">
        <f t="shared" ref="AR6:AR37" ca="1" si="17">HA</f>
        <v>0</v>
      </c>
      <c r="AS6" s="608">
        <f t="shared" ref="AS6:AS37" ca="1" si="18">HB</f>
        <v>0</v>
      </c>
      <c r="AT6" s="608">
        <f t="shared" ref="AT6:AT37" ca="1" si="19">HC</f>
        <v>0</v>
      </c>
      <c r="AU6" s="620">
        <f t="shared" ref="AU6:AU37" ca="1" si="20">HCG</f>
        <v>0</v>
      </c>
      <c r="AV6" s="622">
        <f t="shared" ref="AV6:AV37" ca="1" si="21">RVG</f>
        <v>0</v>
      </c>
      <c r="AW6" s="608">
        <f t="shared" ref="AW6:AW37" ca="1" si="22">RMD</f>
        <v>0</v>
      </c>
      <c r="AX6" s="1072">
        <f t="shared" ref="AX6:AX37" ca="1" si="23">RVP</f>
        <v>0</v>
      </c>
      <c r="AY6" s="1070">
        <f t="shared" ref="AY6:AY37" ca="1" si="24">COLOR</f>
        <v>0</v>
      </c>
      <c r="AZ6" s="608">
        <f t="shared" ref="AZ6:AZ37" ca="1" si="25">CASC</f>
        <v>0</v>
      </c>
      <c r="BA6" s="608">
        <f t="shared" ref="BA6:BA37" ca="1" si="26">VNC</f>
        <v>0</v>
      </c>
      <c r="BB6" s="609">
        <f t="shared" ref="BB6:BB37" ca="1" si="27">ROTO</f>
        <v>0</v>
      </c>
      <c r="BC6" s="616">
        <f t="shared" ref="BC6:BC37" si="28">COSTO</f>
        <v>0</v>
      </c>
      <c r="BD6" s="618">
        <f t="shared" ref="BD6:BD37" si="29">PVENTAH</f>
        <v>0</v>
      </c>
      <c r="BE6" s="345">
        <f>GSh!CN6</f>
        <v>0</v>
      </c>
      <c r="BF6" s="205">
        <f>GSh!BS6</f>
        <v>0</v>
      </c>
      <c r="BG6" s="206">
        <f>GSh!BT6</f>
        <v>0</v>
      </c>
      <c r="BH6" s="207">
        <f>GSh!BU6</f>
        <v>0</v>
      </c>
      <c r="BI6" s="199">
        <f>GSh!AF6</f>
        <v>0</v>
      </c>
      <c r="BJ6" s="199">
        <f>GSh!AG6</f>
        <v>0</v>
      </c>
      <c r="BK6" s="199">
        <f>GSh!AK6</f>
        <v>0</v>
      </c>
      <c r="BL6" s="199">
        <f>GSh!AL6</f>
        <v>0</v>
      </c>
    </row>
    <row r="7" spans="1:64" ht="15.75" customHeight="1" x14ac:dyDescent="0.3">
      <c r="A7" s="266">
        <f t="shared" ref="A7:A37" si="30">A6+1</f>
        <v>19</v>
      </c>
      <c r="B7" s="267">
        <f>GSh!AN7</f>
        <v>0</v>
      </c>
      <c r="C7" s="263"/>
      <c r="D7" s="263"/>
      <c r="E7" s="772">
        <f>GSh!AR7</f>
        <v>0</v>
      </c>
      <c r="F7" s="338"/>
      <c r="G7" s="505">
        <f>SUMIF(PROD!$BF$5:$BF$725,A7,PROD!$L$5:$L$725)</f>
        <v>0</v>
      </c>
      <c r="H7" s="503"/>
      <c r="I7" s="774">
        <f>GSh!AE7</f>
        <v>0</v>
      </c>
      <c r="J7" s="602">
        <f>GSh!AH7</f>
        <v>0</v>
      </c>
      <c r="K7" s="604"/>
      <c r="L7" s="776">
        <f>GSh!AJ7</f>
        <v>0</v>
      </c>
      <c r="M7" s="340">
        <f>GSh!AM7</f>
        <v>0</v>
      </c>
      <c r="N7" s="501">
        <f t="shared" si="5"/>
        <v>0</v>
      </c>
      <c r="O7" s="336"/>
      <c r="P7" s="776">
        <f>GSh!AU7</f>
        <v>0</v>
      </c>
      <c r="Q7" s="557">
        <f>GSh!AV7</f>
        <v>0</v>
      </c>
      <c r="R7" s="559"/>
      <c r="S7" s="1197"/>
      <c r="T7" s="344"/>
      <c r="U7" s="778">
        <f>GSh!BN7</f>
        <v>0</v>
      </c>
      <c r="V7" s="343">
        <f>GSh!BO7</f>
        <v>0</v>
      </c>
      <c r="W7" s="344"/>
      <c r="X7" s="778">
        <f>GSh!BQ7</f>
        <v>0</v>
      </c>
      <c r="Y7" s="343">
        <f>GSh!BR7</f>
        <v>0</v>
      </c>
      <c r="Z7" s="578">
        <f>LOOKUP($A7,PROD!$A$5:$A$725,PROD!$BE$5:$BE$725)</f>
        <v>0</v>
      </c>
      <c r="AA7" s="780">
        <f>GSh!AZ7</f>
        <v>0</v>
      </c>
      <c r="AB7" s="523">
        <f>GSh!BA7</f>
        <v>0</v>
      </c>
      <c r="AC7" s="580"/>
      <c r="AD7" s="783">
        <f>GSh!BK7/10</f>
        <v>0</v>
      </c>
      <c r="AE7" s="590">
        <f>GSh!BL7</f>
        <v>0</v>
      </c>
      <c r="AF7" s="593">
        <f t="shared" si="11"/>
        <v>0</v>
      </c>
      <c r="AG7" s="584"/>
      <c r="AH7" s="587"/>
      <c r="AI7" s="527"/>
      <c r="AJ7" s="528">
        <f>GSh!BE7</f>
        <v>0</v>
      </c>
      <c r="AK7" s="520">
        <f>GSh!BF7</f>
        <v>0</v>
      </c>
      <c r="AL7" s="532"/>
      <c r="AM7" s="769">
        <f>GSh!BH7</f>
        <v>0</v>
      </c>
      <c r="AN7" s="520">
        <f>GSh!BI7</f>
        <v>0</v>
      </c>
      <c r="AO7" s="610">
        <f t="shared" ca="1" si="14"/>
        <v>0</v>
      </c>
      <c r="AP7" s="611">
        <f t="shared" ca="1" si="15"/>
        <v>0</v>
      </c>
      <c r="AQ7" s="611">
        <f t="shared" ca="1" si="16"/>
        <v>0</v>
      </c>
      <c r="AR7" s="611">
        <f t="shared" ca="1" si="17"/>
        <v>0</v>
      </c>
      <c r="AS7" s="611">
        <f t="shared" ca="1" si="18"/>
        <v>0</v>
      </c>
      <c r="AT7" s="611">
        <f t="shared" ca="1" si="19"/>
        <v>0</v>
      </c>
      <c r="AU7" s="621">
        <f t="shared" ca="1" si="20"/>
        <v>0</v>
      </c>
      <c r="AV7" s="623">
        <f t="shared" ca="1" si="21"/>
        <v>0</v>
      </c>
      <c r="AW7" s="611">
        <f t="shared" ca="1" si="22"/>
        <v>0</v>
      </c>
      <c r="AX7" s="1073">
        <f t="shared" ca="1" si="23"/>
        <v>0</v>
      </c>
      <c r="AY7" s="1071">
        <f t="shared" ca="1" si="24"/>
        <v>0</v>
      </c>
      <c r="AZ7" s="611">
        <f t="shared" ca="1" si="25"/>
        <v>0</v>
      </c>
      <c r="BA7" s="611">
        <f t="shared" ca="1" si="26"/>
        <v>0</v>
      </c>
      <c r="BB7" s="612">
        <f t="shared" ca="1" si="27"/>
        <v>0</v>
      </c>
      <c r="BC7" s="617">
        <f t="shared" si="28"/>
        <v>0</v>
      </c>
      <c r="BD7" s="619">
        <f t="shared" si="29"/>
        <v>0</v>
      </c>
      <c r="BE7" s="346">
        <f>GSh!CN7</f>
        <v>0</v>
      </c>
      <c r="BF7" s="210"/>
      <c r="BG7" s="208">
        <f>GSh!BT7</f>
        <v>0</v>
      </c>
      <c r="BH7" s="209">
        <f>GSh!BU7</f>
        <v>0</v>
      </c>
      <c r="BI7" s="199">
        <f>GSh!AF7</f>
        <v>0</v>
      </c>
      <c r="BJ7" s="199">
        <f>GSh!AG7</f>
        <v>0</v>
      </c>
      <c r="BK7" s="199">
        <f>GSh!AK7</f>
        <v>0</v>
      </c>
      <c r="BL7" s="199">
        <f>GSh!AL7</f>
        <v>0</v>
      </c>
    </row>
    <row r="8" spans="1:64" ht="15.75" customHeight="1" x14ac:dyDescent="0.3">
      <c r="A8" s="266">
        <f t="shared" si="30"/>
        <v>20</v>
      </c>
      <c r="B8" s="267">
        <f>GSh!AN8</f>
        <v>0</v>
      </c>
      <c r="C8" s="263"/>
      <c r="D8" s="263"/>
      <c r="E8" s="772">
        <f>GSh!AR8</f>
        <v>0</v>
      </c>
      <c r="F8" s="338"/>
      <c r="G8" s="505">
        <f>SUMIF(PROD!$BF$5:$BF$725,A8,PROD!$L$5:$L$725)</f>
        <v>0</v>
      </c>
      <c r="H8" s="503"/>
      <c r="I8" s="774">
        <f>GSh!AE8</f>
        <v>0</v>
      </c>
      <c r="J8" s="602">
        <f>GSh!AH8</f>
        <v>0</v>
      </c>
      <c r="K8" s="604"/>
      <c r="L8" s="776">
        <f>GSh!AJ8</f>
        <v>0</v>
      </c>
      <c r="M8" s="340">
        <f>GSh!AM8</f>
        <v>0</v>
      </c>
      <c r="N8" s="501">
        <f t="shared" si="5"/>
        <v>0</v>
      </c>
      <c r="O8" s="336"/>
      <c r="P8" s="776">
        <f>GSh!AU8</f>
        <v>0</v>
      </c>
      <c r="Q8" s="557">
        <f>GSh!AV8</f>
        <v>0</v>
      </c>
      <c r="R8" s="559"/>
      <c r="S8" s="1197"/>
      <c r="T8" s="344"/>
      <c r="U8" s="778">
        <f>GSh!BN8</f>
        <v>0</v>
      </c>
      <c r="V8" s="343">
        <f>GSh!BO8</f>
        <v>0</v>
      </c>
      <c r="W8" s="344"/>
      <c r="X8" s="778">
        <f>GSh!BQ8</f>
        <v>0</v>
      </c>
      <c r="Y8" s="343">
        <f>GSh!BR8</f>
        <v>0</v>
      </c>
      <c r="Z8" s="578">
        <f>LOOKUP($A8,PROD!$A$5:$A$725,PROD!$BE$5:$BE$725)</f>
        <v>0</v>
      </c>
      <c r="AA8" s="780">
        <f>GSh!AZ8</f>
        <v>0</v>
      </c>
      <c r="AB8" s="523">
        <f>GSh!BA8</f>
        <v>0</v>
      </c>
      <c r="AC8" s="580"/>
      <c r="AD8" s="783">
        <f>GSh!BK8/10</f>
        <v>0</v>
      </c>
      <c r="AE8" s="590">
        <f>GSh!BL8</f>
        <v>0</v>
      </c>
      <c r="AF8" s="593">
        <f t="shared" si="11"/>
        <v>0</v>
      </c>
      <c r="AG8" s="584"/>
      <c r="AH8" s="587"/>
      <c r="AI8" s="527"/>
      <c r="AJ8" s="528">
        <f>GSh!BE8</f>
        <v>0</v>
      </c>
      <c r="AK8" s="520">
        <f>GSh!BF8</f>
        <v>0</v>
      </c>
      <c r="AL8" s="532"/>
      <c r="AM8" s="769">
        <f>GSh!BH8</f>
        <v>0</v>
      </c>
      <c r="AN8" s="520">
        <f>GSh!BI8</f>
        <v>0</v>
      </c>
      <c r="AO8" s="610">
        <f t="shared" ca="1" si="14"/>
        <v>0</v>
      </c>
      <c r="AP8" s="611">
        <f t="shared" ca="1" si="15"/>
        <v>0</v>
      </c>
      <c r="AQ8" s="611">
        <f t="shared" ca="1" si="16"/>
        <v>0</v>
      </c>
      <c r="AR8" s="611">
        <f t="shared" ca="1" si="17"/>
        <v>0</v>
      </c>
      <c r="AS8" s="611">
        <f t="shared" ca="1" si="18"/>
        <v>0</v>
      </c>
      <c r="AT8" s="611">
        <f t="shared" ca="1" si="19"/>
        <v>0</v>
      </c>
      <c r="AU8" s="621">
        <f t="shared" ca="1" si="20"/>
        <v>0</v>
      </c>
      <c r="AV8" s="623">
        <f t="shared" ca="1" si="21"/>
        <v>0</v>
      </c>
      <c r="AW8" s="611">
        <f t="shared" ca="1" si="22"/>
        <v>0</v>
      </c>
      <c r="AX8" s="1073">
        <f t="shared" ca="1" si="23"/>
        <v>0</v>
      </c>
      <c r="AY8" s="1071">
        <f t="shared" ca="1" si="24"/>
        <v>0</v>
      </c>
      <c r="AZ8" s="611">
        <f t="shared" ca="1" si="25"/>
        <v>0</v>
      </c>
      <c r="BA8" s="611">
        <f t="shared" ca="1" si="26"/>
        <v>0</v>
      </c>
      <c r="BB8" s="612">
        <f t="shared" ca="1" si="27"/>
        <v>0</v>
      </c>
      <c r="BC8" s="617">
        <f t="shared" si="28"/>
        <v>0</v>
      </c>
      <c r="BD8" s="619">
        <f t="shared" si="29"/>
        <v>0</v>
      </c>
      <c r="BE8" s="346">
        <f>GSh!CN8</f>
        <v>0</v>
      </c>
      <c r="BF8" s="210"/>
      <c r="BG8" s="208">
        <f>GSh!BT8</f>
        <v>0</v>
      </c>
      <c r="BH8" s="209">
        <f>GSh!BU8</f>
        <v>0</v>
      </c>
      <c r="BI8" s="199">
        <f>GSh!AF8</f>
        <v>0</v>
      </c>
      <c r="BJ8" s="199">
        <f>GSh!AG8</f>
        <v>0</v>
      </c>
      <c r="BK8" s="199">
        <f>GSh!AK8</f>
        <v>0</v>
      </c>
      <c r="BL8" s="199">
        <f>GSh!AL8</f>
        <v>0</v>
      </c>
    </row>
    <row r="9" spans="1:64" ht="15.75" customHeight="1" x14ac:dyDescent="0.3">
      <c r="A9" s="266">
        <f t="shared" si="30"/>
        <v>21</v>
      </c>
      <c r="B9" s="267">
        <f>GSh!AN9</f>
        <v>0</v>
      </c>
      <c r="C9" s="263"/>
      <c r="D9" s="263"/>
      <c r="E9" s="772">
        <f>GSh!AR9</f>
        <v>0</v>
      </c>
      <c r="F9" s="338"/>
      <c r="G9" s="505">
        <f>SUMIF(PROD!$BF$5:$BF$725,A9,PROD!$L$5:$L$725)</f>
        <v>0</v>
      </c>
      <c r="H9" s="503"/>
      <c r="I9" s="774">
        <f>GSh!AE9</f>
        <v>0</v>
      </c>
      <c r="J9" s="602">
        <f>GSh!AH9</f>
        <v>0</v>
      </c>
      <c r="K9" s="604"/>
      <c r="L9" s="776">
        <f>GSh!AJ9</f>
        <v>0</v>
      </c>
      <c r="M9" s="340">
        <f>GSh!AM9</f>
        <v>0</v>
      </c>
      <c r="N9" s="501">
        <f t="shared" si="5"/>
        <v>0</v>
      </c>
      <c r="O9" s="336"/>
      <c r="P9" s="776">
        <f>GSh!AU9</f>
        <v>0</v>
      </c>
      <c r="Q9" s="557">
        <f>GSh!AV9</f>
        <v>0</v>
      </c>
      <c r="R9" s="559"/>
      <c r="S9" s="1197"/>
      <c r="T9" s="344"/>
      <c r="U9" s="778">
        <f>GSh!BN9</f>
        <v>0</v>
      </c>
      <c r="V9" s="343">
        <f>GSh!BO9</f>
        <v>0</v>
      </c>
      <c r="W9" s="344"/>
      <c r="X9" s="778">
        <f>GSh!BQ9</f>
        <v>0</v>
      </c>
      <c r="Y9" s="343">
        <f>GSh!BR9</f>
        <v>0</v>
      </c>
      <c r="Z9" s="578">
        <f>LOOKUP($A9,PROD!$A$5:$A$725,PROD!$BE$5:$BE$725)</f>
        <v>0</v>
      </c>
      <c r="AA9" s="780">
        <f>GSh!AZ9</f>
        <v>0</v>
      </c>
      <c r="AB9" s="523">
        <f>GSh!BA9</f>
        <v>0</v>
      </c>
      <c r="AC9" s="580"/>
      <c r="AD9" s="783">
        <f>GSh!BK9/10</f>
        <v>0</v>
      </c>
      <c r="AE9" s="590">
        <f>GSh!BL9</f>
        <v>0</v>
      </c>
      <c r="AF9" s="593">
        <f t="shared" si="11"/>
        <v>0</v>
      </c>
      <c r="AG9" s="584"/>
      <c r="AH9" s="587"/>
      <c r="AI9" s="527"/>
      <c r="AJ9" s="528">
        <f>GSh!BE9</f>
        <v>0</v>
      </c>
      <c r="AK9" s="520">
        <f>GSh!BF9</f>
        <v>0</v>
      </c>
      <c r="AL9" s="532"/>
      <c r="AM9" s="769">
        <f>GSh!BH9</f>
        <v>0</v>
      </c>
      <c r="AN9" s="520">
        <f>GSh!BI9</f>
        <v>0</v>
      </c>
      <c r="AO9" s="610">
        <f t="shared" ca="1" si="14"/>
        <v>0</v>
      </c>
      <c r="AP9" s="611">
        <f t="shared" ca="1" si="15"/>
        <v>0</v>
      </c>
      <c r="AQ9" s="611">
        <f t="shared" ca="1" si="16"/>
        <v>0</v>
      </c>
      <c r="AR9" s="611">
        <f t="shared" ca="1" si="17"/>
        <v>0</v>
      </c>
      <c r="AS9" s="611">
        <f t="shared" ca="1" si="18"/>
        <v>0</v>
      </c>
      <c r="AT9" s="611">
        <f t="shared" ca="1" si="19"/>
        <v>0</v>
      </c>
      <c r="AU9" s="621">
        <f t="shared" ca="1" si="20"/>
        <v>0</v>
      </c>
      <c r="AV9" s="623">
        <f t="shared" ca="1" si="21"/>
        <v>0</v>
      </c>
      <c r="AW9" s="611">
        <f t="shared" ca="1" si="22"/>
        <v>0</v>
      </c>
      <c r="AX9" s="1073">
        <f t="shared" ca="1" si="23"/>
        <v>0</v>
      </c>
      <c r="AY9" s="1071">
        <f t="shared" ca="1" si="24"/>
        <v>0</v>
      </c>
      <c r="AZ9" s="611">
        <f t="shared" ca="1" si="25"/>
        <v>0</v>
      </c>
      <c r="BA9" s="611">
        <f t="shared" ca="1" si="26"/>
        <v>0</v>
      </c>
      <c r="BB9" s="612">
        <f t="shared" ca="1" si="27"/>
        <v>0</v>
      </c>
      <c r="BC9" s="617">
        <f t="shared" si="28"/>
        <v>0</v>
      </c>
      <c r="BD9" s="619">
        <f t="shared" si="29"/>
        <v>0</v>
      </c>
      <c r="BE9" s="346">
        <f>GSh!CN9</f>
        <v>0</v>
      </c>
      <c r="BF9" s="210"/>
      <c r="BG9" s="208">
        <f>GSh!BT9</f>
        <v>0</v>
      </c>
      <c r="BH9" s="209">
        <f>GSh!BU9</f>
        <v>0</v>
      </c>
      <c r="BI9" s="199">
        <f>GSh!AF9</f>
        <v>0</v>
      </c>
      <c r="BJ9" s="199">
        <f>GSh!AG9</f>
        <v>0</v>
      </c>
      <c r="BK9" s="199">
        <f>GSh!AK9</f>
        <v>0</v>
      </c>
      <c r="BL9" s="199">
        <f>GSh!AL9</f>
        <v>0</v>
      </c>
    </row>
    <row r="10" spans="1:64" ht="15.75" customHeight="1" x14ac:dyDescent="0.3">
      <c r="A10" s="266">
        <f t="shared" si="30"/>
        <v>22</v>
      </c>
      <c r="B10" s="267">
        <f>GSh!AN10</f>
        <v>0</v>
      </c>
      <c r="C10" s="263"/>
      <c r="D10" s="263"/>
      <c r="E10" s="772">
        <f>GSh!AR10</f>
        <v>0</v>
      </c>
      <c r="F10" s="338"/>
      <c r="G10" s="505">
        <f>SUMIF(PROD!$BF$5:$BF$725,A10,PROD!$L$5:$L$725)</f>
        <v>0</v>
      </c>
      <c r="H10" s="503"/>
      <c r="I10" s="774">
        <f>GSh!AE10</f>
        <v>0</v>
      </c>
      <c r="J10" s="602">
        <f>GSh!AH10</f>
        <v>0</v>
      </c>
      <c r="K10" s="604"/>
      <c r="L10" s="776">
        <f>GSh!AJ10</f>
        <v>0</v>
      </c>
      <c r="M10" s="340">
        <f>GSh!AM10</f>
        <v>0</v>
      </c>
      <c r="N10" s="501">
        <f t="shared" si="5"/>
        <v>0</v>
      </c>
      <c r="O10" s="336"/>
      <c r="P10" s="776">
        <f>GSh!AU10</f>
        <v>0</v>
      </c>
      <c r="Q10" s="557">
        <f>GSh!AV10</f>
        <v>0</v>
      </c>
      <c r="R10" s="559"/>
      <c r="S10" s="1197"/>
      <c r="T10" s="344"/>
      <c r="U10" s="778">
        <f>GSh!BN10</f>
        <v>0</v>
      </c>
      <c r="V10" s="343">
        <f>GSh!BO10</f>
        <v>0</v>
      </c>
      <c r="W10" s="344"/>
      <c r="X10" s="778">
        <f>GSh!BQ10</f>
        <v>0</v>
      </c>
      <c r="Y10" s="343">
        <f>GSh!BR10</f>
        <v>0</v>
      </c>
      <c r="Z10" s="578">
        <f>LOOKUP($A10,PROD!$A$5:$A$725,PROD!$BE$5:$BE$725)</f>
        <v>0</v>
      </c>
      <c r="AA10" s="780">
        <f>GSh!AZ10</f>
        <v>0</v>
      </c>
      <c r="AB10" s="523">
        <f>GSh!BA10</f>
        <v>0</v>
      </c>
      <c r="AC10" s="580"/>
      <c r="AD10" s="783">
        <f>GSh!BK10/10</f>
        <v>0</v>
      </c>
      <c r="AE10" s="590">
        <f>GSh!BL10</f>
        <v>0</v>
      </c>
      <c r="AF10" s="593">
        <f t="shared" si="11"/>
        <v>0</v>
      </c>
      <c r="AG10" s="584"/>
      <c r="AH10" s="587"/>
      <c r="AI10" s="527"/>
      <c r="AJ10" s="528">
        <f>GSh!BE10</f>
        <v>0</v>
      </c>
      <c r="AK10" s="520">
        <f>GSh!BF10</f>
        <v>0</v>
      </c>
      <c r="AL10" s="532"/>
      <c r="AM10" s="769">
        <f>GSh!BH10</f>
        <v>0</v>
      </c>
      <c r="AN10" s="520">
        <f>GSh!BI10</f>
        <v>0</v>
      </c>
      <c r="AO10" s="610">
        <f t="shared" ca="1" si="14"/>
        <v>0</v>
      </c>
      <c r="AP10" s="611">
        <f t="shared" ca="1" si="15"/>
        <v>0</v>
      </c>
      <c r="AQ10" s="611">
        <f t="shared" ca="1" si="16"/>
        <v>0</v>
      </c>
      <c r="AR10" s="611">
        <f t="shared" ca="1" si="17"/>
        <v>0</v>
      </c>
      <c r="AS10" s="611">
        <f t="shared" ca="1" si="18"/>
        <v>0</v>
      </c>
      <c r="AT10" s="611">
        <f t="shared" ca="1" si="19"/>
        <v>0</v>
      </c>
      <c r="AU10" s="621">
        <f t="shared" ca="1" si="20"/>
        <v>0</v>
      </c>
      <c r="AV10" s="623">
        <f t="shared" ca="1" si="21"/>
        <v>0</v>
      </c>
      <c r="AW10" s="611">
        <f t="shared" ca="1" si="22"/>
        <v>0</v>
      </c>
      <c r="AX10" s="1073">
        <f t="shared" ca="1" si="23"/>
        <v>0</v>
      </c>
      <c r="AY10" s="1071">
        <f t="shared" ca="1" si="24"/>
        <v>0</v>
      </c>
      <c r="AZ10" s="611">
        <f t="shared" ca="1" si="25"/>
        <v>0</v>
      </c>
      <c r="BA10" s="611">
        <f t="shared" ca="1" si="26"/>
        <v>0</v>
      </c>
      <c r="BB10" s="612">
        <f t="shared" ca="1" si="27"/>
        <v>0</v>
      </c>
      <c r="BC10" s="617">
        <f t="shared" si="28"/>
        <v>0</v>
      </c>
      <c r="BD10" s="619">
        <f t="shared" si="29"/>
        <v>0</v>
      </c>
      <c r="BE10" s="346">
        <f>GSh!CN10</f>
        <v>0</v>
      </c>
      <c r="BF10" s="210"/>
      <c r="BG10" s="208">
        <f>GSh!BT10</f>
        <v>0</v>
      </c>
      <c r="BH10" s="209">
        <f>GSh!BU10</f>
        <v>0</v>
      </c>
      <c r="BI10" s="199">
        <f>GSh!AF10</f>
        <v>0</v>
      </c>
      <c r="BJ10" s="199">
        <f>GSh!AG10</f>
        <v>0</v>
      </c>
      <c r="BK10" s="199">
        <f>GSh!AK10</f>
        <v>0</v>
      </c>
      <c r="BL10" s="199">
        <f>GSh!AL10</f>
        <v>0</v>
      </c>
    </row>
    <row r="11" spans="1:64" ht="15.75" customHeight="1" x14ac:dyDescent="0.3">
      <c r="A11" s="266">
        <f t="shared" si="30"/>
        <v>23</v>
      </c>
      <c r="B11" s="267">
        <f>GSh!AN11</f>
        <v>0</v>
      </c>
      <c r="C11" s="263"/>
      <c r="D11" s="263"/>
      <c r="E11" s="772">
        <f>GSh!AR11</f>
        <v>0</v>
      </c>
      <c r="F11" s="338"/>
      <c r="G11" s="505">
        <f>SUMIF(PROD!$BF$5:$BF$725,A11,PROD!$L$5:$L$725)</f>
        <v>0</v>
      </c>
      <c r="H11" s="503"/>
      <c r="I11" s="774">
        <f>GSh!AE11</f>
        <v>0</v>
      </c>
      <c r="J11" s="602">
        <f>GSh!AH11</f>
        <v>0</v>
      </c>
      <c r="K11" s="604"/>
      <c r="L11" s="776">
        <f>GSh!AJ11</f>
        <v>0</v>
      </c>
      <c r="M11" s="340">
        <f>GSh!AM11</f>
        <v>0</v>
      </c>
      <c r="N11" s="501">
        <f t="shared" si="5"/>
        <v>0</v>
      </c>
      <c r="O11" s="336"/>
      <c r="P11" s="776">
        <f>GSh!AU11</f>
        <v>0</v>
      </c>
      <c r="Q11" s="557">
        <f>GSh!AV11</f>
        <v>0</v>
      </c>
      <c r="R11" s="559"/>
      <c r="S11" s="1197"/>
      <c r="T11" s="344"/>
      <c r="U11" s="778">
        <f>GSh!BN11</f>
        <v>0</v>
      </c>
      <c r="V11" s="343">
        <f>GSh!BO11</f>
        <v>0</v>
      </c>
      <c r="W11" s="344"/>
      <c r="X11" s="778">
        <f>GSh!BQ11</f>
        <v>0</v>
      </c>
      <c r="Y11" s="343">
        <f>GSh!BR11</f>
        <v>0</v>
      </c>
      <c r="Z11" s="578">
        <f>LOOKUP($A11,PROD!$A$5:$A$725,PROD!$BE$5:$BE$725)</f>
        <v>0</v>
      </c>
      <c r="AA11" s="780">
        <f>GSh!AZ11</f>
        <v>0</v>
      </c>
      <c r="AB11" s="523">
        <f>GSh!BA11</f>
        <v>0</v>
      </c>
      <c r="AC11" s="580"/>
      <c r="AD11" s="783">
        <f>GSh!BK11/10</f>
        <v>0</v>
      </c>
      <c r="AE11" s="590">
        <f>GSh!BL11</f>
        <v>0</v>
      </c>
      <c r="AF11" s="593">
        <f t="shared" si="11"/>
        <v>0</v>
      </c>
      <c r="AG11" s="584"/>
      <c r="AH11" s="587"/>
      <c r="AI11" s="527"/>
      <c r="AJ11" s="528">
        <f>GSh!BE11</f>
        <v>0</v>
      </c>
      <c r="AK11" s="520">
        <f>GSh!BF11</f>
        <v>0</v>
      </c>
      <c r="AL11" s="532"/>
      <c r="AM11" s="769">
        <f>GSh!BH11</f>
        <v>0</v>
      </c>
      <c r="AN11" s="520">
        <f>GSh!BI11</f>
        <v>0</v>
      </c>
      <c r="AO11" s="610">
        <f t="shared" ca="1" si="14"/>
        <v>0</v>
      </c>
      <c r="AP11" s="611">
        <f t="shared" ca="1" si="15"/>
        <v>0</v>
      </c>
      <c r="AQ11" s="611">
        <f t="shared" ca="1" si="16"/>
        <v>0</v>
      </c>
      <c r="AR11" s="611">
        <f t="shared" ca="1" si="17"/>
        <v>0</v>
      </c>
      <c r="AS11" s="611">
        <f t="shared" ca="1" si="18"/>
        <v>0</v>
      </c>
      <c r="AT11" s="611">
        <f t="shared" ca="1" si="19"/>
        <v>0</v>
      </c>
      <c r="AU11" s="621">
        <f t="shared" ca="1" si="20"/>
        <v>0</v>
      </c>
      <c r="AV11" s="623">
        <f t="shared" ca="1" si="21"/>
        <v>0</v>
      </c>
      <c r="AW11" s="611">
        <f t="shared" ca="1" si="22"/>
        <v>0</v>
      </c>
      <c r="AX11" s="1073">
        <f t="shared" ca="1" si="23"/>
        <v>0</v>
      </c>
      <c r="AY11" s="1071">
        <f t="shared" ca="1" si="24"/>
        <v>0</v>
      </c>
      <c r="AZ11" s="611">
        <f t="shared" ca="1" si="25"/>
        <v>0</v>
      </c>
      <c r="BA11" s="611">
        <f t="shared" ca="1" si="26"/>
        <v>0</v>
      </c>
      <c r="BB11" s="612">
        <f t="shared" ca="1" si="27"/>
        <v>0</v>
      </c>
      <c r="BC11" s="617">
        <f t="shared" si="28"/>
        <v>0</v>
      </c>
      <c r="BD11" s="619">
        <f t="shared" si="29"/>
        <v>0</v>
      </c>
      <c r="BE11" s="346">
        <f>GSh!CN11</f>
        <v>0</v>
      </c>
      <c r="BF11" s="210"/>
      <c r="BG11" s="208">
        <f>GSh!BT11</f>
        <v>0</v>
      </c>
      <c r="BH11" s="209">
        <f>GSh!BU11</f>
        <v>0</v>
      </c>
      <c r="BI11" s="199">
        <f>GSh!AF11</f>
        <v>0</v>
      </c>
      <c r="BJ11" s="199">
        <f>GSh!AG11</f>
        <v>0</v>
      </c>
      <c r="BK11" s="199">
        <f>GSh!AK11</f>
        <v>0</v>
      </c>
      <c r="BL11" s="199">
        <f>GSh!AL11</f>
        <v>0</v>
      </c>
    </row>
    <row r="12" spans="1:64" ht="15.75" customHeight="1" x14ac:dyDescent="0.3">
      <c r="A12" s="266">
        <f t="shared" si="30"/>
        <v>24</v>
      </c>
      <c r="B12" s="267">
        <f>GSh!AN12</f>
        <v>0</v>
      </c>
      <c r="C12" s="263"/>
      <c r="D12" s="263"/>
      <c r="E12" s="772">
        <f>GSh!AR12</f>
        <v>0</v>
      </c>
      <c r="F12" s="338"/>
      <c r="G12" s="505">
        <f>SUMIF(PROD!$BF$5:$BF$725,A12,PROD!$L$5:$L$725)</f>
        <v>0</v>
      </c>
      <c r="H12" s="503"/>
      <c r="I12" s="774">
        <f>GSh!AE12</f>
        <v>0</v>
      </c>
      <c r="J12" s="602">
        <f>GSh!AH12</f>
        <v>0</v>
      </c>
      <c r="K12" s="604"/>
      <c r="L12" s="776">
        <f>GSh!AJ12</f>
        <v>0</v>
      </c>
      <c r="M12" s="340">
        <f>GSh!AM12</f>
        <v>0</v>
      </c>
      <c r="N12" s="501">
        <f t="shared" si="5"/>
        <v>0</v>
      </c>
      <c r="O12" s="336"/>
      <c r="P12" s="776">
        <f>GSh!AU12</f>
        <v>0</v>
      </c>
      <c r="Q12" s="557">
        <f>GSh!AV12</f>
        <v>0</v>
      </c>
      <c r="R12" s="559"/>
      <c r="S12" s="1197"/>
      <c r="T12" s="344"/>
      <c r="U12" s="778">
        <f>GSh!BN12</f>
        <v>0</v>
      </c>
      <c r="V12" s="343">
        <f>GSh!BO12</f>
        <v>0</v>
      </c>
      <c r="W12" s="344"/>
      <c r="X12" s="778">
        <f>GSh!BQ12</f>
        <v>0</v>
      </c>
      <c r="Y12" s="343">
        <f>GSh!BR12</f>
        <v>0</v>
      </c>
      <c r="Z12" s="578">
        <f>LOOKUP($A12,PROD!$A$5:$A$725,PROD!$BE$5:$BE$725)</f>
        <v>0</v>
      </c>
      <c r="AA12" s="780">
        <f>GSh!AZ12</f>
        <v>0</v>
      </c>
      <c r="AB12" s="523">
        <f>GSh!BA12</f>
        <v>0</v>
      </c>
      <c r="AC12" s="580"/>
      <c r="AD12" s="783">
        <f>GSh!BK12/10</f>
        <v>0</v>
      </c>
      <c r="AE12" s="590">
        <f>GSh!BL12</f>
        <v>0</v>
      </c>
      <c r="AF12" s="593">
        <f t="shared" si="11"/>
        <v>0</v>
      </c>
      <c r="AG12" s="584"/>
      <c r="AH12" s="587"/>
      <c r="AI12" s="527"/>
      <c r="AJ12" s="528">
        <f>GSh!BE12</f>
        <v>0</v>
      </c>
      <c r="AK12" s="520">
        <f>GSh!BF12</f>
        <v>0</v>
      </c>
      <c r="AL12" s="532"/>
      <c r="AM12" s="769">
        <f>GSh!BH12</f>
        <v>0</v>
      </c>
      <c r="AN12" s="520">
        <f>GSh!BI12</f>
        <v>0</v>
      </c>
      <c r="AO12" s="610">
        <f t="shared" ca="1" si="14"/>
        <v>0</v>
      </c>
      <c r="AP12" s="611">
        <f t="shared" ca="1" si="15"/>
        <v>0</v>
      </c>
      <c r="AQ12" s="611">
        <f t="shared" ca="1" si="16"/>
        <v>0</v>
      </c>
      <c r="AR12" s="611">
        <f t="shared" ca="1" si="17"/>
        <v>0</v>
      </c>
      <c r="AS12" s="611">
        <f t="shared" ca="1" si="18"/>
        <v>0</v>
      </c>
      <c r="AT12" s="611">
        <f t="shared" ca="1" si="19"/>
        <v>0</v>
      </c>
      <c r="AU12" s="621">
        <f t="shared" ca="1" si="20"/>
        <v>0</v>
      </c>
      <c r="AV12" s="623">
        <f t="shared" ca="1" si="21"/>
        <v>0</v>
      </c>
      <c r="AW12" s="611">
        <f t="shared" ca="1" si="22"/>
        <v>0</v>
      </c>
      <c r="AX12" s="1073">
        <f t="shared" ca="1" si="23"/>
        <v>0</v>
      </c>
      <c r="AY12" s="1071">
        <f t="shared" ca="1" si="24"/>
        <v>0</v>
      </c>
      <c r="AZ12" s="611">
        <f t="shared" ca="1" si="25"/>
        <v>0</v>
      </c>
      <c r="BA12" s="611">
        <f t="shared" ca="1" si="26"/>
        <v>0</v>
      </c>
      <c r="BB12" s="612">
        <f t="shared" ca="1" si="27"/>
        <v>0</v>
      </c>
      <c r="BC12" s="617">
        <f t="shared" si="28"/>
        <v>0</v>
      </c>
      <c r="BD12" s="619">
        <f t="shared" si="29"/>
        <v>0</v>
      </c>
      <c r="BE12" s="346">
        <f>GSh!CN12</f>
        <v>0</v>
      </c>
      <c r="BF12" s="210"/>
      <c r="BG12" s="208">
        <f>GSh!BT12</f>
        <v>0</v>
      </c>
      <c r="BH12" s="209">
        <f>GSh!BU12</f>
        <v>0</v>
      </c>
      <c r="BI12" s="199">
        <f>GSh!AF12</f>
        <v>0</v>
      </c>
      <c r="BJ12" s="199">
        <f>GSh!AG12</f>
        <v>0</v>
      </c>
      <c r="BK12" s="199">
        <f>GSh!AK12</f>
        <v>0</v>
      </c>
      <c r="BL12" s="199">
        <f>GSh!AL12</f>
        <v>0</v>
      </c>
    </row>
    <row r="13" spans="1:64" ht="15.75" customHeight="1" x14ac:dyDescent="0.3">
      <c r="A13" s="266">
        <f t="shared" si="30"/>
        <v>25</v>
      </c>
      <c r="B13" s="267">
        <f>GSh!AN13</f>
        <v>0</v>
      </c>
      <c r="C13" s="263"/>
      <c r="D13" s="263"/>
      <c r="E13" s="772">
        <f>GSh!AR13</f>
        <v>0</v>
      </c>
      <c r="F13" s="338"/>
      <c r="G13" s="505">
        <f>SUMIF(PROD!$BF$5:$BF$725,A13,PROD!$L$5:$L$725)</f>
        <v>0</v>
      </c>
      <c r="H13" s="503"/>
      <c r="I13" s="774">
        <f>GSh!AE13</f>
        <v>0</v>
      </c>
      <c r="J13" s="602">
        <f>GSh!AH13</f>
        <v>0</v>
      </c>
      <c r="K13" s="604"/>
      <c r="L13" s="776">
        <f>GSh!AJ13</f>
        <v>0</v>
      </c>
      <c r="M13" s="340">
        <f>GSh!AM13</f>
        <v>0</v>
      </c>
      <c r="N13" s="501">
        <f t="shared" si="5"/>
        <v>0</v>
      </c>
      <c r="O13" s="336"/>
      <c r="P13" s="776">
        <f>GSh!AU13</f>
        <v>0</v>
      </c>
      <c r="Q13" s="557">
        <f>GSh!AV13</f>
        <v>0</v>
      </c>
      <c r="R13" s="559"/>
      <c r="S13" s="1197"/>
      <c r="T13" s="344"/>
      <c r="U13" s="778">
        <f>GSh!BN13</f>
        <v>0</v>
      </c>
      <c r="V13" s="343">
        <f>GSh!BO13</f>
        <v>0</v>
      </c>
      <c r="W13" s="344"/>
      <c r="X13" s="778">
        <f>GSh!BQ13</f>
        <v>0</v>
      </c>
      <c r="Y13" s="343">
        <f>GSh!BR13</f>
        <v>0</v>
      </c>
      <c r="Z13" s="578">
        <f>LOOKUP($A13,PROD!$A$5:$A$725,PROD!$BE$5:$BE$725)</f>
        <v>0</v>
      </c>
      <c r="AA13" s="780">
        <f>GSh!AZ13</f>
        <v>0</v>
      </c>
      <c r="AB13" s="523">
        <f>GSh!BA13</f>
        <v>0</v>
      </c>
      <c r="AC13" s="580"/>
      <c r="AD13" s="783">
        <f>GSh!BK13/10</f>
        <v>0</v>
      </c>
      <c r="AE13" s="590">
        <f>GSh!BL13</f>
        <v>0</v>
      </c>
      <c r="AF13" s="593">
        <f t="shared" si="11"/>
        <v>0</v>
      </c>
      <c r="AG13" s="584"/>
      <c r="AH13" s="587"/>
      <c r="AI13" s="527"/>
      <c r="AJ13" s="528">
        <f>GSh!BE13</f>
        <v>0</v>
      </c>
      <c r="AK13" s="520">
        <f>GSh!BF13</f>
        <v>0</v>
      </c>
      <c r="AL13" s="532"/>
      <c r="AM13" s="769">
        <f>GSh!BH13</f>
        <v>0</v>
      </c>
      <c r="AN13" s="520">
        <f>GSh!BI13</f>
        <v>0</v>
      </c>
      <c r="AO13" s="610">
        <f t="shared" ca="1" si="14"/>
        <v>0</v>
      </c>
      <c r="AP13" s="611">
        <f t="shared" ca="1" si="15"/>
        <v>0</v>
      </c>
      <c r="AQ13" s="611">
        <f t="shared" ca="1" si="16"/>
        <v>0</v>
      </c>
      <c r="AR13" s="611">
        <f t="shared" ca="1" si="17"/>
        <v>0</v>
      </c>
      <c r="AS13" s="611">
        <f t="shared" ca="1" si="18"/>
        <v>0</v>
      </c>
      <c r="AT13" s="611">
        <f t="shared" ca="1" si="19"/>
        <v>0</v>
      </c>
      <c r="AU13" s="621">
        <f t="shared" ca="1" si="20"/>
        <v>0</v>
      </c>
      <c r="AV13" s="623">
        <f t="shared" ca="1" si="21"/>
        <v>0</v>
      </c>
      <c r="AW13" s="611">
        <f t="shared" ca="1" si="22"/>
        <v>0</v>
      </c>
      <c r="AX13" s="1073">
        <f t="shared" ca="1" si="23"/>
        <v>0</v>
      </c>
      <c r="AY13" s="1071">
        <f t="shared" ca="1" si="24"/>
        <v>0</v>
      </c>
      <c r="AZ13" s="611">
        <f t="shared" ca="1" si="25"/>
        <v>0</v>
      </c>
      <c r="BA13" s="611">
        <f t="shared" ca="1" si="26"/>
        <v>0</v>
      </c>
      <c r="BB13" s="612">
        <f t="shared" ca="1" si="27"/>
        <v>0</v>
      </c>
      <c r="BC13" s="617">
        <f t="shared" si="28"/>
        <v>0</v>
      </c>
      <c r="BD13" s="619">
        <f t="shared" si="29"/>
        <v>0</v>
      </c>
      <c r="BE13" s="346">
        <f>GSh!CN13</f>
        <v>0</v>
      </c>
      <c r="BF13" s="210"/>
      <c r="BG13" s="208">
        <f>GSh!BT13</f>
        <v>0</v>
      </c>
      <c r="BH13" s="209">
        <f>GSh!BU13</f>
        <v>0</v>
      </c>
      <c r="BI13" s="199">
        <f>GSh!AF13</f>
        <v>0</v>
      </c>
      <c r="BJ13" s="199">
        <f>GSh!AG13</f>
        <v>0</v>
      </c>
      <c r="BK13" s="199">
        <f>GSh!AK13</f>
        <v>0</v>
      </c>
      <c r="BL13" s="199">
        <f>GSh!AL13</f>
        <v>0</v>
      </c>
    </row>
    <row r="14" spans="1:64" ht="15.75" customHeight="1" x14ac:dyDescent="0.3">
      <c r="A14" s="266">
        <f t="shared" si="30"/>
        <v>26</v>
      </c>
      <c r="B14" s="267">
        <f>GSh!AN14</f>
        <v>0</v>
      </c>
      <c r="C14" s="263"/>
      <c r="D14" s="263"/>
      <c r="E14" s="772">
        <f>GSh!AR14</f>
        <v>0</v>
      </c>
      <c r="F14" s="338"/>
      <c r="G14" s="505">
        <f>SUMIF(PROD!$BF$5:$BF$725,A14,PROD!$L$5:$L$725)</f>
        <v>0</v>
      </c>
      <c r="H14" s="503"/>
      <c r="I14" s="774">
        <f>GSh!AE14</f>
        <v>0</v>
      </c>
      <c r="J14" s="602">
        <f>GSh!AH14</f>
        <v>0</v>
      </c>
      <c r="K14" s="604"/>
      <c r="L14" s="776">
        <f>GSh!AJ14</f>
        <v>0</v>
      </c>
      <c r="M14" s="340">
        <f>GSh!AM14</f>
        <v>0</v>
      </c>
      <c r="N14" s="501">
        <f t="shared" si="5"/>
        <v>0</v>
      </c>
      <c r="O14" s="336"/>
      <c r="P14" s="776">
        <f>GSh!AU14</f>
        <v>0</v>
      </c>
      <c r="Q14" s="557">
        <f>GSh!AV14</f>
        <v>0</v>
      </c>
      <c r="R14" s="559"/>
      <c r="S14" s="1197"/>
      <c r="T14" s="344"/>
      <c r="U14" s="778">
        <f>GSh!BN14</f>
        <v>0</v>
      </c>
      <c r="V14" s="343">
        <f>GSh!BO14</f>
        <v>0</v>
      </c>
      <c r="W14" s="344"/>
      <c r="X14" s="778">
        <f>GSh!BQ14</f>
        <v>0</v>
      </c>
      <c r="Y14" s="343">
        <f>GSh!BR14</f>
        <v>0</v>
      </c>
      <c r="Z14" s="578">
        <f>LOOKUP($A14,PROD!$A$5:$A$725,PROD!$BE$5:$BE$725)</f>
        <v>0</v>
      </c>
      <c r="AA14" s="780">
        <f>GSh!AZ14</f>
        <v>0</v>
      </c>
      <c r="AB14" s="523">
        <f>GSh!BA14</f>
        <v>0</v>
      </c>
      <c r="AC14" s="580"/>
      <c r="AD14" s="783">
        <f>GSh!BK14/10</f>
        <v>0</v>
      </c>
      <c r="AE14" s="590">
        <f>GSh!BL14</f>
        <v>0</v>
      </c>
      <c r="AF14" s="593">
        <f t="shared" si="11"/>
        <v>0</v>
      </c>
      <c r="AG14" s="584"/>
      <c r="AH14" s="587"/>
      <c r="AI14" s="527"/>
      <c r="AJ14" s="528">
        <f>GSh!BE14</f>
        <v>0</v>
      </c>
      <c r="AK14" s="520">
        <f>GSh!BF14</f>
        <v>0</v>
      </c>
      <c r="AL14" s="532"/>
      <c r="AM14" s="769">
        <f>GSh!BH14</f>
        <v>0</v>
      </c>
      <c r="AN14" s="520">
        <f>GSh!BI14</f>
        <v>0</v>
      </c>
      <c r="AO14" s="610">
        <f t="shared" ca="1" si="14"/>
        <v>0</v>
      </c>
      <c r="AP14" s="611">
        <f t="shared" ca="1" si="15"/>
        <v>0</v>
      </c>
      <c r="AQ14" s="611">
        <f t="shared" ca="1" si="16"/>
        <v>0</v>
      </c>
      <c r="AR14" s="611">
        <f t="shared" ca="1" si="17"/>
        <v>0</v>
      </c>
      <c r="AS14" s="611">
        <f t="shared" ca="1" si="18"/>
        <v>0</v>
      </c>
      <c r="AT14" s="611">
        <f t="shared" ca="1" si="19"/>
        <v>0</v>
      </c>
      <c r="AU14" s="621">
        <f t="shared" ca="1" si="20"/>
        <v>0</v>
      </c>
      <c r="AV14" s="623">
        <f t="shared" ca="1" si="21"/>
        <v>0</v>
      </c>
      <c r="AW14" s="611">
        <f t="shared" ca="1" si="22"/>
        <v>0</v>
      </c>
      <c r="AX14" s="1073">
        <f t="shared" ca="1" si="23"/>
        <v>0</v>
      </c>
      <c r="AY14" s="1071">
        <f t="shared" ca="1" si="24"/>
        <v>0</v>
      </c>
      <c r="AZ14" s="611">
        <f t="shared" ca="1" si="25"/>
        <v>0</v>
      </c>
      <c r="BA14" s="611">
        <f t="shared" ca="1" si="26"/>
        <v>0</v>
      </c>
      <c r="BB14" s="612">
        <f t="shared" ca="1" si="27"/>
        <v>0</v>
      </c>
      <c r="BC14" s="617">
        <f t="shared" si="28"/>
        <v>0</v>
      </c>
      <c r="BD14" s="619">
        <f t="shared" si="29"/>
        <v>0</v>
      </c>
      <c r="BE14" s="346">
        <f>GSh!CN14</f>
        <v>0</v>
      </c>
      <c r="BF14" s="210"/>
      <c r="BG14" s="208">
        <f>GSh!BT14</f>
        <v>0</v>
      </c>
      <c r="BH14" s="209">
        <f>GSh!BU14</f>
        <v>0</v>
      </c>
      <c r="BI14" s="199">
        <f>GSh!AF14</f>
        <v>0</v>
      </c>
      <c r="BJ14" s="199">
        <f>GSh!AG14</f>
        <v>0</v>
      </c>
      <c r="BK14" s="199">
        <f>GSh!AK14</f>
        <v>0</v>
      </c>
      <c r="BL14" s="199">
        <f>GSh!AL14</f>
        <v>0</v>
      </c>
    </row>
    <row r="15" spans="1:64" ht="15.75" customHeight="1" x14ac:dyDescent="0.3">
      <c r="A15" s="266">
        <f t="shared" si="30"/>
        <v>27</v>
      </c>
      <c r="B15" s="267">
        <f>GSh!AN15</f>
        <v>0</v>
      </c>
      <c r="C15" s="263"/>
      <c r="D15" s="263"/>
      <c r="E15" s="772">
        <f>GSh!AR15</f>
        <v>0</v>
      </c>
      <c r="F15" s="338"/>
      <c r="G15" s="505">
        <f>SUMIF(PROD!$BF$5:$BF$725,A15,PROD!$L$5:$L$725)</f>
        <v>0</v>
      </c>
      <c r="H15" s="503"/>
      <c r="I15" s="774">
        <f>GSh!AE15</f>
        <v>0</v>
      </c>
      <c r="J15" s="602">
        <f>GSh!AH15</f>
        <v>0</v>
      </c>
      <c r="K15" s="604"/>
      <c r="L15" s="776">
        <f>GSh!AJ15</f>
        <v>0</v>
      </c>
      <c r="M15" s="340">
        <f>GSh!AM15</f>
        <v>0</v>
      </c>
      <c r="N15" s="501">
        <f t="shared" si="5"/>
        <v>0</v>
      </c>
      <c r="O15" s="336"/>
      <c r="P15" s="776">
        <f>GSh!AU15</f>
        <v>0</v>
      </c>
      <c r="Q15" s="557">
        <f>GSh!AV15</f>
        <v>0</v>
      </c>
      <c r="R15" s="559"/>
      <c r="S15" s="1197"/>
      <c r="T15" s="344"/>
      <c r="U15" s="778">
        <f>GSh!BN15</f>
        <v>0</v>
      </c>
      <c r="V15" s="343">
        <f>GSh!BO15</f>
        <v>0</v>
      </c>
      <c r="W15" s="344"/>
      <c r="X15" s="778">
        <f>GSh!BQ15</f>
        <v>0</v>
      </c>
      <c r="Y15" s="343">
        <f>GSh!BR15</f>
        <v>0</v>
      </c>
      <c r="Z15" s="578">
        <f>LOOKUP($A15,PROD!$A$5:$A$725,PROD!$BE$5:$BE$725)</f>
        <v>0</v>
      </c>
      <c r="AA15" s="780">
        <f>GSh!AZ15</f>
        <v>0</v>
      </c>
      <c r="AB15" s="523">
        <f>GSh!BA15</f>
        <v>0</v>
      </c>
      <c r="AC15" s="580"/>
      <c r="AD15" s="783">
        <f>GSh!BK15/10</f>
        <v>0</v>
      </c>
      <c r="AE15" s="590">
        <f>GSh!BL15</f>
        <v>0</v>
      </c>
      <c r="AF15" s="593">
        <f t="shared" si="11"/>
        <v>0</v>
      </c>
      <c r="AG15" s="584"/>
      <c r="AH15" s="587"/>
      <c r="AI15" s="527"/>
      <c r="AJ15" s="528">
        <f>GSh!BE15</f>
        <v>0</v>
      </c>
      <c r="AK15" s="520">
        <f>GSh!BF15</f>
        <v>0</v>
      </c>
      <c r="AL15" s="532"/>
      <c r="AM15" s="769">
        <f>GSh!BH15</f>
        <v>0</v>
      </c>
      <c r="AN15" s="520">
        <f>GSh!BI15</f>
        <v>0</v>
      </c>
      <c r="AO15" s="610">
        <f t="shared" ca="1" si="14"/>
        <v>0</v>
      </c>
      <c r="AP15" s="611">
        <f t="shared" ca="1" si="15"/>
        <v>0</v>
      </c>
      <c r="AQ15" s="611">
        <f t="shared" ca="1" si="16"/>
        <v>0</v>
      </c>
      <c r="AR15" s="611">
        <f t="shared" ca="1" si="17"/>
        <v>0</v>
      </c>
      <c r="AS15" s="611">
        <f t="shared" ca="1" si="18"/>
        <v>0</v>
      </c>
      <c r="AT15" s="611">
        <f t="shared" ca="1" si="19"/>
        <v>0</v>
      </c>
      <c r="AU15" s="621">
        <f t="shared" ca="1" si="20"/>
        <v>0</v>
      </c>
      <c r="AV15" s="623">
        <f t="shared" ca="1" si="21"/>
        <v>0</v>
      </c>
      <c r="AW15" s="611">
        <f t="shared" ca="1" si="22"/>
        <v>0</v>
      </c>
      <c r="AX15" s="1073">
        <f t="shared" ca="1" si="23"/>
        <v>0</v>
      </c>
      <c r="AY15" s="1071">
        <f t="shared" ca="1" si="24"/>
        <v>0</v>
      </c>
      <c r="AZ15" s="611">
        <f t="shared" ca="1" si="25"/>
        <v>0</v>
      </c>
      <c r="BA15" s="611">
        <f t="shared" ca="1" si="26"/>
        <v>0</v>
      </c>
      <c r="BB15" s="612">
        <f t="shared" ca="1" si="27"/>
        <v>0</v>
      </c>
      <c r="BC15" s="617">
        <f t="shared" si="28"/>
        <v>0</v>
      </c>
      <c r="BD15" s="619">
        <f t="shared" si="29"/>
        <v>0</v>
      </c>
      <c r="BE15" s="346">
        <f>GSh!CN15</f>
        <v>0</v>
      </c>
      <c r="BF15" s="210"/>
      <c r="BG15" s="208">
        <f>GSh!BT15</f>
        <v>0</v>
      </c>
      <c r="BH15" s="209">
        <f>GSh!BU15</f>
        <v>0</v>
      </c>
      <c r="BI15" s="199">
        <f>GSh!AF15</f>
        <v>0</v>
      </c>
      <c r="BJ15" s="199">
        <f>GSh!AG15</f>
        <v>0</v>
      </c>
      <c r="BK15" s="199">
        <f>GSh!AK15</f>
        <v>0</v>
      </c>
      <c r="BL15" s="199">
        <f>GSh!AL15</f>
        <v>0</v>
      </c>
    </row>
    <row r="16" spans="1:64" ht="15.75" customHeight="1" x14ac:dyDescent="0.3">
      <c r="A16" s="266">
        <f t="shared" si="30"/>
        <v>28</v>
      </c>
      <c r="B16" s="267">
        <f>GSh!AN16</f>
        <v>0</v>
      </c>
      <c r="C16" s="263"/>
      <c r="D16" s="263"/>
      <c r="E16" s="772">
        <f>GSh!AR16</f>
        <v>0</v>
      </c>
      <c r="F16" s="338"/>
      <c r="G16" s="505">
        <f>SUMIF(PROD!$BF$5:$BF$725,A16,PROD!$L$5:$L$725)</f>
        <v>0</v>
      </c>
      <c r="H16" s="503"/>
      <c r="I16" s="774">
        <f>GSh!AE16</f>
        <v>0</v>
      </c>
      <c r="J16" s="602">
        <f>GSh!AH16</f>
        <v>0</v>
      </c>
      <c r="K16" s="604"/>
      <c r="L16" s="776">
        <f>GSh!AJ16</f>
        <v>0</v>
      </c>
      <c r="M16" s="340">
        <f>GSh!AM16</f>
        <v>0</v>
      </c>
      <c r="N16" s="501">
        <f t="shared" si="5"/>
        <v>0</v>
      </c>
      <c r="O16" s="336"/>
      <c r="P16" s="776">
        <f>GSh!AU16</f>
        <v>0</v>
      </c>
      <c r="Q16" s="557">
        <f>GSh!AV16</f>
        <v>0</v>
      </c>
      <c r="R16" s="559"/>
      <c r="S16" s="1197"/>
      <c r="T16" s="344"/>
      <c r="U16" s="778">
        <f>GSh!BN16</f>
        <v>0</v>
      </c>
      <c r="V16" s="343">
        <f>GSh!BO16</f>
        <v>0</v>
      </c>
      <c r="W16" s="344"/>
      <c r="X16" s="778">
        <f>GSh!BQ16</f>
        <v>0</v>
      </c>
      <c r="Y16" s="343">
        <f>GSh!BR16</f>
        <v>0</v>
      </c>
      <c r="Z16" s="578">
        <f>LOOKUP($A16,PROD!$A$5:$A$725,PROD!$BE$5:$BE$725)</f>
        <v>0</v>
      </c>
      <c r="AA16" s="780">
        <f>GSh!AZ16</f>
        <v>0</v>
      </c>
      <c r="AB16" s="523">
        <f>GSh!BA16</f>
        <v>0</v>
      </c>
      <c r="AC16" s="580"/>
      <c r="AD16" s="783">
        <f>GSh!BK16/10</f>
        <v>0</v>
      </c>
      <c r="AE16" s="590">
        <f>GSh!BL16</f>
        <v>0</v>
      </c>
      <c r="AF16" s="593">
        <f t="shared" si="11"/>
        <v>0</v>
      </c>
      <c r="AG16" s="584"/>
      <c r="AH16" s="587"/>
      <c r="AI16" s="527"/>
      <c r="AJ16" s="528">
        <f>GSh!BE16</f>
        <v>0</v>
      </c>
      <c r="AK16" s="520">
        <f>GSh!BF16</f>
        <v>0</v>
      </c>
      <c r="AL16" s="532"/>
      <c r="AM16" s="769">
        <f>GSh!BH16</f>
        <v>0</v>
      </c>
      <c r="AN16" s="520">
        <f>GSh!BI16</f>
        <v>0</v>
      </c>
      <c r="AO16" s="610">
        <f t="shared" ca="1" si="14"/>
        <v>0</v>
      </c>
      <c r="AP16" s="611">
        <f t="shared" ca="1" si="15"/>
        <v>0</v>
      </c>
      <c r="AQ16" s="611">
        <f t="shared" ca="1" si="16"/>
        <v>0</v>
      </c>
      <c r="AR16" s="611">
        <f t="shared" ca="1" si="17"/>
        <v>0</v>
      </c>
      <c r="AS16" s="611">
        <f t="shared" ca="1" si="18"/>
        <v>0</v>
      </c>
      <c r="AT16" s="611">
        <f t="shared" ca="1" si="19"/>
        <v>0</v>
      </c>
      <c r="AU16" s="621">
        <f t="shared" ca="1" si="20"/>
        <v>0</v>
      </c>
      <c r="AV16" s="623">
        <f t="shared" ca="1" si="21"/>
        <v>0</v>
      </c>
      <c r="AW16" s="611">
        <f t="shared" ca="1" si="22"/>
        <v>0</v>
      </c>
      <c r="AX16" s="1073">
        <f t="shared" ca="1" si="23"/>
        <v>0</v>
      </c>
      <c r="AY16" s="1071">
        <f t="shared" ca="1" si="24"/>
        <v>0</v>
      </c>
      <c r="AZ16" s="611">
        <f t="shared" ca="1" si="25"/>
        <v>0</v>
      </c>
      <c r="BA16" s="611">
        <f t="shared" ca="1" si="26"/>
        <v>0</v>
      </c>
      <c r="BB16" s="612">
        <f t="shared" ca="1" si="27"/>
        <v>0</v>
      </c>
      <c r="BC16" s="617">
        <f t="shared" si="28"/>
        <v>0</v>
      </c>
      <c r="BD16" s="619">
        <f t="shared" si="29"/>
        <v>0</v>
      </c>
      <c r="BE16" s="346">
        <f>GSh!CN16</f>
        <v>0</v>
      </c>
      <c r="BF16" s="210"/>
      <c r="BG16" s="208">
        <f>GSh!BT16</f>
        <v>0</v>
      </c>
      <c r="BH16" s="209">
        <f>GSh!BU16</f>
        <v>0</v>
      </c>
      <c r="BI16" s="199">
        <f>GSh!AF16</f>
        <v>0</v>
      </c>
      <c r="BJ16" s="199">
        <f>GSh!AG16</f>
        <v>0</v>
      </c>
      <c r="BK16" s="199">
        <f>GSh!AK16</f>
        <v>0</v>
      </c>
      <c r="BL16" s="199">
        <f>GSh!AL16</f>
        <v>0</v>
      </c>
    </row>
    <row r="17" spans="1:64" ht="15.75" customHeight="1" x14ac:dyDescent="0.3">
      <c r="A17" s="266">
        <f t="shared" si="30"/>
        <v>29</v>
      </c>
      <c r="B17" s="267">
        <f>GSh!AN17</f>
        <v>0</v>
      </c>
      <c r="C17" s="263"/>
      <c r="D17" s="263"/>
      <c r="E17" s="772">
        <f>GSh!AR17</f>
        <v>0</v>
      </c>
      <c r="F17" s="338"/>
      <c r="G17" s="505">
        <f>SUMIF(PROD!$BF$5:$BF$725,A17,PROD!$L$5:$L$725)</f>
        <v>0</v>
      </c>
      <c r="H17" s="503"/>
      <c r="I17" s="774">
        <f>GSh!AE17</f>
        <v>0</v>
      </c>
      <c r="J17" s="602">
        <f>GSh!AH17</f>
        <v>0</v>
      </c>
      <c r="K17" s="604"/>
      <c r="L17" s="776">
        <f>GSh!AJ17</f>
        <v>0</v>
      </c>
      <c r="M17" s="340">
        <f>GSh!AM17</f>
        <v>0</v>
      </c>
      <c r="N17" s="501">
        <f t="shared" si="5"/>
        <v>0</v>
      </c>
      <c r="O17" s="336"/>
      <c r="P17" s="776">
        <f>GSh!AU17</f>
        <v>0</v>
      </c>
      <c r="Q17" s="557">
        <f>GSh!AV17</f>
        <v>0</v>
      </c>
      <c r="R17" s="559"/>
      <c r="S17" s="1197"/>
      <c r="T17" s="344"/>
      <c r="U17" s="778">
        <f>GSh!BN17</f>
        <v>0</v>
      </c>
      <c r="V17" s="343">
        <f>GSh!BO17</f>
        <v>0</v>
      </c>
      <c r="W17" s="344"/>
      <c r="X17" s="778">
        <f>GSh!BQ17</f>
        <v>0</v>
      </c>
      <c r="Y17" s="343">
        <f>GSh!BR17</f>
        <v>0</v>
      </c>
      <c r="Z17" s="578">
        <f>LOOKUP($A17,PROD!$A$5:$A$725,PROD!$BE$5:$BE$725)</f>
        <v>0</v>
      </c>
      <c r="AA17" s="780">
        <f>GSh!AZ17</f>
        <v>0</v>
      </c>
      <c r="AB17" s="523">
        <f>GSh!BA17</f>
        <v>0</v>
      </c>
      <c r="AC17" s="580"/>
      <c r="AD17" s="783">
        <f>GSh!BK17/10</f>
        <v>0</v>
      </c>
      <c r="AE17" s="590">
        <f>GSh!BL17</f>
        <v>0</v>
      </c>
      <c r="AF17" s="593">
        <f t="shared" si="11"/>
        <v>0</v>
      </c>
      <c r="AG17" s="584"/>
      <c r="AH17" s="587"/>
      <c r="AI17" s="527"/>
      <c r="AJ17" s="528">
        <f>GSh!BE17</f>
        <v>0</v>
      </c>
      <c r="AK17" s="520">
        <f>GSh!BF17</f>
        <v>0</v>
      </c>
      <c r="AL17" s="532"/>
      <c r="AM17" s="769">
        <f>GSh!BH17</f>
        <v>0</v>
      </c>
      <c r="AN17" s="520">
        <f>GSh!BI17</f>
        <v>0</v>
      </c>
      <c r="AO17" s="610">
        <f t="shared" ca="1" si="14"/>
        <v>0</v>
      </c>
      <c r="AP17" s="611">
        <f t="shared" ca="1" si="15"/>
        <v>0</v>
      </c>
      <c r="AQ17" s="611">
        <f t="shared" ca="1" si="16"/>
        <v>0</v>
      </c>
      <c r="AR17" s="611">
        <f t="shared" ca="1" si="17"/>
        <v>0</v>
      </c>
      <c r="AS17" s="611">
        <f t="shared" ca="1" si="18"/>
        <v>0</v>
      </c>
      <c r="AT17" s="611">
        <f t="shared" ca="1" si="19"/>
        <v>0</v>
      </c>
      <c r="AU17" s="621">
        <f t="shared" ca="1" si="20"/>
        <v>0</v>
      </c>
      <c r="AV17" s="623">
        <f t="shared" ca="1" si="21"/>
        <v>0</v>
      </c>
      <c r="AW17" s="611">
        <f t="shared" ca="1" si="22"/>
        <v>0</v>
      </c>
      <c r="AX17" s="1073">
        <f t="shared" ca="1" si="23"/>
        <v>0</v>
      </c>
      <c r="AY17" s="1071">
        <f t="shared" ca="1" si="24"/>
        <v>0</v>
      </c>
      <c r="AZ17" s="611">
        <f t="shared" ca="1" si="25"/>
        <v>0</v>
      </c>
      <c r="BA17" s="611">
        <f t="shared" ca="1" si="26"/>
        <v>0</v>
      </c>
      <c r="BB17" s="612">
        <f t="shared" ca="1" si="27"/>
        <v>0</v>
      </c>
      <c r="BC17" s="617">
        <f t="shared" si="28"/>
        <v>0</v>
      </c>
      <c r="BD17" s="619">
        <f t="shared" si="29"/>
        <v>0</v>
      </c>
      <c r="BE17" s="346">
        <f>GSh!CN17</f>
        <v>0</v>
      </c>
      <c r="BF17" s="210"/>
      <c r="BG17" s="208">
        <f>GSh!BT17</f>
        <v>0</v>
      </c>
      <c r="BH17" s="209">
        <f>GSh!BU17</f>
        <v>0</v>
      </c>
      <c r="BI17" s="199">
        <f>GSh!AF17</f>
        <v>0</v>
      </c>
      <c r="BJ17" s="199">
        <f>GSh!AG17</f>
        <v>0</v>
      </c>
      <c r="BK17" s="199">
        <f>GSh!AK17</f>
        <v>0</v>
      </c>
      <c r="BL17" s="199">
        <f>GSh!AL17</f>
        <v>0</v>
      </c>
    </row>
    <row r="18" spans="1:64" ht="15.75" customHeight="1" x14ac:dyDescent="0.3">
      <c r="A18" s="266">
        <f t="shared" si="30"/>
        <v>30</v>
      </c>
      <c r="B18" s="267">
        <f>GSh!AN18</f>
        <v>0</v>
      </c>
      <c r="C18" s="263"/>
      <c r="D18" s="263"/>
      <c r="E18" s="772">
        <f>GSh!AR18</f>
        <v>0</v>
      </c>
      <c r="F18" s="338"/>
      <c r="G18" s="505">
        <f>SUMIF(PROD!$BF$5:$BF$725,A18,PROD!$L$5:$L$725)</f>
        <v>0</v>
      </c>
      <c r="H18" s="503"/>
      <c r="I18" s="774">
        <f>GSh!AE18</f>
        <v>0</v>
      </c>
      <c r="J18" s="602">
        <f>GSh!AH18</f>
        <v>0</v>
      </c>
      <c r="K18" s="604"/>
      <c r="L18" s="776">
        <f>GSh!AJ18</f>
        <v>0</v>
      </c>
      <c r="M18" s="340">
        <f>GSh!AM18</f>
        <v>0</v>
      </c>
      <c r="N18" s="501">
        <f t="shared" si="5"/>
        <v>0</v>
      </c>
      <c r="O18" s="336"/>
      <c r="P18" s="776">
        <f>GSh!AU18</f>
        <v>0</v>
      </c>
      <c r="Q18" s="557">
        <f>GSh!AV18</f>
        <v>0</v>
      </c>
      <c r="R18" s="559"/>
      <c r="S18" s="1197"/>
      <c r="T18" s="344"/>
      <c r="U18" s="778">
        <f>GSh!BN18</f>
        <v>0</v>
      </c>
      <c r="V18" s="343">
        <f>GSh!BO18</f>
        <v>0</v>
      </c>
      <c r="W18" s="344"/>
      <c r="X18" s="778">
        <f>GSh!BQ18</f>
        <v>0</v>
      </c>
      <c r="Y18" s="343">
        <f>GSh!BR18</f>
        <v>0</v>
      </c>
      <c r="Z18" s="578">
        <f>LOOKUP($A18,PROD!$A$5:$A$725,PROD!$BE$5:$BE$725)</f>
        <v>0</v>
      </c>
      <c r="AA18" s="780">
        <f>GSh!AZ18</f>
        <v>0</v>
      </c>
      <c r="AB18" s="523">
        <f>GSh!BA18</f>
        <v>0</v>
      </c>
      <c r="AC18" s="580"/>
      <c r="AD18" s="783">
        <f>GSh!BK18/10</f>
        <v>0</v>
      </c>
      <c r="AE18" s="590">
        <f>GSh!BL18</f>
        <v>0</v>
      </c>
      <c r="AF18" s="593">
        <f t="shared" si="11"/>
        <v>0</v>
      </c>
      <c r="AG18" s="584"/>
      <c r="AH18" s="587"/>
      <c r="AI18" s="527"/>
      <c r="AJ18" s="528">
        <f>GSh!BE18</f>
        <v>0</v>
      </c>
      <c r="AK18" s="520">
        <f>GSh!BF18</f>
        <v>0</v>
      </c>
      <c r="AL18" s="532"/>
      <c r="AM18" s="769">
        <f>GSh!BH18</f>
        <v>0</v>
      </c>
      <c r="AN18" s="520">
        <f>GSh!BI18</f>
        <v>0</v>
      </c>
      <c r="AO18" s="610">
        <f t="shared" ca="1" si="14"/>
        <v>0</v>
      </c>
      <c r="AP18" s="611">
        <f t="shared" ca="1" si="15"/>
        <v>0</v>
      </c>
      <c r="AQ18" s="611">
        <f t="shared" ca="1" si="16"/>
        <v>0</v>
      </c>
      <c r="AR18" s="611">
        <f t="shared" ca="1" si="17"/>
        <v>0</v>
      </c>
      <c r="AS18" s="611">
        <f t="shared" ca="1" si="18"/>
        <v>0</v>
      </c>
      <c r="AT18" s="611">
        <f t="shared" ca="1" si="19"/>
        <v>0</v>
      </c>
      <c r="AU18" s="621">
        <f t="shared" ca="1" si="20"/>
        <v>0</v>
      </c>
      <c r="AV18" s="623">
        <f t="shared" ca="1" si="21"/>
        <v>0</v>
      </c>
      <c r="AW18" s="611">
        <f t="shared" ca="1" si="22"/>
        <v>0</v>
      </c>
      <c r="AX18" s="1073">
        <f t="shared" ca="1" si="23"/>
        <v>0</v>
      </c>
      <c r="AY18" s="1071">
        <f t="shared" ca="1" si="24"/>
        <v>0</v>
      </c>
      <c r="AZ18" s="611">
        <f t="shared" ca="1" si="25"/>
        <v>0</v>
      </c>
      <c r="BA18" s="611">
        <f t="shared" ca="1" si="26"/>
        <v>0</v>
      </c>
      <c r="BB18" s="612">
        <f t="shared" ca="1" si="27"/>
        <v>0</v>
      </c>
      <c r="BC18" s="617">
        <f t="shared" si="28"/>
        <v>0</v>
      </c>
      <c r="BD18" s="619">
        <f t="shared" si="29"/>
        <v>0</v>
      </c>
      <c r="BE18" s="346">
        <f>GSh!CN18</f>
        <v>0</v>
      </c>
      <c r="BF18" s="210"/>
      <c r="BG18" s="208">
        <f>GSh!BT18</f>
        <v>0</v>
      </c>
      <c r="BH18" s="209">
        <f>GSh!BU18</f>
        <v>0</v>
      </c>
      <c r="BI18" s="199">
        <f>GSh!AF18</f>
        <v>0</v>
      </c>
      <c r="BJ18" s="199">
        <f>GSh!AG18</f>
        <v>0</v>
      </c>
      <c r="BK18" s="199">
        <f>GSh!AK18</f>
        <v>0</v>
      </c>
      <c r="BL18" s="199">
        <f>GSh!AL18</f>
        <v>0</v>
      </c>
    </row>
    <row r="19" spans="1:64" ht="15.75" customHeight="1" x14ac:dyDescent="0.3">
      <c r="A19" s="266">
        <f t="shared" si="30"/>
        <v>31</v>
      </c>
      <c r="B19" s="267">
        <f>GSh!AN19</f>
        <v>0</v>
      </c>
      <c r="C19" s="263"/>
      <c r="D19" s="263"/>
      <c r="E19" s="772">
        <f>GSh!AR19</f>
        <v>0</v>
      </c>
      <c r="F19" s="338"/>
      <c r="G19" s="505">
        <f>SUMIF(PROD!$BF$5:$BF$725,A19,PROD!$L$5:$L$725)</f>
        <v>0</v>
      </c>
      <c r="H19" s="503"/>
      <c r="I19" s="774">
        <f>GSh!AE19</f>
        <v>0</v>
      </c>
      <c r="J19" s="602">
        <f>GSh!AH19</f>
        <v>0</v>
      </c>
      <c r="K19" s="604"/>
      <c r="L19" s="776">
        <f>GSh!AJ19</f>
        <v>0</v>
      </c>
      <c r="M19" s="340">
        <f>GSh!AM19</f>
        <v>0</v>
      </c>
      <c r="N19" s="501">
        <f t="shared" si="5"/>
        <v>0</v>
      </c>
      <c r="O19" s="336"/>
      <c r="P19" s="776">
        <f>GSh!AU19</f>
        <v>0</v>
      </c>
      <c r="Q19" s="557">
        <f>GSh!AV19</f>
        <v>0</v>
      </c>
      <c r="R19" s="559"/>
      <c r="S19" s="1197"/>
      <c r="T19" s="344"/>
      <c r="U19" s="778">
        <f>GSh!BN19</f>
        <v>0</v>
      </c>
      <c r="V19" s="343">
        <f>GSh!BO19</f>
        <v>0</v>
      </c>
      <c r="W19" s="344"/>
      <c r="X19" s="778">
        <f>GSh!BQ19</f>
        <v>0</v>
      </c>
      <c r="Y19" s="343">
        <f>GSh!BR19</f>
        <v>0</v>
      </c>
      <c r="Z19" s="578">
        <f>LOOKUP($A19,PROD!$A$5:$A$725,PROD!$BE$5:$BE$725)</f>
        <v>0</v>
      </c>
      <c r="AA19" s="780">
        <f>GSh!AZ19</f>
        <v>0</v>
      </c>
      <c r="AB19" s="523">
        <f>GSh!BA19</f>
        <v>0</v>
      </c>
      <c r="AC19" s="580"/>
      <c r="AD19" s="783">
        <f>GSh!BK19/10</f>
        <v>0</v>
      </c>
      <c r="AE19" s="590">
        <f>GSh!BL19</f>
        <v>0</v>
      </c>
      <c r="AF19" s="593">
        <f t="shared" si="11"/>
        <v>0</v>
      </c>
      <c r="AG19" s="584"/>
      <c r="AH19" s="587"/>
      <c r="AI19" s="527"/>
      <c r="AJ19" s="528">
        <f>GSh!BE19</f>
        <v>0</v>
      </c>
      <c r="AK19" s="520">
        <f>GSh!BF19</f>
        <v>0</v>
      </c>
      <c r="AL19" s="532"/>
      <c r="AM19" s="769">
        <f>GSh!BH19</f>
        <v>0</v>
      </c>
      <c r="AN19" s="520">
        <f>GSh!BI19</f>
        <v>0</v>
      </c>
      <c r="AO19" s="610">
        <f t="shared" ca="1" si="14"/>
        <v>0</v>
      </c>
      <c r="AP19" s="611">
        <f t="shared" ca="1" si="15"/>
        <v>0</v>
      </c>
      <c r="AQ19" s="611">
        <f t="shared" ca="1" si="16"/>
        <v>0</v>
      </c>
      <c r="AR19" s="611">
        <f t="shared" ca="1" si="17"/>
        <v>0</v>
      </c>
      <c r="AS19" s="611">
        <f t="shared" ca="1" si="18"/>
        <v>0</v>
      </c>
      <c r="AT19" s="611">
        <f t="shared" ca="1" si="19"/>
        <v>0</v>
      </c>
      <c r="AU19" s="621">
        <f t="shared" ca="1" si="20"/>
        <v>0</v>
      </c>
      <c r="AV19" s="623">
        <f t="shared" ca="1" si="21"/>
        <v>0</v>
      </c>
      <c r="AW19" s="611">
        <f t="shared" ca="1" si="22"/>
        <v>0</v>
      </c>
      <c r="AX19" s="1073">
        <f t="shared" ca="1" si="23"/>
        <v>0</v>
      </c>
      <c r="AY19" s="1071">
        <f t="shared" ca="1" si="24"/>
        <v>0</v>
      </c>
      <c r="AZ19" s="611">
        <f t="shared" ca="1" si="25"/>
        <v>0</v>
      </c>
      <c r="BA19" s="611">
        <f t="shared" ca="1" si="26"/>
        <v>0</v>
      </c>
      <c r="BB19" s="612">
        <f t="shared" ca="1" si="27"/>
        <v>0</v>
      </c>
      <c r="BC19" s="617">
        <f t="shared" si="28"/>
        <v>0</v>
      </c>
      <c r="BD19" s="619">
        <f t="shared" si="29"/>
        <v>0</v>
      </c>
      <c r="BE19" s="346">
        <f>GSh!CN19</f>
        <v>0</v>
      </c>
      <c r="BF19" s="210"/>
      <c r="BG19" s="208">
        <f>GSh!BT19</f>
        <v>0</v>
      </c>
      <c r="BH19" s="209">
        <f>GSh!BU19</f>
        <v>0</v>
      </c>
      <c r="BI19" s="199">
        <f>GSh!AF19</f>
        <v>0</v>
      </c>
      <c r="BJ19" s="199">
        <f>GSh!AG19</f>
        <v>0</v>
      </c>
      <c r="BK19" s="199">
        <f>GSh!AK19</f>
        <v>0</v>
      </c>
      <c r="BL19" s="199">
        <f>GSh!AL19</f>
        <v>0</v>
      </c>
    </row>
    <row r="20" spans="1:64" ht="15.75" customHeight="1" x14ac:dyDescent="0.3">
      <c r="A20" s="266">
        <f t="shared" si="30"/>
        <v>32</v>
      </c>
      <c r="B20" s="267">
        <f>GSh!AN20</f>
        <v>0</v>
      </c>
      <c r="C20" s="263"/>
      <c r="D20" s="263"/>
      <c r="E20" s="772">
        <f>GSh!AR20</f>
        <v>0</v>
      </c>
      <c r="F20" s="338"/>
      <c r="G20" s="505">
        <f>SUMIF(PROD!$BF$5:$BF$725,A20,PROD!$L$5:$L$725)</f>
        <v>0</v>
      </c>
      <c r="H20" s="503"/>
      <c r="I20" s="774">
        <f>GSh!AE20</f>
        <v>0</v>
      </c>
      <c r="J20" s="602">
        <f>GSh!AH20</f>
        <v>0</v>
      </c>
      <c r="K20" s="604"/>
      <c r="L20" s="776">
        <f>GSh!AJ20</f>
        <v>0</v>
      </c>
      <c r="M20" s="340">
        <f>GSh!AM20</f>
        <v>0</v>
      </c>
      <c r="N20" s="501">
        <f t="shared" si="5"/>
        <v>0</v>
      </c>
      <c r="O20" s="336"/>
      <c r="P20" s="776">
        <f>GSh!AU20</f>
        <v>0</v>
      </c>
      <c r="Q20" s="557">
        <f>GSh!AV20</f>
        <v>0</v>
      </c>
      <c r="R20" s="559"/>
      <c r="S20" s="1197"/>
      <c r="T20" s="344"/>
      <c r="U20" s="778">
        <f>GSh!BN20</f>
        <v>0</v>
      </c>
      <c r="V20" s="343">
        <f>GSh!BO20</f>
        <v>0</v>
      </c>
      <c r="W20" s="344"/>
      <c r="X20" s="778">
        <f>GSh!BQ20</f>
        <v>0</v>
      </c>
      <c r="Y20" s="343">
        <f>GSh!BR20</f>
        <v>0</v>
      </c>
      <c r="Z20" s="578">
        <f>LOOKUP($A20,PROD!$A$5:$A$725,PROD!$BE$5:$BE$725)</f>
        <v>0</v>
      </c>
      <c r="AA20" s="780">
        <f>GSh!AZ20</f>
        <v>0</v>
      </c>
      <c r="AB20" s="523">
        <f>GSh!BA20</f>
        <v>0</v>
      </c>
      <c r="AC20" s="580"/>
      <c r="AD20" s="783">
        <f>GSh!BK20/10</f>
        <v>0</v>
      </c>
      <c r="AE20" s="590">
        <f>GSh!BL20</f>
        <v>0</v>
      </c>
      <c r="AF20" s="593">
        <f t="shared" si="11"/>
        <v>0</v>
      </c>
      <c r="AG20" s="584"/>
      <c r="AH20" s="587"/>
      <c r="AI20" s="527"/>
      <c r="AJ20" s="528">
        <f>GSh!BE20</f>
        <v>0</v>
      </c>
      <c r="AK20" s="520">
        <f>GSh!BF20</f>
        <v>0</v>
      </c>
      <c r="AL20" s="532"/>
      <c r="AM20" s="769">
        <f>GSh!BH20</f>
        <v>0</v>
      </c>
      <c r="AN20" s="520">
        <f>GSh!BI20</f>
        <v>0</v>
      </c>
      <c r="AO20" s="610">
        <f t="shared" ca="1" si="14"/>
        <v>0</v>
      </c>
      <c r="AP20" s="611">
        <f t="shared" ca="1" si="15"/>
        <v>0</v>
      </c>
      <c r="AQ20" s="611">
        <f t="shared" ca="1" si="16"/>
        <v>0</v>
      </c>
      <c r="AR20" s="611">
        <f t="shared" ca="1" si="17"/>
        <v>0</v>
      </c>
      <c r="AS20" s="611">
        <f t="shared" ca="1" si="18"/>
        <v>0</v>
      </c>
      <c r="AT20" s="611">
        <f t="shared" ca="1" si="19"/>
        <v>0</v>
      </c>
      <c r="AU20" s="621">
        <f t="shared" ca="1" si="20"/>
        <v>0</v>
      </c>
      <c r="AV20" s="623">
        <f t="shared" ca="1" si="21"/>
        <v>0</v>
      </c>
      <c r="AW20" s="611">
        <f t="shared" ca="1" si="22"/>
        <v>0</v>
      </c>
      <c r="AX20" s="1073">
        <f t="shared" ca="1" si="23"/>
        <v>0</v>
      </c>
      <c r="AY20" s="1071">
        <f t="shared" ca="1" si="24"/>
        <v>0</v>
      </c>
      <c r="AZ20" s="611">
        <f t="shared" ca="1" si="25"/>
        <v>0</v>
      </c>
      <c r="BA20" s="611">
        <f t="shared" ca="1" si="26"/>
        <v>0</v>
      </c>
      <c r="BB20" s="612">
        <f t="shared" ca="1" si="27"/>
        <v>0</v>
      </c>
      <c r="BC20" s="617">
        <f t="shared" si="28"/>
        <v>0</v>
      </c>
      <c r="BD20" s="619">
        <f t="shared" si="29"/>
        <v>0</v>
      </c>
      <c r="BE20" s="346">
        <f>GSh!CN20</f>
        <v>0</v>
      </c>
      <c r="BF20" s="210"/>
      <c r="BG20" s="208">
        <f>GSh!BT20</f>
        <v>0</v>
      </c>
      <c r="BH20" s="209">
        <f>GSh!BU20</f>
        <v>0</v>
      </c>
      <c r="BI20" s="199">
        <f>GSh!AF20</f>
        <v>0</v>
      </c>
      <c r="BJ20" s="199">
        <f>GSh!AG20</f>
        <v>0</v>
      </c>
      <c r="BK20" s="199">
        <f>GSh!AK20</f>
        <v>0</v>
      </c>
      <c r="BL20" s="199">
        <f>GSh!AL20</f>
        <v>0</v>
      </c>
    </row>
    <row r="21" spans="1:64" ht="15.75" customHeight="1" x14ac:dyDescent="0.3">
      <c r="A21" s="266">
        <f t="shared" si="30"/>
        <v>33</v>
      </c>
      <c r="B21" s="267">
        <f>GSh!AN21</f>
        <v>0</v>
      </c>
      <c r="C21" s="263"/>
      <c r="D21" s="263"/>
      <c r="E21" s="772">
        <f>GSh!AR21</f>
        <v>0</v>
      </c>
      <c r="F21" s="338"/>
      <c r="G21" s="505">
        <f>SUMIF(PROD!$BF$5:$BF$725,A21,PROD!$L$5:$L$725)</f>
        <v>0</v>
      </c>
      <c r="H21" s="503"/>
      <c r="I21" s="774">
        <f>GSh!AE21</f>
        <v>0</v>
      </c>
      <c r="J21" s="602">
        <f>GSh!AH21</f>
        <v>0</v>
      </c>
      <c r="K21" s="604"/>
      <c r="L21" s="776">
        <f>GSh!AJ21</f>
        <v>0</v>
      </c>
      <c r="M21" s="340">
        <f>GSh!AM21</f>
        <v>0</v>
      </c>
      <c r="N21" s="501">
        <f t="shared" si="5"/>
        <v>0</v>
      </c>
      <c r="O21" s="336"/>
      <c r="P21" s="776">
        <f>GSh!AU21</f>
        <v>0</v>
      </c>
      <c r="Q21" s="557">
        <f>GSh!AV21</f>
        <v>0</v>
      </c>
      <c r="R21" s="559"/>
      <c r="S21" s="1197"/>
      <c r="T21" s="344"/>
      <c r="U21" s="778">
        <f>GSh!BN21</f>
        <v>0</v>
      </c>
      <c r="V21" s="343">
        <f>GSh!BO21</f>
        <v>0</v>
      </c>
      <c r="W21" s="344"/>
      <c r="X21" s="778">
        <f>GSh!BQ21</f>
        <v>0</v>
      </c>
      <c r="Y21" s="343">
        <f>GSh!BR21</f>
        <v>0</v>
      </c>
      <c r="Z21" s="578">
        <f>LOOKUP($A21,PROD!$A$5:$A$725,PROD!$BE$5:$BE$725)</f>
        <v>0</v>
      </c>
      <c r="AA21" s="780">
        <f>GSh!AZ21</f>
        <v>0</v>
      </c>
      <c r="AB21" s="523">
        <f>GSh!BA21</f>
        <v>0</v>
      </c>
      <c r="AC21" s="580"/>
      <c r="AD21" s="783">
        <f>GSh!BK21/10</f>
        <v>0</v>
      </c>
      <c r="AE21" s="590">
        <f>GSh!BL21</f>
        <v>0</v>
      </c>
      <c r="AF21" s="593">
        <f t="shared" si="11"/>
        <v>0</v>
      </c>
      <c r="AG21" s="584"/>
      <c r="AH21" s="587"/>
      <c r="AI21" s="527"/>
      <c r="AJ21" s="528">
        <f>GSh!BE21</f>
        <v>0</v>
      </c>
      <c r="AK21" s="520">
        <f>GSh!BF21</f>
        <v>0</v>
      </c>
      <c r="AL21" s="532"/>
      <c r="AM21" s="769">
        <f>GSh!BH21</f>
        <v>0</v>
      </c>
      <c r="AN21" s="520">
        <f>GSh!BI21</f>
        <v>0</v>
      </c>
      <c r="AO21" s="610">
        <f t="shared" ca="1" si="14"/>
        <v>0</v>
      </c>
      <c r="AP21" s="611">
        <f t="shared" ca="1" si="15"/>
        <v>0</v>
      </c>
      <c r="AQ21" s="611">
        <f t="shared" ca="1" si="16"/>
        <v>0</v>
      </c>
      <c r="AR21" s="611">
        <f t="shared" ca="1" si="17"/>
        <v>0</v>
      </c>
      <c r="AS21" s="611">
        <f t="shared" ca="1" si="18"/>
        <v>0</v>
      </c>
      <c r="AT21" s="611">
        <f t="shared" ca="1" si="19"/>
        <v>0</v>
      </c>
      <c r="AU21" s="621">
        <f t="shared" ca="1" si="20"/>
        <v>0</v>
      </c>
      <c r="AV21" s="623">
        <f t="shared" ca="1" si="21"/>
        <v>0</v>
      </c>
      <c r="AW21" s="611">
        <f t="shared" ca="1" si="22"/>
        <v>0</v>
      </c>
      <c r="AX21" s="1073">
        <f t="shared" ca="1" si="23"/>
        <v>0</v>
      </c>
      <c r="AY21" s="1071">
        <f t="shared" ca="1" si="24"/>
        <v>0</v>
      </c>
      <c r="AZ21" s="611">
        <f t="shared" ca="1" si="25"/>
        <v>0</v>
      </c>
      <c r="BA21" s="611">
        <f t="shared" ca="1" si="26"/>
        <v>0</v>
      </c>
      <c r="BB21" s="612">
        <f t="shared" ca="1" si="27"/>
        <v>0</v>
      </c>
      <c r="BC21" s="617">
        <f t="shared" si="28"/>
        <v>0</v>
      </c>
      <c r="BD21" s="619">
        <f t="shared" si="29"/>
        <v>0</v>
      </c>
      <c r="BE21" s="346">
        <f>GSh!CN21</f>
        <v>0</v>
      </c>
      <c r="BF21" s="210"/>
      <c r="BG21" s="208">
        <f>GSh!BT21</f>
        <v>0</v>
      </c>
      <c r="BH21" s="209">
        <f>GSh!BU21</f>
        <v>0</v>
      </c>
      <c r="BI21" s="199">
        <f>GSh!AF21</f>
        <v>0</v>
      </c>
      <c r="BJ21" s="199">
        <f>GSh!AG21</f>
        <v>0</v>
      </c>
      <c r="BK21" s="199">
        <f>GSh!AK21</f>
        <v>0</v>
      </c>
      <c r="BL21" s="199">
        <f>GSh!AL21</f>
        <v>0</v>
      </c>
    </row>
    <row r="22" spans="1:64" ht="15.75" customHeight="1" x14ac:dyDescent="0.3">
      <c r="A22" s="266">
        <f t="shared" si="30"/>
        <v>34</v>
      </c>
      <c r="B22" s="267">
        <f>GSh!AN22</f>
        <v>0</v>
      </c>
      <c r="C22" s="263"/>
      <c r="D22" s="263"/>
      <c r="E22" s="772">
        <f>GSh!AR22</f>
        <v>0</v>
      </c>
      <c r="F22" s="338"/>
      <c r="G22" s="505">
        <f>SUMIF(PROD!$BF$5:$BF$725,A22,PROD!$L$5:$L$725)</f>
        <v>0</v>
      </c>
      <c r="H22" s="503"/>
      <c r="I22" s="774">
        <f>GSh!AE22</f>
        <v>0</v>
      </c>
      <c r="J22" s="602">
        <f>GSh!AH22</f>
        <v>0</v>
      </c>
      <c r="K22" s="604"/>
      <c r="L22" s="776">
        <f>GSh!AJ22</f>
        <v>0</v>
      </c>
      <c r="M22" s="340">
        <f>GSh!AM22</f>
        <v>0</v>
      </c>
      <c r="N22" s="501">
        <f t="shared" si="5"/>
        <v>0</v>
      </c>
      <c r="O22" s="336"/>
      <c r="P22" s="776">
        <f>GSh!AU22</f>
        <v>0</v>
      </c>
      <c r="Q22" s="557">
        <f>GSh!AV22</f>
        <v>0</v>
      </c>
      <c r="R22" s="559"/>
      <c r="S22" s="1197"/>
      <c r="T22" s="344"/>
      <c r="U22" s="778">
        <f>GSh!BN22</f>
        <v>0</v>
      </c>
      <c r="V22" s="343">
        <f>GSh!BO22</f>
        <v>0</v>
      </c>
      <c r="W22" s="344"/>
      <c r="X22" s="778">
        <f>GSh!BQ22</f>
        <v>0</v>
      </c>
      <c r="Y22" s="343">
        <f>GSh!BR22</f>
        <v>0</v>
      </c>
      <c r="Z22" s="578">
        <f>LOOKUP($A22,PROD!$A$5:$A$725,PROD!$BE$5:$BE$725)</f>
        <v>0</v>
      </c>
      <c r="AA22" s="780">
        <f>GSh!AZ22</f>
        <v>0</v>
      </c>
      <c r="AB22" s="523">
        <f>GSh!BA22</f>
        <v>0</v>
      </c>
      <c r="AC22" s="580"/>
      <c r="AD22" s="783">
        <f>GSh!BK22/10</f>
        <v>0</v>
      </c>
      <c r="AE22" s="590">
        <f>GSh!BL22</f>
        <v>0</v>
      </c>
      <c r="AF22" s="593">
        <f t="shared" si="11"/>
        <v>0</v>
      </c>
      <c r="AG22" s="584"/>
      <c r="AH22" s="587"/>
      <c r="AI22" s="527"/>
      <c r="AJ22" s="528">
        <f>GSh!BE22</f>
        <v>0</v>
      </c>
      <c r="AK22" s="520">
        <f>GSh!BF22</f>
        <v>0</v>
      </c>
      <c r="AL22" s="532"/>
      <c r="AM22" s="769">
        <f>GSh!BH22</f>
        <v>0</v>
      </c>
      <c r="AN22" s="520">
        <f>GSh!BI22</f>
        <v>0</v>
      </c>
      <c r="AO22" s="610">
        <f t="shared" ca="1" si="14"/>
        <v>0</v>
      </c>
      <c r="AP22" s="611">
        <f t="shared" ca="1" si="15"/>
        <v>0</v>
      </c>
      <c r="AQ22" s="611">
        <f t="shared" ca="1" si="16"/>
        <v>0</v>
      </c>
      <c r="AR22" s="611">
        <f t="shared" ca="1" si="17"/>
        <v>0</v>
      </c>
      <c r="AS22" s="611">
        <f t="shared" ca="1" si="18"/>
        <v>0</v>
      </c>
      <c r="AT22" s="611">
        <f t="shared" ca="1" si="19"/>
        <v>0</v>
      </c>
      <c r="AU22" s="621">
        <f t="shared" ca="1" si="20"/>
        <v>0</v>
      </c>
      <c r="AV22" s="623">
        <f t="shared" ca="1" si="21"/>
        <v>0</v>
      </c>
      <c r="AW22" s="611">
        <f t="shared" ca="1" si="22"/>
        <v>0</v>
      </c>
      <c r="AX22" s="1073">
        <f t="shared" ca="1" si="23"/>
        <v>0</v>
      </c>
      <c r="AY22" s="1071">
        <f t="shared" ca="1" si="24"/>
        <v>0</v>
      </c>
      <c r="AZ22" s="611">
        <f t="shared" ca="1" si="25"/>
        <v>0</v>
      </c>
      <c r="BA22" s="611">
        <f t="shared" ca="1" si="26"/>
        <v>0</v>
      </c>
      <c r="BB22" s="612">
        <f t="shared" ca="1" si="27"/>
        <v>0</v>
      </c>
      <c r="BC22" s="617">
        <f t="shared" si="28"/>
        <v>0</v>
      </c>
      <c r="BD22" s="619">
        <f t="shared" si="29"/>
        <v>0</v>
      </c>
      <c r="BE22" s="346">
        <f>GSh!CN22</f>
        <v>0</v>
      </c>
      <c r="BF22" s="210"/>
      <c r="BG22" s="208">
        <f>GSh!BT22</f>
        <v>0</v>
      </c>
      <c r="BH22" s="209">
        <f>GSh!BU22</f>
        <v>0</v>
      </c>
      <c r="BI22" s="199">
        <f>GSh!AF22</f>
        <v>0</v>
      </c>
      <c r="BJ22" s="199">
        <f>GSh!AG22</f>
        <v>0</v>
      </c>
      <c r="BK22" s="199">
        <f>GSh!AK22</f>
        <v>0</v>
      </c>
      <c r="BL22" s="199">
        <f>GSh!AL22</f>
        <v>0</v>
      </c>
    </row>
    <row r="23" spans="1:64" ht="15.75" customHeight="1" x14ac:dyDescent="0.3">
      <c r="A23" s="266">
        <f t="shared" si="30"/>
        <v>35</v>
      </c>
      <c r="B23" s="267">
        <f>GSh!AN23</f>
        <v>0</v>
      </c>
      <c r="C23" s="263"/>
      <c r="D23" s="263"/>
      <c r="E23" s="772">
        <f>GSh!AR23</f>
        <v>0</v>
      </c>
      <c r="F23" s="338"/>
      <c r="G23" s="505">
        <f>SUMIF(PROD!$BF$5:$BF$725,A23,PROD!$L$5:$L$725)</f>
        <v>0</v>
      </c>
      <c r="H23" s="503"/>
      <c r="I23" s="774">
        <f>GSh!AE23</f>
        <v>0</v>
      </c>
      <c r="J23" s="602">
        <f>GSh!AH23</f>
        <v>0</v>
      </c>
      <c r="K23" s="604"/>
      <c r="L23" s="776">
        <f>GSh!AJ23</f>
        <v>0</v>
      </c>
      <c r="M23" s="340">
        <f>GSh!AM23</f>
        <v>0</v>
      </c>
      <c r="N23" s="501">
        <f t="shared" si="5"/>
        <v>0</v>
      </c>
      <c r="O23" s="336"/>
      <c r="P23" s="776">
        <f>GSh!AU23</f>
        <v>0</v>
      </c>
      <c r="Q23" s="557">
        <f>GSh!AV23</f>
        <v>0</v>
      </c>
      <c r="R23" s="559"/>
      <c r="S23" s="1197"/>
      <c r="T23" s="344"/>
      <c r="U23" s="778">
        <f>GSh!BN23</f>
        <v>0</v>
      </c>
      <c r="V23" s="343">
        <f>GSh!BO23</f>
        <v>0</v>
      </c>
      <c r="W23" s="344"/>
      <c r="X23" s="778">
        <f>GSh!BQ23</f>
        <v>0</v>
      </c>
      <c r="Y23" s="343">
        <f>GSh!BR23</f>
        <v>0</v>
      </c>
      <c r="Z23" s="578">
        <f>LOOKUP($A23,PROD!$A$5:$A$725,PROD!$BE$5:$BE$725)</f>
        <v>0</v>
      </c>
      <c r="AA23" s="780">
        <f>GSh!AZ23</f>
        <v>0</v>
      </c>
      <c r="AB23" s="523">
        <f>GSh!BA23</f>
        <v>0</v>
      </c>
      <c r="AC23" s="580"/>
      <c r="AD23" s="783">
        <f>GSh!BK23/10</f>
        <v>0</v>
      </c>
      <c r="AE23" s="590">
        <f>GSh!BL23</f>
        <v>0</v>
      </c>
      <c r="AF23" s="593">
        <f t="shared" si="11"/>
        <v>0</v>
      </c>
      <c r="AG23" s="584"/>
      <c r="AH23" s="587"/>
      <c r="AI23" s="527"/>
      <c r="AJ23" s="528">
        <f>GSh!BE23</f>
        <v>0</v>
      </c>
      <c r="AK23" s="520">
        <f>GSh!BF23</f>
        <v>0</v>
      </c>
      <c r="AL23" s="532"/>
      <c r="AM23" s="769">
        <f>GSh!BH23</f>
        <v>0</v>
      </c>
      <c r="AN23" s="520">
        <f>GSh!BI23</f>
        <v>0</v>
      </c>
      <c r="AO23" s="610">
        <f t="shared" ca="1" si="14"/>
        <v>0</v>
      </c>
      <c r="AP23" s="611">
        <f t="shared" ca="1" si="15"/>
        <v>0</v>
      </c>
      <c r="AQ23" s="611">
        <f t="shared" ca="1" si="16"/>
        <v>0</v>
      </c>
      <c r="AR23" s="611">
        <f t="shared" ca="1" si="17"/>
        <v>0</v>
      </c>
      <c r="AS23" s="611">
        <f t="shared" ca="1" si="18"/>
        <v>0</v>
      </c>
      <c r="AT23" s="611">
        <f t="shared" ca="1" si="19"/>
        <v>0</v>
      </c>
      <c r="AU23" s="621">
        <f t="shared" ca="1" si="20"/>
        <v>0</v>
      </c>
      <c r="AV23" s="623">
        <f t="shared" ca="1" si="21"/>
        <v>0</v>
      </c>
      <c r="AW23" s="611">
        <f t="shared" ca="1" si="22"/>
        <v>0</v>
      </c>
      <c r="AX23" s="1073">
        <f t="shared" ca="1" si="23"/>
        <v>0</v>
      </c>
      <c r="AY23" s="1071">
        <f t="shared" ca="1" si="24"/>
        <v>0</v>
      </c>
      <c r="AZ23" s="611">
        <f t="shared" ca="1" si="25"/>
        <v>0</v>
      </c>
      <c r="BA23" s="611">
        <f t="shared" ca="1" si="26"/>
        <v>0</v>
      </c>
      <c r="BB23" s="612">
        <f t="shared" ca="1" si="27"/>
        <v>0</v>
      </c>
      <c r="BC23" s="617">
        <f t="shared" si="28"/>
        <v>0</v>
      </c>
      <c r="BD23" s="619">
        <f t="shared" si="29"/>
        <v>0</v>
      </c>
      <c r="BE23" s="346">
        <f>GSh!CN23</f>
        <v>0</v>
      </c>
      <c r="BF23" s="210"/>
      <c r="BG23" s="208">
        <f>GSh!BT23</f>
        <v>0</v>
      </c>
      <c r="BH23" s="209">
        <f>GSh!BU23</f>
        <v>0</v>
      </c>
      <c r="BI23" s="199">
        <f>GSh!AF23</f>
        <v>0</v>
      </c>
      <c r="BJ23" s="199">
        <f>GSh!AG23</f>
        <v>0</v>
      </c>
      <c r="BK23" s="199">
        <f>GSh!AK23</f>
        <v>0</v>
      </c>
      <c r="BL23" s="199">
        <f>GSh!AL23</f>
        <v>0</v>
      </c>
    </row>
    <row r="24" spans="1:64" ht="15.75" customHeight="1" x14ac:dyDescent="0.3">
      <c r="A24" s="266">
        <f t="shared" si="30"/>
        <v>36</v>
      </c>
      <c r="B24" s="267">
        <f>GSh!AN24</f>
        <v>0</v>
      </c>
      <c r="C24" s="263"/>
      <c r="D24" s="263"/>
      <c r="E24" s="772">
        <f>GSh!AR24</f>
        <v>0</v>
      </c>
      <c r="F24" s="338"/>
      <c r="G24" s="505">
        <f>SUMIF(PROD!$BF$5:$BF$725,A24,PROD!$L$5:$L$725)</f>
        <v>0</v>
      </c>
      <c r="H24" s="503"/>
      <c r="I24" s="774">
        <f>GSh!AE24</f>
        <v>0</v>
      </c>
      <c r="J24" s="602">
        <f>GSh!AH24</f>
        <v>0</v>
      </c>
      <c r="K24" s="604"/>
      <c r="L24" s="776">
        <f>GSh!AJ24</f>
        <v>0</v>
      </c>
      <c r="M24" s="340">
        <f>GSh!AM24</f>
        <v>0</v>
      </c>
      <c r="N24" s="501">
        <f t="shared" si="5"/>
        <v>0</v>
      </c>
      <c r="O24" s="336"/>
      <c r="P24" s="776">
        <f>GSh!AU24</f>
        <v>0</v>
      </c>
      <c r="Q24" s="557">
        <f>GSh!AV24</f>
        <v>0</v>
      </c>
      <c r="R24" s="559"/>
      <c r="S24" s="1197"/>
      <c r="T24" s="344"/>
      <c r="U24" s="778">
        <f>GSh!BN24</f>
        <v>0</v>
      </c>
      <c r="V24" s="343">
        <f>GSh!BO24</f>
        <v>0</v>
      </c>
      <c r="W24" s="344"/>
      <c r="X24" s="778">
        <f>GSh!BQ24</f>
        <v>0</v>
      </c>
      <c r="Y24" s="343">
        <f>GSh!BR24</f>
        <v>0</v>
      </c>
      <c r="Z24" s="578">
        <f>LOOKUP($A24,PROD!$A$5:$A$725,PROD!$BE$5:$BE$725)</f>
        <v>0</v>
      </c>
      <c r="AA24" s="780">
        <f>GSh!AZ24</f>
        <v>0</v>
      </c>
      <c r="AB24" s="523">
        <f>GSh!BA24</f>
        <v>0</v>
      </c>
      <c r="AC24" s="580"/>
      <c r="AD24" s="783">
        <f>GSh!BK24/10</f>
        <v>0</v>
      </c>
      <c r="AE24" s="590">
        <f>GSh!BL24</f>
        <v>0</v>
      </c>
      <c r="AF24" s="593">
        <f t="shared" si="11"/>
        <v>0</v>
      </c>
      <c r="AG24" s="584"/>
      <c r="AH24" s="587"/>
      <c r="AI24" s="527"/>
      <c r="AJ24" s="528">
        <f>GSh!BE24</f>
        <v>0</v>
      </c>
      <c r="AK24" s="520">
        <f>GSh!BF24</f>
        <v>0</v>
      </c>
      <c r="AL24" s="532"/>
      <c r="AM24" s="769">
        <f>GSh!BH24</f>
        <v>0</v>
      </c>
      <c r="AN24" s="520">
        <f>GSh!BI24</f>
        <v>0</v>
      </c>
      <c r="AO24" s="610">
        <f t="shared" ca="1" si="14"/>
        <v>0</v>
      </c>
      <c r="AP24" s="611">
        <f t="shared" ca="1" si="15"/>
        <v>0</v>
      </c>
      <c r="AQ24" s="611">
        <f t="shared" ca="1" si="16"/>
        <v>0</v>
      </c>
      <c r="AR24" s="611">
        <f t="shared" ca="1" si="17"/>
        <v>0</v>
      </c>
      <c r="AS24" s="611">
        <f t="shared" ca="1" si="18"/>
        <v>0</v>
      </c>
      <c r="AT24" s="611">
        <f t="shared" ca="1" si="19"/>
        <v>0</v>
      </c>
      <c r="AU24" s="621">
        <f t="shared" ca="1" si="20"/>
        <v>0</v>
      </c>
      <c r="AV24" s="623">
        <f t="shared" ca="1" si="21"/>
        <v>0</v>
      </c>
      <c r="AW24" s="611">
        <f t="shared" ca="1" si="22"/>
        <v>0</v>
      </c>
      <c r="AX24" s="1073">
        <f t="shared" ca="1" si="23"/>
        <v>0</v>
      </c>
      <c r="AY24" s="1071">
        <f t="shared" ca="1" si="24"/>
        <v>0</v>
      </c>
      <c r="AZ24" s="611">
        <f t="shared" ca="1" si="25"/>
        <v>0</v>
      </c>
      <c r="BA24" s="611">
        <f t="shared" ca="1" si="26"/>
        <v>0</v>
      </c>
      <c r="BB24" s="612">
        <f t="shared" ca="1" si="27"/>
        <v>0</v>
      </c>
      <c r="BC24" s="617">
        <f t="shared" si="28"/>
        <v>0</v>
      </c>
      <c r="BD24" s="619">
        <f t="shared" si="29"/>
        <v>0</v>
      </c>
      <c r="BE24" s="346">
        <f>GSh!CN24</f>
        <v>0</v>
      </c>
      <c r="BF24" s="210"/>
      <c r="BG24" s="208">
        <f>GSh!BT24</f>
        <v>0</v>
      </c>
      <c r="BH24" s="209">
        <f>GSh!BU24</f>
        <v>0</v>
      </c>
      <c r="BI24" s="199">
        <f>GSh!AF24</f>
        <v>0</v>
      </c>
      <c r="BJ24" s="199">
        <f>GSh!AG24</f>
        <v>0</v>
      </c>
      <c r="BK24" s="199">
        <f>GSh!AK24</f>
        <v>0</v>
      </c>
      <c r="BL24" s="199">
        <f>GSh!AL24</f>
        <v>0</v>
      </c>
    </row>
    <row r="25" spans="1:64" ht="15.75" customHeight="1" x14ac:dyDescent="0.3">
      <c r="A25" s="266">
        <f t="shared" si="30"/>
        <v>37</v>
      </c>
      <c r="B25" s="267">
        <f>GSh!AN25</f>
        <v>0</v>
      </c>
      <c r="C25" s="263"/>
      <c r="D25" s="263"/>
      <c r="E25" s="772">
        <f>GSh!AR25</f>
        <v>0</v>
      </c>
      <c r="F25" s="338"/>
      <c r="G25" s="505">
        <f>SUMIF(PROD!$BF$5:$BF$725,A25,PROD!$L$5:$L$725)</f>
        <v>0</v>
      </c>
      <c r="H25" s="503"/>
      <c r="I25" s="774">
        <f>GSh!AE25</f>
        <v>0</v>
      </c>
      <c r="J25" s="602">
        <f>GSh!AH25</f>
        <v>0</v>
      </c>
      <c r="K25" s="604"/>
      <c r="L25" s="776">
        <f>GSh!AJ25</f>
        <v>0</v>
      </c>
      <c r="M25" s="340">
        <f>GSh!AM25</f>
        <v>0</v>
      </c>
      <c r="N25" s="501">
        <f t="shared" si="5"/>
        <v>0</v>
      </c>
      <c r="O25" s="336"/>
      <c r="P25" s="776">
        <f>GSh!AU25</f>
        <v>0</v>
      </c>
      <c r="Q25" s="557">
        <f>GSh!AV25</f>
        <v>0</v>
      </c>
      <c r="R25" s="559"/>
      <c r="S25" s="1197"/>
      <c r="T25" s="344"/>
      <c r="U25" s="778">
        <f>GSh!BN25</f>
        <v>0</v>
      </c>
      <c r="V25" s="343">
        <f>GSh!BO25</f>
        <v>0</v>
      </c>
      <c r="W25" s="344"/>
      <c r="X25" s="778">
        <f>GSh!BQ25</f>
        <v>0</v>
      </c>
      <c r="Y25" s="343">
        <f>GSh!BR25</f>
        <v>0</v>
      </c>
      <c r="Z25" s="578">
        <f>LOOKUP($A25,PROD!$A$5:$A$725,PROD!$BE$5:$BE$725)</f>
        <v>0</v>
      </c>
      <c r="AA25" s="780">
        <f>GSh!AZ25</f>
        <v>0</v>
      </c>
      <c r="AB25" s="523">
        <f>GSh!BA25</f>
        <v>0</v>
      </c>
      <c r="AC25" s="580"/>
      <c r="AD25" s="783">
        <f>GSh!BK25/10</f>
        <v>0</v>
      </c>
      <c r="AE25" s="590">
        <f>GSh!BL25</f>
        <v>0</v>
      </c>
      <c r="AF25" s="593">
        <f t="shared" si="11"/>
        <v>0</v>
      </c>
      <c r="AG25" s="584"/>
      <c r="AH25" s="587"/>
      <c r="AI25" s="527"/>
      <c r="AJ25" s="528">
        <f>GSh!BE25</f>
        <v>0</v>
      </c>
      <c r="AK25" s="520">
        <f>GSh!BF25</f>
        <v>0</v>
      </c>
      <c r="AL25" s="532"/>
      <c r="AM25" s="769">
        <f>GSh!BH25</f>
        <v>0</v>
      </c>
      <c r="AN25" s="520">
        <f>GSh!BI25</f>
        <v>0</v>
      </c>
      <c r="AO25" s="610">
        <f t="shared" ca="1" si="14"/>
        <v>0</v>
      </c>
      <c r="AP25" s="611">
        <f t="shared" ca="1" si="15"/>
        <v>0</v>
      </c>
      <c r="AQ25" s="611">
        <f t="shared" ca="1" si="16"/>
        <v>0</v>
      </c>
      <c r="AR25" s="611">
        <f t="shared" ca="1" si="17"/>
        <v>0</v>
      </c>
      <c r="AS25" s="611">
        <f t="shared" ca="1" si="18"/>
        <v>0</v>
      </c>
      <c r="AT25" s="611">
        <f t="shared" ca="1" si="19"/>
        <v>0</v>
      </c>
      <c r="AU25" s="621">
        <f t="shared" ca="1" si="20"/>
        <v>0</v>
      </c>
      <c r="AV25" s="623">
        <f t="shared" ca="1" si="21"/>
        <v>0</v>
      </c>
      <c r="AW25" s="611">
        <f t="shared" ca="1" si="22"/>
        <v>0</v>
      </c>
      <c r="AX25" s="1073">
        <f t="shared" ca="1" si="23"/>
        <v>0</v>
      </c>
      <c r="AY25" s="1071">
        <f t="shared" ca="1" si="24"/>
        <v>0</v>
      </c>
      <c r="AZ25" s="611">
        <f t="shared" ca="1" si="25"/>
        <v>0</v>
      </c>
      <c r="BA25" s="611">
        <f t="shared" ca="1" si="26"/>
        <v>0</v>
      </c>
      <c r="BB25" s="612">
        <f t="shared" ca="1" si="27"/>
        <v>0</v>
      </c>
      <c r="BC25" s="617">
        <f t="shared" si="28"/>
        <v>0</v>
      </c>
      <c r="BD25" s="619">
        <f t="shared" si="29"/>
        <v>0</v>
      </c>
      <c r="BE25" s="346">
        <f>GSh!CN25</f>
        <v>0</v>
      </c>
      <c r="BF25" s="210"/>
      <c r="BG25" s="208">
        <f>GSh!BT25</f>
        <v>0</v>
      </c>
      <c r="BH25" s="209">
        <f>GSh!BU25</f>
        <v>0</v>
      </c>
      <c r="BI25" s="199">
        <f>GSh!AF25</f>
        <v>0</v>
      </c>
      <c r="BJ25" s="199">
        <f>GSh!AG25</f>
        <v>0</v>
      </c>
      <c r="BK25" s="199">
        <f>GSh!AK25</f>
        <v>0</v>
      </c>
      <c r="BL25" s="199">
        <f>GSh!AL25</f>
        <v>0</v>
      </c>
    </row>
    <row r="26" spans="1:64" ht="15.75" customHeight="1" x14ac:dyDescent="0.3">
      <c r="A26" s="266">
        <f t="shared" si="30"/>
        <v>38</v>
      </c>
      <c r="B26" s="267">
        <f>GSh!AN26</f>
        <v>0</v>
      </c>
      <c r="C26" s="263"/>
      <c r="D26" s="263"/>
      <c r="E26" s="772">
        <f>GSh!AR26</f>
        <v>0</v>
      </c>
      <c r="F26" s="338"/>
      <c r="G26" s="505">
        <f>SUMIF(PROD!$BF$5:$BF$725,A26,PROD!$L$5:$L$725)</f>
        <v>0</v>
      </c>
      <c r="H26" s="503"/>
      <c r="I26" s="774">
        <f>GSh!AE26</f>
        <v>0</v>
      </c>
      <c r="J26" s="602">
        <f>GSh!AH26</f>
        <v>0</v>
      </c>
      <c r="K26" s="604"/>
      <c r="L26" s="776">
        <f>GSh!AJ26</f>
        <v>0</v>
      </c>
      <c r="M26" s="340">
        <f>GSh!AM26</f>
        <v>0</v>
      </c>
      <c r="N26" s="501">
        <f t="shared" si="5"/>
        <v>0</v>
      </c>
      <c r="O26" s="336"/>
      <c r="P26" s="776">
        <f>GSh!AU26</f>
        <v>0</v>
      </c>
      <c r="Q26" s="557">
        <f>GSh!AV26</f>
        <v>0</v>
      </c>
      <c r="R26" s="559"/>
      <c r="S26" s="1197"/>
      <c r="T26" s="344"/>
      <c r="U26" s="778">
        <f>GSh!BN26</f>
        <v>0</v>
      </c>
      <c r="V26" s="343">
        <f>GSh!BO26</f>
        <v>0</v>
      </c>
      <c r="W26" s="344"/>
      <c r="X26" s="778">
        <f>GSh!BQ26</f>
        <v>0</v>
      </c>
      <c r="Y26" s="343">
        <f>GSh!BR26</f>
        <v>0</v>
      </c>
      <c r="Z26" s="578">
        <f>LOOKUP($A26,PROD!$A$5:$A$725,PROD!$BE$5:$BE$725)</f>
        <v>0</v>
      </c>
      <c r="AA26" s="780">
        <f>GSh!AZ26</f>
        <v>0</v>
      </c>
      <c r="AB26" s="523">
        <f>GSh!BA26</f>
        <v>0</v>
      </c>
      <c r="AC26" s="580"/>
      <c r="AD26" s="783">
        <f>GSh!BK26/10</f>
        <v>0</v>
      </c>
      <c r="AE26" s="590">
        <f>GSh!BL26</f>
        <v>0</v>
      </c>
      <c r="AF26" s="593">
        <f t="shared" si="11"/>
        <v>0</v>
      </c>
      <c r="AG26" s="584"/>
      <c r="AH26" s="587"/>
      <c r="AI26" s="527"/>
      <c r="AJ26" s="528">
        <f>GSh!BE26</f>
        <v>0</v>
      </c>
      <c r="AK26" s="520">
        <f>GSh!BF26</f>
        <v>0</v>
      </c>
      <c r="AL26" s="532"/>
      <c r="AM26" s="769">
        <f>GSh!BH26</f>
        <v>0</v>
      </c>
      <c r="AN26" s="520">
        <f>GSh!BI26</f>
        <v>0</v>
      </c>
      <c r="AO26" s="610">
        <f t="shared" ca="1" si="14"/>
        <v>0</v>
      </c>
      <c r="AP26" s="611">
        <f t="shared" ca="1" si="15"/>
        <v>0</v>
      </c>
      <c r="AQ26" s="611">
        <f t="shared" ca="1" si="16"/>
        <v>0</v>
      </c>
      <c r="AR26" s="611">
        <f t="shared" ca="1" si="17"/>
        <v>0</v>
      </c>
      <c r="AS26" s="611">
        <f t="shared" ca="1" si="18"/>
        <v>0</v>
      </c>
      <c r="AT26" s="611">
        <f t="shared" ca="1" si="19"/>
        <v>0</v>
      </c>
      <c r="AU26" s="621">
        <f t="shared" ca="1" si="20"/>
        <v>0</v>
      </c>
      <c r="AV26" s="623">
        <f t="shared" ca="1" si="21"/>
        <v>0</v>
      </c>
      <c r="AW26" s="611">
        <f t="shared" ca="1" si="22"/>
        <v>0</v>
      </c>
      <c r="AX26" s="1073">
        <f t="shared" ca="1" si="23"/>
        <v>0</v>
      </c>
      <c r="AY26" s="1071">
        <f t="shared" ca="1" si="24"/>
        <v>0</v>
      </c>
      <c r="AZ26" s="611">
        <f t="shared" ca="1" si="25"/>
        <v>0</v>
      </c>
      <c r="BA26" s="611">
        <f t="shared" ca="1" si="26"/>
        <v>0</v>
      </c>
      <c r="BB26" s="612">
        <f t="shared" ca="1" si="27"/>
        <v>0</v>
      </c>
      <c r="BC26" s="617">
        <f t="shared" si="28"/>
        <v>0</v>
      </c>
      <c r="BD26" s="619">
        <f t="shared" si="29"/>
        <v>0</v>
      </c>
      <c r="BE26" s="346">
        <f>GSh!CN26</f>
        <v>0</v>
      </c>
      <c r="BF26" s="210"/>
      <c r="BG26" s="208">
        <f>GSh!BT26</f>
        <v>0</v>
      </c>
      <c r="BH26" s="209">
        <f>GSh!BU26</f>
        <v>0</v>
      </c>
      <c r="BI26" s="199">
        <f>GSh!AF26</f>
        <v>0</v>
      </c>
      <c r="BJ26" s="199">
        <f>GSh!AG26</f>
        <v>0</v>
      </c>
      <c r="BK26" s="199">
        <f>GSh!AK26</f>
        <v>0</v>
      </c>
      <c r="BL26" s="199">
        <f>GSh!AL26</f>
        <v>0</v>
      </c>
    </row>
    <row r="27" spans="1:64" ht="15.75" customHeight="1" x14ac:dyDescent="0.3">
      <c r="A27" s="266">
        <f t="shared" si="30"/>
        <v>39</v>
      </c>
      <c r="B27" s="267">
        <f>GSh!AN27</f>
        <v>0</v>
      </c>
      <c r="C27" s="263"/>
      <c r="D27" s="263"/>
      <c r="E27" s="772">
        <f>GSh!AR27</f>
        <v>0</v>
      </c>
      <c r="F27" s="338"/>
      <c r="G27" s="505">
        <f>SUMIF(PROD!$BF$5:$BF$725,A27,PROD!$L$5:$L$725)</f>
        <v>0</v>
      </c>
      <c r="H27" s="503"/>
      <c r="I27" s="774">
        <f>GSh!AE27</f>
        <v>0</v>
      </c>
      <c r="J27" s="602">
        <f>GSh!AH27</f>
        <v>0</v>
      </c>
      <c r="K27" s="604"/>
      <c r="L27" s="776">
        <f>GSh!AJ27</f>
        <v>0</v>
      </c>
      <c r="M27" s="340">
        <f>GSh!AM27</f>
        <v>0</v>
      </c>
      <c r="N27" s="501">
        <f t="shared" si="5"/>
        <v>0</v>
      </c>
      <c r="O27" s="336"/>
      <c r="P27" s="776">
        <f>GSh!AU27</f>
        <v>0</v>
      </c>
      <c r="Q27" s="557">
        <f>GSh!AV27</f>
        <v>0</v>
      </c>
      <c r="R27" s="559"/>
      <c r="S27" s="1197"/>
      <c r="T27" s="344"/>
      <c r="U27" s="778">
        <f>GSh!BN27</f>
        <v>0</v>
      </c>
      <c r="V27" s="343">
        <f>GSh!BO27</f>
        <v>0</v>
      </c>
      <c r="W27" s="344"/>
      <c r="X27" s="778">
        <f>GSh!BQ27</f>
        <v>0</v>
      </c>
      <c r="Y27" s="343">
        <f>GSh!BR27</f>
        <v>0</v>
      </c>
      <c r="Z27" s="578">
        <f>LOOKUP($A27,PROD!$A$5:$A$725,PROD!$BE$5:$BE$725)</f>
        <v>0</v>
      </c>
      <c r="AA27" s="780">
        <f>GSh!AZ27</f>
        <v>0</v>
      </c>
      <c r="AB27" s="523">
        <f>GSh!BA27</f>
        <v>0</v>
      </c>
      <c r="AC27" s="580"/>
      <c r="AD27" s="783">
        <f>GSh!BK27/10</f>
        <v>0</v>
      </c>
      <c r="AE27" s="590">
        <f>GSh!BL27</f>
        <v>0</v>
      </c>
      <c r="AF27" s="593">
        <f t="shared" si="11"/>
        <v>0</v>
      </c>
      <c r="AG27" s="584"/>
      <c r="AH27" s="587"/>
      <c r="AI27" s="527"/>
      <c r="AJ27" s="528">
        <f>GSh!BE27</f>
        <v>0</v>
      </c>
      <c r="AK27" s="520">
        <f>GSh!BF27</f>
        <v>0</v>
      </c>
      <c r="AL27" s="532"/>
      <c r="AM27" s="769">
        <f>GSh!BH27</f>
        <v>0</v>
      </c>
      <c r="AN27" s="520">
        <f>GSh!BI27</f>
        <v>0</v>
      </c>
      <c r="AO27" s="610">
        <f t="shared" ca="1" si="14"/>
        <v>0</v>
      </c>
      <c r="AP27" s="611">
        <f t="shared" ca="1" si="15"/>
        <v>0</v>
      </c>
      <c r="AQ27" s="611">
        <f t="shared" ca="1" si="16"/>
        <v>0</v>
      </c>
      <c r="AR27" s="611">
        <f t="shared" ca="1" si="17"/>
        <v>0</v>
      </c>
      <c r="AS27" s="611">
        <f t="shared" ca="1" si="18"/>
        <v>0</v>
      </c>
      <c r="AT27" s="611">
        <f t="shared" ca="1" si="19"/>
        <v>0</v>
      </c>
      <c r="AU27" s="621">
        <f t="shared" ca="1" si="20"/>
        <v>0</v>
      </c>
      <c r="AV27" s="623">
        <f t="shared" ca="1" si="21"/>
        <v>0</v>
      </c>
      <c r="AW27" s="611">
        <f t="shared" ca="1" si="22"/>
        <v>0</v>
      </c>
      <c r="AX27" s="1073">
        <f t="shared" ca="1" si="23"/>
        <v>0</v>
      </c>
      <c r="AY27" s="1071">
        <f t="shared" ca="1" si="24"/>
        <v>0</v>
      </c>
      <c r="AZ27" s="611">
        <f t="shared" ca="1" si="25"/>
        <v>0</v>
      </c>
      <c r="BA27" s="611">
        <f t="shared" ca="1" si="26"/>
        <v>0</v>
      </c>
      <c r="BB27" s="612">
        <f t="shared" ca="1" si="27"/>
        <v>0</v>
      </c>
      <c r="BC27" s="617">
        <f t="shared" si="28"/>
        <v>0</v>
      </c>
      <c r="BD27" s="619">
        <f t="shared" si="29"/>
        <v>0</v>
      </c>
      <c r="BE27" s="346">
        <f>GSh!CN27</f>
        <v>0</v>
      </c>
      <c r="BF27" s="210"/>
      <c r="BG27" s="208">
        <f>GSh!BT27</f>
        <v>0</v>
      </c>
      <c r="BH27" s="209">
        <f>GSh!BU27</f>
        <v>0</v>
      </c>
      <c r="BI27" s="199">
        <f>GSh!AF27</f>
        <v>0</v>
      </c>
      <c r="BJ27" s="199">
        <f>GSh!AG27</f>
        <v>0</v>
      </c>
      <c r="BK27" s="199">
        <f>GSh!AK27</f>
        <v>0</v>
      </c>
      <c r="BL27" s="199">
        <f>GSh!AL27</f>
        <v>0</v>
      </c>
    </row>
    <row r="28" spans="1:64" ht="15.75" customHeight="1" x14ac:dyDescent="0.3">
      <c r="A28" s="266">
        <f t="shared" si="30"/>
        <v>40</v>
      </c>
      <c r="B28" s="267">
        <f>GSh!AN28</f>
        <v>0</v>
      </c>
      <c r="C28" s="263"/>
      <c r="D28" s="263"/>
      <c r="E28" s="772">
        <f>GSh!AR28</f>
        <v>0</v>
      </c>
      <c r="F28" s="338"/>
      <c r="G28" s="505">
        <f>SUMIF(PROD!$BF$5:$BF$725,A28,PROD!$L$5:$L$725)</f>
        <v>0</v>
      </c>
      <c r="H28" s="503"/>
      <c r="I28" s="774">
        <f>GSh!AE28</f>
        <v>0</v>
      </c>
      <c r="J28" s="602">
        <f>GSh!AH28</f>
        <v>0</v>
      </c>
      <c r="K28" s="604"/>
      <c r="L28" s="776">
        <f>GSh!AJ28</f>
        <v>0</v>
      </c>
      <c r="M28" s="340">
        <f>GSh!AM28</f>
        <v>0</v>
      </c>
      <c r="N28" s="501">
        <f t="shared" si="5"/>
        <v>0</v>
      </c>
      <c r="O28" s="336"/>
      <c r="P28" s="776">
        <f>GSh!AU28</f>
        <v>0</v>
      </c>
      <c r="Q28" s="557">
        <f>GSh!AV28</f>
        <v>0</v>
      </c>
      <c r="R28" s="559"/>
      <c r="S28" s="1197"/>
      <c r="T28" s="344"/>
      <c r="U28" s="778">
        <f>GSh!BN28</f>
        <v>0</v>
      </c>
      <c r="V28" s="343">
        <f>GSh!BO28</f>
        <v>0</v>
      </c>
      <c r="W28" s="344"/>
      <c r="X28" s="778">
        <f>GSh!BQ28</f>
        <v>0</v>
      </c>
      <c r="Y28" s="343">
        <f>GSh!BR28</f>
        <v>0</v>
      </c>
      <c r="Z28" s="578">
        <f>LOOKUP($A28,PROD!$A$5:$A$725,PROD!$BE$5:$BE$725)</f>
        <v>0</v>
      </c>
      <c r="AA28" s="780">
        <f>GSh!AZ28</f>
        <v>0</v>
      </c>
      <c r="AB28" s="523">
        <f>GSh!BA28</f>
        <v>0</v>
      </c>
      <c r="AC28" s="580"/>
      <c r="AD28" s="783">
        <f>GSh!BK28/10</f>
        <v>0</v>
      </c>
      <c r="AE28" s="590">
        <f>GSh!BL28</f>
        <v>0</v>
      </c>
      <c r="AF28" s="593">
        <f t="shared" si="11"/>
        <v>0</v>
      </c>
      <c r="AG28" s="584"/>
      <c r="AH28" s="587"/>
      <c r="AI28" s="527"/>
      <c r="AJ28" s="528">
        <f>GSh!BE28</f>
        <v>0</v>
      </c>
      <c r="AK28" s="520">
        <f>GSh!BF28</f>
        <v>0</v>
      </c>
      <c r="AL28" s="532"/>
      <c r="AM28" s="769">
        <f>GSh!BH28</f>
        <v>0</v>
      </c>
      <c r="AN28" s="520">
        <f>GSh!BI28</f>
        <v>0</v>
      </c>
      <c r="AO28" s="610">
        <f t="shared" ca="1" si="14"/>
        <v>0</v>
      </c>
      <c r="AP28" s="611">
        <f t="shared" ca="1" si="15"/>
        <v>0</v>
      </c>
      <c r="AQ28" s="611">
        <f t="shared" ca="1" si="16"/>
        <v>0</v>
      </c>
      <c r="AR28" s="611">
        <f t="shared" ca="1" si="17"/>
        <v>0</v>
      </c>
      <c r="AS28" s="611">
        <f t="shared" ca="1" si="18"/>
        <v>0</v>
      </c>
      <c r="AT28" s="611">
        <f t="shared" ca="1" si="19"/>
        <v>0</v>
      </c>
      <c r="AU28" s="621">
        <f t="shared" ca="1" si="20"/>
        <v>0</v>
      </c>
      <c r="AV28" s="623">
        <f t="shared" ca="1" si="21"/>
        <v>0</v>
      </c>
      <c r="AW28" s="611">
        <f t="shared" ca="1" si="22"/>
        <v>0</v>
      </c>
      <c r="AX28" s="1073">
        <f t="shared" ca="1" si="23"/>
        <v>0</v>
      </c>
      <c r="AY28" s="1071">
        <f t="shared" ca="1" si="24"/>
        <v>0</v>
      </c>
      <c r="AZ28" s="611">
        <f t="shared" ca="1" si="25"/>
        <v>0</v>
      </c>
      <c r="BA28" s="611">
        <f t="shared" ca="1" si="26"/>
        <v>0</v>
      </c>
      <c r="BB28" s="612">
        <f t="shared" ca="1" si="27"/>
        <v>0</v>
      </c>
      <c r="BC28" s="617">
        <f t="shared" si="28"/>
        <v>0</v>
      </c>
      <c r="BD28" s="619">
        <f t="shared" si="29"/>
        <v>0</v>
      </c>
      <c r="BE28" s="346">
        <f>GSh!CN28</f>
        <v>0</v>
      </c>
      <c r="BF28" s="210"/>
      <c r="BG28" s="208">
        <f>GSh!BT28</f>
        <v>0</v>
      </c>
      <c r="BH28" s="209">
        <f>GSh!BU28</f>
        <v>0</v>
      </c>
      <c r="BI28" s="199">
        <f>GSh!AF28</f>
        <v>0</v>
      </c>
      <c r="BJ28" s="199">
        <f>GSh!AG28</f>
        <v>0</v>
      </c>
      <c r="BK28" s="199">
        <f>GSh!AK28</f>
        <v>0</v>
      </c>
      <c r="BL28" s="199">
        <f>GSh!AL28</f>
        <v>0</v>
      </c>
    </row>
    <row r="29" spans="1:64" ht="15.75" customHeight="1" x14ac:dyDescent="0.3">
      <c r="A29" s="266">
        <f t="shared" si="30"/>
        <v>41</v>
      </c>
      <c r="B29" s="267">
        <f>GSh!AN29</f>
        <v>0</v>
      </c>
      <c r="C29" s="263"/>
      <c r="D29" s="263"/>
      <c r="E29" s="772">
        <f>GSh!AR29</f>
        <v>0</v>
      </c>
      <c r="F29" s="338"/>
      <c r="G29" s="505">
        <f>SUMIF(PROD!$BF$5:$BF$725,A29,PROD!$L$5:$L$725)</f>
        <v>0</v>
      </c>
      <c r="H29" s="503"/>
      <c r="I29" s="774">
        <f>GSh!AE29</f>
        <v>0</v>
      </c>
      <c r="J29" s="602">
        <f>GSh!AH29</f>
        <v>0</v>
      </c>
      <c r="K29" s="604"/>
      <c r="L29" s="776">
        <f>GSh!AJ29</f>
        <v>0</v>
      </c>
      <c r="M29" s="340">
        <f>GSh!AM29</f>
        <v>0</v>
      </c>
      <c r="N29" s="501">
        <f t="shared" si="5"/>
        <v>0</v>
      </c>
      <c r="O29" s="336"/>
      <c r="P29" s="776">
        <f>GSh!AU29</f>
        <v>0</v>
      </c>
      <c r="Q29" s="557">
        <f>GSh!AV29</f>
        <v>0</v>
      </c>
      <c r="R29" s="559"/>
      <c r="S29" s="1197"/>
      <c r="T29" s="344"/>
      <c r="U29" s="778">
        <f>GSh!BN29</f>
        <v>0</v>
      </c>
      <c r="V29" s="343">
        <f>GSh!BO29</f>
        <v>0</v>
      </c>
      <c r="W29" s="344"/>
      <c r="X29" s="778">
        <f>GSh!BQ29</f>
        <v>0</v>
      </c>
      <c r="Y29" s="343">
        <f>GSh!BR29</f>
        <v>0</v>
      </c>
      <c r="Z29" s="578">
        <f>LOOKUP($A29,PROD!$A$5:$A$725,PROD!$BE$5:$BE$725)</f>
        <v>0</v>
      </c>
      <c r="AA29" s="780">
        <f>GSh!AZ29</f>
        <v>0</v>
      </c>
      <c r="AB29" s="523">
        <f>GSh!BA29</f>
        <v>0</v>
      </c>
      <c r="AC29" s="580"/>
      <c r="AD29" s="783">
        <f>GSh!BK29/10</f>
        <v>0</v>
      </c>
      <c r="AE29" s="590">
        <f>GSh!BL29</f>
        <v>0</v>
      </c>
      <c r="AF29" s="593">
        <f t="shared" si="11"/>
        <v>0</v>
      </c>
      <c r="AG29" s="584"/>
      <c r="AH29" s="587"/>
      <c r="AI29" s="527"/>
      <c r="AJ29" s="528">
        <f>GSh!BE29</f>
        <v>0</v>
      </c>
      <c r="AK29" s="520">
        <f>GSh!BF29</f>
        <v>0</v>
      </c>
      <c r="AL29" s="532"/>
      <c r="AM29" s="769">
        <f>GSh!BH29</f>
        <v>0</v>
      </c>
      <c r="AN29" s="520">
        <f>GSh!BI29</f>
        <v>0</v>
      </c>
      <c r="AO29" s="610">
        <f t="shared" ca="1" si="14"/>
        <v>0</v>
      </c>
      <c r="AP29" s="611">
        <f t="shared" ca="1" si="15"/>
        <v>0</v>
      </c>
      <c r="AQ29" s="611">
        <f t="shared" ca="1" si="16"/>
        <v>0</v>
      </c>
      <c r="AR29" s="611">
        <f t="shared" ca="1" si="17"/>
        <v>0</v>
      </c>
      <c r="AS29" s="611">
        <f t="shared" ca="1" si="18"/>
        <v>0</v>
      </c>
      <c r="AT29" s="611">
        <f t="shared" ca="1" si="19"/>
        <v>0</v>
      </c>
      <c r="AU29" s="621">
        <f t="shared" ca="1" si="20"/>
        <v>0</v>
      </c>
      <c r="AV29" s="623">
        <f t="shared" ca="1" si="21"/>
        <v>0</v>
      </c>
      <c r="AW29" s="611">
        <f t="shared" ca="1" si="22"/>
        <v>0</v>
      </c>
      <c r="AX29" s="1073">
        <f t="shared" ca="1" si="23"/>
        <v>0</v>
      </c>
      <c r="AY29" s="1071">
        <f t="shared" ca="1" si="24"/>
        <v>0</v>
      </c>
      <c r="AZ29" s="611">
        <f t="shared" ca="1" si="25"/>
        <v>0</v>
      </c>
      <c r="BA29" s="611">
        <f t="shared" ca="1" si="26"/>
        <v>0</v>
      </c>
      <c r="BB29" s="612">
        <f t="shared" ca="1" si="27"/>
        <v>0</v>
      </c>
      <c r="BC29" s="617">
        <f t="shared" si="28"/>
        <v>0</v>
      </c>
      <c r="BD29" s="619">
        <f t="shared" si="29"/>
        <v>0</v>
      </c>
      <c r="BE29" s="346">
        <f>GSh!CN29</f>
        <v>0</v>
      </c>
      <c r="BF29" s="210"/>
      <c r="BG29" s="208">
        <f>GSh!BT29</f>
        <v>0</v>
      </c>
      <c r="BH29" s="209">
        <f>GSh!BU29</f>
        <v>0</v>
      </c>
      <c r="BI29" s="199">
        <f>GSh!AF29</f>
        <v>0</v>
      </c>
      <c r="BJ29" s="199">
        <f>GSh!AG29</f>
        <v>0</v>
      </c>
      <c r="BK29" s="199">
        <f>GSh!AK29</f>
        <v>0</v>
      </c>
      <c r="BL29" s="199">
        <f>GSh!AL29</f>
        <v>0</v>
      </c>
    </row>
    <row r="30" spans="1:64" ht="15.75" customHeight="1" x14ac:dyDescent="0.3">
      <c r="A30" s="266">
        <f t="shared" si="30"/>
        <v>42</v>
      </c>
      <c r="B30" s="267">
        <f>GSh!AN30</f>
        <v>0</v>
      </c>
      <c r="C30" s="263"/>
      <c r="D30" s="263"/>
      <c r="E30" s="772">
        <f>GSh!AR30</f>
        <v>0</v>
      </c>
      <c r="F30" s="338"/>
      <c r="G30" s="505">
        <f>SUMIF(PROD!$BF$5:$BF$725,A30,PROD!$L$5:$L$725)</f>
        <v>0</v>
      </c>
      <c r="H30" s="503"/>
      <c r="I30" s="774">
        <f>GSh!AE30</f>
        <v>0</v>
      </c>
      <c r="J30" s="602">
        <f>GSh!AH30</f>
        <v>0</v>
      </c>
      <c r="K30" s="604"/>
      <c r="L30" s="776">
        <f>GSh!AJ30</f>
        <v>0</v>
      </c>
      <c r="M30" s="340">
        <f>GSh!AM30</f>
        <v>0</v>
      </c>
      <c r="N30" s="501">
        <f t="shared" si="5"/>
        <v>0</v>
      </c>
      <c r="O30" s="336"/>
      <c r="P30" s="776">
        <f>GSh!AU30</f>
        <v>0</v>
      </c>
      <c r="Q30" s="557">
        <f>GSh!AV30</f>
        <v>0</v>
      </c>
      <c r="R30" s="559"/>
      <c r="S30" s="1197"/>
      <c r="T30" s="344"/>
      <c r="U30" s="778">
        <f>GSh!BN30</f>
        <v>0</v>
      </c>
      <c r="V30" s="343">
        <f>GSh!BO30</f>
        <v>0</v>
      </c>
      <c r="W30" s="344"/>
      <c r="X30" s="778">
        <f>GSh!BQ30</f>
        <v>0</v>
      </c>
      <c r="Y30" s="343">
        <f>GSh!BR30</f>
        <v>0</v>
      </c>
      <c r="Z30" s="578">
        <f>LOOKUP($A30,PROD!$A$5:$A$725,PROD!$BE$5:$BE$725)</f>
        <v>0</v>
      </c>
      <c r="AA30" s="780">
        <f>GSh!AZ30</f>
        <v>0</v>
      </c>
      <c r="AB30" s="523">
        <f>GSh!BA30</f>
        <v>0</v>
      </c>
      <c r="AC30" s="580"/>
      <c r="AD30" s="783">
        <f>GSh!BK30/10</f>
        <v>0</v>
      </c>
      <c r="AE30" s="590">
        <f>GSh!BL30</f>
        <v>0</v>
      </c>
      <c r="AF30" s="593">
        <f t="shared" si="11"/>
        <v>0</v>
      </c>
      <c r="AG30" s="584"/>
      <c r="AH30" s="587"/>
      <c r="AI30" s="527"/>
      <c r="AJ30" s="528">
        <f>GSh!BE30</f>
        <v>0</v>
      </c>
      <c r="AK30" s="520">
        <f>GSh!BF30</f>
        <v>0</v>
      </c>
      <c r="AL30" s="532"/>
      <c r="AM30" s="769">
        <f>GSh!BH30</f>
        <v>0</v>
      </c>
      <c r="AN30" s="520">
        <f>GSh!BI30</f>
        <v>0</v>
      </c>
      <c r="AO30" s="610">
        <f t="shared" ca="1" si="14"/>
        <v>0</v>
      </c>
      <c r="AP30" s="611">
        <f t="shared" ca="1" si="15"/>
        <v>0</v>
      </c>
      <c r="AQ30" s="611">
        <f t="shared" ca="1" si="16"/>
        <v>0</v>
      </c>
      <c r="AR30" s="611">
        <f t="shared" ca="1" si="17"/>
        <v>0</v>
      </c>
      <c r="AS30" s="611">
        <f t="shared" ca="1" si="18"/>
        <v>0</v>
      </c>
      <c r="AT30" s="611">
        <f t="shared" ca="1" si="19"/>
        <v>0</v>
      </c>
      <c r="AU30" s="621">
        <f t="shared" ca="1" si="20"/>
        <v>0</v>
      </c>
      <c r="AV30" s="623">
        <f t="shared" ca="1" si="21"/>
        <v>0</v>
      </c>
      <c r="AW30" s="611">
        <f t="shared" ca="1" si="22"/>
        <v>0</v>
      </c>
      <c r="AX30" s="1073">
        <f t="shared" ca="1" si="23"/>
        <v>0</v>
      </c>
      <c r="AY30" s="1071">
        <f t="shared" ca="1" si="24"/>
        <v>0</v>
      </c>
      <c r="AZ30" s="611">
        <f t="shared" ca="1" si="25"/>
        <v>0</v>
      </c>
      <c r="BA30" s="611">
        <f t="shared" ca="1" si="26"/>
        <v>0</v>
      </c>
      <c r="BB30" s="612">
        <f t="shared" ca="1" si="27"/>
        <v>0</v>
      </c>
      <c r="BC30" s="617">
        <f t="shared" si="28"/>
        <v>0</v>
      </c>
      <c r="BD30" s="619">
        <f t="shared" si="29"/>
        <v>0</v>
      </c>
      <c r="BE30" s="346">
        <f>GSh!CN30</f>
        <v>0</v>
      </c>
      <c r="BF30" s="210"/>
      <c r="BG30" s="208">
        <f>GSh!BT30</f>
        <v>0</v>
      </c>
      <c r="BH30" s="209">
        <f>GSh!BU30</f>
        <v>0</v>
      </c>
      <c r="BI30" s="199">
        <f>GSh!AF30</f>
        <v>0</v>
      </c>
      <c r="BJ30" s="199">
        <f>GSh!AG30</f>
        <v>0</v>
      </c>
      <c r="BK30" s="199">
        <f>GSh!AK30</f>
        <v>0</v>
      </c>
      <c r="BL30" s="199">
        <f>GSh!AL30</f>
        <v>0</v>
      </c>
    </row>
    <row r="31" spans="1:64" ht="15.75" customHeight="1" x14ac:dyDescent="0.3">
      <c r="A31" s="266">
        <f t="shared" si="30"/>
        <v>43</v>
      </c>
      <c r="B31" s="267">
        <f>GSh!AN31</f>
        <v>0</v>
      </c>
      <c r="C31" s="263"/>
      <c r="D31" s="263"/>
      <c r="E31" s="772">
        <f>GSh!AR31</f>
        <v>0</v>
      </c>
      <c r="F31" s="338"/>
      <c r="G31" s="505">
        <f>SUMIF(PROD!$BF$5:$BF$725,A31,PROD!$L$5:$L$725)</f>
        <v>0</v>
      </c>
      <c r="H31" s="503"/>
      <c r="I31" s="774">
        <f>GSh!AE31</f>
        <v>0</v>
      </c>
      <c r="J31" s="602">
        <f>GSh!AH31</f>
        <v>0</v>
      </c>
      <c r="K31" s="604"/>
      <c r="L31" s="776">
        <f>GSh!AJ31</f>
        <v>0</v>
      </c>
      <c r="M31" s="340">
        <f>GSh!AM31</f>
        <v>0</v>
      </c>
      <c r="N31" s="501">
        <f t="shared" si="5"/>
        <v>0</v>
      </c>
      <c r="O31" s="336"/>
      <c r="P31" s="776">
        <f>GSh!AU31</f>
        <v>0</v>
      </c>
      <c r="Q31" s="557">
        <f>GSh!AV31</f>
        <v>0</v>
      </c>
      <c r="R31" s="559"/>
      <c r="S31" s="1197"/>
      <c r="T31" s="344"/>
      <c r="U31" s="778">
        <f>GSh!BN31</f>
        <v>0</v>
      </c>
      <c r="V31" s="343">
        <f>GSh!BO31</f>
        <v>0</v>
      </c>
      <c r="W31" s="344"/>
      <c r="X31" s="778">
        <f>GSh!BQ31</f>
        <v>0</v>
      </c>
      <c r="Y31" s="343">
        <f>GSh!BR31</f>
        <v>0</v>
      </c>
      <c r="Z31" s="578">
        <f>LOOKUP($A31,PROD!$A$5:$A$725,PROD!$BE$5:$BE$725)</f>
        <v>0</v>
      </c>
      <c r="AA31" s="780">
        <f>GSh!AZ31</f>
        <v>0</v>
      </c>
      <c r="AB31" s="523">
        <f>GSh!BA31</f>
        <v>0</v>
      </c>
      <c r="AC31" s="580"/>
      <c r="AD31" s="783">
        <f>GSh!BK31/10</f>
        <v>0</v>
      </c>
      <c r="AE31" s="590">
        <f>GSh!BL31</f>
        <v>0</v>
      </c>
      <c r="AF31" s="593">
        <f t="shared" si="11"/>
        <v>0</v>
      </c>
      <c r="AG31" s="584"/>
      <c r="AH31" s="587"/>
      <c r="AI31" s="527"/>
      <c r="AJ31" s="528">
        <f>GSh!BE31</f>
        <v>0</v>
      </c>
      <c r="AK31" s="520">
        <f>GSh!BF31</f>
        <v>0</v>
      </c>
      <c r="AL31" s="532"/>
      <c r="AM31" s="769">
        <f>GSh!BH31</f>
        <v>0</v>
      </c>
      <c r="AN31" s="520">
        <f>GSh!BI31</f>
        <v>0</v>
      </c>
      <c r="AO31" s="610">
        <f t="shared" ca="1" si="14"/>
        <v>0</v>
      </c>
      <c r="AP31" s="611">
        <f t="shared" ca="1" si="15"/>
        <v>0</v>
      </c>
      <c r="AQ31" s="611">
        <f t="shared" ca="1" si="16"/>
        <v>0</v>
      </c>
      <c r="AR31" s="611">
        <f t="shared" ca="1" si="17"/>
        <v>0</v>
      </c>
      <c r="AS31" s="611">
        <f t="shared" ca="1" si="18"/>
        <v>0</v>
      </c>
      <c r="AT31" s="611">
        <f t="shared" ca="1" si="19"/>
        <v>0</v>
      </c>
      <c r="AU31" s="621">
        <f t="shared" ca="1" si="20"/>
        <v>0</v>
      </c>
      <c r="AV31" s="623">
        <f t="shared" ca="1" si="21"/>
        <v>0</v>
      </c>
      <c r="AW31" s="611">
        <f t="shared" ca="1" si="22"/>
        <v>0</v>
      </c>
      <c r="AX31" s="1073">
        <f t="shared" ca="1" si="23"/>
        <v>0</v>
      </c>
      <c r="AY31" s="1071">
        <f t="shared" ca="1" si="24"/>
        <v>0</v>
      </c>
      <c r="AZ31" s="611">
        <f t="shared" ca="1" si="25"/>
        <v>0</v>
      </c>
      <c r="BA31" s="611">
        <f t="shared" ca="1" si="26"/>
        <v>0</v>
      </c>
      <c r="BB31" s="612">
        <f t="shared" ca="1" si="27"/>
        <v>0</v>
      </c>
      <c r="BC31" s="617">
        <f t="shared" si="28"/>
        <v>0</v>
      </c>
      <c r="BD31" s="619">
        <f t="shared" si="29"/>
        <v>0</v>
      </c>
      <c r="BE31" s="346">
        <f>GSh!CN31</f>
        <v>0</v>
      </c>
      <c r="BF31" s="210"/>
      <c r="BG31" s="208">
        <f>GSh!BT31</f>
        <v>0</v>
      </c>
      <c r="BH31" s="209">
        <f>GSh!BU31</f>
        <v>0</v>
      </c>
      <c r="BI31" s="199">
        <f>GSh!AF31</f>
        <v>0</v>
      </c>
      <c r="BJ31" s="199">
        <f>GSh!AG31</f>
        <v>0</v>
      </c>
      <c r="BK31" s="199">
        <f>GSh!AK31</f>
        <v>0</v>
      </c>
      <c r="BL31" s="199">
        <f>GSh!AL31</f>
        <v>0</v>
      </c>
    </row>
    <row r="32" spans="1:64" ht="15.75" customHeight="1" x14ac:dyDescent="0.3">
      <c r="A32" s="266">
        <f t="shared" si="30"/>
        <v>44</v>
      </c>
      <c r="B32" s="267">
        <f>GSh!AN32</f>
        <v>0</v>
      </c>
      <c r="C32" s="263"/>
      <c r="D32" s="263"/>
      <c r="E32" s="772">
        <f>GSh!AR32</f>
        <v>0</v>
      </c>
      <c r="F32" s="338"/>
      <c r="G32" s="505">
        <f>SUMIF(PROD!$BF$5:$BF$725,A32,PROD!$L$5:$L$725)</f>
        <v>0</v>
      </c>
      <c r="H32" s="503"/>
      <c r="I32" s="774">
        <f>GSh!AE32</f>
        <v>0</v>
      </c>
      <c r="J32" s="602">
        <f>GSh!AH32</f>
        <v>0</v>
      </c>
      <c r="K32" s="604"/>
      <c r="L32" s="776">
        <f>GSh!AJ32</f>
        <v>0</v>
      </c>
      <c r="M32" s="340">
        <f>GSh!AM32</f>
        <v>0</v>
      </c>
      <c r="N32" s="501">
        <f t="shared" si="5"/>
        <v>0</v>
      </c>
      <c r="O32" s="336"/>
      <c r="P32" s="776">
        <f>GSh!AU32</f>
        <v>0</v>
      </c>
      <c r="Q32" s="557">
        <f>GSh!AV32</f>
        <v>0</v>
      </c>
      <c r="R32" s="559"/>
      <c r="S32" s="1197"/>
      <c r="T32" s="344"/>
      <c r="U32" s="778">
        <f>GSh!BN32</f>
        <v>0</v>
      </c>
      <c r="V32" s="343">
        <f>GSh!BO32</f>
        <v>0</v>
      </c>
      <c r="W32" s="344"/>
      <c r="X32" s="778">
        <f>GSh!BQ32</f>
        <v>0</v>
      </c>
      <c r="Y32" s="343">
        <f>GSh!BR32</f>
        <v>0</v>
      </c>
      <c r="Z32" s="578">
        <f>LOOKUP($A32,PROD!$A$5:$A$725,PROD!$BE$5:$BE$725)</f>
        <v>0</v>
      </c>
      <c r="AA32" s="780">
        <f>GSh!AZ32</f>
        <v>0</v>
      </c>
      <c r="AB32" s="523">
        <f>GSh!BA32</f>
        <v>0</v>
      </c>
      <c r="AC32" s="580"/>
      <c r="AD32" s="783">
        <f>GSh!BK32/10</f>
        <v>0</v>
      </c>
      <c r="AE32" s="590">
        <f>GSh!BL32</f>
        <v>0</v>
      </c>
      <c r="AF32" s="593">
        <f t="shared" si="11"/>
        <v>0</v>
      </c>
      <c r="AG32" s="584"/>
      <c r="AH32" s="587"/>
      <c r="AI32" s="527"/>
      <c r="AJ32" s="528">
        <f>GSh!BE32</f>
        <v>0</v>
      </c>
      <c r="AK32" s="520">
        <f>GSh!BF32</f>
        <v>0</v>
      </c>
      <c r="AL32" s="532"/>
      <c r="AM32" s="769">
        <f>GSh!BH32</f>
        <v>0</v>
      </c>
      <c r="AN32" s="520">
        <f>GSh!BI32</f>
        <v>0</v>
      </c>
      <c r="AO32" s="610">
        <f t="shared" ca="1" si="14"/>
        <v>0</v>
      </c>
      <c r="AP32" s="611">
        <f t="shared" ca="1" si="15"/>
        <v>0</v>
      </c>
      <c r="AQ32" s="611">
        <f t="shared" ca="1" si="16"/>
        <v>0</v>
      </c>
      <c r="AR32" s="611">
        <f t="shared" ca="1" si="17"/>
        <v>0</v>
      </c>
      <c r="AS32" s="611">
        <f t="shared" ca="1" si="18"/>
        <v>0</v>
      </c>
      <c r="AT32" s="611">
        <f t="shared" ca="1" si="19"/>
        <v>0</v>
      </c>
      <c r="AU32" s="621">
        <f t="shared" ca="1" si="20"/>
        <v>0</v>
      </c>
      <c r="AV32" s="623">
        <f t="shared" ca="1" si="21"/>
        <v>0</v>
      </c>
      <c r="AW32" s="611">
        <f t="shared" ca="1" si="22"/>
        <v>0</v>
      </c>
      <c r="AX32" s="1073">
        <f t="shared" ca="1" si="23"/>
        <v>0</v>
      </c>
      <c r="AY32" s="1071">
        <f t="shared" ca="1" si="24"/>
        <v>0</v>
      </c>
      <c r="AZ32" s="611">
        <f t="shared" ca="1" si="25"/>
        <v>0</v>
      </c>
      <c r="BA32" s="611">
        <f t="shared" ca="1" si="26"/>
        <v>0</v>
      </c>
      <c r="BB32" s="612">
        <f t="shared" ca="1" si="27"/>
        <v>0</v>
      </c>
      <c r="BC32" s="617">
        <f t="shared" si="28"/>
        <v>0</v>
      </c>
      <c r="BD32" s="619">
        <f t="shared" si="29"/>
        <v>0</v>
      </c>
      <c r="BE32" s="346">
        <f>GSh!CN32</f>
        <v>0</v>
      </c>
      <c r="BF32" s="210"/>
      <c r="BG32" s="208">
        <f>GSh!BT32</f>
        <v>0</v>
      </c>
      <c r="BH32" s="209">
        <f>GSh!BU32</f>
        <v>0</v>
      </c>
      <c r="BI32" s="199">
        <f>GSh!AF32</f>
        <v>0</v>
      </c>
      <c r="BJ32" s="199">
        <f>GSh!AG32</f>
        <v>0</v>
      </c>
      <c r="BK32" s="199">
        <f>GSh!AK32</f>
        <v>0</v>
      </c>
      <c r="BL32" s="199">
        <f>GSh!AL32</f>
        <v>0</v>
      </c>
    </row>
    <row r="33" spans="1:64" ht="15.75" customHeight="1" x14ac:dyDescent="0.3">
      <c r="A33" s="266">
        <f t="shared" si="30"/>
        <v>45</v>
      </c>
      <c r="B33" s="267">
        <f>GSh!AN33</f>
        <v>0</v>
      </c>
      <c r="C33" s="263"/>
      <c r="D33" s="263"/>
      <c r="E33" s="772">
        <f>GSh!AR33</f>
        <v>0</v>
      </c>
      <c r="F33" s="338"/>
      <c r="G33" s="505">
        <f>SUMIF(PROD!$BF$5:$BF$725,A33,PROD!$L$5:$L$725)</f>
        <v>0</v>
      </c>
      <c r="H33" s="503"/>
      <c r="I33" s="774">
        <f>GSh!AE33</f>
        <v>0</v>
      </c>
      <c r="J33" s="602">
        <f>GSh!AH33</f>
        <v>0</v>
      </c>
      <c r="K33" s="604"/>
      <c r="L33" s="776">
        <f>GSh!AJ33</f>
        <v>0</v>
      </c>
      <c r="M33" s="340">
        <f>GSh!AM33</f>
        <v>0</v>
      </c>
      <c r="N33" s="501">
        <f t="shared" si="5"/>
        <v>0</v>
      </c>
      <c r="O33" s="336"/>
      <c r="P33" s="776">
        <f>GSh!AU33</f>
        <v>0</v>
      </c>
      <c r="Q33" s="557">
        <f>GSh!AV33</f>
        <v>0</v>
      </c>
      <c r="R33" s="559"/>
      <c r="S33" s="1197"/>
      <c r="T33" s="344"/>
      <c r="U33" s="778">
        <f>GSh!BN33</f>
        <v>0</v>
      </c>
      <c r="V33" s="343">
        <f>GSh!BO33</f>
        <v>0</v>
      </c>
      <c r="W33" s="344"/>
      <c r="X33" s="778">
        <f>GSh!BQ33</f>
        <v>0</v>
      </c>
      <c r="Y33" s="343">
        <f>GSh!BR33</f>
        <v>0</v>
      </c>
      <c r="Z33" s="578">
        <f>LOOKUP($A33,PROD!$A$5:$A$725,PROD!$BE$5:$BE$725)</f>
        <v>0</v>
      </c>
      <c r="AA33" s="780">
        <f>GSh!AZ33</f>
        <v>0</v>
      </c>
      <c r="AB33" s="523">
        <f>GSh!BA33</f>
        <v>0</v>
      </c>
      <c r="AC33" s="580"/>
      <c r="AD33" s="783">
        <f>GSh!BK33/10</f>
        <v>0</v>
      </c>
      <c r="AE33" s="590">
        <f>GSh!BL33</f>
        <v>0</v>
      </c>
      <c r="AF33" s="593">
        <f t="shared" si="11"/>
        <v>0</v>
      </c>
      <c r="AG33" s="584"/>
      <c r="AH33" s="587"/>
      <c r="AI33" s="527"/>
      <c r="AJ33" s="528">
        <f>GSh!BE33</f>
        <v>0</v>
      </c>
      <c r="AK33" s="520">
        <f>GSh!BF33</f>
        <v>0</v>
      </c>
      <c r="AL33" s="532"/>
      <c r="AM33" s="769">
        <f>GSh!BH33</f>
        <v>0</v>
      </c>
      <c r="AN33" s="520">
        <f>GSh!BI33</f>
        <v>0</v>
      </c>
      <c r="AO33" s="610">
        <f t="shared" ca="1" si="14"/>
        <v>0</v>
      </c>
      <c r="AP33" s="611">
        <f t="shared" ca="1" si="15"/>
        <v>0</v>
      </c>
      <c r="AQ33" s="611">
        <f t="shared" ca="1" si="16"/>
        <v>0</v>
      </c>
      <c r="AR33" s="611">
        <f t="shared" ca="1" si="17"/>
        <v>0</v>
      </c>
      <c r="AS33" s="611">
        <f t="shared" ca="1" si="18"/>
        <v>0</v>
      </c>
      <c r="AT33" s="611">
        <f t="shared" ca="1" si="19"/>
        <v>0</v>
      </c>
      <c r="AU33" s="621">
        <f t="shared" ca="1" si="20"/>
        <v>0</v>
      </c>
      <c r="AV33" s="623">
        <f t="shared" ca="1" si="21"/>
        <v>0</v>
      </c>
      <c r="AW33" s="611">
        <f t="shared" ca="1" si="22"/>
        <v>0</v>
      </c>
      <c r="AX33" s="1073">
        <f t="shared" ca="1" si="23"/>
        <v>0</v>
      </c>
      <c r="AY33" s="1071">
        <f t="shared" ca="1" si="24"/>
        <v>0</v>
      </c>
      <c r="AZ33" s="611">
        <f t="shared" ca="1" si="25"/>
        <v>0</v>
      </c>
      <c r="BA33" s="611">
        <f t="shared" ca="1" si="26"/>
        <v>0</v>
      </c>
      <c r="BB33" s="612">
        <f t="shared" ca="1" si="27"/>
        <v>0</v>
      </c>
      <c r="BC33" s="617">
        <f t="shared" si="28"/>
        <v>0</v>
      </c>
      <c r="BD33" s="619">
        <f t="shared" si="29"/>
        <v>0</v>
      </c>
      <c r="BE33" s="346">
        <f>GSh!CN33</f>
        <v>0</v>
      </c>
      <c r="BF33" s="210"/>
      <c r="BG33" s="208">
        <f>GSh!BT33</f>
        <v>0</v>
      </c>
      <c r="BH33" s="209">
        <f>GSh!BU33</f>
        <v>0</v>
      </c>
      <c r="BI33" s="199">
        <f>GSh!AF33</f>
        <v>0</v>
      </c>
      <c r="BJ33" s="199">
        <f>GSh!AG33</f>
        <v>0</v>
      </c>
      <c r="BK33" s="199">
        <f>GSh!AK33</f>
        <v>0</v>
      </c>
      <c r="BL33" s="199">
        <f>GSh!AL33</f>
        <v>0</v>
      </c>
    </row>
    <row r="34" spans="1:64" ht="15.75" customHeight="1" x14ac:dyDescent="0.3">
      <c r="A34" s="266">
        <f t="shared" si="30"/>
        <v>46</v>
      </c>
      <c r="B34" s="267">
        <f>GSh!AN34</f>
        <v>0</v>
      </c>
      <c r="C34" s="263"/>
      <c r="D34" s="263"/>
      <c r="E34" s="772">
        <f>GSh!AR34</f>
        <v>0</v>
      </c>
      <c r="F34" s="338"/>
      <c r="G34" s="505">
        <f>SUMIF(PROD!$BF$5:$BF$725,A34,PROD!$L$5:$L$725)</f>
        <v>0</v>
      </c>
      <c r="H34" s="503"/>
      <c r="I34" s="774">
        <f>GSh!AE34</f>
        <v>0</v>
      </c>
      <c r="J34" s="602">
        <f>GSh!AH34</f>
        <v>0</v>
      </c>
      <c r="K34" s="604"/>
      <c r="L34" s="776">
        <f>GSh!AJ34</f>
        <v>0</v>
      </c>
      <c r="M34" s="340">
        <f>GSh!AM34</f>
        <v>0</v>
      </c>
      <c r="N34" s="501">
        <f t="shared" si="5"/>
        <v>0</v>
      </c>
      <c r="O34" s="336"/>
      <c r="P34" s="776">
        <f>GSh!AU34</f>
        <v>0</v>
      </c>
      <c r="Q34" s="557">
        <f>GSh!AV34</f>
        <v>0</v>
      </c>
      <c r="R34" s="559"/>
      <c r="S34" s="1197"/>
      <c r="T34" s="344"/>
      <c r="U34" s="778">
        <f>GSh!BN34</f>
        <v>0</v>
      </c>
      <c r="V34" s="343">
        <f>GSh!BO34</f>
        <v>0</v>
      </c>
      <c r="W34" s="344"/>
      <c r="X34" s="778">
        <f>GSh!BQ34</f>
        <v>0</v>
      </c>
      <c r="Y34" s="343">
        <f>GSh!BR34</f>
        <v>0</v>
      </c>
      <c r="Z34" s="578">
        <f>LOOKUP($A34,PROD!$A$5:$A$725,PROD!$BE$5:$BE$725)</f>
        <v>0</v>
      </c>
      <c r="AA34" s="780">
        <f>GSh!AZ34</f>
        <v>0</v>
      </c>
      <c r="AB34" s="523">
        <f>GSh!BA34</f>
        <v>0</v>
      </c>
      <c r="AC34" s="580"/>
      <c r="AD34" s="783">
        <f>GSh!BK34/10</f>
        <v>0</v>
      </c>
      <c r="AE34" s="590">
        <f>GSh!BL34</f>
        <v>0</v>
      </c>
      <c r="AF34" s="593">
        <f t="shared" si="11"/>
        <v>0</v>
      </c>
      <c r="AG34" s="584"/>
      <c r="AH34" s="587"/>
      <c r="AI34" s="527"/>
      <c r="AJ34" s="528">
        <f>GSh!BE34</f>
        <v>0</v>
      </c>
      <c r="AK34" s="520">
        <f>GSh!BF34</f>
        <v>0</v>
      </c>
      <c r="AL34" s="532"/>
      <c r="AM34" s="769">
        <f>GSh!BH34</f>
        <v>0</v>
      </c>
      <c r="AN34" s="520">
        <f>GSh!BI34</f>
        <v>0</v>
      </c>
      <c r="AO34" s="610">
        <f t="shared" ca="1" si="14"/>
        <v>0</v>
      </c>
      <c r="AP34" s="611">
        <f t="shared" ca="1" si="15"/>
        <v>0</v>
      </c>
      <c r="AQ34" s="611">
        <f t="shared" ca="1" si="16"/>
        <v>0</v>
      </c>
      <c r="AR34" s="611">
        <f t="shared" ca="1" si="17"/>
        <v>0</v>
      </c>
      <c r="AS34" s="611">
        <f t="shared" ca="1" si="18"/>
        <v>0</v>
      </c>
      <c r="AT34" s="611">
        <f t="shared" ca="1" si="19"/>
        <v>0</v>
      </c>
      <c r="AU34" s="621">
        <f t="shared" ca="1" si="20"/>
        <v>0</v>
      </c>
      <c r="AV34" s="623">
        <f t="shared" ca="1" si="21"/>
        <v>0</v>
      </c>
      <c r="AW34" s="611">
        <f t="shared" ca="1" si="22"/>
        <v>0</v>
      </c>
      <c r="AX34" s="1073">
        <f t="shared" ca="1" si="23"/>
        <v>0</v>
      </c>
      <c r="AY34" s="1071">
        <f t="shared" ca="1" si="24"/>
        <v>0</v>
      </c>
      <c r="AZ34" s="611">
        <f t="shared" ca="1" si="25"/>
        <v>0</v>
      </c>
      <c r="BA34" s="611">
        <f t="shared" ca="1" si="26"/>
        <v>0</v>
      </c>
      <c r="BB34" s="612">
        <f t="shared" ca="1" si="27"/>
        <v>0</v>
      </c>
      <c r="BC34" s="617">
        <f t="shared" si="28"/>
        <v>0</v>
      </c>
      <c r="BD34" s="619">
        <f t="shared" si="29"/>
        <v>0</v>
      </c>
      <c r="BE34" s="346">
        <f>GSh!CN34</f>
        <v>0</v>
      </c>
      <c r="BF34" s="210"/>
      <c r="BG34" s="208">
        <f>GSh!BT34</f>
        <v>0</v>
      </c>
      <c r="BH34" s="209">
        <f>GSh!BU34</f>
        <v>0</v>
      </c>
      <c r="BI34" s="199">
        <f>GSh!AF34</f>
        <v>0</v>
      </c>
      <c r="BJ34" s="199">
        <f>GSh!AG34</f>
        <v>0</v>
      </c>
      <c r="BK34" s="199">
        <f>GSh!AK34</f>
        <v>0</v>
      </c>
      <c r="BL34" s="199">
        <f>GSh!AL34</f>
        <v>0</v>
      </c>
    </row>
    <row r="35" spans="1:64" ht="15.75" customHeight="1" x14ac:dyDescent="0.3">
      <c r="A35" s="266">
        <f t="shared" si="30"/>
        <v>47</v>
      </c>
      <c r="B35" s="267">
        <f>GSh!AN35</f>
        <v>0</v>
      </c>
      <c r="C35" s="263"/>
      <c r="D35" s="263"/>
      <c r="E35" s="772">
        <f>GSh!AR35</f>
        <v>0</v>
      </c>
      <c r="F35" s="338"/>
      <c r="G35" s="505">
        <f>SUMIF(PROD!$BF$5:$BF$725,A35,PROD!$L$5:$L$725)</f>
        <v>0</v>
      </c>
      <c r="H35" s="503"/>
      <c r="I35" s="774">
        <f>GSh!AE35</f>
        <v>0</v>
      </c>
      <c r="J35" s="602">
        <f>GSh!AH35</f>
        <v>0</v>
      </c>
      <c r="K35" s="604"/>
      <c r="L35" s="776">
        <f>GSh!AJ35</f>
        <v>0</v>
      </c>
      <c r="M35" s="340">
        <f>GSh!AM35</f>
        <v>0</v>
      </c>
      <c r="N35" s="501">
        <f t="shared" si="5"/>
        <v>0</v>
      </c>
      <c r="O35" s="336"/>
      <c r="P35" s="776">
        <f>GSh!AU35</f>
        <v>0</v>
      </c>
      <c r="Q35" s="557">
        <f>GSh!AV35</f>
        <v>0</v>
      </c>
      <c r="R35" s="559"/>
      <c r="S35" s="1197"/>
      <c r="T35" s="344"/>
      <c r="U35" s="778">
        <f>GSh!BN35</f>
        <v>0</v>
      </c>
      <c r="V35" s="343">
        <f>GSh!BO35</f>
        <v>0</v>
      </c>
      <c r="W35" s="344"/>
      <c r="X35" s="778">
        <f>GSh!BQ35</f>
        <v>0</v>
      </c>
      <c r="Y35" s="343">
        <f>GSh!BR35</f>
        <v>0</v>
      </c>
      <c r="Z35" s="578">
        <f>LOOKUP($A35,PROD!$A$5:$A$725,PROD!$BE$5:$BE$725)</f>
        <v>0</v>
      </c>
      <c r="AA35" s="780">
        <f>GSh!AZ35</f>
        <v>0</v>
      </c>
      <c r="AB35" s="523">
        <f>GSh!BA35</f>
        <v>0</v>
      </c>
      <c r="AC35" s="580"/>
      <c r="AD35" s="783">
        <f>GSh!BK35/10</f>
        <v>0</v>
      </c>
      <c r="AE35" s="590">
        <f>GSh!BL35</f>
        <v>0</v>
      </c>
      <c r="AF35" s="593">
        <f t="shared" si="11"/>
        <v>0</v>
      </c>
      <c r="AG35" s="584"/>
      <c r="AH35" s="587"/>
      <c r="AI35" s="527"/>
      <c r="AJ35" s="528">
        <f>GSh!BE35</f>
        <v>0</v>
      </c>
      <c r="AK35" s="520">
        <f>GSh!BF35</f>
        <v>0</v>
      </c>
      <c r="AL35" s="532"/>
      <c r="AM35" s="769">
        <f>GSh!BH35</f>
        <v>0</v>
      </c>
      <c r="AN35" s="520">
        <f>GSh!BI35</f>
        <v>0</v>
      </c>
      <c r="AO35" s="610">
        <f t="shared" ca="1" si="14"/>
        <v>0</v>
      </c>
      <c r="AP35" s="611">
        <f t="shared" ca="1" si="15"/>
        <v>0</v>
      </c>
      <c r="AQ35" s="611">
        <f t="shared" ca="1" si="16"/>
        <v>0</v>
      </c>
      <c r="AR35" s="611">
        <f t="shared" ca="1" si="17"/>
        <v>0</v>
      </c>
      <c r="AS35" s="611">
        <f t="shared" ca="1" si="18"/>
        <v>0</v>
      </c>
      <c r="AT35" s="611">
        <f t="shared" ca="1" si="19"/>
        <v>0</v>
      </c>
      <c r="AU35" s="621">
        <f t="shared" ca="1" si="20"/>
        <v>0</v>
      </c>
      <c r="AV35" s="623">
        <f t="shared" ca="1" si="21"/>
        <v>0</v>
      </c>
      <c r="AW35" s="611">
        <f t="shared" ca="1" si="22"/>
        <v>0</v>
      </c>
      <c r="AX35" s="1073">
        <f t="shared" ca="1" si="23"/>
        <v>0</v>
      </c>
      <c r="AY35" s="1071">
        <f t="shared" ca="1" si="24"/>
        <v>0</v>
      </c>
      <c r="AZ35" s="611">
        <f t="shared" ca="1" si="25"/>
        <v>0</v>
      </c>
      <c r="BA35" s="611">
        <f t="shared" ca="1" si="26"/>
        <v>0</v>
      </c>
      <c r="BB35" s="612">
        <f t="shared" ca="1" si="27"/>
        <v>0</v>
      </c>
      <c r="BC35" s="617">
        <f t="shared" si="28"/>
        <v>0</v>
      </c>
      <c r="BD35" s="619">
        <f t="shared" si="29"/>
        <v>0</v>
      </c>
      <c r="BE35" s="346">
        <f>GSh!CN35</f>
        <v>0</v>
      </c>
      <c r="BF35" s="210"/>
      <c r="BG35" s="208">
        <f>GSh!BT35</f>
        <v>0</v>
      </c>
      <c r="BH35" s="209">
        <f>GSh!BU35</f>
        <v>0</v>
      </c>
      <c r="BI35" s="199">
        <f>GSh!AF35</f>
        <v>0</v>
      </c>
      <c r="BJ35" s="199">
        <f>GSh!AG35</f>
        <v>0</v>
      </c>
      <c r="BK35" s="199">
        <f>GSh!AK35</f>
        <v>0</v>
      </c>
      <c r="BL35" s="199">
        <f>GSh!AL35</f>
        <v>0</v>
      </c>
    </row>
    <row r="36" spans="1:64" ht="15.75" customHeight="1" x14ac:dyDescent="0.3">
      <c r="A36" s="266">
        <f t="shared" si="30"/>
        <v>48</v>
      </c>
      <c r="B36" s="267">
        <f>GSh!AN36</f>
        <v>0</v>
      </c>
      <c r="C36" s="263"/>
      <c r="D36" s="263"/>
      <c r="E36" s="772">
        <f>GSh!AR36</f>
        <v>0</v>
      </c>
      <c r="F36" s="338"/>
      <c r="G36" s="505">
        <f>SUMIF(PROD!$BF$5:$BF$725,A36,PROD!$L$5:$L$725)</f>
        <v>0</v>
      </c>
      <c r="H36" s="503"/>
      <c r="I36" s="774">
        <f>GSh!AE36</f>
        <v>0</v>
      </c>
      <c r="J36" s="602">
        <f>GSh!AH36</f>
        <v>0</v>
      </c>
      <c r="K36" s="604"/>
      <c r="L36" s="776">
        <f>GSh!AJ36</f>
        <v>0</v>
      </c>
      <c r="M36" s="340">
        <f>GSh!AM36</f>
        <v>0</v>
      </c>
      <c r="N36" s="501">
        <f t="shared" si="5"/>
        <v>0</v>
      </c>
      <c r="O36" s="336"/>
      <c r="P36" s="776">
        <f>GSh!AU36</f>
        <v>0</v>
      </c>
      <c r="Q36" s="557">
        <f>GSh!AV36</f>
        <v>0</v>
      </c>
      <c r="R36" s="559"/>
      <c r="S36" s="1197"/>
      <c r="T36" s="344"/>
      <c r="U36" s="778">
        <f>GSh!BN36</f>
        <v>0</v>
      </c>
      <c r="V36" s="343">
        <f>GSh!BO36</f>
        <v>0</v>
      </c>
      <c r="W36" s="344"/>
      <c r="X36" s="778">
        <f>GSh!BQ36</f>
        <v>0</v>
      </c>
      <c r="Y36" s="343">
        <f>GSh!BR36</f>
        <v>0</v>
      </c>
      <c r="Z36" s="578">
        <f>LOOKUP($A36,PROD!$A$5:$A$725,PROD!$BE$5:$BE$725)</f>
        <v>0</v>
      </c>
      <c r="AA36" s="780">
        <f>GSh!AZ36</f>
        <v>0</v>
      </c>
      <c r="AB36" s="523">
        <f>GSh!BA36</f>
        <v>0</v>
      </c>
      <c r="AC36" s="580"/>
      <c r="AD36" s="783">
        <f>GSh!BK36/10</f>
        <v>0</v>
      </c>
      <c r="AE36" s="590">
        <f>GSh!BL36</f>
        <v>0</v>
      </c>
      <c r="AF36" s="593">
        <f t="shared" si="11"/>
        <v>0</v>
      </c>
      <c r="AG36" s="584"/>
      <c r="AH36" s="587"/>
      <c r="AI36" s="527"/>
      <c r="AJ36" s="528">
        <f>GSh!BE36</f>
        <v>0</v>
      </c>
      <c r="AK36" s="520">
        <f>GSh!BF36</f>
        <v>0</v>
      </c>
      <c r="AL36" s="532"/>
      <c r="AM36" s="769">
        <f>GSh!BH36</f>
        <v>0</v>
      </c>
      <c r="AN36" s="520">
        <f>GSh!BI36</f>
        <v>0</v>
      </c>
      <c r="AO36" s="610">
        <f t="shared" ca="1" si="14"/>
        <v>0</v>
      </c>
      <c r="AP36" s="611">
        <f t="shared" ca="1" si="15"/>
        <v>0</v>
      </c>
      <c r="AQ36" s="611">
        <f t="shared" ca="1" si="16"/>
        <v>0</v>
      </c>
      <c r="AR36" s="611">
        <f t="shared" ca="1" si="17"/>
        <v>0</v>
      </c>
      <c r="AS36" s="611">
        <f t="shared" ca="1" si="18"/>
        <v>0</v>
      </c>
      <c r="AT36" s="611">
        <f t="shared" ca="1" si="19"/>
        <v>0</v>
      </c>
      <c r="AU36" s="621">
        <f t="shared" ca="1" si="20"/>
        <v>0</v>
      </c>
      <c r="AV36" s="623">
        <f t="shared" ca="1" si="21"/>
        <v>0</v>
      </c>
      <c r="AW36" s="611">
        <f t="shared" ca="1" si="22"/>
        <v>0</v>
      </c>
      <c r="AX36" s="1073">
        <f t="shared" ca="1" si="23"/>
        <v>0</v>
      </c>
      <c r="AY36" s="1071">
        <f t="shared" ca="1" si="24"/>
        <v>0</v>
      </c>
      <c r="AZ36" s="611">
        <f t="shared" ca="1" si="25"/>
        <v>0</v>
      </c>
      <c r="BA36" s="611">
        <f t="shared" ca="1" si="26"/>
        <v>0</v>
      </c>
      <c r="BB36" s="612">
        <f t="shared" ca="1" si="27"/>
        <v>0</v>
      </c>
      <c r="BC36" s="617">
        <f t="shared" si="28"/>
        <v>0</v>
      </c>
      <c r="BD36" s="619">
        <f t="shared" si="29"/>
        <v>0</v>
      </c>
      <c r="BE36" s="346">
        <f>GSh!CN36</f>
        <v>0</v>
      </c>
      <c r="BF36" s="210"/>
      <c r="BG36" s="208">
        <f>GSh!BT36</f>
        <v>0</v>
      </c>
      <c r="BH36" s="209">
        <f>GSh!BU36</f>
        <v>0</v>
      </c>
      <c r="BI36" s="199">
        <f>GSh!AF36</f>
        <v>0</v>
      </c>
      <c r="BJ36" s="199">
        <f>GSh!AG36</f>
        <v>0</v>
      </c>
      <c r="BK36" s="199">
        <f>GSh!AK36</f>
        <v>0</v>
      </c>
      <c r="BL36" s="199">
        <f>GSh!AL36</f>
        <v>0</v>
      </c>
    </row>
    <row r="37" spans="1:64" ht="15.75" customHeight="1" x14ac:dyDescent="0.3">
      <c r="A37" s="266">
        <f t="shared" si="30"/>
        <v>49</v>
      </c>
      <c r="B37" s="267">
        <f>GSh!AN37</f>
        <v>0</v>
      </c>
      <c r="C37" s="263"/>
      <c r="D37" s="263"/>
      <c r="E37" s="772">
        <f>GSh!AR37</f>
        <v>0</v>
      </c>
      <c r="F37" s="338"/>
      <c r="G37" s="505">
        <f>SUMIF(PROD!$BF$5:$BF$725,A37,PROD!$L$5:$L$725)</f>
        <v>0</v>
      </c>
      <c r="H37" s="503"/>
      <c r="I37" s="774">
        <f>GSh!AE37</f>
        <v>0</v>
      </c>
      <c r="J37" s="602">
        <f>GSh!AH37</f>
        <v>0</v>
      </c>
      <c r="K37" s="604"/>
      <c r="L37" s="776">
        <f>GSh!AJ37</f>
        <v>0</v>
      </c>
      <c r="M37" s="340">
        <f>GSh!AM37</f>
        <v>0</v>
      </c>
      <c r="N37" s="501">
        <f t="shared" si="5"/>
        <v>0</v>
      </c>
      <c r="O37" s="336"/>
      <c r="P37" s="776">
        <f>GSh!AU37</f>
        <v>0</v>
      </c>
      <c r="Q37" s="557">
        <f>GSh!AV37</f>
        <v>0</v>
      </c>
      <c r="R37" s="559"/>
      <c r="S37" s="1197"/>
      <c r="T37" s="344"/>
      <c r="U37" s="778">
        <f>GSh!BN37</f>
        <v>0</v>
      </c>
      <c r="V37" s="343">
        <f>GSh!BO37</f>
        <v>0</v>
      </c>
      <c r="W37" s="344"/>
      <c r="X37" s="778">
        <f>GSh!BQ37</f>
        <v>0</v>
      </c>
      <c r="Y37" s="343">
        <f>GSh!BR37</f>
        <v>0</v>
      </c>
      <c r="Z37" s="578">
        <f>LOOKUP($A37,PROD!$A$5:$A$725,PROD!$BE$5:$BE$725)</f>
        <v>0</v>
      </c>
      <c r="AA37" s="780">
        <f>GSh!AZ37</f>
        <v>0</v>
      </c>
      <c r="AB37" s="523">
        <f>GSh!BA37</f>
        <v>0</v>
      </c>
      <c r="AC37" s="580"/>
      <c r="AD37" s="783">
        <f>GSh!BK37/10</f>
        <v>0</v>
      </c>
      <c r="AE37" s="590">
        <f>GSh!BL37</f>
        <v>0</v>
      </c>
      <c r="AF37" s="593">
        <f t="shared" si="11"/>
        <v>0</v>
      </c>
      <c r="AG37" s="584"/>
      <c r="AH37" s="587"/>
      <c r="AI37" s="527"/>
      <c r="AJ37" s="528">
        <f>GSh!BE37</f>
        <v>0</v>
      </c>
      <c r="AK37" s="520">
        <f>GSh!BF37</f>
        <v>0</v>
      </c>
      <c r="AL37" s="532"/>
      <c r="AM37" s="769">
        <f>GSh!BH37</f>
        <v>0</v>
      </c>
      <c r="AN37" s="520">
        <f>GSh!BI37</f>
        <v>0</v>
      </c>
      <c r="AO37" s="610">
        <f t="shared" ca="1" si="14"/>
        <v>0</v>
      </c>
      <c r="AP37" s="611">
        <f t="shared" ca="1" si="15"/>
        <v>0</v>
      </c>
      <c r="AQ37" s="611">
        <f t="shared" ca="1" si="16"/>
        <v>0</v>
      </c>
      <c r="AR37" s="611">
        <f t="shared" ca="1" si="17"/>
        <v>0</v>
      </c>
      <c r="AS37" s="611">
        <f t="shared" ca="1" si="18"/>
        <v>0</v>
      </c>
      <c r="AT37" s="611">
        <f t="shared" ca="1" si="19"/>
        <v>0</v>
      </c>
      <c r="AU37" s="621">
        <f t="shared" ca="1" si="20"/>
        <v>0</v>
      </c>
      <c r="AV37" s="623">
        <f t="shared" ca="1" si="21"/>
        <v>0</v>
      </c>
      <c r="AW37" s="611">
        <f t="shared" ca="1" si="22"/>
        <v>0</v>
      </c>
      <c r="AX37" s="1073">
        <f t="shared" ca="1" si="23"/>
        <v>0</v>
      </c>
      <c r="AY37" s="1071">
        <f t="shared" ca="1" si="24"/>
        <v>0</v>
      </c>
      <c r="AZ37" s="611">
        <f t="shared" ca="1" si="25"/>
        <v>0</v>
      </c>
      <c r="BA37" s="611">
        <f t="shared" ca="1" si="26"/>
        <v>0</v>
      </c>
      <c r="BB37" s="612">
        <f t="shared" ca="1" si="27"/>
        <v>0</v>
      </c>
      <c r="BC37" s="617">
        <f t="shared" si="28"/>
        <v>0</v>
      </c>
      <c r="BD37" s="619">
        <f t="shared" si="29"/>
        <v>0</v>
      </c>
      <c r="BE37" s="346">
        <f>GSh!CN37</f>
        <v>0</v>
      </c>
      <c r="BF37" s="210"/>
      <c r="BG37" s="208">
        <f>GSh!BT37</f>
        <v>0</v>
      </c>
      <c r="BH37" s="209">
        <f>GSh!BU37</f>
        <v>0</v>
      </c>
      <c r="BI37" s="199">
        <f>GSh!AF37</f>
        <v>0</v>
      </c>
      <c r="BJ37" s="199">
        <f>GSh!AG37</f>
        <v>0</v>
      </c>
      <c r="BK37" s="199">
        <f>GSh!AK37</f>
        <v>0</v>
      </c>
      <c r="BL37" s="199">
        <f>GSh!AL37</f>
        <v>0</v>
      </c>
    </row>
    <row r="38" spans="1:64" ht="15.75" customHeight="1" x14ac:dyDescent="0.3">
      <c r="A38" s="266">
        <f t="shared" ref="A38:A101" si="31">A37+1</f>
        <v>50</v>
      </c>
      <c r="B38" s="267">
        <f>GSh!AN38</f>
        <v>0</v>
      </c>
      <c r="C38" s="263"/>
      <c r="D38" s="263"/>
      <c r="E38" s="772">
        <f>GSh!AR38</f>
        <v>0</v>
      </c>
      <c r="F38" s="338"/>
      <c r="G38" s="505">
        <f>SUMIF(PROD!$BF$5:$BF$725,A38,PROD!$L$5:$L$725)</f>
        <v>0</v>
      </c>
      <c r="H38" s="503"/>
      <c r="I38" s="774">
        <f>GSh!AE38</f>
        <v>0</v>
      </c>
      <c r="J38" s="602">
        <f>GSh!AH38</f>
        <v>0</v>
      </c>
      <c r="K38" s="604"/>
      <c r="L38" s="776">
        <f>GSh!AJ38</f>
        <v>0</v>
      </c>
      <c r="M38" s="340">
        <f>GSh!AM38</f>
        <v>0</v>
      </c>
      <c r="N38" s="501">
        <f t="shared" ref="N38:N69" si="32">KLSEM</f>
        <v>0</v>
      </c>
      <c r="O38" s="336"/>
      <c r="P38" s="776">
        <f>GSh!AU38</f>
        <v>0</v>
      </c>
      <c r="Q38" s="557">
        <f>GSh!AV38</f>
        <v>0</v>
      </c>
      <c r="R38" s="559"/>
      <c r="S38" s="1197"/>
      <c r="T38" s="344"/>
      <c r="U38" s="778">
        <f>GSh!BN38</f>
        <v>0</v>
      </c>
      <c r="V38" s="343">
        <f>GSh!BO38</f>
        <v>0</v>
      </c>
      <c r="W38" s="344"/>
      <c r="X38" s="778">
        <f>GSh!BQ38</f>
        <v>0</v>
      </c>
      <c r="Y38" s="343">
        <f>GSh!BR38</f>
        <v>0</v>
      </c>
      <c r="Z38" s="578">
        <f>LOOKUP($A38,PROD!$A$5:$A$725,PROD!$BE$5:$BE$725)</f>
        <v>0</v>
      </c>
      <c r="AA38" s="780">
        <f>GSh!AZ38</f>
        <v>0</v>
      </c>
      <c r="AB38" s="523">
        <f>GSh!BA38</f>
        <v>0</v>
      </c>
      <c r="AC38" s="580"/>
      <c r="AD38" s="783">
        <f>GSh!BK38/10</f>
        <v>0</v>
      </c>
      <c r="AE38" s="590">
        <f>GSh!BL38</f>
        <v>0</v>
      </c>
      <c r="AF38" s="593">
        <f t="shared" ref="AF38:AF69" si="33">IF(AG38&gt;0,IF(AH38&gt;0,100-SUM(AG38:AH38),0),0)</f>
        <v>0</v>
      </c>
      <c r="AG38" s="584"/>
      <c r="AH38" s="587"/>
      <c r="AI38" s="527"/>
      <c r="AJ38" s="528">
        <f>GSh!BE38</f>
        <v>0</v>
      </c>
      <c r="AK38" s="520">
        <f>GSh!BF38</f>
        <v>0</v>
      </c>
      <c r="AL38" s="532"/>
      <c r="AM38" s="769">
        <f>GSh!BH38</f>
        <v>0</v>
      </c>
      <c r="AN38" s="520">
        <f>GSh!BI38</f>
        <v>0</v>
      </c>
      <c r="AO38" s="610">
        <f t="shared" ref="AO38:AO69" ca="1" si="34">AAAA</f>
        <v>0</v>
      </c>
      <c r="AP38" s="611">
        <f t="shared" ref="AP38:AP69" ca="1" si="35">AAA</f>
        <v>0</v>
      </c>
      <c r="AQ38" s="611">
        <f t="shared" ref="AQ38:AQ69" ca="1" si="36">AA</f>
        <v>0</v>
      </c>
      <c r="AR38" s="611">
        <f t="shared" ref="AR38:AR69" ca="1" si="37">HA</f>
        <v>0</v>
      </c>
      <c r="AS38" s="611">
        <f t="shared" ref="AS38:AS69" ca="1" si="38">HB</f>
        <v>0</v>
      </c>
      <c r="AT38" s="611">
        <f t="shared" ref="AT38:AT69" ca="1" si="39">HC</f>
        <v>0</v>
      </c>
      <c r="AU38" s="621">
        <f t="shared" ref="AU38:AU69" ca="1" si="40">HCG</f>
        <v>0</v>
      </c>
      <c r="AV38" s="623">
        <f t="shared" ref="AV38:AV69" ca="1" si="41">RVG</f>
        <v>0</v>
      </c>
      <c r="AW38" s="611">
        <f t="shared" ref="AW38:AW69" ca="1" si="42">RMD</f>
        <v>0</v>
      </c>
      <c r="AX38" s="1073">
        <f t="shared" ref="AX38:AX69" ca="1" si="43">RVP</f>
        <v>0</v>
      </c>
      <c r="AY38" s="1071">
        <f t="shared" ref="AY38:AY69" ca="1" si="44">COLOR</f>
        <v>0</v>
      </c>
      <c r="AZ38" s="611">
        <f t="shared" ref="AZ38:AZ69" ca="1" si="45">CASC</f>
        <v>0</v>
      </c>
      <c r="BA38" s="611">
        <f t="shared" ref="BA38:BA69" ca="1" si="46">VNC</f>
        <v>0</v>
      </c>
      <c r="BB38" s="612">
        <f t="shared" ref="BB38:BB69" ca="1" si="47">ROTO</f>
        <v>0</v>
      </c>
      <c r="BC38" s="617">
        <f t="shared" ref="BC38:BC69" si="48">COSTO</f>
        <v>0</v>
      </c>
      <c r="BD38" s="619">
        <f t="shared" ref="BD38:BD69" si="49">PVENTAH</f>
        <v>0</v>
      </c>
      <c r="BE38" s="346">
        <f>GSh!CN38</f>
        <v>0</v>
      </c>
      <c r="BF38" s="210"/>
      <c r="BG38" s="208">
        <f>GSh!BT38</f>
        <v>0</v>
      </c>
      <c r="BH38" s="209">
        <f>GSh!BU38</f>
        <v>0</v>
      </c>
      <c r="BI38" s="199">
        <f>GSh!AF38</f>
        <v>0</v>
      </c>
      <c r="BJ38" s="199">
        <f>GSh!AG38</f>
        <v>0</v>
      </c>
      <c r="BK38" s="199">
        <f>GSh!AK38</f>
        <v>0</v>
      </c>
      <c r="BL38" s="199">
        <f>GSh!AL38</f>
        <v>0</v>
      </c>
    </row>
    <row r="39" spans="1:64" ht="15.75" customHeight="1" x14ac:dyDescent="0.3">
      <c r="A39" s="266">
        <f t="shared" si="31"/>
        <v>51</v>
      </c>
      <c r="B39" s="267">
        <f>GSh!AN39</f>
        <v>0</v>
      </c>
      <c r="C39" s="263"/>
      <c r="D39" s="263"/>
      <c r="E39" s="772">
        <f>GSh!AR39</f>
        <v>0</v>
      </c>
      <c r="F39" s="338"/>
      <c r="G39" s="505">
        <f>SUMIF(PROD!$BF$5:$BF$725,A39,PROD!$L$5:$L$725)</f>
        <v>0</v>
      </c>
      <c r="H39" s="503"/>
      <c r="I39" s="774">
        <f>GSh!AE39</f>
        <v>0</v>
      </c>
      <c r="J39" s="602">
        <f>GSh!AH39</f>
        <v>0</v>
      </c>
      <c r="K39" s="604"/>
      <c r="L39" s="776">
        <f>GSh!AJ39</f>
        <v>0</v>
      </c>
      <c r="M39" s="340">
        <f>GSh!AM39</f>
        <v>0</v>
      </c>
      <c r="N39" s="501">
        <f t="shared" si="32"/>
        <v>0</v>
      </c>
      <c r="O39" s="336"/>
      <c r="P39" s="776">
        <f>GSh!AU39</f>
        <v>0</v>
      </c>
      <c r="Q39" s="557">
        <f>GSh!AV39</f>
        <v>0</v>
      </c>
      <c r="R39" s="559"/>
      <c r="S39" s="1197"/>
      <c r="T39" s="344"/>
      <c r="U39" s="778">
        <f>GSh!BN39</f>
        <v>0</v>
      </c>
      <c r="V39" s="343">
        <f>GSh!BO39</f>
        <v>0</v>
      </c>
      <c r="W39" s="344"/>
      <c r="X39" s="778">
        <f>GSh!BQ39</f>
        <v>0</v>
      </c>
      <c r="Y39" s="343">
        <f>GSh!BR39</f>
        <v>0</v>
      </c>
      <c r="Z39" s="578">
        <f>LOOKUP($A39,PROD!$A$5:$A$725,PROD!$BE$5:$BE$725)</f>
        <v>0</v>
      </c>
      <c r="AA39" s="780">
        <f>GSh!AZ39</f>
        <v>0</v>
      </c>
      <c r="AB39" s="523">
        <f>GSh!BA39</f>
        <v>0</v>
      </c>
      <c r="AC39" s="580"/>
      <c r="AD39" s="783">
        <f>GSh!BK39/10</f>
        <v>0</v>
      </c>
      <c r="AE39" s="590">
        <f>GSh!BL39</f>
        <v>0</v>
      </c>
      <c r="AF39" s="593">
        <f t="shared" si="33"/>
        <v>0</v>
      </c>
      <c r="AG39" s="584"/>
      <c r="AH39" s="587"/>
      <c r="AI39" s="527"/>
      <c r="AJ39" s="528">
        <f>GSh!BE39</f>
        <v>0</v>
      </c>
      <c r="AK39" s="520">
        <f>GSh!BF39</f>
        <v>0</v>
      </c>
      <c r="AL39" s="532"/>
      <c r="AM39" s="769">
        <f>GSh!BH39</f>
        <v>0</v>
      </c>
      <c r="AN39" s="520">
        <f>GSh!BI39</f>
        <v>0</v>
      </c>
      <c r="AO39" s="610">
        <f t="shared" ca="1" si="34"/>
        <v>0</v>
      </c>
      <c r="AP39" s="611">
        <f t="shared" ca="1" si="35"/>
        <v>0</v>
      </c>
      <c r="AQ39" s="611">
        <f t="shared" ca="1" si="36"/>
        <v>0</v>
      </c>
      <c r="AR39" s="611">
        <f t="shared" ca="1" si="37"/>
        <v>0</v>
      </c>
      <c r="AS39" s="611">
        <f t="shared" ca="1" si="38"/>
        <v>0</v>
      </c>
      <c r="AT39" s="611">
        <f t="shared" ca="1" si="39"/>
        <v>0</v>
      </c>
      <c r="AU39" s="621">
        <f t="shared" ca="1" si="40"/>
        <v>0</v>
      </c>
      <c r="AV39" s="623">
        <f t="shared" ca="1" si="41"/>
        <v>0</v>
      </c>
      <c r="AW39" s="611">
        <f t="shared" ca="1" si="42"/>
        <v>0</v>
      </c>
      <c r="AX39" s="1073">
        <f t="shared" ca="1" si="43"/>
        <v>0</v>
      </c>
      <c r="AY39" s="1071">
        <f t="shared" ca="1" si="44"/>
        <v>0</v>
      </c>
      <c r="AZ39" s="611">
        <f t="shared" ca="1" si="45"/>
        <v>0</v>
      </c>
      <c r="BA39" s="611">
        <f t="shared" ca="1" si="46"/>
        <v>0</v>
      </c>
      <c r="BB39" s="612">
        <f t="shared" ca="1" si="47"/>
        <v>0</v>
      </c>
      <c r="BC39" s="617">
        <f t="shared" si="48"/>
        <v>0</v>
      </c>
      <c r="BD39" s="619">
        <f t="shared" si="49"/>
        <v>0</v>
      </c>
      <c r="BE39" s="346">
        <f>GSh!CN39</f>
        <v>0</v>
      </c>
      <c r="BF39" s="210"/>
      <c r="BG39" s="208">
        <f>GSh!BT39</f>
        <v>0</v>
      </c>
      <c r="BH39" s="209">
        <f>GSh!BU39</f>
        <v>0</v>
      </c>
      <c r="BI39" s="199">
        <f>GSh!AF39</f>
        <v>0</v>
      </c>
      <c r="BJ39" s="199">
        <f>GSh!AG39</f>
        <v>0</v>
      </c>
      <c r="BK39" s="199">
        <f>GSh!AK39</f>
        <v>0</v>
      </c>
      <c r="BL39" s="199">
        <f>GSh!AL39</f>
        <v>0</v>
      </c>
    </row>
    <row r="40" spans="1:64" ht="15.75" customHeight="1" x14ac:dyDescent="0.3">
      <c r="A40" s="266">
        <f t="shared" si="31"/>
        <v>52</v>
      </c>
      <c r="B40" s="267">
        <f>GSh!AN40</f>
        <v>0</v>
      </c>
      <c r="C40" s="263"/>
      <c r="D40" s="263"/>
      <c r="E40" s="772">
        <f>GSh!AR40</f>
        <v>0</v>
      </c>
      <c r="F40" s="338"/>
      <c r="G40" s="505">
        <f>SUMIF(PROD!$BF$5:$BF$725,A40,PROD!$L$5:$L$725)</f>
        <v>0</v>
      </c>
      <c r="H40" s="503"/>
      <c r="I40" s="774">
        <f>GSh!AE40</f>
        <v>0</v>
      </c>
      <c r="J40" s="602">
        <f>GSh!AH40</f>
        <v>0</v>
      </c>
      <c r="K40" s="604"/>
      <c r="L40" s="776">
        <f>GSh!AJ40</f>
        <v>0</v>
      </c>
      <c r="M40" s="340">
        <f>GSh!AM40</f>
        <v>0</v>
      </c>
      <c r="N40" s="501">
        <f t="shared" si="32"/>
        <v>0</v>
      </c>
      <c r="O40" s="336"/>
      <c r="P40" s="776">
        <f>GSh!AU40</f>
        <v>0</v>
      </c>
      <c r="Q40" s="557">
        <f>GSh!AV40</f>
        <v>0</v>
      </c>
      <c r="R40" s="559"/>
      <c r="S40" s="1197"/>
      <c r="T40" s="344"/>
      <c r="U40" s="778">
        <f>GSh!BN40</f>
        <v>0</v>
      </c>
      <c r="V40" s="343">
        <f>GSh!BO40</f>
        <v>0</v>
      </c>
      <c r="W40" s="344"/>
      <c r="X40" s="778">
        <f>GSh!BQ40</f>
        <v>0</v>
      </c>
      <c r="Y40" s="343">
        <f>GSh!BR40</f>
        <v>0</v>
      </c>
      <c r="Z40" s="578">
        <f>LOOKUP($A40,PROD!$A$5:$A$725,PROD!$BE$5:$BE$725)</f>
        <v>0</v>
      </c>
      <c r="AA40" s="780">
        <f>GSh!AZ40</f>
        <v>0</v>
      </c>
      <c r="AB40" s="523">
        <f>GSh!BA40</f>
        <v>0</v>
      </c>
      <c r="AC40" s="580"/>
      <c r="AD40" s="783">
        <f>GSh!BK40/10</f>
        <v>0</v>
      </c>
      <c r="AE40" s="590">
        <f>GSh!BL40</f>
        <v>0</v>
      </c>
      <c r="AF40" s="593">
        <f t="shared" si="33"/>
        <v>0</v>
      </c>
      <c r="AG40" s="584"/>
      <c r="AH40" s="587"/>
      <c r="AI40" s="527"/>
      <c r="AJ40" s="528">
        <f>GSh!BE40</f>
        <v>0</v>
      </c>
      <c r="AK40" s="520">
        <f>GSh!BF40</f>
        <v>0</v>
      </c>
      <c r="AL40" s="532"/>
      <c r="AM40" s="769">
        <f>GSh!BH40</f>
        <v>0</v>
      </c>
      <c r="AN40" s="520">
        <f>GSh!BI40</f>
        <v>0</v>
      </c>
      <c r="AO40" s="610">
        <f t="shared" ca="1" si="34"/>
        <v>0</v>
      </c>
      <c r="AP40" s="611">
        <f t="shared" ca="1" si="35"/>
        <v>0</v>
      </c>
      <c r="AQ40" s="611">
        <f t="shared" ca="1" si="36"/>
        <v>0</v>
      </c>
      <c r="AR40" s="611">
        <f t="shared" ca="1" si="37"/>
        <v>0</v>
      </c>
      <c r="AS40" s="611">
        <f t="shared" ca="1" si="38"/>
        <v>0</v>
      </c>
      <c r="AT40" s="611">
        <f t="shared" ca="1" si="39"/>
        <v>0</v>
      </c>
      <c r="AU40" s="621">
        <f t="shared" ca="1" si="40"/>
        <v>0</v>
      </c>
      <c r="AV40" s="623">
        <f t="shared" ca="1" si="41"/>
        <v>0</v>
      </c>
      <c r="AW40" s="611">
        <f t="shared" ca="1" si="42"/>
        <v>0</v>
      </c>
      <c r="AX40" s="1073">
        <f t="shared" ca="1" si="43"/>
        <v>0</v>
      </c>
      <c r="AY40" s="1071">
        <f t="shared" ca="1" si="44"/>
        <v>0</v>
      </c>
      <c r="AZ40" s="611">
        <f t="shared" ca="1" si="45"/>
        <v>0</v>
      </c>
      <c r="BA40" s="611">
        <f t="shared" ca="1" si="46"/>
        <v>0</v>
      </c>
      <c r="BB40" s="612">
        <f t="shared" ca="1" si="47"/>
        <v>0</v>
      </c>
      <c r="BC40" s="617">
        <f t="shared" si="48"/>
        <v>0</v>
      </c>
      <c r="BD40" s="619">
        <f t="shared" si="49"/>
        <v>0</v>
      </c>
      <c r="BE40" s="346">
        <f>GSh!CN40</f>
        <v>0</v>
      </c>
      <c r="BF40" s="210"/>
      <c r="BG40" s="208">
        <f>GSh!BT40</f>
        <v>0</v>
      </c>
      <c r="BH40" s="209">
        <f>GSh!BU40</f>
        <v>0</v>
      </c>
      <c r="BI40" s="199">
        <f>GSh!AF40</f>
        <v>0</v>
      </c>
      <c r="BJ40" s="199">
        <f>GSh!AG40</f>
        <v>0</v>
      </c>
      <c r="BK40" s="199">
        <f>GSh!AK40</f>
        <v>0</v>
      </c>
      <c r="BL40" s="199">
        <f>GSh!AL40</f>
        <v>0</v>
      </c>
    </row>
    <row r="41" spans="1:64" ht="15.75" customHeight="1" x14ac:dyDescent="0.3">
      <c r="A41" s="266">
        <f t="shared" si="31"/>
        <v>53</v>
      </c>
      <c r="B41" s="267">
        <f>GSh!AN41</f>
        <v>0</v>
      </c>
      <c r="C41" s="263"/>
      <c r="D41" s="263"/>
      <c r="E41" s="772">
        <f>GSh!AR41</f>
        <v>0</v>
      </c>
      <c r="F41" s="338"/>
      <c r="G41" s="505">
        <f>SUMIF(PROD!$BF$5:$BF$725,A41,PROD!$L$5:$L$725)</f>
        <v>0</v>
      </c>
      <c r="H41" s="503"/>
      <c r="I41" s="774">
        <f>GSh!AE41</f>
        <v>0</v>
      </c>
      <c r="J41" s="602">
        <f>GSh!AH41</f>
        <v>0</v>
      </c>
      <c r="K41" s="604"/>
      <c r="L41" s="776">
        <f>GSh!AJ41</f>
        <v>0</v>
      </c>
      <c r="M41" s="340">
        <f>GSh!AM41</f>
        <v>0</v>
      </c>
      <c r="N41" s="501">
        <f t="shared" si="32"/>
        <v>0</v>
      </c>
      <c r="O41" s="336"/>
      <c r="P41" s="776">
        <f>GSh!AU41</f>
        <v>0</v>
      </c>
      <c r="Q41" s="557">
        <f>GSh!AV41</f>
        <v>0</v>
      </c>
      <c r="R41" s="559"/>
      <c r="S41" s="1197"/>
      <c r="T41" s="344"/>
      <c r="U41" s="778">
        <f>GSh!BN41</f>
        <v>0</v>
      </c>
      <c r="V41" s="343">
        <f>GSh!BO41</f>
        <v>0</v>
      </c>
      <c r="W41" s="344"/>
      <c r="X41" s="778">
        <f>GSh!BQ41</f>
        <v>0</v>
      </c>
      <c r="Y41" s="343">
        <f>GSh!BR41</f>
        <v>0</v>
      </c>
      <c r="Z41" s="578">
        <f>LOOKUP($A41,PROD!$A$5:$A$725,PROD!$BE$5:$BE$725)</f>
        <v>0</v>
      </c>
      <c r="AA41" s="780">
        <f>GSh!AZ41</f>
        <v>0</v>
      </c>
      <c r="AB41" s="523">
        <f>GSh!BA41</f>
        <v>0</v>
      </c>
      <c r="AC41" s="580"/>
      <c r="AD41" s="783">
        <f>GSh!BK41/10</f>
        <v>0</v>
      </c>
      <c r="AE41" s="590">
        <f>GSh!BL41</f>
        <v>0</v>
      </c>
      <c r="AF41" s="593">
        <f t="shared" si="33"/>
        <v>0</v>
      </c>
      <c r="AG41" s="584"/>
      <c r="AH41" s="587"/>
      <c r="AI41" s="527"/>
      <c r="AJ41" s="528">
        <f>GSh!BE41</f>
        <v>0</v>
      </c>
      <c r="AK41" s="520">
        <f>GSh!BF41</f>
        <v>0</v>
      </c>
      <c r="AL41" s="532"/>
      <c r="AM41" s="769">
        <f>GSh!BH41</f>
        <v>0</v>
      </c>
      <c r="AN41" s="520">
        <f>GSh!BI41</f>
        <v>0</v>
      </c>
      <c r="AO41" s="610">
        <f t="shared" ca="1" si="34"/>
        <v>0</v>
      </c>
      <c r="AP41" s="611">
        <f t="shared" ca="1" si="35"/>
        <v>0</v>
      </c>
      <c r="AQ41" s="611">
        <f t="shared" ca="1" si="36"/>
        <v>0</v>
      </c>
      <c r="AR41" s="611">
        <f t="shared" ca="1" si="37"/>
        <v>0</v>
      </c>
      <c r="AS41" s="611">
        <f t="shared" ca="1" si="38"/>
        <v>0</v>
      </c>
      <c r="AT41" s="611">
        <f t="shared" ca="1" si="39"/>
        <v>0</v>
      </c>
      <c r="AU41" s="621">
        <f t="shared" ca="1" si="40"/>
        <v>0</v>
      </c>
      <c r="AV41" s="623">
        <f t="shared" ca="1" si="41"/>
        <v>0</v>
      </c>
      <c r="AW41" s="611">
        <f t="shared" ca="1" si="42"/>
        <v>0</v>
      </c>
      <c r="AX41" s="1073">
        <f t="shared" ca="1" si="43"/>
        <v>0</v>
      </c>
      <c r="AY41" s="1071">
        <f t="shared" ca="1" si="44"/>
        <v>0</v>
      </c>
      <c r="AZ41" s="611">
        <f t="shared" ca="1" si="45"/>
        <v>0</v>
      </c>
      <c r="BA41" s="611">
        <f t="shared" ca="1" si="46"/>
        <v>0</v>
      </c>
      <c r="BB41" s="612">
        <f t="shared" ca="1" si="47"/>
        <v>0</v>
      </c>
      <c r="BC41" s="617">
        <f t="shared" si="48"/>
        <v>0</v>
      </c>
      <c r="BD41" s="619">
        <f t="shared" si="49"/>
        <v>0</v>
      </c>
      <c r="BE41" s="346">
        <f>GSh!CN41</f>
        <v>0</v>
      </c>
      <c r="BF41" s="210"/>
      <c r="BG41" s="208">
        <f>GSh!BT41</f>
        <v>0</v>
      </c>
      <c r="BH41" s="209">
        <f>GSh!BU41</f>
        <v>0</v>
      </c>
      <c r="BI41" s="199">
        <f>GSh!AF41</f>
        <v>0</v>
      </c>
      <c r="BJ41" s="199">
        <f>GSh!AG41</f>
        <v>0</v>
      </c>
      <c r="BK41" s="199">
        <f>GSh!AK41</f>
        <v>0</v>
      </c>
      <c r="BL41" s="199">
        <f>GSh!AL41</f>
        <v>0</v>
      </c>
    </row>
    <row r="42" spans="1:64" ht="15.75" customHeight="1" x14ac:dyDescent="0.3">
      <c r="A42" s="266">
        <f t="shared" si="31"/>
        <v>54</v>
      </c>
      <c r="B42" s="267">
        <f>GSh!AN42</f>
        <v>0</v>
      </c>
      <c r="C42" s="263"/>
      <c r="D42" s="263"/>
      <c r="E42" s="772">
        <f>GSh!AR42</f>
        <v>0</v>
      </c>
      <c r="F42" s="338"/>
      <c r="G42" s="505">
        <f>SUMIF(PROD!$BF$5:$BF$725,A42,PROD!$L$5:$L$725)</f>
        <v>0</v>
      </c>
      <c r="H42" s="503"/>
      <c r="I42" s="774">
        <f>GSh!AE42</f>
        <v>0</v>
      </c>
      <c r="J42" s="602">
        <f>GSh!AH42</f>
        <v>0</v>
      </c>
      <c r="K42" s="604"/>
      <c r="L42" s="776">
        <f>GSh!AJ42</f>
        <v>0</v>
      </c>
      <c r="M42" s="340">
        <f>GSh!AM42</f>
        <v>0</v>
      </c>
      <c r="N42" s="501">
        <f t="shared" si="32"/>
        <v>0</v>
      </c>
      <c r="O42" s="336"/>
      <c r="P42" s="776">
        <f>GSh!AU42</f>
        <v>0</v>
      </c>
      <c r="Q42" s="557">
        <f>GSh!AV42</f>
        <v>0</v>
      </c>
      <c r="R42" s="559"/>
      <c r="S42" s="1197"/>
      <c r="T42" s="344"/>
      <c r="U42" s="778">
        <f>GSh!BN42</f>
        <v>0</v>
      </c>
      <c r="V42" s="343">
        <f>GSh!BO42</f>
        <v>0</v>
      </c>
      <c r="W42" s="344"/>
      <c r="X42" s="778">
        <f>GSh!BQ42</f>
        <v>0</v>
      </c>
      <c r="Y42" s="343">
        <f>GSh!BR42</f>
        <v>0</v>
      </c>
      <c r="Z42" s="578">
        <f>LOOKUP($A42,PROD!$A$5:$A$725,PROD!$BE$5:$BE$725)</f>
        <v>0</v>
      </c>
      <c r="AA42" s="780">
        <f>GSh!AZ42</f>
        <v>0</v>
      </c>
      <c r="AB42" s="523">
        <f>GSh!BA42</f>
        <v>0</v>
      </c>
      <c r="AC42" s="580"/>
      <c r="AD42" s="783">
        <f>GSh!BK42/10</f>
        <v>0</v>
      </c>
      <c r="AE42" s="590">
        <f>GSh!BL42</f>
        <v>0</v>
      </c>
      <c r="AF42" s="593">
        <f t="shared" si="33"/>
        <v>0</v>
      </c>
      <c r="AG42" s="584"/>
      <c r="AH42" s="587"/>
      <c r="AI42" s="527"/>
      <c r="AJ42" s="528">
        <f>GSh!BE42</f>
        <v>0</v>
      </c>
      <c r="AK42" s="520">
        <f>GSh!BF42</f>
        <v>0</v>
      </c>
      <c r="AL42" s="532"/>
      <c r="AM42" s="769">
        <f>GSh!BH42</f>
        <v>0</v>
      </c>
      <c r="AN42" s="520">
        <f>GSh!BI42</f>
        <v>0</v>
      </c>
      <c r="AO42" s="610">
        <f t="shared" ca="1" si="34"/>
        <v>0</v>
      </c>
      <c r="AP42" s="611">
        <f t="shared" ca="1" si="35"/>
        <v>0</v>
      </c>
      <c r="AQ42" s="611">
        <f t="shared" ca="1" si="36"/>
        <v>0</v>
      </c>
      <c r="AR42" s="611">
        <f t="shared" ca="1" si="37"/>
        <v>0</v>
      </c>
      <c r="AS42" s="611">
        <f t="shared" ca="1" si="38"/>
        <v>0</v>
      </c>
      <c r="AT42" s="611">
        <f t="shared" ca="1" si="39"/>
        <v>0</v>
      </c>
      <c r="AU42" s="621">
        <f t="shared" ca="1" si="40"/>
        <v>0</v>
      </c>
      <c r="AV42" s="623">
        <f t="shared" ca="1" si="41"/>
        <v>0</v>
      </c>
      <c r="AW42" s="611">
        <f t="shared" ca="1" si="42"/>
        <v>0</v>
      </c>
      <c r="AX42" s="1073">
        <f t="shared" ca="1" si="43"/>
        <v>0</v>
      </c>
      <c r="AY42" s="1071">
        <f t="shared" ca="1" si="44"/>
        <v>0</v>
      </c>
      <c r="AZ42" s="611">
        <f t="shared" ca="1" si="45"/>
        <v>0</v>
      </c>
      <c r="BA42" s="611">
        <f t="shared" ca="1" si="46"/>
        <v>0</v>
      </c>
      <c r="BB42" s="612">
        <f t="shared" ca="1" si="47"/>
        <v>0</v>
      </c>
      <c r="BC42" s="617">
        <f t="shared" si="48"/>
        <v>0</v>
      </c>
      <c r="BD42" s="619">
        <f t="shared" si="49"/>
        <v>0</v>
      </c>
      <c r="BE42" s="346">
        <f>GSh!CN42</f>
        <v>0</v>
      </c>
      <c r="BF42" s="210"/>
      <c r="BG42" s="208">
        <f>GSh!BT42</f>
        <v>0</v>
      </c>
      <c r="BH42" s="209">
        <f>GSh!BU42</f>
        <v>0</v>
      </c>
      <c r="BI42" s="199">
        <f>GSh!AF42</f>
        <v>0</v>
      </c>
      <c r="BJ42" s="199">
        <f>GSh!AG42</f>
        <v>0</v>
      </c>
      <c r="BK42" s="199">
        <f>GSh!AK42</f>
        <v>0</v>
      </c>
      <c r="BL42" s="199">
        <f>GSh!AL42</f>
        <v>0</v>
      </c>
    </row>
    <row r="43" spans="1:64" ht="15.75" customHeight="1" x14ac:dyDescent="0.3">
      <c r="A43" s="266">
        <f t="shared" si="31"/>
        <v>55</v>
      </c>
      <c r="B43" s="267">
        <f>GSh!AN43</f>
        <v>0</v>
      </c>
      <c r="C43" s="263"/>
      <c r="D43" s="263"/>
      <c r="E43" s="772">
        <f>GSh!AR43</f>
        <v>0</v>
      </c>
      <c r="F43" s="338"/>
      <c r="G43" s="505">
        <f>SUMIF(PROD!$BF$5:$BF$725,A43,PROD!$L$5:$L$725)</f>
        <v>0</v>
      </c>
      <c r="H43" s="503"/>
      <c r="I43" s="774">
        <f>GSh!AE43</f>
        <v>0</v>
      </c>
      <c r="J43" s="602">
        <f>GSh!AH43</f>
        <v>0</v>
      </c>
      <c r="K43" s="604"/>
      <c r="L43" s="776">
        <f>GSh!AJ43</f>
        <v>0</v>
      </c>
      <c r="M43" s="340">
        <f>GSh!AM43</f>
        <v>0</v>
      </c>
      <c r="N43" s="501">
        <f t="shared" si="32"/>
        <v>0</v>
      </c>
      <c r="O43" s="336"/>
      <c r="P43" s="776">
        <f>GSh!AU43</f>
        <v>0</v>
      </c>
      <c r="Q43" s="557">
        <f>GSh!AV43</f>
        <v>0</v>
      </c>
      <c r="R43" s="559"/>
      <c r="S43" s="1197"/>
      <c r="T43" s="344"/>
      <c r="U43" s="778">
        <f>GSh!BN43</f>
        <v>0</v>
      </c>
      <c r="V43" s="343">
        <f>GSh!BO43</f>
        <v>0</v>
      </c>
      <c r="W43" s="344"/>
      <c r="X43" s="778">
        <f>GSh!BQ43</f>
        <v>0</v>
      </c>
      <c r="Y43" s="343">
        <f>GSh!BR43</f>
        <v>0</v>
      </c>
      <c r="Z43" s="578">
        <f>LOOKUP($A43,PROD!$A$5:$A$725,PROD!$BE$5:$BE$725)</f>
        <v>0</v>
      </c>
      <c r="AA43" s="780">
        <f>GSh!AZ43</f>
        <v>0</v>
      </c>
      <c r="AB43" s="523">
        <f>GSh!BA43</f>
        <v>0</v>
      </c>
      <c r="AC43" s="580"/>
      <c r="AD43" s="783">
        <f>GSh!BK43/10</f>
        <v>0</v>
      </c>
      <c r="AE43" s="590">
        <f>GSh!BL43</f>
        <v>0</v>
      </c>
      <c r="AF43" s="593">
        <f t="shared" si="33"/>
        <v>0</v>
      </c>
      <c r="AG43" s="584"/>
      <c r="AH43" s="587"/>
      <c r="AI43" s="527"/>
      <c r="AJ43" s="528">
        <f>GSh!BE43</f>
        <v>0</v>
      </c>
      <c r="AK43" s="520">
        <f>GSh!BF43</f>
        <v>0</v>
      </c>
      <c r="AL43" s="532"/>
      <c r="AM43" s="769">
        <f>GSh!BH43</f>
        <v>0</v>
      </c>
      <c r="AN43" s="520">
        <f>GSh!BI43</f>
        <v>0</v>
      </c>
      <c r="AO43" s="610">
        <f t="shared" ca="1" si="34"/>
        <v>0</v>
      </c>
      <c r="AP43" s="611">
        <f t="shared" ca="1" si="35"/>
        <v>0</v>
      </c>
      <c r="AQ43" s="611">
        <f t="shared" ca="1" si="36"/>
        <v>0</v>
      </c>
      <c r="AR43" s="611">
        <f t="shared" ca="1" si="37"/>
        <v>0</v>
      </c>
      <c r="AS43" s="611">
        <f t="shared" ca="1" si="38"/>
        <v>0</v>
      </c>
      <c r="AT43" s="611">
        <f t="shared" ca="1" si="39"/>
        <v>0</v>
      </c>
      <c r="AU43" s="621">
        <f t="shared" ca="1" si="40"/>
        <v>0</v>
      </c>
      <c r="AV43" s="623">
        <f t="shared" ca="1" si="41"/>
        <v>0</v>
      </c>
      <c r="AW43" s="611">
        <f t="shared" ca="1" si="42"/>
        <v>0</v>
      </c>
      <c r="AX43" s="1073">
        <f t="shared" ca="1" si="43"/>
        <v>0</v>
      </c>
      <c r="AY43" s="1071">
        <f t="shared" ca="1" si="44"/>
        <v>0</v>
      </c>
      <c r="AZ43" s="611">
        <f t="shared" ca="1" si="45"/>
        <v>0</v>
      </c>
      <c r="BA43" s="611">
        <f t="shared" ca="1" si="46"/>
        <v>0</v>
      </c>
      <c r="BB43" s="612">
        <f t="shared" ca="1" si="47"/>
        <v>0</v>
      </c>
      <c r="BC43" s="617">
        <f t="shared" si="48"/>
        <v>0</v>
      </c>
      <c r="BD43" s="619">
        <f t="shared" si="49"/>
        <v>0</v>
      </c>
      <c r="BE43" s="346">
        <f>GSh!CN43</f>
        <v>0</v>
      </c>
      <c r="BF43" s="210"/>
      <c r="BG43" s="208">
        <f>GSh!BT43</f>
        <v>0</v>
      </c>
      <c r="BH43" s="209">
        <f>GSh!BU43</f>
        <v>0</v>
      </c>
      <c r="BI43" s="199">
        <f>GSh!AF43</f>
        <v>0</v>
      </c>
      <c r="BJ43" s="199">
        <f>GSh!AG43</f>
        <v>0</v>
      </c>
      <c r="BK43" s="199">
        <f>GSh!AK43</f>
        <v>0</v>
      </c>
      <c r="BL43" s="199">
        <f>GSh!AL43</f>
        <v>0</v>
      </c>
    </row>
    <row r="44" spans="1:64" ht="15.75" customHeight="1" x14ac:dyDescent="0.3">
      <c r="A44" s="266">
        <f t="shared" si="31"/>
        <v>56</v>
      </c>
      <c r="B44" s="267">
        <f>GSh!AN44</f>
        <v>0</v>
      </c>
      <c r="C44" s="263"/>
      <c r="D44" s="263"/>
      <c r="E44" s="772">
        <f>GSh!AR44</f>
        <v>0</v>
      </c>
      <c r="F44" s="338"/>
      <c r="G44" s="505">
        <f>SUMIF(PROD!$BF$5:$BF$725,A44,PROD!$L$5:$L$725)</f>
        <v>0</v>
      </c>
      <c r="H44" s="503"/>
      <c r="I44" s="774">
        <f>GSh!AE44</f>
        <v>0</v>
      </c>
      <c r="J44" s="602">
        <f>GSh!AH44</f>
        <v>0</v>
      </c>
      <c r="K44" s="604"/>
      <c r="L44" s="776">
        <f>GSh!AJ44</f>
        <v>0</v>
      </c>
      <c r="M44" s="340">
        <f>GSh!AM44</f>
        <v>0</v>
      </c>
      <c r="N44" s="501">
        <f t="shared" si="32"/>
        <v>0</v>
      </c>
      <c r="O44" s="336"/>
      <c r="P44" s="776">
        <f>GSh!AU44</f>
        <v>0</v>
      </c>
      <c r="Q44" s="557">
        <f>GSh!AV44</f>
        <v>0</v>
      </c>
      <c r="R44" s="559"/>
      <c r="S44" s="1197"/>
      <c r="T44" s="344"/>
      <c r="U44" s="778">
        <f>GSh!BN44</f>
        <v>0</v>
      </c>
      <c r="V44" s="343">
        <f>GSh!BO44</f>
        <v>0</v>
      </c>
      <c r="W44" s="344"/>
      <c r="X44" s="778">
        <f>GSh!BQ44</f>
        <v>0</v>
      </c>
      <c r="Y44" s="343">
        <f>GSh!BR44</f>
        <v>0</v>
      </c>
      <c r="Z44" s="578">
        <f>LOOKUP($A44,PROD!$A$5:$A$725,PROD!$BE$5:$BE$725)</f>
        <v>0</v>
      </c>
      <c r="AA44" s="780">
        <f>GSh!AZ44</f>
        <v>0</v>
      </c>
      <c r="AB44" s="523">
        <f>GSh!BA44</f>
        <v>0</v>
      </c>
      <c r="AC44" s="580"/>
      <c r="AD44" s="783">
        <f>GSh!BK44/10</f>
        <v>0</v>
      </c>
      <c r="AE44" s="590">
        <f>GSh!BL44</f>
        <v>0</v>
      </c>
      <c r="AF44" s="593">
        <f t="shared" si="33"/>
        <v>0</v>
      </c>
      <c r="AG44" s="584"/>
      <c r="AH44" s="587"/>
      <c r="AI44" s="527"/>
      <c r="AJ44" s="528">
        <f>GSh!BE44</f>
        <v>0</v>
      </c>
      <c r="AK44" s="520">
        <f>GSh!BF44</f>
        <v>0</v>
      </c>
      <c r="AL44" s="532"/>
      <c r="AM44" s="769">
        <f>GSh!BH44</f>
        <v>0</v>
      </c>
      <c r="AN44" s="520">
        <f>GSh!BI44</f>
        <v>0</v>
      </c>
      <c r="AO44" s="610">
        <f t="shared" ca="1" si="34"/>
        <v>0</v>
      </c>
      <c r="AP44" s="611">
        <f t="shared" ca="1" si="35"/>
        <v>0</v>
      </c>
      <c r="AQ44" s="611">
        <f t="shared" ca="1" si="36"/>
        <v>0</v>
      </c>
      <c r="AR44" s="611">
        <f t="shared" ca="1" si="37"/>
        <v>0</v>
      </c>
      <c r="AS44" s="611">
        <f t="shared" ca="1" si="38"/>
        <v>0</v>
      </c>
      <c r="AT44" s="611">
        <f t="shared" ca="1" si="39"/>
        <v>0</v>
      </c>
      <c r="AU44" s="621">
        <f t="shared" ca="1" si="40"/>
        <v>0</v>
      </c>
      <c r="AV44" s="623">
        <f t="shared" ca="1" si="41"/>
        <v>0</v>
      </c>
      <c r="AW44" s="611">
        <f t="shared" ca="1" si="42"/>
        <v>0</v>
      </c>
      <c r="AX44" s="1073">
        <f t="shared" ca="1" si="43"/>
        <v>0</v>
      </c>
      <c r="AY44" s="1071">
        <f t="shared" ca="1" si="44"/>
        <v>0</v>
      </c>
      <c r="AZ44" s="611">
        <f t="shared" ca="1" si="45"/>
        <v>0</v>
      </c>
      <c r="BA44" s="611">
        <f t="shared" ca="1" si="46"/>
        <v>0</v>
      </c>
      <c r="BB44" s="612">
        <f t="shared" ca="1" si="47"/>
        <v>0</v>
      </c>
      <c r="BC44" s="617">
        <f t="shared" si="48"/>
        <v>0</v>
      </c>
      <c r="BD44" s="619">
        <f t="shared" si="49"/>
        <v>0</v>
      </c>
      <c r="BE44" s="346">
        <f>GSh!CN44</f>
        <v>0</v>
      </c>
      <c r="BF44" s="210"/>
      <c r="BG44" s="208">
        <f>GSh!BT44</f>
        <v>0</v>
      </c>
      <c r="BH44" s="209">
        <f>GSh!BU44</f>
        <v>0</v>
      </c>
      <c r="BI44" s="199">
        <f>GSh!AF44</f>
        <v>0</v>
      </c>
      <c r="BJ44" s="199">
        <f>GSh!AG44</f>
        <v>0</v>
      </c>
      <c r="BK44" s="199">
        <f>GSh!AK44</f>
        <v>0</v>
      </c>
      <c r="BL44" s="199">
        <f>GSh!AL44</f>
        <v>0</v>
      </c>
    </row>
    <row r="45" spans="1:64" ht="15.75" customHeight="1" x14ac:dyDescent="0.3">
      <c r="A45" s="266">
        <f t="shared" si="31"/>
        <v>57</v>
      </c>
      <c r="B45" s="267">
        <f>GSh!AN45</f>
        <v>0</v>
      </c>
      <c r="C45" s="263"/>
      <c r="D45" s="263"/>
      <c r="E45" s="772">
        <f>GSh!AR45</f>
        <v>0</v>
      </c>
      <c r="F45" s="338"/>
      <c r="G45" s="505">
        <f>SUMIF(PROD!$BF$5:$BF$725,A45,PROD!$L$5:$L$725)</f>
        <v>0</v>
      </c>
      <c r="H45" s="503"/>
      <c r="I45" s="774">
        <f>GSh!AE45</f>
        <v>0</v>
      </c>
      <c r="J45" s="602">
        <f>GSh!AH45</f>
        <v>0</v>
      </c>
      <c r="K45" s="604"/>
      <c r="L45" s="776">
        <f>GSh!AJ45</f>
        <v>0</v>
      </c>
      <c r="M45" s="340">
        <f>GSh!AM45</f>
        <v>0</v>
      </c>
      <c r="N45" s="501">
        <f t="shared" si="32"/>
        <v>0</v>
      </c>
      <c r="O45" s="336"/>
      <c r="P45" s="776">
        <f>GSh!AU45</f>
        <v>0</v>
      </c>
      <c r="Q45" s="557">
        <f>GSh!AV45</f>
        <v>0</v>
      </c>
      <c r="R45" s="559"/>
      <c r="S45" s="1197"/>
      <c r="T45" s="344"/>
      <c r="U45" s="778">
        <f>GSh!BN45</f>
        <v>0</v>
      </c>
      <c r="V45" s="343">
        <f>GSh!BO45</f>
        <v>0</v>
      </c>
      <c r="W45" s="344"/>
      <c r="X45" s="778">
        <f>GSh!BQ45</f>
        <v>0</v>
      </c>
      <c r="Y45" s="343">
        <f>GSh!BR45</f>
        <v>0</v>
      </c>
      <c r="Z45" s="578">
        <f>LOOKUP($A45,PROD!$A$5:$A$725,PROD!$BE$5:$BE$725)</f>
        <v>0</v>
      </c>
      <c r="AA45" s="780">
        <f>GSh!AZ45</f>
        <v>0</v>
      </c>
      <c r="AB45" s="523">
        <f>GSh!BA45</f>
        <v>0</v>
      </c>
      <c r="AC45" s="580"/>
      <c r="AD45" s="783">
        <f>GSh!BK45/10</f>
        <v>0</v>
      </c>
      <c r="AE45" s="590">
        <f>GSh!BL45</f>
        <v>0</v>
      </c>
      <c r="AF45" s="593">
        <f t="shared" si="33"/>
        <v>0</v>
      </c>
      <c r="AG45" s="584"/>
      <c r="AH45" s="587"/>
      <c r="AI45" s="527"/>
      <c r="AJ45" s="528">
        <f>GSh!BE45</f>
        <v>0</v>
      </c>
      <c r="AK45" s="520">
        <f>GSh!BF45</f>
        <v>0</v>
      </c>
      <c r="AL45" s="532"/>
      <c r="AM45" s="769">
        <f>GSh!BH45</f>
        <v>0</v>
      </c>
      <c r="AN45" s="520">
        <f>GSh!BI45</f>
        <v>0</v>
      </c>
      <c r="AO45" s="610">
        <f t="shared" ca="1" si="34"/>
        <v>0</v>
      </c>
      <c r="AP45" s="611">
        <f t="shared" ca="1" si="35"/>
        <v>0</v>
      </c>
      <c r="AQ45" s="611">
        <f t="shared" ca="1" si="36"/>
        <v>0</v>
      </c>
      <c r="AR45" s="611">
        <f t="shared" ca="1" si="37"/>
        <v>0</v>
      </c>
      <c r="AS45" s="611">
        <f t="shared" ca="1" si="38"/>
        <v>0</v>
      </c>
      <c r="AT45" s="611">
        <f t="shared" ca="1" si="39"/>
        <v>0</v>
      </c>
      <c r="AU45" s="621">
        <f t="shared" ca="1" si="40"/>
        <v>0</v>
      </c>
      <c r="AV45" s="623">
        <f t="shared" ca="1" si="41"/>
        <v>0</v>
      </c>
      <c r="AW45" s="611">
        <f t="shared" ca="1" si="42"/>
        <v>0</v>
      </c>
      <c r="AX45" s="1073">
        <f t="shared" ca="1" si="43"/>
        <v>0</v>
      </c>
      <c r="AY45" s="1071">
        <f t="shared" ca="1" si="44"/>
        <v>0</v>
      </c>
      <c r="AZ45" s="611">
        <f t="shared" ca="1" si="45"/>
        <v>0</v>
      </c>
      <c r="BA45" s="611">
        <f t="shared" ca="1" si="46"/>
        <v>0</v>
      </c>
      <c r="BB45" s="612">
        <f t="shared" ca="1" si="47"/>
        <v>0</v>
      </c>
      <c r="BC45" s="617">
        <f t="shared" si="48"/>
        <v>0</v>
      </c>
      <c r="BD45" s="619">
        <f t="shared" si="49"/>
        <v>0</v>
      </c>
      <c r="BE45" s="346">
        <f>GSh!CN45</f>
        <v>0</v>
      </c>
      <c r="BF45" s="210"/>
      <c r="BG45" s="208">
        <f>GSh!BT45</f>
        <v>0</v>
      </c>
      <c r="BH45" s="209">
        <f>GSh!BU45</f>
        <v>0</v>
      </c>
      <c r="BI45" s="199">
        <f>GSh!AF45</f>
        <v>0</v>
      </c>
      <c r="BJ45" s="199">
        <f>GSh!AG45</f>
        <v>0</v>
      </c>
      <c r="BK45" s="199">
        <f>GSh!AK45</f>
        <v>0</v>
      </c>
      <c r="BL45" s="199">
        <f>GSh!AL45</f>
        <v>0</v>
      </c>
    </row>
    <row r="46" spans="1:64" ht="15.75" customHeight="1" x14ac:dyDescent="0.3">
      <c r="A46" s="266">
        <f t="shared" si="31"/>
        <v>58</v>
      </c>
      <c r="B46" s="267">
        <f>GSh!AN46</f>
        <v>0</v>
      </c>
      <c r="C46" s="263"/>
      <c r="D46" s="263"/>
      <c r="E46" s="772">
        <f>GSh!AR46</f>
        <v>0</v>
      </c>
      <c r="F46" s="338"/>
      <c r="G46" s="505">
        <f>SUMIF(PROD!$BF$5:$BF$725,A46,PROD!$L$5:$L$725)</f>
        <v>0</v>
      </c>
      <c r="H46" s="503"/>
      <c r="I46" s="774">
        <f>GSh!AE46</f>
        <v>0</v>
      </c>
      <c r="J46" s="602">
        <f>GSh!AH46</f>
        <v>0</v>
      </c>
      <c r="K46" s="604"/>
      <c r="L46" s="776">
        <f>GSh!AJ46</f>
        <v>0</v>
      </c>
      <c r="M46" s="340">
        <f>GSh!AM46</f>
        <v>0</v>
      </c>
      <c r="N46" s="501">
        <f t="shared" si="32"/>
        <v>0</v>
      </c>
      <c r="O46" s="336"/>
      <c r="P46" s="776">
        <f>GSh!AU46</f>
        <v>0</v>
      </c>
      <c r="Q46" s="557">
        <f>GSh!AV46</f>
        <v>0</v>
      </c>
      <c r="R46" s="559"/>
      <c r="S46" s="1197"/>
      <c r="T46" s="344"/>
      <c r="U46" s="778">
        <f>GSh!BN46</f>
        <v>0</v>
      </c>
      <c r="V46" s="343">
        <f>GSh!BO46</f>
        <v>0</v>
      </c>
      <c r="W46" s="344"/>
      <c r="X46" s="778">
        <f>GSh!BQ46</f>
        <v>0</v>
      </c>
      <c r="Y46" s="343">
        <f>GSh!BR46</f>
        <v>0</v>
      </c>
      <c r="Z46" s="578">
        <f>LOOKUP($A46,PROD!$A$5:$A$725,PROD!$BE$5:$BE$725)</f>
        <v>0</v>
      </c>
      <c r="AA46" s="780">
        <f>GSh!AZ46</f>
        <v>0</v>
      </c>
      <c r="AB46" s="523">
        <f>GSh!BA46</f>
        <v>0</v>
      </c>
      <c r="AC46" s="580"/>
      <c r="AD46" s="783">
        <f>GSh!BK46/10</f>
        <v>0</v>
      </c>
      <c r="AE46" s="590">
        <f>GSh!BL46</f>
        <v>0</v>
      </c>
      <c r="AF46" s="593">
        <f t="shared" si="33"/>
        <v>0</v>
      </c>
      <c r="AG46" s="584"/>
      <c r="AH46" s="587"/>
      <c r="AI46" s="527"/>
      <c r="AJ46" s="528">
        <f>GSh!BE46</f>
        <v>0</v>
      </c>
      <c r="AK46" s="520">
        <f>GSh!BF46</f>
        <v>0</v>
      </c>
      <c r="AL46" s="532"/>
      <c r="AM46" s="769">
        <f>GSh!BH46</f>
        <v>0</v>
      </c>
      <c r="AN46" s="520">
        <f>GSh!BI46</f>
        <v>0</v>
      </c>
      <c r="AO46" s="610">
        <f t="shared" ca="1" si="34"/>
        <v>0</v>
      </c>
      <c r="AP46" s="611">
        <f t="shared" ca="1" si="35"/>
        <v>0</v>
      </c>
      <c r="AQ46" s="611">
        <f t="shared" ca="1" si="36"/>
        <v>0</v>
      </c>
      <c r="AR46" s="611">
        <f t="shared" ca="1" si="37"/>
        <v>0</v>
      </c>
      <c r="AS46" s="611">
        <f t="shared" ca="1" si="38"/>
        <v>0</v>
      </c>
      <c r="AT46" s="611">
        <f t="shared" ca="1" si="39"/>
        <v>0</v>
      </c>
      <c r="AU46" s="621">
        <f t="shared" ca="1" si="40"/>
        <v>0</v>
      </c>
      <c r="AV46" s="623">
        <f t="shared" ca="1" si="41"/>
        <v>0</v>
      </c>
      <c r="AW46" s="611">
        <f t="shared" ca="1" si="42"/>
        <v>0</v>
      </c>
      <c r="AX46" s="1073">
        <f t="shared" ca="1" si="43"/>
        <v>0</v>
      </c>
      <c r="AY46" s="1071">
        <f t="shared" ca="1" si="44"/>
        <v>0</v>
      </c>
      <c r="AZ46" s="611">
        <f t="shared" ca="1" si="45"/>
        <v>0</v>
      </c>
      <c r="BA46" s="611">
        <f t="shared" ca="1" si="46"/>
        <v>0</v>
      </c>
      <c r="BB46" s="612">
        <f t="shared" ca="1" si="47"/>
        <v>0</v>
      </c>
      <c r="BC46" s="617">
        <f t="shared" si="48"/>
        <v>0</v>
      </c>
      <c r="BD46" s="619">
        <f t="shared" si="49"/>
        <v>0</v>
      </c>
      <c r="BE46" s="346">
        <f>GSh!CN46</f>
        <v>0</v>
      </c>
      <c r="BF46" s="210"/>
      <c r="BG46" s="208">
        <f>GSh!BT46</f>
        <v>0</v>
      </c>
      <c r="BH46" s="209">
        <f>GSh!BU46</f>
        <v>0</v>
      </c>
      <c r="BI46" s="199">
        <f>GSh!AF46</f>
        <v>0</v>
      </c>
      <c r="BJ46" s="199">
        <f>GSh!AG46</f>
        <v>0</v>
      </c>
      <c r="BK46" s="199">
        <f>GSh!AK46</f>
        <v>0</v>
      </c>
      <c r="BL46" s="199">
        <f>GSh!AL46</f>
        <v>0</v>
      </c>
    </row>
    <row r="47" spans="1:64" ht="15.75" customHeight="1" x14ac:dyDescent="0.3">
      <c r="A47" s="266">
        <f t="shared" si="31"/>
        <v>59</v>
      </c>
      <c r="B47" s="267">
        <f>GSh!AN47</f>
        <v>0</v>
      </c>
      <c r="C47" s="263"/>
      <c r="D47" s="263"/>
      <c r="E47" s="772">
        <f>GSh!AR47</f>
        <v>0</v>
      </c>
      <c r="F47" s="338"/>
      <c r="G47" s="505">
        <f>SUMIF(PROD!$BF$5:$BF$725,A47,PROD!$L$5:$L$725)</f>
        <v>0</v>
      </c>
      <c r="H47" s="503"/>
      <c r="I47" s="774">
        <f>GSh!AE47</f>
        <v>0</v>
      </c>
      <c r="J47" s="602">
        <f>GSh!AH47</f>
        <v>0</v>
      </c>
      <c r="K47" s="604"/>
      <c r="L47" s="776">
        <f>GSh!AJ47</f>
        <v>0</v>
      </c>
      <c r="M47" s="340">
        <f>GSh!AM47</f>
        <v>0</v>
      </c>
      <c r="N47" s="501">
        <f t="shared" si="32"/>
        <v>0</v>
      </c>
      <c r="O47" s="336"/>
      <c r="P47" s="776">
        <f>GSh!AU47</f>
        <v>0</v>
      </c>
      <c r="Q47" s="557">
        <f>GSh!AV47</f>
        <v>0</v>
      </c>
      <c r="R47" s="559"/>
      <c r="S47" s="1197"/>
      <c r="T47" s="344"/>
      <c r="U47" s="778">
        <f>GSh!BN47</f>
        <v>0</v>
      </c>
      <c r="V47" s="343">
        <f>GSh!BO47</f>
        <v>0</v>
      </c>
      <c r="W47" s="344"/>
      <c r="X47" s="778">
        <f>GSh!BQ47</f>
        <v>0</v>
      </c>
      <c r="Y47" s="343">
        <f>GSh!BR47</f>
        <v>0</v>
      </c>
      <c r="Z47" s="578">
        <f>LOOKUP($A47,PROD!$A$5:$A$725,PROD!$BE$5:$BE$725)</f>
        <v>0</v>
      </c>
      <c r="AA47" s="780">
        <f>GSh!AZ47</f>
        <v>0</v>
      </c>
      <c r="AB47" s="523">
        <f>GSh!BA47</f>
        <v>0</v>
      </c>
      <c r="AC47" s="580"/>
      <c r="AD47" s="783">
        <f>GSh!BK47/10</f>
        <v>0</v>
      </c>
      <c r="AE47" s="590">
        <f>GSh!BL47</f>
        <v>0</v>
      </c>
      <c r="AF47" s="593">
        <f t="shared" si="33"/>
        <v>0</v>
      </c>
      <c r="AG47" s="584"/>
      <c r="AH47" s="587"/>
      <c r="AI47" s="527"/>
      <c r="AJ47" s="528">
        <f>GSh!BE47</f>
        <v>0</v>
      </c>
      <c r="AK47" s="520">
        <f>GSh!BF47</f>
        <v>0</v>
      </c>
      <c r="AL47" s="532"/>
      <c r="AM47" s="769">
        <f>GSh!BH47</f>
        <v>0</v>
      </c>
      <c r="AN47" s="520">
        <f>GSh!BI47</f>
        <v>0</v>
      </c>
      <c r="AO47" s="610">
        <f t="shared" ca="1" si="34"/>
        <v>0</v>
      </c>
      <c r="AP47" s="611">
        <f t="shared" ca="1" si="35"/>
        <v>0</v>
      </c>
      <c r="AQ47" s="611">
        <f t="shared" ca="1" si="36"/>
        <v>0</v>
      </c>
      <c r="AR47" s="611">
        <f t="shared" ca="1" si="37"/>
        <v>0</v>
      </c>
      <c r="AS47" s="611">
        <f t="shared" ca="1" si="38"/>
        <v>0</v>
      </c>
      <c r="AT47" s="611">
        <f t="shared" ca="1" si="39"/>
        <v>0</v>
      </c>
      <c r="AU47" s="621">
        <f t="shared" ca="1" si="40"/>
        <v>0</v>
      </c>
      <c r="AV47" s="623">
        <f t="shared" ca="1" si="41"/>
        <v>0</v>
      </c>
      <c r="AW47" s="611">
        <f t="shared" ca="1" si="42"/>
        <v>0</v>
      </c>
      <c r="AX47" s="1073">
        <f t="shared" ca="1" si="43"/>
        <v>0</v>
      </c>
      <c r="AY47" s="1071">
        <f t="shared" ca="1" si="44"/>
        <v>0</v>
      </c>
      <c r="AZ47" s="611">
        <f t="shared" ca="1" si="45"/>
        <v>0</v>
      </c>
      <c r="BA47" s="611">
        <f t="shared" ca="1" si="46"/>
        <v>0</v>
      </c>
      <c r="BB47" s="612">
        <f t="shared" ca="1" si="47"/>
        <v>0</v>
      </c>
      <c r="BC47" s="617">
        <f t="shared" si="48"/>
        <v>0</v>
      </c>
      <c r="BD47" s="619">
        <f t="shared" si="49"/>
        <v>0</v>
      </c>
      <c r="BE47" s="346">
        <f>GSh!CN47</f>
        <v>0</v>
      </c>
      <c r="BF47" s="210"/>
      <c r="BG47" s="208">
        <f>GSh!BT47</f>
        <v>0</v>
      </c>
      <c r="BH47" s="209">
        <f>GSh!BU47</f>
        <v>0</v>
      </c>
      <c r="BI47" s="199">
        <f>GSh!AF47</f>
        <v>0</v>
      </c>
      <c r="BJ47" s="199">
        <f>GSh!AG47</f>
        <v>0</v>
      </c>
      <c r="BK47" s="199">
        <f>GSh!AK47</f>
        <v>0</v>
      </c>
      <c r="BL47" s="199">
        <f>GSh!AL47</f>
        <v>0</v>
      </c>
    </row>
    <row r="48" spans="1:64" ht="15.75" customHeight="1" x14ac:dyDescent="0.3">
      <c r="A48" s="266">
        <f t="shared" si="31"/>
        <v>60</v>
      </c>
      <c r="B48" s="267">
        <f>GSh!AN48</f>
        <v>0</v>
      </c>
      <c r="C48" s="263"/>
      <c r="D48" s="263"/>
      <c r="E48" s="772">
        <f>GSh!AR48</f>
        <v>0</v>
      </c>
      <c r="F48" s="338"/>
      <c r="G48" s="505">
        <f>SUMIF(PROD!$BF$5:$BF$725,A48,PROD!$L$5:$L$725)</f>
        <v>0</v>
      </c>
      <c r="H48" s="503"/>
      <c r="I48" s="774">
        <f>GSh!AE48</f>
        <v>0</v>
      </c>
      <c r="J48" s="602">
        <f>GSh!AH48</f>
        <v>0</v>
      </c>
      <c r="K48" s="604"/>
      <c r="L48" s="776">
        <f>GSh!AJ48</f>
        <v>0</v>
      </c>
      <c r="M48" s="340">
        <f>GSh!AM48</f>
        <v>0</v>
      </c>
      <c r="N48" s="501">
        <f t="shared" si="32"/>
        <v>0</v>
      </c>
      <c r="O48" s="336"/>
      <c r="P48" s="776">
        <f>GSh!AU48</f>
        <v>0</v>
      </c>
      <c r="Q48" s="557">
        <f>GSh!AV48</f>
        <v>0</v>
      </c>
      <c r="R48" s="559"/>
      <c r="S48" s="1197"/>
      <c r="T48" s="344"/>
      <c r="U48" s="778">
        <f>GSh!BN48</f>
        <v>0</v>
      </c>
      <c r="V48" s="343">
        <f>GSh!BO48</f>
        <v>0</v>
      </c>
      <c r="W48" s="344"/>
      <c r="X48" s="778">
        <f>GSh!BQ48</f>
        <v>0</v>
      </c>
      <c r="Y48" s="343">
        <f>GSh!BR48</f>
        <v>0</v>
      </c>
      <c r="Z48" s="578">
        <f>LOOKUP($A48,PROD!$A$5:$A$725,PROD!$BE$5:$BE$725)</f>
        <v>0</v>
      </c>
      <c r="AA48" s="780">
        <f>GSh!AZ48</f>
        <v>0</v>
      </c>
      <c r="AB48" s="523">
        <f>GSh!BA48</f>
        <v>0</v>
      </c>
      <c r="AC48" s="580"/>
      <c r="AD48" s="783">
        <f>GSh!BK48/10</f>
        <v>0</v>
      </c>
      <c r="AE48" s="590">
        <f>GSh!BL48</f>
        <v>0</v>
      </c>
      <c r="AF48" s="593">
        <f t="shared" si="33"/>
        <v>0</v>
      </c>
      <c r="AG48" s="584"/>
      <c r="AH48" s="587"/>
      <c r="AI48" s="527"/>
      <c r="AJ48" s="528">
        <f>GSh!BE48</f>
        <v>0</v>
      </c>
      <c r="AK48" s="520">
        <f>GSh!BF48</f>
        <v>0</v>
      </c>
      <c r="AL48" s="532"/>
      <c r="AM48" s="769">
        <f>GSh!BH48</f>
        <v>0</v>
      </c>
      <c r="AN48" s="520">
        <f>GSh!BI48</f>
        <v>0</v>
      </c>
      <c r="AO48" s="610">
        <f t="shared" ca="1" si="34"/>
        <v>0</v>
      </c>
      <c r="AP48" s="611">
        <f t="shared" ca="1" si="35"/>
        <v>0</v>
      </c>
      <c r="AQ48" s="611">
        <f t="shared" ca="1" si="36"/>
        <v>0</v>
      </c>
      <c r="AR48" s="611">
        <f t="shared" ca="1" si="37"/>
        <v>0</v>
      </c>
      <c r="AS48" s="611">
        <f t="shared" ca="1" si="38"/>
        <v>0</v>
      </c>
      <c r="AT48" s="611">
        <f t="shared" ca="1" si="39"/>
        <v>0</v>
      </c>
      <c r="AU48" s="621">
        <f t="shared" ca="1" si="40"/>
        <v>0</v>
      </c>
      <c r="AV48" s="623">
        <f t="shared" ca="1" si="41"/>
        <v>0</v>
      </c>
      <c r="AW48" s="611">
        <f t="shared" ca="1" si="42"/>
        <v>0</v>
      </c>
      <c r="AX48" s="1073">
        <f t="shared" ca="1" si="43"/>
        <v>0</v>
      </c>
      <c r="AY48" s="1071">
        <f t="shared" ca="1" si="44"/>
        <v>0</v>
      </c>
      <c r="AZ48" s="611">
        <f t="shared" ca="1" si="45"/>
        <v>0</v>
      </c>
      <c r="BA48" s="611">
        <f t="shared" ca="1" si="46"/>
        <v>0</v>
      </c>
      <c r="BB48" s="612">
        <f t="shared" ca="1" si="47"/>
        <v>0</v>
      </c>
      <c r="BC48" s="617">
        <f t="shared" si="48"/>
        <v>0</v>
      </c>
      <c r="BD48" s="619">
        <f t="shared" si="49"/>
        <v>0</v>
      </c>
      <c r="BE48" s="346">
        <f>GSh!CN48</f>
        <v>0</v>
      </c>
      <c r="BF48" s="210"/>
      <c r="BG48" s="208">
        <f>GSh!BT48</f>
        <v>0</v>
      </c>
      <c r="BH48" s="209">
        <f>GSh!BU48</f>
        <v>0</v>
      </c>
      <c r="BI48" s="199">
        <f>GSh!AF48</f>
        <v>0</v>
      </c>
      <c r="BJ48" s="199">
        <f>GSh!AG48</f>
        <v>0</v>
      </c>
      <c r="BK48" s="199">
        <f>GSh!AK48</f>
        <v>0</v>
      </c>
      <c r="BL48" s="199">
        <f>GSh!AL48</f>
        <v>0</v>
      </c>
    </row>
    <row r="49" spans="1:64" ht="15.75" customHeight="1" x14ac:dyDescent="0.3">
      <c r="A49" s="266">
        <f t="shared" si="31"/>
        <v>61</v>
      </c>
      <c r="B49" s="267">
        <f>GSh!AN49</f>
        <v>0</v>
      </c>
      <c r="C49" s="263"/>
      <c r="D49" s="263"/>
      <c r="E49" s="772">
        <f>GSh!AR49</f>
        <v>0</v>
      </c>
      <c r="F49" s="338"/>
      <c r="G49" s="505">
        <f>SUMIF(PROD!$BF$5:$BF$725,A49,PROD!$L$5:$L$725)</f>
        <v>0</v>
      </c>
      <c r="H49" s="503"/>
      <c r="I49" s="774">
        <f>GSh!AE49</f>
        <v>0</v>
      </c>
      <c r="J49" s="602">
        <f>GSh!AH49</f>
        <v>0</v>
      </c>
      <c r="K49" s="604"/>
      <c r="L49" s="776">
        <f>GSh!AJ49</f>
        <v>0</v>
      </c>
      <c r="M49" s="340">
        <f>GSh!AM49</f>
        <v>0</v>
      </c>
      <c r="N49" s="501">
        <f t="shared" si="32"/>
        <v>0</v>
      </c>
      <c r="O49" s="336"/>
      <c r="P49" s="776">
        <f>GSh!AU49</f>
        <v>0</v>
      </c>
      <c r="Q49" s="557">
        <f>GSh!AV49</f>
        <v>0</v>
      </c>
      <c r="R49" s="559"/>
      <c r="S49" s="1197"/>
      <c r="T49" s="344"/>
      <c r="U49" s="778">
        <f>GSh!BN49</f>
        <v>0</v>
      </c>
      <c r="V49" s="343">
        <f>GSh!BO49</f>
        <v>0</v>
      </c>
      <c r="W49" s="344"/>
      <c r="X49" s="778">
        <f>GSh!BQ49</f>
        <v>0</v>
      </c>
      <c r="Y49" s="343">
        <f>GSh!BR49</f>
        <v>0</v>
      </c>
      <c r="Z49" s="578">
        <f>LOOKUP($A49,PROD!$A$5:$A$725,PROD!$BE$5:$BE$725)</f>
        <v>0</v>
      </c>
      <c r="AA49" s="780">
        <f>GSh!AZ49</f>
        <v>0</v>
      </c>
      <c r="AB49" s="523">
        <f>GSh!BA49</f>
        <v>0</v>
      </c>
      <c r="AC49" s="580"/>
      <c r="AD49" s="783">
        <f>GSh!BK49/10</f>
        <v>0</v>
      </c>
      <c r="AE49" s="590">
        <f>GSh!BL49</f>
        <v>0</v>
      </c>
      <c r="AF49" s="593">
        <f t="shared" si="33"/>
        <v>0</v>
      </c>
      <c r="AG49" s="584"/>
      <c r="AH49" s="587"/>
      <c r="AI49" s="527"/>
      <c r="AJ49" s="528">
        <f>GSh!BE49</f>
        <v>0</v>
      </c>
      <c r="AK49" s="520">
        <f>GSh!BF49</f>
        <v>0</v>
      </c>
      <c r="AL49" s="532"/>
      <c r="AM49" s="769">
        <f>GSh!BH49</f>
        <v>0</v>
      </c>
      <c r="AN49" s="520">
        <f>GSh!BI49</f>
        <v>0</v>
      </c>
      <c r="AO49" s="610">
        <f t="shared" ca="1" si="34"/>
        <v>0</v>
      </c>
      <c r="AP49" s="611">
        <f t="shared" ca="1" si="35"/>
        <v>0</v>
      </c>
      <c r="AQ49" s="611">
        <f t="shared" ca="1" si="36"/>
        <v>0</v>
      </c>
      <c r="AR49" s="611">
        <f t="shared" ca="1" si="37"/>
        <v>0</v>
      </c>
      <c r="AS49" s="611">
        <f t="shared" ca="1" si="38"/>
        <v>0</v>
      </c>
      <c r="AT49" s="611">
        <f t="shared" ca="1" si="39"/>
        <v>0</v>
      </c>
      <c r="AU49" s="621">
        <f t="shared" ca="1" si="40"/>
        <v>0</v>
      </c>
      <c r="AV49" s="623">
        <f t="shared" ca="1" si="41"/>
        <v>0</v>
      </c>
      <c r="AW49" s="611">
        <f t="shared" ca="1" si="42"/>
        <v>0</v>
      </c>
      <c r="AX49" s="1073">
        <f t="shared" ca="1" si="43"/>
        <v>0</v>
      </c>
      <c r="AY49" s="1071">
        <f t="shared" ca="1" si="44"/>
        <v>0</v>
      </c>
      <c r="AZ49" s="611">
        <f t="shared" ca="1" si="45"/>
        <v>0</v>
      </c>
      <c r="BA49" s="611">
        <f t="shared" ca="1" si="46"/>
        <v>0</v>
      </c>
      <c r="BB49" s="612">
        <f t="shared" ca="1" si="47"/>
        <v>0</v>
      </c>
      <c r="BC49" s="617">
        <f t="shared" si="48"/>
        <v>0</v>
      </c>
      <c r="BD49" s="619">
        <f t="shared" si="49"/>
        <v>0</v>
      </c>
      <c r="BE49" s="346">
        <f>GSh!CN49</f>
        <v>0</v>
      </c>
      <c r="BF49" s="210"/>
      <c r="BG49" s="208">
        <f>GSh!BT49</f>
        <v>0</v>
      </c>
      <c r="BH49" s="209">
        <f>GSh!BU49</f>
        <v>0</v>
      </c>
      <c r="BI49" s="199">
        <f>GSh!AF49</f>
        <v>0</v>
      </c>
      <c r="BJ49" s="199">
        <f>GSh!AG49</f>
        <v>0</v>
      </c>
      <c r="BK49" s="199">
        <f>GSh!AK49</f>
        <v>0</v>
      </c>
      <c r="BL49" s="199">
        <f>GSh!AL49</f>
        <v>0</v>
      </c>
    </row>
    <row r="50" spans="1:64" ht="15.75" customHeight="1" x14ac:dyDescent="0.3">
      <c r="A50" s="266">
        <f t="shared" si="31"/>
        <v>62</v>
      </c>
      <c r="B50" s="267">
        <f>GSh!AN50</f>
        <v>0</v>
      </c>
      <c r="C50" s="263"/>
      <c r="D50" s="263"/>
      <c r="E50" s="772">
        <f>GSh!AR50</f>
        <v>0</v>
      </c>
      <c r="F50" s="338"/>
      <c r="G50" s="505">
        <f>SUMIF(PROD!$BF$5:$BF$725,A50,PROD!$L$5:$L$725)</f>
        <v>0</v>
      </c>
      <c r="H50" s="503"/>
      <c r="I50" s="774">
        <f>GSh!AE50</f>
        <v>0</v>
      </c>
      <c r="J50" s="602">
        <f>GSh!AH50</f>
        <v>0</v>
      </c>
      <c r="K50" s="604"/>
      <c r="L50" s="776">
        <f>GSh!AJ50</f>
        <v>0</v>
      </c>
      <c r="M50" s="340">
        <f>GSh!AM50</f>
        <v>0</v>
      </c>
      <c r="N50" s="501">
        <f t="shared" si="32"/>
        <v>0</v>
      </c>
      <c r="O50" s="336"/>
      <c r="P50" s="776">
        <f>GSh!AU50</f>
        <v>0</v>
      </c>
      <c r="Q50" s="557">
        <f>GSh!AV50</f>
        <v>0</v>
      </c>
      <c r="R50" s="559"/>
      <c r="S50" s="1197"/>
      <c r="T50" s="344"/>
      <c r="U50" s="778">
        <f>GSh!BN50</f>
        <v>0</v>
      </c>
      <c r="V50" s="343">
        <f>GSh!BO50</f>
        <v>0</v>
      </c>
      <c r="W50" s="344"/>
      <c r="X50" s="778">
        <f>GSh!BQ50</f>
        <v>0</v>
      </c>
      <c r="Y50" s="343">
        <f>GSh!BR50</f>
        <v>0</v>
      </c>
      <c r="Z50" s="578">
        <f>LOOKUP($A50,PROD!$A$5:$A$725,PROD!$BE$5:$BE$725)</f>
        <v>0</v>
      </c>
      <c r="AA50" s="780">
        <f>GSh!AZ50</f>
        <v>0</v>
      </c>
      <c r="AB50" s="523">
        <f>GSh!BA50</f>
        <v>0</v>
      </c>
      <c r="AC50" s="580"/>
      <c r="AD50" s="783">
        <f>GSh!BK50/10</f>
        <v>0</v>
      </c>
      <c r="AE50" s="590">
        <f>GSh!BL50</f>
        <v>0</v>
      </c>
      <c r="AF50" s="593">
        <f t="shared" si="33"/>
        <v>0</v>
      </c>
      <c r="AG50" s="584"/>
      <c r="AH50" s="587"/>
      <c r="AI50" s="527"/>
      <c r="AJ50" s="528">
        <f>GSh!BE50</f>
        <v>0</v>
      </c>
      <c r="AK50" s="520">
        <f>GSh!BF50</f>
        <v>0</v>
      </c>
      <c r="AL50" s="532"/>
      <c r="AM50" s="769">
        <f>GSh!BH50</f>
        <v>0</v>
      </c>
      <c r="AN50" s="520">
        <f>GSh!BI50</f>
        <v>0</v>
      </c>
      <c r="AO50" s="610">
        <f t="shared" ca="1" si="34"/>
        <v>0</v>
      </c>
      <c r="AP50" s="611">
        <f t="shared" ca="1" si="35"/>
        <v>0</v>
      </c>
      <c r="AQ50" s="611">
        <f t="shared" ca="1" si="36"/>
        <v>0</v>
      </c>
      <c r="AR50" s="611">
        <f t="shared" ca="1" si="37"/>
        <v>0</v>
      </c>
      <c r="AS50" s="611">
        <f t="shared" ca="1" si="38"/>
        <v>0</v>
      </c>
      <c r="AT50" s="611">
        <f t="shared" ca="1" si="39"/>
        <v>0</v>
      </c>
      <c r="AU50" s="621">
        <f t="shared" ca="1" si="40"/>
        <v>0</v>
      </c>
      <c r="AV50" s="623">
        <f t="shared" ca="1" si="41"/>
        <v>0</v>
      </c>
      <c r="AW50" s="611">
        <f t="shared" ca="1" si="42"/>
        <v>0</v>
      </c>
      <c r="AX50" s="1073">
        <f t="shared" ca="1" si="43"/>
        <v>0</v>
      </c>
      <c r="AY50" s="1071">
        <f t="shared" ca="1" si="44"/>
        <v>0</v>
      </c>
      <c r="AZ50" s="611">
        <f t="shared" ca="1" si="45"/>
        <v>0</v>
      </c>
      <c r="BA50" s="611">
        <f t="shared" ca="1" si="46"/>
        <v>0</v>
      </c>
      <c r="BB50" s="612">
        <f t="shared" ca="1" si="47"/>
        <v>0</v>
      </c>
      <c r="BC50" s="617">
        <f t="shared" si="48"/>
        <v>0</v>
      </c>
      <c r="BD50" s="619">
        <f t="shared" si="49"/>
        <v>0</v>
      </c>
      <c r="BE50" s="346">
        <f>GSh!CN50</f>
        <v>0</v>
      </c>
      <c r="BF50" s="210"/>
      <c r="BG50" s="208">
        <f>GSh!BT50</f>
        <v>0</v>
      </c>
      <c r="BH50" s="209">
        <f>GSh!BU50</f>
        <v>0</v>
      </c>
      <c r="BI50" s="199">
        <f>GSh!AF50</f>
        <v>0</v>
      </c>
      <c r="BJ50" s="199">
        <f>GSh!AG50</f>
        <v>0</v>
      </c>
      <c r="BK50" s="199">
        <f>GSh!AK50</f>
        <v>0</v>
      </c>
      <c r="BL50" s="199">
        <f>GSh!AL50</f>
        <v>0</v>
      </c>
    </row>
    <row r="51" spans="1:64" ht="15.75" customHeight="1" x14ac:dyDescent="0.3">
      <c r="A51" s="266">
        <f t="shared" si="31"/>
        <v>63</v>
      </c>
      <c r="B51" s="267">
        <f>GSh!AN51</f>
        <v>0</v>
      </c>
      <c r="C51" s="263"/>
      <c r="D51" s="263"/>
      <c r="E51" s="772">
        <f>GSh!AR51</f>
        <v>0</v>
      </c>
      <c r="F51" s="338"/>
      <c r="G51" s="505">
        <f>SUMIF(PROD!$BF$5:$BF$725,A51,PROD!$L$5:$L$725)</f>
        <v>0</v>
      </c>
      <c r="H51" s="503"/>
      <c r="I51" s="774">
        <f>GSh!AE51</f>
        <v>0</v>
      </c>
      <c r="J51" s="602">
        <f>GSh!AH51</f>
        <v>0</v>
      </c>
      <c r="K51" s="604"/>
      <c r="L51" s="776">
        <f>GSh!AJ51</f>
        <v>0</v>
      </c>
      <c r="M51" s="340">
        <f>GSh!AM51</f>
        <v>0</v>
      </c>
      <c r="N51" s="501">
        <f t="shared" si="32"/>
        <v>0</v>
      </c>
      <c r="O51" s="336"/>
      <c r="P51" s="776">
        <f>GSh!AU51</f>
        <v>0</v>
      </c>
      <c r="Q51" s="557">
        <f>GSh!AV51</f>
        <v>0</v>
      </c>
      <c r="R51" s="559"/>
      <c r="S51" s="1197"/>
      <c r="T51" s="344"/>
      <c r="U51" s="778">
        <f>GSh!BN51</f>
        <v>0</v>
      </c>
      <c r="V51" s="343">
        <f>GSh!BO51</f>
        <v>0</v>
      </c>
      <c r="W51" s="344"/>
      <c r="X51" s="778">
        <f>GSh!BQ51</f>
        <v>0</v>
      </c>
      <c r="Y51" s="343">
        <f>GSh!BR51</f>
        <v>0</v>
      </c>
      <c r="Z51" s="578">
        <f>LOOKUP($A51,PROD!$A$5:$A$725,PROD!$BE$5:$BE$725)</f>
        <v>0</v>
      </c>
      <c r="AA51" s="780">
        <f>GSh!AZ51</f>
        <v>0</v>
      </c>
      <c r="AB51" s="523">
        <f>GSh!BA51</f>
        <v>0</v>
      </c>
      <c r="AC51" s="580"/>
      <c r="AD51" s="783">
        <f>GSh!BK51/10</f>
        <v>0</v>
      </c>
      <c r="AE51" s="590">
        <f>GSh!BL51</f>
        <v>0</v>
      </c>
      <c r="AF51" s="593">
        <f t="shared" si="33"/>
        <v>0</v>
      </c>
      <c r="AG51" s="584"/>
      <c r="AH51" s="587"/>
      <c r="AI51" s="527"/>
      <c r="AJ51" s="528">
        <f>GSh!BE51</f>
        <v>0</v>
      </c>
      <c r="AK51" s="520">
        <f>GSh!BF51</f>
        <v>0</v>
      </c>
      <c r="AL51" s="532"/>
      <c r="AM51" s="769">
        <f>GSh!BH51</f>
        <v>0</v>
      </c>
      <c r="AN51" s="520">
        <f>GSh!BI51</f>
        <v>0</v>
      </c>
      <c r="AO51" s="610">
        <f t="shared" ca="1" si="34"/>
        <v>0</v>
      </c>
      <c r="AP51" s="611">
        <f t="shared" ca="1" si="35"/>
        <v>0</v>
      </c>
      <c r="AQ51" s="611">
        <f t="shared" ca="1" si="36"/>
        <v>0</v>
      </c>
      <c r="AR51" s="611">
        <f t="shared" ca="1" si="37"/>
        <v>0</v>
      </c>
      <c r="AS51" s="611">
        <f t="shared" ca="1" si="38"/>
        <v>0</v>
      </c>
      <c r="AT51" s="611">
        <f t="shared" ca="1" si="39"/>
        <v>0</v>
      </c>
      <c r="AU51" s="621">
        <f t="shared" ca="1" si="40"/>
        <v>0</v>
      </c>
      <c r="AV51" s="623">
        <f t="shared" ca="1" si="41"/>
        <v>0</v>
      </c>
      <c r="AW51" s="611">
        <f t="shared" ca="1" si="42"/>
        <v>0</v>
      </c>
      <c r="AX51" s="1073">
        <f t="shared" ca="1" si="43"/>
        <v>0</v>
      </c>
      <c r="AY51" s="1071">
        <f t="shared" ca="1" si="44"/>
        <v>0</v>
      </c>
      <c r="AZ51" s="611">
        <f t="shared" ca="1" si="45"/>
        <v>0</v>
      </c>
      <c r="BA51" s="611">
        <f t="shared" ca="1" si="46"/>
        <v>0</v>
      </c>
      <c r="BB51" s="612">
        <f t="shared" ca="1" si="47"/>
        <v>0</v>
      </c>
      <c r="BC51" s="617">
        <f t="shared" si="48"/>
        <v>0</v>
      </c>
      <c r="BD51" s="619">
        <f t="shared" si="49"/>
        <v>0</v>
      </c>
      <c r="BE51" s="346">
        <f>GSh!CN51</f>
        <v>0</v>
      </c>
      <c r="BF51" s="210"/>
      <c r="BG51" s="208">
        <f>GSh!BT51</f>
        <v>0</v>
      </c>
      <c r="BH51" s="209">
        <f>GSh!BU51</f>
        <v>0</v>
      </c>
      <c r="BI51" s="199">
        <f>GSh!AF51</f>
        <v>0</v>
      </c>
      <c r="BJ51" s="199">
        <f>GSh!AG51</f>
        <v>0</v>
      </c>
      <c r="BK51" s="199">
        <f>GSh!AK51</f>
        <v>0</v>
      </c>
      <c r="BL51" s="199">
        <f>GSh!AL51</f>
        <v>0</v>
      </c>
    </row>
    <row r="52" spans="1:64" ht="15.75" customHeight="1" x14ac:dyDescent="0.3">
      <c r="A52" s="266">
        <f t="shared" si="31"/>
        <v>64</v>
      </c>
      <c r="B52" s="267">
        <f>GSh!AN52</f>
        <v>0</v>
      </c>
      <c r="C52" s="263"/>
      <c r="D52" s="263"/>
      <c r="E52" s="772">
        <f>GSh!AR52</f>
        <v>0</v>
      </c>
      <c r="F52" s="338"/>
      <c r="G52" s="505">
        <f>SUMIF(PROD!$BF$5:$BF$725,A52,PROD!$L$5:$L$725)</f>
        <v>0</v>
      </c>
      <c r="H52" s="503"/>
      <c r="I52" s="774">
        <f>GSh!AE52</f>
        <v>0</v>
      </c>
      <c r="J52" s="602">
        <f>GSh!AH52</f>
        <v>0</v>
      </c>
      <c r="K52" s="604"/>
      <c r="L52" s="776">
        <f>GSh!AJ52</f>
        <v>0</v>
      </c>
      <c r="M52" s="340">
        <f>GSh!AM52</f>
        <v>0</v>
      </c>
      <c r="N52" s="501">
        <f t="shared" si="32"/>
        <v>0</v>
      </c>
      <c r="O52" s="336"/>
      <c r="P52" s="776">
        <f>GSh!AU52</f>
        <v>0</v>
      </c>
      <c r="Q52" s="557">
        <f>GSh!AV52</f>
        <v>0</v>
      </c>
      <c r="R52" s="559"/>
      <c r="S52" s="1197"/>
      <c r="T52" s="344"/>
      <c r="U52" s="778">
        <f>GSh!BN52</f>
        <v>0</v>
      </c>
      <c r="V52" s="343">
        <f>GSh!BO52</f>
        <v>0</v>
      </c>
      <c r="W52" s="344"/>
      <c r="X52" s="778">
        <f>GSh!BQ52</f>
        <v>0</v>
      </c>
      <c r="Y52" s="343">
        <f>GSh!BR52</f>
        <v>0</v>
      </c>
      <c r="Z52" s="578">
        <f>LOOKUP($A52,PROD!$A$5:$A$725,PROD!$BE$5:$BE$725)</f>
        <v>0</v>
      </c>
      <c r="AA52" s="780">
        <f>GSh!AZ52</f>
        <v>0</v>
      </c>
      <c r="AB52" s="523">
        <f>GSh!BA52</f>
        <v>0</v>
      </c>
      <c r="AC52" s="580"/>
      <c r="AD52" s="783">
        <f>GSh!BK52/10</f>
        <v>0</v>
      </c>
      <c r="AE52" s="590">
        <f>GSh!BL52</f>
        <v>0</v>
      </c>
      <c r="AF52" s="593">
        <f t="shared" si="33"/>
        <v>0</v>
      </c>
      <c r="AG52" s="584"/>
      <c r="AH52" s="587"/>
      <c r="AI52" s="527"/>
      <c r="AJ52" s="528">
        <f>GSh!BE52</f>
        <v>0</v>
      </c>
      <c r="AK52" s="520">
        <f>GSh!BF52</f>
        <v>0</v>
      </c>
      <c r="AL52" s="532"/>
      <c r="AM52" s="769">
        <f>GSh!BH52</f>
        <v>0</v>
      </c>
      <c r="AN52" s="520">
        <f>GSh!BI52</f>
        <v>0</v>
      </c>
      <c r="AO52" s="610">
        <f t="shared" ca="1" si="34"/>
        <v>0</v>
      </c>
      <c r="AP52" s="611">
        <f t="shared" ca="1" si="35"/>
        <v>0</v>
      </c>
      <c r="AQ52" s="611">
        <f t="shared" ca="1" si="36"/>
        <v>0</v>
      </c>
      <c r="AR52" s="611">
        <f t="shared" ca="1" si="37"/>
        <v>0</v>
      </c>
      <c r="AS52" s="611">
        <f t="shared" ca="1" si="38"/>
        <v>0</v>
      </c>
      <c r="AT52" s="611">
        <f t="shared" ca="1" si="39"/>
        <v>0</v>
      </c>
      <c r="AU52" s="621">
        <f t="shared" ca="1" si="40"/>
        <v>0</v>
      </c>
      <c r="AV52" s="623">
        <f t="shared" ca="1" si="41"/>
        <v>0</v>
      </c>
      <c r="AW52" s="611">
        <f t="shared" ca="1" si="42"/>
        <v>0</v>
      </c>
      <c r="AX52" s="1073">
        <f t="shared" ca="1" si="43"/>
        <v>0</v>
      </c>
      <c r="AY52" s="1071">
        <f t="shared" ca="1" si="44"/>
        <v>0</v>
      </c>
      <c r="AZ52" s="611">
        <f t="shared" ca="1" si="45"/>
        <v>0</v>
      </c>
      <c r="BA52" s="611">
        <f t="shared" ca="1" si="46"/>
        <v>0</v>
      </c>
      <c r="BB52" s="612">
        <f t="shared" ca="1" si="47"/>
        <v>0</v>
      </c>
      <c r="BC52" s="617">
        <f t="shared" si="48"/>
        <v>0</v>
      </c>
      <c r="BD52" s="619">
        <f t="shared" si="49"/>
        <v>0</v>
      </c>
      <c r="BE52" s="346">
        <f>GSh!CN52</f>
        <v>0</v>
      </c>
      <c r="BF52" s="210"/>
      <c r="BG52" s="208">
        <f>GSh!BT52</f>
        <v>0</v>
      </c>
      <c r="BH52" s="209">
        <f>GSh!BU52</f>
        <v>0</v>
      </c>
      <c r="BI52" s="199">
        <f>GSh!AF52</f>
        <v>0</v>
      </c>
      <c r="BJ52" s="199">
        <f>GSh!AG52</f>
        <v>0</v>
      </c>
      <c r="BK52" s="199">
        <f>GSh!AK52</f>
        <v>0</v>
      </c>
      <c r="BL52" s="199">
        <f>GSh!AL52</f>
        <v>0</v>
      </c>
    </row>
    <row r="53" spans="1:64" ht="15.75" customHeight="1" x14ac:dyDescent="0.3">
      <c r="A53" s="266">
        <f t="shared" si="31"/>
        <v>65</v>
      </c>
      <c r="B53" s="267">
        <f>GSh!AN53</f>
        <v>0</v>
      </c>
      <c r="C53" s="263"/>
      <c r="D53" s="263"/>
      <c r="E53" s="772">
        <f>GSh!AR53</f>
        <v>0</v>
      </c>
      <c r="F53" s="338"/>
      <c r="G53" s="505">
        <f>SUMIF(PROD!$BF$5:$BF$725,A53,PROD!$L$5:$L$725)</f>
        <v>0</v>
      </c>
      <c r="H53" s="503"/>
      <c r="I53" s="774">
        <f>GSh!AE53</f>
        <v>0</v>
      </c>
      <c r="J53" s="602">
        <f>GSh!AH53</f>
        <v>0</v>
      </c>
      <c r="K53" s="604"/>
      <c r="L53" s="776">
        <f>GSh!AJ53</f>
        <v>0</v>
      </c>
      <c r="M53" s="340">
        <f>GSh!AM53</f>
        <v>0</v>
      </c>
      <c r="N53" s="501">
        <f t="shared" si="32"/>
        <v>0</v>
      </c>
      <c r="O53" s="336"/>
      <c r="P53" s="776">
        <f>GSh!AU53</f>
        <v>0</v>
      </c>
      <c r="Q53" s="557">
        <f>GSh!AV53</f>
        <v>0</v>
      </c>
      <c r="R53" s="559"/>
      <c r="S53" s="1197"/>
      <c r="T53" s="344"/>
      <c r="U53" s="778">
        <f>GSh!BN53</f>
        <v>0</v>
      </c>
      <c r="V53" s="343">
        <f>GSh!BO53</f>
        <v>0</v>
      </c>
      <c r="W53" s="344"/>
      <c r="X53" s="778">
        <f>GSh!BQ53</f>
        <v>0</v>
      </c>
      <c r="Y53" s="343">
        <f>GSh!BR53</f>
        <v>0</v>
      </c>
      <c r="Z53" s="578">
        <f>LOOKUP($A53,PROD!$A$5:$A$725,PROD!$BE$5:$BE$725)</f>
        <v>0</v>
      </c>
      <c r="AA53" s="780">
        <f>GSh!AZ53</f>
        <v>0</v>
      </c>
      <c r="AB53" s="523">
        <f>GSh!BA53</f>
        <v>0</v>
      </c>
      <c r="AC53" s="580"/>
      <c r="AD53" s="783">
        <f>GSh!BK53/10</f>
        <v>0</v>
      </c>
      <c r="AE53" s="590">
        <f>GSh!BL53</f>
        <v>0</v>
      </c>
      <c r="AF53" s="593">
        <f t="shared" si="33"/>
        <v>0</v>
      </c>
      <c r="AG53" s="584"/>
      <c r="AH53" s="587"/>
      <c r="AI53" s="527"/>
      <c r="AJ53" s="528">
        <f>GSh!BE53</f>
        <v>0</v>
      </c>
      <c r="AK53" s="520">
        <f>GSh!BF53</f>
        <v>0</v>
      </c>
      <c r="AL53" s="532"/>
      <c r="AM53" s="769">
        <f>GSh!BH53</f>
        <v>0</v>
      </c>
      <c r="AN53" s="520">
        <f>GSh!BI53</f>
        <v>0</v>
      </c>
      <c r="AO53" s="610">
        <f t="shared" ca="1" si="34"/>
        <v>0</v>
      </c>
      <c r="AP53" s="611">
        <f t="shared" ca="1" si="35"/>
        <v>0</v>
      </c>
      <c r="AQ53" s="611">
        <f t="shared" ca="1" si="36"/>
        <v>0</v>
      </c>
      <c r="AR53" s="611">
        <f t="shared" ca="1" si="37"/>
        <v>0</v>
      </c>
      <c r="AS53" s="611">
        <f t="shared" ca="1" si="38"/>
        <v>0</v>
      </c>
      <c r="AT53" s="611">
        <f t="shared" ca="1" si="39"/>
        <v>0</v>
      </c>
      <c r="AU53" s="621">
        <f t="shared" ca="1" si="40"/>
        <v>0</v>
      </c>
      <c r="AV53" s="623">
        <f t="shared" ca="1" si="41"/>
        <v>0</v>
      </c>
      <c r="AW53" s="611">
        <f t="shared" ca="1" si="42"/>
        <v>0</v>
      </c>
      <c r="AX53" s="1073">
        <f t="shared" ca="1" si="43"/>
        <v>0</v>
      </c>
      <c r="AY53" s="1071">
        <f t="shared" ca="1" si="44"/>
        <v>0</v>
      </c>
      <c r="AZ53" s="611">
        <f t="shared" ca="1" si="45"/>
        <v>0</v>
      </c>
      <c r="BA53" s="611">
        <f t="shared" ca="1" si="46"/>
        <v>0</v>
      </c>
      <c r="BB53" s="612">
        <f t="shared" ca="1" si="47"/>
        <v>0</v>
      </c>
      <c r="BC53" s="617">
        <f t="shared" si="48"/>
        <v>0</v>
      </c>
      <c r="BD53" s="619">
        <f t="shared" si="49"/>
        <v>0</v>
      </c>
      <c r="BE53" s="346">
        <f>GSh!CN53</f>
        <v>0</v>
      </c>
      <c r="BF53" s="210"/>
      <c r="BG53" s="208">
        <f>GSh!BT53</f>
        <v>0</v>
      </c>
      <c r="BH53" s="209">
        <f>GSh!BU53</f>
        <v>0</v>
      </c>
      <c r="BI53" s="199">
        <f>GSh!AF53</f>
        <v>0</v>
      </c>
      <c r="BJ53" s="199">
        <f>GSh!AG53</f>
        <v>0</v>
      </c>
      <c r="BK53" s="199">
        <f>GSh!AK53</f>
        <v>0</v>
      </c>
      <c r="BL53" s="199">
        <f>GSh!AL53</f>
        <v>0</v>
      </c>
    </row>
    <row r="54" spans="1:64" ht="15.75" customHeight="1" x14ac:dyDescent="0.3">
      <c r="A54" s="266">
        <f t="shared" si="31"/>
        <v>66</v>
      </c>
      <c r="B54" s="267">
        <f>GSh!AN54</f>
        <v>0</v>
      </c>
      <c r="C54" s="263"/>
      <c r="D54" s="263"/>
      <c r="E54" s="772">
        <f>GSh!AR54</f>
        <v>0</v>
      </c>
      <c r="F54" s="338"/>
      <c r="G54" s="505">
        <f>SUMIF(PROD!$BF$5:$BF$725,A54,PROD!$L$5:$L$725)</f>
        <v>0</v>
      </c>
      <c r="H54" s="503"/>
      <c r="I54" s="774">
        <f>GSh!AE54</f>
        <v>0</v>
      </c>
      <c r="J54" s="602">
        <f>GSh!AH54</f>
        <v>0</v>
      </c>
      <c r="K54" s="604"/>
      <c r="L54" s="776">
        <f>GSh!AJ54</f>
        <v>0</v>
      </c>
      <c r="M54" s="340">
        <f>GSh!AM54</f>
        <v>0</v>
      </c>
      <c r="N54" s="501">
        <f t="shared" si="32"/>
        <v>0</v>
      </c>
      <c r="O54" s="336"/>
      <c r="P54" s="776">
        <f>GSh!AU54</f>
        <v>0</v>
      </c>
      <c r="Q54" s="557">
        <f>GSh!AV54</f>
        <v>0</v>
      </c>
      <c r="R54" s="559"/>
      <c r="S54" s="1197"/>
      <c r="T54" s="344"/>
      <c r="U54" s="778">
        <f>GSh!BN54</f>
        <v>0</v>
      </c>
      <c r="V54" s="343">
        <f>GSh!BO54</f>
        <v>0</v>
      </c>
      <c r="W54" s="344"/>
      <c r="X54" s="778">
        <f>GSh!BQ54</f>
        <v>0</v>
      </c>
      <c r="Y54" s="343">
        <f>GSh!BR54</f>
        <v>0</v>
      </c>
      <c r="Z54" s="578">
        <f>LOOKUP($A54,PROD!$A$5:$A$725,PROD!$BE$5:$BE$725)</f>
        <v>0</v>
      </c>
      <c r="AA54" s="780">
        <f>GSh!AZ54</f>
        <v>0</v>
      </c>
      <c r="AB54" s="523">
        <f>GSh!BA54</f>
        <v>0</v>
      </c>
      <c r="AC54" s="580"/>
      <c r="AD54" s="783">
        <f>GSh!BK54/10</f>
        <v>0</v>
      </c>
      <c r="AE54" s="590">
        <f>GSh!BL54</f>
        <v>0</v>
      </c>
      <c r="AF54" s="593">
        <f t="shared" si="33"/>
        <v>0</v>
      </c>
      <c r="AG54" s="584"/>
      <c r="AH54" s="587"/>
      <c r="AI54" s="527"/>
      <c r="AJ54" s="528">
        <f>GSh!BE54</f>
        <v>0</v>
      </c>
      <c r="AK54" s="520">
        <f>GSh!BF54</f>
        <v>0</v>
      </c>
      <c r="AL54" s="532"/>
      <c r="AM54" s="769">
        <f>GSh!BH54</f>
        <v>0</v>
      </c>
      <c r="AN54" s="520">
        <f>GSh!BI54</f>
        <v>0</v>
      </c>
      <c r="AO54" s="610">
        <f t="shared" ca="1" si="34"/>
        <v>0</v>
      </c>
      <c r="AP54" s="611">
        <f t="shared" ca="1" si="35"/>
        <v>0</v>
      </c>
      <c r="AQ54" s="611">
        <f t="shared" ca="1" si="36"/>
        <v>0</v>
      </c>
      <c r="AR54" s="611">
        <f t="shared" ca="1" si="37"/>
        <v>0</v>
      </c>
      <c r="AS54" s="611">
        <f t="shared" ca="1" si="38"/>
        <v>0</v>
      </c>
      <c r="AT54" s="611">
        <f t="shared" ca="1" si="39"/>
        <v>0</v>
      </c>
      <c r="AU54" s="621">
        <f t="shared" ca="1" si="40"/>
        <v>0</v>
      </c>
      <c r="AV54" s="623">
        <f t="shared" ca="1" si="41"/>
        <v>0</v>
      </c>
      <c r="AW54" s="611">
        <f t="shared" ca="1" si="42"/>
        <v>0</v>
      </c>
      <c r="AX54" s="1073">
        <f t="shared" ca="1" si="43"/>
        <v>0</v>
      </c>
      <c r="AY54" s="1071">
        <f t="shared" ca="1" si="44"/>
        <v>0</v>
      </c>
      <c r="AZ54" s="611">
        <f t="shared" ca="1" si="45"/>
        <v>0</v>
      </c>
      <c r="BA54" s="611">
        <f t="shared" ca="1" si="46"/>
        <v>0</v>
      </c>
      <c r="BB54" s="612">
        <f t="shared" ca="1" si="47"/>
        <v>0</v>
      </c>
      <c r="BC54" s="617">
        <f t="shared" si="48"/>
        <v>0</v>
      </c>
      <c r="BD54" s="619">
        <f t="shared" si="49"/>
        <v>0</v>
      </c>
      <c r="BE54" s="346">
        <f>GSh!CN54</f>
        <v>0</v>
      </c>
      <c r="BF54" s="210"/>
      <c r="BG54" s="208">
        <f>GSh!BT54</f>
        <v>0</v>
      </c>
      <c r="BH54" s="209">
        <f>GSh!BU54</f>
        <v>0</v>
      </c>
      <c r="BI54" s="199">
        <f>GSh!AF54</f>
        <v>0</v>
      </c>
      <c r="BJ54" s="199">
        <f>GSh!AG54</f>
        <v>0</v>
      </c>
      <c r="BK54" s="199">
        <f>GSh!AK54</f>
        <v>0</v>
      </c>
      <c r="BL54" s="199">
        <f>GSh!AL54</f>
        <v>0</v>
      </c>
    </row>
    <row r="55" spans="1:64" ht="15.75" customHeight="1" x14ac:dyDescent="0.3">
      <c r="A55" s="266">
        <f t="shared" si="31"/>
        <v>67</v>
      </c>
      <c r="B55" s="267">
        <f>GSh!AN55</f>
        <v>0</v>
      </c>
      <c r="C55" s="263"/>
      <c r="D55" s="263"/>
      <c r="E55" s="772">
        <f>GSh!AR55</f>
        <v>0</v>
      </c>
      <c r="F55" s="338"/>
      <c r="G55" s="505">
        <f>SUMIF(PROD!$BF$5:$BF$725,A55,PROD!$L$5:$L$725)</f>
        <v>0</v>
      </c>
      <c r="H55" s="503"/>
      <c r="I55" s="774">
        <f>GSh!AE55</f>
        <v>0</v>
      </c>
      <c r="J55" s="602">
        <f>GSh!AH55</f>
        <v>0</v>
      </c>
      <c r="K55" s="604"/>
      <c r="L55" s="776">
        <f>GSh!AJ55</f>
        <v>0</v>
      </c>
      <c r="M55" s="340">
        <f>GSh!AM55</f>
        <v>0</v>
      </c>
      <c r="N55" s="501">
        <f t="shared" si="32"/>
        <v>0</v>
      </c>
      <c r="O55" s="336"/>
      <c r="P55" s="776">
        <f>GSh!AU55</f>
        <v>0</v>
      </c>
      <c r="Q55" s="557">
        <f>GSh!AV55</f>
        <v>0</v>
      </c>
      <c r="R55" s="559"/>
      <c r="S55" s="1197"/>
      <c r="T55" s="344"/>
      <c r="U55" s="778">
        <f>GSh!BN55</f>
        <v>0</v>
      </c>
      <c r="V55" s="343">
        <f>GSh!BO55</f>
        <v>0</v>
      </c>
      <c r="W55" s="344"/>
      <c r="X55" s="778">
        <f>GSh!BQ55</f>
        <v>0</v>
      </c>
      <c r="Y55" s="343">
        <f>GSh!BR55</f>
        <v>0</v>
      </c>
      <c r="Z55" s="578">
        <f>LOOKUP($A55,PROD!$A$5:$A$725,PROD!$BE$5:$BE$725)</f>
        <v>0</v>
      </c>
      <c r="AA55" s="780">
        <f>GSh!AZ55</f>
        <v>0</v>
      </c>
      <c r="AB55" s="523">
        <f>GSh!BA55</f>
        <v>0</v>
      </c>
      <c r="AC55" s="580"/>
      <c r="AD55" s="783">
        <f>GSh!BK55/10</f>
        <v>0</v>
      </c>
      <c r="AE55" s="590">
        <f>GSh!BL55</f>
        <v>0</v>
      </c>
      <c r="AF55" s="593">
        <f t="shared" si="33"/>
        <v>0</v>
      </c>
      <c r="AG55" s="584"/>
      <c r="AH55" s="587"/>
      <c r="AI55" s="527"/>
      <c r="AJ55" s="528">
        <f>GSh!BE55</f>
        <v>0</v>
      </c>
      <c r="AK55" s="520">
        <f>GSh!BF55</f>
        <v>0</v>
      </c>
      <c r="AL55" s="532"/>
      <c r="AM55" s="769">
        <f>GSh!BH55</f>
        <v>0</v>
      </c>
      <c r="AN55" s="520">
        <f>GSh!BI55</f>
        <v>0</v>
      </c>
      <c r="AO55" s="610">
        <f t="shared" ca="1" si="34"/>
        <v>0</v>
      </c>
      <c r="AP55" s="611">
        <f t="shared" ca="1" si="35"/>
        <v>0</v>
      </c>
      <c r="AQ55" s="611">
        <f t="shared" ca="1" si="36"/>
        <v>0</v>
      </c>
      <c r="AR55" s="611">
        <f t="shared" ca="1" si="37"/>
        <v>0</v>
      </c>
      <c r="AS55" s="611">
        <f t="shared" ca="1" si="38"/>
        <v>0</v>
      </c>
      <c r="AT55" s="611">
        <f t="shared" ca="1" si="39"/>
        <v>0</v>
      </c>
      <c r="AU55" s="621">
        <f t="shared" ca="1" si="40"/>
        <v>0</v>
      </c>
      <c r="AV55" s="623">
        <f t="shared" ca="1" si="41"/>
        <v>0</v>
      </c>
      <c r="AW55" s="611">
        <f t="shared" ca="1" si="42"/>
        <v>0</v>
      </c>
      <c r="AX55" s="1073">
        <f t="shared" ca="1" si="43"/>
        <v>0</v>
      </c>
      <c r="AY55" s="1071">
        <f t="shared" ca="1" si="44"/>
        <v>0</v>
      </c>
      <c r="AZ55" s="611">
        <f t="shared" ca="1" si="45"/>
        <v>0</v>
      </c>
      <c r="BA55" s="611">
        <f t="shared" ca="1" si="46"/>
        <v>0</v>
      </c>
      <c r="BB55" s="612">
        <f t="shared" ca="1" si="47"/>
        <v>0</v>
      </c>
      <c r="BC55" s="617">
        <f t="shared" si="48"/>
        <v>0</v>
      </c>
      <c r="BD55" s="619">
        <f t="shared" si="49"/>
        <v>0</v>
      </c>
      <c r="BE55" s="346">
        <f>GSh!CN55</f>
        <v>0</v>
      </c>
      <c r="BF55" s="210"/>
      <c r="BG55" s="208">
        <f>GSh!BT55</f>
        <v>0</v>
      </c>
      <c r="BH55" s="209">
        <f>GSh!BU55</f>
        <v>0</v>
      </c>
      <c r="BI55" s="199">
        <f>GSh!AF55</f>
        <v>0</v>
      </c>
      <c r="BJ55" s="199">
        <f>GSh!AG55</f>
        <v>0</v>
      </c>
      <c r="BK55" s="199">
        <f>GSh!AK55</f>
        <v>0</v>
      </c>
      <c r="BL55" s="199">
        <f>GSh!AL55</f>
        <v>0</v>
      </c>
    </row>
    <row r="56" spans="1:64" ht="15.75" customHeight="1" x14ac:dyDescent="0.3">
      <c r="A56" s="266">
        <f t="shared" si="31"/>
        <v>68</v>
      </c>
      <c r="B56" s="267">
        <f>GSh!AN56</f>
        <v>0</v>
      </c>
      <c r="C56" s="263"/>
      <c r="D56" s="263"/>
      <c r="E56" s="772">
        <f>GSh!AR56</f>
        <v>0</v>
      </c>
      <c r="F56" s="338"/>
      <c r="G56" s="505">
        <f>SUMIF(PROD!$BF$5:$BF$725,A56,PROD!$L$5:$L$725)</f>
        <v>0</v>
      </c>
      <c r="H56" s="503"/>
      <c r="I56" s="774">
        <f>GSh!AE56</f>
        <v>0</v>
      </c>
      <c r="J56" s="602">
        <f>GSh!AH56</f>
        <v>0</v>
      </c>
      <c r="K56" s="604"/>
      <c r="L56" s="776">
        <f>GSh!AJ56</f>
        <v>0</v>
      </c>
      <c r="M56" s="340">
        <f>GSh!AM56</f>
        <v>0</v>
      </c>
      <c r="N56" s="501">
        <f t="shared" si="32"/>
        <v>0</v>
      </c>
      <c r="O56" s="336"/>
      <c r="P56" s="776">
        <f>GSh!AU56</f>
        <v>0</v>
      </c>
      <c r="Q56" s="557">
        <f>GSh!AV56</f>
        <v>0</v>
      </c>
      <c r="R56" s="559"/>
      <c r="S56" s="1197"/>
      <c r="T56" s="344"/>
      <c r="U56" s="778">
        <f>GSh!BN56</f>
        <v>0</v>
      </c>
      <c r="V56" s="343">
        <f>GSh!BO56</f>
        <v>0</v>
      </c>
      <c r="W56" s="344"/>
      <c r="X56" s="778">
        <f>GSh!BQ56</f>
        <v>0</v>
      </c>
      <c r="Y56" s="343">
        <f>GSh!BR56</f>
        <v>0</v>
      </c>
      <c r="Z56" s="578">
        <f>LOOKUP($A56,PROD!$A$5:$A$725,PROD!$BE$5:$BE$725)</f>
        <v>0</v>
      </c>
      <c r="AA56" s="780">
        <f>GSh!AZ56</f>
        <v>0</v>
      </c>
      <c r="AB56" s="523">
        <f>GSh!BA56</f>
        <v>0</v>
      </c>
      <c r="AC56" s="580"/>
      <c r="AD56" s="783">
        <f>GSh!BK56/10</f>
        <v>0</v>
      </c>
      <c r="AE56" s="590">
        <f>GSh!BL56</f>
        <v>0</v>
      </c>
      <c r="AF56" s="593">
        <f t="shared" si="33"/>
        <v>0</v>
      </c>
      <c r="AG56" s="584"/>
      <c r="AH56" s="587"/>
      <c r="AI56" s="527"/>
      <c r="AJ56" s="528">
        <f>GSh!BE56</f>
        <v>0</v>
      </c>
      <c r="AK56" s="520">
        <f>GSh!BF56</f>
        <v>0</v>
      </c>
      <c r="AL56" s="532"/>
      <c r="AM56" s="769">
        <f>GSh!BH56</f>
        <v>0</v>
      </c>
      <c r="AN56" s="520">
        <f>GSh!BI56</f>
        <v>0</v>
      </c>
      <c r="AO56" s="610">
        <f t="shared" ca="1" si="34"/>
        <v>0</v>
      </c>
      <c r="AP56" s="611">
        <f t="shared" ca="1" si="35"/>
        <v>0</v>
      </c>
      <c r="AQ56" s="611">
        <f t="shared" ca="1" si="36"/>
        <v>0</v>
      </c>
      <c r="AR56" s="611">
        <f t="shared" ca="1" si="37"/>
        <v>0</v>
      </c>
      <c r="AS56" s="611">
        <f t="shared" ca="1" si="38"/>
        <v>0</v>
      </c>
      <c r="AT56" s="611">
        <f t="shared" ca="1" si="39"/>
        <v>0</v>
      </c>
      <c r="AU56" s="621">
        <f t="shared" ca="1" si="40"/>
        <v>0</v>
      </c>
      <c r="AV56" s="623">
        <f t="shared" ca="1" si="41"/>
        <v>0</v>
      </c>
      <c r="AW56" s="611">
        <f t="shared" ca="1" si="42"/>
        <v>0</v>
      </c>
      <c r="AX56" s="1073">
        <f t="shared" ca="1" si="43"/>
        <v>0</v>
      </c>
      <c r="AY56" s="1071">
        <f t="shared" ca="1" si="44"/>
        <v>0</v>
      </c>
      <c r="AZ56" s="611">
        <f t="shared" ca="1" si="45"/>
        <v>0</v>
      </c>
      <c r="BA56" s="611">
        <f t="shared" ca="1" si="46"/>
        <v>0</v>
      </c>
      <c r="BB56" s="612">
        <f t="shared" ca="1" si="47"/>
        <v>0</v>
      </c>
      <c r="BC56" s="617">
        <f t="shared" si="48"/>
        <v>0</v>
      </c>
      <c r="BD56" s="619">
        <f t="shared" si="49"/>
        <v>0</v>
      </c>
      <c r="BE56" s="346">
        <f>GSh!CN56</f>
        <v>0</v>
      </c>
      <c r="BF56" s="210"/>
      <c r="BG56" s="208">
        <f>GSh!BT56</f>
        <v>0</v>
      </c>
      <c r="BH56" s="209">
        <f>GSh!BU56</f>
        <v>0</v>
      </c>
      <c r="BI56" s="199">
        <f>GSh!AF56</f>
        <v>0</v>
      </c>
      <c r="BJ56" s="199">
        <f>GSh!AG56</f>
        <v>0</v>
      </c>
      <c r="BK56" s="199">
        <f>GSh!AK56</f>
        <v>0</v>
      </c>
      <c r="BL56" s="199">
        <f>GSh!AL56</f>
        <v>0</v>
      </c>
    </row>
    <row r="57" spans="1:64" ht="15.75" customHeight="1" x14ac:dyDescent="0.3">
      <c r="A57" s="266">
        <f t="shared" si="31"/>
        <v>69</v>
      </c>
      <c r="B57" s="267">
        <f>GSh!AN57</f>
        <v>0</v>
      </c>
      <c r="C57" s="263"/>
      <c r="D57" s="263"/>
      <c r="E57" s="772">
        <f>GSh!AR57</f>
        <v>0</v>
      </c>
      <c r="F57" s="338"/>
      <c r="G57" s="505">
        <f>SUMIF(PROD!$BF$5:$BF$725,A57,PROD!$L$5:$L$725)</f>
        <v>0</v>
      </c>
      <c r="H57" s="503"/>
      <c r="I57" s="774">
        <f>GSh!AE57</f>
        <v>0</v>
      </c>
      <c r="J57" s="602">
        <f>GSh!AH57</f>
        <v>0</v>
      </c>
      <c r="K57" s="604"/>
      <c r="L57" s="776">
        <f>GSh!AJ57</f>
        <v>0</v>
      </c>
      <c r="M57" s="340">
        <f>GSh!AM57</f>
        <v>0</v>
      </c>
      <c r="N57" s="501">
        <f t="shared" si="32"/>
        <v>0</v>
      </c>
      <c r="O57" s="336"/>
      <c r="P57" s="776">
        <f>GSh!AU57</f>
        <v>0</v>
      </c>
      <c r="Q57" s="557">
        <f>GSh!AV57</f>
        <v>0</v>
      </c>
      <c r="R57" s="559"/>
      <c r="S57" s="1197"/>
      <c r="T57" s="344"/>
      <c r="U57" s="778">
        <f>GSh!BN57</f>
        <v>0</v>
      </c>
      <c r="V57" s="343">
        <f>GSh!BO57</f>
        <v>0</v>
      </c>
      <c r="W57" s="344"/>
      <c r="X57" s="778">
        <f>GSh!BQ57</f>
        <v>0</v>
      </c>
      <c r="Y57" s="343">
        <f>GSh!BR57</f>
        <v>0</v>
      </c>
      <c r="Z57" s="578">
        <f>LOOKUP($A57,PROD!$A$5:$A$725,PROD!$BE$5:$BE$725)</f>
        <v>0</v>
      </c>
      <c r="AA57" s="780">
        <f>GSh!AZ57</f>
        <v>0</v>
      </c>
      <c r="AB57" s="523">
        <f>GSh!BA57</f>
        <v>0</v>
      </c>
      <c r="AC57" s="580"/>
      <c r="AD57" s="783">
        <f>GSh!BK57/10</f>
        <v>0</v>
      </c>
      <c r="AE57" s="590">
        <f>GSh!BL57</f>
        <v>0</v>
      </c>
      <c r="AF57" s="593">
        <f t="shared" si="33"/>
        <v>0</v>
      </c>
      <c r="AG57" s="584"/>
      <c r="AH57" s="587"/>
      <c r="AI57" s="527"/>
      <c r="AJ57" s="528">
        <f>GSh!BE57</f>
        <v>0</v>
      </c>
      <c r="AK57" s="520">
        <f>GSh!BF57</f>
        <v>0</v>
      </c>
      <c r="AL57" s="532"/>
      <c r="AM57" s="769">
        <f>GSh!BH57</f>
        <v>0</v>
      </c>
      <c r="AN57" s="520">
        <f>GSh!BI57</f>
        <v>0</v>
      </c>
      <c r="AO57" s="610">
        <f t="shared" ca="1" si="34"/>
        <v>0</v>
      </c>
      <c r="AP57" s="611">
        <f t="shared" ca="1" si="35"/>
        <v>0</v>
      </c>
      <c r="AQ57" s="611">
        <f t="shared" ca="1" si="36"/>
        <v>0</v>
      </c>
      <c r="AR57" s="611">
        <f t="shared" ca="1" si="37"/>
        <v>0</v>
      </c>
      <c r="AS57" s="611">
        <f t="shared" ca="1" si="38"/>
        <v>0</v>
      </c>
      <c r="AT57" s="611">
        <f t="shared" ca="1" si="39"/>
        <v>0</v>
      </c>
      <c r="AU57" s="621">
        <f t="shared" ca="1" si="40"/>
        <v>0</v>
      </c>
      <c r="AV57" s="623">
        <f t="shared" ca="1" si="41"/>
        <v>0</v>
      </c>
      <c r="AW57" s="611">
        <f t="shared" ca="1" si="42"/>
        <v>0</v>
      </c>
      <c r="AX57" s="1073">
        <f t="shared" ca="1" si="43"/>
        <v>0</v>
      </c>
      <c r="AY57" s="1071">
        <f t="shared" ca="1" si="44"/>
        <v>0</v>
      </c>
      <c r="AZ57" s="611">
        <f t="shared" ca="1" si="45"/>
        <v>0</v>
      </c>
      <c r="BA57" s="611">
        <f t="shared" ca="1" si="46"/>
        <v>0</v>
      </c>
      <c r="BB57" s="612">
        <f t="shared" ca="1" si="47"/>
        <v>0</v>
      </c>
      <c r="BC57" s="617">
        <f t="shared" si="48"/>
        <v>0</v>
      </c>
      <c r="BD57" s="619">
        <f t="shared" si="49"/>
        <v>0</v>
      </c>
      <c r="BE57" s="346">
        <f>GSh!CN57</f>
        <v>0</v>
      </c>
      <c r="BF57" s="210"/>
      <c r="BG57" s="208">
        <f>GSh!BT57</f>
        <v>0</v>
      </c>
      <c r="BH57" s="209">
        <f>GSh!BU57</f>
        <v>0</v>
      </c>
      <c r="BI57" s="199">
        <f>GSh!AF57</f>
        <v>0</v>
      </c>
      <c r="BJ57" s="199">
        <f>GSh!AG57</f>
        <v>0</v>
      </c>
      <c r="BK57" s="199">
        <f>GSh!AK57</f>
        <v>0</v>
      </c>
      <c r="BL57" s="199">
        <f>GSh!AL57</f>
        <v>0</v>
      </c>
    </row>
    <row r="58" spans="1:64" ht="15.75" customHeight="1" x14ac:dyDescent="0.3">
      <c r="A58" s="266">
        <f t="shared" si="31"/>
        <v>70</v>
      </c>
      <c r="B58" s="267">
        <f>GSh!AN58</f>
        <v>0</v>
      </c>
      <c r="C58" s="263"/>
      <c r="D58" s="263"/>
      <c r="E58" s="772">
        <f>GSh!AR58</f>
        <v>0</v>
      </c>
      <c r="F58" s="338"/>
      <c r="G58" s="505">
        <f>SUMIF(PROD!$BF$5:$BF$725,A58,PROD!$L$5:$L$725)</f>
        <v>0</v>
      </c>
      <c r="H58" s="503"/>
      <c r="I58" s="774">
        <f>GSh!AE58</f>
        <v>0</v>
      </c>
      <c r="J58" s="602">
        <f>GSh!AH58</f>
        <v>0</v>
      </c>
      <c r="K58" s="604"/>
      <c r="L58" s="776">
        <f>GSh!AJ58</f>
        <v>0</v>
      </c>
      <c r="M58" s="340">
        <f>GSh!AM58</f>
        <v>0</v>
      </c>
      <c r="N58" s="501">
        <f t="shared" si="32"/>
        <v>0</v>
      </c>
      <c r="O58" s="336"/>
      <c r="P58" s="776">
        <f>GSh!AU58</f>
        <v>0</v>
      </c>
      <c r="Q58" s="557">
        <f>GSh!AV58</f>
        <v>0</v>
      </c>
      <c r="R58" s="559"/>
      <c r="S58" s="1197"/>
      <c r="T58" s="344"/>
      <c r="U58" s="778">
        <f>GSh!BN58</f>
        <v>0</v>
      </c>
      <c r="V58" s="343">
        <f>GSh!BO58</f>
        <v>0</v>
      </c>
      <c r="W58" s="344"/>
      <c r="X58" s="778">
        <f>GSh!BQ58</f>
        <v>0</v>
      </c>
      <c r="Y58" s="343">
        <f>GSh!BR58</f>
        <v>0</v>
      </c>
      <c r="Z58" s="578">
        <f>LOOKUP($A58,PROD!$A$5:$A$725,PROD!$BE$5:$BE$725)</f>
        <v>0</v>
      </c>
      <c r="AA58" s="780">
        <f>GSh!AZ58</f>
        <v>0</v>
      </c>
      <c r="AB58" s="523">
        <f>GSh!BA58</f>
        <v>0</v>
      </c>
      <c r="AC58" s="580"/>
      <c r="AD58" s="783">
        <f>GSh!BK58/10</f>
        <v>0</v>
      </c>
      <c r="AE58" s="590">
        <f>GSh!BL58</f>
        <v>0</v>
      </c>
      <c r="AF58" s="593">
        <f t="shared" si="33"/>
        <v>0</v>
      </c>
      <c r="AG58" s="584"/>
      <c r="AH58" s="587"/>
      <c r="AI58" s="527"/>
      <c r="AJ58" s="528">
        <f>GSh!BE58</f>
        <v>0</v>
      </c>
      <c r="AK58" s="520">
        <f>GSh!BF58</f>
        <v>0</v>
      </c>
      <c r="AL58" s="532"/>
      <c r="AM58" s="769">
        <f>GSh!BH58</f>
        <v>0</v>
      </c>
      <c r="AN58" s="520">
        <f>GSh!BI58</f>
        <v>0</v>
      </c>
      <c r="AO58" s="610">
        <f t="shared" ca="1" si="34"/>
        <v>0</v>
      </c>
      <c r="AP58" s="611">
        <f t="shared" ca="1" si="35"/>
        <v>0</v>
      </c>
      <c r="AQ58" s="611">
        <f t="shared" ca="1" si="36"/>
        <v>0</v>
      </c>
      <c r="AR58" s="611">
        <f t="shared" ca="1" si="37"/>
        <v>0</v>
      </c>
      <c r="AS58" s="611">
        <f t="shared" ca="1" si="38"/>
        <v>0</v>
      </c>
      <c r="AT58" s="611">
        <f t="shared" ca="1" si="39"/>
        <v>0</v>
      </c>
      <c r="AU58" s="621">
        <f t="shared" ca="1" si="40"/>
        <v>0</v>
      </c>
      <c r="AV58" s="623">
        <f t="shared" ca="1" si="41"/>
        <v>0</v>
      </c>
      <c r="AW58" s="611">
        <f t="shared" ca="1" si="42"/>
        <v>0</v>
      </c>
      <c r="AX58" s="1073">
        <f t="shared" ca="1" si="43"/>
        <v>0</v>
      </c>
      <c r="AY58" s="1071">
        <f t="shared" ca="1" si="44"/>
        <v>0</v>
      </c>
      <c r="AZ58" s="611">
        <f t="shared" ca="1" si="45"/>
        <v>0</v>
      </c>
      <c r="BA58" s="611">
        <f t="shared" ca="1" si="46"/>
        <v>0</v>
      </c>
      <c r="BB58" s="612">
        <f t="shared" ca="1" si="47"/>
        <v>0</v>
      </c>
      <c r="BC58" s="617">
        <f t="shared" si="48"/>
        <v>0</v>
      </c>
      <c r="BD58" s="619">
        <f t="shared" si="49"/>
        <v>0</v>
      </c>
      <c r="BE58" s="346">
        <f>GSh!CN58</f>
        <v>0</v>
      </c>
      <c r="BF58" s="210"/>
      <c r="BG58" s="208">
        <f>GSh!BT58</f>
        <v>0</v>
      </c>
      <c r="BH58" s="209">
        <f>GSh!BU58</f>
        <v>0</v>
      </c>
      <c r="BI58" s="199">
        <f>GSh!AF58</f>
        <v>0</v>
      </c>
      <c r="BJ58" s="199">
        <f>GSh!AG58</f>
        <v>0</v>
      </c>
      <c r="BK58" s="199">
        <f>GSh!AK58</f>
        <v>0</v>
      </c>
      <c r="BL58" s="199">
        <f>GSh!AL58</f>
        <v>0</v>
      </c>
    </row>
    <row r="59" spans="1:64" ht="15.75" customHeight="1" x14ac:dyDescent="0.3">
      <c r="A59" s="266">
        <f t="shared" si="31"/>
        <v>71</v>
      </c>
      <c r="B59" s="267">
        <f>GSh!AN59</f>
        <v>0</v>
      </c>
      <c r="C59" s="263"/>
      <c r="D59" s="263"/>
      <c r="E59" s="772">
        <f>GSh!AR59</f>
        <v>0</v>
      </c>
      <c r="F59" s="338"/>
      <c r="G59" s="505">
        <f>SUMIF(PROD!$BF$5:$BF$725,A59,PROD!$L$5:$L$725)</f>
        <v>0</v>
      </c>
      <c r="H59" s="503"/>
      <c r="I59" s="774">
        <f>GSh!AE59</f>
        <v>0</v>
      </c>
      <c r="J59" s="602">
        <f>GSh!AH59</f>
        <v>0</v>
      </c>
      <c r="K59" s="604"/>
      <c r="L59" s="776">
        <f>GSh!AJ59</f>
        <v>0</v>
      </c>
      <c r="M59" s="340">
        <f>GSh!AM59</f>
        <v>0</v>
      </c>
      <c r="N59" s="501">
        <f t="shared" si="32"/>
        <v>0</v>
      </c>
      <c r="O59" s="336"/>
      <c r="P59" s="776">
        <f>GSh!AU59</f>
        <v>0</v>
      </c>
      <c r="Q59" s="557">
        <f>GSh!AV59</f>
        <v>0</v>
      </c>
      <c r="R59" s="559"/>
      <c r="S59" s="1197"/>
      <c r="T59" s="344"/>
      <c r="U59" s="778">
        <f>GSh!BN59</f>
        <v>0</v>
      </c>
      <c r="V59" s="343">
        <f>GSh!BO59</f>
        <v>0</v>
      </c>
      <c r="W59" s="344"/>
      <c r="X59" s="778">
        <f>GSh!BQ59</f>
        <v>0</v>
      </c>
      <c r="Y59" s="343">
        <f>GSh!BR59</f>
        <v>0</v>
      </c>
      <c r="Z59" s="578">
        <f>LOOKUP($A59,PROD!$A$5:$A$725,PROD!$BE$5:$BE$725)</f>
        <v>0</v>
      </c>
      <c r="AA59" s="780">
        <f>GSh!AZ59</f>
        <v>0</v>
      </c>
      <c r="AB59" s="523">
        <f>GSh!BA59</f>
        <v>0</v>
      </c>
      <c r="AC59" s="581"/>
      <c r="AD59" s="783">
        <f>GSh!BK59/10</f>
        <v>0</v>
      </c>
      <c r="AE59" s="590">
        <f>GSh!BL59</f>
        <v>0</v>
      </c>
      <c r="AF59" s="593">
        <f t="shared" si="33"/>
        <v>0</v>
      </c>
      <c r="AG59" s="584"/>
      <c r="AH59" s="587"/>
      <c r="AI59" s="527"/>
      <c r="AJ59" s="528">
        <f>GSh!BE59</f>
        <v>0</v>
      </c>
      <c r="AK59" s="520">
        <f>GSh!BF59</f>
        <v>0</v>
      </c>
      <c r="AL59" s="532"/>
      <c r="AM59" s="769">
        <f>GSh!BH59</f>
        <v>0</v>
      </c>
      <c r="AN59" s="520">
        <f>GSh!BI59</f>
        <v>0</v>
      </c>
      <c r="AO59" s="610">
        <f t="shared" ca="1" si="34"/>
        <v>0</v>
      </c>
      <c r="AP59" s="611">
        <f t="shared" ca="1" si="35"/>
        <v>0</v>
      </c>
      <c r="AQ59" s="611">
        <f t="shared" ca="1" si="36"/>
        <v>0</v>
      </c>
      <c r="AR59" s="611">
        <f t="shared" ca="1" si="37"/>
        <v>0</v>
      </c>
      <c r="AS59" s="611">
        <f t="shared" ca="1" si="38"/>
        <v>0</v>
      </c>
      <c r="AT59" s="611">
        <f t="shared" ca="1" si="39"/>
        <v>0</v>
      </c>
      <c r="AU59" s="621">
        <f t="shared" ca="1" si="40"/>
        <v>0</v>
      </c>
      <c r="AV59" s="623">
        <f t="shared" ca="1" si="41"/>
        <v>0</v>
      </c>
      <c r="AW59" s="611">
        <f t="shared" ca="1" si="42"/>
        <v>0</v>
      </c>
      <c r="AX59" s="1073">
        <f t="shared" ca="1" si="43"/>
        <v>0</v>
      </c>
      <c r="AY59" s="1071">
        <f t="shared" ca="1" si="44"/>
        <v>0</v>
      </c>
      <c r="AZ59" s="611">
        <f t="shared" ca="1" si="45"/>
        <v>0</v>
      </c>
      <c r="BA59" s="611">
        <f t="shared" ca="1" si="46"/>
        <v>0</v>
      </c>
      <c r="BB59" s="612">
        <f t="shared" ca="1" si="47"/>
        <v>0</v>
      </c>
      <c r="BC59" s="617">
        <f t="shared" si="48"/>
        <v>0</v>
      </c>
      <c r="BD59" s="619">
        <f t="shared" si="49"/>
        <v>0</v>
      </c>
      <c r="BE59" s="346">
        <f>GSh!CN59</f>
        <v>0</v>
      </c>
      <c r="BF59" s="210"/>
      <c r="BG59" s="208">
        <f>GSh!BT59</f>
        <v>0</v>
      </c>
      <c r="BH59" s="209">
        <f>GSh!BU59</f>
        <v>0</v>
      </c>
      <c r="BI59" s="199">
        <f>GSh!AF59</f>
        <v>0</v>
      </c>
      <c r="BJ59" s="199">
        <f>GSh!AG59</f>
        <v>0</v>
      </c>
      <c r="BK59" s="199">
        <f>GSh!AK59</f>
        <v>0</v>
      </c>
      <c r="BL59" s="199">
        <f>GSh!AL59</f>
        <v>0</v>
      </c>
    </row>
    <row r="60" spans="1:64" ht="15.75" customHeight="1" x14ac:dyDescent="0.3">
      <c r="A60" s="266">
        <f t="shared" si="31"/>
        <v>72</v>
      </c>
      <c r="B60" s="267">
        <f>GSh!AN60</f>
        <v>0</v>
      </c>
      <c r="C60" s="263"/>
      <c r="D60" s="263"/>
      <c r="E60" s="772">
        <f>GSh!AR60</f>
        <v>0</v>
      </c>
      <c r="F60" s="338"/>
      <c r="G60" s="505">
        <f>SUMIF(PROD!$BF$5:$BF$725,A60,PROD!$L$5:$L$725)</f>
        <v>0</v>
      </c>
      <c r="H60" s="503"/>
      <c r="I60" s="774">
        <f>GSh!AE60</f>
        <v>0</v>
      </c>
      <c r="J60" s="602">
        <f>GSh!AH60</f>
        <v>0</v>
      </c>
      <c r="K60" s="604"/>
      <c r="L60" s="776">
        <f>GSh!AJ60</f>
        <v>0</v>
      </c>
      <c r="M60" s="340">
        <f>GSh!AM60</f>
        <v>0</v>
      </c>
      <c r="N60" s="501">
        <f t="shared" si="32"/>
        <v>0</v>
      </c>
      <c r="O60" s="336"/>
      <c r="P60" s="776">
        <f>GSh!AU60</f>
        <v>0</v>
      </c>
      <c r="Q60" s="557">
        <f>GSh!AV60</f>
        <v>0</v>
      </c>
      <c r="R60" s="559"/>
      <c r="S60" s="1197"/>
      <c r="T60" s="344"/>
      <c r="U60" s="778">
        <f>GSh!BN60</f>
        <v>0</v>
      </c>
      <c r="V60" s="343">
        <f>GSh!BO60</f>
        <v>0</v>
      </c>
      <c r="W60" s="344"/>
      <c r="X60" s="778">
        <f>GSh!BQ60</f>
        <v>0</v>
      </c>
      <c r="Y60" s="343">
        <f>GSh!BR60</f>
        <v>0</v>
      </c>
      <c r="Z60" s="578">
        <f>LOOKUP($A60,PROD!$A$5:$A$725,PROD!$BE$5:$BE$725)</f>
        <v>0</v>
      </c>
      <c r="AA60" s="780">
        <f>GSh!AZ60</f>
        <v>0</v>
      </c>
      <c r="AB60" s="523">
        <f>GSh!BA60</f>
        <v>0</v>
      </c>
      <c r="AC60" s="581"/>
      <c r="AD60" s="783">
        <f>GSh!BK60/10</f>
        <v>0</v>
      </c>
      <c r="AE60" s="590">
        <f>GSh!BL60</f>
        <v>0</v>
      </c>
      <c r="AF60" s="593">
        <f t="shared" si="33"/>
        <v>0</v>
      </c>
      <c r="AG60" s="584"/>
      <c r="AH60" s="587"/>
      <c r="AI60" s="527"/>
      <c r="AJ60" s="528">
        <f>GSh!BE60</f>
        <v>0</v>
      </c>
      <c r="AK60" s="520">
        <f>GSh!BF60</f>
        <v>0</v>
      </c>
      <c r="AL60" s="532"/>
      <c r="AM60" s="769">
        <f>GSh!BH60</f>
        <v>0</v>
      </c>
      <c r="AN60" s="520">
        <f>GSh!BI60</f>
        <v>0</v>
      </c>
      <c r="AO60" s="610">
        <f t="shared" ca="1" si="34"/>
        <v>0</v>
      </c>
      <c r="AP60" s="611">
        <f t="shared" ca="1" si="35"/>
        <v>0</v>
      </c>
      <c r="AQ60" s="611">
        <f t="shared" ca="1" si="36"/>
        <v>0</v>
      </c>
      <c r="AR60" s="611">
        <f t="shared" ca="1" si="37"/>
        <v>0</v>
      </c>
      <c r="AS60" s="611">
        <f t="shared" ca="1" si="38"/>
        <v>0</v>
      </c>
      <c r="AT60" s="611">
        <f t="shared" ca="1" si="39"/>
        <v>0</v>
      </c>
      <c r="AU60" s="621">
        <f t="shared" ca="1" si="40"/>
        <v>0</v>
      </c>
      <c r="AV60" s="623">
        <f t="shared" ca="1" si="41"/>
        <v>0</v>
      </c>
      <c r="AW60" s="611">
        <f t="shared" ca="1" si="42"/>
        <v>0</v>
      </c>
      <c r="AX60" s="1073">
        <f t="shared" ca="1" si="43"/>
        <v>0</v>
      </c>
      <c r="AY60" s="1071">
        <f t="shared" ca="1" si="44"/>
        <v>0</v>
      </c>
      <c r="AZ60" s="611">
        <f t="shared" ca="1" si="45"/>
        <v>0</v>
      </c>
      <c r="BA60" s="611">
        <f t="shared" ca="1" si="46"/>
        <v>0</v>
      </c>
      <c r="BB60" s="612">
        <f t="shared" ca="1" si="47"/>
        <v>0</v>
      </c>
      <c r="BC60" s="617">
        <f t="shared" si="48"/>
        <v>0</v>
      </c>
      <c r="BD60" s="619">
        <f t="shared" si="49"/>
        <v>0</v>
      </c>
      <c r="BE60" s="346">
        <f>GSh!CN60</f>
        <v>0</v>
      </c>
      <c r="BF60" s="210"/>
      <c r="BG60" s="208">
        <f>GSh!BT60</f>
        <v>0</v>
      </c>
      <c r="BH60" s="209">
        <f>GSh!BU60</f>
        <v>0</v>
      </c>
      <c r="BI60" s="199">
        <f>GSh!AF60</f>
        <v>0</v>
      </c>
      <c r="BJ60" s="199">
        <f>GSh!AG60</f>
        <v>0</v>
      </c>
      <c r="BK60" s="199">
        <f>GSh!AK60</f>
        <v>0</v>
      </c>
      <c r="BL60" s="199">
        <f>GSh!AL60</f>
        <v>0</v>
      </c>
    </row>
    <row r="61" spans="1:64" ht="15.75" customHeight="1" x14ac:dyDescent="0.3">
      <c r="A61" s="266">
        <f t="shared" si="31"/>
        <v>73</v>
      </c>
      <c r="B61" s="267">
        <f>GSh!AN61</f>
        <v>0</v>
      </c>
      <c r="C61" s="263"/>
      <c r="D61" s="263"/>
      <c r="E61" s="772">
        <f>GSh!AR61</f>
        <v>0</v>
      </c>
      <c r="F61" s="338"/>
      <c r="G61" s="505">
        <f>SUMIF(PROD!$BF$5:$BF$725,A61,PROD!$L$5:$L$725)</f>
        <v>0</v>
      </c>
      <c r="H61" s="503"/>
      <c r="I61" s="774">
        <f>GSh!AE61</f>
        <v>0</v>
      </c>
      <c r="J61" s="602">
        <f>GSh!AH61</f>
        <v>0</v>
      </c>
      <c r="K61" s="604"/>
      <c r="L61" s="776">
        <f>GSh!AJ61</f>
        <v>0</v>
      </c>
      <c r="M61" s="340">
        <f>GSh!AM61</f>
        <v>0</v>
      </c>
      <c r="N61" s="501">
        <f t="shared" si="32"/>
        <v>0</v>
      </c>
      <c r="O61" s="336"/>
      <c r="P61" s="776">
        <f>GSh!AU61</f>
        <v>0</v>
      </c>
      <c r="Q61" s="557">
        <f>GSh!AV61</f>
        <v>0</v>
      </c>
      <c r="R61" s="559"/>
      <c r="S61" s="1197"/>
      <c r="T61" s="344"/>
      <c r="U61" s="778">
        <f>GSh!BN61</f>
        <v>0</v>
      </c>
      <c r="V61" s="343">
        <f>GSh!BO61</f>
        <v>0</v>
      </c>
      <c r="W61" s="344"/>
      <c r="X61" s="778">
        <f>GSh!BQ61</f>
        <v>0</v>
      </c>
      <c r="Y61" s="343">
        <f>GSh!BR61</f>
        <v>0</v>
      </c>
      <c r="Z61" s="578">
        <f>LOOKUP($A61,PROD!$A$5:$A$725,PROD!$BE$5:$BE$725)</f>
        <v>0</v>
      </c>
      <c r="AA61" s="780">
        <f>GSh!AZ61</f>
        <v>0</v>
      </c>
      <c r="AB61" s="523">
        <f>GSh!BA61</f>
        <v>0</v>
      </c>
      <c r="AC61" s="581"/>
      <c r="AD61" s="783">
        <f>GSh!BK61/10</f>
        <v>0</v>
      </c>
      <c r="AE61" s="590">
        <f>GSh!BL61</f>
        <v>0</v>
      </c>
      <c r="AF61" s="593">
        <f t="shared" si="33"/>
        <v>0</v>
      </c>
      <c r="AG61" s="584"/>
      <c r="AH61" s="587"/>
      <c r="AI61" s="527"/>
      <c r="AJ61" s="528">
        <f>GSh!BE61</f>
        <v>0</v>
      </c>
      <c r="AK61" s="520">
        <f>GSh!BF61</f>
        <v>0</v>
      </c>
      <c r="AL61" s="532"/>
      <c r="AM61" s="769">
        <f>GSh!BH61</f>
        <v>0</v>
      </c>
      <c r="AN61" s="520">
        <f>GSh!BI61</f>
        <v>0</v>
      </c>
      <c r="AO61" s="610">
        <f t="shared" ca="1" si="34"/>
        <v>0</v>
      </c>
      <c r="AP61" s="611">
        <f t="shared" ca="1" si="35"/>
        <v>0</v>
      </c>
      <c r="AQ61" s="611">
        <f t="shared" ca="1" si="36"/>
        <v>0</v>
      </c>
      <c r="AR61" s="611">
        <f t="shared" ca="1" si="37"/>
        <v>0</v>
      </c>
      <c r="AS61" s="611">
        <f t="shared" ca="1" si="38"/>
        <v>0</v>
      </c>
      <c r="AT61" s="611">
        <f t="shared" ca="1" si="39"/>
        <v>0</v>
      </c>
      <c r="AU61" s="621">
        <f t="shared" ca="1" si="40"/>
        <v>0</v>
      </c>
      <c r="AV61" s="623">
        <f t="shared" ca="1" si="41"/>
        <v>0</v>
      </c>
      <c r="AW61" s="611">
        <f t="shared" ca="1" si="42"/>
        <v>0</v>
      </c>
      <c r="AX61" s="1073">
        <f t="shared" ca="1" si="43"/>
        <v>0</v>
      </c>
      <c r="AY61" s="1071">
        <f t="shared" ca="1" si="44"/>
        <v>0</v>
      </c>
      <c r="AZ61" s="611">
        <f t="shared" ca="1" si="45"/>
        <v>0</v>
      </c>
      <c r="BA61" s="611">
        <f t="shared" ca="1" si="46"/>
        <v>0</v>
      </c>
      <c r="BB61" s="612">
        <f t="shared" ca="1" si="47"/>
        <v>0</v>
      </c>
      <c r="BC61" s="617">
        <f t="shared" si="48"/>
        <v>0</v>
      </c>
      <c r="BD61" s="619">
        <f t="shared" si="49"/>
        <v>0</v>
      </c>
      <c r="BE61" s="346">
        <f>GSh!CN61</f>
        <v>0</v>
      </c>
      <c r="BF61" s="210"/>
      <c r="BG61" s="208">
        <f>GSh!BT61</f>
        <v>0</v>
      </c>
      <c r="BH61" s="209">
        <f>GSh!BU61</f>
        <v>0</v>
      </c>
      <c r="BI61" s="199">
        <f>GSh!AF61</f>
        <v>0</v>
      </c>
      <c r="BJ61" s="199">
        <f>GSh!AG61</f>
        <v>0</v>
      </c>
      <c r="BK61" s="199">
        <f>GSh!AK61</f>
        <v>0</v>
      </c>
      <c r="BL61" s="199">
        <f>GSh!AL61</f>
        <v>0</v>
      </c>
    </row>
    <row r="62" spans="1:64" ht="15.75" customHeight="1" x14ac:dyDescent="0.3">
      <c r="A62" s="266">
        <f t="shared" si="31"/>
        <v>74</v>
      </c>
      <c r="B62" s="267">
        <f>GSh!AN62</f>
        <v>0</v>
      </c>
      <c r="C62" s="263"/>
      <c r="D62" s="263"/>
      <c r="E62" s="772">
        <f>GSh!AR62</f>
        <v>0</v>
      </c>
      <c r="F62" s="338"/>
      <c r="G62" s="505">
        <f>SUMIF(PROD!$BF$5:$BF$725,A62,PROD!$L$5:$L$725)</f>
        <v>0</v>
      </c>
      <c r="H62" s="503"/>
      <c r="I62" s="774">
        <f>GSh!AE62</f>
        <v>0</v>
      </c>
      <c r="J62" s="602">
        <f>GSh!AH62</f>
        <v>0</v>
      </c>
      <c r="K62" s="604"/>
      <c r="L62" s="776">
        <f>GSh!AJ62</f>
        <v>0</v>
      </c>
      <c r="M62" s="340">
        <f>GSh!AM62</f>
        <v>0</v>
      </c>
      <c r="N62" s="501">
        <f t="shared" si="32"/>
        <v>0</v>
      </c>
      <c r="O62" s="336"/>
      <c r="P62" s="776">
        <f>GSh!AU62</f>
        <v>0</v>
      </c>
      <c r="Q62" s="557">
        <f>GSh!AV62</f>
        <v>0</v>
      </c>
      <c r="R62" s="559"/>
      <c r="S62" s="1197"/>
      <c r="T62" s="344"/>
      <c r="U62" s="778">
        <f>GSh!BN62</f>
        <v>0</v>
      </c>
      <c r="V62" s="343">
        <f>GSh!BO62</f>
        <v>0</v>
      </c>
      <c r="W62" s="344"/>
      <c r="X62" s="778">
        <f>GSh!BQ62</f>
        <v>0</v>
      </c>
      <c r="Y62" s="343">
        <f>GSh!BR62</f>
        <v>0</v>
      </c>
      <c r="Z62" s="578">
        <f>LOOKUP($A62,PROD!$A$5:$A$725,PROD!$BE$5:$BE$725)</f>
        <v>0</v>
      </c>
      <c r="AA62" s="780">
        <f>GSh!AZ62</f>
        <v>0</v>
      </c>
      <c r="AB62" s="523">
        <f>GSh!BA62</f>
        <v>0</v>
      </c>
      <c r="AC62" s="581"/>
      <c r="AD62" s="783">
        <f>GSh!BK62/10</f>
        <v>0</v>
      </c>
      <c r="AE62" s="590">
        <f>GSh!BL62</f>
        <v>0</v>
      </c>
      <c r="AF62" s="593">
        <f t="shared" si="33"/>
        <v>0</v>
      </c>
      <c r="AG62" s="584"/>
      <c r="AH62" s="587"/>
      <c r="AI62" s="527"/>
      <c r="AJ62" s="528">
        <f>GSh!BE62</f>
        <v>0</v>
      </c>
      <c r="AK62" s="520">
        <f>GSh!BF62</f>
        <v>0</v>
      </c>
      <c r="AL62" s="532"/>
      <c r="AM62" s="769">
        <f>GSh!BH62</f>
        <v>0</v>
      </c>
      <c r="AN62" s="520">
        <f>GSh!BI62</f>
        <v>0</v>
      </c>
      <c r="AO62" s="610">
        <f t="shared" ca="1" si="34"/>
        <v>0</v>
      </c>
      <c r="AP62" s="611">
        <f t="shared" ca="1" si="35"/>
        <v>0</v>
      </c>
      <c r="AQ62" s="611">
        <f t="shared" ca="1" si="36"/>
        <v>0</v>
      </c>
      <c r="AR62" s="611">
        <f t="shared" ca="1" si="37"/>
        <v>0</v>
      </c>
      <c r="AS62" s="611">
        <f t="shared" ca="1" si="38"/>
        <v>0</v>
      </c>
      <c r="AT62" s="611">
        <f t="shared" ca="1" si="39"/>
        <v>0</v>
      </c>
      <c r="AU62" s="621">
        <f t="shared" ca="1" si="40"/>
        <v>0</v>
      </c>
      <c r="AV62" s="623">
        <f t="shared" ca="1" si="41"/>
        <v>0</v>
      </c>
      <c r="AW62" s="611">
        <f t="shared" ca="1" si="42"/>
        <v>0</v>
      </c>
      <c r="AX62" s="1073">
        <f t="shared" ca="1" si="43"/>
        <v>0</v>
      </c>
      <c r="AY62" s="1071">
        <f t="shared" ca="1" si="44"/>
        <v>0</v>
      </c>
      <c r="AZ62" s="611">
        <f t="shared" ca="1" si="45"/>
        <v>0</v>
      </c>
      <c r="BA62" s="611">
        <f t="shared" ca="1" si="46"/>
        <v>0</v>
      </c>
      <c r="BB62" s="612">
        <f t="shared" ca="1" si="47"/>
        <v>0</v>
      </c>
      <c r="BC62" s="617">
        <f t="shared" si="48"/>
        <v>0</v>
      </c>
      <c r="BD62" s="619">
        <f t="shared" si="49"/>
        <v>0</v>
      </c>
      <c r="BE62" s="346">
        <f>GSh!CN62</f>
        <v>0</v>
      </c>
      <c r="BF62" s="210"/>
      <c r="BG62" s="208">
        <f>GSh!BT62</f>
        <v>0</v>
      </c>
      <c r="BH62" s="209">
        <f>GSh!BU62</f>
        <v>0</v>
      </c>
      <c r="BI62" s="199">
        <f>GSh!AF62</f>
        <v>0</v>
      </c>
      <c r="BJ62" s="199">
        <f>GSh!AG62</f>
        <v>0</v>
      </c>
      <c r="BK62" s="199">
        <f>GSh!AK62</f>
        <v>0</v>
      </c>
      <c r="BL62" s="199">
        <f>GSh!AL62</f>
        <v>0</v>
      </c>
    </row>
    <row r="63" spans="1:64" ht="15.75" customHeight="1" x14ac:dyDescent="0.3">
      <c r="A63" s="266">
        <f t="shared" si="31"/>
        <v>75</v>
      </c>
      <c r="B63" s="267">
        <f>GSh!AN63</f>
        <v>0</v>
      </c>
      <c r="C63" s="263"/>
      <c r="D63" s="263"/>
      <c r="E63" s="772">
        <f>GSh!AR63</f>
        <v>0</v>
      </c>
      <c r="F63" s="338"/>
      <c r="G63" s="505">
        <f>SUMIF(PROD!$BF$5:$BF$725,A63,PROD!$L$5:$L$725)</f>
        <v>0</v>
      </c>
      <c r="H63" s="503"/>
      <c r="I63" s="774">
        <f>GSh!AE63</f>
        <v>0</v>
      </c>
      <c r="J63" s="602">
        <f>GSh!AH63</f>
        <v>0</v>
      </c>
      <c r="K63" s="604"/>
      <c r="L63" s="776">
        <f>GSh!AJ63</f>
        <v>0</v>
      </c>
      <c r="M63" s="340">
        <f>GSh!AM63</f>
        <v>0</v>
      </c>
      <c r="N63" s="501">
        <f t="shared" si="32"/>
        <v>0</v>
      </c>
      <c r="O63" s="336"/>
      <c r="P63" s="776">
        <f>GSh!AU63</f>
        <v>0</v>
      </c>
      <c r="Q63" s="557">
        <f>GSh!AV63</f>
        <v>0</v>
      </c>
      <c r="R63" s="559"/>
      <c r="S63" s="1197"/>
      <c r="T63" s="344"/>
      <c r="U63" s="778">
        <f>GSh!BN63</f>
        <v>0</v>
      </c>
      <c r="V63" s="343">
        <f>GSh!BO63</f>
        <v>0</v>
      </c>
      <c r="W63" s="344"/>
      <c r="X63" s="778">
        <f>GSh!BQ63</f>
        <v>0</v>
      </c>
      <c r="Y63" s="343">
        <f>GSh!BR63</f>
        <v>0</v>
      </c>
      <c r="Z63" s="578">
        <f>LOOKUP($A63,PROD!$A$5:$A$725,PROD!$BE$5:$BE$725)</f>
        <v>0</v>
      </c>
      <c r="AA63" s="780">
        <f>GSh!AZ63</f>
        <v>0</v>
      </c>
      <c r="AB63" s="523">
        <f>GSh!BA63</f>
        <v>0</v>
      </c>
      <c r="AC63" s="581"/>
      <c r="AD63" s="783">
        <f>GSh!BK63/10</f>
        <v>0</v>
      </c>
      <c r="AE63" s="590">
        <f>GSh!BL63</f>
        <v>0</v>
      </c>
      <c r="AF63" s="593">
        <f t="shared" si="33"/>
        <v>0</v>
      </c>
      <c r="AG63" s="584"/>
      <c r="AH63" s="587"/>
      <c r="AI63" s="527"/>
      <c r="AJ63" s="528">
        <f>GSh!BE63</f>
        <v>0</v>
      </c>
      <c r="AK63" s="520">
        <f>GSh!BF63</f>
        <v>0</v>
      </c>
      <c r="AL63" s="532"/>
      <c r="AM63" s="769">
        <f>GSh!BH63</f>
        <v>0</v>
      </c>
      <c r="AN63" s="520">
        <f>GSh!BI63</f>
        <v>0</v>
      </c>
      <c r="AO63" s="610">
        <f t="shared" ca="1" si="34"/>
        <v>0</v>
      </c>
      <c r="AP63" s="611">
        <f t="shared" ca="1" si="35"/>
        <v>0</v>
      </c>
      <c r="AQ63" s="611">
        <f t="shared" ca="1" si="36"/>
        <v>0</v>
      </c>
      <c r="AR63" s="611">
        <f t="shared" ca="1" si="37"/>
        <v>0</v>
      </c>
      <c r="AS63" s="611">
        <f t="shared" ca="1" si="38"/>
        <v>0</v>
      </c>
      <c r="AT63" s="611">
        <f t="shared" ca="1" si="39"/>
        <v>0</v>
      </c>
      <c r="AU63" s="621">
        <f t="shared" ca="1" si="40"/>
        <v>0</v>
      </c>
      <c r="AV63" s="623">
        <f t="shared" ca="1" si="41"/>
        <v>0</v>
      </c>
      <c r="AW63" s="611">
        <f t="shared" ca="1" si="42"/>
        <v>0</v>
      </c>
      <c r="AX63" s="1073">
        <f t="shared" ca="1" si="43"/>
        <v>0</v>
      </c>
      <c r="AY63" s="1071">
        <f t="shared" ca="1" si="44"/>
        <v>0</v>
      </c>
      <c r="AZ63" s="611">
        <f t="shared" ca="1" si="45"/>
        <v>0</v>
      </c>
      <c r="BA63" s="611">
        <f t="shared" ca="1" si="46"/>
        <v>0</v>
      </c>
      <c r="BB63" s="612">
        <f t="shared" ca="1" si="47"/>
        <v>0</v>
      </c>
      <c r="BC63" s="617">
        <f t="shared" si="48"/>
        <v>0</v>
      </c>
      <c r="BD63" s="619">
        <f t="shared" si="49"/>
        <v>0</v>
      </c>
      <c r="BE63" s="346">
        <f>GSh!CN63</f>
        <v>0</v>
      </c>
      <c r="BF63" s="210"/>
      <c r="BG63" s="208">
        <f>GSh!BT63</f>
        <v>0</v>
      </c>
      <c r="BH63" s="209">
        <f>GSh!BU63</f>
        <v>0</v>
      </c>
      <c r="BI63" s="199">
        <f>GSh!AF63</f>
        <v>0</v>
      </c>
      <c r="BJ63" s="199">
        <f>GSh!AG63</f>
        <v>0</v>
      </c>
      <c r="BK63" s="199">
        <f>GSh!AK63</f>
        <v>0</v>
      </c>
      <c r="BL63" s="199">
        <f>GSh!AL63</f>
        <v>0</v>
      </c>
    </row>
    <row r="64" spans="1:64" ht="15.75" customHeight="1" x14ac:dyDescent="0.3">
      <c r="A64" s="266">
        <f t="shared" si="31"/>
        <v>76</v>
      </c>
      <c r="B64" s="267">
        <f>GSh!AN64</f>
        <v>0</v>
      </c>
      <c r="C64" s="263"/>
      <c r="D64" s="263"/>
      <c r="E64" s="772">
        <f>GSh!AR64</f>
        <v>0</v>
      </c>
      <c r="F64" s="338"/>
      <c r="G64" s="505">
        <f>SUMIF(PROD!$BF$5:$BF$725,A64,PROD!$L$5:$L$725)</f>
        <v>0</v>
      </c>
      <c r="H64" s="503"/>
      <c r="I64" s="774">
        <f>GSh!AE64</f>
        <v>0</v>
      </c>
      <c r="J64" s="602">
        <f>GSh!AH64</f>
        <v>0</v>
      </c>
      <c r="K64" s="604"/>
      <c r="L64" s="776">
        <f>GSh!AJ64</f>
        <v>0</v>
      </c>
      <c r="M64" s="340">
        <f>GSh!AM64</f>
        <v>0</v>
      </c>
      <c r="N64" s="501">
        <f t="shared" si="32"/>
        <v>0</v>
      </c>
      <c r="O64" s="336"/>
      <c r="P64" s="776">
        <f>GSh!AU64</f>
        <v>0</v>
      </c>
      <c r="Q64" s="557">
        <f>GSh!AV64</f>
        <v>0</v>
      </c>
      <c r="R64" s="559"/>
      <c r="S64" s="1197"/>
      <c r="T64" s="344"/>
      <c r="U64" s="778">
        <f>GSh!BN64</f>
        <v>0</v>
      </c>
      <c r="V64" s="343">
        <f>GSh!BO64</f>
        <v>0</v>
      </c>
      <c r="W64" s="344"/>
      <c r="X64" s="778">
        <f>GSh!BQ64</f>
        <v>0</v>
      </c>
      <c r="Y64" s="343">
        <f>GSh!BR64</f>
        <v>0</v>
      </c>
      <c r="Z64" s="578">
        <f>LOOKUP($A64,PROD!$A$5:$A$725,PROD!$BE$5:$BE$725)</f>
        <v>0</v>
      </c>
      <c r="AA64" s="780">
        <f>GSh!AZ64</f>
        <v>0</v>
      </c>
      <c r="AB64" s="523">
        <f>GSh!BA64</f>
        <v>0</v>
      </c>
      <c r="AC64" s="581"/>
      <c r="AD64" s="783">
        <f>GSh!BK64/10</f>
        <v>0</v>
      </c>
      <c r="AE64" s="590">
        <f>GSh!BL64</f>
        <v>0</v>
      </c>
      <c r="AF64" s="593">
        <f t="shared" si="33"/>
        <v>0</v>
      </c>
      <c r="AG64" s="584"/>
      <c r="AH64" s="587"/>
      <c r="AI64" s="527"/>
      <c r="AJ64" s="528">
        <f>GSh!BE64</f>
        <v>0</v>
      </c>
      <c r="AK64" s="520">
        <f>GSh!BF64</f>
        <v>0</v>
      </c>
      <c r="AL64" s="532"/>
      <c r="AM64" s="769">
        <f>GSh!BH64</f>
        <v>0</v>
      </c>
      <c r="AN64" s="520">
        <f>GSh!BI64</f>
        <v>0</v>
      </c>
      <c r="AO64" s="610">
        <f t="shared" ca="1" si="34"/>
        <v>0</v>
      </c>
      <c r="AP64" s="611">
        <f t="shared" ca="1" si="35"/>
        <v>0</v>
      </c>
      <c r="AQ64" s="611">
        <f t="shared" ca="1" si="36"/>
        <v>0</v>
      </c>
      <c r="AR64" s="611">
        <f t="shared" ca="1" si="37"/>
        <v>0</v>
      </c>
      <c r="AS64" s="611">
        <f t="shared" ca="1" si="38"/>
        <v>0</v>
      </c>
      <c r="AT64" s="611">
        <f t="shared" ca="1" si="39"/>
        <v>0</v>
      </c>
      <c r="AU64" s="621">
        <f t="shared" ca="1" si="40"/>
        <v>0</v>
      </c>
      <c r="AV64" s="623">
        <f t="shared" ca="1" si="41"/>
        <v>0</v>
      </c>
      <c r="AW64" s="611">
        <f t="shared" ca="1" si="42"/>
        <v>0</v>
      </c>
      <c r="AX64" s="1073">
        <f t="shared" ca="1" si="43"/>
        <v>0</v>
      </c>
      <c r="AY64" s="1071">
        <f t="shared" ca="1" si="44"/>
        <v>0</v>
      </c>
      <c r="AZ64" s="611">
        <f t="shared" ca="1" si="45"/>
        <v>0</v>
      </c>
      <c r="BA64" s="611">
        <f t="shared" ca="1" si="46"/>
        <v>0</v>
      </c>
      <c r="BB64" s="612">
        <f t="shared" ca="1" si="47"/>
        <v>0</v>
      </c>
      <c r="BC64" s="617">
        <f t="shared" si="48"/>
        <v>0</v>
      </c>
      <c r="BD64" s="619">
        <f t="shared" si="49"/>
        <v>0</v>
      </c>
      <c r="BE64" s="346">
        <f>GSh!CN64</f>
        <v>0</v>
      </c>
      <c r="BF64" s="210"/>
      <c r="BG64" s="208">
        <f>GSh!BT64</f>
        <v>0</v>
      </c>
      <c r="BH64" s="209">
        <f>GSh!BU64</f>
        <v>0</v>
      </c>
      <c r="BI64" s="199">
        <f>GSh!AF64</f>
        <v>0</v>
      </c>
      <c r="BJ64" s="199">
        <f>GSh!AG64</f>
        <v>0</v>
      </c>
      <c r="BK64" s="199">
        <f>GSh!AK64</f>
        <v>0</v>
      </c>
      <c r="BL64" s="199">
        <f>GSh!AL64</f>
        <v>0</v>
      </c>
    </row>
    <row r="65" spans="1:64" ht="15.75" customHeight="1" x14ac:dyDescent="0.3">
      <c r="A65" s="266">
        <f t="shared" si="31"/>
        <v>77</v>
      </c>
      <c r="B65" s="267">
        <f>GSh!AN65</f>
        <v>0</v>
      </c>
      <c r="C65" s="263"/>
      <c r="D65" s="263"/>
      <c r="E65" s="772">
        <f>GSh!AR65</f>
        <v>0</v>
      </c>
      <c r="F65" s="338"/>
      <c r="G65" s="505">
        <f>SUMIF(PROD!$BF$5:$BF$725,A65,PROD!$L$5:$L$725)</f>
        <v>0</v>
      </c>
      <c r="H65" s="503"/>
      <c r="I65" s="774">
        <f>GSh!AE65</f>
        <v>0</v>
      </c>
      <c r="J65" s="602">
        <f>GSh!AH65</f>
        <v>0</v>
      </c>
      <c r="K65" s="604"/>
      <c r="L65" s="776">
        <f>GSh!AJ65</f>
        <v>0</v>
      </c>
      <c r="M65" s="340">
        <f>GSh!AM65</f>
        <v>0</v>
      </c>
      <c r="N65" s="501">
        <f t="shared" si="32"/>
        <v>0</v>
      </c>
      <c r="O65" s="336"/>
      <c r="P65" s="776">
        <f>GSh!AU65</f>
        <v>0</v>
      </c>
      <c r="Q65" s="557">
        <f>GSh!AV65</f>
        <v>0</v>
      </c>
      <c r="R65" s="559"/>
      <c r="S65" s="1197"/>
      <c r="T65" s="344"/>
      <c r="U65" s="778">
        <f>GSh!BN65</f>
        <v>0</v>
      </c>
      <c r="V65" s="343">
        <f>GSh!BO65</f>
        <v>0</v>
      </c>
      <c r="W65" s="344"/>
      <c r="X65" s="778">
        <f>GSh!BQ65</f>
        <v>0</v>
      </c>
      <c r="Y65" s="343">
        <f>GSh!BR65</f>
        <v>0</v>
      </c>
      <c r="Z65" s="578">
        <f>LOOKUP($A65,PROD!$A$5:$A$725,PROD!$BE$5:$BE$725)</f>
        <v>0</v>
      </c>
      <c r="AA65" s="780">
        <f>GSh!AZ65</f>
        <v>0</v>
      </c>
      <c r="AB65" s="523">
        <f>GSh!BA65</f>
        <v>0</v>
      </c>
      <c r="AC65" s="581"/>
      <c r="AD65" s="783">
        <f>GSh!BK65/10</f>
        <v>0</v>
      </c>
      <c r="AE65" s="590">
        <f>GSh!BL65</f>
        <v>0</v>
      </c>
      <c r="AF65" s="593">
        <f t="shared" si="33"/>
        <v>0</v>
      </c>
      <c r="AG65" s="584"/>
      <c r="AH65" s="587"/>
      <c r="AI65" s="527"/>
      <c r="AJ65" s="528">
        <f>GSh!BE65</f>
        <v>0</v>
      </c>
      <c r="AK65" s="520">
        <f>GSh!BF65</f>
        <v>0</v>
      </c>
      <c r="AL65" s="532"/>
      <c r="AM65" s="769">
        <f>GSh!BH65</f>
        <v>0</v>
      </c>
      <c r="AN65" s="520">
        <f>GSh!BI65</f>
        <v>0</v>
      </c>
      <c r="AO65" s="610">
        <f t="shared" ca="1" si="34"/>
        <v>0</v>
      </c>
      <c r="AP65" s="611">
        <f t="shared" ca="1" si="35"/>
        <v>0</v>
      </c>
      <c r="AQ65" s="611">
        <f t="shared" ca="1" si="36"/>
        <v>0</v>
      </c>
      <c r="AR65" s="611">
        <f t="shared" ca="1" si="37"/>
        <v>0</v>
      </c>
      <c r="AS65" s="611">
        <f t="shared" ca="1" si="38"/>
        <v>0</v>
      </c>
      <c r="AT65" s="611">
        <f t="shared" ca="1" si="39"/>
        <v>0</v>
      </c>
      <c r="AU65" s="621">
        <f t="shared" ca="1" si="40"/>
        <v>0</v>
      </c>
      <c r="AV65" s="623">
        <f t="shared" ca="1" si="41"/>
        <v>0</v>
      </c>
      <c r="AW65" s="611">
        <f t="shared" ca="1" si="42"/>
        <v>0</v>
      </c>
      <c r="AX65" s="1073">
        <f t="shared" ca="1" si="43"/>
        <v>0</v>
      </c>
      <c r="AY65" s="1071">
        <f t="shared" ca="1" si="44"/>
        <v>0</v>
      </c>
      <c r="AZ65" s="611">
        <f t="shared" ca="1" si="45"/>
        <v>0</v>
      </c>
      <c r="BA65" s="611">
        <f t="shared" ca="1" si="46"/>
        <v>0</v>
      </c>
      <c r="BB65" s="612">
        <f t="shared" ca="1" si="47"/>
        <v>0</v>
      </c>
      <c r="BC65" s="617">
        <f t="shared" si="48"/>
        <v>0</v>
      </c>
      <c r="BD65" s="619">
        <f t="shared" si="49"/>
        <v>0</v>
      </c>
      <c r="BE65" s="346">
        <f>GSh!CN65</f>
        <v>0</v>
      </c>
      <c r="BF65" s="210"/>
      <c r="BG65" s="208">
        <f>GSh!BT65</f>
        <v>0</v>
      </c>
      <c r="BH65" s="209">
        <f>GSh!BU65</f>
        <v>0</v>
      </c>
      <c r="BI65" s="199">
        <f>GSh!AF65</f>
        <v>0</v>
      </c>
      <c r="BJ65" s="199">
        <f>GSh!AG65</f>
        <v>0</v>
      </c>
      <c r="BK65" s="199">
        <f>GSh!AK65</f>
        <v>0</v>
      </c>
      <c r="BL65" s="199">
        <f>GSh!AL65</f>
        <v>0</v>
      </c>
    </row>
    <row r="66" spans="1:64" ht="15.75" customHeight="1" x14ac:dyDescent="0.3">
      <c r="A66" s="266">
        <f t="shared" si="31"/>
        <v>78</v>
      </c>
      <c r="B66" s="267">
        <f>GSh!AN66</f>
        <v>0</v>
      </c>
      <c r="C66" s="263"/>
      <c r="D66" s="263"/>
      <c r="E66" s="772">
        <f>GSh!AR66</f>
        <v>0</v>
      </c>
      <c r="F66" s="338"/>
      <c r="G66" s="505">
        <f>SUMIF(PROD!$BF$5:$BF$725,A66,PROD!$L$5:$L$725)</f>
        <v>0</v>
      </c>
      <c r="H66" s="503"/>
      <c r="I66" s="774">
        <f>GSh!AE66</f>
        <v>0</v>
      </c>
      <c r="J66" s="602">
        <f>GSh!AH66</f>
        <v>0</v>
      </c>
      <c r="K66" s="604"/>
      <c r="L66" s="776">
        <f>GSh!AJ66</f>
        <v>0</v>
      </c>
      <c r="M66" s="340">
        <f>GSh!AM66</f>
        <v>0</v>
      </c>
      <c r="N66" s="501">
        <f t="shared" si="32"/>
        <v>0</v>
      </c>
      <c r="O66" s="336"/>
      <c r="P66" s="776">
        <f>GSh!AU66</f>
        <v>0</v>
      </c>
      <c r="Q66" s="557">
        <f>GSh!AV66</f>
        <v>0</v>
      </c>
      <c r="R66" s="559"/>
      <c r="S66" s="1197"/>
      <c r="T66" s="344"/>
      <c r="U66" s="778">
        <f>GSh!BN66</f>
        <v>0</v>
      </c>
      <c r="V66" s="343">
        <f>GSh!BO66</f>
        <v>0</v>
      </c>
      <c r="W66" s="344"/>
      <c r="X66" s="778">
        <f>GSh!BQ66</f>
        <v>0</v>
      </c>
      <c r="Y66" s="343">
        <f>GSh!BR66</f>
        <v>0</v>
      </c>
      <c r="Z66" s="578">
        <f>LOOKUP($A66,PROD!$A$5:$A$725,PROD!$BE$5:$BE$725)</f>
        <v>0</v>
      </c>
      <c r="AA66" s="780">
        <f>GSh!AZ66</f>
        <v>0</v>
      </c>
      <c r="AB66" s="523">
        <f>GSh!BA66</f>
        <v>0</v>
      </c>
      <c r="AC66" s="581"/>
      <c r="AD66" s="783">
        <f>GSh!BK66/10</f>
        <v>0</v>
      </c>
      <c r="AE66" s="590">
        <f>GSh!BL66</f>
        <v>0</v>
      </c>
      <c r="AF66" s="593">
        <f t="shared" si="33"/>
        <v>0</v>
      </c>
      <c r="AG66" s="584"/>
      <c r="AH66" s="587"/>
      <c r="AI66" s="527"/>
      <c r="AJ66" s="528">
        <f>GSh!BE66</f>
        <v>0</v>
      </c>
      <c r="AK66" s="520">
        <f>GSh!BF66</f>
        <v>0</v>
      </c>
      <c r="AL66" s="532"/>
      <c r="AM66" s="769">
        <f>GSh!BH66</f>
        <v>0</v>
      </c>
      <c r="AN66" s="520">
        <f>GSh!BI66</f>
        <v>0</v>
      </c>
      <c r="AO66" s="610">
        <f t="shared" ca="1" si="34"/>
        <v>0</v>
      </c>
      <c r="AP66" s="611">
        <f t="shared" ca="1" si="35"/>
        <v>0</v>
      </c>
      <c r="AQ66" s="611">
        <f t="shared" ca="1" si="36"/>
        <v>0</v>
      </c>
      <c r="AR66" s="611">
        <f t="shared" ca="1" si="37"/>
        <v>0</v>
      </c>
      <c r="AS66" s="611">
        <f t="shared" ca="1" si="38"/>
        <v>0</v>
      </c>
      <c r="AT66" s="611">
        <f t="shared" ca="1" si="39"/>
        <v>0</v>
      </c>
      <c r="AU66" s="621">
        <f t="shared" ca="1" si="40"/>
        <v>0</v>
      </c>
      <c r="AV66" s="623">
        <f t="shared" ca="1" si="41"/>
        <v>0</v>
      </c>
      <c r="AW66" s="611">
        <f t="shared" ca="1" si="42"/>
        <v>0</v>
      </c>
      <c r="AX66" s="1073">
        <f t="shared" ca="1" si="43"/>
        <v>0</v>
      </c>
      <c r="AY66" s="1071">
        <f t="shared" ca="1" si="44"/>
        <v>0</v>
      </c>
      <c r="AZ66" s="611">
        <f t="shared" ca="1" si="45"/>
        <v>0</v>
      </c>
      <c r="BA66" s="611">
        <f t="shared" ca="1" si="46"/>
        <v>0</v>
      </c>
      <c r="BB66" s="612">
        <f t="shared" ca="1" si="47"/>
        <v>0</v>
      </c>
      <c r="BC66" s="617">
        <f t="shared" si="48"/>
        <v>0</v>
      </c>
      <c r="BD66" s="619">
        <f t="shared" si="49"/>
        <v>0</v>
      </c>
      <c r="BE66" s="346">
        <f>GSh!CN66</f>
        <v>0</v>
      </c>
      <c r="BF66" s="210"/>
      <c r="BG66" s="208">
        <f>GSh!BT66</f>
        <v>0</v>
      </c>
      <c r="BH66" s="209">
        <f>GSh!BU66</f>
        <v>0</v>
      </c>
      <c r="BI66" s="199">
        <f>GSh!AF66</f>
        <v>0</v>
      </c>
      <c r="BJ66" s="199">
        <f>GSh!AG66</f>
        <v>0</v>
      </c>
      <c r="BK66" s="199">
        <f>GSh!AK66</f>
        <v>0</v>
      </c>
      <c r="BL66" s="199">
        <f>GSh!AL66</f>
        <v>0</v>
      </c>
    </row>
    <row r="67" spans="1:64" ht="15.75" customHeight="1" x14ac:dyDescent="0.3">
      <c r="A67" s="266">
        <f t="shared" si="31"/>
        <v>79</v>
      </c>
      <c r="B67" s="267">
        <f>GSh!AN67</f>
        <v>0</v>
      </c>
      <c r="C67" s="263"/>
      <c r="D67" s="263"/>
      <c r="E67" s="772">
        <f>GSh!AR67</f>
        <v>0</v>
      </c>
      <c r="F67" s="338"/>
      <c r="G67" s="505">
        <f>SUMIF(PROD!$BF$5:$BF$725,A67,PROD!$L$5:$L$725)</f>
        <v>0</v>
      </c>
      <c r="H67" s="503"/>
      <c r="I67" s="774">
        <f>GSh!AE67</f>
        <v>0</v>
      </c>
      <c r="J67" s="602">
        <f>GSh!AH67</f>
        <v>0</v>
      </c>
      <c r="K67" s="604"/>
      <c r="L67" s="776">
        <f>GSh!AJ67</f>
        <v>0</v>
      </c>
      <c r="M67" s="340">
        <f>GSh!AM67</f>
        <v>0</v>
      </c>
      <c r="N67" s="501">
        <f t="shared" si="32"/>
        <v>0</v>
      </c>
      <c r="O67" s="336"/>
      <c r="P67" s="776">
        <f>GSh!AU67</f>
        <v>0</v>
      </c>
      <c r="Q67" s="557">
        <f>GSh!AV67</f>
        <v>0</v>
      </c>
      <c r="R67" s="559"/>
      <c r="S67" s="1197"/>
      <c r="T67" s="344"/>
      <c r="U67" s="778">
        <f>GSh!BN67</f>
        <v>0</v>
      </c>
      <c r="V67" s="343">
        <f>GSh!BO67</f>
        <v>0</v>
      </c>
      <c r="W67" s="344"/>
      <c r="X67" s="778">
        <f>GSh!BQ67</f>
        <v>0</v>
      </c>
      <c r="Y67" s="343">
        <f>GSh!BR67</f>
        <v>0</v>
      </c>
      <c r="Z67" s="578">
        <f>LOOKUP($A67,PROD!$A$5:$A$725,PROD!$BE$5:$BE$725)</f>
        <v>0</v>
      </c>
      <c r="AA67" s="780">
        <f>GSh!AZ67</f>
        <v>0</v>
      </c>
      <c r="AB67" s="523">
        <f>GSh!BA67</f>
        <v>0</v>
      </c>
      <c r="AC67" s="581"/>
      <c r="AD67" s="783">
        <f>GSh!BK67/10</f>
        <v>0</v>
      </c>
      <c r="AE67" s="590">
        <f>GSh!BL67</f>
        <v>0</v>
      </c>
      <c r="AF67" s="593">
        <f t="shared" si="33"/>
        <v>0</v>
      </c>
      <c r="AG67" s="584"/>
      <c r="AH67" s="587"/>
      <c r="AI67" s="527"/>
      <c r="AJ67" s="528">
        <f>GSh!BE67</f>
        <v>0</v>
      </c>
      <c r="AK67" s="520">
        <f>GSh!BF67</f>
        <v>0</v>
      </c>
      <c r="AL67" s="532"/>
      <c r="AM67" s="769">
        <f>GSh!BH67</f>
        <v>0</v>
      </c>
      <c r="AN67" s="520">
        <f>GSh!BI67</f>
        <v>0</v>
      </c>
      <c r="AO67" s="610">
        <f t="shared" ca="1" si="34"/>
        <v>0</v>
      </c>
      <c r="AP67" s="611">
        <f t="shared" ca="1" si="35"/>
        <v>0</v>
      </c>
      <c r="AQ67" s="611">
        <f t="shared" ca="1" si="36"/>
        <v>0</v>
      </c>
      <c r="AR67" s="611">
        <f t="shared" ca="1" si="37"/>
        <v>0</v>
      </c>
      <c r="AS67" s="611">
        <f t="shared" ca="1" si="38"/>
        <v>0</v>
      </c>
      <c r="AT67" s="611">
        <f t="shared" ca="1" si="39"/>
        <v>0</v>
      </c>
      <c r="AU67" s="621">
        <f t="shared" ca="1" si="40"/>
        <v>0</v>
      </c>
      <c r="AV67" s="623">
        <f t="shared" ca="1" si="41"/>
        <v>0</v>
      </c>
      <c r="AW67" s="611">
        <f t="shared" ca="1" si="42"/>
        <v>0</v>
      </c>
      <c r="AX67" s="1073">
        <f t="shared" ca="1" si="43"/>
        <v>0</v>
      </c>
      <c r="AY67" s="1071">
        <f t="shared" ca="1" si="44"/>
        <v>0</v>
      </c>
      <c r="AZ67" s="611">
        <f t="shared" ca="1" si="45"/>
        <v>0</v>
      </c>
      <c r="BA67" s="611">
        <f t="shared" ca="1" si="46"/>
        <v>0</v>
      </c>
      <c r="BB67" s="612">
        <f t="shared" ca="1" si="47"/>
        <v>0</v>
      </c>
      <c r="BC67" s="617">
        <f t="shared" si="48"/>
        <v>0</v>
      </c>
      <c r="BD67" s="619">
        <f t="shared" si="49"/>
        <v>0</v>
      </c>
      <c r="BE67" s="346">
        <f>GSh!CN67</f>
        <v>0</v>
      </c>
      <c r="BF67" s="210"/>
      <c r="BG67" s="208">
        <f>GSh!BT67</f>
        <v>0</v>
      </c>
      <c r="BH67" s="209">
        <f>GSh!BU67</f>
        <v>0</v>
      </c>
      <c r="BI67" s="199">
        <f>GSh!AF67</f>
        <v>0</v>
      </c>
      <c r="BJ67" s="199">
        <f>GSh!AG67</f>
        <v>0</v>
      </c>
      <c r="BK67" s="199">
        <f>GSh!AK67</f>
        <v>0</v>
      </c>
      <c r="BL67" s="199">
        <f>GSh!AL67</f>
        <v>0</v>
      </c>
    </row>
    <row r="68" spans="1:64" ht="15.75" customHeight="1" x14ac:dyDescent="0.3">
      <c r="A68" s="266">
        <f t="shared" si="31"/>
        <v>80</v>
      </c>
      <c r="B68" s="267">
        <f>GSh!AN68</f>
        <v>0</v>
      </c>
      <c r="C68" s="263"/>
      <c r="D68" s="263"/>
      <c r="E68" s="772">
        <f>GSh!AR68</f>
        <v>0</v>
      </c>
      <c r="F68" s="338"/>
      <c r="G68" s="505">
        <f>SUMIF(PROD!$BF$5:$BF$725,A68,PROD!$L$5:$L$725)</f>
        <v>0</v>
      </c>
      <c r="H68" s="503"/>
      <c r="I68" s="774">
        <f>GSh!AE68</f>
        <v>0</v>
      </c>
      <c r="J68" s="602">
        <f>GSh!AH68</f>
        <v>0</v>
      </c>
      <c r="K68" s="604"/>
      <c r="L68" s="776">
        <f>GSh!AJ68</f>
        <v>0</v>
      </c>
      <c r="M68" s="340">
        <f>GSh!AM68</f>
        <v>0</v>
      </c>
      <c r="N68" s="501">
        <f t="shared" si="32"/>
        <v>0</v>
      </c>
      <c r="O68" s="336"/>
      <c r="P68" s="776">
        <f>GSh!AU68</f>
        <v>0</v>
      </c>
      <c r="Q68" s="557">
        <f>GSh!AV68</f>
        <v>0</v>
      </c>
      <c r="R68" s="559"/>
      <c r="S68" s="1197"/>
      <c r="T68" s="344"/>
      <c r="U68" s="778">
        <f>GSh!BN68</f>
        <v>0</v>
      </c>
      <c r="V68" s="343">
        <f>GSh!BO68</f>
        <v>0</v>
      </c>
      <c r="W68" s="344"/>
      <c r="X68" s="778">
        <f>GSh!BQ68</f>
        <v>0</v>
      </c>
      <c r="Y68" s="343">
        <f>GSh!BR68</f>
        <v>0</v>
      </c>
      <c r="Z68" s="578">
        <f>LOOKUP($A68,PROD!$A$5:$A$725,PROD!$BE$5:$BE$725)</f>
        <v>0</v>
      </c>
      <c r="AA68" s="780">
        <f>GSh!AZ68</f>
        <v>0</v>
      </c>
      <c r="AB68" s="523">
        <f>GSh!BA68</f>
        <v>0</v>
      </c>
      <c r="AC68" s="581"/>
      <c r="AD68" s="783">
        <f>GSh!BK68/10</f>
        <v>0</v>
      </c>
      <c r="AE68" s="590">
        <f>GSh!BL68</f>
        <v>0</v>
      </c>
      <c r="AF68" s="593">
        <f t="shared" si="33"/>
        <v>0</v>
      </c>
      <c r="AG68" s="584"/>
      <c r="AH68" s="587"/>
      <c r="AI68" s="527"/>
      <c r="AJ68" s="528">
        <f>GSh!BE68</f>
        <v>0</v>
      </c>
      <c r="AK68" s="520">
        <f>GSh!BF68</f>
        <v>0</v>
      </c>
      <c r="AL68" s="532"/>
      <c r="AM68" s="769">
        <f>GSh!BH68</f>
        <v>0</v>
      </c>
      <c r="AN68" s="520">
        <f>GSh!BI68</f>
        <v>0</v>
      </c>
      <c r="AO68" s="610">
        <f t="shared" ca="1" si="34"/>
        <v>0</v>
      </c>
      <c r="AP68" s="611">
        <f t="shared" ca="1" si="35"/>
        <v>0</v>
      </c>
      <c r="AQ68" s="611">
        <f t="shared" ca="1" si="36"/>
        <v>0</v>
      </c>
      <c r="AR68" s="611">
        <f t="shared" ca="1" si="37"/>
        <v>0</v>
      </c>
      <c r="AS68" s="611">
        <f t="shared" ca="1" si="38"/>
        <v>0</v>
      </c>
      <c r="AT68" s="611">
        <f t="shared" ca="1" si="39"/>
        <v>0</v>
      </c>
      <c r="AU68" s="621">
        <f t="shared" ca="1" si="40"/>
        <v>0</v>
      </c>
      <c r="AV68" s="623">
        <f t="shared" ca="1" si="41"/>
        <v>0</v>
      </c>
      <c r="AW68" s="611">
        <f t="shared" ca="1" si="42"/>
        <v>0</v>
      </c>
      <c r="AX68" s="1073">
        <f t="shared" ca="1" si="43"/>
        <v>0</v>
      </c>
      <c r="AY68" s="1071">
        <f t="shared" ca="1" si="44"/>
        <v>0</v>
      </c>
      <c r="AZ68" s="611">
        <f t="shared" ca="1" si="45"/>
        <v>0</v>
      </c>
      <c r="BA68" s="611">
        <f t="shared" ca="1" si="46"/>
        <v>0</v>
      </c>
      <c r="BB68" s="612">
        <f t="shared" ca="1" si="47"/>
        <v>0</v>
      </c>
      <c r="BC68" s="617">
        <f t="shared" si="48"/>
        <v>0</v>
      </c>
      <c r="BD68" s="619">
        <f t="shared" si="49"/>
        <v>0</v>
      </c>
      <c r="BE68" s="346">
        <f>GSh!CN68</f>
        <v>0</v>
      </c>
      <c r="BF68" s="210"/>
      <c r="BG68" s="208">
        <f>GSh!BT68</f>
        <v>0</v>
      </c>
      <c r="BH68" s="209">
        <f>GSh!BU68</f>
        <v>0</v>
      </c>
      <c r="BI68" s="199">
        <f>GSh!AF68</f>
        <v>0</v>
      </c>
      <c r="BJ68" s="199">
        <f>GSh!AG68</f>
        <v>0</v>
      </c>
      <c r="BK68" s="199">
        <f>GSh!AK68</f>
        <v>0</v>
      </c>
      <c r="BL68" s="199">
        <f>GSh!AL68</f>
        <v>0</v>
      </c>
    </row>
    <row r="69" spans="1:64" ht="15.75" customHeight="1" x14ac:dyDescent="0.3">
      <c r="A69" s="266">
        <f t="shared" si="31"/>
        <v>81</v>
      </c>
      <c r="B69" s="267">
        <f>GSh!AN69</f>
        <v>0</v>
      </c>
      <c r="C69" s="263"/>
      <c r="D69" s="263"/>
      <c r="E69" s="772">
        <f>GSh!AR69</f>
        <v>0</v>
      </c>
      <c r="F69" s="338"/>
      <c r="G69" s="505">
        <f>SUMIF(PROD!$BF$5:$BF$725,A69,PROD!$L$5:$L$725)</f>
        <v>0</v>
      </c>
      <c r="H69" s="503"/>
      <c r="I69" s="774">
        <f>GSh!AE69</f>
        <v>0</v>
      </c>
      <c r="J69" s="602">
        <f>GSh!AH69</f>
        <v>0</v>
      </c>
      <c r="K69" s="604"/>
      <c r="L69" s="776">
        <f>GSh!AJ69</f>
        <v>0</v>
      </c>
      <c r="M69" s="340">
        <f>GSh!AM69</f>
        <v>0</v>
      </c>
      <c r="N69" s="501">
        <f t="shared" si="32"/>
        <v>0</v>
      </c>
      <c r="O69" s="336"/>
      <c r="P69" s="776">
        <f>GSh!AU69</f>
        <v>0</v>
      </c>
      <c r="Q69" s="557">
        <f>GSh!AV69</f>
        <v>0</v>
      </c>
      <c r="R69" s="559"/>
      <c r="S69" s="1197"/>
      <c r="T69" s="344"/>
      <c r="U69" s="778">
        <f>GSh!BN69</f>
        <v>0</v>
      </c>
      <c r="V69" s="343">
        <f>GSh!BO69</f>
        <v>0</v>
      </c>
      <c r="W69" s="344"/>
      <c r="X69" s="778">
        <f>GSh!BQ69</f>
        <v>0</v>
      </c>
      <c r="Y69" s="343">
        <f>GSh!BR69</f>
        <v>0</v>
      </c>
      <c r="Z69" s="578">
        <f>LOOKUP($A69,PROD!$A$5:$A$725,PROD!$BE$5:$BE$725)</f>
        <v>0</v>
      </c>
      <c r="AA69" s="780">
        <f>GSh!AZ69</f>
        <v>0</v>
      </c>
      <c r="AB69" s="523">
        <f>GSh!BA69</f>
        <v>0</v>
      </c>
      <c r="AC69" s="581"/>
      <c r="AD69" s="783">
        <f>GSh!BK69/10</f>
        <v>0</v>
      </c>
      <c r="AE69" s="590">
        <f>GSh!BL69</f>
        <v>0</v>
      </c>
      <c r="AF69" s="593">
        <f t="shared" si="33"/>
        <v>0</v>
      </c>
      <c r="AG69" s="584"/>
      <c r="AH69" s="587"/>
      <c r="AI69" s="527"/>
      <c r="AJ69" s="528">
        <f>GSh!BE69</f>
        <v>0</v>
      </c>
      <c r="AK69" s="520">
        <f>GSh!BF69</f>
        <v>0</v>
      </c>
      <c r="AL69" s="532"/>
      <c r="AM69" s="769">
        <f>GSh!BH69</f>
        <v>0</v>
      </c>
      <c r="AN69" s="520">
        <f>GSh!BI69</f>
        <v>0</v>
      </c>
      <c r="AO69" s="610">
        <f t="shared" ca="1" si="34"/>
        <v>0</v>
      </c>
      <c r="AP69" s="611">
        <f t="shared" ca="1" si="35"/>
        <v>0</v>
      </c>
      <c r="AQ69" s="611">
        <f t="shared" ca="1" si="36"/>
        <v>0</v>
      </c>
      <c r="AR69" s="611">
        <f t="shared" ca="1" si="37"/>
        <v>0</v>
      </c>
      <c r="AS69" s="611">
        <f t="shared" ca="1" si="38"/>
        <v>0</v>
      </c>
      <c r="AT69" s="611">
        <f t="shared" ca="1" si="39"/>
        <v>0</v>
      </c>
      <c r="AU69" s="621">
        <f t="shared" ca="1" si="40"/>
        <v>0</v>
      </c>
      <c r="AV69" s="623">
        <f t="shared" ca="1" si="41"/>
        <v>0</v>
      </c>
      <c r="AW69" s="611">
        <f t="shared" ca="1" si="42"/>
        <v>0</v>
      </c>
      <c r="AX69" s="1073">
        <f t="shared" ca="1" si="43"/>
        <v>0</v>
      </c>
      <c r="AY69" s="1071">
        <f t="shared" ca="1" si="44"/>
        <v>0</v>
      </c>
      <c r="AZ69" s="611">
        <f t="shared" ca="1" si="45"/>
        <v>0</v>
      </c>
      <c r="BA69" s="611">
        <f t="shared" ca="1" si="46"/>
        <v>0</v>
      </c>
      <c r="BB69" s="612">
        <f t="shared" ca="1" si="47"/>
        <v>0</v>
      </c>
      <c r="BC69" s="617">
        <f t="shared" si="48"/>
        <v>0</v>
      </c>
      <c r="BD69" s="619">
        <f t="shared" si="49"/>
        <v>0</v>
      </c>
      <c r="BE69" s="346">
        <f>GSh!CN69</f>
        <v>0</v>
      </c>
      <c r="BF69" s="210"/>
      <c r="BG69" s="208">
        <f>GSh!BT69</f>
        <v>0</v>
      </c>
      <c r="BH69" s="209">
        <f>GSh!BU69</f>
        <v>0</v>
      </c>
      <c r="BI69" s="199">
        <f>GSh!AF69</f>
        <v>0</v>
      </c>
      <c r="BJ69" s="199">
        <f>GSh!AG69</f>
        <v>0</v>
      </c>
      <c r="BK69" s="199">
        <f>GSh!AK69</f>
        <v>0</v>
      </c>
      <c r="BL69" s="199">
        <f>GSh!AL69</f>
        <v>0</v>
      </c>
    </row>
    <row r="70" spans="1:64" ht="15.75" customHeight="1" x14ac:dyDescent="0.3">
      <c r="A70" s="266">
        <f t="shared" si="31"/>
        <v>82</v>
      </c>
      <c r="B70" s="267">
        <f>GSh!AN70</f>
        <v>0</v>
      </c>
      <c r="C70" s="263"/>
      <c r="D70" s="263"/>
      <c r="E70" s="772">
        <f>GSh!AR70</f>
        <v>0</v>
      </c>
      <c r="F70" s="338"/>
      <c r="G70" s="505">
        <f>SUMIF(PROD!$BF$5:$BF$725,A70,PROD!$L$5:$L$725)</f>
        <v>0</v>
      </c>
      <c r="H70" s="503"/>
      <c r="I70" s="774">
        <f>GSh!AE70</f>
        <v>0</v>
      </c>
      <c r="J70" s="602">
        <f>GSh!AH70</f>
        <v>0</v>
      </c>
      <c r="K70" s="604"/>
      <c r="L70" s="776">
        <f>GSh!AJ70</f>
        <v>0</v>
      </c>
      <c r="M70" s="340">
        <f>GSh!AM70</f>
        <v>0</v>
      </c>
      <c r="N70" s="501">
        <f t="shared" ref="N70:N101" si="50">KLSEM</f>
        <v>0</v>
      </c>
      <c r="O70" s="336"/>
      <c r="P70" s="776">
        <f>GSh!AU70</f>
        <v>0</v>
      </c>
      <c r="Q70" s="557">
        <f>GSh!AV70</f>
        <v>0</v>
      </c>
      <c r="R70" s="559"/>
      <c r="S70" s="1197"/>
      <c r="T70" s="344"/>
      <c r="U70" s="778">
        <f>GSh!BN70</f>
        <v>0</v>
      </c>
      <c r="V70" s="343">
        <f>GSh!BO70</f>
        <v>0</v>
      </c>
      <c r="W70" s="344"/>
      <c r="X70" s="778">
        <f>GSh!BQ70</f>
        <v>0</v>
      </c>
      <c r="Y70" s="343">
        <f>GSh!BR70</f>
        <v>0</v>
      </c>
      <c r="Z70" s="578">
        <f>LOOKUP($A70,PROD!$A$5:$A$725,PROD!$BE$5:$BE$725)</f>
        <v>0</v>
      </c>
      <c r="AA70" s="780">
        <f>GSh!AZ70</f>
        <v>0</v>
      </c>
      <c r="AB70" s="523">
        <f>GSh!BA70</f>
        <v>0</v>
      </c>
      <c r="AC70" s="581"/>
      <c r="AD70" s="783">
        <f>GSh!BK70/10</f>
        <v>0</v>
      </c>
      <c r="AE70" s="590">
        <f>GSh!BL70</f>
        <v>0</v>
      </c>
      <c r="AF70" s="593">
        <f t="shared" ref="AF70:AF101" si="51">IF(AG70&gt;0,IF(AH70&gt;0,100-SUM(AG70:AH70),0),0)</f>
        <v>0</v>
      </c>
      <c r="AG70" s="584"/>
      <c r="AH70" s="587"/>
      <c r="AI70" s="527"/>
      <c r="AJ70" s="528">
        <f>GSh!BE70</f>
        <v>0</v>
      </c>
      <c r="AK70" s="520">
        <f>GSh!BF70</f>
        <v>0</v>
      </c>
      <c r="AL70" s="532"/>
      <c r="AM70" s="769">
        <f>GSh!BH70</f>
        <v>0</v>
      </c>
      <c r="AN70" s="520">
        <f>GSh!BI70</f>
        <v>0</v>
      </c>
      <c r="AO70" s="610">
        <f t="shared" ref="AO70:AO101" ca="1" si="52">AAAA</f>
        <v>0</v>
      </c>
      <c r="AP70" s="611">
        <f t="shared" ref="AP70:AP101" ca="1" si="53">AAA</f>
        <v>0</v>
      </c>
      <c r="AQ70" s="611">
        <f t="shared" ref="AQ70:AQ101" ca="1" si="54">AA</f>
        <v>0</v>
      </c>
      <c r="AR70" s="611">
        <f t="shared" ref="AR70:AR101" ca="1" si="55">HA</f>
        <v>0</v>
      </c>
      <c r="AS70" s="611">
        <f t="shared" ref="AS70:AS101" ca="1" si="56">HB</f>
        <v>0</v>
      </c>
      <c r="AT70" s="611">
        <f t="shared" ref="AT70:AT101" ca="1" si="57">HC</f>
        <v>0</v>
      </c>
      <c r="AU70" s="621">
        <f t="shared" ref="AU70:AU101" ca="1" si="58">HCG</f>
        <v>0</v>
      </c>
      <c r="AV70" s="623">
        <f t="shared" ref="AV70:AV101" ca="1" si="59">RVG</f>
        <v>0</v>
      </c>
      <c r="AW70" s="611">
        <f t="shared" ref="AW70:AW101" ca="1" si="60">RMD</f>
        <v>0</v>
      </c>
      <c r="AX70" s="1073">
        <f t="shared" ref="AX70:AX101" ca="1" si="61">RVP</f>
        <v>0</v>
      </c>
      <c r="AY70" s="1071">
        <f t="shared" ref="AY70:AY101" ca="1" si="62">COLOR</f>
        <v>0</v>
      </c>
      <c r="AZ70" s="611">
        <f t="shared" ref="AZ70:AZ101" ca="1" si="63">CASC</f>
        <v>0</v>
      </c>
      <c r="BA70" s="611">
        <f t="shared" ref="BA70:BA101" ca="1" si="64">VNC</f>
        <v>0</v>
      </c>
      <c r="BB70" s="612">
        <f t="shared" ref="BB70:BB101" ca="1" si="65">ROTO</f>
        <v>0</v>
      </c>
      <c r="BC70" s="617">
        <f t="shared" ref="BC70:BC101" si="66">COSTO</f>
        <v>0</v>
      </c>
      <c r="BD70" s="619">
        <f t="shared" ref="BD70:BD101" si="67">PVENTAH</f>
        <v>0</v>
      </c>
      <c r="BE70" s="346">
        <f>GSh!CN70</f>
        <v>0</v>
      </c>
      <c r="BF70" s="210"/>
      <c r="BG70" s="208">
        <f>GSh!BT70</f>
        <v>0</v>
      </c>
      <c r="BH70" s="209">
        <f>GSh!BU70</f>
        <v>0</v>
      </c>
      <c r="BI70" s="199">
        <f>GSh!AF70</f>
        <v>0</v>
      </c>
      <c r="BJ70" s="199">
        <f>GSh!AG70</f>
        <v>0</v>
      </c>
      <c r="BK70" s="199">
        <f>GSh!AK70</f>
        <v>0</v>
      </c>
      <c r="BL70" s="199">
        <f>GSh!AL70</f>
        <v>0</v>
      </c>
    </row>
    <row r="71" spans="1:64" ht="15.75" customHeight="1" x14ac:dyDescent="0.3">
      <c r="A71" s="266">
        <f t="shared" si="31"/>
        <v>83</v>
      </c>
      <c r="B71" s="267">
        <f>GSh!AN71</f>
        <v>0</v>
      </c>
      <c r="C71" s="263"/>
      <c r="D71" s="263"/>
      <c r="E71" s="772">
        <f>GSh!AR71</f>
        <v>0</v>
      </c>
      <c r="F71" s="338"/>
      <c r="G71" s="505">
        <f>SUMIF(PROD!$BF$5:$BF$725,A71,PROD!$L$5:$L$725)</f>
        <v>0</v>
      </c>
      <c r="H71" s="503"/>
      <c r="I71" s="774">
        <f>GSh!AE71</f>
        <v>0</v>
      </c>
      <c r="J71" s="602">
        <f>GSh!AH71</f>
        <v>0</v>
      </c>
      <c r="K71" s="604"/>
      <c r="L71" s="776">
        <f>GSh!AJ71</f>
        <v>0</v>
      </c>
      <c r="M71" s="340">
        <f>GSh!AM71</f>
        <v>0</v>
      </c>
      <c r="N71" s="501">
        <f t="shared" si="50"/>
        <v>0</v>
      </c>
      <c r="O71" s="336"/>
      <c r="P71" s="776">
        <f>GSh!AU71</f>
        <v>0</v>
      </c>
      <c r="Q71" s="557">
        <f>GSh!AV71</f>
        <v>0</v>
      </c>
      <c r="R71" s="559"/>
      <c r="S71" s="1197"/>
      <c r="T71" s="344"/>
      <c r="U71" s="778">
        <f>GSh!BN71</f>
        <v>0</v>
      </c>
      <c r="V71" s="343">
        <f>GSh!BO71</f>
        <v>0</v>
      </c>
      <c r="W71" s="344"/>
      <c r="X71" s="778">
        <f>GSh!BQ71</f>
        <v>0</v>
      </c>
      <c r="Y71" s="343">
        <f>GSh!BR71</f>
        <v>0</v>
      </c>
      <c r="Z71" s="578">
        <f>LOOKUP($A71,PROD!$A$5:$A$725,PROD!$BE$5:$BE$725)</f>
        <v>0</v>
      </c>
      <c r="AA71" s="780">
        <f>GSh!AZ71</f>
        <v>0</v>
      </c>
      <c r="AB71" s="523">
        <f>GSh!BA71</f>
        <v>0</v>
      </c>
      <c r="AC71" s="581"/>
      <c r="AD71" s="783">
        <f>GSh!BK71/10</f>
        <v>0</v>
      </c>
      <c r="AE71" s="590">
        <f>GSh!BL71</f>
        <v>0</v>
      </c>
      <c r="AF71" s="593">
        <f t="shared" si="51"/>
        <v>0</v>
      </c>
      <c r="AG71" s="584"/>
      <c r="AH71" s="587"/>
      <c r="AI71" s="527"/>
      <c r="AJ71" s="528">
        <f>GSh!BE71</f>
        <v>0</v>
      </c>
      <c r="AK71" s="520">
        <f>GSh!BF71</f>
        <v>0</v>
      </c>
      <c r="AL71" s="532"/>
      <c r="AM71" s="769">
        <f>GSh!BH71</f>
        <v>0</v>
      </c>
      <c r="AN71" s="520">
        <f>GSh!BI71</f>
        <v>0</v>
      </c>
      <c r="AO71" s="610">
        <f t="shared" ca="1" si="52"/>
        <v>0</v>
      </c>
      <c r="AP71" s="611">
        <f t="shared" ca="1" si="53"/>
        <v>0</v>
      </c>
      <c r="AQ71" s="611">
        <f t="shared" ca="1" si="54"/>
        <v>0</v>
      </c>
      <c r="AR71" s="611">
        <f t="shared" ca="1" si="55"/>
        <v>0</v>
      </c>
      <c r="AS71" s="611">
        <f t="shared" ca="1" si="56"/>
        <v>0</v>
      </c>
      <c r="AT71" s="611">
        <f t="shared" ca="1" si="57"/>
        <v>0</v>
      </c>
      <c r="AU71" s="621">
        <f t="shared" ca="1" si="58"/>
        <v>0</v>
      </c>
      <c r="AV71" s="623">
        <f t="shared" ca="1" si="59"/>
        <v>0</v>
      </c>
      <c r="AW71" s="611">
        <f t="shared" ca="1" si="60"/>
        <v>0</v>
      </c>
      <c r="AX71" s="1073">
        <f t="shared" ca="1" si="61"/>
        <v>0</v>
      </c>
      <c r="AY71" s="1071">
        <f t="shared" ca="1" si="62"/>
        <v>0</v>
      </c>
      <c r="AZ71" s="611">
        <f t="shared" ca="1" si="63"/>
        <v>0</v>
      </c>
      <c r="BA71" s="611">
        <f t="shared" ca="1" si="64"/>
        <v>0</v>
      </c>
      <c r="BB71" s="612">
        <f t="shared" ca="1" si="65"/>
        <v>0</v>
      </c>
      <c r="BC71" s="617">
        <f t="shared" si="66"/>
        <v>0</v>
      </c>
      <c r="BD71" s="619">
        <f t="shared" si="67"/>
        <v>0</v>
      </c>
      <c r="BE71" s="346">
        <f>GSh!CN71</f>
        <v>0</v>
      </c>
      <c r="BF71" s="210"/>
      <c r="BG71" s="208">
        <f>GSh!BT71</f>
        <v>0</v>
      </c>
      <c r="BH71" s="209">
        <f>GSh!BU71</f>
        <v>0</v>
      </c>
      <c r="BI71" s="199">
        <f>GSh!AF71</f>
        <v>0</v>
      </c>
      <c r="BJ71" s="199">
        <f>GSh!AG71</f>
        <v>0</v>
      </c>
      <c r="BK71" s="199">
        <f>GSh!AK71</f>
        <v>0</v>
      </c>
      <c r="BL71" s="199">
        <f>GSh!AL71</f>
        <v>0</v>
      </c>
    </row>
    <row r="72" spans="1:64" ht="15.75" customHeight="1" x14ac:dyDescent="0.3">
      <c r="A72" s="266">
        <f t="shared" si="31"/>
        <v>84</v>
      </c>
      <c r="B72" s="267">
        <f>GSh!AN72</f>
        <v>0</v>
      </c>
      <c r="C72" s="263"/>
      <c r="D72" s="263"/>
      <c r="E72" s="772">
        <f>GSh!AR72</f>
        <v>0</v>
      </c>
      <c r="F72" s="338"/>
      <c r="G72" s="505">
        <f>SUMIF(PROD!$BF$5:$BF$725,A72,PROD!$L$5:$L$725)</f>
        <v>0</v>
      </c>
      <c r="H72" s="503"/>
      <c r="I72" s="774">
        <f>GSh!AE72</f>
        <v>0</v>
      </c>
      <c r="J72" s="602">
        <f>GSh!AH72</f>
        <v>0</v>
      </c>
      <c r="K72" s="604"/>
      <c r="L72" s="776">
        <f>GSh!AJ72</f>
        <v>0</v>
      </c>
      <c r="M72" s="340">
        <f>GSh!AM72</f>
        <v>0</v>
      </c>
      <c r="N72" s="501">
        <f t="shared" si="50"/>
        <v>0</v>
      </c>
      <c r="O72" s="336"/>
      <c r="P72" s="776">
        <f>GSh!AU72</f>
        <v>0</v>
      </c>
      <c r="Q72" s="557">
        <f>GSh!AV72</f>
        <v>0</v>
      </c>
      <c r="R72" s="559"/>
      <c r="S72" s="1197"/>
      <c r="T72" s="344"/>
      <c r="U72" s="778">
        <f>GSh!BN72</f>
        <v>0</v>
      </c>
      <c r="V72" s="343">
        <f>GSh!BO72</f>
        <v>0</v>
      </c>
      <c r="W72" s="344"/>
      <c r="X72" s="778">
        <f>GSh!BQ72</f>
        <v>0</v>
      </c>
      <c r="Y72" s="343">
        <f>GSh!BR72</f>
        <v>0</v>
      </c>
      <c r="Z72" s="578">
        <f>LOOKUP($A72,PROD!$A$5:$A$725,PROD!$BE$5:$BE$725)</f>
        <v>0</v>
      </c>
      <c r="AA72" s="780">
        <f>GSh!AZ72</f>
        <v>0</v>
      </c>
      <c r="AB72" s="523">
        <f>GSh!BA72</f>
        <v>0</v>
      </c>
      <c r="AC72" s="581"/>
      <c r="AD72" s="783">
        <f>GSh!BK72/10</f>
        <v>0</v>
      </c>
      <c r="AE72" s="590">
        <f>GSh!BL72</f>
        <v>0</v>
      </c>
      <c r="AF72" s="593">
        <f t="shared" si="51"/>
        <v>0</v>
      </c>
      <c r="AG72" s="584"/>
      <c r="AH72" s="587"/>
      <c r="AI72" s="527"/>
      <c r="AJ72" s="528">
        <f>GSh!BE72</f>
        <v>0</v>
      </c>
      <c r="AK72" s="520">
        <f>GSh!BF72</f>
        <v>0</v>
      </c>
      <c r="AL72" s="532"/>
      <c r="AM72" s="769">
        <f>GSh!BH72</f>
        <v>0</v>
      </c>
      <c r="AN72" s="520">
        <f>GSh!BI72</f>
        <v>0</v>
      </c>
      <c r="AO72" s="610">
        <f t="shared" ca="1" si="52"/>
        <v>0</v>
      </c>
      <c r="AP72" s="611">
        <f t="shared" ca="1" si="53"/>
        <v>0</v>
      </c>
      <c r="AQ72" s="611">
        <f t="shared" ca="1" si="54"/>
        <v>0</v>
      </c>
      <c r="AR72" s="611">
        <f t="shared" ca="1" si="55"/>
        <v>0</v>
      </c>
      <c r="AS72" s="611">
        <f t="shared" ca="1" si="56"/>
        <v>0</v>
      </c>
      <c r="AT72" s="611">
        <f t="shared" ca="1" si="57"/>
        <v>0</v>
      </c>
      <c r="AU72" s="621">
        <f t="shared" ca="1" si="58"/>
        <v>0</v>
      </c>
      <c r="AV72" s="623">
        <f t="shared" ca="1" si="59"/>
        <v>0</v>
      </c>
      <c r="AW72" s="611">
        <f t="shared" ca="1" si="60"/>
        <v>0</v>
      </c>
      <c r="AX72" s="1073">
        <f t="shared" ca="1" si="61"/>
        <v>0</v>
      </c>
      <c r="AY72" s="1071">
        <f t="shared" ca="1" si="62"/>
        <v>0</v>
      </c>
      <c r="AZ72" s="611">
        <f t="shared" ca="1" si="63"/>
        <v>0</v>
      </c>
      <c r="BA72" s="611">
        <f t="shared" ca="1" si="64"/>
        <v>0</v>
      </c>
      <c r="BB72" s="612">
        <f t="shared" ca="1" si="65"/>
        <v>0</v>
      </c>
      <c r="BC72" s="617">
        <f t="shared" si="66"/>
        <v>0</v>
      </c>
      <c r="BD72" s="619">
        <f t="shared" si="67"/>
        <v>0</v>
      </c>
      <c r="BE72" s="346">
        <f>GSh!CN72</f>
        <v>0</v>
      </c>
      <c r="BF72" s="210"/>
      <c r="BG72" s="208">
        <f>GSh!BT72</f>
        <v>0</v>
      </c>
      <c r="BH72" s="209">
        <f>GSh!BU72</f>
        <v>0</v>
      </c>
      <c r="BI72" s="199">
        <f>GSh!AF72</f>
        <v>0</v>
      </c>
      <c r="BJ72" s="199">
        <f>GSh!AG72</f>
        <v>0</v>
      </c>
      <c r="BK72" s="199">
        <f>GSh!AK72</f>
        <v>0</v>
      </c>
      <c r="BL72" s="199">
        <f>GSh!AL72</f>
        <v>0</v>
      </c>
    </row>
    <row r="73" spans="1:64" ht="15.75" customHeight="1" x14ac:dyDescent="0.3">
      <c r="A73" s="266">
        <f t="shared" si="31"/>
        <v>85</v>
      </c>
      <c r="B73" s="267">
        <f>GSh!AN73</f>
        <v>0</v>
      </c>
      <c r="C73" s="263"/>
      <c r="D73" s="263"/>
      <c r="E73" s="772">
        <f>GSh!AR73</f>
        <v>0</v>
      </c>
      <c r="F73" s="338"/>
      <c r="G73" s="505">
        <f>SUMIF(PROD!$BF$5:$BF$725,A73,PROD!$L$5:$L$725)</f>
        <v>0</v>
      </c>
      <c r="H73" s="503"/>
      <c r="I73" s="774">
        <f>GSh!AE73</f>
        <v>0</v>
      </c>
      <c r="J73" s="602">
        <f>GSh!AH73</f>
        <v>0</v>
      </c>
      <c r="K73" s="604"/>
      <c r="L73" s="776">
        <f>GSh!AJ73</f>
        <v>0</v>
      </c>
      <c r="M73" s="340">
        <f>GSh!AM73</f>
        <v>0</v>
      </c>
      <c r="N73" s="501">
        <f t="shared" si="50"/>
        <v>0</v>
      </c>
      <c r="O73" s="336"/>
      <c r="P73" s="776">
        <f>GSh!AU73</f>
        <v>0</v>
      </c>
      <c r="Q73" s="557">
        <f>GSh!AV73</f>
        <v>0</v>
      </c>
      <c r="R73" s="559"/>
      <c r="S73" s="1197"/>
      <c r="T73" s="344"/>
      <c r="U73" s="778">
        <f>GSh!BN73</f>
        <v>0</v>
      </c>
      <c r="V73" s="343">
        <f>GSh!BO73</f>
        <v>0</v>
      </c>
      <c r="W73" s="344"/>
      <c r="X73" s="778">
        <f>GSh!BQ73</f>
        <v>0</v>
      </c>
      <c r="Y73" s="343">
        <f>GSh!BR73</f>
        <v>0</v>
      </c>
      <c r="Z73" s="578">
        <f>LOOKUP($A73,PROD!$A$5:$A$725,PROD!$BE$5:$BE$725)</f>
        <v>0</v>
      </c>
      <c r="AA73" s="780">
        <f>GSh!AZ73</f>
        <v>0</v>
      </c>
      <c r="AB73" s="523">
        <f>GSh!BA73</f>
        <v>0</v>
      </c>
      <c r="AC73" s="581"/>
      <c r="AD73" s="783">
        <f>GSh!BK73/10</f>
        <v>0</v>
      </c>
      <c r="AE73" s="590">
        <f>GSh!BL73</f>
        <v>0</v>
      </c>
      <c r="AF73" s="593">
        <f t="shared" si="51"/>
        <v>0</v>
      </c>
      <c r="AG73" s="584"/>
      <c r="AH73" s="587"/>
      <c r="AI73" s="527"/>
      <c r="AJ73" s="528">
        <f>GSh!BE73</f>
        <v>0</v>
      </c>
      <c r="AK73" s="520">
        <f>GSh!BF73</f>
        <v>0</v>
      </c>
      <c r="AL73" s="532"/>
      <c r="AM73" s="769">
        <f>GSh!BH73</f>
        <v>0</v>
      </c>
      <c r="AN73" s="520">
        <f>GSh!BI73</f>
        <v>0</v>
      </c>
      <c r="AO73" s="610">
        <f t="shared" ca="1" si="52"/>
        <v>0</v>
      </c>
      <c r="AP73" s="611">
        <f t="shared" ca="1" si="53"/>
        <v>0</v>
      </c>
      <c r="AQ73" s="611">
        <f t="shared" ca="1" si="54"/>
        <v>0</v>
      </c>
      <c r="AR73" s="611">
        <f t="shared" ca="1" si="55"/>
        <v>0</v>
      </c>
      <c r="AS73" s="611">
        <f t="shared" ca="1" si="56"/>
        <v>0</v>
      </c>
      <c r="AT73" s="611">
        <f t="shared" ca="1" si="57"/>
        <v>0</v>
      </c>
      <c r="AU73" s="621">
        <f t="shared" ca="1" si="58"/>
        <v>0</v>
      </c>
      <c r="AV73" s="623">
        <f t="shared" ca="1" si="59"/>
        <v>0</v>
      </c>
      <c r="AW73" s="611">
        <f t="shared" ca="1" si="60"/>
        <v>0</v>
      </c>
      <c r="AX73" s="1073">
        <f t="shared" ca="1" si="61"/>
        <v>0</v>
      </c>
      <c r="AY73" s="1071">
        <f t="shared" ca="1" si="62"/>
        <v>0</v>
      </c>
      <c r="AZ73" s="611">
        <f t="shared" ca="1" si="63"/>
        <v>0</v>
      </c>
      <c r="BA73" s="611">
        <f t="shared" ca="1" si="64"/>
        <v>0</v>
      </c>
      <c r="BB73" s="612">
        <f t="shared" ca="1" si="65"/>
        <v>0</v>
      </c>
      <c r="BC73" s="617">
        <f t="shared" si="66"/>
        <v>0</v>
      </c>
      <c r="BD73" s="619">
        <f t="shared" si="67"/>
        <v>0</v>
      </c>
      <c r="BE73" s="346">
        <f>GSh!CN73</f>
        <v>0</v>
      </c>
      <c r="BF73" s="210"/>
      <c r="BG73" s="208">
        <f>GSh!BT73</f>
        <v>0</v>
      </c>
      <c r="BH73" s="209">
        <f>GSh!BU73</f>
        <v>0</v>
      </c>
      <c r="BI73" s="199">
        <f>GSh!AF73</f>
        <v>0</v>
      </c>
      <c r="BJ73" s="199">
        <f>GSh!AG73</f>
        <v>0</v>
      </c>
      <c r="BK73" s="199">
        <f>GSh!AK73</f>
        <v>0</v>
      </c>
      <c r="BL73" s="199">
        <f>GSh!AL73</f>
        <v>0</v>
      </c>
    </row>
    <row r="74" spans="1:64" ht="15.75" customHeight="1" x14ac:dyDescent="0.3">
      <c r="A74" s="266">
        <f t="shared" si="31"/>
        <v>86</v>
      </c>
      <c r="B74" s="267">
        <f>GSh!AN74</f>
        <v>0</v>
      </c>
      <c r="C74" s="263"/>
      <c r="D74" s="263"/>
      <c r="E74" s="772">
        <f>GSh!AR74</f>
        <v>0</v>
      </c>
      <c r="F74" s="338"/>
      <c r="G74" s="505">
        <f>SUMIF(PROD!$BF$5:$BF$725,A74,PROD!$L$5:$L$725)</f>
        <v>0</v>
      </c>
      <c r="H74" s="503"/>
      <c r="I74" s="774">
        <f>GSh!AE74</f>
        <v>0</v>
      </c>
      <c r="J74" s="602">
        <f>GSh!AH74</f>
        <v>0</v>
      </c>
      <c r="K74" s="604"/>
      <c r="L74" s="776">
        <f>GSh!AJ74</f>
        <v>0</v>
      </c>
      <c r="M74" s="340">
        <f>GSh!AM74</f>
        <v>0</v>
      </c>
      <c r="N74" s="501">
        <f t="shared" si="50"/>
        <v>0</v>
      </c>
      <c r="O74" s="336"/>
      <c r="P74" s="776">
        <f>GSh!AU74</f>
        <v>0</v>
      </c>
      <c r="Q74" s="557">
        <f>GSh!AV74</f>
        <v>0</v>
      </c>
      <c r="R74" s="559"/>
      <c r="S74" s="1197"/>
      <c r="T74" s="344"/>
      <c r="U74" s="778">
        <f>GSh!BN74</f>
        <v>0</v>
      </c>
      <c r="V74" s="343">
        <f>GSh!BO74</f>
        <v>0</v>
      </c>
      <c r="W74" s="344"/>
      <c r="X74" s="778">
        <f>GSh!BQ74</f>
        <v>0</v>
      </c>
      <c r="Y74" s="343">
        <f>GSh!BR74</f>
        <v>0</v>
      </c>
      <c r="Z74" s="578">
        <f>LOOKUP($A74,PROD!$A$5:$A$725,PROD!$BE$5:$BE$725)</f>
        <v>0</v>
      </c>
      <c r="AA74" s="780">
        <f>GSh!AZ74</f>
        <v>0</v>
      </c>
      <c r="AB74" s="523">
        <f>GSh!BA74</f>
        <v>0</v>
      </c>
      <c r="AC74" s="581"/>
      <c r="AD74" s="783">
        <f>GSh!BK74/10</f>
        <v>0</v>
      </c>
      <c r="AE74" s="590">
        <f>GSh!BL74</f>
        <v>0</v>
      </c>
      <c r="AF74" s="593">
        <f t="shared" si="51"/>
        <v>0</v>
      </c>
      <c r="AG74" s="584"/>
      <c r="AH74" s="587"/>
      <c r="AI74" s="527"/>
      <c r="AJ74" s="528">
        <f>GSh!BE74</f>
        <v>0</v>
      </c>
      <c r="AK74" s="520">
        <f>GSh!BF74</f>
        <v>0</v>
      </c>
      <c r="AL74" s="532"/>
      <c r="AM74" s="769">
        <f>GSh!BH74</f>
        <v>0</v>
      </c>
      <c r="AN74" s="520">
        <f>GSh!BI74</f>
        <v>0</v>
      </c>
      <c r="AO74" s="610">
        <f t="shared" ca="1" si="52"/>
        <v>0</v>
      </c>
      <c r="AP74" s="611">
        <f t="shared" ca="1" si="53"/>
        <v>0</v>
      </c>
      <c r="AQ74" s="611">
        <f t="shared" ca="1" si="54"/>
        <v>0</v>
      </c>
      <c r="AR74" s="611">
        <f t="shared" ca="1" si="55"/>
        <v>0</v>
      </c>
      <c r="AS74" s="611">
        <f t="shared" ca="1" si="56"/>
        <v>0</v>
      </c>
      <c r="AT74" s="611">
        <f t="shared" ca="1" si="57"/>
        <v>0</v>
      </c>
      <c r="AU74" s="621">
        <f t="shared" ca="1" si="58"/>
        <v>0</v>
      </c>
      <c r="AV74" s="623">
        <f t="shared" ca="1" si="59"/>
        <v>0</v>
      </c>
      <c r="AW74" s="611">
        <f t="shared" ca="1" si="60"/>
        <v>0</v>
      </c>
      <c r="AX74" s="1073">
        <f t="shared" ca="1" si="61"/>
        <v>0</v>
      </c>
      <c r="AY74" s="1071">
        <f t="shared" ca="1" si="62"/>
        <v>0</v>
      </c>
      <c r="AZ74" s="611">
        <f t="shared" ca="1" si="63"/>
        <v>0</v>
      </c>
      <c r="BA74" s="611">
        <f t="shared" ca="1" si="64"/>
        <v>0</v>
      </c>
      <c r="BB74" s="612">
        <f t="shared" ca="1" si="65"/>
        <v>0</v>
      </c>
      <c r="BC74" s="617">
        <f t="shared" si="66"/>
        <v>0</v>
      </c>
      <c r="BD74" s="619">
        <f t="shared" si="67"/>
        <v>0</v>
      </c>
      <c r="BE74" s="346">
        <f>GSh!CN74</f>
        <v>0</v>
      </c>
      <c r="BF74" s="210"/>
      <c r="BG74" s="208">
        <f>GSh!BT74</f>
        <v>0</v>
      </c>
      <c r="BH74" s="209">
        <f>GSh!BU74</f>
        <v>0</v>
      </c>
      <c r="BI74" s="199">
        <f>GSh!AF74</f>
        <v>0</v>
      </c>
      <c r="BJ74" s="199">
        <f>GSh!AG74</f>
        <v>0</v>
      </c>
      <c r="BK74" s="199">
        <f>GSh!AK74</f>
        <v>0</v>
      </c>
      <c r="BL74" s="199">
        <f>GSh!AL74</f>
        <v>0</v>
      </c>
    </row>
    <row r="75" spans="1:64" ht="15.75" customHeight="1" x14ac:dyDescent="0.3">
      <c r="A75" s="266">
        <f t="shared" si="31"/>
        <v>87</v>
      </c>
      <c r="B75" s="267">
        <f>GSh!AN75</f>
        <v>0</v>
      </c>
      <c r="C75" s="263"/>
      <c r="D75" s="263"/>
      <c r="E75" s="772">
        <f>GSh!AR75</f>
        <v>0</v>
      </c>
      <c r="F75" s="338"/>
      <c r="G75" s="505">
        <f>SUMIF(PROD!$BF$5:$BF$725,A75,PROD!$L$5:$L$725)</f>
        <v>0</v>
      </c>
      <c r="H75" s="503"/>
      <c r="I75" s="774">
        <f>GSh!AE75</f>
        <v>0</v>
      </c>
      <c r="J75" s="602">
        <f>GSh!AH75</f>
        <v>0</v>
      </c>
      <c r="K75" s="604"/>
      <c r="L75" s="776">
        <f>GSh!AJ75</f>
        <v>0</v>
      </c>
      <c r="M75" s="340">
        <f>GSh!AM75</f>
        <v>0</v>
      </c>
      <c r="N75" s="501">
        <f t="shared" si="50"/>
        <v>0</v>
      </c>
      <c r="O75" s="336"/>
      <c r="P75" s="776">
        <f>GSh!AU75</f>
        <v>0</v>
      </c>
      <c r="Q75" s="557">
        <f>GSh!AV75</f>
        <v>0</v>
      </c>
      <c r="R75" s="559"/>
      <c r="S75" s="1197"/>
      <c r="T75" s="344"/>
      <c r="U75" s="778">
        <f>GSh!BN75</f>
        <v>0</v>
      </c>
      <c r="V75" s="343">
        <f>GSh!BO75</f>
        <v>0</v>
      </c>
      <c r="W75" s="344"/>
      <c r="X75" s="778">
        <f>GSh!BQ75</f>
        <v>0</v>
      </c>
      <c r="Y75" s="343">
        <f>GSh!BR75</f>
        <v>0</v>
      </c>
      <c r="Z75" s="578">
        <f>LOOKUP($A75,PROD!$A$5:$A$725,PROD!$BE$5:$BE$725)</f>
        <v>0</v>
      </c>
      <c r="AA75" s="780">
        <f>GSh!AZ75</f>
        <v>0</v>
      </c>
      <c r="AB75" s="523">
        <f>GSh!BA75</f>
        <v>0</v>
      </c>
      <c r="AC75" s="581"/>
      <c r="AD75" s="783">
        <f>GSh!BK75/10</f>
        <v>0</v>
      </c>
      <c r="AE75" s="590">
        <f>GSh!BL75</f>
        <v>0</v>
      </c>
      <c r="AF75" s="593">
        <f t="shared" si="51"/>
        <v>0</v>
      </c>
      <c r="AG75" s="584"/>
      <c r="AH75" s="587"/>
      <c r="AI75" s="527"/>
      <c r="AJ75" s="528">
        <f>GSh!BE75</f>
        <v>0</v>
      </c>
      <c r="AK75" s="520">
        <f>GSh!BF75</f>
        <v>0</v>
      </c>
      <c r="AL75" s="532"/>
      <c r="AM75" s="769">
        <f>GSh!BH75</f>
        <v>0</v>
      </c>
      <c r="AN75" s="520">
        <f>GSh!BI75</f>
        <v>0</v>
      </c>
      <c r="AO75" s="610">
        <f t="shared" ca="1" si="52"/>
        <v>0</v>
      </c>
      <c r="AP75" s="611">
        <f t="shared" ca="1" si="53"/>
        <v>0</v>
      </c>
      <c r="AQ75" s="611">
        <f t="shared" ca="1" si="54"/>
        <v>0</v>
      </c>
      <c r="AR75" s="611">
        <f t="shared" ca="1" si="55"/>
        <v>0</v>
      </c>
      <c r="AS75" s="611">
        <f t="shared" ca="1" si="56"/>
        <v>0</v>
      </c>
      <c r="AT75" s="611">
        <f t="shared" ca="1" si="57"/>
        <v>0</v>
      </c>
      <c r="AU75" s="621">
        <f t="shared" ca="1" si="58"/>
        <v>0</v>
      </c>
      <c r="AV75" s="623">
        <f t="shared" ca="1" si="59"/>
        <v>0</v>
      </c>
      <c r="AW75" s="611">
        <f t="shared" ca="1" si="60"/>
        <v>0</v>
      </c>
      <c r="AX75" s="1073">
        <f t="shared" ca="1" si="61"/>
        <v>0</v>
      </c>
      <c r="AY75" s="1071">
        <f t="shared" ca="1" si="62"/>
        <v>0</v>
      </c>
      <c r="AZ75" s="611">
        <f t="shared" ca="1" si="63"/>
        <v>0</v>
      </c>
      <c r="BA75" s="611">
        <f t="shared" ca="1" si="64"/>
        <v>0</v>
      </c>
      <c r="BB75" s="612">
        <f t="shared" ca="1" si="65"/>
        <v>0</v>
      </c>
      <c r="BC75" s="617">
        <f t="shared" si="66"/>
        <v>0</v>
      </c>
      <c r="BD75" s="619">
        <f t="shared" si="67"/>
        <v>0</v>
      </c>
      <c r="BE75" s="346">
        <f>GSh!CN75</f>
        <v>0</v>
      </c>
      <c r="BF75" s="210"/>
      <c r="BG75" s="208">
        <f>GSh!BT75</f>
        <v>0</v>
      </c>
      <c r="BH75" s="209">
        <f>GSh!BU75</f>
        <v>0</v>
      </c>
      <c r="BI75" s="199">
        <f>GSh!AF75</f>
        <v>0</v>
      </c>
      <c r="BJ75" s="199">
        <f>GSh!AG75</f>
        <v>0</v>
      </c>
      <c r="BK75" s="199">
        <f>GSh!AK75</f>
        <v>0</v>
      </c>
      <c r="BL75" s="199">
        <f>GSh!AL75</f>
        <v>0</v>
      </c>
    </row>
    <row r="76" spans="1:64" ht="15.75" customHeight="1" x14ac:dyDescent="0.3">
      <c r="A76" s="266">
        <f t="shared" si="31"/>
        <v>88</v>
      </c>
      <c r="B76" s="267">
        <f>GSh!AN76</f>
        <v>0</v>
      </c>
      <c r="C76" s="263"/>
      <c r="D76" s="263"/>
      <c r="E76" s="772">
        <f>GSh!AR76</f>
        <v>0</v>
      </c>
      <c r="F76" s="338"/>
      <c r="G76" s="505">
        <f>SUMIF(PROD!$BF$5:$BF$725,A76,PROD!$L$5:$L$725)</f>
        <v>0</v>
      </c>
      <c r="H76" s="503"/>
      <c r="I76" s="774">
        <f>GSh!AE76</f>
        <v>0</v>
      </c>
      <c r="J76" s="602">
        <f>GSh!AH76</f>
        <v>0</v>
      </c>
      <c r="K76" s="604"/>
      <c r="L76" s="776">
        <f>GSh!AJ76</f>
        <v>0</v>
      </c>
      <c r="M76" s="340">
        <f>GSh!AM76</f>
        <v>0</v>
      </c>
      <c r="N76" s="501">
        <f t="shared" si="50"/>
        <v>0</v>
      </c>
      <c r="O76" s="336"/>
      <c r="P76" s="776">
        <f>GSh!AU76</f>
        <v>0</v>
      </c>
      <c r="Q76" s="557">
        <f>GSh!AV76</f>
        <v>0</v>
      </c>
      <c r="R76" s="559"/>
      <c r="S76" s="1197"/>
      <c r="T76" s="344"/>
      <c r="U76" s="778">
        <f>GSh!BN76</f>
        <v>0</v>
      </c>
      <c r="V76" s="343">
        <f>GSh!BO76</f>
        <v>0</v>
      </c>
      <c r="W76" s="344"/>
      <c r="X76" s="778">
        <f>GSh!BQ76</f>
        <v>0</v>
      </c>
      <c r="Y76" s="343">
        <f>GSh!BR76</f>
        <v>0</v>
      </c>
      <c r="Z76" s="578">
        <f>LOOKUP($A76,PROD!$A$5:$A$725,PROD!$BE$5:$BE$725)</f>
        <v>0</v>
      </c>
      <c r="AA76" s="780">
        <f>GSh!AZ76</f>
        <v>0</v>
      </c>
      <c r="AB76" s="523">
        <f>GSh!BA76</f>
        <v>0</v>
      </c>
      <c r="AC76" s="581"/>
      <c r="AD76" s="783">
        <f>GSh!BK76/10</f>
        <v>0</v>
      </c>
      <c r="AE76" s="590">
        <f>GSh!BL76</f>
        <v>0</v>
      </c>
      <c r="AF76" s="593">
        <f t="shared" si="51"/>
        <v>0</v>
      </c>
      <c r="AG76" s="584"/>
      <c r="AH76" s="587"/>
      <c r="AI76" s="527"/>
      <c r="AJ76" s="528">
        <f>GSh!BE76</f>
        <v>0</v>
      </c>
      <c r="AK76" s="520">
        <f>GSh!BF76</f>
        <v>0</v>
      </c>
      <c r="AL76" s="532"/>
      <c r="AM76" s="769">
        <f>GSh!BH76</f>
        <v>0</v>
      </c>
      <c r="AN76" s="520">
        <f>GSh!BI76</f>
        <v>0</v>
      </c>
      <c r="AO76" s="610">
        <f t="shared" ca="1" si="52"/>
        <v>0</v>
      </c>
      <c r="AP76" s="611">
        <f t="shared" ca="1" si="53"/>
        <v>0</v>
      </c>
      <c r="AQ76" s="611">
        <f t="shared" ca="1" si="54"/>
        <v>0</v>
      </c>
      <c r="AR76" s="611">
        <f t="shared" ca="1" si="55"/>
        <v>0</v>
      </c>
      <c r="AS76" s="611">
        <f t="shared" ca="1" si="56"/>
        <v>0</v>
      </c>
      <c r="AT76" s="611">
        <f t="shared" ca="1" si="57"/>
        <v>0</v>
      </c>
      <c r="AU76" s="621">
        <f t="shared" ca="1" si="58"/>
        <v>0</v>
      </c>
      <c r="AV76" s="623">
        <f t="shared" ca="1" si="59"/>
        <v>0</v>
      </c>
      <c r="AW76" s="611">
        <f t="shared" ca="1" si="60"/>
        <v>0</v>
      </c>
      <c r="AX76" s="1073">
        <f t="shared" ca="1" si="61"/>
        <v>0</v>
      </c>
      <c r="AY76" s="1071">
        <f t="shared" ca="1" si="62"/>
        <v>0</v>
      </c>
      <c r="AZ76" s="611">
        <f t="shared" ca="1" si="63"/>
        <v>0</v>
      </c>
      <c r="BA76" s="611">
        <f t="shared" ca="1" si="64"/>
        <v>0</v>
      </c>
      <c r="BB76" s="612">
        <f t="shared" ca="1" si="65"/>
        <v>0</v>
      </c>
      <c r="BC76" s="617">
        <f t="shared" si="66"/>
        <v>0</v>
      </c>
      <c r="BD76" s="619">
        <f t="shared" si="67"/>
        <v>0</v>
      </c>
      <c r="BE76" s="346">
        <f>GSh!CN76</f>
        <v>0</v>
      </c>
      <c r="BF76" s="210"/>
      <c r="BG76" s="208">
        <f>GSh!BT76</f>
        <v>0</v>
      </c>
      <c r="BH76" s="209">
        <f>GSh!BU76</f>
        <v>0</v>
      </c>
      <c r="BI76" s="199">
        <f>GSh!AF76</f>
        <v>0</v>
      </c>
      <c r="BJ76" s="199">
        <f>GSh!AG76</f>
        <v>0</v>
      </c>
      <c r="BK76" s="199">
        <f>GSh!AK76</f>
        <v>0</v>
      </c>
      <c r="BL76" s="199">
        <f>GSh!AL76</f>
        <v>0</v>
      </c>
    </row>
    <row r="77" spans="1:64" ht="15.75" customHeight="1" x14ac:dyDescent="0.3">
      <c r="A77" s="266">
        <f t="shared" si="31"/>
        <v>89</v>
      </c>
      <c r="B77" s="267">
        <f>GSh!AN77</f>
        <v>0</v>
      </c>
      <c r="C77" s="263"/>
      <c r="D77" s="263"/>
      <c r="E77" s="772">
        <f>GSh!AR77</f>
        <v>0</v>
      </c>
      <c r="F77" s="338"/>
      <c r="G77" s="505">
        <f>SUMIF(PROD!$BF$5:$BF$725,A77,PROD!$L$5:$L$725)</f>
        <v>0</v>
      </c>
      <c r="H77" s="503"/>
      <c r="I77" s="774">
        <f>GSh!AE77</f>
        <v>0</v>
      </c>
      <c r="J77" s="602">
        <f>GSh!AH77</f>
        <v>0</v>
      </c>
      <c r="K77" s="604"/>
      <c r="L77" s="776">
        <f>GSh!AJ77</f>
        <v>0</v>
      </c>
      <c r="M77" s="340">
        <f>GSh!AM77</f>
        <v>0</v>
      </c>
      <c r="N77" s="501">
        <f t="shared" si="50"/>
        <v>0</v>
      </c>
      <c r="O77" s="336"/>
      <c r="P77" s="776">
        <f>GSh!AU77</f>
        <v>0</v>
      </c>
      <c r="Q77" s="557">
        <f>GSh!AV77</f>
        <v>0</v>
      </c>
      <c r="R77" s="559"/>
      <c r="S77" s="1197"/>
      <c r="T77" s="344"/>
      <c r="U77" s="778">
        <f>GSh!BN77</f>
        <v>0</v>
      </c>
      <c r="V77" s="343">
        <f>GSh!BO77</f>
        <v>0</v>
      </c>
      <c r="W77" s="344"/>
      <c r="X77" s="778">
        <f>GSh!BQ77</f>
        <v>0</v>
      </c>
      <c r="Y77" s="343">
        <f>GSh!BR77</f>
        <v>0</v>
      </c>
      <c r="Z77" s="578">
        <f>LOOKUP($A77,PROD!$A$5:$A$725,PROD!$BE$5:$BE$725)</f>
        <v>0</v>
      </c>
      <c r="AA77" s="780">
        <f>GSh!AZ77</f>
        <v>0</v>
      </c>
      <c r="AB77" s="523">
        <f>GSh!BA77</f>
        <v>0</v>
      </c>
      <c r="AC77" s="581"/>
      <c r="AD77" s="783">
        <f>GSh!BK77/10</f>
        <v>0</v>
      </c>
      <c r="AE77" s="590">
        <f>GSh!BL77</f>
        <v>0</v>
      </c>
      <c r="AF77" s="593">
        <f t="shared" si="51"/>
        <v>0</v>
      </c>
      <c r="AG77" s="584"/>
      <c r="AH77" s="587"/>
      <c r="AI77" s="527"/>
      <c r="AJ77" s="528">
        <f>GSh!BE77</f>
        <v>0</v>
      </c>
      <c r="AK77" s="520">
        <f>GSh!BF77</f>
        <v>0</v>
      </c>
      <c r="AL77" s="532"/>
      <c r="AM77" s="769">
        <f>GSh!BH77</f>
        <v>0</v>
      </c>
      <c r="AN77" s="520">
        <f>GSh!BI77</f>
        <v>0</v>
      </c>
      <c r="AO77" s="610">
        <f t="shared" ca="1" si="52"/>
        <v>0</v>
      </c>
      <c r="AP77" s="611">
        <f t="shared" ca="1" si="53"/>
        <v>0</v>
      </c>
      <c r="AQ77" s="611">
        <f t="shared" ca="1" si="54"/>
        <v>0</v>
      </c>
      <c r="AR77" s="611">
        <f t="shared" ca="1" si="55"/>
        <v>0</v>
      </c>
      <c r="AS77" s="611">
        <f t="shared" ca="1" si="56"/>
        <v>0</v>
      </c>
      <c r="AT77" s="611">
        <f t="shared" ca="1" si="57"/>
        <v>0</v>
      </c>
      <c r="AU77" s="621">
        <f t="shared" ca="1" si="58"/>
        <v>0</v>
      </c>
      <c r="AV77" s="623">
        <f t="shared" ca="1" si="59"/>
        <v>0</v>
      </c>
      <c r="AW77" s="611">
        <f t="shared" ca="1" si="60"/>
        <v>0</v>
      </c>
      <c r="AX77" s="1073">
        <f t="shared" ca="1" si="61"/>
        <v>0</v>
      </c>
      <c r="AY77" s="1071">
        <f t="shared" ca="1" si="62"/>
        <v>0</v>
      </c>
      <c r="AZ77" s="611">
        <f t="shared" ca="1" si="63"/>
        <v>0</v>
      </c>
      <c r="BA77" s="611">
        <f t="shared" ca="1" si="64"/>
        <v>0</v>
      </c>
      <c r="BB77" s="612">
        <f t="shared" ca="1" si="65"/>
        <v>0</v>
      </c>
      <c r="BC77" s="617">
        <f t="shared" si="66"/>
        <v>0</v>
      </c>
      <c r="BD77" s="619">
        <f t="shared" si="67"/>
        <v>0</v>
      </c>
      <c r="BE77" s="346">
        <f>GSh!CN77</f>
        <v>0</v>
      </c>
      <c r="BF77" s="210"/>
      <c r="BG77" s="208">
        <f>GSh!BT77</f>
        <v>0</v>
      </c>
      <c r="BH77" s="209">
        <f>GSh!BU77</f>
        <v>0</v>
      </c>
      <c r="BI77" s="199">
        <f>GSh!AF77</f>
        <v>0</v>
      </c>
      <c r="BJ77" s="199">
        <f>GSh!AG77</f>
        <v>0</v>
      </c>
      <c r="BK77" s="199">
        <f>GSh!AK77</f>
        <v>0</v>
      </c>
      <c r="BL77" s="199">
        <f>GSh!AL77</f>
        <v>0</v>
      </c>
    </row>
    <row r="78" spans="1:64" ht="15.75" customHeight="1" x14ac:dyDescent="0.3">
      <c r="A78" s="266">
        <f t="shared" si="31"/>
        <v>90</v>
      </c>
      <c r="B78" s="267">
        <f>GSh!AN78</f>
        <v>0</v>
      </c>
      <c r="C78" s="263"/>
      <c r="D78" s="263"/>
      <c r="E78" s="772">
        <f>GSh!AR78</f>
        <v>0</v>
      </c>
      <c r="F78" s="338"/>
      <c r="G78" s="505">
        <f>SUMIF(PROD!$BF$5:$BF$725,A78,PROD!$L$5:$L$725)</f>
        <v>0</v>
      </c>
      <c r="H78" s="503"/>
      <c r="I78" s="774">
        <f>GSh!AE78</f>
        <v>0</v>
      </c>
      <c r="J78" s="602">
        <f>GSh!AH78</f>
        <v>0</v>
      </c>
      <c r="K78" s="604"/>
      <c r="L78" s="776">
        <f>GSh!AJ78</f>
        <v>0</v>
      </c>
      <c r="M78" s="340">
        <f>GSh!AM78</f>
        <v>0</v>
      </c>
      <c r="N78" s="501">
        <f t="shared" si="50"/>
        <v>0</v>
      </c>
      <c r="O78" s="336"/>
      <c r="P78" s="776">
        <f>GSh!AU78</f>
        <v>0</v>
      </c>
      <c r="Q78" s="557">
        <f>GSh!AV78</f>
        <v>0</v>
      </c>
      <c r="R78" s="559"/>
      <c r="S78" s="1197"/>
      <c r="T78" s="344"/>
      <c r="U78" s="778">
        <f>GSh!BN78</f>
        <v>0</v>
      </c>
      <c r="V78" s="343">
        <f>GSh!BO78</f>
        <v>0</v>
      </c>
      <c r="W78" s="344"/>
      <c r="X78" s="778">
        <f>GSh!BQ78</f>
        <v>0</v>
      </c>
      <c r="Y78" s="343">
        <f>GSh!BR78</f>
        <v>0</v>
      </c>
      <c r="Z78" s="578">
        <f>LOOKUP($A78,PROD!$A$5:$A$725,PROD!$BE$5:$BE$725)</f>
        <v>0</v>
      </c>
      <c r="AA78" s="780">
        <f>GSh!AZ78</f>
        <v>0</v>
      </c>
      <c r="AB78" s="523">
        <f>GSh!BA78</f>
        <v>0</v>
      </c>
      <c r="AC78" s="581"/>
      <c r="AD78" s="783">
        <f>GSh!BK78/10</f>
        <v>0</v>
      </c>
      <c r="AE78" s="590">
        <f>GSh!BL78</f>
        <v>0</v>
      </c>
      <c r="AF78" s="593">
        <f t="shared" si="51"/>
        <v>0</v>
      </c>
      <c r="AG78" s="584"/>
      <c r="AH78" s="587"/>
      <c r="AI78" s="527"/>
      <c r="AJ78" s="528">
        <f>GSh!BE78</f>
        <v>0</v>
      </c>
      <c r="AK78" s="520">
        <f>GSh!BF78</f>
        <v>0</v>
      </c>
      <c r="AL78" s="532"/>
      <c r="AM78" s="769">
        <f>GSh!BH78</f>
        <v>0</v>
      </c>
      <c r="AN78" s="520">
        <f>GSh!BI78</f>
        <v>0</v>
      </c>
      <c r="AO78" s="610">
        <f t="shared" ca="1" si="52"/>
        <v>0</v>
      </c>
      <c r="AP78" s="611">
        <f t="shared" ca="1" si="53"/>
        <v>0</v>
      </c>
      <c r="AQ78" s="611">
        <f t="shared" ca="1" si="54"/>
        <v>0</v>
      </c>
      <c r="AR78" s="611">
        <f t="shared" ca="1" si="55"/>
        <v>0</v>
      </c>
      <c r="AS78" s="611">
        <f t="shared" ca="1" si="56"/>
        <v>0</v>
      </c>
      <c r="AT78" s="611">
        <f t="shared" ca="1" si="57"/>
        <v>0</v>
      </c>
      <c r="AU78" s="621">
        <f t="shared" ca="1" si="58"/>
        <v>0</v>
      </c>
      <c r="AV78" s="623">
        <f t="shared" ca="1" si="59"/>
        <v>0</v>
      </c>
      <c r="AW78" s="611">
        <f t="shared" ca="1" si="60"/>
        <v>0</v>
      </c>
      <c r="AX78" s="1073">
        <f t="shared" ca="1" si="61"/>
        <v>0</v>
      </c>
      <c r="AY78" s="1071">
        <f t="shared" ca="1" si="62"/>
        <v>0</v>
      </c>
      <c r="AZ78" s="611">
        <f t="shared" ca="1" si="63"/>
        <v>0</v>
      </c>
      <c r="BA78" s="611">
        <f t="shared" ca="1" si="64"/>
        <v>0</v>
      </c>
      <c r="BB78" s="612">
        <f t="shared" ca="1" si="65"/>
        <v>0</v>
      </c>
      <c r="BC78" s="617">
        <f t="shared" si="66"/>
        <v>0</v>
      </c>
      <c r="BD78" s="619">
        <f t="shared" si="67"/>
        <v>0</v>
      </c>
      <c r="BE78" s="346">
        <f>GSh!CN78</f>
        <v>0</v>
      </c>
      <c r="BF78" s="210"/>
      <c r="BG78" s="208">
        <f>GSh!BT78</f>
        <v>0</v>
      </c>
      <c r="BH78" s="209">
        <f>GSh!BU78</f>
        <v>0</v>
      </c>
      <c r="BI78" s="199">
        <f>GSh!AF78</f>
        <v>0</v>
      </c>
      <c r="BJ78" s="199">
        <f>GSh!AG78</f>
        <v>0</v>
      </c>
      <c r="BK78" s="199">
        <f>GSh!AK78</f>
        <v>0</v>
      </c>
      <c r="BL78" s="199">
        <f>GSh!AL78</f>
        <v>0</v>
      </c>
    </row>
    <row r="79" spans="1:64" ht="15.75" customHeight="1" x14ac:dyDescent="0.3">
      <c r="A79" s="266">
        <f t="shared" si="31"/>
        <v>91</v>
      </c>
      <c r="B79" s="267">
        <f>GSh!AN79</f>
        <v>0</v>
      </c>
      <c r="C79" s="263"/>
      <c r="D79" s="263"/>
      <c r="E79" s="772">
        <f>GSh!AR79</f>
        <v>0</v>
      </c>
      <c r="F79" s="338"/>
      <c r="G79" s="505">
        <f>SUMIF(PROD!$BF$5:$BF$725,A79,PROD!$L$5:$L$725)</f>
        <v>0</v>
      </c>
      <c r="H79" s="503"/>
      <c r="I79" s="774">
        <f>GSh!AE79</f>
        <v>0</v>
      </c>
      <c r="J79" s="602">
        <f>GSh!AH79</f>
        <v>0</v>
      </c>
      <c r="K79" s="604"/>
      <c r="L79" s="776">
        <f>GSh!AJ79</f>
        <v>0</v>
      </c>
      <c r="M79" s="340">
        <f>GSh!AM79</f>
        <v>0</v>
      </c>
      <c r="N79" s="501">
        <f t="shared" si="50"/>
        <v>0</v>
      </c>
      <c r="O79" s="336"/>
      <c r="P79" s="776">
        <f>GSh!AU79</f>
        <v>0</v>
      </c>
      <c r="Q79" s="557">
        <f>GSh!AV79</f>
        <v>0</v>
      </c>
      <c r="R79" s="559"/>
      <c r="S79" s="1197"/>
      <c r="T79" s="344"/>
      <c r="U79" s="778">
        <f>GSh!BN79</f>
        <v>0</v>
      </c>
      <c r="V79" s="343">
        <f>GSh!BO79</f>
        <v>0</v>
      </c>
      <c r="W79" s="344"/>
      <c r="X79" s="778">
        <f>GSh!BQ79</f>
        <v>0</v>
      </c>
      <c r="Y79" s="343">
        <f>GSh!BR79</f>
        <v>0</v>
      </c>
      <c r="Z79" s="578">
        <f>LOOKUP($A79,PROD!$A$5:$A$725,PROD!$BE$5:$BE$725)</f>
        <v>0</v>
      </c>
      <c r="AA79" s="780">
        <f>GSh!AZ79</f>
        <v>0</v>
      </c>
      <c r="AB79" s="523">
        <f>GSh!BA79</f>
        <v>0</v>
      </c>
      <c r="AC79" s="581"/>
      <c r="AD79" s="783">
        <f>GSh!BK79/10</f>
        <v>0</v>
      </c>
      <c r="AE79" s="590">
        <f>GSh!BL79</f>
        <v>0</v>
      </c>
      <c r="AF79" s="593">
        <f t="shared" si="51"/>
        <v>0</v>
      </c>
      <c r="AG79" s="584"/>
      <c r="AH79" s="587"/>
      <c r="AI79" s="527"/>
      <c r="AJ79" s="528">
        <f>GSh!BE79</f>
        <v>0</v>
      </c>
      <c r="AK79" s="520">
        <f>GSh!BF79</f>
        <v>0</v>
      </c>
      <c r="AL79" s="532"/>
      <c r="AM79" s="769">
        <f>GSh!BH79</f>
        <v>0</v>
      </c>
      <c r="AN79" s="520">
        <f>GSh!BI79</f>
        <v>0</v>
      </c>
      <c r="AO79" s="610">
        <f t="shared" ca="1" si="52"/>
        <v>0</v>
      </c>
      <c r="AP79" s="611">
        <f t="shared" ca="1" si="53"/>
        <v>0</v>
      </c>
      <c r="AQ79" s="611">
        <f t="shared" ca="1" si="54"/>
        <v>0</v>
      </c>
      <c r="AR79" s="611">
        <f t="shared" ca="1" si="55"/>
        <v>0</v>
      </c>
      <c r="AS79" s="611">
        <f t="shared" ca="1" si="56"/>
        <v>0</v>
      </c>
      <c r="AT79" s="611">
        <f t="shared" ca="1" si="57"/>
        <v>0</v>
      </c>
      <c r="AU79" s="611">
        <f t="shared" ca="1" si="58"/>
        <v>0</v>
      </c>
      <c r="AV79" s="611">
        <f t="shared" ca="1" si="59"/>
        <v>0</v>
      </c>
      <c r="AW79" s="611">
        <f t="shared" ca="1" si="60"/>
        <v>0</v>
      </c>
      <c r="AX79" s="611">
        <f t="shared" ca="1" si="61"/>
        <v>0</v>
      </c>
      <c r="AY79" s="611">
        <f t="shared" ca="1" si="62"/>
        <v>0</v>
      </c>
      <c r="AZ79" s="611">
        <f t="shared" ca="1" si="63"/>
        <v>0</v>
      </c>
      <c r="BA79" s="611">
        <f t="shared" ca="1" si="64"/>
        <v>0</v>
      </c>
      <c r="BB79" s="612">
        <f t="shared" ca="1" si="65"/>
        <v>0</v>
      </c>
      <c r="BC79" s="617">
        <f t="shared" si="66"/>
        <v>0</v>
      </c>
      <c r="BD79" s="619">
        <f t="shared" si="67"/>
        <v>0</v>
      </c>
      <c r="BE79" s="346">
        <f>GSh!CN79</f>
        <v>0</v>
      </c>
      <c r="BF79" s="210"/>
      <c r="BG79" s="208">
        <f>GSh!BT79</f>
        <v>0</v>
      </c>
      <c r="BH79" s="209">
        <f>GSh!BU79</f>
        <v>0</v>
      </c>
      <c r="BI79" s="199">
        <f>GSh!AF79</f>
        <v>0</v>
      </c>
      <c r="BJ79" s="199">
        <f>GSh!AG79</f>
        <v>0</v>
      </c>
      <c r="BK79" s="199">
        <f>GSh!AK79</f>
        <v>0</v>
      </c>
      <c r="BL79" s="199">
        <f>GSh!AL79</f>
        <v>0</v>
      </c>
    </row>
    <row r="80" spans="1:64" ht="15.75" customHeight="1" x14ac:dyDescent="0.3">
      <c r="A80" s="266">
        <f t="shared" si="31"/>
        <v>92</v>
      </c>
      <c r="B80" s="267">
        <f>GSh!AN80</f>
        <v>0</v>
      </c>
      <c r="C80" s="263"/>
      <c r="D80" s="263"/>
      <c r="E80" s="772">
        <f>GSh!AR80</f>
        <v>0</v>
      </c>
      <c r="F80" s="338"/>
      <c r="G80" s="505">
        <f>SUMIF(PROD!$BF$5:$BF$725,A80,PROD!$L$5:$L$725)</f>
        <v>0</v>
      </c>
      <c r="H80" s="503"/>
      <c r="I80" s="774">
        <f>GSh!AE80</f>
        <v>0</v>
      </c>
      <c r="J80" s="602">
        <f>GSh!AH80</f>
        <v>0</v>
      </c>
      <c r="K80" s="604"/>
      <c r="L80" s="776">
        <f>GSh!AJ80</f>
        <v>0</v>
      </c>
      <c r="M80" s="340">
        <f>GSh!AM80</f>
        <v>0</v>
      </c>
      <c r="N80" s="501">
        <f t="shared" si="50"/>
        <v>0</v>
      </c>
      <c r="O80" s="336"/>
      <c r="P80" s="776">
        <f>GSh!AU80</f>
        <v>0</v>
      </c>
      <c r="Q80" s="557">
        <f>GSh!AV80</f>
        <v>0</v>
      </c>
      <c r="R80" s="559"/>
      <c r="S80" s="1197"/>
      <c r="T80" s="344"/>
      <c r="U80" s="778">
        <f>GSh!BN80</f>
        <v>0</v>
      </c>
      <c r="V80" s="343">
        <f>GSh!BO80</f>
        <v>0</v>
      </c>
      <c r="W80" s="344"/>
      <c r="X80" s="778">
        <f>GSh!BQ80</f>
        <v>0</v>
      </c>
      <c r="Y80" s="343">
        <f>GSh!BR80</f>
        <v>0</v>
      </c>
      <c r="Z80" s="578">
        <f>LOOKUP($A80,PROD!$A$5:$A$725,PROD!$BE$5:$BE$725)</f>
        <v>0</v>
      </c>
      <c r="AA80" s="780">
        <f>GSh!AZ80</f>
        <v>0</v>
      </c>
      <c r="AB80" s="523">
        <f>GSh!BA80</f>
        <v>0</v>
      </c>
      <c r="AC80" s="581"/>
      <c r="AD80" s="783">
        <f>GSh!BK80/10</f>
        <v>0</v>
      </c>
      <c r="AE80" s="590">
        <f>GSh!BL80</f>
        <v>0</v>
      </c>
      <c r="AF80" s="593">
        <f t="shared" si="51"/>
        <v>0</v>
      </c>
      <c r="AG80" s="584"/>
      <c r="AH80" s="587"/>
      <c r="AI80" s="527"/>
      <c r="AJ80" s="528">
        <f>GSh!BE80</f>
        <v>0</v>
      </c>
      <c r="AK80" s="520">
        <f>GSh!BF80</f>
        <v>0</v>
      </c>
      <c r="AL80" s="532"/>
      <c r="AM80" s="769">
        <f>GSh!BH80</f>
        <v>0</v>
      </c>
      <c r="AN80" s="520">
        <f>GSh!BI80</f>
        <v>0</v>
      </c>
      <c r="AO80" s="610">
        <f t="shared" ca="1" si="52"/>
        <v>0</v>
      </c>
      <c r="AP80" s="611">
        <f t="shared" ca="1" si="53"/>
        <v>0</v>
      </c>
      <c r="AQ80" s="611">
        <f t="shared" ca="1" si="54"/>
        <v>0</v>
      </c>
      <c r="AR80" s="611">
        <f t="shared" ca="1" si="55"/>
        <v>0</v>
      </c>
      <c r="AS80" s="611">
        <f t="shared" ca="1" si="56"/>
        <v>0</v>
      </c>
      <c r="AT80" s="611">
        <f t="shared" ca="1" si="57"/>
        <v>0</v>
      </c>
      <c r="AU80" s="611">
        <f t="shared" ca="1" si="58"/>
        <v>0</v>
      </c>
      <c r="AV80" s="611">
        <f t="shared" ca="1" si="59"/>
        <v>0</v>
      </c>
      <c r="AW80" s="611">
        <f t="shared" ca="1" si="60"/>
        <v>0</v>
      </c>
      <c r="AX80" s="611">
        <f t="shared" ca="1" si="61"/>
        <v>0</v>
      </c>
      <c r="AY80" s="611">
        <f t="shared" ca="1" si="62"/>
        <v>0</v>
      </c>
      <c r="AZ80" s="611">
        <f t="shared" ca="1" si="63"/>
        <v>0</v>
      </c>
      <c r="BA80" s="611">
        <f t="shared" ca="1" si="64"/>
        <v>0</v>
      </c>
      <c r="BB80" s="612">
        <f t="shared" ca="1" si="65"/>
        <v>0</v>
      </c>
      <c r="BC80" s="617">
        <f t="shared" si="66"/>
        <v>0</v>
      </c>
      <c r="BD80" s="619">
        <f t="shared" si="67"/>
        <v>0</v>
      </c>
      <c r="BE80" s="346">
        <f>GSh!CN80</f>
        <v>0</v>
      </c>
      <c r="BF80" s="210"/>
      <c r="BG80" s="208">
        <f>GSh!BT80</f>
        <v>0</v>
      </c>
      <c r="BH80" s="209">
        <f>GSh!BU80</f>
        <v>0</v>
      </c>
      <c r="BI80" s="199">
        <f>GSh!AF80</f>
        <v>0</v>
      </c>
      <c r="BJ80" s="199">
        <f>GSh!AG80</f>
        <v>0</v>
      </c>
      <c r="BK80" s="199">
        <f>GSh!AK80</f>
        <v>0</v>
      </c>
      <c r="BL80" s="199">
        <f>GSh!AL80</f>
        <v>0</v>
      </c>
    </row>
    <row r="81" spans="1:64" ht="15.75" customHeight="1" x14ac:dyDescent="0.3">
      <c r="A81" s="266">
        <f t="shared" si="31"/>
        <v>93</v>
      </c>
      <c r="B81" s="267">
        <f>GSh!AN81</f>
        <v>0</v>
      </c>
      <c r="C81" s="263"/>
      <c r="D81" s="263"/>
      <c r="E81" s="772">
        <f>GSh!AR81</f>
        <v>0</v>
      </c>
      <c r="F81" s="338"/>
      <c r="G81" s="505">
        <f>SUMIF(PROD!$BF$5:$BF$725,A81,PROD!$L$5:$L$725)</f>
        <v>0</v>
      </c>
      <c r="H81" s="503"/>
      <c r="I81" s="774">
        <f>GSh!AE81</f>
        <v>0</v>
      </c>
      <c r="J81" s="602">
        <f>GSh!AH81</f>
        <v>0</v>
      </c>
      <c r="K81" s="604"/>
      <c r="L81" s="776">
        <f>GSh!AJ81</f>
        <v>0</v>
      </c>
      <c r="M81" s="340">
        <f>GSh!AM81</f>
        <v>0</v>
      </c>
      <c r="N81" s="501">
        <f t="shared" si="50"/>
        <v>0</v>
      </c>
      <c r="O81" s="336"/>
      <c r="P81" s="776">
        <f>GSh!AU81</f>
        <v>0</v>
      </c>
      <c r="Q81" s="557">
        <f>GSh!AV81</f>
        <v>0</v>
      </c>
      <c r="R81" s="559"/>
      <c r="S81" s="1197"/>
      <c r="T81" s="344"/>
      <c r="U81" s="778">
        <f>GSh!BN81</f>
        <v>0</v>
      </c>
      <c r="V81" s="343">
        <f>GSh!BO81</f>
        <v>0</v>
      </c>
      <c r="W81" s="344"/>
      <c r="X81" s="778">
        <f>GSh!BQ81</f>
        <v>0</v>
      </c>
      <c r="Y81" s="343">
        <f>GSh!BR81</f>
        <v>0</v>
      </c>
      <c r="Z81" s="578">
        <f>LOOKUP($A81,PROD!$A$5:$A$725,PROD!$BE$5:$BE$725)</f>
        <v>0</v>
      </c>
      <c r="AA81" s="780">
        <f>GSh!AZ81</f>
        <v>0</v>
      </c>
      <c r="AB81" s="523">
        <f>GSh!BA81</f>
        <v>0</v>
      </c>
      <c r="AC81" s="581"/>
      <c r="AD81" s="783">
        <f>GSh!BK81/10</f>
        <v>0</v>
      </c>
      <c r="AE81" s="590">
        <f>GSh!BL81</f>
        <v>0</v>
      </c>
      <c r="AF81" s="593">
        <f t="shared" si="51"/>
        <v>0</v>
      </c>
      <c r="AG81" s="584"/>
      <c r="AH81" s="587"/>
      <c r="AI81" s="527"/>
      <c r="AJ81" s="528">
        <f>GSh!BE81</f>
        <v>0</v>
      </c>
      <c r="AK81" s="520">
        <f>GSh!BF81</f>
        <v>0</v>
      </c>
      <c r="AL81" s="532"/>
      <c r="AM81" s="769">
        <f>GSh!BH81</f>
        <v>0</v>
      </c>
      <c r="AN81" s="520">
        <f>GSh!BI81</f>
        <v>0</v>
      </c>
      <c r="AO81" s="610">
        <f t="shared" ca="1" si="52"/>
        <v>0</v>
      </c>
      <c r="AP81" s="611">
        <f t="shared" ca="1" si="53"/>
        <v>0</v>
      </c>
      <c r="AQ81" s="611">
        <f t="shared" ca="1" si="54"/>
        <v>0</v>
      </c>
      <c r="AR81" s="611">
        <f t="shared" ca="1" si="55"/>
        <v>0</v>
      </c>
      <c r="AS81" s="611">
        <f t="shared" ca="1" si="56"/>
        <v>0</v>
      </c>
      <c r="AT81" s="611">
        <f t="shared" ca="1" si="57"/>
        <v>0</v>
      </c>
      <c r="AU81" s="611">
        <f t="shared" ca="1" si="58"/>
        <v>0</v>
      </c>
      <c r="AV81" s="611">
        <f t="shared" ca="1" si="59"/>
        <v>0</v>
      </c>
      <c r="AW81" s="611">
        <f t="shared" ca="1" si="60"/>
        <v>0</v>
      </c>
      <c r="AX81" s="611">
        <f t="shared" ca="1" si="61"/>
        <v>0</v>
      </c>
      <c r="AY81" s="611">
        <f t="shared" ca="1" si="62"/>
        <v>0</v>
      </c>
      <c r="AZ81" s="611">
        <f t="shared" ca="1" si="63"/>
        <v>0</v>
      </c>
      <c r="BA81" s="611">
        <f t="shared" ca="1" si="64"/>
        <v>0</v>
      </c>
      <c r="BB81" s="612">
        <f t="shared" ca="1" si="65"/>
        <v>0</v>
      </c>
      <c r="BC81" s="617">
        <f t="shared" si="66"/>
        <v>0</v>
      </c>
      <c r="BD81" s="619">
        <f t="shared" si="67"/>
        <v>0</v>
      </c>
      <c r="BE81" s="346">
        <f>GSh!CN81</f>
        <v>0</v>
      </c>
      <c r="BF81" s="210"/>
      <c r="BG81" s="208">
        <f>GSh!BT81</f>
        <v>0</v>
      </c>
      <c r="BH81" s="209">
        <f>GSh!BU81</f>
        <v>0</v>
      </c>
      <c r="BI81" s="199">
        <f>GSh!AF81</f>
        <v>0</v>
      </c>
      <c r="BJ81" s="199">
        <f>GSh!AG81</f>
        <v>0</v>
      </c>
      <c r="BK81" s="199">
        <f>GSh!AK81</f>
        <v>0</v>
      </c>
      <c r="BL81" s="199">
        <f>GSh!AL81</f>
        <v>0</v>
      </c>
    </row>
    <row r="82" spans="1:64" ht="15.75" customHeight="1" x14ac:dyDescent="0.3">
      <c r="A82" s="266">
        <f t="shared" si="31"/>
        <v>94</v>
      </c>
      <c r="B82" s="267">
        <f>GSh!AN82</f>
        <v>0</v>
      </c>
      <c r="C82" s="263"/>
      <c r="D82" s="263"/>
      <c r="E82" s="772">
        <f>GSh!AR82</f>
        <v>0</v>
      </c>
      <c r="F82" s="338"/>
      <c r="G82" s="505">
        <f>SUMIF(PROD!$BF$5:$BF$725,A82,PROD!$L$5:$L$725)</f>
        <v>0</v>
      </c>
      <c r="H82" s="503"/>
      <c r="I82" s="774">
        <f>GSh!AE82</f>
        <v>0</v>
      </c>
      <c r="J82" s="602">
        <f>GSh!AH82</f>
        <v>0</v>
      </c>
      <c r="K82" s="604"/>
      <c r="L82" s="776">
        <f>GSh!AJ82</f>
        <v>0</v>
      </c>
      <c r="M82" s="340">
        <f>GSh!AM82</f>
        <v>0</v>
      </c>
      <c r="N82" s="501">
        <f t="shared" si="50"/>
        <v>0</v>
      </c>
      <c r="O82" s="336"/>
      <c r="P82" s="776">
        <f>GSh!AU82</f>
        <v>0</v>
      </c>
      <c r="Q82" s="557">
        <f>GSh!AV82</f>
        <v>0</v>
      </c>
      <c r="R82" s="559"/>
      <c r="S82" s="1197"/>
      <c r="T82" s="344"/>
      <c r="U82" s="778">
        <f>GSh!BN82</f>
        <v>0</v>
      </c>
      <c r="V82" s="343">
        <f>GSh!BO82</f>
        <v>0</v>
      </c>
      <c r="W82" s="344"/>
      <c r="X82" s="778">
        <f>GSh!BQ82</f>
        <v>0</v>
      </c>
      <c r="Y82" s="343">
        <f>GSh!BR82</f>
        <v>0</v>
      </c>
      <c r="Z82" s="578">
        <f>LOOKUP($A82,PROD!$A$5:$A$725,PROD!$BE$5:$BE$725)</f>
        <v>0</v>
      </c>
      <c r="AA82" s="780">
        <f>GSh!AZ82</f>
        <v>0</v>
      </c>
      <c r="AB82" s="523">
        <f>GSh!BA82</f>
        <v>0</v>
      </c>
      <c r="AC82" s="581"/>
      <c r="AD82" s="783">
        <f>GSh!BK82/10</f>
        <v>0</v>
      </c>
      <c r="AE82" s="590">
        <f>GSh!BL82</f>
        <v>0</v>
      </c>
      <c r="AF82" s="593">
        <f t="shared" si="51"/>
        <v>0</v>
      </c>
      <c r="AG82" s="584"/>
      <c r="AH82" s="587"/>
      <c r="AI82" s="527"/>
      <c r="AJ82" s="528">
        <f>GSh!BE82</f>
        <v>0</v>
      </c>
      <c r="AK82" s="520">
        <f>GSh!BF82</f>
        <v>0</v>
      </c>
      <c r="AL82" s="532"/>
      <c r="AM82" s="769">
        <f>GSh!BH82</f>
        <v>0</v>
      </c>
      <c r="AN82" s="520">
        <f>GSh!BI82</f>
        <v>0</v>
      </c>
      <c r="AO82" s="610">
        <f t="shared" ca="1" si="52"/>
        <v>0</v>
      </c>
      <c r="AP82" s="611">
        <f t="shared" ca="1" si="53"/>
        <v>0</v>
      </c>
      <c r="AQ82" s="611">
        <f t="shared" ca="1" si="54"/>
        <v>0</v>
      </c>
      <c r="AR82" s="611">
        <f t="shared" ca="1" si="55"/>
        <v>0</v>
      </c>
      <c r="AS82" s="611">
        <f t="shared" ca="1" si="56"/>
        <v>0</v>
      </c>
      <c r="AT82" s="611">
        <f t="shared" ca="1" si="57"/>
        <v>0</v>
      </c>
      <c r="AU82" s="611">
        <f t="shared" ca="1" si="58"/>
        <v>0</v>
      </c>
      <c r="AV82" s="611">
        <f t="shared" ca="1" si="59"/>
        <v>0</v>
      </c>
      <c r="AW82" s="611">
        <f t="shared" ca="1" si="60"/>
        <v>0</v>
      </c>
      <c r="AX82" s="611">
        <f t="shared" ca="1" si="61"/>
        <v>0</v>
      </c>
      <c r="AY82" s="611">
        <f t="shared" ca="1" si="62"/>
        <v>0</v>
      </c>
      <c r="AZ82" s="611">
        <f t="shared" ca="1" si="63"/>
        <v>0</v>
      </c>
      <c r="BA82" s="611">
        <f t="shared" ca="1" si="64"/>
        <v>0</v>
      </c>
      <c r="BB82" s="612">
        <f t="shared" ca="1" si="65"/>
        <v>0</v>
      </c>
      <c r="BC82" s="617">
        <f t="shared" si="66"/>
        <v>0</v>
      </c>
      <c r="BD82" s="619">
        <f t="shared" si="67"/>
        <v>0</v>
      </c>
      <c r="BE82" s="346">
        <f>GSh!CN82</f>
        <v>0</v>
      </c>
      <c r="BF82" s="210"/>
      <c r="BG82" s="208">
        <f>GSh!BT82</f>
        <v>0</v>
      </c>
      <c r="BH82" s="209">
        <f>GSh!BU82</f>
        <v>0</v>
      </c>
      <c r="BI82" s="199">
        <f>GSh!AF82</f>
        <v>0</v>
      </c>
      <c r="BJ82" s="199">
        <f>GSh!AG82</f>
        <v>0</v>
      </c>
      <c r="BK82" s="199">
        <f>GSh!AK82</f>
        <v>0</v>
      </c>
      <c r="BL82" s="199">
        <f>GSh!AL82</f>
        <v>0</v>
      </c>
    </row>
    <row r="83" spans="1:64" ht="15.75" customHeight="1" x14ac:dyDescent="0.3">
      <c r="A83" s="266">
        <f t="shared" si="31"/>
        <v>95</v>
      </c>
      <c r="B83" s="267">
        <f>GSh!AN83</f>
        <v>0</v>
      </c>
      <c r="C83" s="263"/>
      <c r="D83" s="263"/>
      <c r="E83" s="772">
        <f>GSh!AR83</f>
        <v>0</v>
      </c>
      <c r="F83" s="338"/>
      <c r="G83" s="505">
        <f>SUMIF(PROD!$BF$5:$BF$725,A83,PROD!$L$5:$L$725)</f>
        <v>0</v>
      </c>
      <c r="H83" s="503"/>
      <c r="I83" s="774">
        <f>GSh!AE83</f>
        <v>0</v>
      </c>
      <c r="J83" s="602">
        <f>GSh!AH83</f>
        <v>0</v>
      </c>
      <c r="K83" s="604"/>
      <c r="L83" s="776">
        <f>GSh!AJ83</f>
        <v>0</v>
      </c>
      <c r="M83" s="340">
        <f>GSh!AM83</f>
        <v>0</v>
      </c>
      <c r="N83" s="501">
        <f t="shared" si="50"/>
        <v>0</v>
      </c>
      <c r="O83" s="336"/>
      <c r="P83" s="776">
        <f>GSh!AU83</f>
        <v>0</v>
      </c>
      <c r="Q83" s="557">
        <f>GSh!AV83</f>
        <v>0</v>
      </c>
      <c r="R83" s="559"/>
      <c r="S83" s="1197"/>
      <c r="T83" s="344"/>
      <c r="U83" s="778">
        <f>GSh!BN83</f>
        <v>0</v>
      </c>
      <c r="V83" s="343">
        <f>GSh!BO83</f>
        <v>0</v>
      </c>
      <c r="W83" s="344"/>
      <c r="X83" s="778">
        <f>GSh!BQ83</f>
        <v>0</v>
      </c>
      <c r="Y83" s="343">
        <f>GSh!BR83</f>
        <v>0</v>
      </c>
      <c r="Z83" s="578">
        <f>LOOKUP($A83,PROD!$A$5:$A$725,PROD!$BE$5:$BE$725)</f>
        <v>0</v>
      </c>
      <c r="AA83" s="780">
        <f>GSh!AZ83</f>
        <v>0</v>
      </c>
      <c r="AB83" s="523">
        <f>GSh!BA83</f>
        <v>0</v>
      </c>
      <c r="AC83" s="581"/>
      <c r="AD83" s="783">
        <f>GSh!BK83/10</f>
        <v>0</v>
      </c>
      <c r="AE83" s="590">
        <f>GSh!BL83</f>
        <v>0</v>
      </c>
      <c r="AF83" s="593">
        <f t="shared" si="51"/>
        <v>0</v>
      </c>
      <c r="AG83" s="584"/>
      <c r="AH83" s="587"/>
      <c r="AI83" s="527"/>
      <c r="AJ83" s="528">
        <f>GSh!BE83</f>
        <v>0</v>
      </c>
      <c r="AK83" s="520">
        <f>GSh!BF83</f>
        <v>0</v>
      </c>
      <c r="AL83" s="532"/>
      <c r="AM83" s="769">
        <f>GSh!BH83</f>
        <v>0</v>
      </c>
      <c r="AN83" s="520">
        <f>GSh!BI83</f>
        <v>0</v>
      </c>
      <c r="AO83" s="610">
        <f t="shared" ca="1" si="52"/>
        <v>0</v>
      </c>
      <c r="AP83" s="611">
        <f t="shared" ca="1" si="53"/>
        <v>0</v>
      </c>
      <c r="AQ83" s="611">
        <f t="shared" ca="1" si="54"/>
        <v>0</v>
      </c>
      <c r="AR83" s="611">
        <f t="shared" ca="1" si="55"/>
        <v>0</v>
      </c>
      <c r="AS83" s="611">
        <f t="shared" ca="1" si="56"/>
        <v>0</v>
      </c>
      <c r="AT83" s="611">
        <f t="shared" ca="1" si="57"/>
        <v>0</v>
      </c>
      <c r="AU83" s="611">
        <f t="shared" ca="1" si="58"/>
        <v>0</v>
      </c>
      <c r="AV83" s="611">
        <f t="shared" ca="1" si="59"/>
        <v>0</v>
      </c>
      <c r="AW83" s="611">
        <f t="shared" ca="1" si="60"/>
        <v>0</v>
      </c>
      <c r="AX83" s="611">
        <f t="shared" ca="1" si="61"/>
        <v>0</v>
      </c>
      <c r="AY83" s="611">
        <f t="shared" ca="1" si="62"/>
        <v>0</v>
      </c>
      <c r="AZ83" s="611">
        <f t="shared" ca="1" si="63"/>
        <v>0</v>
      </c>
      <c r="BA83" s="611">
        <f t="shared" ca="1" si="64"/>
        <v>0</v>
      </c>
      <c r="BB83" s="612">
        <f t="shared" ca="1" si="65"/>
        <v>0</v>
      </c>
      <c r="BC83" s="617">
        <f t="shared" si="66"/>
        <v>0</v>
      </c>
      <c r="BD83" s="619">
        <f t="shared" si="67"/>
        <v>0</v>
      </c>
      <c r="BE83" s="346">
        <f>GSh!CN83</f>
        <v>0</v>
      </c>
      <c r="BF83" s="210"/>
      <c r="BG83" s="208">
        <f>GSh!BT83</f>
        <v>0</v>
      </c>
      <c r="BH83" s="209">
        <f>GSh!BU83</f>
        <v>0</v>
      </c>
      <c r="BI83" s="199">
        <f>GSh!AF83</f>
        <v>0</v>
      </c>
      <c r="BJ83" s="199">
        <f>GSh!AG83</f>
        <v>0</v>
      </c>
      <c r="BK83" s="199">
        <f>GSh!AK83</f>
        <v>0</v>
      </c>
      <c r="BL83" s="199">
        <f>GSh!AL83</f>
        <v>0</v>
      </c>
    </row>
    <row r="84" spans="1:64" ht="15.75" customHeight="1" x14ac:dyDescent="0.3">
      <c r="A84" s="266">
        <f t="shared" si="31"/>
        <v>96</v>
      </c>
      <c r="B84" s="267">
        <f>GSh!AN84</f>
        <v>0</v>
      </c>
      <c r="C84" s="263"/>
      <c r="D84" s="263"/>
      <c r="E84" s="772">
        <f>GSh!AR84</f>
        <v>0</v>
      </c>
      <c r="F84" s="338"/>
      <c r="G84" s="505">
        <f>SUMIF(PROD!$BF$5:$BF$725,A84,PROD!$L$5:$L$725)</f>
        <v>0</v>
      </c>
      <c r="H84" s="503"/>
      <c r="I84" s="774">
        <f>GSh!AE84</f>
        <v>0</v>
      </c>
      <c r="J84" s="602">
        <f>GSh!AH84</f>
        <v>0</v>
      </c>
      <c r="K84" s="604"/>
      <c r="L84" s="776">
        <f>GSh!AJ84</f>
        <v>0</v>
      </c>
      <c r="M84" s="340">
        <f>GSh!AM84</f>
        <v>0</v>
      </c>
      <c r="N84" s="501">
        <f t="shared" si="50"/>
        <v>0</v>
      </c>
      <c r="O84" s="336"/>
      <c r="P84" s="776">
        <f>GSh!AU84</f>
        <v>0</v>
      </c>
      <c r="Q84" s="557">
        <f>GSh!AV84</f>
        <v>0</v>
      </c>
      <c r="R84" s="559"/>
      <c r="S84" s="1197"/>
      <c r="T84" s="344"/>
      <c r="U84" s="778">
        <f>GSh!BN84</f>
        <v>0</v>
      </c>
      <c r="V84" s="343">
        <f>GSh!BO84</f>
        <v>0</v>
      </c>
      <c r="W84" s="344"/>
      <c r="X84" s="778">
        <f>GSh!BQ84</f>
        <v>0</v>
      </c>
      <c r="Y84" s="343">
        <f>GSh!BR84</f>
        <v>0</v>
      </c>
      <c r="Z84" s="578">
        <f>LOOKUP($A84,PROD!$A$5:$A$725,PROD!$BE$5:$BE$725)</f>
        <v>0</v>
      </c>
      <c r="AA84" s="780">
        <f>GSh!AZ84</f>
        <v>0</v>
      </c>
      <c r="AB84" s="523">
        <f>GSh!BA84</f>
        <v>0</v>
      </c>
      <c r="AC84" s="581"/>
      <c r="AD84" s="783">
        <f>GSh!BK84/10</f>
        <v>0</v>
      </c>
      <c r="AE84" s="590">
        <f>GSh!BL84</f>
        <v>0</v>
      </c>
      <c r="AF84" s="593">
        <f t="shared" si="51"/>
        <v>0</v>
      </c>
      <c r="AG84" s="584"/>
      <c r="AH84" s="587"/>
      <c r="AI84" s="527"/>
      <c r="AJ84" s="528">
        <f>GSh!BE84</f>
        <v>0</v>
      </c>
      <c r="AK84" s="520">
        <f>GSh!BF84</f>
        <v>0</v>
      </c>
      <c r="AL84" s="532"/>
      <c r="AM84" s="769">
        <f>GSh!BH84</f>
        <v>0</v>
      </c>
      <c r="AN84" s="520">
        <f>GSh!BI84</f>
        <v>0</v>
      </c>
      <c r="AO84" s="610">
        <f t="shared" ca="1" si="52"/>
        <v>0</v>
      </c>
      <c r="AP84" s="611">
        <f t="shared" ca="1" si="53"/>
        <v>0</v>
      </c>
      <c r="AQ84" s="611">
        <f t="shared" ca="1" si="54"/>
        <v>0</v>
      </c>
      <c r="AR84" s="611">
        <f t="shared" ca="1" si="55"/>
        <v>0</v>
      </c>
      <c r="AS84" s="611">
        <f t="shared" ca="1" si="56"/>
        <v>0</v>
      </c>
      <c r="AT84" s="611">
        <f t="shared" ca="1" si="57"/>
        <v>0</v>
      </c>
      <c r="AU84" s="611">
        <f t="shared" ca="1" si="58"/>
        <v>0</v>
      </c>
      <c r="AV84" s="611">
        <f t="shared" ca="1" si="59"/>
        <v>0</v>
      </c>
      <c r="AW84" s="611">
        <f t="shared" ca="1" si="60"/>
        <v>0</v>
      </c>
      <c r="AX84" s="611">
        <f t="shared" ca="1" si="61"/>
        <v>0</v>
      </c>
      <c r="AY84" s="611">
        <f t="shared" ca="1" si="62"/>
        <v>0</v>
      </c>
      <c r="AZ84" s="611">
        <f t="shared" ca="1" si="63"/>
        <v>0</v>
      </c>
      <c r="BA84" s="611">
        <f t="shared" ca="1" si="64"/>
        <v>0</v>
      </c>
      <c r="BB84" s="612">
        <f t="shared" ca="1" si="65"/>
        <v>0</v>
      </c>
      <c r="BC84" s="617">
        <f t="shared" si="66"/>
        <v>0</v>
      </c>
      <c r="BD84" s="619">
        <f t="shared" si="67"/>
        <v>0</v>
      </c>
      <c r="BE84" s="346">
        <f>GSh!CN84</f>
        <v>0</v>
      </c>
      <c r="BF84" s="210"/>
      <c r="BG84" s="208">
        <f>GSh!BT84</f>
        <v>0</v>
      </c>
      <c r="BH84" s="209">
        <f>GSh!BU84</f>
        <v>0</v>
      </c>
      <c r="BI84" s="199">
        <f>GSh!AF84</f>
        <v>0</v>
      </c>
      <c r="BJ84" s="199">
        <f>GSh!AG84</f>
        <v>0</v>
      </c>
      <c r="BK84" s="199">
        <f>GSh!AK84</f>
        <v>0</v>
      </c>
      <c r="BL84" s="199">
        <f>GSh!AL84</f>
        <v>0</v>
      </c>
    </row>
    <row r="85" spans="1:64" ht="15.75" customHeight="1" x14ac:dyDescent="0.3">
      <c r="A85" s="266">
        <f t="shared" si="31"/>
        <v>97</v>
      </c>
      <c r="B85" s="267">
        <f>GSh!AN85</f>
        <v>0</v>
      </c>
      <c r="C85" s="263"/>
      <c r="D85" s="263"/>
      <c r="E85" s="772">
        <f>GSh!AR85</f>
        <v>0</v>
      </c>
      <c r="F85" s="338"/>
      <c r="G85" s="505">
        <f>SUMIF(PROD!$BF$5:$BF$725,A85,PROD!$L$5:$L$725)</f>
        <v>0</v>
      </c>
      <c r="H85" s="503"/>
      <c r="I85" s="774">
        <f>GSh!AE85</f>
        <v>0</v>
      </c>
      <c r="J85" s="602">
        <f>GSh!AH85</f>
        <v>0</v>
      </c>
      <c r="K85" s="604"/>
      <c r="L85" s="776">
        <f>GSh!AJ85</f>
        <v>0</v>
      </c>
      <c r="M85" s="340">
        <f>GSh!AM85</f>
        <v>0</v>
      </c>
      <c r="N85" s="501">
        <f t="shared" si="50"/>
        <v>0</v>
      </c>
      <c r="O85" s="336"/>
      <c r="P85" s="776">
        <f>GSh!AU85</f>
        <v>0</v>
      </c>
      <c r="Q85" s="557">
        <f>GSh!AV85</f>
        <v>0</v>
      </c>
      <c r="R85" s="559"/>
      <c r="S85" s="1197"/>
      <c r="T85" s="344"/>
      <c r="U85" s="778">
        <f>GSh!BN85</f>
        <v>0</v>
      </c>
      <c r="V85" s="343">
        <f>GSh!BO85</f>
        <v>0</v>
      </c>
      <c r="W85" s="344"/>
      <c r="X85" s="778">
        <f>GSh!BQ85</f>
        <v>0</v>
      </c>
      <c r="Y85" s="343">
        <f>GSh!BR85</f>
        <v>0</v>
      </c>
      <c r="Z85" s="578">
        <f>LOOKUP($A85,PROD!$A$5:$A$725,PROD!$BE$5:$BE$725)</f>
        <v>0</v>
      </c>
      <c r="AA85" s="780">
        <f>GSh!AZ85</f>
        <v>0</v>
      </c>
      <c r="AB85" s="523">
        <f>GSh!BA85</f>
        <v>0</v>
      </c>
      <c r="AC85" s="581"/>
      <c r="AD85" s="783">
        <f>GSh!BK85/10</f>
        <v>0</v>
      </c>
      <c r="AE85" s="590">
        <f>GSh!BL85</f>
        <v>0</v>
      </c>
      <c r="AF85" s="593">
        <f t="shared" si="51"/>
        <v>0</v>
      </c>
      <c r="AG85" s="584"/>
      <c r="AH85" s="587"/>
      <c r="AI85" s="527"/>
      <c r="AJ85" s="528">
        <f>GSh!BE85</f>
        <v>0</v>
      </c>
      <c r="AK85" s="520">
        <f>GSh!BF85</f>
        <v>0</v>
      </c>
      <c r="AL85" s="532"/>
      <c r="AM85" s="769">
        <f>GSh!BH85</f>
        <v>0</v>
      </c>
      <c r="AN85" s="520">
        <f>GSh!BI85</f>
        <v>0</v>
      </c>
      <c r="AO85" s="610">
        <f t="shared" ca="1" si="52"/>
        <v>0</v>
      </c>
      <c r="AP85" s="611">
        <f t="shared" ca="1" si="53"/>
        <v>0</v>
      </c>
      <c r="AQ85" s="611">
        <f t="shared" ca="1" si="54"/>
        <v>0</v>
      </c>
      <c r="AR85" s="611">
        <f t="shared" ca="1" si="55"/>
        <v>0</v>
      </c>
      <c r="AS85" s="611">
        <f t="shared" ca="1" si="56"/>
        <v>0</v>
      </c>
      <c r="AT85" s="611">
        <f t="shared" ca="1" si="57"/>
        <v>0</v>
      </c>
      <c r="AU85" s="611">
        <f t="shared" ca="1" si="58"/>
        <v>0</v>
      </c>
      <c r="AV85" s="611">
        <f t="shared" ca="1" si="59"/>
        <v>0</v>
      </c>
      <c r="AW85" s="611">
        <f t="shared" ca="1" si="60"/>
        <v>0</v>
      </c>
      <c r="AX85" s="611">
        <f t="shared" ca="1" si="61"/>
        <v>0</v>
      </c>
      <c r="AY85" s="611">
        <f t="shared" ca="1" si="62"/>
        <v>0</v>
      </c>
      <c r="AZ85" s="611">
        <f t="shared" ca="1" si="63"/>
        <v>0</v>
      </c>
      <c r="BA85" s="611">
        <f t="shared" ca="1" si="64"/>
        <v>0</v>
      </c>
      <c r="BB85" s="612">
        <f t="shared" ca="1" si="65"/>
        <v>0</v>
      </c>
      <c r="BC85" s="617">
        <f t="shared" si="66"/>
        <v>0</v>
      </c>
      <c r="BD85" s="619">
        <f t="shared" si="67"/>
        <v>0</v>
      </c>
      <c r="BE85" s="346">
        <f>GSh!CN85</f>
        <v>0</v>
      </c>
      <c r="BF85" s="210"/>
      <c r="BG85" s="208">
        <f>GSh!BT85</f>
        <v>0</v>
      </c>
      <c r="BH85" s="209">
        <f>GSh!BU85</f>
        <v>0</v>
      </c>
      <c r="BI85" s="199">
        <f>GSh!AF85</f>
        <v>0</v>
      </c>
      <c r="BJ85" s="199">
        <f>GSh!AG85</f>
        <v>0</v>
      </c>
      <c r="BK85" s="199">
        <f>GSh!AK85</f>
        <v>0</v>
      </c>
      <c r="BL85" s="199">
        <f>GSh!AL85</f>
        <v>0</v>
      </c>
    </row>
    <row r="86" spans="1:64" ht="15.75" customHeight="1" x14ac:dyDescent="0.3">
      <c r="A86" s="266">
        <f t="shared" si="31"/>
        <v>98</v>
      </c>
      <c r="B86" s="267">
        <f>GSh!AN86</f>
        <v>0</v>
      </c>
      <c r="C86" s="263"/>
      <c r="D86" s="263"/>
      <c r="E86" s="772">
        <f>GSh!AR86</f>
        <v>0</v>
      </c>
      <c r="F86" s="338"/>
      <c r="G86" s="505">
        <f>SUMIF(PROD!$BF$5:$BF$725,A86,PROD!$L$5:$L$725)</f>
        <v>0</v>
      </c>
      <c r="H86" s="503"/>
      <c r="I86" s="774">
        <f>GSh!AE86</f>
        <v>0</v>
      </c>
      <c r="J86" s="602">
        <f>GSh!AH86</f>
        <v>0</v>
      </c>
      <c r="K86" s="604"/>
      <c r="L86" s="776">
        <f>GSh!AJ86</f>
        <v>0</v>
      </c>
      <c r="M86" s="340">
        <f>GSh!AM86</f>
        <v>0</v>
      </c>
      <c r="N86" s="501">
        <f t="shared" si="50"/>
        <v>0</v>
      </c>
      <c r="O86" s="336"/>
      <c r="P86" s="776">
        <f>GSh!AU86</f>
        <v>0</v>
      </c>
      <c r="Q86" s="557">
        <f>GSh!AV86</f>
        <v>0</v>
      </c>
      <c r="R86" s="559"/>
      <c r="S86" s="1197"/>
      <c r="T86" s="344"/>
      <c r="U86" s="778">
        <f>GSh!BN86</f>
        <v>0</v>
      </c>
      <c r="V86" s="343">
        <f>GSh!BO86</f>
        <v>0</v>
      </c>
      <c r="W86" s="344"/>
      <c r="X86" s="778">
        <f>GSh!BQ86</f>
        <v>0</v>
      </c>
      <c r="Y86" s="343">
        <f>GSh!BR86</f>
        <v>0</v>
      </c>
      <c r="Z86" s="578">
        <f>LOOKUP($A86,PROD!$A$5:$A$725,PROD!$BE$5:$BE$725)</f>
        <v>0</v>
      </c>
      <c r="AA86" s="780">
        <f>GSh!AZ86</f>
        <v>0</v>
      </c>
      <c r="AB86" s="523">
        <f>GSh!BA86</f>
        <v>0</v>
      </c>
      <c r="AC86" s="581"/>
      <c r="AD86" s="783">
        <f>GSh!BK86/10</f>
        <v>0</v>
      </c>
      <c r="AE86" s="590">
        <f>GSh!BL86</f>
        <v>0</v>
      </c>
      <c r="AF86" s="593">
        <f t="shared" si="51"/>
        <v>0</v>
      </c>
      <c r="AG86" s="584"/>
      <c r="AH86" s="587"/>
      <c r="AI86" s="527"/>
      <c r="AJ86" s="528">
        <f>GSh!BE86</f>
        <v>0</v>
      </c>
      <c r="AK86" s="520">
        <f>GSh!BF86</f>
        <v>0</v>
      </c>
      <c r="AL86" s="532"/>
      <c r="AM86" s="769">
        <f>GSh!BH86</f>
        <v>0</v>
      </c>
      <c r="AN86" s="520">
        <f>GSh!BI86</f>
        <v>0</v>
      </c>
      <c r="AO86" s="610">
        <f t="shared" ca="1" si="52"/>
        <v>0</v>
      </c>
      <c r="AP86" s="611">
        <f t="shared" ca="1" si="53"/>
        <v>0</v>
      </c>
      <c r="AQ86" s="611">
        <f t="shared" ca="1" si="54"/>
        <v>0</v>
      </c>
      <c r="AR86" s="611">
        <f t="shared" ca="1" si="55"/>
        <v>0</v>
      </c>
      <c r="AS86" s="611">
        <f t="shared" ca="1" si="56"/>
        <v>0</v>
      </c>
      <c r="AT86" s="611">
        <f t="shared" ca="1" si="57"/>
        <v>0</v>
      </c>
      <c r="AU86" s="611">
        <f t="shared" ca="1" si="58"/>
        <v>0</v>
      </c>
      <c r="AV86" s="611">
        <f t="shared" ca="1" si="59"/>
        <v>0</v>
      </c>
      <c r="AW86" s="611">
        <f t="shared" ca="1" si="60"/>
        <v>0</v>
      </c>
      <c r="AX86" s="611">
        <f t="shared" ca="1" si="61"/>
        <v>0</v>
      </c>
      <c r="AY86" s="611">
        <f t="shared" ca="1" si="62"/>
        <v>0</v>
      </c>
      <c r="AZ86" s="611">
        <f t="shared" ca="1" si="63"/>
        <v>0</v>
      </c>
      <c r="BA86" s="611">
        <f t="shared" ca="1" si="64"/>
        <v>0</v>
      </c>
      <c r="BB86" s="612">
        <f t="shared" ca="1" si="65"/>
        <v>0</v>
      </c>
      <c r="BC86" s="617">
        <f t="shared" si="66"/>
        <v>0</v>
      </c>
      <c r="BD86" s="619">
        <f t="shared" si="67"/>
        <v>0</v>
      </c>
      <c r="BE86" s="346">
        <f>GSh!CN86</f>
        <v>0</v>
      </c>
      <c r="BF86" s="210"/>
      <c r="BG86" s="208">
        <f>GSh!BT86</f>
        <v>0</v>
      </c>
      <c r="BH86" s="209">
        <f>GSh!BU86</f>
        <v>0</v>
      </c>
      <c r="BI86" s="199">
        <f>GSh!AF86</f>
        <v>0</v>
      </c>
      <c r="BJ86" s="199">
        <f>GSh!AG86</f>
        <v>0</v>
      </c>
      <c r="BK86" s="199">
        <f>GSh!AK86</f>
        <v>0</v>
      </c>
      <c r="BL86" s="199">
        <f>GSh!AL86</f>
        <v>0</v>
      </c>
    </row>
    <row r="87" spans="1:64" ht="15.75" customHeight="1" x14ac:dyDescent="0.3">
      <c r="A87" s="266">
        <f t="shared" si="31"/>
        <v>99</v>
      </c>
      <c r="B87" s="267">
        <f>GSh!AN87</f>
        <v>0</v>
      </c>
      <c r="C87" s="263"/>
      <c r="D87" s="263"/>
      <c r="E87" s="772">
        <f>GSh!AR87</f>
        <v>0</v>
      </c>
      <c r="F87" s="338"/>
      <c r="G87" s="505">
        <f>SUMIF(PROD!$BF$5:$BF$725,A87,PROD!$L$5:$L$725)</f>
        <v>0</v>
      </c>
      <c r="H87" s="503"/>
      <c r="I87" s="774">
        <f>GSh!AE87</f>
        <v>0</v>
      </c>
      <c r="J87" s="602">
        <f>GSh!AH87</f>
        <v>0</v>
      </c>
      <c r="K87" s="604"/>
      <c r="L87" s="776">
        <f>GSh!AJ87</f>
        <v>0</v>
      </c>
      <c r="M87" s="340">
        <f>GSh!AM87</f>
        <v>0</v>
      </c>
      <c r="N87" s="501">
        <f t="shared" si="50"/>
        <v>0</v>
      </c>
      <c r="O87" s="336"/>
      <c r="P87" s="776">
        <f>GSh!AU87</f>
        <v>0</v>
      </c>
      <c r="Q87" s="557">
        <f>GSh!AV87</f>
        <v>0</v>
      </c>
      <c r="R87" s="559"/>
      <c r="S87" s="1197"/>
      <c r="T87" s="344"/>
      <c r="U87" s="778">
        <f>GSh!BN87</f>
        <v>0</v>
      </c>
      <c r="V87" s="343">
        <f>GSh!BO87</f>
        <v>0</v>
      </c>
      <c r="W87" s="344"/>
      <c r="X87" s="778">
        <f>GSh!BQ87</f>
        <v>0</v>
      </c>
      <c r="Y87" s="343">
        <f>GSh!BR87</f>
        <v>0</v>
      </c>
      <c r="Z87" s="578">
        <f>LOOKUP($A87,PROD!$A$5:$A$725,PROD!$BE$5:$BE$725)</f>
        <v>0</v>
      </c>
      <c r="AA87" s="780">
        <f>GSh!AZ87</f>
        <v>0</v>
      </c>
      <c r="AB87" s="523">
        <f>GSh!BA87</f>
        <v>0</v>
      </c>
      <c r="AC87" s="581"/>
      <c r="AD87" s="783">
        <f>GSh!BK87/10</f>
        <v>0</v>
      </c>
      <c r="AE87" s="590">
        <f>GSh!BL87</f>
        <v>0</v>
      </c>
      <c r="AF87" s="593">
        <f t="shared" si="51"/>
        <v>0</v>
      </c>
      <c r="AG87" s="584"/>
      <c r="AH87" s="587"/>
      <c r="AI87" s="527"/>
      <c r="AJ87" s="528">
        <f>GSh!BE87</f>
        <v>0</v>
      </c>
      <c r="AK87" s="520">
        <f>GSh!BF87</f>
        <v>0</v>
      </c>
      <c r="AL87" s="532"/>
      <c r="AM87" s="769">
        <f>GSh!BH87</f>
        <v>0</v>
      </c>
      <c r="AN87" s="520">
        <f>GSh!BI87</f>
        <v>0</v>
      </c>
      <c r="AO87" s="610">
        <f t="shared" ca="1" si="52"/>
        <v>0</v>
      </c>
      <c r="AP87" s="611">
        <f t="shared" ca="1" si="53"/>
        <v>0</v>
      </c>
      <c r="AQ87" s="611">
        <f t="shared" ca="1" si="54"/>
        <v>0</v>
      </c>
      <c r="AR87" s="611">
        <f t="shared" ca="1" si="55"/>
        <v>0</v>
      </c>
      <c r="AS87" s="611">
        <f t="shared" ca="1" si="56"/>
        <v>0</v>
      </c>
      <c r="AT87" s="611">
        <f t="shared" ca="1" si="57"/>
        <v>0</v>
      </c>
      <c r="AU87" s="611">
        <f t="shared" ca="1" si="58"/>
        <v>0</v>
      </c>
      <c r="AV87" s="611">
        <f t="shared" ca="1" si="59"/>
        <v>0</v>
      </c>
      <c r="AW87" s="611">
        <f t="shared" ca="1" si="60"/>
        <v>0</v>
      </c>
      <c r="AX87" s="611">
        <f t="shared" ca="1" si="61"/>
        <v>0</v>
      </c>
      <c r="AY87" s="611">
        <f t="shared" ca="1" si="62"/>
        <v>0</v>
      </c>
      <c r="AZ87" s="611">
        <f t="shared" ca="1" si="63"/>
        <v>0</v>
      </c>
      <c r="BA87" s="611">
        <f t="shared" ca="1" si="64"/>
        <v>0</v>
      </c>
      <c r="BB87" s="612">
        <f t="shared" ca="1" si="65"/>
        <v>0</v>
      </c>
      <c r="BC87" s="617">
        <f t="shared" si="66"/>
        <v>0</v>
      </c>
      <c r="BD87" s="619">
        <f t="shared" si="67"/>
        <v>0</v>
      </c>
      <c r="BE87" s="346">
        <f>GSh!CN87</f>
        <v>0</v>
      </c>
      <c r="BF87" s="210"/>
      <c r="BG87" s="208">
        <f>GSh!BT87</f>
        <v>0</v>
      </c>
      <c r="BH87" s="209">
        <f>GSh!BU87</f>
        <v>0</v>
      </c>
      <c r="BI87" s="199">
        <f>GSh!AF87</f>
        <v>0</v>
      </c>
      <c r="BJ87" s="199">
        <f>GSh!AG87</f>
        <v>0</v>
      </c>
      <c r="BK87" s="199">
        <f>GSh!AK87</f>
        <v>0</v>
      </c>
      <c r="BL87" s="199">
        <f>GSh!AL87</f>
        <v>0</v>
      </c>
    </row>
    <row r="88" spans="1:64" ht="15.75" customHeight="1" thickBot="1" x14ac:dyDescent="0.35">
      <c r="A88" s="266">
        <f t="shared" si="31"/>
        <v>100</v>
      </c>
      <c r="B88" s="267">
        <f>GSh!AN88</f>
        <v>0</v>
      </c>
      <c r="C88" s="263"/>
      <c r="D88" s="263"/>
      <c r="E88" s="772">
        <f>GSh!AR88</f>
        <v>0</v>
      </c>
      <c r="F88" s="338"/>
      <c r="G88" s="505">
        <f>SUMIF(PROD!$BF$5:$BF$725,A88,PROD!$L$5:$L$725)</f>
        <v>0</v>
      </c>
      <c r="H88" s="503"/>
      <c r="I88" s="774">
        <f>GSh!AE88</f>
        <v>0</v>
      </c>
      <c r="J88" s="602">
        <f>GSh!AH88</f>
        <v>0</v>
      </c>
      <c r="K88" s="604"/>
      <c r="L88" s="776">
        <f>GSh!AJ88</f>
        <v>0</v>
      </c>
      <c r="M88" s="340">
        <f>GSh!AM88</f>
        <v>0</v>
      </c>
      <c r="N88" s="501">
        <f t="shared" si="50"/>
        <v>0</v>
      </c>
      <c r="O88" s="336"/>
      <c r="P88" s="776">
        <f>GSh!AU88</f>
        <v>0</v>
      </c>
      <c r="Q88" s="557">
        <f>GSh!AV88</f>
        <v>0</v>
      </c>
      <c r="R88" s="559"/>
      <c r="S88" s="1197"/>
      <c r="T88" s="344"/>
      <c r="U88" s="778">
        <f>GSh!BN88</f>
        <v>0</v>
      </c>
      <c r="V88" s="343">
        <f>GSh!BO88</f>
        <v>0</v>
      </c>
      <c r="W88" s="344"/>
      <c r="X88" s="778">
        <f>GSh!BQ88</f>
        <v>0</v>
      </c>
      <c r="Y88" s="343">
        <f>GSh!BR88</f>
        <v>0</v>
      </c>
      <c r="Z88" s="578">
        <f>LOOKUP($A88,PROD!$A$5:$A$725,PROD!$BE$5:$BE$725)</f>
        <v>0</v>
      </c>
      <c r="AA88" s="780">
        <f>GSh!AZ88</f>
        <v>0</v>
      </c>
      <c r="AB88" s="523">
        <f>GSh!BA88</f>
        <v>0</v>
      </c>
      <c r="AC88" s="581"/>
      <c r="AD88" s="783">
        <f>GSh!BK88/10</f>
        <v>0</v>
      </c>
      <c r="AE88" s="590">
        <f>GSh!BL88</f>
        <v>0</v>
      </c>
      <c r="AF88" s="593">
        <f t="shared" si="51"/>
        <v>0</v>
      </c>
      <c r="AG88" s="584"/>
      <c r="AH88" s="587"/>
      <c r="AI88" s="527"/>
      <c r="AJ88" s="528">
        <f>GSh!BE88</f>
        <v>0</v>
      </c>
      <c r="AK88" s="520">
        <f>GSh!BF88</f>
        <v>0</v>
      </c>
      <c r="AL88" s="532"/>
      <c r="AM88" s="769">
        <f>GSh!BH88</f>
        <v>0</v>
      </c>
      <c r="AN88" s="520">
        <f>GSh!BI88</f>
        <v>0</v>
      </c>
      <c r="AO88" s="610">
        <f t="shared" ca="1" si="52"/>
        <v>0</v>
      </c>
      <c r="AP88" s="611">
        <f t="shared" ca="1" si="53"/>
        <v>0</v>
      </c>
      <c r="AQ88" s="611">
        <f t="shared" ca="1" si="54"/>
        <v>0</v>
      </c>
      <c r="AR88" s="611">
        <f t="shared" ca="1" si="55"/>
        <v>0</v>
      </c>
      <c r="AS88" s="611">
        <f t="shared" ca="1" si="56"/>
        <v>0</v>
      </c>
      <c r="AT88" s="611">
        <f t="shared" ca="1" si="57"/>
        <v>0</v>
      </c>
      <c r="AU88" s="611">
        <f t="shared" ca="1" si="58"/>
        <v>0</v>
      </c>
      <c r="AV88" s="611">
        <f t="shared" ca="1" si="59"/>
        <v>0</v>
      </c>
      <c r="AW88" s="611">
        <f t="shared" ca="1" si="60"/>
        <v>0</v>
      </c>
      <c r="AX88" s="611">
        <f t="shared" ca="1" si="61"/>
        <v>0</v>
      </c>
      <c r="AY88" s="611">
        <f t="shared" ca="1" si="62"/>
        <v>0</v>
      </c>
      <c r="AZ88" s="611">
        <f t="shared" ca="1" si="63"/>
        <v>0</v>
      </c>
      <c r="BA88" s="611">
        <f t="shared" ca="1" si="64"/>
        <v>0</v>
      </c>
      <c r="BB88" s="612">
        <f t="shared" ca="1" si="65"/>
        <v>0</v>
      </c>
      <c r="BC88" s="617">
        <f t="shared" si="66"/>
        <v>0</v>
      </c>
      <c r="BD88" s="619">
        <f t="shared" si="67"/>
        <v>0</v>
      </c>
      <c r="BE88" s="346">
        <f>GSh!CN88</f>
        <v>0</v>
      </c>
      <c r="BF88" s="210"/>
      <c r="BG88" s="208">
        <f>GSh!BT88</f>
        <v>0</v>
      </c>
      <c r="BH88" s="209">
        <f>GSh!BU88</f>
        <v>0</v>
      </c>
      <c r="BI88" s="199">
        <f>GSh!AF88</f>
        <v>0</v>
      </c>
      <c r="BJ88" s="199">
        <f>GSh!AG88</f>
        <v>0</v>
      </c>
      <c r="BK88" s="199">
        <f>GSh!AK88</f>
        <v>0</v>
      </c>
      <c r="BL88" s="199">
        <f>GSh!AL88</f>
        <v>0</v>
      </c>
    </row>
    <row r="89" spans="1:64" ht="15.75" hidden="1" customHeight="1" x14ac:dyDescent="0.3">
      <c r="A89" s="266">
        <f t="shared" si="31"/>
        <v>101</v>
      </c>
      <c r="B89" s="267">
        <f>GSh!AN89</f>
        <v>0</v>
      </c>
      <c r="C89" s="263"/>
      <c r="D89" s="263"/>
      <c r="E89" s="772">
        <f>GSh!AR89</f>
        <v>0</v>
      </c>
      <c r="F89" s="338"/>
      <c r="G89" s="505">
        <f>SUMIF(PROD!$BF$5:$BF$725,A89,PROD!$L$5:$L$725)</f>
        <v>0</v>
      </c>
      <c r="H89" s="503"/>
      <c r="I89" s="774">
        <f>GSh!AE89</f>
        <v>0</v>
      </c>
      <c r="J89" s="602">
        <f>GSh!AH89</f>
        <v>0</v>
      </c>
      <c r="K89" s="604"/>
      <c r="L89" s="776">
        <f>GSh!AJ89</f>
        <v>0</v>
      </c>
      <c r="M89" s="340">
        <f>GSh!AM89</f>
        <v>0</v>
      </c>
      <c r="N89" s="501">
        <f t="shared" si="50"/>
        <v>0</v>
      </c>
      <c r="O89" s="336"/>
      <c r="P89" s="776">
        <f>GSh!AU89</f>
        <v>0</v>
      </c>
      <c r="Q89" s="557">
        <f>GSh!AV89</f>
        <v>0</v>
      </c>
      <c r="R89" s="559"/>
      <c r="S89" s="1197"/>
      <c r="T89" s="344"/>
      <c r="U89" s="778">
        <f>GSh!BN89</f>
        <v>0</v>
      </c>
      <c r="V89" s="343">
        <f>GSh!BO89</f>
        <v>0</v>
      </c>
      <c r="W89" s="344"/>
      <c r="X89" s="778">
        <f>GSh!BQ89</f>
        <v>0</v>
      </c>
      <c r="Y89" s="343">
        <f>GSh!BR89</f>
        <v>0</v>
      </c>
      <c r="Z89" s="578">
        <f>LOOKUP($A89,PROD!$A$5:$A$725,PROD!$BE$5:$BE$725)</f>
        <v>0</v>
      </c>
      <c r="AA89" s="780">
        <f>GSh!AZ89</f>
        <v>0</v>
      </c>
      <c r="AB89" s="523">
        <f>GSh!BA89</f>
        <v>0</v>
      </c>
      <c r="AC89" s="581"/>
      <c r="AD89" s="783">
        <f>GSh!BK89/10</f>
        <v>0</v>
      </c>
      <c r="AE89" s="590">
        <f>GSh!BL89</f>
        <v>0</v>
      </c>
      <c r="AF89" s="593">
        <f t="shared" si="51"/>
        <v>0</v>
      </c>
      <c r="AG89" s="584"/>
      <c r="AH89" s="587"/>
      <c r="AI89" s="527"/>
      <c r="AJ89" s="528">
        <f>GSh!BE89</f>
        <v>0</v>
      </c>
      <c r="AK89" s="520">
        <f>GSh!BF89</f>
        <v>0</v>
      </c>
      <c r="AL89" s="532"/>
      <c r="AM89" s="769">
        <f>GSh!BH89</f>
        <v>0</v>
      </c>
      <c r="AN89" s="520">
        <f>GSh!BI89</f>
        <v>0</v>
      </c>
      <c r="AO89" s="610">
        <f t="shared" ca="1" si="52"/>
        <v>0</v>
      </c>
      <c r="AP89" s="611">
        <f t="shared" ca="1" si="53"/>
        <v>0</v>
      </c>
      <c r="AQ89" s="611">
        <f t="shared" ca="1" si="54"/>
        <v>0</v>
      </c>
      <c r="AR89" s="611">
        <f t="shared" ca="1" si="55"/>
        <v>0</v>
      </c>
      <c r="AS89" s="611">
        <f t="shared" ca="1" si="56"/>
        <v>0</v>
      </c>
      <c r="AT89" s="611">
        <f t="shared" ca="1" si="57"/>
        <v>0</v>
      </c>
      <c r="AU89" s="611">
        <f t="shared" ca="1" si="58"/>
        <v>0</v>
      </c>
      <c r="AV89" s="611">
        <f t="shared" ca="1" si="59"/>
        <v>0</v>
      </c>
      <c r="AW89" s="611">
        <f t="shared" ca="1" si="60"/>
        <v>0</v>
      </c>
      <c r="AX89" s="611">
        <f t="shared" ca="1" si="61"/>
        <v>0</v>
      </c>
      <c r="AY89" s="611">
        <f t="shared" ca="1" si="62"/>
        <v>0</v>
      </c>
      <c r="AZ89" s="611">
        <f t="shared" ca="1" si="63"/>
        <v>0</v>
      </c>
      <c r="BA89" s="611">
        <f t="shared" ca="1" si="64"/>
        <v>0</v>
      </c>
      <c r="BB89" s="612">
        <f t="shared" ca="1" si="65"/>
        <v>0</v>
      </c>
      <c r="BC89" s="617">
        <f t="shared" si="66"/>
        <v>0</v>
      </c>
      <c r="BD89" s="619">
        <f t="shared" si="67"/>
        <v>0</v>
      </c>
      <c r="BE89" s="346">
        <f>GSh!CN89</f>
        <v>0</v>
      </c>
      <c r="BF89" s="210"/>
      <c r="BG89" s="208">
        <f>GSh!BT89</f>
        <v>0</v>
      </c>
      <c r="BH89" s="209">
        <f>GSh!BU89</f>
        <v>0</v>
      </c>
      <c r="BI89" s="199">
        <f>GSh!AF89</f>
        <v>0</v>
      </c>
      <c r="BJ89" s="199">
        <f>GSh!AG89</f>
        <v>0</v>
      </c>
      <c r="BK89" s="199">
        <f>GSh!AK89</f>
        <v>0</v>
      </c>
      <c r="BL89" s="199">
        <f>GSh!AL89</f>
        <v>0</v>
      </c>
    </row>
    <row r="90" spans="1:64" ht="15.75" hidden="1" customHeight="1" x14ac:dyDescent="0.3">
      <c r="A90" s="266">
        <f t="shared" si="31"/>
        <v>102</v>
      </c>
      <c r="B90" s="267">
        <f>GSh!AN90</f>
        <v>0</v>
      </c>
      <c r="C90" s="263"/>
      <c r="D90" s="263"/>
      <c r="E90" s="772">
        <f>GSh!AR90</f>
        <v>0</v>
      </c>
      <c r="F90" s="338"/>
      <c r="G90" s="505">
        <f>SUMIF(PROD!$BF$5:$BF$725,A90,PROD!$L$5:$L$725)</f>
        <v>0</v>
      </c>
      <c r="H90" s="503"/>
      <c r="I90" s="774">
        <f>GSh!AE90</f>
        <v>0</v>
      </c>
      <c r="J90" s="602">
        <f>GSh!AH90</f>
        <v>0</v>
      </c>
      <c r="K90" s="604"/>
      <c r="L90" s="776">
        <f>GSh!AJ90</f>
        <v>0</v>
      </c>
      <c r="M90" s="340">
        <f>GSh!AM90</f>
        <v>0</v>
      </c>
      <c r="N90" s="501">
        <f t="shared" si="50"/>
        <v>0</v>
      </c>
      <c r="O90" s="336"/>
      <c r="P90" s="776">
        <f>GSh!AU90</f>
        <v>0</v>
      </c>
      <c r="Q90" s="557">
        <f>GSh!AV90</f>
        <v>0</v>
      </c>
      <c r="R90" s="559"/>
      <c r="S90" s="1197"/>
      <c r="T90" s="344"/>
      <c r="U90" s="778">
        <f>GSh!BN90</f>
        <v>0</v>
      </c>
      <c r="V90" s="343">
        <f>GSh!BO90</f>
        <v>0</v>
      </c>
      <c r="W90" s="344"/>
      <c r="X90" s="778">
        <f>GSh!BQ90</f>
        <v>0</v>
      </c>
      <c r="Y90" s="343">
        <f>GSh!BR90</f>
        <v>0</v>
      </c>
      <c r="Z90" s="578">
        <f>LOOKUP($A90,PROD!$A$5:$A$725,PROD!$BE$5:$BE$725)</f>
        <v>0</v>
      </c>
      <c r="AA90" s="780">
        <f>GSh!AZ90</f>
        <v>0</v>
      </c>
      <c r="AB90" s="523">
        <f>GSh!BA90</f>
        <v>0</v>
      </c>
      <c r="AC90" s="581"/>
      <c r="AD90" s="783">
        <f>GSh!BK90/10</f>
        <v>0</v>
      </c>
      <c r="AE90" s="590">
        <f>GSh!BL90</f>
        <v>0</v>
      </c>
      <c r="AF90" s="593">
        <f t="shared" si="51"/>
        <v>0</v>
      </c>
      <c r="AG90" s="584"/>
      <c r="AH90" s="587"/>
      <c r="AI90" s="527"/>
      <c r="AJ90" s="528">
        <f>GSh!BE90</f>
        <v>0</v>
      </c>
      <c r="AK90" s="520">
        <f>GSh!BF90</f>
        <v>0</v>
      </c>
      <c r="AL90" s="532"/>
      <c r="AM90" s="769">
        <f>GSh!BH90</f>
        <v>0</v>
      </c>
      <c r="AN90" s="520">
        <f>GSh!BI90</f>
        <v>0</v>
      </c>
      <c r="AO90" s="610">
        <f t="shared" ca="1" si="52"/>
        <v>0</v>
      </c>
      <c r="AP90" s="611">
        <f t="shared" ca="1" si="53"/>
        <v>0</v>
      </c>
      <c r="AQ90" s="611">
        <f t="shared" ca="1" si="54"/>
        <v>0</v>
      </c>
      <c r="AR90" s="611">
        <f t="shared" ca="1" si="55"/>
        <v>0</v>
      </c>
      <c r="AS90" s="611">
        <f t="shared" ca="1" si="56"/>
        <v>0</v>
      </c>
      <c r="AT90" s="611">
        <f t="shared" ca="1" si="57"/>
        <v>0</v>
      </c>
      <c r="AU90" s="611">
        <f t="shared" ca="1" si="58"/>
        <v>0</v>
      </c>
      <c r="AV90" s="611">
        <f t="shared" ca="1" si="59"/>
        <v>0</v>
      </c>
      <c r="AW90" s="611">
        <f t="shared" ca="1" si="60"/>
        <v>0</v>
      </c>
      <c r="AX90" s="611">
        <f t="shared" ca="1" si="61"/>
        <v>0</v>
      </c>
      <c r="AY90" s="611">
        <f t="shared" ca="1" si="62"/>
        <v>0</v>
      </c>
      <c r="AZ90" s="611">
        <f t="shared" ca="1" si="63"/>
        <v>0</v>
      </c>
      <c r="BA90" s="611">
        <f t="shared" ca="1" si="64"/>
        <v>0</v>
      </c>
      <c r="BB90" s="612">
        <f t="shared" ca="1" si="65"/>
        <v>0</v>
      </c>
      <c r="BC90" s="617">
        <f t="shared" si="66"/>
        <v>0</v>
      </c>
      <c r="BD90" s="619">
        <f t="shared" si="67"/>
        <v>0</v>
      </c>
      <c r="BE90" s="346">
        <f>GSh!CN90</f>
        <v>0</v>
      </c>
      <c r="BF90" s="210"/>
      <c r="BG90" s="208">
        <f>GSh!BT90</f>
        <v>0</v>
      </c>
      <c r="BH90" s="209">
        <f>GSh!BU90</f>
        <v>0</v>
      </c>
      <c r="BI90" s="199">
        <f>GSh!AF90</f>
        <v>0</v>
      </c>
      <c r="BJ90" s="199">
        <f>GSh!AG90</f>
        <v>0</v>
      </c>
      <c r="BK90" s="199">
        <f>GSh!AK90</f>
        <v>0</v>
      </c>
      <c r="BL90" s="199">
        <f>GSh!AL90</f>
        <v>0</v>
      </c>
    </row>
    <row r="91" spans="1:64" ht="15.75" hidden="1" customHeight="1" x14ac:dyDescent="0.3">
      <c r="A91" s="266">
        <f t="shared" si="31"/>
        <v>103</v>
      </c>
      <c r="B91" s="267">
        <f>GSh!AN91</f>
        <v>0</v>
      </c>
      <c r="C91" s="263"/>
      <c r="D91" s="263"/>
      <c r="E91" s="772">
        <f>GSh!AR91</f>
        <v>0</v>
      </c>
      <c r="F91" s="338"/>
      <c r="G91" s="505">
        <f>SUMIF(PROD!$BF$5:$BF$725,A91,PROD!$L$5:$L$725)</f>
        <v>0</v>
      </c>
      <c r="H91" s="503"/>
      <c r="I91" s="774">
        <f>GSh!AE91</f>
        <v>0</v>
      </c>
      <c r="J91" s="602">
        <f>GSh!AH91</f>
        <v>0</v>
      </c>
      <c r="K91" s="604"/>
      <c r="L91" s="776">
        <f>GSh!AJ91</f>
        <v>0</v>
      </c>
      <c r="M91" s="340">
        <f>GSh!AM91</f>
        <v>0</v>
      </c>
      <c r="N91" s="501">
        <f t="shared" si="50"/>
        <v>0</v>
      </c>
      <c r="O91" s="336"/>
      <c r="P91" s="776">
        <f>GSh!AU91</f>
        <v>0</v>
      </c>
      <c r="Q91" s="557">
        <f>GSh!AV91</f>
        <v>0</v>
      </c>
      <c r="R91" s="559"/>
      <c r="S91" s="1197"/>
      <c r="T91" s="344"/>
      <c r="U91" s="778">
        <f>GSh!BN91</f>
        <v>0</v>
      </c>
      <c r="V91" s="343">
        <f>GSh!BO91</f>
        <v>0</v>
      </c>
      <c r="W91" s="344"/>
      <c r="X91" s="778">
        <f>GSh!BQ91</f>
        <v>0</v>
      </c>
      <c r="Y91" s="343">
        <f>GSh!BR91</f>
        <v>0</v>
      </c>
      <c r="Z91" s="578">
        <f>LOOKUP($A91,PROD!$A$5:$A$725,PROD!$BE$5:$BE$725)</f>
        <v>0</v>
      </c>
      <c r="AA91" s="780">
        <f>GSh!AZ91</f>
        <v>0</v>
      </c>
      <c r="AB91" s="523">
        <f>GSh!BA91</f>
        <v>0</v>
      </c>
      <c r="AC91" s="581"/>
      <c r="AD91" s="783">
        <f>GSh!BK91/10</f>
        <v>0</v>
      </c>
      <c r="AE91" s="590">
        <f>GSh!BL91</f>
        <v>0</v>
      </c>
      <c r="AF91" s="593">
        <f t="shared" si="51"/>
        <v>0</v>
      </c>
      <c r="AG91" s="584"/>
      <c r="AH91" s="587"/>
      <c r="AI91" s="527"/>
      <c r="AJ91" s="528">
        <f>GSh!BE91</f>
        <v>0</v>
      </c>
      <c r="AK91" s="520">
        <f>GSh!BF91</f>
        <v>0</v>
      </c>
      <c r="AL91" s="532"/>
      <c r="AM91" s="769">
        <f>GSh!BH91</f>
        <v>0</v>
      </c>
      <c r="AN91" s="520">
        <f>GSh!BI91</f>
        <v>0</v>
      </c>
      <c r="AO91" s="610">
        <f t="shared" ca="1" si="52"/>
        <v>0</v>
      </c>
      <c r="AP91" s="611">
        <f t="shared" ca="1" si="53"/>
        <v>0</v>
      </c>
      <c r="AQ91" s="611">
        <f t="shared" ca="1" si="54"/>
        <v>0</v>
      </c>
      <c r="AR91" s="611">
        <f t="shared" ca="1" si="55"/>
        <v>0</v>
      </c>
      <c r="AS91" s="611">
        <f t="shared" ca="1" si="56"/>
        <v>0</v>
      </c>
      <c r="AT91" s="611">
        <f t="shared" ca="1" si="57"/>
        <v>0</v>
      </c>
      <c r="AU91" s="611">
        <f t="shared" ca="1" si="58"/>
        <v>0</v>
      </c>
      <c r="AV91" s="611">
        <f t="shared" ca="1" si="59"/>
        <v>0</v>
      </c>
      <c r="AW91" s="611">
        <f t="shared" ca="1" si="60"/>
        <v>0</v>
      </c>
      <c r="AX91" s="611">
        <f t="shared" ca="1" si="61"/>
        <v>0</v>
      </c>
      <c r="AY91" s="611">
        <f t="shared" ca="1" si="62"/>
        <v>0</v>
      </c>
      <c r="AZ91" s="611">
        <f t="shared" ca="1" si="63"/>
        <v>0</v>
      </c>
      <c r="BA91" s="611">
        <f t="shared" ca="1" si="64"/>
        <v>0</v>
      </c>
      <c r="BB91" s="612">
        <f t="shared" ca="1" si="65"/>
        <v>0</v>
      </c>
      <c r="BC91" s="617">
        <f t="shared" si="66"/>
        <v>0</v>
      </c>
      <c r="BD91" s="619">
        <f t="shared" si="67"/>
        <v>0</v>
      </c>
      <c r="BE91" s="346">
        <f>GSh!CN91</f>
        <v>0</v>
      </c>
      <c r="BF91" s="210"/>
      <c r="BG91" s="208">
        <f>GSh!BT91</f>
        <v>0</v>
      </c>
      <c r="BH91" s="209">
        <f>GSh!BU91</f>
        <v>0</v>
      </c>
      <c r="BI91" s="199">
        <f>GSh!AF91</f>
        <v>0</v>
      </c>
      <c r="BJ91" s="199">
        <f>GSh!AG91</f>
        <v>0</v>
      </c>
      <c r="BK91" s="199">
        <f>GSh!AK91</f>
        <v>0</v>
      </c>
      <c r="BL91" s="199">
        <f>GSh!AL91</f>
        <v>0</v>
      </c>
    </row>
    <row r="92" spans="1:64" ht="15.75" hidden="1" customHeight="1" x14ac:dyDescent="0.3">
      <c r="A92" s="266">
        <f t="shared" si="31"/>
        <v>104</v>
      </c>
      <c r="B92" s="267">
        <f>GSh!AN92</f>
        <v>0</v>
      </c>
      <c r="C92" s="263"/>
      <c r="D92" s="263"/>
      <c r="E92" s="772">
        <f>GSh!AR92</f>
        <v>0</v>
      </c>
      <c r="F92" s="338"/>
      <c r="G92" s="505">
        <f>SUMIF(PROD!$BF$5:$BF$725,A92,PROD!$L$5:$L$725)</f>
        <v>0</v>
      </c>
      <c r="H92" s="503"/>
      <c r="I92" s="774">
        <f>GSh!AE92</f>
        <v>0</v>
      </c>
      <c r="J92" s="602">
        <f>GSh!AH92</f>
        <v>0</v>
      </c>
      <c r="K92" s="604"/>
      <c r="L92" s="776">
        <f>GSh!AJ92</f>
        <v>0</v>
      </c>
      <c r="M92" s="340">
        <f>GSh!AM92</f>
        <v>0</v>
      </c>
      <c r="N92" s="501">
        <f t="shared" si="50"/>
        <v>0</v>
      </c>
      <c r="O92" s="336"/>
      <c r="P92" s="776">
        <f>GSh!AU92</f>
        <v>0</v>
      </c>
      <c r="Q92" s="557">
        <f>GSh!AV92</f>
        <v>0</v>
      </c>
      <c r="R92" s="559"/>
      <c r="S92" s="1197"/>
      <c r="T92" s="344"/>
      <c r="U92" s="778">
        <f>GSh!BN92</f>
        <v>0</v>
      </c>
      <c r="V92" s="343">
        <f>GSh!BO92</f>
        <v>0</v>
      </c>
      <c r="W92" s="344"/>
      <c r="X92" s="778">
        <f>GSh!BQ92</f>
        <v>0</v>
      </c>
      <c r="Y92" s="343">
        <f>GSh!BR92</f>
        <v>0</v>
      </c>
      <c r="Z92" s="578">
        <f>LOOKUP($A92,PROD!$A$5:$A$725,PROD!$BE$5:$BE$725)</f>
        <v>0</v>
      </c>
      <c r="AA92" s="780">
        <f>GSh!AZ92</f>
        <v>0</v>
      </c>
      <c r="AB92" s="523">
        <f>GSh!BA92</f>
        <v>0</v>
      </c>
      <c r="AC92" s="581"/>
      <c r="AD92" s="783">
        <f>GSh!BK92/10</f>
        <v>0</v>
      </c>
      <c r="AE92" s="590">
        <f>GSh!BL92</f>
        <v>0</v>
      </c>
      <c r="AF92" s="593">
        <f t="shared" si="51"/>
        <v>0</v>
      </c>
      <c r="AG92" s="584"/>
      <c r="AH92" s="587"/>
      <c r="AI92" s="527"/>
      <c r="AJ92" s="528">
        <f>GSh!BE92</f>
        <v>0</v>
      </c>
      <c r="AK92" s="520">
        <f>GSh!BF92</f>
        <v>0</v>
      </c>
      <c r="AL92" s="532"/>
      <c r="AM92" s="769">
        <f>GSh!BH92</f>
        <v>0</v>
      </c>
      <c r="AN92" s="520">
        <f>GSh!BI92</f>
        <v>0</v>
      </c>
      <c r="AO92" s="610">
        <f t="shared" ca="1" si="52"/>
        <v>0</v>
      </c>
      <c r="AP92" s="611">
        <f t="shared" ca="1" si="53"/>
        <v>0</v>
      </c>
      <c r="AQ92" s="611">
        <f t="shared" ca="1" si="54"/>
        <v>0</v>
      </c>
      <c r="AR92" s="611">
        <f t="shared" ca="1" si="55"/>
        <v>0</v>
      </c>
      <c r="AS92" s="611">
        <f t="shared" ca="1" si="56"/>
        <v>0</v>
      </c>
      <c r="AT92" s="611">
        <f t="shared" ca="1" si="57"/>
        <v>0</v>
      </c>
      <c r="AU92" s="611">
        <f t="shared" ca="1" si="58"/>
        <v>0</v>
      </c>
      <c r="AV92" s="611">
        <f t="shared" ca="1" si="59"/>
        <v>0</v>
      </c>
      <c r="AW92" s="611">
        <f t="shared" ca="1" si="60"/>
        <v>0</v>
      </c>
      <c r="AX92" s="611">
        <f t="shared" ca="1" si="61"/>
        <v>0</v>
      </c>
      <c r="AY92" s="611">
        <f t="shared" ca="1" si="62"/>
        <v>0</v>
      </c>
      <c r="AZ92" s="611">
        <f t="shared" ca="1" si="63"/>
        <v>0</v>
      </c>
      <c r="BA92" s="611">
        <f t="shared" ca="1" si="64"/>
        <v>0</v>
      </c>
      <c r="BB92" s="612">
        <f t="shared" ca="1" si="65"/>
        <v>0</v>
      </c>
      <c r="BC92" s="617">
        <f t="shared" si="66"/>
        <v>0</v>
      </c>
      <c r="BD92" s="619">
        <f t="shared" si="67"/>
        <v>0</v>
      </c>
      <c r="BE92" s="346">
        <f>GSh!CN92</f>
        <v>0</v>
      </c>
      <c r="BF92" s="210"/>
      <c r="BG92" s="208">
        <f>GSh!BT92</f>
        <v>0</v>
      </c>
      <c r="BH92" s="209">
        <f>GSh!BU92</f>
        <v>0</v>
      </c>
      <c r="BI92" s="199">
        <f>GSh!AF92</f>
        <v>0</v>
      </c>
      <c r="BJ92" s="199">
        <f>GSh!AG92</f>
        <v>0</v>
      </c>
      <c r="BK92" s="199">
        <f>GSh!AK92</f>
        <v>0</v>
      </c>
      <c r="BL92" s="199">
        <f>GSh!AL92</f>
        <v>0</v>
      </c>
    </row>
    <row r="93" spans="1:64" ht="15.75" hidden="1" customHeight="1" x14ac:dyDescent="0.3">
      <c r="A93" s="266">
        <f t="shared" si="31"/>
        <v>105</v>
      </c>
      <c r="B93" s="267">
        <f>GSh!AN93</f>
        <v>0</v>
      </c>
      <c r="C93" s="263"/>
      <c r="D93" s="263"/>
      <c r="E93" s="772">
        <f>GSh!AR93</f>
        <v>0</v>
      </c>
      <c r="F93" s="338"/>
      <c r="G93" s="505">
        <f>SUMIF(PROD!$BF$5:$BF$725,A93,PROD!$L$5:$L$725)</f>
        <v>0</v>
      </c>
      <c r="H93" s="503"/>
      <c r="I93" s="774">
        <f>GSh!AE93</f>
        <v>0</v>
      </c>
      <c r="J93" s="602">
        <f>GSh!AH93</f>
        <v>0</v>
      </c>
      <c r="K93" s="604"/>
      <c r="L93" s="776">
        <f>GSh!AJ93</f>
        <v>0</v>
      </c>
      <c r="M93" s="340">
        <f>GSh!AM93</f>
        <v>0</v>
      </c>
      <c r="N93" s="501">
        <f t="shared" si="50"/>
        <v>0</v>
      </c>
      <c r="O93" s="336"/>
      <c r="P93" s="776">
        <f>GSh!AU93</f>
        <v>0</v>
      </c>
      <c r="Q93" s="557">
        <f>GSh!AV93</f>
        <v>0</v>
      </c>
      <c r="R93" s="559"/>
      <c r="S93" s="1197"/>
      <c r="T93" s="344"/>
      <c r="U93" s="778">
        <f>GSh!BN93</f>
        <v>0</v>
      </c>
      <c r="V93" s="343">
        <f>GSh!BO93</f>
        <v>0</v>
      </c>
      <c r="W93" s="344"/>
      <c r="X93" s="778">
        <f>GSh!BQ93</f>
        <v>0</v>
      </c>
      <c r="Y93" s="343">
        <f>GSh!BR93</f>
        <v>0</v>
      </c>
      <c r="Z93" s="578">
        <f>LOOKUP($A93,PROD!$A$5:$A$725,PROD!$BE$5:$BE$725)</f>
        <v>0</v>
      </c>
      <c r="AA93" s="780">
        <f>GSh!AZ93</f>
        <v>0</v>
      </c>
      <c r="AB93" s="523">
        <f>GSh!BA93</f>
        <v>0</v>
      </c>
      <c r="AC93" s="581"/>
      <c r="AD93" s="783">
        <f>GSh!BK93/10</f>
        <v>0</v>
      </c>
      <c r="AE93" s="590">
        <f>GSh!BL93</f>
        <v>0</v>
      </c>
      <c r="AF93" s="593">
        <f t="shared" si="51"/>
        <v>0</v>
      </c>
      <c r="AG93" s="584"/>
      <c r="AH93" s="587"/>
      <c r="AI93" s="527"/>
      <c r="AJ93" s="528">
        <f>GSh!BE93</f>
        <v>0</v>
      </c>
      <c r="AK93" s="520">
        <f>GSh!BF93</f>
        <v>0</v>
      </c>
      <c r="AL93" s="532"/>
      <c r="AM93" s="769">
        <f>GSh!BH93</f>
        <v>0</v>
      </c>
      <c r="AN93" s="520">
        <f>GSh!BI93</f>
        <v>0</v>
      </c>
      <c r="AO93" s="610">
        <f t="shared" ca="1" si="52"/>
        <v>0</v>
      </c>
      <c r="AP93" s="611">
        <f t="shared" ca="1" si="53"/>
        <v>0</v>
      </c>
      <c r="AQ93" s="611">
        <f t="shared" ca="1" si="54"/>
        <v>0</v>
      </c>
      <c r="AR93" s="611">
        <f t="shared" ca="1" si="55"/>
        <v>0</v>
      </c>
      <c r="AS93" s="611">
        <f t="shared" ca="1" si="56"/>
        <v>0</v>
      </c>
      <c r="AT93" s="611">
        <f t="shared" ca="1" si="57"/>
        <v>0</v>
      </c>
      <c r="AU93" s="611">
        <f t="shared" ca="1" si="58"/>
        <v>0</v>
      </c>
      <c r="AV93" s="611">
        <f t="shared" ca="1" si="59"/>
        <v>0</v>
      </c>
      <c r="AW93" s="611">
        <f t="shared" ca="1" si="60"/>
        <v>0</v>
      </c>
      <c r="AX93" s="611">
        <f t="shared" ca="1" si="61"/>
        <v>0</v>
      </c>
      <c r="AY93" s="611">
        <f t="shared" ca="1" si="62"/>
        <v>0</v>
      </c>
      <c r="AZ93" s="611">
        <f t="shared" ca="1" si="63"/>
        <v>0</v>
      </c>
      <c r="BA93" s="611">
        <f t="shared" ca="1" si="64"/>
        <v>0</v>
      </c>
      <c r="BB93" s="612">
        <f t="shared" ca="1" si="65"/>
        <v>0</v>
      </c>
      <c r="BC93" s="617">
        <f t="shared" si="66"/>
        <v>0</v>
      </c>
      <c r="BD93" s="619">
        <f t="shared" si="67"/>
        <v>0</v>
      </c>
      <c r="BE93" s="346">
        <f>GSh!CN93</f>
        <v>0</v>
      </c>
      <c r="BF93" s="210"/>
      <c r="BG93" s="208">
        <f>GSh!BT93</f>
        <v>0</v>
      </c>
      <c r="BH93" s="209">
        <f>GSh!BU93</f>
        <v>0</v>
      </c>
      <c r="BI93" s="199">
        <f>GSh!AF93</f>
        <v>0</v>
      </c>
      <c r="BJ93" s="199">
        <f>GSh!AG93</f>
        <v>0</v>
      </c>
      <c r="BK93" s="199">
        <f>GSh!AK93</f>
        <v>0</v>
      </c>
      <c r="BL93" s="199">
        <f>GSh!AL93</f>
        <v>0</v>
      </c>
    </row>
    <row r="94" spans="1:64" ht="15.75" hidden="1" customHeight="1" x14ac:dyDescent="0.3">
      <c r="A94" s="266">
        <f t="shared" si="31"/>
        <v>106</v>
      </c>
      <c r="B94" s="267">
        <f>GSh!AN94</f>
        <v>0</v>
      </c>
      <c r="C94" s="263"/>
      <c r="D94" s="263"/>
      <c r="E94" s="772">
        <f>GSh!AR94</f>
        <v>0</v>
      </c>
      <c r="F94" s="338"/>
      <c r="G94" s="505">
        <f>SUMIF(PROD!$BF$5:$BF$725,A94,PROD!$L$5:$L$725)</f>
        <v>0</v>
      </c>
      <c r="H94" s="503"/>
      <c r="I94" s="774">
        <f>GSh!AE94</f>
        <v>0</v>
      </c>
      <c r="J94" s="602">
        <f>GSh!AH94</f>
        <v>0</v>
      </c>
      <c r="K94" s="604"/>
      <c r="L94" s="776">
        <f>GSh!AJ94</f>
        <v>0</v>
      </c>
      <c r="M94" s="340">
        <f>GSh!AM94</f>
        <v>0</v>
      </c>
      <c r="N94" s="501">
        <f t="shared" si="50"/>
        <v>0</v>
      </c>
      <c r="O94" s="336"/>
      <c r="P94" s="776">
        <f>GSh!AU94</f>
        <v>0</v>
      </c>
      <c r="Q94" s="557">
        <f>GSh!AV94</f>
        <v>0</v>
      </c>
      <c r="R94" s="559"/>
      <c r="S94" s="1197"/>
      <c r="T94" s="344"/>
      <c r="U94" s="778">
        <f>GSh!BN94</f>
        <v>0</v>
      </c>
      <c r="V94" s="343">
        <f>GSh!BO94</f>
        <v>0</v>
      </c>
      <c r="W94" s="344"/>
      <c r="X94" s="778">
        <f>GSh!BQ94</f>
        <v>0</v>
      </c>
      <c r="Y94" s="343">
        <f>GSh!BR94</f>
        <v>0</v>
      </c>
      <c r="Z94" s="578">
        <f>LOOKUP($A94,PROD!$A$5:$A$725,PROD!$BE$5:$BE$725)</f>
        <v>0</v>
      </c>
      <c r="AA94" s="780">
        <f>GSh!AZ94</f>
        <v>0</v>
      </c>
      <c r="AB94" s="523">
        <f>GSh!BA94</f>
        <v>0</v>
      </c>
      <c r="AC94" s="581"/>
      <c r="AD94" s="783">
        <f>GSh!BK94/10</f>
        <v>0</v>
      </c>
      <c r="AE94" s="590">
        <f>GSh!BL94</f>
        <v>0</v>
      </c>
      <c r="AF94" s="593">
        <f t="shared" si="51"/>
        <v>0</v>
      </c>
      <c r="AG94" s="584"/>
      <c r="AH94" s="587"/>
      <c r="AI94" s="527"/>
      <c r="AJ94" s="528">
        <f>GSh!BE94</f>
        <v>0</v>
      </c>
      <c r="AK94" s="520">
        <f>GSh!BF94</f>
        <v>0</v>
      </c>
      <c r="AL94" s="532"/>
      <c r="AM94" s="769">
        <f>GSh!BH94</f>
        <v>0</v>
      </c>
      <c r="AN94" s="520">
        <f>GSh!BI94</f>
        <v>0</v>
      </c>
      <c r="AO94" s="610">
        <f t="shared" ca="1" si="52"/>
        <v>0</v>
      </c>
      <c r="AP94" s="611">
        <f t="shared" ca="1" si="53"/>
        <v>0</v>
      </c>
      <c r="AQ94" s="611">
        <f t="shared" ca="1" si="54"/>
        <v>0</v>
      </c>
      <c r="AR94" s="611">
        <f t="shared" ca="1" si="55"/>
        <v>0</v>
      </c>
      <c r="AS94" s="611">
        <f t="shared" ca="1" si="56"/>
        <v>0</v>
      </c>
      <c r="AT94" s="611">
        <f t="shared" ca="1" si="57"/>
        <v>0</v>
      </c>
      <c r="AU94" s="611">
        <f t="shared" ca="1" si="58"/>
        <v>0</v>
      </c>
      <c r="AV94" s="611">
        <f t="shared" ca="1" si="59"/>
        <v>0</v>
      </c>
      <c r="AW94" s="611">
        <f t="shared" ca="1" si="60"/>
        <v>0</v>
      </c>
      <c r="AX94" s="611">
        <f t="shared" ca="1" si="61"/>
        <v>0</v>
      </c>
      <c r="AY94" s="611">
        <f t="shared" ca="1" si="62"/>
        <v>0</v>
      </c>
      <c r="AZ94" s="611">
        <f t="shared" ca="1" si="63"/>
        <v>0</v>
      </c>
      <c r="BA94" s="611">
        <f t="shared" ca="1" si="64"/>
        <v>0</v>
      </c>
      <c r="BB94" s="612">
        <f t="shared" ca="1" si="65"/>
        <v>0</v>
      </c>
      <c r="BC94" s="617">
        <f t="shared" si="66"/>
        <v>0</v>
      </c>
      <c r="BD94" s="619">
        <f t="shared" si="67"/>
        <v>0</v>
      </c>
      <c r="BE94" s="346">
        <f>GSh!CN94</f>
        <v>0</v>
      </c>
      <c r="BF94" s="210"/>
      <c r="BG94" s="208">
        <f>GSh!BT94</f>
        <v>0</v>
      </c>
      <c r="BH94" s="209">
        <f>GSh!BU94</f>
        <v>0</v>
      </c>
      <c r="BI94" s="199">
        <f>GSh!AF94</f>
        <v>0</v>
      </c>
      <c r="BJ94" s="199">
        <f>GSh!AG94</f>
        <v>0</v>
      </c>
      <c r="BK94" s="199">
        <f>GSh!AK94</f>
        <v>0</v>
      </c>
      <c r="BL94" s="199">
        <f>GSh!AL94</f>
        <v>0</v>
      </c>
    </row>
    <row r="95" spans="1:64" ht="15.75" hidden="1" customHeight="1" x14ac:dyDescent="0.3">
      <c r="A95" s="266">
        <f t="shared" si="31"/>
        <v>107</v>
      </c>
      <c r="B95" s="267">
        <f>GSh!AN95</f>
        <v>0</v>
      </c>
      <c r="C95" s="263"/>
      <c r="D95" s="263"/>
      <c r="E95" s="772">
        <f>GSh!AR95</f>
        <v>0</v>
      </c>
      <c r="F95" s="338"/>
      <c r="G95" s="505">
        <f>SUMIF(PROD!$BF$5:$BF$725,A95,PROD!$L$5:$L$725)</f>
        <v>0</v>
      </c>
      <c r="H95" s="503"/>
      <c r="I95" s="774">
        <f>GSh!AE95</f>
        <v>0</v>
      </c>
      <c r="J95" s="602">
        <f>GSh!AH95</f>
        <v>0</v>
      </c>
      <c r="K95" s="604"/>
      <c r="L95" s="776">
        <f>GSh!AJ95</f>
        <v>0</v>
      </c>
      <c r="M95" s="340">
        <f>GSh!AM95</f>
        <v>0</v>
      </c>
      <c r="N95" s="501">
        <f t="shared" si="50"/>
        <v>0</v>
      </c>
      <c r="O95" s="336"/>
      <c r="P95" s="776">
        <f>GSh!AU95</f>
        <v>0</v>
      </c>
      <c r="Q95" s="557">
        <f>GSh!AV95</f>
        <v>0</v>
      </c>
      <c r="R95" s="559"/>
      <c r="S95" s="1197"/>
      <c r="T95" s="344"/>
      <c r="U95" s="778">
        <f>GSh!BN95</f>
        <v>0</v>
      </c>
      <c r="V95" s="343">
        <f>GSh!BO95</f>
        <v>0</v>
      </c>
      <c r="W95" s="344"/>
      <c r="X95" s="778">
        <f>GSh!BQ95</f>
        <v>0</v>
      </c>
      <c r="Y95" s="343">
        <f>GSh!BR95</f>
        <v>0</v>
      </c>
      <c r="Z95" s="578">
        <f>LOOKUP($A95,PROD!$A$5:$A$725,PROD!$BE$5:$BE$725)</f>
        <v>0</v>
      </c>
      <c r="AA95" s="780">
        <f>GSh!AZ95</f>
        <v>0</v>
      </c>
      <c r="AB95" s="523">
        <f>GSh!BA95</f>
        <v>0</v>
      </c>
      <c r="AC95" s="581"/>
      <c r="AD95" s="783">
        <f>GSh!BK95/10</f>
        <v>0</v>
      </c>
      <c r="AE95" s="590">
        <f>GSh!BL95</f>
        <v>0</v>
      </c>
      <c r="AF95" s="593">
        <f t="shared" si="51"/>
        <v>0</v>
      </c>
      <c r="AG95" s="584"/>
      <c r="AH95" s="587"/>
      <c r="AI95" s="527"/>
      <c r="AJ95" s="528">
        <f>GSh!BE95</f>
        <v>0</v>
      </c>
      <c r="AK95" s="520">
        <f>GSh!BF95</f>
        <v>0</v>
      </c>
      <c r="AL95" s="532"/>
      <c r="AM95" s="769">
        <f>GSh!BH95</f>
        <v>0</v>
      </c>
      <c r="AN95" s="520">
        <f>GSh!BI95</f>
        <v>0</v>
      </c>
      <c r="AO95" s="610">
        <f t="shared" ca="1" si="52"/>
        <v>0</v>
      </c>
      <c r="AP95" s="611">
        <f t="shared" ca="1" si="53"/>
        <v>0</v>
      </c>
      <c r="AQ95" s="611">
        <f t="shared" ca="1" si="54"/>
        <v>0</v>
      </c>
      <c r="AR95" s="611">
        <f t="shared" ca="1" si="55"/>
        <v>0</v>
      </c>
      <c r="AS95" s="611">
        <f t="shared" ca="1" si="56"/>
        <v>0</v>
      </c>
      <c r="AT95" s="611">
        <f t="shared" ca="1" si="57"/>
        <v>0</v>
      </c>
      <c r="AU95" s="611">
        <f t="shared" ca="1" si="58"/>
        <v>0</v>
      </c>
      <c r="AV95" s="611">
        <f t="shared" ca="1" si="59"/>
        <v>0</v>
      </c>
      <c r="AW95" s="611">
        <f t="shared" ca="1" si="60"/>
        <v>0</v>
      </c>
      <c r="AX95" s="611">
        <f t="shared" ca="1" si="61"/>
        <v>0</v>
      </c>
      <c r="AY95" s="611">
        <f t="shared" ca="1" si="62"/>
        <v>0</v>
      </c>
      <c r="AZ95" s="611">
        <f t="shared" ca="1" si="63"/>
        <v>0</v>
      </c>
      <c r="BA95" s="611">
        <f t="shared" ca="1" si="64"/>
        <v>0</v>
      </c>
      <c r="BB95" s="612">
        <f t="shared" ca="1" si="65"/>
        <v>0</v>
      </c>
      <c r="BC95" s="617">
        <f t="shared" si="66"/>
        <v>0</v>
      </c>
      <c r="BD95" s="619">
        <f t="shared" si="67"/>
        <v>0</v>
      </c>
      <c r="BE95" s="346">
        <f>GSh!CN95</f>
        <v>0</v>
      </c>
      <c r="BF95" s="210"/>
      <c r="BG95" s="208">
        <f>GSh!BT95</f>
        <v>0</v>
      </c>
      <c r="BH95" s="209">
        <f>GSh!BU95</f>
        <v>0</v>
      </c>
      <c r="BI95" s="199">
        <f>GSh!AF95</f>
        <v>0</v>
      </c>
      <c r="BJ95" s="199">
        <f>GSh!AG95</f>
        <v>0</v>
      </c>
      <c r="BK95" s="199">
        <f>GSh!AK95</f>
        <v>0</v>
      </c>
      <c r="BL95" s="199">
        <f>GSh!AL95</f>
        <v>0</v>
      </c>
    </row>
    <row r="96" spans="1:64" ht="15.75" hidden="1" customHeight="1" x14ac:dyDescent="0.3">
      <c r="A96" s="266">
        <f t="shared" si="31"/>
        <v>108</v>
      </c>
      <c r="B96" s="267">
        <f>GSh!AN96</f>
        <v>0</v>
      </c>
      <c r="C96" s="263"/>
      <c r="D96" s="263"/>
      <c r="E96" s="772">
        <f>GSh!AR96</f>
        <v>0</v>
      </c>
      <c r="F96" s="338"/>
      <c r="G96" s="505">
        <f>SUMIF(PROD!$BF$5:$BF$725,A96,PROD!$L$5:$L$725)</f>
        <v>0</v>
      </c>
      <c r="H96" s="503"/>
      <c r="I96" s="774">
        <f>GSh!AE96</f>
        <v>0</v>
      </c>
      <c r="J96" s="602">
        <f>GSh!AH96</f>
        <v>0</v>
      </c>
      <c r="K96" s="604"/>
      <c r="L96" s="776">
        <f>GSh!AJ96</f>
        <v>0</v>
      </c>
      <c r="M96" s="340">
        <f>GSh!AM96</f>
        <v>0</v>
      </c>
      <c r="N96" s="501">
        <f t="shared" si="50"/>
        <v>0</v>
      </c>
      <c r="O96" s="336"/>
      <c r="P96" s="776">
        <f>GSh!AU96</f>
        <v>0</v>
      </c>
      <c r="Q96" s="557">
        <f>GSh!AV96</f>
        <v>0</v>
      </c>
      <c r="R96" s="559"/>
      <c r="S96" s="1197"/>
      <c r="T96" s="344"/>
      <c r="U96" s="778">
        <f>GSh!BN96</f>
        <v>0</v>
      </c>
      <c r="V96" s="343">
        <f>GSh!BO96</f>
        <v>0</v>
      </c>
      <c r="W96" s="344"/>
      <c r="X96" s="778">
        <f>GSh!BQ96</f>
        <v>0</v>
      </c>
      <c r="Y96" s="343">
        <f>GSh!BR96</f>
        <v>0</v>
      </c>
      <c r="Z96" s="578">
        <f>LOOKUP($A96,PROD!$A$5:$A$725,PROD!$BE$5:$BE$725)</f>
        <v>0</v>
      </c>
      <c r="AA96" s="780">
        <f>GSh!AZ96</f>
        <v>0</v>
      </c>
      <c r="AB96" s="523">
        <f>GSh!BA96</f>
        <v>0</v>
      </c>
      <c r="AC96" s="581"/>
      <c r="AD96" s="783">
        <f>GSh!BK96/10</f>
        <v>0</v>
      </c>
      <c r="AE96" s="590">
        <f>GSh!BL96</f>
        <v>0</v>
      </c>
      <c r="AF96" s="593">
        <f t="shared" si="51"/>
        <v>0</v>
      </c>
      <c r="AG96" s="584"/>
      <c r="AH96" s="587"/>
      <c r="AI96" s="527"/>
      <c r="AJ96" s="528">
        <f>GSh!BE96</f>
        <v>0</v>
      </c>
      <c r="AK96" s="520">
        <f>GSh!BF96</f>
        <v>0</v>
      </c>
      <c r="AL96" s="532"/>
      <c r="AM96" s="769">
        <f>GSh!BH96</f>
        <v>0</v>
      </c>
      <c r="AN96" s="520">
        <f>GSh!BI96</f>
        <v>0</v>
      </c>
      <c r="AO96" s="610">
        <f t="shared" ca="1" si="52"/>
        <v>0</v>
      </c>
      <c r="AP96" s="611">
        <f t="shared" ca="1" si="53"/>
        <v>0</v>
      </c>
      <c r="AQ96" s="611">
        <f t="shared" ca="1" si="54"/>
        <v>0</v>
      </c>
      <c r="AR96" s="611">
        <f t="shared" ca="1" si="55"/>
        <v>0</v>
      </c>
      <c r="AS96" s="611">
        <f t="shared" ca="1" si="56"/>
        <v>0</v>
      </c>
      <c r="AT96" s="611">
        <f t="shared" ca="1" si="57"/>
        <v>0</v>
      </c>
      <c r="AU96" s="611">
        <f t="shared" ca="1" si="58"/>
        <v>0</v>
      </c>
      <c r="AV96" s="611">
        <f t="shared" ca="1" si="59"/>
        <v>0</v>
      </c>
      <c r="AW96" s="611">
        <f t="shared" ca="1" si="60"/>
        <v>0</v>
      </c>
      <c r="AX96" s="611">
        <f t="shared" ca="1" si="61"/>
        <v>0</v>
      </c>
      <c r="AY96" s="611">
        <f t="shared" ca="1" si="62"/>
        <v>0</v>
      </c>
      <c r="AZ96" s="611">
        <f t="shared" ca="1" si="63"/>
        <v>0</v>
      </c>
      <c r="BA96" s="611">
        <f t="shared" ca="1" si="64"/>
        <v>0</v>
      </c>
      <c r="BB96" s="612">
        <f t="shared" ca="1" si="65"/>
        <v>0</v>
      </c>
      <c r="BC96" s="617">
        <f t="shared" si="66"/>
        <v>0</v>
      </c>
      <c r="BD96" s="619">
        <f t="shared" si="67"/>
        <v>0</v>
      </c>
      <c r="BE96" s="346">
        <f>GSh!CN96</f>
        <v>0</v>
      </c>
      <c r="BF96" s="210"/>
      <c r="BG96" s="208">
        <f>GSh!BT96</f>
        <v>0</v>
      </c>
      <c r="BH96" s="209">
        <f>GSh!BU96</f>
        <v>0</v>
      </c>
      <c r="BI96" s="199">
        <f>GSh!AF96</f>
        <v>0</v>
      </c>
      <c r="BJ96" s="199">
        <f>GSh!AG96</f>
        <v>0</v>
      </c>
      <c r="BK96" s="199">
        <f>GSh!AK96</f>
        <v>0</v>
      </c>
      <c r="BL96" s="199">
        <f>GSh!AL96</f>
        <v>0</v>
      </c>
    </row>
    <row r="97" spans="1:64" ht="15.75" hidden="1" customHeight="1" x14ac:dyDescent="0.3">
      <c r="A97" s="266">
        <f t="shared" si="31"/>
        <v>109</v>
      </c>
      <c r="B97" s="267">
        <f>GSh!AN97</f>
        <v>0</v>
      </c>
      <c r="C97" s="263"/>
      <c r="D97" s="263"/>
      <c r="E97" s="772">
        <f>GSh!AR97</f>
        <v>0</v>
      </c>
      <c r="F97" s="338"/>
      <c r="G97" s="505">
        <f>SUMIF(PROD!$BF$5:$BF$725,A97,PROD!$L$5:$L$725)</f>
        <v>0</v>
      </c>
      <c r="H97" s="503"/>
      <c r="I97" s="774">
        <f>GSh!AE97</f>
        <v>0</v>
      </c>
      <c r="J97" s="602">
        <f>GSh!AH97</f>
        <v>0</v>
      </c>
      <c r="K97" s="604"/>
      <c r="L97" s="776">
        <f>GSh!AJ97</f>
        <v>0</v>
      </c>
      <c r="M97" s="340">
        <f>GSh!AM97</f>
        <v>0</v>
      </c>
      <c r="N97" s="501">
        <f t="shared" si="50"/>
        <v>0</v>
      </c>
      <c r="O97" s="336"/>
      <c r="P97" s="776">
        <f>GSh!AU97</f>
        <v>0</v>
      </c>
      <c r="Q97" s="557">
        <f>GSh!AV97</f>
        <v>0</v>
      </c>
      <c r="R97" s="559"/>
      <c r="S97" s="1197"/>
      <c r="T97" s="344"/>
      <c r="U97" s="778">
        <f>GSh!BN97</f>
        <v>0</v>
      </c>
      <c r="V97" s="343">
        <f>GSh!BO97</f>
        <v>0</v>
      </c>
      <c r="W97" s="344"/>
      <c r="X97" s="778">
        <f>GSh!BQ97</f>
        <v>0</v>
      </c>
      <c r="Y97" s="343">
        <f>GSh!BR97</f>
        <v>0</v>
      </c>
      <c r="Z97" s="578">
        <f>LOOKUP($A97,PROD!$A$5:$A$725,PROD!$BE$5:$BE$725)</f>
        <v>0</v>
      </c>
      <c r="AA97" s="780">
        <f>GSh!AZ97</f>
        <v>0</v>
      </c>
      <c r="AB97" s="523">
        <f>GSh!BA97</f>
        <v>0</v>
      </c>
      <c r="AC97" s="581"/>
      <c r="AD97" s="783">
        <f>GSh!BK97/10</f>
        <v>0</v>
      </c>
      <c r="AE97" s="590">
        <f>GSh!BL97</f>
        <v>0</v>
      </c>
      <c r="AF97" s="593">
        <f t="shared" si="51"/>
        <v>0</v>
      </c>
      <c r="AG97" s="584"/>
      <c r="AH97" s="587"/>
      <c r="AI97" s="527"/>
      <c r="AJ97" s="528">
        <f>GSh!BE97</f>
        <v>0</v>
      </c>
      <c r="AK97" s="520">
        <f>GSh!BF97</f>
        <v>0</v>
      </c>
      <c r="AL97" s="532"/>
      <c r="AM97" s="769">
        <f>GSh!BH97</f>
        <v>0</v>
      </c>
      <c r="AN97" s="520">
        <f>GSh!BI97</f>
        <v>0</v>
      </c>
      <c r="AO97" s="610">
        <f t="shared" ca="1" si="52"/>
        <v>0</v>
      </c>
      <c r="AP97" s="611">
        <f t="shared" ca="1" si="53"/>
        <v>0</v>
      </c>
      <c r="AQ97" s="611">
        <f t="shared" ca="1" si="54"/>
        <v>0</v>
      </c>
      <c r="AR97" s="611">
        <f t="shared" ca="1" si="55"/>
        <v>0</v>
      </c>
      <c r="AS97" s="611">
        <f t="shared" ca="1" si="56"/>
        <v>0</v>
      </c>
      <c r="AT97" s="611">
        <f t="shared" ca="1" si="57"/>
        <v>0</v>
      </c>
      <c r="AU97" s="611">
        <f t="shared" ca="1" si="58"/>
        <v>0</v>
      </c>
      <c r="AV97" s="611">
        <f t="shared" ca="1" si="59"/>
        <v>0</v>
      </c>
      <c r="AW97" s="611">
        <f t="shared" ca="1" si="60"/>
        <v>0</v>
      </c>
      <c r="AX97" s="611">
        <f t="shared" ca="1" si="61"/>
        <v>0</v>
      </c>
      <c r="AY97" s="611">
        <f t="shared" ca="1" si="62"/>
        <v>0</v>
      </c>
      <c r="AZ97" s="611">
        <f t="shared" ca="1" si="63"/>
        <v>0</v>
      </c>
      <c r="BA97" s="611">
        <f t="shared" ca="1" si="64"/>
        <v>0</v>
      </c>
      <c r="BB97" s="612">
        <f t="shared" ca="1" si="65"/>
        <v>0</v>
      </c>
      <c r="BC97" s="617">
        <f t="shared" si="66"/>
        <v>0</v>
      </c>
      <c r="BD97" s="619">
        <f t="shared" si="67"/>
        <v>0</v>
      </c>
      <c r="BE97" s="346">
        <f>GSh!CN97</f>
        <v>0</v>
      </c>
      <c r="BF97" s="210"/>
      <c r="BG97" s="208">
        <f>GSh!BT97</f>
        <v>0</v>
      </c>
      <c r="BH97" s="209">
        <f>GSh!BU97</f>
        <v>0</v>
      </c>
      <c r="BI97" s="199">
        <f>GSh!AF97</f>
        <v>0</v>
      </c>
      <c r="BJ97" s="199">
        <f>GSh!AG97</f>
        <v>0</v>
      </c>
      <c r="BK97" s="199">
        <f>GSh!AK97</f>
        <v>0</v>
      </c>
      <c r="BL97" s="199">
        <f>GSh!AL97</f>
        <v>0</v>
      </c>
    </row>
    <row r="98" spans="1:64" ht="15.75" hidden="1" customHeight="1" x14ac:dyDescent="0.3">
      <c r="A98" s="266">
        <f t="shared" si="31"/>
        <v>110</v>
      </c>
      <c r="B98" s="267">
        <f>GSh!AN98</f>
        <v>0</v>
      </c>
      <c r="C98" s="263"/>
      <c r="D98" s="263"/>
      <c r="E98" s="772">
        <f>GSh!AR98</f>
        <v>0</v>
      </c>
      <c r="F98" s="338"/>
      <c r="G98" s="505">
        <f>SUMIF(PROD!$BF$5:$BF$725,A98,PROD!$L$5:$L$725)</f>
        <v>0</v>
      </c>
      <c r="H98" s="503"/>
      <c r="I98" s="774">
        <f>GSh!AE98</f>
        <v>0</v>
      </c>
      <c r="J98" s="602">
        <f>GSh!AH98</f>
        <v>0</v>
      </c>
      <c r="K98" s="604"/>
      <c r="L98" s="776">
        <f>GSh!AJ98</f>
        <v>0</v>
      </c>
      <c r="M98" s="340">
        <f>GSh!AM98</f>
        <v>0</v>
      </c>
      <c r="N98" s="501">
        <f t="shared" si="50"/>
        <v>0</v>
      </c>
      <c r="O98" s="336"/>
      <c r="P98" s="776">
        <f>GSh!AU98</f>
        <v>0</v>
      </c>
      <c r="Q98" s="557">
        <f>GSh!AV98</f>
        <v>0</v>
      </c>
      <c r="R98" s="559"/>
      <c r="S98" s="1197"/>
      <c r="T98" s="344"/>
      <c r="U98" s="778">
        <f>GSh!BN98</f>
        <v>0</v>
      </c>
      <c r="V98" s="343">
        <f>GSh!BO98</f>
        <v>0</v>
      </c>
      <c r="W98" s="344"/>
      <c r="X98" s="778">
        <f>GSh!BQ98</f>
        <v>0</v>
      </c>
      <c r="Y98" s="343">
        <f>GSh!BR98</f>
        <v>0</v>
      </c>
      <c r="Z98" s="578">
        <f>LOOKUP($A98,PROD!$A$5:$A$725,PROD!$BE$5:$BE$725)</f>
        <v>0</v>
      </c>
      <c r="AA98" s="780">
        <f>GSh!AZ98</f>
        <v>0</v>
      </c>
      <c r="AB98" s="523">
        <f>GSh!BA98</f>
        <v>0</v>
      </c>
      <c r="AC98" s="581"/>
      <c r="AD98" s="783">
        <f>GSh!BK98/10</f>
        <v>0</v>
      </c>
      <c r="AE98" s="590">
        <f>GSh!BL98</f>
        <v>0</v>
      </c>
      <c r="AF98" s="593">
        <f t="shared" si="51"/>
        <v>0</v>
      </c>
      <c r="AG98" s="584"/>
      <c r="AH98" s="587"/>
      <c r="AI98" s="527"/>
      <c r="AJ98" s="528">
        <f>GSh!BE98</f>
        <v>0</v>
      </c>
      <c r="AK98" s="520">
        <f>GSh!BF98</f>
        <v>0</v>
      </c>
      <c r="AL98" s="532"/>
      <c r="AM98" s="769">
        <f>GSh!BH98</f>
        <v>0</v>
      </c>
      <c r="AN98" s="520">
        <f>GSh!BI98</f>
        <v>0</v>
      </c>
      <c r="AO98" s="610">
        <f t="shared" ca="1" si="52"/>
        <v>0</v>
      </c>
      <c r="AP98" s="611">
        <f t="shared" ca="1" si="53"/>
        <v>0</v>
      </c>
      <c r="AQ98" s="611">
        <f t="shared" ca="1" si="54"/>
        <v>0</v>
      </c>
      <c r="AR98" s="611">
        <f t="shared" ca="1" si="55"/>
        <v>0</v>
      </c>
      <c r="AS98" s="611">
        <f t="shared" ca="1" si="56"/>
        <v>0</v>
      </c>
      <c r="AT98" s="611">
        <f t="shared" ca="1" si="57"/>
        <v>0</v>
      </c>
      <c r="AU98" s="611">
        <f t="shared" ca="1" si="58"/>
        <v>0</v>
      </c>
      <c r="AV98" s="611">
        <f t="shared" ca="1" si="59"/>
        <v>0</v>
      </c>
      <c r="AW98" s="611">
        <f t="shared" ca="1" si="60"/>
        <v>0</v>
      </c>
      <c r="AX98" s="611">
        <f t="shared" ca="1" si="61"/>
        <v>0</v>
      </c>
      <c r="AY98" s="611">
        <f t="shared" ca="1" si="62"/>
        <v>0</v>
      </c>
      <c r="AZ98" s="611">
        <f t="shared" ca="1" si="63"/>
        <v>0</v>
      </c>
      <c r="BA98" s="611">
        <f t="shared" ca="1" si="64"/>
        <v>0</v>
      </c>
      <c r="BB98" s="612">
        <f t="shared" ca="1" si="65"/>
        <v>0</v>
      </c>
      <c r="BC98" s="617">
        <f t="shared" si="66"/>
        <v>0</v>
      </c>
      <c r="BD98" s="619">
        <f t="shared" si="67"/>
        <v>0</v>
      </c>
      <c r="BE98" s="346">
        <f>GSh!CN98</f>
        <v>0</v>
      </c>
      <c r="BF98" s="210"/>
      <c r="BG98" s="208">
        <f>GSh!BT98</f>
        <v>0</v>
      </c>
      <c r="BH98" s="209">
        <f>GSh!BU98</f>
        <v>0</v>
      </c>
      <c r="BI98" s="199">
        <f>GSh!AF98</f>
        <v>0</v>
      </c>
      <c r="BJ98" s="199">
        <f>GSh!AG98</f>
        <v>0</v>
      </c>
      <c r="BK98" s="199">
        <f>GSh!AK98</f>
        <v>0</v>
      </c>
      <c r="BL98" s="199">
        <f>GSh!AL98</f>
        <v>0</v>
      </c>
    </row>
    <row r="99" spans="1:64" ht="15.75" hidden="1" customHeight="1" x14ac:dyDescent="0.3">
      <c r="A99" s="266">
        <f t="shared" si="31"/>
        <v>111</v>
      </c>
      <c r="B99" s="267">
        <f>GSh!AN99</f>
        <v>0</v>
      </c>
      <c r="C99" s="263"/>
      <c r="D99" s="263"/>
      <c r="E99" s="772">
        <f>GSh!AR99</f>
        <v>0</v>
      </c>
      <c r="F99" s="338"/>
      <c r="G99" s="505">
        <f>SUMIF(PROD!$BF$5:$BF$725,A99,PROD!$L$5:$L$725)</f>
        <v>0</v>
      </c>
      <c r="H99" s="503"/>
      <c r="I99" s="774">
        <f>GSh!AE99</f>
        <v>0</v>
      </c>
      <c r="J99" s="602">
        <f>GSh!AH99</f>
        <v>0</v>
      </c>
      <c r="K99" s="604"/>
      <c r="L99" s="776">
        <f>GSh!AJ99</f>
        <v>0</v>
      </c>
      <c r="M99" s="340">
        <f>GSh!AM99</f>
        <v>0</v>
      </c>
      <c r="N99" s="501">
        <f t="shared" si="50"/>
        <v>0</v>
      </c>
      <c r="O99" s="336"/>
      <c r="P99" s="776">
        <f>GSh!AU99</f>
        <v>0</v>
      </c>
      <c r="Q99" s="557">
        <f>GSh!AV99</f>
        <v>0</v>
      </c>
      <c r="R99" s="559"/>
      <c r="S99" s="1197"/>
      <c r="T99" s="344"/>
      <c r="U99" s="778">
        <f>GSh!BN99</f>
        <v>0</v>
      </c>
      <c r="V99" s="343">
        <f>GSh!BO99</f>
        <v>0</v>
      </c>
      <c r="W99" s="344"/>
      <c r="X99" s="778">
        <f>GSh!BQ99</f>
        <v>0</v>
      </c>
      <c r="Y99" s="343">
        <f>GSh!BR99</f>
        <v>0</v>
      </c>
      <c r="Z99" s="578">
        <f>LOOKUP($A99,PROD!$A$5:$A$725,PROD!$BE$5:$BE$725)</f>
        <v>0</v>
      </c>
      <c r="AA99" s="780">
        <f>GSh!AZ99</f>
        <v>0</v>
      </c>
      <c r="AB99" s="523">
        <f>GSh!BA99</f>
        <v>0</v>
      </c>
      <c r="AC99" s="581"/>
      <c r="AD99" s="783">
        <f>GSh!BK99/10</f>
        <v>0</v>
      </c>
      <c r="AE99" s="590">
        <f>GSh!BL99</f>
        <v>0</v>
      </c>
      <c r="AF99" s="593">
        <f t="shared" si="51"/>
        <v>0</v>
      </c>
      <c r="AG99" s="584"/>
      <c r="AH99" s="587"/>
      <c r="AI99" s="527"/>
      <c r="AJ99" s="528">
        <f>GSh!BE99</f>
        <v>0</v>
      </c>
      <c r="AK99" s="520">
        <f>GSh!BF99</f>
        <v>0</v>
      </c>
      <c r="AL99" s="532"/>
      <c r="AM99" s="769">
        <f>GSh!BH99</f>
        <v>0</v>
      </c>
      <c r="AN99" s="520">
        <f>GSh!BI99</f>
        <v>0</v>
      </c>
      <c r="AO99" s="610">
        <f t="shared" ca="1" si="52"/>
        <v>0</v>
      </c>
      <c r="AP99" s="611">
        <f t="shared" ca="1" si="53"/>
        <v>0</v>
      </c>
      <c r="AQ99" s="611">
        <f t="shared" ca="1" si="54"/>
        <v>0</v>
      </c>
      <c r="AR99" s="611">
        <f t="shared" ca="1" si="55"/>
        <v>0</v>
      </c>
      <c r="AS99" s="611">
        <f t="shared" ca="1" si="56"/>
        <v>0</v>
      </c>
      <c r="AT99" s="611">
        <f t="shared" ca="1" si="57"/>
        <v>0</v>
      </c>
      <c r="AU99" s="611">
        <f t="shared" ca="1" si="58"/>
        <v>0</v>
      </c>
      <c r="AV99" s="611">
        <f t="shared" ca="1" si="59"/>
        <v>0</v>
      </c>
      <c r="AW99" s="611">
        <f t="shared" ca="1" si="60"/>
        <v>0</v>
      </c>
      <c r="AX99" s="611">
        <f t="shared" ca="1" si="61"/>
        <v>0</v>
      </c>
      <c r="AY99" s="611">
        <f t="shared" ca="1" si="62"/>
        <v>0</v>
      </c>
      <c r="AZ99" s="611">
        <f t="shared" ca="1" si="63"/>
        <v>0</v>
      </c>
      <c r="BA99" s="611">
        <f t="shared" ca="1" si="64"/>
        <v>0</v>
      </c>
      <c r="BB99" s="612">
        <f t="shared" ca="1" si="65"/>
        <v>0</v>
      </c>
      <c r="BC99" s="617">
        <f t="shared" si="66"/>
        <v>0</v>
      </c>
      <c r="BD99" s="619">
        <f t="shared" si="67"/>
        <v>0</v>
      </c>
      <c r="BE99" s="346">
        <f>GSh!CN99</f>
        <v>0</v>
      </c>
      <c r="BF99" s="210"/>
      <c r="BG99" s="208">
        <f>GSh!BT99</f>
        <v>0</v>
      </c>
      <c r="BH99" s="209">
        <f>GSh!BU99</f>
        <v>0</v>
      </c>
      <c r="BI99" s="199">
        <f>GSh!AF99</f>
        <v>0</v>
      </c>
      <c r="BJ99" s="199">
        <f>GSh!AG99</f>
        <v>0</v>
      </c>
      <c r="BK99" s="199">
        <f>GSh!AK99</f>
        <v>0</v>
      </c>
      <c r="BL99" s="199">
        <f>GSh!AL99</f>
        <v>0</v>
      </c>
    </row>
    <row r="100" spans="1:64" ht="15.75" hidden="1" customHeight="1" x14ac:dyDescent="0.3">
      <c r="A100" s="266">
        <f t="shared" si="31"/>
        <v>112</v>
      </c>
      <c r="B100" s="267">
        <f>GSh!AN100</f>
        <v>0</v>
      </c>
      <c r="C100" s="263"/>
      <c r="D100" s="263"/>
      <c r="E100" s="772">
        <f>GSh!AR100</f>
        <v>0</v>
      </c>
      <c r="F100" s="338"/>
      <c r="G100" s="505">
        <f>SUMIF(PROD!$BF$5:$BF$725,A100,PROD!$L$5:$L$725)</f>
        <v>0</v>
      </c>
      <c r="H100" s="503"/>
      <c r="I100" s="774">
        <f>GSh!AE100</f>
        <v>0</v>
      </c>
      <c r="J100" s="602">
        <f>GSh!AH100</f>
        <v>0</v>
      </c>
      <c r="K100" s="604"/>
      <c r="L100" s="776">
        <f>GSh!AJ100</f>
        <v>0</v>
      </c>
      <c r="M100" s="340">
        <f>GSh!AM100</f>
        <v>0</v>
      </c>
      <c r="N100" s="501">
        <f t="shared" si="50"/>
        <v>0</v>
      </c>
      <c r="O100" s="336"/>
      <c r="P100" s="776">
        <f>GSh!AU100</f>
        <v>0</v>
      </c>
      <c r="Q100" s="557">
        <f>GSh!AV100</f>
        <v>0</v>
      </c>
      <c r="R100" s="559"/>
      <c r="S100" s="1197"/>
      <c r="T100" s="344"/>
      <c r="U100" s="778">
        <f>GSh!BN100</f>
        <v>0</v>
      </c>
      <c r="V100" s="343">
        <f>GSh!BO100</f>
        <v>0</v>
      </c>
      <c r="W100" s="344"/>
      <c r="X100" s="778">
        <f>GSh!BQ100</f>
        <v>0</v>
      </c>
      <c r="Y100" s="343">
        <f>GSh!BR100</f>
        <v>0</v>
      </c>
      <c r="Z100" s="578">
        <f>LOOKUP($A100,PROD!$A$5:$A$725,PROD!$BE$5:$BE$725)</f>
        <v>0</v>
      </c>
      <c r="AA100" s="780">
        <f>GSh!AZ100</f>
        <v>0</v>
      </c>
      <c r="AB100" s="523">
        <f>GSh!BA100</f>
        <v>0</v>
      </c>
      <c r="AC100" s="581"/>
      <c r="AD100" s="783">
        <f>GSh!BK100/10</f>
        <v>0</v>
      </c>
      <c r="AE100" s="590">
        <f>GSh!BL100</f>
        <v>0</v>
      </c>
      <c r="AF100" s="593">
        <f t="shared" si="51"/>
        <v>0</v>
      </c>
      <c r="AG100" s="584"/>
      <c r="AH100" s="587"/>
      <c r="AI100" s="527"/>
      <c r="AJ100" s="528">
        <f>GSh!BE100</f>
        <v>0</v>
      </c>
      <c r="AK100" s="520">
        <f>GSh!BF100</f>
        <v>0</v>
      </c>
      <c r="AL100" s="532"/>
      <c r="AM100" s="769">
        <f>GSh!BH100</f>
        <v>0</v>
      </c>
      <c r="AN100" s="520">
        <f>GSh!BI100</f>
        <v>0</v>
      </c>
      <c r="AO100" s="610">
        <f t="shared" ca="1" si="52"/>
        <v>0</v>
      </c>
      <c r="AP100" s="611">
        <f t="shared" ca="1" si="53"/>
        <v>0</v>
      </c>
      <c r="AQ100" s="611">
        <f t="shared" ca="1" si="54"/>
        <v>0</v>
      </c>
      <c r="AR100" s="611">
        <f t="shared" ca="1" si="55"/>
        <v>0</v>
      </c>
      <c r="AS100" s="611">
        <f t="shared" ca="1" si="56"/>
        <v>0</v>
      </c>
      <c r="AT100" s="611">
        <f t="shared" ca="1" si="57"/>
        <v>0</v>
      </c>
      <c r="AU100" s="611">
        <f t="shared" ca="1" si="58"/>
        <v>0</v>
      </c>
      <c r="AV100" s="611">
        <f t="shared" ca="1" si="59"/>
        <v>0</v>
      </c>
      <c r="AW100" s="611">
        <f t="shared" ca="1" si="60"/>
        <v>0</v>
      </c>
      <c r="AX100" s="611">
        <f t="shared" ca="1" si="61"/>
        <v>0</v>
      </c>
      <c r="AY100" s="611">
        <f t="shared" ca="1" si="62"/>
        <v>0</v>
      </c>
      <c r="AZ100" s="611">
        <f t="shared" ca="1" si="63"/>
        <v>0</v>
      </c>
      <c r="BA100" s="611">
        <f t="shared" ca="1" si="64"/>
        <v>0</v>
      </c>
      <c r="BB100" s="612">
        <f t="shared" ca="1" si="65"/>
        <v>0</v>
      </c>
      <c r="BC100" s="617">
        <f t="shared" si="66"/>
        <v>0</v>
      </c>
      <c r="BD100" s="619">
        <f t="shared" si="67"/>
        <v>0</v>
      </c>
      <c r="BE100" s="346">
        <f>GSh!CN100</f>
        <v>0</v>
      </c>
      <c r="BF100" s="210"/>
      <c r="BG100" s="208">
        <f>GSh!BT100</f>
        <v>0</v>
      </c>
      <c r="BH100" s="209">
        <f>GSh!BU100</f>
        <v>0</v>
      </c>
      <c r="BI100" s="199">
        <f>GSh!AF100</f>
        <v>0</v>
      </c>
      <c r="BJ100" s="199">
        <f>GSh!AG100</f>
        <v>0</v>
      </c>
      <c r="BK100" s="199">
        <f>GSh!AK100</f>
        <v>0</v>
      </c>
      <c r="BL100" s="199">
        <f>GSh!AL100</f>
        <v>0</v>
      </c>
    </row>
    <row r="101" spans="1:64" ht="15.75" hidden="1" customHeight="1" x14ac:dyDescent="0.3">
      <c r="A101" s="266">
        <f t="shared" si="31"/>
        <v>113</v>
      </c>
      <c r="B101" s="267">
        <f>GSh!AN101</f>
        <v>0</v>
      </c>
      <c r="C101" s="263"/>
      <c r="D101" s="263"/>
      <c r="E101" s="772">
        <f>GSh!AR101</f>
        <v>0</v>
      </c>
      <c r="F101" s="338"/>
      <c r="G101" s="505">
        <f>SUMIF(PROD!$BF$5:$BF$725,A101,PROD!$L$5:$L$725)</f>
        <v>0</v>
      </c>
      <c r="H101" s="503"/>
      <c r="I101" s="774">
        <f>GSh!AE101</f>
        <v>0</v>
      </c>
      <c r="J101" s="602">
        <f>GSh!AH101</f>
        <v>0</v>
      </c>
      <c r="K101" s="604"/>
      <c r="L101" s="776">
        <f>GSh!AJ101</f>
        <v>0</v>
      </c>
      <c r="M101" s="340">
        <f>GSh!AM101</f>
        <v>0</v>
      </c>
      <c r="N101" s="501">
        <f t="shared" si="50"/>
        <v>0</v>
      </c>
      <c r="O101" s="336"/>
      <c r="P101" s="776">
        <f>GSh!AU101</f>
        <v>0</v>
      </c>
      <c r="Q101" s="557">
        <f>GSh!AV101</f>
        <v>0</v>
      </c>
      <c r="R101" s="559"/>
      <c r="S101" s="1197"/>
      <c r="T101" s="344"/>
      <c r="U101" s="778">
        <f>GSh!BN101</f>
        <v>0</v>
      </c>
      <c r="V101" s="343">
        <f>GSh!BO101</f>
        <v>0</v>
      </c>
      <c r="W101" s="344"/>
      <c r="X101" s="778">
        <f>GSh!BQ101</f>
        <v>0</v>
      </c>
      <c r="Y101" s="343">
        <f>GSh!BR101</f>
        <v>0</v>
      </c>
      <c r="Z101" s="578">
        <f>LOOKUP($A101,PROD!$A$5:$A$725,PROD!$BE$5:$BE$725)</f>
        <v>0</v>
      </c>
      <c r="AA101" s="780">
        <f>GSh!AZ101</f>
        <v>0</v>
      </c>
      <c r="AB101" s="523">
        <f>GSh!BA101</f>
        <v>0</v>
      </c>
      <c r="AC101" s="581"/>
      <c r="AD101" s="783">
        <f>GSh!BK101/10</f>
        <v>0</v>
      </c>
      <c r="AE101" s="590">
        <f>GSh!BL101</f>
        <v>0</v>
      </c>
      <c r="AF101" s="593">
        <f t="shared" si="51"/>
        <v>0</v>
      </c>
      <c r="AG101" s="584"/>
      <c r="AH101" s="587"/>
      <c r="AI101" s="527"/>
      <c r="AJ101" s="528">
        <f>GSh!BE101</f>
        <v>0</v>
      </c>
      <c r="AK101" s="520">
        <f>GSh!BF101</f>
        <v>0</v>
      </c>
      <c r="AL101" s="532"/>
      <c r="AM101" s="769">
        <f>GSh!BH101</f>
        <v>0</v>
      </c>
      <c r="AN101" s="520">
        <f>GSh!BI101</f>
        <v>0</v>
      </c>
      <c r="AO101" s="610">
        <f t="shared" ca="1" si="52"/>
        <v>0</v>
      </c>
      <c r="AP101" s="611">
        <f t="shared" ca="1" si="53"/>
        <v>0</v>
      </c>
      <c r="AQ101" s="611">
        <f t="shared" ca="1" si="54"/>
        <v>0</v>
      </c>
      <c r="AR101" s="611">
        <f t="shared" ca="1" si="55"/>
        <v>0</v>
      </c>
      <c r="AS101" s="611">
        <f t="shared" ca="1" si="56"/>
        <v>0</v>
      </c>
      <c r="AT101" s="611">
        <f t="shared" ca="1" si="57"/>
        <v>0</v>
      </c>
      <c r="AU101" s="611">
        <f t="shared" ca="1" si="58"/>
        <v>0</v>
      </c>
      <c r="AV101" s="611">
        <f t="shared" ca="1" si="59"/>
        <v>0</v>
      </c>
      <c r="AW101" s="611">
        <f t="shared" ca="1" si="60"/>
        <v>0</v>
      </c>
      <c r="AX101" s="611">
        <f t="shared" ca="1" si="61"/>
        <v>0</v>
      </c>
      <c r="AY101" s="611">
        <f t="shared" ca="1" si="62"/>
        <v>0</v>
      </c>
      <c r="AZ101" s="611">
        <f t="shared" ca="1" si="63"/>
        <v>0</v>
      </c>
      <c r="BA101" s="611">
        <f t="shared" ca="1" si="64"/>
        <v>0</v>
      </c>
      <c r="BB101" s="612">
        <f t="shared" ca="1" si="65"/>
        <v>0</v>
      </c>
      <c r="BC101" s="617">
        <f t="shared" si="66"/>
        <v>0</v>
      </c>
      <c r="BD101" s="619">
        <f t="shared" si="67"/>
        <v>0</v>
      </c>
      <c r="BE101" s="346">
        <f>GSh!CN101</f>
        <v>0</v>
      </c>
      <c r="BF101" s="210"/>
      <c r="BG101" s="208">
        <f>GSh!BT101</f>
        <v>0</v>
      </c>
      <c r="BH101" s="209">
        <f>GSh!BU101</f>
        <v>0</v>
      </c>
      <c r="BI101" s="199">
        <f>GSh!AF101</f>
        <v>0</v>
      </c>
      <c r="BJ101" s="199">
        <f>GSh!AG101</f>
        <v>0</v>
      </c>
      <c r="BK101" s="199">
        <f>GSh!AK101</f>
        <v>0</v>
      </c>
      <c r="BL101" s="199">
        <f>GSh!AL101</f>
        <v>0</v>
      </c>
    </row>
    <row r="102" spans="1:64" ht="15.75" hidden="1" customHeight="1" x14ac:dyDescent="0.3">
      <c r="A102" s="266">
        <f t="shared" ref="A102:A108" si="68">A101+1</f>
        <v>114</v>
      </c>
      <c r="B102" s="267">
        <f>GSh!AN102</f>
        <v>0</v>
      </c>
      <c r="C102" s="263"/>
      <c r="D102" s="263"/>
      <c r="E102" s="772">
        <f>GSh!AR102</f>
        <v>0</v>
      </c>
      <c r="F102" s="338"/>
      <c r="G102" s="505">
        <f>SUMIF(PROD!$BF$5:$BF$725,A102,PROD!$L$5:$L$725)</f>
        <v>0</v>
      </c>
      <c r="H102" s="503"/>
      <c r="I102" s="774">
        <f>GSh!AE102</f>
        <v>0</v>
      </c>
      <c r="J102" s="602">
        <f>GSh!AH102</f>
        <v>0</v>
      </c>
      <c r="K102" s="604"/>
      <c r="L102" s="776">
        <f>GSh!AJ102</f>
        <v>0</v>
      </c>
      <c r="M102" s="340">
        <f>GSh!AM102</f>
        <v>0</v>
      </c>
      <c r="N102" s="501">
        <f t="shared" ref="N102:N108" si="69">KLSEM</f>
        <v>0</v>
      </c>
      <c r="O102" s="336"/>
      <c r="P102" s="776">
        <f>GSh!AU102</f>
        <v>0</v>
      </c>
      <c r="Q102" s="557">
        <f>GSh!AV102</f>
        <v>0</v>
      </c>
      <c r="R102" s="559"/>
      <c r="S102" s="1197"/>
      <c r="T102" s="344"/>
      <c r="U102" s="778">
        <f>GSh!BN102</f>
        <v>0</v>
      </c>
      <c r="V102" s="343">
        <f>GSh!BO102</f>
        <v>0</v>
      </c>
      <c r="W102" s="344"/>
      <c r="X102" s="778">
        <f>GSh!BQ102</f>
        <v>0</v>
      </c>
      <c r="Y102" s="343">
        <f>GSh!BR102</f>
        <v>0</v>
      </c>
      <c r="Z102" s="578">
        <f>LOOKUP($A102,PROD!$A$5:$A$725,PROD!$BE$5:$BE$725)</f>
        <v>0</v>
      </c>
      <c r="AA102" s="780">
        <f>GSh!AZ102</f>
        <v>0</v>
      </c>
      <c r="AB102" s="523">
        <f>GSh!BA102</f>
        <v>0</v>
      </c>
      <c r="AC102" s="581"/>
      <c r="AD102" s="783">
        <f>GSh!BK102/10</f>
        <v>0</v>
      </c>
      <c r="AE102" s="590">
        <f>GSh!BL102</f>
        <v>0</v>
      </c>
      <c r="AF102" s="593">
        <f t="shared" ref="AF102:AF108" si="70">IF(AG102&gt;0,IF(AH102&gt;0,100-SUM(AG102:AH102),0),0)</f>
        <v>0</v>
      </c>
      <c r="AG102" s="584"/>
      <c r="AH102" s="587"/>
      <c r="AI102" s="527"/>
      <c r="AJ102" s="528">
        <f>GSh!BE102</f>
        <v>0</v>
      </c>
      <c r="AK102" s="520">
        <f>GSh!BF102</f>
        <v>0</v>
      </c>
      <c r="AL102" s="532"/>
      <c r="AM102" s="769">
        <f>GSh!BH102</f>
        <v>0</v>
      </c>
      <c r="AN102" s="520">
        <f>GSh!BI102</f>
        <v>0</v>
      </c>
      <c r="AO102" s="610">
        <f t="shared" ref="AO102:AO108" ca="1" si="71">AAAA</f>
        <v>0</v>
      </c>
      <c r="AP102" s="611">
        <f t="shared" ref="AP102:AP108" ca="1" si="72">AAA</f>
        <v>0</v>
      </c>
      <c r="AQ102" s="611">
        <f t="shared" ref="AQ102:AQ108" ca="1" si="73">AA</f>
        <v>0</v>
      </c>
      <c r="AR102" s="611">
        <f t="shared" ref="AR102:AR108" ca="1" si="74">HA</f>
        <v>0</v>
      </c>
      <c r="AS102" s="611">
        <f t="shared" ref="AS102:AS108" ca="1" si="75">HB</f>
        <v>0</v>
      </c>
      <c r="AT102" s="611">
        <f t="shared" ref="AT102:AT108" ca="1" si="76">HC</f>
        <v>0</v>
      </c>
      <c r="AU102" s="611">
        <f t="shared" ref="AU102:AU108" ca="1" si="77">HCG</f>
        <v>0</v>
      </c>
      <c r="AV102" s="611">
        <f t="shared" ref="AV102:AV108" ca="1" si="78">RVG</f>
        <v>0</v>
      </c>
      <c r="AW102" s="611">
        <f t="shared" ref="AW102:AW108" ca="1" si="79">RMD</f>
        <v>0</v>
      </c>
      <c r="AX102" s="611">
        <f t="shared" ref="AX102:AX108" ca="1" si="80">RVP</f>
        <v>0</v>
      </c>
      <c r="AY102" s="611">
        <f t="shared" ref="AY102:AY108" ca="1" si="81">COLOR</f>
        <v>0</v>
      </c>
      <c r="AZ102" s="611">
        <f t="shared" ref="AZ102:AZ108" ca="1" si="82">CASC</f>
        <v>0</v>
      </c>
      <c r="BA102" s="611">
        <f t="shared" ref="BA102:BA108" ca="1" si="83">VNC</f>
        <v>0</v>
      </c>
      <c r="BB102" s="612">
        <f t="shared" ref="BB102:BB108" ca="1" si="84">ROTO</f>
        <v>0</v>
      </c>
      <c r="BC102" s="617">
        <f t="shared" ref="BC102:BC108" si="85">COSTO</f>
        <v>0</v>
      </c>
      <c r="BD102" s="619">
        <f t="shared" ref="BD102:BD108" si="86">PVENTAH</f>
        <v>0</v>
      </c>
      <c r="BE102" s="346">
        <f>GSh!CN102</f>
        <v>0</v>
      </c>
      <c r="BF102" s="210"/>
      <c r="BG102" s="208">
        <f>GSh!BT102</f>
        <v>0</v>
      </c>
      <c r="BH102" s="209">
        <f>GSh!BU102</f>
        <v>0</v>
      </c>
      <c r="BI102" s="199">
        <f>GSh!AF102</f>
        <v>0</v>
      </c>
      <c r="BJ102" s="199">
        <f>GSh!AG102</f>
        <v>0</v>
      </c>
      <c r="BK102" s="199">
        <f>GSh!AK102</f>
        <v>0</v>
      </c>
      <c r="BL102" s="199">
        <f>GSh!AL102</f>
        <v>0</v>
      </c>
    </row>
    <row r="103" spans="1:64" ht="15.75" hidden="1" customHeight="1" x14ac:dyDescent="0.3">
      <c r="A103" s="266">
        <f t="shared" si="68"/>
        <v>115</v>
      </c>
      <c r="B103" s="267">
        <f>GSh!AN103</f>
        <v>0</v>
      </c>
      <c r="C103" s="263"/>
      <c r="D103" s="263"/>
      <c r="E103" s="772">
        <f>GSh!AR103</f>
        <v>0</v>
      </c>
      <c r="F103" s="338"/>
      <c r="G103" s="505">
        <f>SUMIF(PROD!$BF$5:$BF$725,A103,PROD!$L$5:$L$725)</f>
        <v>0</v>
      </c>
      <c r="H103" s="503"/>
      <c r="I103" s="774">
        <f>GSh!AE103</f>
        <v>0</v>
      </c>
      <c r="J103" s="602">
        <f>GSh!AH103</f>
        <v>0</v>
      </c>
      <c r="K103" s="604"/>
      <c r="L103" s="776">
        <f>GSh!AJ103</f>
        <v>0</v>
      </c>
      <c r="M103" s="340">
        <f>GSh!AM103</f>
        <v>0</v>
      </c>
      <c r="N103" s="501">
        <f t="shared" si="69"/>
        <v>0</v>
      </c>
      <c r="O103" s="336"/>
      <c r="P103" s="776">
        <f>GSh!AU103</f>
        <v>0</v>
      </c>
      <c r="Q103" s="557">
        <f>GSh!AV103</f>
        <v>0</v>
      </c>
      <c r="R103" s="559"/>
      <c r="S103" s="1197"/>
      <c r="T103" s="344"/>
      <c r="U103" s="778">
        <f>GSh!BN103</f>
        <v>0</v>
      </c>
      <c r="V103" s="343">
        <f>GSh!BO103</f>
        <v>0</v>
      </c>
      <c r="W103" s="344"/>
      <c r="X103" s="778">
        <f>GSh!BQ103</f>
        <v>0</v>
      </c>
      <c r="Y103" s="343">
        <f>GSh!BR103</f>
        <v>0</v>
      </c>
      <c r="Z103" s="578">
        <f>LOOKUP($A103,PROD!$A$5:$A$725,PROD!$BE$5:$BE$725)</f>
        <v>0</v>
      </c>
      <c r="AA103" s="780">
        <f>GSh!AZ103</f>
        <v>0</v>
      </c>
      <c r="AB103" s="523">
        <f>GSh!BA103</f>
        <v>0</v>
      </c>
      <c r="AC103" s="581"/>
      <c r="AD103" s="783">
        <f>GSh!BK103/10</f>
        <v>0</v>
      </c>
      <c r="AE103" s="590">
        <f>GSh!BL103</f>
        <v>0</v>
      </c>
      <c r="AF103" s="593">
        <f t="shared" si="70"/>
        <v>0</v>
      </c>
      <c r="AG103" s="584"/>
      <c r="AH103" s="587"/>
      <c r="AI103" s="527"/>
      <c r="AJ103" s="528">
        <f>GSh!BE103</f>
        <v>0</v>
      </c>
      <c r="AK103" s="520">
        <f>GSh!BF103</f>
        <v>0</v>
      </c>
      <c r="AL103" s="532"/>
      <c r="AM103" s="769">
        <f>GSh!BH103</f>
        <v>0</v>
      </c>
      <c r="AN103" s="520">
        <f>GSh!BI103</f>
        <v>0</v>
      </c>
      <c r="AO103" s="610">
        <f t="shared" ca="1" si="71"/>
        <v>0</v>
      </c>
      <c r="AP103" s="611">
        <f t="shared" ca="1" si="72"/>
        <v>0</v>
      </c>
      <c r="AQ103" s="611">
        <f t="shared" ca="1" si="73"/>
        <v>0</v>
      </c>
      <c r="AR103" s="611">
        <f t="shared" ca="1" si="74"/>
        <v>0</v>
      </c>
      <c r="AS103" s="611">
        <f t="shared" ca="1" si="75"/>
        <v>0</v>
      </c>
      <c r="AT103" s="611">
        <f t="shared" ca="1" si="76"/>
        <v>0</v>
      </c>
      <c r="AU103" s="611">
        <f t="shared" ca="1" si="77"/>
        <v>0</v>
      </c>
      <c r="AV103" s="611">
        <f t="shared" ca="1" si="78"/>
        <v>0</v>
      </c>
      <c r="AW103" s="611">
        <f t="shared" ca="1" si="79"/>
        <v>0</v>
      </c>
      <c r="AX103" s="611">
        <f t="shared" ca="1" si="80"/>
        <v>0</v>
      </c>
      <c r="AY103" s="611">
        <f t="shared" ca="1" si="81"/>
        <v>0</v>
      </c>
      <c r="AZ103" s="611">
        <f t="shared" ca="1" si="82"/>
        <v>0</v>
      </c>
      <c r="BA103" s="611">
        <f t="shared" ca="1" si="83"/>
        <v>0</v>
      </c>
      <c r="BB103" s="612">
        <f t="shared" ca="1" si="84"/>
        <v>0</v>
      </c>
      <c r="BC103" s="617">
        <f t="shared" si="85"/>
        <v>0</v>
      </c>
      <c r="BD103" s="619">
        <f t="shared" si="86"/>
        <v>0</v>
      </c>
      <c r="BE103" s="346">
        <f>GSh!CN103</f>
        <v>0</v>
      </c>
      <c r="BF103" s="210"/>
      <c r="BG103" s="208">
        <f>GSh!BT103</f>
        <v>0</v>
      </c>
      <c r="BH103" s="209">
        <f>GSh!BU103</f>
        <v>0</v>
      </c>
      <c r="BI103" s="199">
        <f>GSh!AF103</f>
        <v>0</v>
      </c>
      <c r="BJ103" s="199">
        <f>GSh!AG103</f>
        <v>0</v>
      </c>
      <c r="BK103" s="199">
        <f>GSh!AK103</f>
        <v>0</v>
      </c>
      <c r="BL103" s="199">
        <f>GSh!AL103</f>
        <v>0</v>
      </c>
    </row>
    <row r="104" spans="1:64" ht="15.75" hidden="1" customHeight="1" x14ac:dyDescent="0.3">
      <c r="A104" s="266">
        <f t="shared" si="68"/>
        <v>116</v>
      </c>
      <c r="B104" s="267">
        <f>GSh!AN104</f>
        <v>0</v>
      </c>
      <c r="C104" s="263"/>
      <c r="D104" s="263"/>
      <c r="E104" s="772">
        <f>GSh!AR104</f>
        <v>0</v>
      </c>
      <c r="F104" s="338"/>
      <c r="G104" s="505">
        <f>SUMIF(PROD!$BF$5:$BF$725,A104,PROD!$L$5:$L$725)</f>
        <v>0</v>
      </c>
      <c r="H104" s="503"/>
      <c r="I104" s="774">
        <f>GSh!AE104</f>
        <v>0</v>
      </c>
      <c r="J104" s="602">
        <f>GSh!AH104</f>
        <v>0</v>
      </c>
      <c r="K104" s="604"/>
      <c r="L104" s="776">
        <f>GSh!AJ104</f>
        <v>0</v>
      </c>
      <c r="M104" s="340">
        <f>GSh!AM104</f>
        <v>0</v>
      </c>
      <c r="N104" s="501">
        <f t="shared" si="69"/>
        <v>0</v>
      </c>
      <c r="O104" s="336"/>
      <c r="P104" s="776">
        <f>GSh!AU104</f>
        <v>0</v>
      </c>
      <c r="Q104" s="557">
        <f>GSh!AV104</f>
        <v>0</v>
      </c>
      <c r="R104" s="559"/>
      <c r="S104" s="1197"/>
      <c r="T104" s="344"/>
      <c r="U104" s="778">
        <f>GSh!BN104</f>
        <v>0</v>
      </c>
      <c r="V104" s="343">
        <f>GSh!BO104</f>
        <v>0</v>
      </c>
      <c r="W104" s="344"/>
      <c r="X104" s="778">
        <f>GSh!BQ104</f>
        <v>0</v>
      </c>
      <c r="Y104" s="343">
        <f>GSh!BR104</f>
        <v>0</v>
      </c>
      <c r="Z104" s="578">
        <f>LOOKUP($A104,PROD!$A$5:$A$725,PROD!$BE$5:$BE$725)</f>
        <v>0</v>
      </c>
      <c r="AA104" s="780">
        <f>GSh!AZ104</f>
        <v>0</v>
      </c>
      <c r="AB104" s="523">
        <f>GSh!BA104</f>
        <v>0</v>
      </c>
      <c r="AC104" s="581"/>
      <c r="AD104" s="783">
        <f>GSh!BK104/10</f>
        <v>0</v>
      </c>
      <c r="AE104" s="590">
        <f>GSh!BL104</f>
        <v>0</v>
      </c>
      <c r="AF104" s="593">
        <f t="shared" si="70"/>
        <v>0</v>
      </c>
      <c r="AG104" s="584"/>
      <c r="AH104" s="587"/>
      <c r="AI104" s="527"/>
      <c r="AJ104" s="528">
        <f>GSh!BE104</f>
        <v>0</v>
      </c>
      <c r="AK104" s="520">
        <f>GSh!BF104</f>
        <v>0</v>
      </c>
      <c r="AL104" s="532"/>
      <c r="AM104" s="769">
        <f>GSh!BH104</f>
        <v>0</v>
      </c>
      <c r="AN104" s="520">
        <f>GSh!BI104</f>
        <v>0</v>
      </c>
      <c r="AO104" s="610">
        <f t="shared" ca="1" si="71"/>
        <v>0</v>
      </c>
      <c r="AP104" s="611">
        <f t="shared" ca="1" si="72"/>
        <v>0</v>
      </c>
      <c r="AQ104" s="611">
        <f t="shared" ca="1" si="73"/>
        <v>0</v>
      </c>
      <c r="AR104" s="611">
        <f t="shared" ca="1" si="74"/>
        <v>0</v>
      </c>
      <c r="AS104" s="611">
        <f t="shared" ca="1" si="75"/>
        <v>0</v>
      </c>
      <c r="AT104" s="611">
        <f t="shared" ca="1" si="76"/>
        <v>0</v>
      </c>
      <c r="AU104" s="611">
        <f t="shared" ca="1" si="77"/>
        <v>0</v>
      </c>
      <c r="AV104" s="611">
        <f t="shared" ca="1" si="78"/>
        <v>0</v>
      </c>
      <c r="AW104" s="611">
        <f t="shared" ca="1" si="79"/>
        <v>0</v>
      </c>
      <c r="AX104" s="611">
        <f t="shared" ca="1" si="80"/>
        <v>0</v>
      </c>
      <c r="AY104" s="611">
        <f t="shared" ca="1" si="81"/>
        <v>0</v>
      </c>
      <c r="AZ104" s="611">
        <f t="shared" ca="1" si="82"/>
        <v>0</v>
      </c>
      <c r="BA104" s="611">
        <f t="shared" ca="1" si="83"/>
        <v>0</v>
      </c>
      <c r="BB104" s="612">
        <f t="shared" ca="1" si="84"/>
        <v>0</v>
      </c>
      <c r="BC104" s="617">
        <f t="shared" si="85"/>
        <v>0</v>
      </c>
      <c r="BD104" s="619">
        <f t="shared" si="86"/>
        <v>0</v>
      </c>
      <c r="BE104" s="346">
        <f>GSh!CN104</f>
        <v>0</v>
      </c>
      <c r="BF104" s="210"/>
      <c r="BG104" s="208">
        <f>GSh!BT104</f>
        <v>0</v>
      </c>
      <c r="BH104" s="209">
        <f>GSh!BU104</f>
        <v>0</v>
      </c>
      <c r="BI104" s="199">
        <f>GSh!AF104</f>
        <v>0</v>
      </c>
      <c r="BJ104" s="199">
        <f>GSh!AG104</f>
        <v>0</v>
      </c>
      <c r="BK104" s="199">
        <f>GSh!AK104</f>
        <v>0</v>
      </c>
      <c r="BL104" s="199">
        <f>GSh!AL104</f>
        <v>0</v>
      </c>
    </row>
    <row r="105" spans="1:64" ht="15.75" hidden="1" customHeight="1" x14ac:dyDescent="0.3">
      <c r="A105" s="266">
        <f t="shared" si="68"/>
        <v>117</v>
      </c>
      <c r="B105" s="267">
        <f>GSh!AN105</f>
        <v>0</v>
      </c>
      <c r="C105" s="263"/>
      <c r="D105" s="263"/>
      <c r="E105" s="772">
        <f>GSh!AR105</f>
        <v>0</v>
      </c>
      <c r="F105" s="338"/>
      <c r="G105" s="505">
        <f>SUMIF(PROD!$BF$5:$BF$725,A105,PROD!$L$5:$L$725)</f>
        <v>0</v>
      </c>
      <c r="H105" s="503"/>
      <c r="I105" s="774">
        <f>GSh!AE105</f>
        <v>0</v>
      </c>
      <c r="J105" s="602">
        <f>GSh!AH105</f>
        <v>0</v>
      </c>
      <c r="K105" s="604"/>
      <c r="L105" s="776">
        <f>GSh!AJ105</f>
        <v>0</v>
      </c>
      <c r="M105" s="340">
        <f>GSh!AM105</f>
        <v>0</v>
      </c>
      <c r="N105" s="501">
        <f t="shared" si="69"/>
        <v>0</v>
      </c>
      <c r="O105" s="336"/>
      <c r="P105" s="776">
        <f>GSh!AU105</f>
        <v>0</v>
      </c>
      <c r="Q105" s="557">
        <f>GSh!AV105</f>
        <v>0</v>
      </c>
      <c r="R105" s="559"/>
      <c r="S105" s="1197"/>
      <c r="T105" s="344"/>
      <c r="U105" s="778">
        <f>GSh!BN105</f>
        <v>0</v>
      </c>
      <c r="V105" s="343">
        <f>GSh!BO105</f>
        <v>0</v>
      </c>
      <c r="W105" s="344"/>
      <c r="X105" s="778">
        <f>GSh!BQ105</f>
        <v>0</v>
      </c>
      <c r="Y105" s="343">
        <f>GSh!BR105</f>
        <v>0</v>
      </c>
      <c r="Z105" s="578">
        <f>LOOKUP($A105,PROD!$A$5:$A$725,PROD!$BE$5:$BE$725)</f>
        <v>0</v>
      </c>
      <c r="AA105" s="780">
        <f>GSh!AZ105</f>
        <v>0</v>
      </c>
      <c r="AB105" s="523">
        <f>GSh!BA105</f>
        <v>0</v>
      </c>
      <c r="AC105" s="581"/>
      <c r="AD105" s="783">
        <f>GSh!BK105/10</f>
        <v>0</v>
      </c>
      <c r="AE105" s="590">
        <f>GSh!BL105</f>
        <v>0</v>
      </c>
      <c r="AF105" s="593">
        <f t="shared" si="70"/>
        <v>0</v>
      </c>
      <c r="AG105" s="584"/>
      <c r="AH105" s="587"/>
      <c r="AI105" s="527"/>
      <c r="AJ105" s="528">
        <f>GSh!BE105</f>
        <v>0</v>
      </c>
      <c r="AK105" s="520">
        <f>GSh!BF105</f>
        <v>0</v>
      </c>
      <c r="AL105" s="532"/>
      <c r="AM105" s="769">
        <f>GSh!BH105</f>
        <v>0</v>
      </c>
      <c r="AN105" s="520">
        <f>GSh!BI105</f>
        <v>0</v>
      </c>
      <c r="AO105" s="610">
        <f t="shared" ca="1" si="71"/>
        <v>0</v>
      </c>
      <c r="AP105" s="611">
        <f t="shared" ca="1" si="72"/>
        <v>0</v>
      </c>
      <c r="AQ105" s="611">
        <f t="shared" ca="1" si="73"/>
        <v>0</v>
      </c>
      <c r="AR105" s="611">
        <f t="shared" ca="1" si="74"/>
        <v>0</v>
      </c>
      <c r="AS105" s="611">
        <f t="shared" ca="1" si="75"/>
        <v>0</v>
      </c>
      <c r="AT105" s="611">
        <f t="shared" ca="1" si="76"/>
        <v>0</v>
      </c>
      <c r="AU105" s="611">
        <f t="shared" ca="1" si="77"/>
        <v>0</v>
      </c>
      <c r="AV105" s="611">
        <f t="shared" ca="1" si="78"/>
        <v>0</v>
      </c>
      <c r="AW105" s="611">
        <f t="shared" ca="1" si="79"/>
        <v>0</v>
      </c>
      <c r="AX105" s="611">
        <f t="shared" ca="1" si="80"/>
        <v>0</v>
      </c>
      <c r="AY105" s="611">
        <f t="shared" ca="1" si="81"/>
        <v>0</v>
      </c>
      <c r="AZ105" s="611">
        <f t="shared" ca="1" si="82"/>
        <v>0</v>
      </c>
      <c r="BA105" s="611">
        <f t="shared" ca="1" si="83"/>
        <v>0</v>
      </c>
      <c r="BB105" s="612">
        <f t="shared" ca="1" si="84"/>
        <v>0</v>
      </c>
      <c r="BC105" s="617">
        <f t="shared" si="85"/>
        <v>0</v>
      </c>
      <c r="BD105" s="619">
        <f t="shared" si="86"/>
        <v>0</v>
      </c>
      <c r="BE105" s="346">
        <f>GSh!CN105</f>
        <v>0</v>
      </c>
      <c r="BF105" s="210"/>
      <c r="BG105" s="208">
        <f>GSh!BT105</f>
        <v>0</v>
      </c>
      <c r="BH105" s="209">
        <f>GSh!BU105</f>
        <v>0</v>
      </c>
      <c r="BI105" s="199">
        <f>GSh!AF105</f>
        <v>0</v>
      </c>
      <c r="BJ105" s="199">
        <f>GSh!AG105</f>
        <v>0</v>
      </c>
      <c r="BK105" s="199">
        <f>GSh!AK105</f>
        <v>0</v>
      </c>
      <c r="BL105" s="199">
        <f>GSh!AL105</f>
        <v>0</v>
      </c>
    </row>
    <row r="106" spans="1:64" ht="15.75" hidden="1" customHeight="1" x14ac:dyDescent="0.3">
      <c r="A106" s="266">
        <f t="shared" si="68"/>
        <v>118</v>
      </c>
      <c r="B106" s="267">
        <f>GSh!AN106</f>
        <v>0</v>
      </c>
      <c r="C106" s="263"/>
      <c r="D106" s="263"/>
      <c r="E106" s="772">
        <f>GSh!AR106</f>
        <v>0</v>
      </c>
      <c r="F106" s="338"/>
      <c r="G106" s="505">
        <f>SUMIF(PROD!$BF$5:$BF$725,A106,PROD!$L$5:$L$725)</f>
        <v>0</v>
      </c>
      <c r="H106" s="503"/>
      <c r="I106" s="774">
        <f>GSh!AE106</f>
        <v>0</v>
      </c>
      <c r="J106" s="602">
        <f>GSh!AH106</f>
        <v>0</v>
      </c>
      <c r="K106" s="604"/>
      <c r="L106" s="776">
        <f>GSh!AJ106</f>
        <v>0</v>
      </c>
      <c r="M106" s="340">
        <f>GSh!AM106</f>
        <v>0</v>
      </c>
      <c r="N106" s="501">
        <f t="shared" si="69"/>
        <v>0</v>
      </c>
      <c r="O106" s="336"/>
      <c r="P106" s="776">
        <f>GSh!AU106</f>
        <v>0</v>
      </c>
      <c r="Q106" s="557">
        <f>GSh!AV106</f>
        <v>0</v>
      </c>
      <c r="R106" s="559"/>
      <c r="S106" s="1197"/>
      <c r="T106" s="344"/>
      <c r="U106" s="778">
        <f>GSh!BN106</f>
        <v>0</v>
      </c>
      <c r="V106" s="343">
        <f>GSh!BO106</f>
        <v>0</v>
      </c>
      <c r="W106" s="344"/>
      <c r="X106" s="778">
        <f>GSh!BQ106</f>
        <v>0</v>
      </c>
      <c r="Y106" s="343">
        <f>GSh!BR106</f>
        <v>0</v>
      </c>
      <c r="Z106" s="578">
        <f>LOOKUP($A106,PROD!$A$5:$A$725,PROD!$BE$5:$BE$725)</f>
        <v>0</v>
      </c>
      <c r="AA106" s="780">
        <f>GSh!AZ106</f>
        <v>0</v>
      </c>
      <c r="AB106" s="523">
        <f>GSh!BA106</f>
        <v>0</v>
      </c>
      <c r="AC106" s="581"/>
      <c r="AD106" s="783">
        <f>GSh!BK106/10</f>
        <v>0</v>
      </c>
      <c r="AE106" s="590">
        <f>GSh!BL106</f>
        <v>0</v>
      </c>
      <c r="AF106" s="593">
        <f t="shared" si="70"/>
        <v>0</v>
      </c>
      <c r="AG106" s="584"/>
      <c r="AH106" s="587"/>
      <c r="AI106" s="527"/>
      <c r="AJ106" s="528">
        <f>GSh!BE106</f>
        <v>0</v>
      </c>
      <c r="AK106" s="520">
        <f>GSh!BF106</f>
        <v>0</v>
      </c>
      <c r="AL106" s="532"/>
      <c r="AM106" s="769">
        <f>GSh!BH106</f>
        <v>0</v>
      </c>
      <c r="AN106" s="520">
        <f>GSh!BI106</f>
        <v>0</v>
      </c>
      <c r="AO106" s="610">
        <f t="shared" ca="1" si="71"/>
        <v>0</v>
      </c>
      <c r="AP106" s="611">
        <f t="shared" ca="1" si="72"/>
        <v>0</v>
      </c>
      <c r="AQ106" s="611">
        <f t="shared" ca="1" si="73"/>
        <v>0</v>
      </c>
      <c r="AR106" s="611">
        <f t="shared" ca="1" si="74"/>
        <v>0</v>
      </c>
      <c r="AS106" s="611">
        <f t="shared" ca="1" si="75"/>
        <v>0</v>
      </c>
      <c r="AT106" s="611">
        <f t="shared" ca="1" si="76"/>
        <v>0</v>
      </c>
      <c r="AU106" s="611">
        <f t="shared" ca="1" si="77"/>
        <v>0</v>
      </c>
      <c r="AV106" s="611">
        <f t="shared" ca="1" si="78"/>
        <v>0</v>
      </c>
      <c r="AW106" s="611">
        <f t="shared" ca="1" si="79"/>
        <v>0</v>
      </c>
      <c r="AX106" s="611">
        <f t="shared" ca="1" si="80"/>
        <v>0</v>
      </c>
      <c r="AY106" s="611">
        <f t="shared" ca="1" si="81"/>
        <v>0</v>
      </c>
      <c r="AZ106" s="611">
        <f t="shared" ca="1" si="82"/>
        <v>0</v>
      </c>
      <c r="BA106" s="611">
        <f t="shared" ca="1" si="83"/>
        <v>0</v>
      </c>
      <c r="BB106" s="612">
        <f t="shared" ca="1" si="84"/>
        <v>0</v>
      </c>
      <c r="BC106" s="617">
        <f t="shared" si="85"/>
        <v>0</v>
      </c>
      <c r="BD106" s="619">
        <f t="shared" si="86"/>
        <v>0</v>
      </c>
      <c r="BE106" s="346">
        <f>GSh!CN106</f>
        <v>0</v>
      </c>
      <c r="BF106" s="210"/>
      <c r="BG106" s="208">
        <f>GSh!BT106</f>
        <v>0</v>
      </c>
      <c r="BH106" s="209">
        <f>GSh!BU106</f>
        <v>0</v>
      </c>
      <c r="BI106" s="199">
        <f>GSh!AF106</f>
        <v>0</v>
      </c>
      <c r="BJ106" s="199">
        <f>GSh!AG106</f>
        <v>0</v>
      </c>
      <c r="BK106" s="199">
        <f>GSh!AK106</f>
        <v>0</v>
      </c>
      <c r="BL106" s="199">
        <f>GSh!AL106</f>
        <v>0</v>
      </c>
    </row>
    <row r="107" spans="1:64" ht="15.75" hidden="1" customHeight="1" x14ac:dyDescent="0.3">
      <c r="A107" s="266">
        <f t="shared" si="68"/>
        <v>119</v>
      </c>
      <c r="B107" s="267">
        <f>GSh!AN107</f>
        <v>0</v>
      </c>
      <c r="C107" s="263"/>
      <c r="D107" s="263"/>
      <c r="E107" s="772">
        <f>GSh!AR107</f>
        <v>0</v>
      </c>
      <c r="F107" s="338"/>
      <c r="G107" s="505">
        <f>SUMIF(PROD!$BF$5:$BF$725,A107,PROD!$L$5:$L$725)</f>
        <v>0</v>
      </c>
      <c r="H107" s="503"/>
      <c r="I107" s="774">
        <f>GSh!AE107</f>
        <v>0</v>
      </c>
      <c r="J107" s="602">
        <f>GSh!AH107</f>
        <v>0</v>
      </c>
      <c r="K107" s="604"/>
      <c r="L107" s="776">
        <f>GSh!AJ107</f>
        <v>0</v>
      </c>
      <c r="M107" s="340">
        <f>GSh!AM107</f>
        <v>0</v>
      </c>
      <c r="N107" s="501">
        <f t="shared" si="69"/>
        <v>0</v>
      </c>
      <c r="O107" s="336"/>
      <c r="P107" s="776">
        <f>GSh!AU107</f>
        <v>0</v>
      </c>
      <c r="Q107" s="557">
        <f>GSh!AV107</f>
        <v>0</v>
      </c>
      <c r="R107" s="559"/>
      <c r="S107" s="1197"/>
      <c r="T107" s="344"/>
      <c r="U107" s="778">
        <f>GSh!BN107</f>
        <v>0</v>
      </c>
      <c r="V107" s="343">
        <f>GSh!BO107</f>
        <v>0</v>
      </c>
      <c r="W107" s="344"/>
      <c r="X107" s="778">
        <f>GSh!BQ107</f>
        <v>0</v>
      </c>
      <c r="Y107" s="343">
        <f>GSh!BR107</f>
        <v>0</v>
      </c>
      <c r="Z107" s="578">
        <f>LOOKUP($A107,PROD!$A$5:$A$725,PROD!$BE$5:$BE$725)</f>
        <v>0</v>
      </c>
      <c r="AA107" s="780">
        <f>GSh!AZ107</f>
        <v>0</v>
      </c>
      <c r="AB107" s="523">
        <f>GSh!BA107</f>
        <v>0</v>
      </c>
      <c r="AC107" s="581"/>
      <c r="AD107" s="783">
        <f>GSh!BK107/10</f>
        <v>0</v>
      </c>
      <c r="AE107" s="590">
        <f>GSh!BL107</f>
        <v>0</v>
      </c>
      <c r="AF107" s="593">
        <f t="shared" si="70"/>
        <v>0</v>
      </c>
      <c r="AG107" s="584"/>
      <c r="AH107" s="587"/>
      <c r="AI107" s="527"/>
      <c r="AJ107" s="528">
        <f>GSh!BE107</f>
        <v>0</v>
      </c>
      <c r="AK107" s="520">
        <f>GSh!BF107</f>
        <v>0</v>
      </c>
      <c r="AL107" s="532"/>
      <c r="AM107" s="769">
        <f>GSh!BH107</f>
        <v>0</v>
      </c>
      <c r="AN107" s="520">
        <f>GSh!BI107</f>
        <v>0</v>
      </c>
      <c r="AO107" s="610">
        <f t="shared" ca="1" si="71"/>
        <v>0</v>
      </c>
      <c r="AP107" s="611">
        <f t="shared" ca="1" si="72"/>
        <v>0</v>
      </c>
      <c r="AQ107" s="611">
        <f t="shared" ca="1" si="73"/>
        <v>0</v>
      </c>
      <c r="AR107" s="611">
        <f t="shared" ca="1" si="74"/>
        <v>0</v>
      </c>
      <c r="AS107" s="611">
        <f t="shared" ca="1" si="75"/>
        <v>0</v>
      </c>
      <c r="AT107" s="611">
        <f t="shared" ca="1" si="76"/>
        <v>0</v>
      </c>
      <c r="AU107" s="611">
        <f t="shared" ca="1" si="77"/>
        <v>0</v>
      </c>
      <c r="AV107" s="611">
        <f t="shared" ca="1" si="78"/>
        <v>0</v>
      </c>
      <c r="AW107" s="611">
        <f t="shared" ca="1" si="79"/>
        <v>0</v>
      </c>
      <c r="AX107" s="611">
        <f t="shared" ca="1" si="80"/>
        <v>0</v>
      </c>
      <c r="AY107" s="611">
        <f t="shared" ca="1" si="81"/>
        <v>0</v>
      </c>
      <c r="AZ107" s="611">
        <f t="shared" ca="1" si="82"/>
        <v>0</v>
      </c>
      <c r="BA107" s="611">
        <f t="shared" ca="1" si="83"/>
        <v>0</v>
      </c>
      <c r="BB107" s="612">
        <f t="shared" ca="1" si="84"/>
        <v>0</v>
      </c>
      <c r="BC107" s="617">
        <f t="shared" si="85"/>
        <v>0</v>
      </c>
      <c r="BD107" s="619">
        <f t="shared" si="86"/>
        <v>0</v>
      </c>
      <c r="BE107" s="346">
        <f>GSh!CN107</f>
        <v>0</v>
      </c>
      <c r="BF107" s="210"/>
      <c r="BG107" s="208">
        <f>GSh!BT107</f>
        <v>0</v>
      </c>
      <c r="BH107" s="209">
        <f>GSh!BU107</f>
        <v>0</v>
      </c>
      <c r="BI107" s="199">
        <f>GSh!AF107</f>
        <v>0</v>
      </c>
      <c r="BJ107" s="199">
        <f>GSh!AG107</f>
        <v>0</v>
      </c>
      <c r="BK107" s="199">
        <f>GSh!AK107</f>
        <v>0</v>
      </c>
      <c r="BL107" s="199">
        <f>GSh!AL107</f>
        <v>0</v>
      </c>
    </row>
    <row r="108" spans="1:64" ht="15.75" hidden="1" customHeight="1" thickBot="1" x14ac:dyDescent="0.35">
      <c r="A108" s="268">
        <f t="shared" si="68"/>
        <v>120</v>
      </c>
      <c r="B108" s="269">
        <f>GSh!AN108</f>
        <v>0</v>
      </c>
      <c r="C108" s="263"/>
      <c r="D108" s="263"/>
      <c r="E108" s="772">
        <f>GSh!AR108</f>
        <v>0</v>
      </c>
      <c r="F108" s="338"/>
      <c r="G108" s="506">
        <f>SUMIF(PROD!$BF$5:$BF$725,A108,PROD!$L$5:$L$725)</f>
        <v>0</v>
      </c>
      <c r="H108" s="503"/>
      <c r="I108" s="774">
        <f>GSh!AE108</f>
        <v>0</v>
      </c>
      <c r="J108" s="602">
        <f>GSh!AH108</f>
        <v>0</v>
      </c>
      <c r="K108" s="605"/>
      <c r="L108" s="776">
        <f>GSh!AJ108</f>
        <v>0</v>
      </c>
      <c r="M108" s="340">
        <f>GSh!AM108</f>
        <v>0</v>
      </c>
      <c r="N108" s="501">
        <f t="shared" si="69"/>
        <v>0</v>
      </c>
      <c r="O108" s="336"/>
      <c r="P108" s="776">
        <f>GSh!AU108</f>
        <v>0</v>
      </c>
      <c r="Q108" s="557">
        <f>GSh!AV108</f>
        <v>0</v>
      </c>
      <c r="R108" s="560"/>
      <c r="S108" s="1197"/>
      <c r="T108" s="344"/>
      <c r="U108" s="778">
        <f>GSh!BN108</f>
        <v>0</v>
      </c>
      <c r="V108" s="343">
        <f>GSh!BO108</f>
        <v>0</v>
      </c>
      <c r="W108" s="344"/>
      <c r="X108" s="778">
        <f>GSh!BQ108</f>
        <v>0</v>
      </c>
      <c r="Y108" s="343">
        <f>GSh!BR108</f>
        <v>0</v>
      </c>
      <c r="Z108" s="579">
        <f>LOOKUP($A108,PROD!$A$5:$A$725,PROD!$BE$5:$BE$725)</f>
        <v>0</v>
      </c>
      <c r="AA108" s="781">
        <f>GSh!AZ108</f>
        <v>0</v>
      </c>
      <c r="AB108" s="524">
        <f>GSh!BA108</f>
        <v>0</v>
      </c>
      <c r="AC108" s="582"/>
      <c r="AD108" s="784">
        <f>GSh!BK108/10</f>
        <v>0</v>
      </c>
      <c r="AE108" s="591">
        <f>GSh!BL108</f>
        <v>0</v>
      </c>
      <c r="AF108" s="594">
        <f t="shared" si="70"/>
        <v>0</v>
      </c>
      <c r="AG108" s="585"/>
      <c r="AH108" s="588"/>
      <c r="AI108" s="529"/>
      <c r="AJ108" s="530">
        <f>GSh!BE108</f>
        <v>0</v>
      </c>
      <c r="AK108" s="521">
        <f>GSh!BF108</f>
        <v>0</v>
      </c>
      <c r="AL108" s="533"/>
      <c r="AM108" s="770">
        <f>GSh!BH108</f>
        <v>0</v>
      </c>
      <c r="AN108" s="521">
        <f>GSh!BI108</f>
        <v>0</v>
      </c>
      <c r="AO108" s="613">
        <f t="shared" ca="1" si="71"/>
        <v>0</v>
      </c>
      <c r="AP108" s="614">
        <f t="shared" ca="1" si="72"/>
        <v>0</v>
      </c>
      <c r="AQ108" s="614">
        <f t="shared" ca="1" si="73"/>
        <v>0</v>
      </c>
      <c r="AR108" s="614">
        <f t="shared" ca="1" si="74"/>
        <v>0</v>
      </c>
      <c r="AS108" s="614">
        <f t="shared" ca="1" si="75"/>
        <v>0</v>
      </c>
      <c r="AT108" s="614">
        <f t="shared" ca="1" si="76"/>
        <v>0</v>
      </c>
      <c r="AU108" s="614">
        <f t="shared" ca="1" si="77"/>
        <v>0</v>
      </c>
      <c r="AV108" s="614">
        <f t="shared" ca="1" si="78"/>
        <v>0</v>
      </c>
      <c r="AW108" s="614">
        <f t="shared" ca="1" si="79"/>
        <v>0</v>
      </c>
      <c r="AX108" s="614">
        <f t="shared" ca="1" si="80"/>
        <v>0</v>
      </c>
      <c r="AY108" s="614">
        <f t="shared" ca="1" si="81"/>
        <v>0</v>
      </c>
      <c r="AZ108" s="614">
        <f t="shared" ca="1" si="82"/>
        <v>0</v>
      </c>
      <c r="BA108" s="614">
        <f t="shared" ca="1" si="83"/>
        <v>0</v>
      </c>
      <c r="BB108" s="615">
        <f t="shared" ca="1" si="84"/>
        <v>0</v>
      </c>
      <c r="BC108" s="617">
        <f t="shared" si="85"/>
        <v>0</v>
      </c>
      <c r="BD108" s="619">
        <f t="shared" si="86"/>
        <v>0</v>
      </c>
      <c r="BE108" s="346">
        <f>GSh!CN108</f>
        <v>0</v>
      </c>
      <c r="BF108" s="210"/>
      <c r="BG108" s="208">
        <f>GSh!BT108</f>
        <v>0</v>
      </c>
      <c r="BH108" s="209">
        <f>GSh!BU108</f>
        <v>0</v>
      </c>
      <c r="BI108" s="199">
        <f>GSh!AF108</f>
        <v>0</v>
      </c>
      <c r="BJ108" s="199">
        <f>GSh!AG108</f>
        <v>0</v>
      </c>
      <c r="BK108" s="199">
        <f>GSh!AK108</f>
        <v>0</v>
      </c>
      <c r="BL108" s="199">
        <f>GSh!AL108</f>
        <v>0</v>
      </c>
    </row>
    <row r="109" spans="1:64" ht="15.75" customHeight="1" x14ac:dyDescent="0.3">
      <c r="A109" s="347"/>
      <c r="B109" s="348"/>
      <c r="C109" s="348"/>
      <c r="D109" s="348"/>
      <c r="E109" s="348"/>
      <c r="F109" s="348"/>
      <c r="G109" s="347"/>
      <c r="H109" s="347"/>
      <c r="I109" s="347"/>
      <c r="J109" s="347"/>
      <c r="K109" s="347"/>
      <c r="L109" s="347"/>
      <c r="M109" s="347"/>
      <c r="N109" s="347"/>
      <c r="O109" s="347"/>
      <c r="P109" s="347"/>
      <c r="Q109" s="347"/>
      <c r="R109" s="347"/>
      <c r="S109" s="347"/>
      <c r="T109" s="347"/>
      <c r="U109" s="347"/>
      <c r="V109" s="347"/>
      <c r="W109" s="347"/>
      <c r="X109" s="347"/>
      <c r="Y109" s="347"/>
      <c r="Z109" s="347"/>
      <c r="AA109" s="347"/>
      <c r="AB109" s="347"/>
      <c r="AC109" s="347"/>
      <c r="AD109" s="347"/>
      <c r="AE109" s="347"/>
      <c r="AF109" s="347"/>
      <c r="AG109" s="347"/>
      <c r="AH109" s="347"/>
      <c r="AI109" s="347"/>
      <c r="AJ109" s="347"/>
      <c r="AK109" s="347"/>
      <c r="AL109" s="347"/>
      <c r="AM109" s="347"/>
      <c r="AN109" s="347"/>
      <c r="AO109" s="347"/>
      <c r="AP109" s="347"/>
      <c r="AQ109" s="347"/>
      <c r="AR109" s="347"/>
      <c r="AS109" s="347"/>
      <c r="AT109" s="347"/>
      <c r="AU109" s="347"/>
      <c r="AV109" s="347"/>
      <c r="AW109" s="347"/>
      <c r="AX109" s="347"/>
      <c r="AY109" s="349"/>
      <c r="AZ109" s="349"/>
      <c r="BA109" s="349"/>
      <c r="BB109" s="349"/>
      <c r="BC109" s="349"/>
      <c r="BD109" s="349"/>
      <c r="BE109" s="349"/>
      <c r="BF109" s="212"/>
      <c r="BG109" s="212"/>
      <c r="BH109" s="212"/>
      <c r="BI109" s="252"/>
      <c r="BJ109" s="252"/>
      <c r="BK109" s="252"/>
      <c r="BL109" s="252"/>
    </row>
    <row r="110" spans="1:64" x14ac:dyDescent="0.25">
      <c r="C110" s="211"/>
      <c r="D110" s="211"/>
      <c r="E110" s="211"/>
      <c r="F110" s="211"/>
    </row>
    <row r="111" spans="1:64" hidden="1" x14ac:dyDescent="0.25">
      <c r="C111" s="211"/>
      <c r="D111" s="211"/>
      <c r="E111" s="211"/>
      <c r="F111" s="211"/>
    </row>
    <row r="112" spans="1:64" hidden="1" x14ac:dyDescent="0.25">
      <c r="C112" s="211"/>
      <c r="D112" s="211"/>
      <c r="E112" s="211"/>
      <c r="F112" s="211"/>
    </row>
    <row r="113" spans="3:6" hidden="1" x14ac:dyDescent="0.25">
      <c r="C113" s="211"/>
      <c r="D113" s="211"/>
      <c r="E113" s="211"/>
      <c r="F113" s="211"/>
    </row>
    <row r="114" spans="3:6" hidden="1" x14ac:dyDescent="0.25">
      <c r="C114" s="211"/>
      <c r="D114" s="211"/>
      <c r="E114" s="211"/>
      <c r="F114" s="211"/>
    </row>
    <row r="115" spans="3:6" hidden="1" x14ac:dyDescent="0.25">
      <c r="C115" s="211"/>
      <c r="D115" s="211"/>
      <c r="E115" s="211"/>
      <c r="F115" s="211"/>
    </row>
    <row r="116" spans="3:6" hidden="1" x14ac:dyDescent="0.25">
      <c r="C116" s="211"/>
      <c r="D116" s="211"/>
      <c r="E116" s="211"/>
      <c r="F116" s="211"/>
    </row>
    <row r="117" spans="3:6" hidden="1" x14ac:dyDescent="0.25">
      <c r="C117" s="211"/>
      <c r="D117" s="211"/>
      <c r="E117" s="211"/>
      <c r="F117" s="211"/>
    </row>
    <row r="118" spans="3:6" hidden="1" x14ac:dyDescent="0.25">
      <c r="C118" s="211"/>
      <c r="D118" s="211"/>
      <c r="E118" s="211"/>
      <c r="F118" s="211"/>
    </row>
    <row r="119" spans="3:6" hidden="1" x14ac:dyDescent="0.25">
      <c r="C119" s="211"/>
      <c r="D119" s="211"/>
      <c r="E119" s="211"/>
      <c r="F119" s="211"/>
    </row>
    <row r="120" spans="3:6" hidden="1" x14ac:dyDescent="0.25">
      <c r="C120" s="211"/>
      <c r="D120" s="211"/>
      <c r="E120" s="211"/>
      <c r="F120" s="211"/>
    </row>
    <row r="121" spans="3:6" hidden="1" x14ac:dyDescent="0.25">
      <c r="C121" s="211"/>
      <c r="D121" s="211"/>
      <c r="E121" s="211"/>
      <c r="F121" s="211"/>
    </row>
    <row r="122" spans="3:6" hidden="1" x14ac:dyDescent="0.25">
      <c r="C122" s="211"/>
      <c r="D122" s="211"/>
      <c r="E122" s="211"/>
      <c r="F122" s="211"/>
    </row>
    <row r="123" spans="3:6" hidden="1" x14ac:dyDescent="0.25">
      <c r="C123" s="211"/>
      <c r="D123" s="211"/>
      <c r="E123" s="211"/>
      <c r="F123" s="211"/>
    </row>
    <row r="124" spans="3:6" hidden="1" x14ac:dyDescent="0.25">
      <c r="C124" s="211"/>
      <c r="D124" s="211"/>
      <c r="E124" s="211"/>
      <c r="F124" s="211"/>
    </row>
    <row r="125" spans="3:6" hidden="1" x14ac:dyDescent="0.25">
      <c r="C125" s="211"/>
      <c r="D125" s="211"/>
      <c r="E125" s="211"/>
      <c r="F125" s="211"/>
    </row>
    <row r="126" spans="3:6" hidden="1" x14ac:dyDescent="0.25">
      <c r="C126" s="211"/>
      <c r="D126" s="211"/>
      <c r="E126" s="211"/>
      <c r="F126" s="211"/>
    </row>
    <row r="127" spans="3:6" hidden="1" x14ac:dyDescent="0.25">
      <c r="C127" s="211"/>
      <c r="D127" s="211"/>
      <c r="E127" s="211"/>
      <c r="F127" s="211"/>
    </row>
    <row r="128" spans="3:6" hidden="1" x14ac:dyDescent="0.25">
      <c r="C128" s="211"/>
      <c r="D128" s="211"/>
      <c r="E128" s="211"/>
      <c r="F128" s="211"/>
    </row>
  </sheetData>
  <sheetProtection algorithmName="SHA-512" hashValue="/hy4mK1l+Fsh5Mh5SN1IwjWF6W2itE2EWb7hQTIoFm4EgM4hlmjuzQqOKZ+RO8mFkVFdS/LGBbx6YPklIXMZEw==" saltValue="w3nM9+5mlOS4LHtJBCbboA==" spinCount="100000" sheet="1" objects="1" scenarios="1" formatCells="0" formatRows="0" autoFilter="0" pivotTables="0"/>
  <autoFilter ref="A5:A108" xr:uid="{CD68F912-3030-4FA5-9E67-A36CCE4F79CC}">
    <filterColumn colId="0">
      <filters>
        <filter val="100"/>
        <filter val="18"/>
        <filter val="19"/>
        <filter val="20"/>
        <filter val="21"/>
        <filter val="22"/>
        <filter val="23"/>
        <filter val="24"/>
        <filter val="25"/>
        <filter val="26"/>
        <filter val="27"/>
        <filter val="28"/>
        <filter val="29"/>
        <filter val="30"/>
        <filter val="31"/>
        <filter val="32"/>
        <filter val="33"/>
        <filter val="34"/>
        <filter val="35"/>
        <filter val="36"/>
        <filter val="37"/>
        <filter val="38"/>
        <filter val="39"/>
        <filter val="40"/>
        <filter val="41"/>
        <filter val="42"/>
        <filter val="43"/>
        <filter val="44"/>
        <filter val="45"/>
        <filter val="46"/>
        <filter val="47"/>
        <filter val="48"/>
        <filter val="49"/>
        <filter val="50"/>
        <filter val="51"/>
        <filter val="52"/>
        <filter val="53"/>
        <filter val="54"/>
        <filter val="55"/>
        <filter val="56"/>
        <filter val="57"/>
        <filter val="58"/>
        <filter val="59"/>
        <filter val="60"/>
        <filter val="61"/>
        <filter val="62"/>
        <filter val="63"/>
        <filter val="64"/>
        <filter val="65"/>
        <filter val="66"/>
        <filter val="67"/>
        <filter val="68"/>
        <filter val="69"/>
        <filter val="70"/>
        <filter val="71"/>
        <filter val="72"/>
        <filter val="73"/>
        <filter val="74"/>
        <filter val="75"/>
        <filter val="76"/>
        <filter val="77"/>
        <filter val="78"/>
        <filter val="79"/>
        <filter val="80"/>
        <filter val="81"/>
        <filter val="82"/>
        <filter val="83"/>
        <filter val="84"/>
        <filter val="85"/>
        <filter val="86"/>
        <filter val="87"/>
        <filter val="88"/>
        <filter val="89"/>
        <filter val="90"/>
        <filter val="91"/>
        <filter val="92"/>
        <filter val="93"/>
        <filter val="94"/>
        <filter val="95"/>
        <filter val="96"/>
        <filter val="97"/>
        <filter val="98"/>
        <filter val="99"/>
      </filters>
    </filterColumn>
  </autoFilter>
  <customSheetViews>
    <customSheetView guid="{2AFB78BD-0AA0-48F7-9FB9-7ECB21AAFE3F}" showGridLines="0" outlineSymbols="0" zeroValues="0" fitToPage="1" hiddenRows="1" hiddenColumns="1">
      <pane xSplit="4" ySplit="6" topLeftCell="H7" activePane="bottomRight" state="frozen"/>
      <selection pane="bottomRight" activeCell="J7" sqref="J7"/>
      <pageMargins left="0.31496062992125984" right="0.19685039370078741" top="0.82" bottom="0.6" header="0.35" footer="0.25"/>
      <pageSetup scale="57" fitToHeight="2" orientation="landscape" verticalDpi="300" r:id="rId1"/>
      <headerFooter alignWithMargins="0">
        <oddFooter>&amp;L&amp;"Arial,Normal"&amp;8&amp;F;&amp;A&amp;C&amp;"Arial,Normal"Página&amp;P de &amp;N</oddFooter>
      </headerFooter>
    </customSheetView>
  </customSheetViews>
  <mergeCells count="32">
    <mergeCell ref="BF4:BH4"/>
    <mergeCell ref="AI4:AN4"/>
    <mergeCell ref="BC4:BE4"/>
    <mergeCell ref="AO4:AX4"/>
    <mergeCell ref="AY4:BB4"/>
    <mergeCell ref="Z4:AH4"/>
    <mergeCell ref="D2:F2"/>
    <mergeCell ref="D1:J1"/>
    <mergeCell ref="A4:F4"/>
    <mergeCell ref="I3:J3"/>
    <mergeCell ref="Z1:AC1"/>
    <mergeCell ref="Z2:AC2"/>
    <mergeCell ref="AD1:AH1"/>
    <mergeCell ref="G4:M4"/>
    <mergeCell ref="Z3:AC3"/>
    <mergeCell ref="N4:S4"/>
    <mergeCell ref="AD2:AH2"/>
    <mergeCell ref="AD3:AH3"/>
    <mergeCell ref="T4:Y4"/>
    <mergeCell ref="T1:Y2"/>
    <mergeCell ref="T3:Y3"/>
    <mergeCell ref="AI1:AN1"/>
    <mergeCell ref="AI2:AN2"/>
    <mergeCell ref="AI3:AN3"/>
    <mergeCell ref="G2:J2"/>
    <mergeCell ref="G3:H3"/>
    <mergeCell ref="K1:N1"/>
    <mergeCell ref="K2:N2"/>
    <mergeCell ref="K3:N3"/>
    <mergeCell ref="O1:S1"/>
    <mergeCell ref="O2:S2"/>
    <mergeCell ref="O3:S3"/>
  </mergeCells>
  <phoneticPr fontId="0" type="noConversion"/>
  <conditionalFormatting sqref="A6:BE108">
    <cfRule type="expression" dxfId="6" priority="1">
      <formula>OR($A6=72,$A6=80,$A6=90)</formula>
    </cfRule>
    <cfRule type="expression" dxfId="5" priority="2">
      <formula>AND(INT($A6/5)=$A6/5,OR($D6&gt;0,$H6&gt;0,$O6&gt;0))</formula>
    </cfRule>
  </conditionalFormatting>
  <conditionalFormatting sqref="AF6:AF108">
    <cfRule type="expression" dxfId="3" priority="3">
      <formula>AND($AF6&gt;$AH6)</formula>
    </cfRule>
  </conditionalFormatting>
  <conditionalFormatting sqref="AG6:AG108">
    <cfRule type="expression" dxfId="2" priority="4">
      <formula>AND(AG6&gt;0,AG6&lt;80)</formula>
    </cfRule>
  </conditionalFormatting>
  <dataValidations count="13">
    <dataValidation allowBlank="1" showInputMessage="1" showErrorMessage="1" promptTitle="Para Optimizar Gráficos" prompt="PARA LOGRAR UNA OPTIMA PRESENTACION DE LOS GRAFICOS DE PRODUCCION, NECESITA COPIAR LAS FORMULAS HACIA ABAJO (HASTA LA SEMANA EN QUE HAY INFORMACIÓN) DE LAS CELDAS QUE TIENEN EL SIMBOLO ▼" sqref="K5 O5 BF5 T5 H5 W5" xr:uid="{00000000-0002-0000-0B00-000001000000}"/>
    <dataValidation allowBlank="1" showInputMessage="1" showErrorMessage="1" prompt="Esta herramienta NO reemplaza su SISTEMA CONTABLE._x000a__x000a_Esta herramienta pretende facilitar el cálculo aproximado del Costo de producción de un huevo cada semana, y el precio aproximado de Venta.  " sqref="BC4:BH4" xr:uid="{7EC1EACB-84F9-42F6-B439-49D36C89DB5E}"/>
    <dataValidation allowBlank="1" showInputMessage="1" showErrorMessage="1" promptTitle="Para Optimizar Gráficos" prompt="PARA LOGRAR UNA OPTIMA PRESENTACION EN EL GRÁFICO, DIGITE EL VALOR DEL PESO EN GRAMOS DIVIDO EN 10.  EJ:  SI EL PESO ES 1.950 entonces DIGITE 195" sqref="AC5" xr:uid="{562ACA3D-7B10-4DDF-BDB1-30ECC39D4B22}"/>
    <dataValidation type="custom" allowBlank="1" showInputMessage="1" showErrorMessage="1" sqref="AH6:AH108" xr:uid="{5338D05A-6D7B-46B5-846E-AEF402A590B4}">
      <formula1>AND((AG6+AH6)&lt;=100)</formula1>
    </dataValidation>
    <dataValidation allowBlank="1" showInputMessage="1" showErrorMessage="1" promptTitle="Para Optimizar Gráficos" prompt="SI EN ESTE ARCHIVO, SE HA DIGITADO LA INFORMACIÓN DE CLASIFICACIÓN DE HUEVO, EL PESO DEL HUEVO APARECERÁ AUTOMÁTICAMENTE, PERO SI ESTA INFORMACIÓN NO SE DIGITA, POR FAVOR INGRESE EN ESTA COLUMNA EL PESO PROMEDIO DEL HUEVO CADA SEMANA" sqref="Z5" xr:uid="{E0509074-848A-438B-B303-8F3BE1F0E1F8}"/>
    <dataValidation allowBlank="1" showInputMessage="1" showErrorMessage="1" prompt="DIGITE LA UNIFORMIDAD OBTENIDA.   EN LA COLUMNA UNIF INGRESE LA UNIFORMIDAD CENTRAL" sqref="AG5" xr:uid="{47901773-9124-438E-8D90-299696D30D71}"/>
    <dataValidation allowBlank="1" showInputMessage="1" showErrorMessage="1" prompt="INGRESE EN ESTA COLUMNA EL PORCENTAJE DE AVES QUE SOBRE PASAN EL LÍMITE 10% (+)" sqref="AH5" xr:uid="{9679760E-928A-4355-A540-7176B94CCB85}"/>
    <dataValidation allowBlank="1" showInputMessage="1" showErrorMessage="1" promptTitle="Para optimizar gráficos" prompt="PARA LOGRAR UNA OPTIMA PRESENTACION DE LOS GRAFICOS DE PRODUCCION, NECESITA COPIAR LAS FORMULAS HACIA ABAJO (HASTA LA SEMANA EN QUE HAY INFORMACIÓN) DE LAS CELDAS QUE TIENEN EL SIMBOLO ▼" sqref="AI5" xr:uid="{A52B591A-C721-4944-9FDA-DF4079E36813}"/>
    <dataValidation allowBlank="1" showInputMessage="1" showErrorMessage="1" promptTitle="Optimizar gráficos" prompt="PARA LOGRAR UNA OPTIMA PRESENTACION DE LOS GRAFICOS DE PRODUCCION, NECESITA COPIAR LAS FORMULAS HACIA ABAJO (HASTA LA SEMANA EN QUE HAY INFORMACIÓN) DE LAS CELDAS QUE TIENEN EL SIMBOLO ▼" sqref="AL5 C5:D5" xr:uid="{635B744C-C7D7-4656-8BA0-E7D6BA876466}"/>
    <dataValidation allowBlank="1" showErrorMessage="1" promptTitle="Para Optimizar Gráficos" prompt="PARA LOGRAR UNA OPTIMA PRESENTACION DE LOS GRAFICOS DE PRODUCCION, NECESITA COPIAR LAS FORMULAS HACIA ABAJO (HASTA LA SEMANA EN QUE HAY INFORMACIÓN) DE LAS CELDAS QUE TIENEN EL SIMBOLO ▼" sqref="BC5 T4" xr:uid="{DB75F507-A7CC-48E7-96F5-1DDAAE18667F}"/>
    <dataValidation allowBlank="1" showErrorMessage="1" sqref="BD5" xr:uid="{8B84B619-9612-44F4-879E-F5B505F18879}"/>
    <dataValidation allowBlank="1" showErrorMessage="1" promptTitle="Para Optimizar Gráficos" prompt="PARA LOGRAR OPTIMA PRESENTACION DE LOS GRAFICOS DE PRODUCCION, SOLO NECESITA COPIAR LAS FORMULAS HACIA ABAJO (HASTA LA SEMANA EN QUE HAY INFORMACIÓN) DE LAS CELDAS BAJO EL SIMBOLO ▼" sqref="AO4:BB4" xr:uid="{76C9F7BD-B136-40BF-B918-8944567FF67C}"/>
    <dataValidation allowBlank="1" showInputMessage="1" showErrorMessage="1" prompt="DIGITE PESO EN Gramos DIVIDO EN 10.  EJ:  SI PESO = 1.950 DIGITE 195" sqref="AC6:AC88" xr:uid="{8F8337E6-EF21-4533-ACEA-295F8C71A821}"/>
  </dataValidations>
  <pageMargins left="0.31496062992125984" right="0.19685039370078741" top="0.82" bottom="0.6" header="0.35" footer="0.25"/>
  <pageSetup scale="57" fitToHeight="2" orientation="landscape" verticalDpi="300" r:id="rId2"/>
  <headerFooter alignWithMargins="0">
    <oddFooter>&amp;L&amp;"Arial,Normal"&amp;8&amp;F;&amp;A&amp;C&amp;"Arial,Normal"Página&amp;P de &amp;N</oddFooter>
  </headerFooter>
  <drawing r:id="rId3"/>
  <extLst>
    <ext xmlns:x14="http://schemas.microsoft.com/office/spreadsheetml/2009/9/main" uri="{78C0D931-6437-407d-A8EE-F0AAD7539E65}">
      <x14:conditionalFormattings>
        <x14:conditionalFormatting xmlns:xm="http://schemas.microsoft.com/office/excel/2006/main">
          <x14:cfRule type="cellIs" priority="5" operator="equal" id="{8C8A9EBC-3AB2-47E9-8778-08E199C61B68}">
            <xm:f>Var!$I$2</xm:f>
            <x14:dxf>
              <font>
                <b/>
                <i val="0"/>
                <strike val="0"/>
                <color rgb="FF222E9E"/>
              </font>
              <fill>
                <patternFill patternType="none">
                  <bgColor auto="1"/>
                </patternFill>
              </fill>
            </x14:dxf>
          </x14:cfRule>
          <xm:sqref>O1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BBBC2-F514-4EFA-8404-7A0371ECF73A}">
  <sheetPr codeName="Hoja13"/>
  <dimension ref="A1:K35"/>
  <sheetViews>
    <sheetView showGridLines="0" showRowColHeaders="0" zoomScale="90" zoomScaleNormal="90" workbookViewId="0">
      <pane ySplit="5" topLeftCell="A6" activePane="bottomLeft" state="frozen"/>
      <selection pane="bottomLeft" activeCell="B5" sqref="B5"/>
    </sheetView>
  </sheetViews>
  <sheetFormatPr baseColWidth="10" defaultColWidth="0" defaultRowHeight="12" customHeight="1" zeroHeight="1" x14ac:dyDescent="0.15"/>
  <cols>
    <col min="1" max="1" width="3.5" customWidth="1"/>
    <col min="2" max="2" width="11" customWidth="1"/>
    <col min="3" max="10" width="18.375" customWidth="1"/>
    <col min="11" max="11" width="4.875" customWidth="1"/>
    <col min="12" max="16384" width="11" hidden="1"/>
  </cols>
  <sheetData>
    <row r="1" spans="1:10" ht="16.5" customHeight="1" x14ac:dyDescent="0.15">
      <c r="A1" s="1097"/>
      <c r="B1" s="1097"/>
      <c r="C1" s="1097"/>
      <c r="D1" s="1097"/>
      <c r="E1" s="1097"/>
      <c r="F1" s="1097"/>
      <c r="G1" s="1097"/>
      <c r="H1" s="1097"/>
      <c r="I1" s="1097"/>
      <c r="J1" s="1097"/>
    </row>
    <row r="2" spans="1:10" x14ac:dyDescent="0.15">
      <c r="A2" s="1097"/>
      <c r="B2" s="1097"/>
      <c r="C2" s="1097"/>
      <c r="D2" s="1097"/>
      <c r="E2" s="1097"/>
      <c r="F2" s="1097"/>
      <c r="G2" s="1097"/>
      <c r="H2" s="1097"/>
      <c r="I2" s="1097"/>
      <c r="J2" s="1097"/>
    </row>
    <row r="3" spans="1:10" ht="12.75" thickBot="1" x14ac:dyDescent="0.2">
      <c r="A3" s="1097"/>
      <c r="B3" s="1108">
        <f>GSh!CK108</f>
        <v>0</v>
      </c>
      <c r="C3" s="1097"/>
      <c r="D3" s="1097"/>
      <c r="E3" s="1097"/>
      <c r="F3" s="1097"/>
      <c r="G3" s="1097"/>
      <c r="H3" s="1097"/>
      <c r="I3" s="1097"/>
      <c r="J3" s="1097"/>
    </row>
    <row r="4" spans="1:10" ht="29.25" customHeight="1" x14ac:dyDescent="0.15">
      <c r="A4" s="1097"/>
      <c r="B4" s="1092" t="s">
        <v>0</v>
      </c>
      <c r="C4" s="1093" t="s">
        <v>253</v>
      </c>
      <c r="D4" s="1093" t="s">
        <v>466</v>
      </c>
      <c r="E4" s="1093" t="s">
        <v>246</v>
      </c>
      <c r="F4" s="1094" t="str">
        <f>'Pr-Sem'!V5</f>
        <v>% Cumpl  Gr X H</v>
      </c>
      <c r="G4" s="1094" t="str">
        <f>'Pr-Sem'!S5</f>
        <v>Relación Agua /Alimto</v>
      </c>
      <c r="H4" s="1094" t="str">
        <f>'Pr-Sem'!AB5</f>
        <v>Cumpl Peso Huevo</v>
      </c>
      <c r="I4" s="1094" t="str">
        <f>'Pr-Sem'!AK5</f>
        <v>% Cumpl  Masa Sem Huevo</v>
      </c>
      <c r="J4" s="1095" t="str">
        <f>'Pr-Sem'!AE5</f>
        <v>% Cumpl  Peso Ave Real</v>
      </c>
    </row>
    <row r="5" spans="1:10" ht="24.75" customHeight="1" thickBot="1" x14ac:dyDescent="0.2">
      <c r="A5" s="1097"/>
      <c r="B5" s="1096">
        <f>B3</f>
        <v>0</v>
      </c>
      <c r="C5" s="1099" t="e">
        <f>LOOKUP($B5,'Pr-Sem'!$A$6:$A$108,'Pr-Sem'!$J$6:$J$108)</f>
        <v>#N/A</v>
      </c>
      <c r="D5" s="1100" t="e">
        <f>LOOKUP($B5,'Pr-Sem'!$A$6:$A$108,'Pr-Sem'!$M$6:$M$108)</f>
        <v>#N/A</v>
      </c>
      <c r="E5" s="1101" t="e">
        <f>LOOKUP($B5,'Pr-Sem'!$A$6:$A$108,'Pr-Sem'!$Q$6:$Q$108)</f>
        <v>#N/A</v>
      </c>
      <c r="F5" s="1102" t="e">
        <f>LOOKUP($B5,'Pr-Sem'!$A$6:$A$108,'Pr-Sem'!$V$6:$V$108)</f>
        <v>#N/A</v>
      </c>
      <c r="G5" s="1103" t="e">
        <f>LOOKUP($B5,'Pr-Sem'!$A$6:$A$108,'Pr-Sem'!$S$6:$S$108)</f>
        <v>#N/A</v>
      </c>
      <c r="H5" s="1104" t="e">
        <f>LOOKUP($B5,'Pr-Sem'!$A$6:$A$108,'Pr-Sem'!$AB$6:$AB$108)</f>
        <v>#N/A</v>
      </c>
      <c r="I5" s="1101" t="e">
        <f>LOOKUP($B5,'Pr-Sem'!$A$6:$A$108,'Pr-Sem'!$AK$6:$AK$108)</f>
        <v>#N/A</v>
      </c>
      <c r="J5" s="1105" t="e">
        <f>LOOKUP($B5,'Pr-Sem'!$A$6:$A$108,'Pr-Sem'!$AE$6:$AE$108)</f>
        <v>#N/A</v>
      </c>
    </row>
    <row r="6" spans="1:10" ht="12.75" x14ac:dyDescent="0.15">
      <c r="A6" s="1097"/>
      <c r="B6" s="1097"/>
      <c r="C6" s="1200" t="e">
        <f>LOOKUP($B5,'Pr-Sem'!$A$6:$A$108,'Pr-Sem'!$H$6:$H$108)</f>
        <v>#N/A</v>
      </c>
      <c r="D6" s="1201" t="e">
        <f>LOOKUP($B5,'Pr-Sem'!$A$6:$A$108,'Pr-Sem'!$K$6:$K$108)</f>
        <v>#N/A</v>
      </c>
      <c r="E6" s="1202" t="e">
        <f>LOOKUP($B5,'Pr-Sem'!$A$6:$A$108,'Pr-Sem'!$O$6:$O$108)</f>
        <v>#N/A</v>
      </c>
      <c r="F6" s="1203" t="e">
        <f>LOOKUP($B5,'Pr-Sem'!$A$6:$A$108,'Pr-Sem'!$T$6:$T$108)</f>
        <v>#N/A</v>
      </c>
      <c r="G6" s="1204" t="e">
        <f>LOOKUP($B5,'Pr-Sem'!$A$6:$A$108,'Pr-Sem'!$R$6:$R$108)</f>
        <v>#N/A</v>
      </c>
      <c r="H6" s="1205" t="e">
        <f>LOOKUP($B5,'Pr-Sem'!$A$6:$A$108,'Pr-Sem'!$Z$6:$Z$108)</f>
        <v>#N/A</v>
      </c>
      <c r="I6" s="1205" t="e">
        <f>LOOKUP($B5,'Pr-Sem'!$A$6:$A$108,'Pr-Sem'!$AI$6:$AI$108)</f>
        <v>#N/A</v>
      </c>
      <c r="J6" s="1206" t="e">
        <f>LOOKUP($B5,'Pr-Sem'!$A$6:$A$108,'Pr-Sem'!$AC$6:$AC$108)*10</f>
        <v>#N/A</v>
      </c>
    </row>
    <row r="7" spans="1:10" x14ac:dyDescent="0.15">
      <c r="A7" s="1097"/>
      <c r="B7" s="1097"/>
      <c r="C7" s="1097"/>
      <c r="D7" s="1097"/>
      <c r="E7" s="1097"/>
      <c r="F7" s="1097"/>
      <c r="G7" s="1097"/>
      <c r="H7" s="1097"/>
      <c r="I7" s="1097"/>
      <c r="J7" s="1097"/>
    </row>
    <row r="8" spans="1:10" x14ac:dyDescent="0.15">
      <c r="A8" s="1097"/>
      <c r="B8" s="1097"/>
      <c r="C8" s="1097"/>
      <c r="D8" s="1097"/>
      <c r="E8" s="1097"/>
      <c r="F8" s="1097"/>
      <c r="G8" s="1097"/>
      <c r="H8" s="1097"/>
      <c r="I8" s="1097"/>
      <c r="J8" s="1097"/>
    </row>
    <row r="9" spans="1:10" x14ac:dyDescent="0.15">
      <c r="A9" s="1097"/>
      <c r="B9" s="1097"/>
      <c r="C9" s="1097"/>
      <c r="D9" s="1097"/>
      <c r="E9" s="1097"/>
      <c r="F9" s="1097"/>
      <c r="G9" s="1097"/>
      <c r="H9" s="1097"/>
      <c r="I9" s="1097"/>
      <c r="J9" s="1097"/>
    </row>
    <row r="10" spans="1:10" x14ac:dyDescent="0.15">
      <c r="A10" s="1097"/>
      <c r="B10" s="1097"/>
      <c r="C10" s="1097"/>
      <c r="D10" s="1097"/>
      <c r="E10" s="1097"/>
      <c r="F10" s="1097"/>
      <c r="G10" s="1097"/>
      <c r="H10" s="1097"/>
      <c r="I10" s="1097"/>
      <c r="J10" s="1097"/>
    </row>
    <row r="11" spans="1:10" x14ac:dyDescent="0.15">
      <c r="A11" s="1097"/>
      <c r="B11" s="1097"/>
      <c r="C11" s="1097"/>
      <c r="D11" s="1097"/>
      <c r="E11" s="1097"/>
      <c r="F11" s="1097"/>
      <c r="G11" s="1097"/>
      <c r="H11" s="1097"/>
      <c r="I11" s="1097"/>
      <c r="J11" s="1097"/>
    </row>
    <row r="12" spans="1:10" x14ac:dyDescent="0.15">
      <c r="A12" s="1097"/>
      <c r="B12" s="1097"/>
      <c r="C12" s="1097"/>
      <c r="D12" s="1097"/>
      <c r="E12" s="1097"/>
      <c r="F12" s="1097"/>
      <c r="G12" s="1097"/>
      <c r="H12" s="1097"/>
      <c r="I12" s="1097"/>
      <c r="J12" s="1097"/>
    </row>
    <row r="13" spans="1:10" x14ac:dyDescent="0.15">
      <c r="A13" s="1097"/>
      <c r="B13" s="1097"/>
      <c r="C13" s="1097"/>
      <c r="D13" s="1097"/>
      <c r="E13" s="1097"/>
      <c r="F13" s="1097"/>
      <c r="G13" s="1097"/>
      <c r="H13" s="1097"/>
      <c r="I13" s="1097"/>
      <c r="J13" s="1097"/>
    </row>
    <row r="14" spans="1:10" x14ac:dyDescent="0.15">
      <c r="A14" s="1097"/>
      <c r="B14" s="1097"/>
      <c r="C14" s="1097"/>
      <c r="D14" s="1097"/>
      <c r="E14" s="1097"/>
      <c r="F14" s="1097"/>
      <c r="G14" s="1097"/>
      <c r="H14" s="1097"/>
      <c r="I14" s="1097"/>
      <c r="J14" s="1097"/>
    </row>
    <row r="15" spans="1:10" x14ac:dyDescent="0.15">
      <c r="A15" s="1097"/>
      <c r="B15" s="1097"/>
      <c r="C15" s="1097"/>
      <c r="D15" s="1097"/>
      <c r="E15" s="1097"/>
      <c r="F15" s="1097"/>
      <c r="G15" s="1097"/>
      <c r="H15" s="1097"/>
      <c r="I15" s="1097"/>
      <c r="J15" s="1097"/>
    </row>
    <row r="16" spans="1:10" x14ac:dyDescent="0.15">
      <c r="A16" s="1097"/>
      <c r="B16" s="1097"/>
      <c r="C16" s="1097"/>
      <c r="D16" s="1097"/>
      <c r="E16" s="1097"/>
      <c r="F16" s="1097"/>
      <c r="G16" s="1097"/>
      <c r="H16" s="1097"/>
      <c r="I16" s="1097"/>
      <c r="J16" s="1097"/>
    </row>
    <row r="17" spans="1:11" x14ac:dyDescent="0.15">
      <c r="A17" s="1097"/>
      <c r="B17" s="1097"/>
      <c r="C17" s="1097"/>
      <c r="D17" s="1097"/>
      <c r="E17" s="1097"/>
      <c r="F17" s="1097"/>
      <c r="G17" s="1097"/>
      <c r="H17" s="1097"/>
      <c r="I17" s="1097"/>
      <c r="J17" s="1097"/>
    </row>
    <row r="18" spans="1:11" x14ac:dyDescent="0.15">
      <c r="A18" s="1097"/>
      <c r="B18" s="1097"/>
      <c r="C18" s="1097"/>
      <c r="D18" s="1097"/>
      <c r="E18" s="1097"/>
      <c r="F18" s="1097"/>
      <c r="G18" s="1097"/>
      <c r="H18" s="1097"/>
      <c r="I18" s="1097"/>
      <c r="J18" s="1097"/>
    </row>
    <row r="19" spans="1:11" x14ac:dyDescent="0.15">
      <c r="A19" s="1097"/>
      <c r="B19" s="1097"/>
      <c r="C19" s="1097"/>
      <c r="D19" s="1097"/>
      <c r="E19" s="1097"/>
      <c r="F19" s="1097"/>
      <c r="G19" s="1097"/>
      <c r="H19" s="1097"/>
      <c r="I19" s="1097"/>
      <c r="J19" s="1097"/>
    </row>
    <row r="20" spans="1:11" x14ac:dyDescent="0.15">
      <c r="A20" s="1097"/>
      <c r="B20" s="1097"/>
      <c r="C20" s="1097"/>
      <c r="D20" s="1097"/>
      <c r="E20" s="1097"/>
      <c r="F20" s="1097"/>
      <c r="G20" s="1097"/>
      <c r="H20" s="1097"/>
      <c r="I20" s="1097"/>
      <c r="J20" s="1097"/>
    </row>
    <row r="21" spans="1:11" x14ac:dyDescent="0.15">
      <c r="A21" s="1097"/>
      <c r="B21" s="1097"/>
      <c r="C21" s="1097"/>
      <c r="D21" s="1097"/>
      <c r="E21" s="1097"/>
      <c r="F21" s="1097"/>
      <c r="G21" s="1097"/>
      <c r="H21" s="1097"/>
      <c r="I21" s="1097"/>
      <c r="J21" s="1097"/>
    </row>
    <row r="22" spans="1:11" x14ac:dyDescent="0.15">
      <c r="A22" s="1097"/>
      <c r="B22" s="1097"/>
      <c r="C22" s="1097"/>
      <c r="D22" s="1097"/>
      <c r="E22" s="1097"/>
      <c r="F22" s="1097"/>
      <c r="G22" s="1097"/>
      <c r="H22" s="1097"/>
      <c r="I22" s="1097"/>
      <c r="J22" s="1097"/>
    </row>
    <row r="23" spans="1:11" x14ac:dyDescent="0.15">
      <c r="A23" s="1097"/>
      <c r="B23" s="1097"/>
      <c r="C23" s="1097"/>
      <c r="D23" s="1097"/>
      <c r="E23" s="1097"/>
      <c r="F23" s="1097"/>
      <c r="G23" s="1097"/>
      <c r="H23" s="1097"/>
      <c r="I23" s="1097"/>
      <c r="J23" s="1097"/>
    </row>
    <row r="24" spans="1:11" x14ac:dyDescent="0.15">
      <c r="A24" s="1097"/>
      <c r="B24" s="1097"/>
      <c r="C24" s="1097"/>
      <c r="D24" s="1097"/>
      <c r="E24" s="1097"/>
      <c r="F24" s="1097"/>
      <c r="G24" s="1097"/>
      <c r="H24" s="1097"/>
      <c r="I24" s="1097"/>
      <c r="J24" s="1097"/>
    </row>
    <row r="25" spans="1:11" x14ac:dyDescent="0.15">
      <c r="A25" s="1097"/>
      <c r="B25" s="1097"/>
      <c r="C25" s="1097"/>
      <c r="D25" s="1097"/>
      <c r="E25" s="1097"/>
      <c r="F25" s="1097"/>
      <c r="G25" s="1097"/>
      <c r="H25" s="1097"/>
      <c r="I25" s="1097"/>
      <c r="J25" s="1097"/>
    </row>
    <row r="26" spans="1:11" x14ac:dyDescent="0.15">
      <c r="A26" s="1097"/>
      <c r="B26" s="1097"/>
      <c r="C26" s="1097"/>
      <c r="D26" s="1097"/>
      <c r="E26" s="1097"/>
      <c r="F26" s="1097"/>
      <c r="G26" s="1097"/>
      <c r="H26" s="1097"/>
      <c r="I26" s="1097"/>
      <c r="J26" s="1097"/>
    </row>
    <row r="27" spans="1:11" x14ac:dyDescent="0.15">
      <c r="A27" s="1097"/>
      <c r="B27" s="1097"/>
      <c r="C27" s="1097"/>
      <c r="D27" s="1097"/>
      <c r="E27" s="1097"/>
      <c r="F27" s="1097"/>
      <c r="G27" s="1097"/>
      <c r="H27" s="1097"/>
      <c r="I27" s="1097"/>
      <c r="J27" s="1097"/>
    </row>
    <row r="28" spans="1:11" x14ac:dyDescent="0.15">
      <c r="A28" s="1097"/>
      <c r="B28" s="1097"/>
      <c r="C28" s="1097"/>
      <c r="D28" s="1097"/>
      <c r="E28" s="1097"/>
      <c r="F28" s="1097"/>
      <c r="G28" s="1097"/>
      <c r="H28" s="1097"/>
      <c r="I28" s="1097"/>
      <c r="J28" s="1097"/>
    </row>
    <row r="29" spans="1:11" x14ac:dyDescent="0.15">
      <c r="A29" s="1097"/>
      <c r="B29" s="1097"/>
      <c r="C29" s="1097"/>
      <c r="D29" s="1097"/>
      <c r="E29" s="1097"/>
      <c r="F29" s="1097"/>
      <c r="G29" s="1097"/>
      <c r="H29" s="1097"/>
      <c r="I29" s="1097"/>
      <c r="J29" s="1097"/>
    </row>
    <row r="30" spans="1:11" x14ac:dyDescent="0.15">
      <c r="A30" s="1097"/>
      <c r="B30" s="1097"/>
      <c r="C30" s="1097"/>
      <c r="D30" s="1097"/>
      <c r="E30" s="1097"/>
      <c r="F30" s="1097"/>
      <c r="G30" s="1097"/>
      <c r="H30" s="1097"/>
      <c r="I30" s="1097"/>
      <c r="J30" s="1097"/>
    </row>
    <row r="31" spans="1:11" s="1091" customFormat="1" x14ac:dyDescent="0.15">
      <c r="A31" s="1098"/>
      <c r="B31" s="1098"/>
      <c r="C31" s="1098"/>
      <c r="D31" s="1098"/>
      <c r="E31" s="1098"/>
      <c r="F31" s="1098"/>
      <c r="G31" s="1098"/>
      <c r="H31" s="1098"/>
      <c r="I31" s="1098"/>
      <c r="J31" s="1098"/>
      <c r="K31" s="1098"/>
    </row>
    <row r="32" spans="1:11" s="1091" customFormat="1" x14ac:dyDescent="0.15">
      <c r="A32" s="1098"/>
      <c r="B32" s="1106" t="s">
        <v>467</v>
      </c>
      <c r="C32" s="1107">
        <f>SUBTOTAL(4,'Pr-Sem'!A6:A108)</f>
        <v>100</v>
      </c>
      <c r="D32" s="1098"/>
      <c r="E32" s="1098"/>
      <c r="F32" s="1098"/>
      <c r="G32" s="1098"/>
      <c r="H32" s="1098"/>
      <c r="I32" s="1098"/>
      <c r="J32" s="1098"/>
      <c r="K32" s="1098"/>
    </row>
    <row r="33" spans="1:11" s="1091" customFormat="1" x14ac:dyDescent="0.15">
      <c r="A33" s="1098"/>
      <c r="B33" s="1106" t="s">
        <v>468</v>
      </c>
      <c r="C33" s="1108">
        <f>C32-B5-C34</f>
        <v>99.9</v>
      </c>
      <c r="D33" s="1098"/>
      <c r="E33" s="1098"/>
      <c r="F33" s="1098"/>
      <c r="G33" s="1098"/>
      <c r="H33" s="1098"/>
      <c r="I33" s="1098"/>
      <c r="J33" s="1098"/>
      <c r="K33" s="1098"/>
    </row>
    <row r="34" spans="1:11" s="1091" customFormat="1" x14ac:dyDescent="0.15">
      <c r="A34" s="1098"/>
      <c r="B34" s="1106" t="s">
        <v>469</v>
      </c>
      <c r="C34" s="1108">
        <v>0.1</v>
      </c>
      <c r="D34" s="1098"/>
      <c r="E34" s="1098"/>
      <c r="F34" s="1098"/>
      <c r="G34" s="1098"/>
      <c r="H34" s="1098"/>
      <c r="I34" s="1098"/>
      <c r="J34" s="1098"/>
      <c r="K34" s="1098"/>
    </row>
    <row r="35" spans="1:11" ht="12" customHeight="1" x14ac:dyDescent="0.15">
      <c r="B35" s="1108"/>
      <c r="C35" s="1108"/>
    </row>
  </sheetData>
  <sheetProtection algorithmName="SHA-512" hashValue="ae40m8tWbvU5VFSI5KsKz9AUkyQ5gGXbg5zEg3taznir9+7IcWSSo9bOS9Wt3OF3G7IDpTJ1sQk8MJSud8JdFQ==" saltValue="MC4aZ9iosWB1xg4Jqirx8A==" spinCount="100000" sheet="1" objects="1" scenarios="1"/>
  <conditionalFormatting sqref="C5:J5">
    <cfRule type="expression" dxfId="1" priority="1">
      <formula>OR($A5=72,$A5=80,$A5=90)</formula>
    </cfRule>
    <cfRule type="expression" dxfId="0" priority="2">
      <formula>AND(INT($A5/5)=$A5/5)</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Scroll Bar 1">
              <controlPr defaultSize="0" autoPict="0" altText="DESLIZADOR PARA DETALLAR INFORMACIÓN POR EDAD EN SEMANAS">
                <anchor moveWithCells="1">
                  <from>
                    <xdr:col>1</xdr:col>
                    <xdr:colOff>9525</xdr:colOff>
                    <xdr:row>0</xdr:row>
                    <xdr:rowOff>47625</xdr:rowOff>
                  </from>
                  <to>
                    <xdr:col>9</xdr:col>
                    <xdr:colOff>1371600</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138C5-C3AE-4A7D-9C20-B16238B4323C}">
  <sheetPr codeName="Hoja7"/>
  <dimension ref="A1:AC730"/>
  <sheetViews>
    <sheetView showGridLines="0" showRowColHeaders="0" showZeros="0" zoomScaleNormal="100" zoomScaleSheetLayoutView="75" workbookViewId="0">
      <pane xSplit="1" ySplit="3" topLeftCell="B4" activePane="bottomRight" state="frozen"/>
      <selection pane="topRight" activeCell="B1" sqref="B1"/>
      <selection pane="bottomLeft" activeCell="A6" sqref="A6"/>
      <selection pane="bottomRight" activeCell="C1" sqref="C1"/>
    </sheetView>
  </sheetViews>
  <sheetFormatPr baseColWidth="10" defaultColWidth="0" defaultRowHeight="0" customHeight="1" zeroHeight="1" x14ac:dyDescent="0.15"/>
  <cols>
    <col min="1" max="1" width="6.25" style="351" bestFit="1" customWidth="1"/>
    <col min="2" max="2" width="29.625" style="351" customWidth="1"/>
    <col min="3" max="3" width="13.125" style="351" customWidth="1"/>
    <col min="4" max="4" width="13.625" style="351" customWidth="1"/>
    <col min="5" max="5" width="12" style="351" customWidth="1"/>
    <col min="6" max="6" width="7.125" style="351" bestFit="1" customWidth="1"/>
    <col min="7" max="7" width="26.75" style="351" customWidth="1"/>
    <col min="8" max="10" width="11.5" style="351" customWidth="1"/>
    <col min="11" max="11" width="6.875" style="351" customWidth="1"/>
    <col min="12" max="12" width="21.875" style="351" bestFit="1" customWidth="1"/>
    <col min="13" max="15" width="11.5" style="351" customWidth="1"/>
    <col min="16" max="16" width="7.125" style="351" customWidth="1"/>
    <col min="17" max="17" width="9.75" style="351" customWidth="1"/>
    <col min="18" max="18" width="7.625" style="351" customWidth="1"/>
    <col min="19" max="19" width="8.125" style="351" customWidth="1"/>
    <col min="20" max="20" width="8.5" style="351" customWidth="1"/>
    <col min="21" max="21" width="9.625" style="351" customWidth="1"/>
    <col min="22" max="22" width="7.75" style="351" customWidth="1"/>
    <col min="23" max="23" width="9.375" style="351" customWidth="1"/>
    <col min="24" max="24" width="8.625" style="351" customWidth="1"/>
    <col min="25" max="25" width="12.75" style="351" customWidth="1"/>
    <col min="26" max="26" width="8.75" style="351" customWidth="1"/>
    <col min="27" max="27" width="9.375" style="351" customWidth="1"/>
    <col min="28" max="28" width="8.625" style="351" customWidth="1"/>
    <col min="29" max="29" width="11.5" style="351" customWidth="1"/>
    <col min="30" max="16384" width="11.5" style="351" hidden="1"/>
  </cols>
  <sheetData>
    <row r="1" spans="1:28" ht="15" customHeight="1" x14ac:dyDescent="0.3">
      <c r="A1" s="2313" t="s">
        <v>0</v>
      </c>
      <c r="B1" s="350" t="s">
        <v>311</v>
      </c>
      <c r="C1" s="718">
        <f>CostosLev!A20</f>
        <v>0</v>
      </c>
      <c r="D1" s="2315" t="s">
        <v>310</v>
      </c>
      <c r="E1" s="2316"/>
      <c r="F1" s="2316"/>
      <c r="G1" s="2316"/>
      <c r="H1" s="2316"/>
      <c r="I1" s="2316"/>
      <c r="J1" s="2316"/>
      <c r="K1" s="2316"/>
      <c r="L1" s="2316"/>
      <c r="M1" s="2316"/>
      <c r="N1" s="2316"/>
      <c r="O1" s="2316"/>
      <c r="P1" s="2317"/>
      <c r="Q1" s="2321" t="s">
        <v>322</v>
      </c>
      <c r="R1" s="2322"/>
      <c r="S1" s="2322"/>
      <c r="T1" s="2322"/>
      <c r="U1" s="2322"/>
      <c r="V1" s="2322"/>
      <c r="W1" s="2322"/>
      <c r="X1" s="2322"/>
      <c r="Y1" s="2322"/>
      <c r="Z1" s="2322"/>
      <c r="AA1" s="2322"/>
      <c r="AB1" s="2323"/>
    </row>
    <row r="2" spans="1:28" ht="14.25" customHeight="1" x14ac:dyDescent="0.2">
      <c r="A2" s="2313"/>
      <c r="B2" s="354">
        <v>80</v>
      </c>
      <c r="C2" s="719">
        <f>C1*0.4</f>
        <v>0</v>
      </c>
      <c r="D2" s="2318"/>
      <c r="E2" s="2319"/>
      <c r="F2" s="2319"/>
      <c r="G2" s="2319"/>
      <c r="H2" s="2319"/>
      <c r="I2" s="2319"/>
      <c r="J2" s="2319"/>
      <c r="K2" s="2319"/>
      <c r="L2" s="2319"/>
      <c r="M2" s="2319"/>
      <c r="N2" s="2319"/>
      <c r="O2" s="2319"/>
      <c r="P2" s="2320"/>
      <c r="Q2" s="2324" t="s">
        <v>375</v>
      </c>
      <c r="R2" s="2325"/>
      <c r="S2" s="2325"/>
      <c r="T2" s="2325"/>
      <c r="U2" s="2326" t="s">
        <v>376</v>
      </c>
      <c r="V2" s="2325"/>
      <c r="W2" s="2325"/>
      <c r="X2" s="2327"/>
      <c r="Y2" s="2328" t="s">
        <v>377</v>
      </c>
      <c r="Z2" s="2329"/>
      <c r="AA2" s="2329"/>
      <c r="AB2" s="2330"/>
    </row>
    <row r="3" spans="1:28" ht="30.75" thickBot="1" x14ac:dyDescent="0.2">
      <c r="A3" s="2314"/>
      <c r="B3" s="355" t="s">
        <v>312</v>
      </c>
      <c r="C3" s="356" t="s">
        <v>313</v>
      </c>
      <c r="D3" s="357" t="s">
        <v>314</v>
      </c>
      <c r="E3" s="358" t="s">
        <v>315</v>
      </c>
      <c r="F3" s="359" t="s">
        <v>316</v>
      </c>
      <c r="G3" s="360" t="str">
        <f>$B$3</f>
        <v>Item</v>
      </c>
      <c r="H3" s="356" t="str">
        <f>$C$3</f>
        <v>Valor ($)</v>
      </c>
      <c r="I3" s="357" t="str">
        <f>$D$3</f>
        <v>Valor Semana ($)</v>
      </c>
      <c r="J3" s="358" t="str">
        <f>$E$3</f>
        <v>Costo Huevo Sem X Item</v>
      </c>
      <c r="K3" s="359" t="str">
        <f>$F$3</f>
        <v>% Costo</v>
      </c>
      <c r="L3" s="360" t="str">
        <f>$B$3</f>
        <v>Item</v>
      </c>
      <c r="M3" s="356" t="str">
        <f>$C$3</f>
        <v>Valor ($)</v>
      </c>
      <c r="N3" s="357" t="str">
        <f>$D$3</f>
        <v>Valor Semana ($)</v>
      </c>
      <c r="O3" s="358" t="str">
        <f>$E$3</f>
        <v>Costo Huevo Sem X Item</v>
      </c>
      <c r="P3" s="359" t="str">
        <f>$F$3</f>
        <v>% Costo</v>
      </c>
      <c r="Q3" s="361" t="s">
        <v>318</v>
      </c>
      <c r="R3" s="362" t="s">
        <v>319</v>
      </c>
      <c r="S3" s="362" t="s">
        <v>320</v>
      </c>
      <c r="T3" s="363" t="s">
        <v>321</v>
      </c>
      <c r="U3" s="364" t="str">
        <f t="shared" ref="U3:AB3" si="0">Q3</f>
        <v>Tipo  Huevo</v>
      </c>
      <c r="V3" s="362" t="str">
        <f t="shared" si="0"/>
        <v>$ Sem Venta</v>
      </c>
      <c r="W3" s="362" t="str">
        <f t="shared" si="0"/>
        <v>Cant. Sem</v>
      </c>
      <c r="X3" s="365" t="str">
        <f t="shared" si="0"/>
        <v>% Part</v>
      </c>
      <c r="Y3" s="364" t="str">
        <f t="shared" si="0"/>
        <v>Tipo  Huevo</v>
      </c>
      <c r="Z3" s="362" t="str">
        <f t="shared" si="0"/>
        <v>$ Sem Venta</v>
      </c>
      <c r="AA3" s="362" t="str">
        <f t="shared" si="0"/>
        <v>Cant. Sem</v>
      </c>
      <c r="AB3" s="489" t="str">
        <f t="shared" si="0"/>
        <v>% Part</v>
      </c>
    </row>
    <row r="4" spans="1:28" ht="15.75" x14ac:dyDescent="0.3">
      <c r="A4" s="2300">
        <f>PROD!A5</f>
        <v>18</v>
      </c>
      <c r="B4" s="366" t="str">
        <f>CONCATENATE(Var!C2," ",Iniciar!C25)</f>
        <v>ALIMENTO Kilos</v>
      </c>
      <c r="C4" s="435">
        <f>LOOKUP($A4,PROD!$A$5:$A$725,PROD!$AH$10:$AH$730)</f>
        <v>0</v>
      </c>
      <c r="D4" s="368">
        <f>C4*LOOKUP($A4,'Pr-Sem'!$A$6:$A$108,'Pr-Sem'!$N$6:$N$108)/(PROD!$A$1/1000)</f>
        <v>0</v>
      </c>
      <c r="E4" s="369">
        <f>IFERROR(D4/SUM(PROD!L5:L11),0)</f>
        <v>0</v>
      </c>
      <c r="F4" s="370">
        <f>IFERROR(E4/SUM(E4:E10,J4:J10,O4:O9),0)</f>
        <v>0</v>
      </c>
      <c r="G4" s="371" t="str">
        <f>Var!C5</f>
        <v>Honorarios</v>
      </c>
      <c r="H4" s="367"/>
      <c r="I4" s="372">
        <f t="shared" ref="I4:I67" si="1">H4*12/52</f>
        <v>0</v>
      </c>
      <c r="J4" s="369">
        <f>IFERROR(I4/SUM(PROD!L5:L11),0)</f>
        <v>0</v>
      </c>
      <c r="K4" s="370">
        <f>IFERROR(J4/SUM(E4:E10,J4:J10,O4:O9),0)</f>
        <v>0</v>
      </c>
      <c r="L4" s="371" t="str">
        <f>Var!C12</f>
        <v>Gastos de Viaje</v>
      </c>
      <c r="M4" s="367"/>
      <c r="N4" s="372">
        <f>M4*12/52</f>
        <v>0</v>
      </c>
      <c r="O4" s="369">
        <f>IFERROR(N4/SUM(PROD!L5:L11),0)</f>
        <v>0</v>
      </c>
      <c r="P4" s="370">
        <f>IFERROR(O4/SUM(E4:E10,J4:J10,O4:O9),0)</f>
        <v>0</v>
      </c>
      <c r="Q4" s="373" t="str">
        <f>PROD!$AM$4</f>
        <v>AAAA</v>
      </c>
      <c r="R4" s="374"/>
      <c r="S4" s="869">
        <f>SUM(PROD!AM5:AM11)</f>
        <v>0</v>
      </c>
      <c r="T4" s="375">
        <f>IF(AA4&gt;0,S4/AA4,0)</f>
        <v>0</v>
      </c>
      <c r="U4" s="376" t="str">
        <f>PROD!AW$4</f>
        <v>Prob Color</v>
      </c>
      <c r="V4" s="374"/>
      <c r="W4" s="869">
        <f>SUM(PROD!AW5:AW11)</f>
        <v>0</v>
      </c>
      <c r="X4" s="375">
        <f>IFERROR(W4/(AA9-AA7),0)</f>
        <v>0</v>
      </c>
      <c r="Y4" s="377" t="s">
        <v>323</v>
      </c>
      <c r="Z4" s="378">
        <f>SUMPRODUCT(R4:R10,T4:T10)</f>
        <v>0</v>
      </c>
      <c r="AA4" s="379">
        <f>SUM(S4:S10)</f>
        <v>0</v>
      </c>
      <c r="AB4" s="490">
        <f>IF(AA9&gt;0,AA4/AA9,0)</f>
        <v>0</v>
      </c>
    </row>
    <row r="5" spans="1:28" ht="15.75" x14ac:dyDescent="0.3">
      <c r="A5" s="2301"/>
      <c r="B5" s="380" t="str">
        <f>Var!C14</f>
        <v>Amortización de Aves</v>
      </c>
      <c r="C5" s="457">
        <f>C1-C2</f>
        <v>0</v>
      </c>
      <c r="D5" s="458">
        <f>SUM(PROD!L5:L11)*E5</f>
        <v>0</v>
      </c>
      <c r="E5" s="459">
        <f>IFERROR(($C$1-$C$2)/(LOOKUP($B$2,'Pr-Sem'!$A$6:$A$108,'Pr-Sem'!$L$6:$L$108)*(LOOKUP(INVENTARIOS!$A4,'Pr-Sem'!$A$6:$A$108,'Pr-Sem'!$L$6:$L$108)/LOOKUP(INVENTARIOS!$A4,'Pr-Sem'!$A$6:$A$108,'Pr-Sem'!$K$6:$K$108))),0)</f>
        <v>0</v>
      </c>
      <c r="F5" s="384">
        <f>IFERROR(E5/SUM(E4:E10,J4:J10,O4:O9),0)</f>
        <v>0</v>
      </c>
      <c r="G5" s="385" t="str">
        <f>Var!C6</f>
        <v>Impuestos</v>
      </c>
      <c r="H5" s="386"/>
      <c r="I5" s="387">
        <f t="shared" si="1"/>
        <v>0</v>
      </c>
      <c r="J5" s="383">
        <f>IFERROR(I5/SUM(PROD!L5:L11),0)</f>
        <v>0</v>
      </c>
      <c r="K5" s="384">
        <f>IFERROR(J5/SUM(E4:E10,J4:J10,O4:O9),0)</f>
        <v>0</v>
      </c>
      <c r="L5" s="388" t="str">
        <f>Var!C13</f>
        <v>Depreciaciones</v>
      </c>
      <c r="M5" s="389"/>
      <c r="N5" s="390">
        <f>M5*12/52</f>
        <v>0</v>
      </c>
      <c r="O5" s="383">
        <f>IFERROR(N5/SUM(PROD!L5:L11),0)</f>
        <v>0</v>
      </c>
      <c r="P5" s="384">
        <f>IFERROR(O5/SUM(E4:E10,J4:J10,O4:O9),0)</f>
        <v>0</v>
      </c>
      <c r="Q5" s="491" t="s">
        <v>216</v>
      </c>
      <c r="R5" s="392"/>
      <c r="S5" s="870">
        <f>SUM(PROD!AN5:AN11)</f>
        <v>0</v>
      </c>
      <c r="T5" s="492">
        <f>IF(AA4&gt;0,S5/AA4,0)</f>
        <v>0</v>
      </c>
      <c r="U5" s="493" t="str">
        <f>PROD!AX$4</f>
        <v>Prob Cásc</v>
      </c>
      <c r="V5" s="392"/>
      <c r="W5" s="870">
        <f>SUM(PROD!AX5:AX11)</f>
        <v>0</v>
      </c>
      <c r="X5" s="492">
        <f>IFERROR(W5/(AA9-AA7),0)</f>
        <v>0</v>
      </c>
      <c r="Y5" s="395" t="s">
        <v>324</v>
      </c>
      <c r="Z5" s="396">
        <f>IFERROR(SUMPRODUCT(V4:V7,W4:W7)/SUM(W4:W7),0)</f>
        <v>0</v>
      </c>
      <c r="AA5" s="397">
        <f>SUM(W4:W7)</f>
        <v>0</v>
      </c>
      <c r="AB5" s="494">
        <f>IF(AA9&gt;0,AA5/AA9,0)</f>
        <v>0</v>
      </c>
    </row>
    <row r="6" spans="1:28" ht="15.75" x14ac:dyDescent="0.3">
      <c r="A6" s="2301"/>
      <c r="B6" s="399" t="str">
        <f>Var!C17</f>
        <v>Bandeja</v>
      </c>
      <c r="C6" s="400"/>
      <c r="D6" s="387">
        <f>C6*SUM(INVENTARIOS!R4:R10)</f>
        <v>0</v>
      </c>
      <c r="E6" s="383">
        <f>IFERROR(D6/SUM(PROD!L5:L11),0)</f>
        <v>0</v>
      </c>
      <c r="F6" s="384">
        <f>IFERROR(E6/SUM(E4:E10,J4:J10,O4:O9),0)</f>
        <v>0</v>
      </c>
      <c r="G6" s="388" t="str">
        <f>Var!C7</f>
        <v>Arrendamientos</v>
      </c>
      <c r="H6" s="401"/>
      <c r="I6" s="390">
        <f t="shared" si="1"/>
        <v>0</v>
      </c>
      <c r="J6" s="383">
        <f>IFERROR(I6/SUM(PROD!L5:L11),0)</f>
        <v>0</v>
      </c>
      <c r="K6" s="384">
        <f>IFERROR(J6/SUM(E4:E10,J4:J10,O4:O9),0)</f>
        <v>0</v>
      </c>
      <c r="L6" s="388" t="str">
        <f>Var!C15</f>
        <v>Diversos</v>
      </c>
      <c r="M6" s="389"/>
      <c r="N6" s="390">
        <f>M6*12/52</f>
        <v>0</v>
      </c>
      <c r="O6" s="383">
        <f>IFERROR(N6/SUM(PROD!L5:L11),0)</f>
        <v>0</v>
      </c>
      <c r="P6" s="384">
        <f>IFERROR(O6/SUM(E4:E10,J4:J10,O4:O9),0)</f>
        <v>0</v>
      </c>
      <c r="Q6" s="491" t="s">
        <v>3</v>
      </c>
      <c r="R6" s="392"/>
      <c r="S6" s="870">
        <f>SUM(PROD!AO5:AO11)</f>
        <v>0</v>
      </c>
      <c r="T6" s="492">
        <f>IF(AA4&gt;0,S6/AA4,0)</f>
        <v>0</v>
      </c>
      <c r="U6" s="493" t="str">
        <f>PROD!AY$4</f>
        <v>Vencido</v>
      </c>
      <c r="V6" s="392"/>
      <c r="W6" s="870">
        <f>SUM(PROD!AY5:AY11)</f>
        <v>0</v>
      </c>
      <c r="X6" s="492">
        <f>IFERROR(W6/(AA9-AA7),0)</f>
        <v>0</v>
      </c>
      <c r="Y6" s="402" t="s">
        <v>391</v>
      </c>
      <c r="Z6" s="456">
        <v>0</v>
      </c>
      <c r="AA6" s="720"/>
      <c r="AB6" s="495">
        <f>IF(AA9&gt;0,AA6/AA9,0)</f>
        <v>0</v>
      </c>
    </row>
    <row r="7" spans="1:28" ht="15.75" x14ac:dyDescent="0.3">
      <c r="A7" s="2301"/>
      <c r="B7" s="403" t="str">
        <f>Var!C18</f>
        <v>Mortalidad Aves</v>
      </c>
      <c r="C7" s="401">
        <f>IF(A4&lt;=$B$2,C5+$C$2,0)</f>
        <v>0</v>
      </c>
      <c r="D7" s="390">
        <f>C7*SUM(PROD!D5:D11)</f>
        <v>0</v>
      </c>
      <c r="E7" s="383">
        <f>IFERROR(D7/SUM(PROD!L5:L11),0)</f>
        <v>0</v>
      </c>
      <c r="F7" s="384">
        <f>IFERROR(E7/SUM(E4:E10,J4:J10,O4:O9),0)</f>
        <v>0</v>
      </c>
      <c r="G7" s="388" t="str">
        <f>Var!C8</f>
        <v>Servicios Públicos</v>
      </c>
      <c r="H7" s="401"/>
      <c r="I7" s="390">
        <f t="shared" si="1"/>
        <v>0</v>
      </c>
      <c r="J7" s="383">
        <f>IFERROR(I7/SUM(PROD!L5:L11),0)</f>
        <v>0</v>
      </c>
      <c r="K7" s="384">
        <f>IFERROR(J7/SUM(E4:E10,J4:J10,O4:O9),0)</f>
        <v>0</v>
      </c>
      <c r="L7" s="388" t="s">
        <v>471</v>
      </c>
      <c r="M7" s="389"/>
      <c r="N7" s="404">
        <f>M7*0.230769230769231</f>
        <v>0</v>
      </c>
      <c r="O7" s="383">
        <f>IFERROR(N7/SUM(PROD!L5:L11),0)</f>
        <v>0</v>
      </c>
      <c r="P7" s="384">
        <f>IFERROR(O7/SUM(E4:E10,J4:J10,O4:O9),0)</f>
        <v>0</v>
      </c>
      <c r="Q7" s="491" t="s">
        <v>4</v>
      </c>
      <c r="R7" s="392"/>
      <c r="S7" s="870">
        <f>SUM(PROD!AP5:AP11)</f>
        <v>0</v>
      </c>
      <c r="T7" s="492">
        <f>IF(AA4&gt;0,S7/AA4,0)</f>
        <v>0</v>
      </c>
      <c r="U7" s="405" t="str">
        <f>PROD!$AZ$4</f>
        <v>Roto</v>
      </c>
      <c r="V7" s="406"/>
      <c r="W7" s="872">
        <f>SUM(PROD!AZ5:AZ11)</f>
        <v>0</v>
      </c>
      <c r="X7" s="407">
        <f>IFERROR(W7/(AA9-AA7),0)</f>
        <v>0</v>
      </c>
      <c r="Y7" s="408" t="s">
        <v>359</v>
      </c>
      <c r="Z7" s="409"/>
      <c r="AA7" s="410">
        <f>SUM(PROD!L5:L11)-SUM(W4:W10)-SUM(S4:S10)-AA6</f>
        <v>0</v>
      </c>
      <c r="AB7" s="496">
        <f>IF(AA9&gt;0,AA7/AA9,0)</f>
        <v>0</v>
      </c>
    </row>
    <row r="8" spans="1:28" ht="15.75" x14ac:dyDescent="0.3">
      <c r="A8" s="2301"/>
      <c r="B8" s="380" t="str">
        <f>Var!C3</f>
        <v>Materia Prima (Carb Ca, etc.)</v>
      </c>
      <c r="C8" s="386"/>
      <c r="D8" s="387">
        <f>C8*12/52</f>
        <v>0</v>
      </c>
      <c r="E8" s="383">
        <f>IFERROR(D8/SUM(PROD!L5:L11),0)</f>
        <v>0</v>
      </c>
      <c r="F8" s="384">
        <f>IFERROR(E8/SUM(E4:E10,J4:J10,O4:O9),0)</f>
        <v>0</v>
      </c>
      <c r="G8" s="411" t="str">
        <f>Var!C9</f>
        <v>Gastos Legales</v>
      </c>
      <c r="H8" s="401"/>
      <c r="I8" s="390">
        <f t="shared" si="1"/>
        <v>0</v>
      </c>
      <c r="J8" s="383">
        <f>IFERROR(I8/SUM(PROD!L5:L11),0)</f>
        <v>0</v>
      </c>
      <c r="K8" s="384">
        <f>IFERROR(J8/SUM(E4:E10,J4:J10,O4:O9),0)</f>
        <v>0</v>
      </c>
      <c r="L8" s="388" t="s">
        <v>472</v>
      </c>
      <c r="M8" s="389"/>
      <c r="N8" s="404">
        <f>M8*0.230769230769231</f>
        <v>0</v>
      </c>
      <c r="O8" s="383">
        <f>IFERROR(N8/SUM(PROD!L5:L11),0)</f>
        <v>0</v>
      </c>
      <c r="P8" s="384">
        <f>IFERROR(O8/SUM(E4:E10,J4:J10,O4:O9),0)</f>
        <v>0</v>
      </c>
      <c r="Q8" s="491" t="s">
        <v>5</v>
      </c>
      <c r="R8" s="392"/>
      <c r="S8" s="870">
        <f>SUM(PROD!AQ5:AQ11)</f>
        <v>0</v>
      </c>
      <c r="T8" s="492">
        <f>IF(AA4&gt;0,S8/AA4,0)</f>
        <v>0</v>
      </c>
      <c r="U8" s="395" t="str">
        <f>PROD!$AT$4</f>
        <v>Rev. Gr.</v>
      </c>
      <c r="V8" s="412"/>
      <c r="W8" s="873">
        <f>SUM(PROD!AT5:AT11)</f>
        <v>0</v>
      </c>
      <c r="X8" s="413">
        <f>IFERROR(W8/(AA9-AA7),0)</f>
        <v>0</v>
      </c>
      <c r="Y8" s="414" t="s">
        <v>262</v>
      </c>
      <c r="Z8" s="415">
        <f>IFERROR(SUMPRODUCT(V8:V10,W8:W10)/SUM(W8:W10),0)</f>
        <v>0</v>
      </c>
      <c r="AA8" s="416">
        <f>SUM(W8:W10)</f>
        <v>0</v>
      </c>
      <c r="AB8" s="497">
        <f>IF(AA9&gt;0,AA8/AA9,0)</f>
        <v>0</v>
      </c>
    </row>
    <row r="9" spans="1:28" ht="15.75" x14ac:dyDescent="0.3">
      <c r="A9" s="2301"/>
      <c r="B9" s="380" t="str">
        <f>Var!C16</f>
        <v>Vacunas y medicamentos</v>
      </c>
      <c r="C9" s="417"/>
      <c r="D9" s="387">
        <f>C9*12/52</f>
        <v>0</v>
      </c>
      <c r="E9" s="383">
        <f>IFERROR(D9/SUM(PROD!L5:L11),0)</f>
        <v>0</v>
      </c>
      <c r="F9" s="384">
        <f>IFERROR(E9/SUM(E4:E10,J4:J10,O4:O9),0)</f>
        <v>0</v>
      </c>
      <c r="G9" s="388" t="str">
        <f>Var!C10</f>
        <v>Mantenimiento y Reparaciones</v>
      </c>
      <c r="H9" s="401"/>
      <c r="I9" s="390">
        <f t="shared" si="1"/>
        <v>0</v>
      </c>
      <c r="J9" s="383">
        <f>IFERROR(I9/SUM(PROD!L5:L11),0)</f>
        <v>0</v>
      </c>
      <c r="K9" s="384">
        <f>IFERROR(J9/SUM(E4:E10,J4:J10,O4:O9),0)</f>
        <v>0</v>
      </c>
      <c r="L9" s="388">
        <f>Var!C21</f>
        <v>0</v>
      </c>
      <c r="M9" s="389"/>
      <c r="N9" s="404">
        <f>M9*0.230769230769231</f>
        <v>0</v>
      </c>
      <c r="O9" s="383">
        <f>IFERROR(N9/SUM(PROD!L5:L11),0)</f>
        <v>0</v>
      </c>
      <c r="P9" s="384">
        <f>IFERROR(O9/SUM(E4:E10,J4:J10,O4:O9),0)</f>
        <v>0</v>
      </c>
      <c r="Q9" s="491" t="s">
        <v>6</v>
      </c>
      <c r="R9" s="392"/>
      <c r="S9" s="870">
        <f>SUM(PROD!AR5:AR11)</f>
        <v>0</v>
      </c>
      <c r="T9" s="492">
        <f>IF(AA4&gt;0,S9/AA4,0)</f>
        <v>0</v>
      </c>
      <c r="U9" s="493" t="str">
        <f>PROD!$AU$4</f>
        <v>Rev. Med</v>
      </c>
      <c r="V9" s="392"/>
      <c r="W9" s="870">
        <f>SUM(PROD!AU5:AU11)</f>
        <v>0</v>
      </c>
      <c r="X9" s="498">
        <f>IFERROR(W9/(AA9-AA7),0)</f>
        <v>0</v>
      </c>
      <c r="Y9" s="2303" t="s">
        <v>325</v>
      </c>
      <c r="Z9" s="2334">
        <f>SUMPRODUCT(Z4:Z8,AB4:AB8)</f>
        <v>0</v>
      </c>
      <c r="AA9" s="2336">
        <f>SUM(AA4:AA7)</f>
        <v>0</v>
      </c>
      <c r="AB9" s="2337"/>
    </row>
    <row r="10" spans="1:28" ht="16.5" thickBot="1" x14ac:dyDescent="0.35">
      <c r="A10" s="2333"/>
      <c r="B10" s="419" t="str">
        <f>Var!C4</f>
        <v>Gastos de Personal</v>
      </c>
      <c r="C10" s="420"/>
      <c r="D10" s="421">
        <f>C10*12/52</f>
        <v>0</v>
      </c>
      <c r="E10" s="422">
        <f>IFERROR(D10/SUM(PROD!L5:L11),0)</f>
        <v>0</v>
      </c>
      <c r="F10" s="423">
        <f>IFERROR(E10/SUM(E4:E10,J4:J10,O4:O9),0)</f>
        <v>0</v>
      </c>
      <c r="G10" s="424" t="str">
        <f>Var!C11</f>
        <v>Adecuación Instalaciones</v>
      </c>
      <c r="H10" s="425"/>
      <c r="I10" s="426">
        <f t="shared" si="1"/>
        <v>0</v>
      </c>
      <c r="J10" s="422">
        <f>IFERROR(I10/SUM(PROD!L5:L11),0)</f>
        <v>0</v>
      </c>
      <c r="K10" s="423">
        <f>IFERROR(J10/SUM(E4:E10,J4:J10,O4:O9),0)</f>
        <v>0</v>
      </c>
      <c r="L10" s="2331" t="s">
        <v>317</v>
      </c>
      <c r="M10" s="2332"/>
      <c r="N10" s="427">
        <f>SUM(D4:D10,I4:I10,N4:N9)</f>
        <v>0</v>
      </c>
      <c r="O10" s="428">
        <f>IFERROR(N10/SUM(PROD!L5:L11),0)</f>
        <v>0</v>
      </c>
      <c r="P10" s="423">
        <f>IFERROR(O10/SUM(E4:E10,J4:J10,O4:O9),0)</f>
        <v>0</v>
      </c>
      <c r="Q10" s="429" t="s">
        <v>332</v>
      </c>
      <c r="R10" s="499"/>
      <c r="S10" s="871">
        <f>SUM(PROD!AS5:AS11)</f>
        <v>0</v>
      </c>
      <c r="T10" s="431">
        <f>IF(AA4&gt;0,S10/AA4,0)</f>
        <v>0</v>
      </c>
      <c r="U10" s="432" t="str">
        <f>PROD!$AV$4</f>
        <v>Rev. Peq</v>
      </c>
      <c r="V10" s="499"/>
      <c r="W10" s="871">
        <f>SUM(PROD!AV5:AV11)</f>
        <v>0</v>
      </c>
      <c r="X10" s="431">
        <f>IFERROR(W10/(AA9-AA7),0)</f>
        <v>0</v>
      </c>
      <c r="Y10" s="2304"/>
      <c r="Z10" s="2335"/>
      <c r="AA10" s="2338"/>
      <c r="AB10" s="2339"/>
    </row>
    <row r="11" spans="1:28" ht="15.75" x14ac:dyDescent="0.3">
      <c r="A11" s="2300">
        <f>A4+1</f>
        <v>19</v>
      </c>
      <c r="B11" s="433" t="str">
        <f>$B$4</f>
        <v>ALIMENTO Kilos</v>
      </c>
      <c r="C11" s="435">
        <f>LOOKUP($A11,PROD!$A$5:$A$725,PROD!$AH$10:$AH$730)</f>
        <v>0</v>
      </c>
      <c r="D11" s="368">
        <f>C11*LOOKUP($A11,'Pr-Sem'!$A$6:$A$108,'Pr-Sem'!$N$6:$N$108)/(PROD!$A$1/1000)</f>
        <v>0</v>
      </c>
      <c r="E11" s="369">
        <f>IFERROR(D11/SUM(PROD!L12:L18),0)</f>
        <v>0</v>
      </c>
      <c r="F11" s="370">
        <f>IFERROR(E11/SUM(E11:E17,J11:J17,O11:O16),0)</f>
        <v>0</v>
      </c>
      <c r="G11" s="434" t="str">
        <f>$G$4</f>
        <v>Honorarios</v>
      </c>
      <c r="H11" s="435">
        <f t="shared" ref="H11:H74" si="2">H4</f>
        <v>0</v>
      </c>
      <c r="I11" s="372">
        <f t="shared" si="1"/>
        <v>0</v>
      </c>
      <c r="J11" s="369">
        <f>IFERROR(I11/SUM(PROD!L12:L18),0)</f>
        <v>0</v>
      </c>
      <c r="K11" s="370">
        <f>IFERROR(J11/SUM(E11:E17,J11:J17,O11:O16),0)</f>
        <v>0</v>
      </c>
      <c r="L11" s="436" t="str">
        <f>$L$4</f>
        <v>Gastos de Viaje</v>
      </c>
      <c r="M11" s="435">
        <f t="shared" ref="M11:M16" si="3">M4</f>
        <v>0</v>
      </c>
      <c r="N11" s="372">
        <f>M11*12/52</f>
        <v>0</v>
      </c>
      <c r="O11" s="369">
        <f>IFERROR(N11/SUM(PROD!L12:L18),0)</f>
        <v>0</v>
      </c>
      <c r="P11" s="370">
        <f>IFERROR(O11/SUM(E11:E17,J11:J17,O11:O16),0)</f>
        <v>0</v>
      </c>
      <c r="Q11" s="373" t="str">
        <f>$Q$4</f>
        <v>AAAA</v>
      </c>
      <c r="R11" s="374">
        <f t="shared" ref="R11:R74" si="4">R4</f>
        <v>0</v>
      </c>
      <c r="S11" s="869">
        <f>SUM(PROD!AM12:AM18)</f>
        <v>0</v>
      </c>
      <c r="T11" s="375">
        <f>IF(AA11&gt;0,S11/AA11,0)</f>
        <v>0</v>
      </c>
      <c r="U11" s="376" t="str">
        <f>$U$4</f>
        <v>Prob Color</v>
      </c>
      <c r="V11" s="374">
        <f t="shared" ref="V11:V74" si="5">V4</f>
        <v>0</v>
      </c>
      <c r="W11" s="869">
        <f>SUM(PROD!AW12:AW18)</f>
        <v>0</v>
      </c>
      <c r="X11" s="375">
        <f>IFERROR(W11/(AA16-AA14),0)</f>
        <v>0</v>
      </c>
      <c r="Y11" s="377" t="s">
        <v>323</v>
      </c>
      <c r="Z11" s="378">
        <f>SUMPRODUCT(R11:R17,T11:T17)</f>
        <v>0</v>
      </c>
      <c r="AA11" s="379">
        <f>SUM(S11:S17)</f>
        <v>0</v>
      </c>
      <c r="AB11" s="490">
        <f>IF(AA16&gt;0,AA11/AA16,0)</f>
        <v>0</v>
      </c>
    </row>
    <row r="12" spans="1:28" ht="15.75" x14ac:dyDescent="0.3">
      <c r="A12" s="2301"/>
      <c r="B12" s="438" t="str">
        <f>$B$5</f>
        <v>Amortización de Aves</v>
      </c>
      <c r="C12" s="381">
        <f>IFERROR((C5-(D12/'Pr-Sem'!$O$2)),0)</f>
        <v>0</v>
      </c>
      <c r="D12" s="382">
        <f>SUM(PROD!L12:L18)*E12</f>
        <v>0</v>
      </c>
      <c r="E12" s="383">
        <f>IF(SUM(PROD!L12:L18)&gt;0,IFERROR(($C$1-$C$2)/LOOKUP($B$2,'Pr-Sem'!$A$6:$A$108,'Pr-Sem'!$L$6:$L$108)*(LOOKUP(INVENTARIOS!$A11,'Pr-Sem'!$A$6:$A$108,'Pr-Sem'!$L$6:$L$108)-LOOKUP(INVENTARIOS!$A11-1,'Pr-Sem'!$A$6:$A$108,'Pr-Sem'!$L$6:$L$108))/(LOOKUP(INVENTARIOS!$A11,'Pr-Sem'!$A$6:$A$108,'Pr-Sem'!$K$6:$K$108)-LOOKUP(INVENTARIOS!$A11-1,'Pr-Sem'!$A$6:$A$108,'Pr-Sem'!$K$6:$K$108)),0),0)</f>
        <v>0</v>
      </c>
      <c r="F12" s="384">
        <f>IFERROR(E12/SUM(E11:E17,J11:J17,O11:O16),0)</f>
        <v>0</v>
      </c>
      <c r="G12" s="439" t="str">
        <f>$G$5</f>
        <v>Impuestos</v>
      </c>
      <c r="H12" s="440">
        <f t="shared" si="2"/>
        <v>0</v>
      </c>
      <c r="I12" s="387">
        <f t="shared" si="1"/>
        <v>0</v>
      </c>
      <c r="J12" s="383">
        <f>IFERROR(I12/SUM(PROD!L12:L18),0)</f>
        <v>0</v>
      </c>
      <c r="K12" s="384">
        <f>IFERROR(J12/SUM(E11:E17,J11:J17,O11:O16),0)</f>
        <v>0</v>
      </c>
      <c r="L12" s="439" t="str">
        <f>$L$5</f>
        <v>Depreciaciones</v>
      </c>
      <c r="M12" s="401">
        <f t="shared" si="3"/>
        <v>0</v>
      </c>
      <c r="N12" s="390">
        <f>M12*12/52</f>
        <v>0</v>
      </c>
      <c r="O12" s="383">
        <f>IFERROR(N12/SUM(PROD!L12:L18),0)</f>
        <v>0</v>
      </c>
      <c r="P12" s="384">
        <f>IFERROR(O12/SUM(E11:E17,J11:J17,O11:O16),0)</f>
        <v>0</v>
      </c>
      <c r="Q12" s="491" t="str">
        <f>$Q$5</f>
        <v>AAA</v>
      </c>
      <c r="R12" s="392">
        <f t="shared" si="4"/>
        <v>0</v>
      </c>
      <c r="S12" s="870">
        <f>SUM(PROD!AN12:AN18)</f>
        <v>0</v>
      </c>
      <c r="T12" s="492">
        <f>IF(AA11&gt;0,S12/AA11,0)</f>
        <v>0</v>
      </c>
      <c r="U12" s="493" t="str">
        <f>$U$5</f>
        <v>Prob Cásc</v>
      </c>
      <c r="V12" s="392">
        <f t="shared" si="5"/>
        <v>0</v>
      </c>
      <c r="W12" s="870">
        <f>SUM(PROD!AX12:AX18)</f>
        <v>0</v>
      </c>
      <c r="X12" s="492">
        <f>IFERROR(W12/(AA16-AA14),0)</f>
        <v>0</v>
      </c>
      <c r="Y12" s="395" t="s">
        <v>324</v>
      </c>
      <c r="Z12" s="396">
        <f>IFERROR(SUMPRODUCT(V11:V14,W11:W14)/SUM(W11:W14),0)</f>
        <v>0</v>
      </c>
      <c r="AA12" s="397">
        <f>SUM(W11:W14)</f>
        <v>0</v>
      </c>
      <c r="AB12" s="494">
        <f>IF(AA16&gt;0,AA12/AA16,0)</f>
        <v>0</v>
      </c>
    </row>
    <row r="13" spans="1:28" ht="15.75" x14ac:dyDescent="0.3">
      <c r="A13" s="2301"/>
      <c r="B13" s="399" t="str">
        <f>$B$6</f>
        <v>Bandeja</v>
      </c>
      <c r="C13" s="400">
        <f>C6</f>
        <v>0</v>
      </c>
      <c r="D13" s="387">
        <f>C13*SUM(INVENTARIOS!R11:R17)</f>
        <v>0</v>
      </c>
      <c r="E13" s="383">
        <f>IFERROR(D13/SUM(PROD!L12:L18),0)</f>
        <v>0</v>
      </c>
      <c r="F13" s="384">
        <f>IFERROR(E13/SUM(E11:E17,J11:J17,O11:O16),0)</f>
        <v>0</v>
      </c>
      <c r="G13" s="439" t="str">
        <f>$G$6</f>
        <v>Arrendamientos</v>
      </c>
      <c r="H13" s="401">
        <f t="shared" si="2"/>
        <v>0</v>
      </c>
      <c r="I13" s="390">
        <f t="shared" si="1"/>
        <v>0</v>
      </c>
      <c r="J13" s="383">
        <f>IFERROR(I13/SUM(PROD!L12:L18),0)</f>
        <v>0</v>
      </c>
      <c r="K13" s="384">
        <f>IFERROR(J13/SUM(E11:E17,J11:J17,O11:O16),0)</f>
        <v>0</v>
      </c>
      <c r="L13" s="439" t="str">
        <f>$L$6</f>
        <v>Diversos</v>
      </c>
      <c r="M13" s="401">
        <f t="shared" si="3"/>
        <v>0</v>
      </c>
      <c r="N13" s="390">
        <f>M13*12/52</f>
        <v>0</v>
      </c>
      <c r="O13" s="383">
        <f>IFERROR(N13/SUM(PROD!L12:L18),0)</f>
        <v>0</v>
      </c>
      <c r="P13" s="384">
        <f>IFERROR(O13/SUM(E11:E17,J11:J17,O11:O16),0)</f>
        <v>0</v>
      </c>
      <c r="Q13" s="491" t="str">
        <f>$Q$6</f>
        <v>AA</v>
      </c>
      <c r="R13" s="392">
        <f t="shared" si="4"/>
        <v>0</v>
      </c>
      <c r="S13" s="870">
        <f>SUM(PROD!AO12:AO18)</f>
        <v>0</v>
      </c>
      <c r="T13" s="492">
        <f>IF(AA11&gt;0,S13/AA11,0)</f>
        <v>0</v>
      </c>
      <c r="U13" s="493" t="str">
        <f>$U$6</f>
        <v>Vencido</v>
      </c>
      <c r="V13" s="392">
        <f t="shared" si="5"/>
        <v>0</v>
      </c>
      <c r="W13" s="870">
        <f>SUM(PROD!AY12:AY18)</f>
        <v>0</v>
      </c>
      <c r="X13" s="492">
        <f>IFERROR(W13/(AA16-AA14),0)</f>
        <v>0</v>
      </c>
      <c r="Y13" s="402" t="s">
        <v>391</v>
      </c>
      <c r="Z13" s="456">
        <v>0</v>
      </c>
      <c r="AA13" s="720"/>
      <c r="AB13" s="495">
        <f>IF(AA16&gt;0,AA13/AA16,0)</f>
        <v>0</v>
      </c>
    </row>
    <row r="14" spans="1:28" ht="15.75" x14ac:dyDescent="0.3">
      <c r="A14" s="2301"/>
      <c r="B14" s="438" t="str">
        <f>$B$7</f>
        <v>Mortalidad Aves</v>
      </c>
      <c r="C14" s="401">
        <f>IF(A11&lt;=$B$2,C12+$C$2,0)</f>
        <v>0</v>
      </c>
      <c r="D14" s="390">
        <f>C14*SUM(PROD!D12:D18)</f>
        <v>0</v>
      </c>
      <c r="E14" s="383">
        <f>IFERROR(D14/SUM(PROD!L12:L18),0)</f>
        <v>0</v>
      </c>
      <c r="F14" s="384">
        <f>IFERROR(E14/SUM(E11:E17,J11:J17,O11:O16),0)</f>
        <v>0</v>
      </c>
      <c r="G14" s="439" t="str">
        <f>$G$7</f>
        <v>Servicios Públicos</v>
      </c>
      <c r="H14" s="401">
        <f t="shared" si="2"/>
        <v>0</v>
      </c>
      <c r="I14" s="390">
        <f t="shared" si="1"/>
        <v>0</v>
      </c>
      <c r="J14" s="383">
        <f>IFERROR(I14/SUM(PROD!L12:L18),0)</f>
        <v>0</v>
      </c>
      <c r="K14" s="384">
        <f>IFERROR(J14/SUM(E11:E17,J11:J17,O11:O16),0)</f>
        <v>0</v>
      </c>
      <c r="L14" s="441" t="str">
        <f>$L$7</f>
        <v>Administrativos</v>
      </c>
      <c r="M14" s="401">
        <f t="shared" si="3"/>
        <v>0</v>
      </c>
      <c r="N14" s="404">
        <f>M14*0.230769230769231</f>
        <v>0</v>
      </c>
      <c r="O14" s="383">
        <f>IFERROR(N14/SUM(PROD!L12:L18),0)</f>
        <v>0</v>
      </c>
      <c r="P14" s="384">
        <f>IFERROR(O14/SUM(E11:E17,J11:J17,O11:O16),0)</f>
        <v>0</v>
      </c>
      <c r="Q14" s="491" t="str">
        <f>$Q$7</f>
        <v>A</v>
      </c>
      <c r="R14" s="392">
        <f t="shared" si="4"/>
        <v>0</v>
      </c>
      <c r="S14" s="870">
        <f>SUM(PROD!AP12:AP18)</f>
        <v>0</v>
      </c>
      <c r="T14" s="492">
        <f>IF(AA11&gt;0,S14/AA11,0)</f>
        <v>0</v>
      </c>
      <c r="U14" s="405" t="str">
        <f>$U$7</f>
        <v>Roto</v>
      </c>
      <c r="V14" s="406">
        <f t="shared" si="5"/>
        <v>0</v>
      </c>
      <c r="W14" s="872">
        <f>SUM(PROD!AZ12:AZ18)</f>
        <v>0</v>
      </c>
      <c r="X14" s="407">
        <f>IFERROR(W14/(AA16-AA14),0)</f>
        <v>0</v>
      </c>
      <c r="Y14" s="408" t="s">
        <v>359</v>
      </c>
      <c r="Z14" s="442">
        <f>Z7</f>
        <v>0</v>
      </c>
      <c r="AA14" s="410">
        <f>SUM(PROD!L12:L18)-SUM(W11:W17)-SUM(S11:S17)-AA13</f>
        <v>0</v>
      </c>
      <c r="AB14" s="496">
        <f>IF(AA16&gt;0,AA14/AA16,0)</f>
        <v>0</v>
      </c>
    </row>
    <row r="15" spans="1:28" ht="15.75" x14ac:dyDescent="0.3">
      <c r="A15" s="2301"/>
      <c r="B15" s="399" t="str">
        <f>$B$8</f>
        <v>Materia Prima (Carb Ca, etc.)</v>
      </c>
      <c r="C15" s="440">
        <f>C8</f>
        <v>0</v>
      </c>
      <c r="D15" s="387">
        <f>C15*12/52</f>
        <v>0</v>
      </c>
      <c r="E15" s="383">
        <f>IFERROR(D15/SUM(PROD!L12:L18),0)</f>
        <v>0</v>
      </c>
      <c r="F15" s="384">
        <f>IFERROR(E15/SUM(E11:E17,J11:J17,O11:O16),0)</f>
        <v>0</v>
      </c>
      <c r="G15" s="441" t="str">
        <f>$G$8</f>
        <v>Gastos Legales</v>
      </c>
      <c r="H15" s="401">
        <f t="shared" si="2"/>
        <v>0</v>
      </c>
      <c r="I15" s="390">
        <f t="shared" si="1"/>
        <v>0</v>
      </c>
      <c r="J15" s="383">
        <f>IFERROR(I15/SUM(PROD!L12:L18),0)</f>
        <v>0</v>
      </c>
      <c r="K15" s="384">
        <f>IFERROR(J15/SUM(E11:E17,J11:J17,O11:O16),0)</f>
        <v>0</v>
      </c>
      <c r="L15" s="439" t="str">
        <f>$L$8</f>
        <v>Fletes</v>
      </c>
      <c r="M15" s="401">
        <f t="shared" si="3"/>
        <v>0</v>
      </c>
      <c r="N15" s="404">
        <f>M15*0.230769230769231</f>
        <v>0</v>
      </c>
      <c r="O15" s="383">
        <f>IFERROR(N15/SUM(PROD!L12:L18),0)</f>
        <v>0</v>
      </c>
      <c r="P15" s="384">
        <f>IFERROR(O15/SUM(E11:E17,J11:J17,O11:O16),0)</f>
        <v>0</v>
      </c>
      <c r="Q15" s="491" t="str">
        <f>$Q$8</f>
        <v>B</v>
      </c>
      <c r="R15" s="392">
        <f t="shared" si="4"/>
        <v>0</v>
      </c>
      <c r="S15" s="870">
        <f>SUM(PROD!AQ12:AQ18)</f>
        <v>0</v>
      </c>
      <c r="T15" s="492">
        <f>IF(AA11&gt;0,S15/AA11,0)</f>
        <v>0</v>
      </c>
      <c r="U15" s="395" t="str">
        <f>$U$8</f>
        <v>Rev. Gr.</v>
      </c>
      <c r="V15" s="412">
        <f t="shared" si="5"/>
        <v>0</v>
      </c>
      <c r="W15" s="873">
        <f>SUM(PROD!AT12:AT18)</f>
        <v>0</v>
      </c>
      <c r="X15" s="413">
        <f>IFERROR(W15/(AA16-AA14),0)</f>
        <v>0</v>
      </c>
      <c r="Y15" s="414" t="s">
        <v>262</v>
      </c>
      <c r="Z15" s="415">
        <f>IFERROR(SUMPRODUCT(V15:V17,W15:W17)/SUM(W15:W17),0)</f>
        <v>0</v>
      </c>
      <c r="AA15" s="416">
        <f>SUM(W15:W17)</f>
        <v>0</v>
      </c>
      <c r="AB15" s="497">
        <f>IF(AA16&gt;0,AA15/AA16,0)</f>
        <v>0</v>
      </c>
    </row>
    <row r="16" spans="1:28" ht="15.75" x14ac:dyDescent="0.3">
      <c r="A16" s="2301"/>
      <c r="B16" s="438" t="str">
        <f>$B$9</f>
        <v>Vacunas y medicamentos</v>
      </c>
      <c r="C16" s="443">
        <f>C9</f>
        <v>0</v>
      </c>
      <c r="D16" s="387">
        <f>C16*12/52</f>
        <v>0</v>
      </c>
      <c r="E16" s="383">
        <f>IFERROR(D16/SUM(PROD!L12:L18),0)</f>
        <v>0</v>
      </c>
      <c r="F16" s="384">
        <f>IFERROR(E16/SUM(E11:E17,J11:J17,O11:O16),0)</f>
        <v>0</v>
      </c>
      <c r="G16" s="441" t="str">
        <f>$G$9</f>
        <v>Mantenimiento y Reparaciones</v>
      </c>
      <c r="H16" s="401"/>
      <c r="I16" s="390">
        <f t="shared" si="1"/>
        <v>0</v>
      </c>
      <c r="J16" s="383">
        <f>IFERROR(I16/SUM(PROD!L12:L18),0)</f>
        <v>0</v>
      </c>
      <c r="K16" s="384">
        <f>IFERROR(J16/SUM(E11:E17,J11:J17,O11:O16),0)</f>
        <v>0</v>
      </c>
      <c r="L16" s="439">
        <f>$L$9</f>
        <v>0</v>
      </c>
      <c r="M16" s="401">
        <f t="shared" si="3"/>
        <v>0</v>
      </c>
      <c r="N16" s="404">
        <f>M16*0.230769230769231</f>
        <v>0</v>
      </c>
      <c r="O16" s="383">
        <f>IFERROR(N16/SUM(PROD!L12:L18),0)</f>
        <v>0</v>
      </c>
      <c r="P16" s="384">
        <f>IFERROR(O16/SUM(E11:E17,J11:J17,O11:O16),0)</f>
        <v>0</v>
      </c>
      <c r="Q16" s="491" t="str">
        <f>$Q$9</f>
        <v>C</v>
      </c>
      <c r="R16" s="392">
        <f t="shared" si="4"/>
        <v>0</v>
      </c>
      <c r="S16" s="870">
        <f>SUM(PROD!AR12:AR18)</f>
        <v>0</v>
      </c>
      <c r="T16" s="492">
        <f>IF(AA11&gt;0,S16/AA11,0)</f>
        <v>0</v>
      </c>
      <c r="U16" s="493" t="str">
        <f>$U$9</f>
        <v>Rev. Med</v>
      </c>
      <c r="V16" s="392">
        <f t="shared" si="5"/>
        <v>0</v>
      </c>
      <c r="W16" s="870">
        <f>SUM(PROD!AU12:AU18)</f>
        <v>0</v>
      </c>
      <c r="X16" s="498">
        <f>IFERROR(W16/(AA16-AA14),0)</f>
        <v>0</v>
      </c>
      <c r="Y16" s="2303" t="s">
        <v>325</v>
      </c>
      <c r="Z16" s="2305">
        <f>SUMPRODUCT(Z11:Z15,AB11:AB15)</f>
        <v>0</v>
      </c>
      <c r="AA16" s="2307">
        <f>SUM(AA11:AA14)</f>
        <v>0</v>
      </c>
      <c r="AB16" s="2308"/>
    </row>
    <row r="17" spans="1:28" ht="16.5" thickBot="1" x14ac:dyDescent="0.35">
      <c r="A17" s="2302"/>
      <c r="B17" s="444" t="str">
        <f>$B$10</f>
        <v>Gastos de Personal</v>
      </c>
      <c r="C17" s="445">
        <f>C10</f>
        <v>0</v>
      </c>
      <c r="D17" s="421">
        <f>C17*12/52</f>
        <v>0</v>
      </c>
      <c r="E17" s="446">
        <f>IFERROR(D17/SUM(PROD!L12:L18),0)</f>
        <v>0</v>
      </c>
      <c r="F17" s="447">
        <f>IFERROR(E17/SUM(E11:E17,J11:J17,O11:O16),0)</f>
        <v>0</v>
      </c>
      <c r="G17" s="448" t="str">
        <f>$G$10</f>
        <v>Adecuación Instalaciones</v>
      </c>
      <c r="H17" s="445"/>
      <c r="I17" s="426">
        <f t="shared" si="1"/>
        <v>0</v>
      </c>
      <c r="J17" s="446">
        <f>IFERROR(I17/SUM(PROD!L12:L18),0)</f>
        <v>0</v>
      </c>
      <c r="K17" s="447">
        <f>IFERROR(J17/SUM(E11:E17,J11:J17,O11:O16),0)</f>
        <v>0</v>
      </c>
      <c r="L17" s="2311" t="str">
        <f>$L$10</f>
        <v>TOTAL COSTO PRODUCCIÓN</v>
      </c>
      <c r="M17" s="2312"/>
      <c r="N17" s="427">
        <f>SUM(D11:D17,I11:I17,N11:N16)</f>
        <v>0</v>
      </c>
      <c r="O17" s="449">
        <f>IFERROR(N17/SUM(PROD!L12:L18),0)</f>
        <v>0</v>
      </c>
      <c r="P17" s="447">
        <f>IFERROR(O17/SUM(E11:E17,J11:J17,O11:O16),0)</f>
        <v>0</v>
      </c>
      <c r="Q17" s="429" t="str">
        <f>$Q$10</f>
        <v>D</v>
      </c>
      <c r="R17" s="499">
        <f t="shared" si="4"/>
        <v>0</v>
      </c>
      <c r="S17" s="871">
        <f>SUM(PROD!AS12:AS18)</f>
        <v>0</v>
      </c>
      <c r="T17" s="431">
        <f>IF(AA11&gt;0,S17/AA11,0)</f>
        <v>0</v>
      </c>
      <c r="U17" s="432" t="str">
        <f>$U$10</f>
        <v>Rev. Peq</v>
      </c>
      <c r="V17" s="499">
        <f t="shared" si="5"/>
        <v>0</v>
      </c>
      <c r="W17" s="871">
        <f>SUM(PROD!AV12:AV18)</f>
        <v>0</v>
      </c>
      <c r="X17" s="431">
        <f>IFERROR(W17/(AA16-AA14),0)</f>
        <v>0</v>
      </c>
      <c r="Y17" s="2304"/>
      <c r="Z17" s="2306"/>
      <c r="AA17" s="2309"/>
      <c r="AB17" s="2310"/>
    </row>
    <row r="18" spans="1:28" ht="15.75" customHeight="1" x14ac:dyDescent="0.3">
      <c r="A18" s="2300">
        <f>A11+1</f>
        <v>20</v>
      </c>
      <c r="B18" s="433" t="str">
        <f>$B$4</f>
        <v>ALIMENTO Kilos</v>
      </c>
      <c r="C18" s="435">
        <f>LOOKUP($A18,PROD!$A$5:$A$725,PROD!$AH$10:$AH$730)</f>
        <v>0</v>
      </c>
      <c r="D18" s="368">
        <f>C18*LOOKUP($A18,'Pr-Sem'!$A$6:$A$108,'Pr-Sem'!$N$6:$N$108)/(PROD!$A$1/1000)</f>
        <v>0</v>
      </c>
      <c r="E18" s="369">
        <f>IFERROR(D18/SUM(PROD!L19:L25),0)</f>
        <v>0</v>
      </c>
      <c r="F18" s="370">
        <f>IFERROR(E18/SUM(E18:E24,J18:J24,O18:O23),0)</f>
        <v>0</v>
      </c>
      <c r="G18" s="434" t="str">
        <f>$G$11</f>
        <v>Honorarios</v>
      </c>
      <c r="H18" s="435">
        <f t="shared" si="2"/>
        <v>0</v>
      </c>
      <c r="I18" s="372">
        <f t="shared" si="1"/>
        <v>0</v>
      </c>
      <c r="J18" s="369">
        <f>IFERROR(I18/SUM(PROD!L19:L25),0)</f>
        <v>0</v>
      </c>
      <c r="K18" s="370">
        <f>IFERROR(J18/SUM(E18:E24,J18:J24,O18:O23),0)</f>
        <v>0</v>
      </c>
      <c r="L18" s="436" t="str">
        <f>$L$4</f>
        <v>Gastos de Viaje</v>
      </c>
      <c r="M18" s="435">
        <f t="shared" ref="M18:M23" si="6">M11</f>
        <v>0</v>
      </c>
      <c r="N18" s="372">
        <f>M18*12/52</f>
        <v>0</v>
      </c>
      <c r="O18" s="369">
        <f>IFERROR(N18/SUM(PROD!L19:L25),0)</f>
        <v>0</v>
      </c>
      <c r="P18" s="370">
        <f>IFERROR(O18/SUM(E18:E24,J18:J24,O18:O23),0)</f>
        <v>0</v>
      </c>
      <c r="Q18" s="373" t="str">
        <f>$Q$4</f>
        <v>AAAA</v>
      </c>
      <c r="R18" s="374">
        <f t="shared" si="4"/>
        <v>0</v>
      </c>
      <c r="S18" s="869">
        <f>SUM(PROD!AM19:AM25)</f>
        <v>0</v>
      </c>
      <c r="T18" s="375">
        <f>IF(AA18&gt;0,S18/AA18,0)</f>
        <v>0</v>
      </c>
      <c r="U18" s="376" t="str">
        <f>$U$4</f>
        <v>Prob Color</v>
      </c>
      <c r="V18" s="374">
        <f t="shared" si="5"/>
        <v>0</v>
      </c>
      <c r="W18" s="869">
        <f>SUM(PROD!AW19:AW25)</f>
        <v>0</v>
      </c>
      <c r="X18" s="375">
        <f>IFERROR(W18/(AA23-AA21),0)</f>
        <v>0</v>
      </c>
      <c r="Y18" s="377" t="s">
        <v>323</v>
      </c>
      <c r="Z18" s="378">
        <f>SUMPRODUCT(R18:R24,T18:T24)</f>
        <v>0</v>
      </c>
      <c r="AA18" s="379">
        <f>SUM(S18:S24)</f>
        <v>0</v>
      </c>
      <c r="AB18" s="490">
        <f>IF(AA23&gt;0,AA18/AA23,0)</f>
        <v>0</v>
      </c>
    </row>
    <row r="19" spans="1:28" ht="15.75" customHeight="1" x14ac:dyDescent="0.3">
      <c r="A19" s="2301"/>
      <c r="B19" s="438" t="str">
        <f>$B$5</f>
        <v>Amortización de Aves</v>
      </c>
      <c r="C19" s="381">
        <f>IFERROR((C12-(D19/'Pr-Sem'!$O$2)),0)</f>
        <v>0</v>
      </c>
      <c r="D19" s="382">
        <f>SUM(PROD!L19:L25)*E19</f>
        <v>0</v>
      </c>
      <c r="E19" s="383">
        <f>IF(SUM(PROD!L19:L25)&gt;0,IFERROR(($C$1-$C$2)/LOOKUP($B$2,'Pr-Sem'!$A$6:$A$108,'Pr-Sem'!$L$6:$L$108)*(LOOKUP(INVENTARIOS!$A18,'Pr-Sem'!$A$6:$A$108,'Pr-Sem'!$L$6:$L$108)-LOOKUP(INVENTARIOS!$A18-1,'Pr-Sem'!$A$6:$A$108,'Pr-Sem'!$L$6:$L$108))/(LOOKUP(INVENTARIOS!$A18,'Pr-Sem'!$A$6:$A$108,'Pr-Sem'!$K$6:$K$108)-LOOKUP(INVENTARIOS!$A18-1,'Pr-Sem'!$A$6:$A$108,'Pr-Sem'!$K$6:$K$108)),0),0)</f>
        <v>0</v>
      </c>
      <c r="F19" s="384">
        <f>IFERROR(E19/SUM(E18:E24,J18:J24,O18:O23),0)</f>
        <v>0</v>
      </c>
      <c r="G19" s="439" t="str">
        <f>$G$12</f>
        <v>Impuestos</v>
      </c>
      <c r="H19" s="440">
        <f t="shared" si="2"/>
        <v>0</v>
      </c>
      <c r="I19" s="387">
        <f t="shared" si="1"/>
        <v>0</v>
      </c>
      <c r="J19" s="383">
        <f>IFERROR(I19/SUM(PROD!L19:L25),0)</f>
        <v>0</v>
      </c>
      <c r="K19" s="384">
        <f>IFERROR(J19/SUM(E18:E24,J18:J24,O18:O23),0)</f>
        <v>0</v>
      </c>
      <c r="L19" s="439" t="str">
        <f>$L$5</f>
        <v>Depreciaciones</v>
      </c>
      <c r="M19" s="401">
        <f t="shared" si="6"/>
        <v>0</v>
      </c>
      <c r="N19" s="390">
        <f>M19*12/52</f>
        <v>0</v>
      </c>
      <c r="O19" s="383">
        <f>IFERROR(N19/SUM(PROD!L19:L25),0)</f>
        <v>0</v>
      </c>
      <c r="P19" s="384">
        <f>IFERROR(O19/SUM(E18:E24,J18:J24,O18:O23),0)</f>
        <v>0</v>
      </c>
      <c r="Q19" s="491" t="str">
        <f>$Q$5</f>
        <v>AAA</v>
      </c>
      <c r="R19" s="392">
        <f t="shared" si="4"/>
        <v>0</v>
      </c>
      <c r="S19" s="870">
        <f>SUM(PROD!AN19:AN25)</f>
        <v>0</v>
      </c>
      <c r="T19" s="492">
        <f>IF(AA18&gt;0,S19/AA18,0)</f>
        <v>0</v>
      </c>
      <c r="U19" s="493" t="str">
        <f>$U$5</f>
        <v>Prob Cásc</v>
      </c>
      <c r="V19" s="392">
        <f t="shared" si="5"/>
        <v>0</v>
      </c>
      <c r="W19" s="870">
        <f>SUM(PROD!AX19:AX25)</f>
        <v>0</v>
      </c>
      <c r="X19" s="492">
        <f>IFERROR(W19/(AA23-AA21),0)</f>
        <v>0</v>
      </c>
      <c r="Y19" s="395" t="s">
        <v>324</v>
      </c>
      <c r="Z19" s="396">
        <f>IFERROR(SUMPRODUCT(V18:V21,W18:W21)/SUM(W18:W21),0)</f>
        <v>0</v>
      </c>
      <c r="AA19" s="397">
        <f>SUM(W18:W21)</f>
        <v>0</v>
      </c>
      <c r="AB19" s="494">
        <f>IF(AA23&gt;0,AA19/AA23,0)</f>
        <v>0</v>
      </c>
    </row>
    <row r="20" spans="1:28" ht="15.75" customHeight="1" x14ac:dyDescent="0.3">
      <c r="A20" s="2301"/>
      <c r="B20" s="399" t="str">
        <f>$B$6</f>
        <v>Bandeja</v>
      </c>
      <c r="C20" s="400">
        <f>C13</f>
        <v>0</v>
      </c>
      <c r="D20" s="387">
        <f>C20*SUM(INVENTARIOS!R18:R24)</f>
        <v>0</v>
      </c>
      <c r="E20" s="383">
        <f>IFERROR(D20/SUM(PROD!L19:L25),0)</f>
        <v>0</v>
      </c>
      <c r="F20" s="384">
        <f>IFERROR(E20/SUM(E18:E24,J18:J24,O18:O23),0)</f>
        <v>0</v>
      </c>
      <c r="G20" s="439" t="str">
        <f>$G$13</f>
        <v>Arrendamientos</v>
      </c>
      <c r="H20" s="401">
        <f t="shared" si="2"/>
        <v>0</v>
      </c>
      <c r="I20" s="390">
        <f t="shared" si="1"/>
        <v>0</v>
      </c>
      <c r="J20" s="383">
        <f>IFERROR(I20/SUM(PROD!L19:L25),0)</f>
        <v>0</v>
      </c>
      <c r="K20" s="384">
        <f>IFERROR(J20/SUM(E18:E24,J18:J24,O18:O23),0)</f>
        <v>0</v>
      </c>
      <c r="L20" s="439" t="str">
        <f>$L$6</f>
        <v>Diversos</v>
      </c>
      <c r="M20" s="401">
        <f t="shared" si="6"/>
        <v>0</v>
      </c>
      <c r="N20" s="390">
        <f>M20*12/52</f>
        <v>0</v>
      </c>
      <c r="O20" s="383">
        <f>IFERROR(N20/SUM(PROD!L19:L25),0)</f>
        <v>0</v>
      </c>
      <c r="P20" s="384">
        <f>IFERROR(O20/SUM(E18:E24,J18:J24,O18:O23),0)</f>
        <v>0</v>
      </c>
      <c r="Q20" s="491" t="str">
        <f>$Q$6</f>
        <v>AA</v>
      </c>
      <c r="R20" s="392">
        <f t="shared" si="4"/>
        <v>0</v>
      </c>
      <c r="S20" s="870">
        <f>SUM(PROD!AO19:AO25)</f>
        <v>0</v>
      </c>
      <c r="T20" s="492">
        <f>IF(AA18&gt;0,S20/AA18,0)</f>
        <v>0</v>
      </c>
      <c r="U20" s="493" t="str">
        <f>$U$6</f>
        <v>Vencido</v>
      </c>
      <c r="V20" s="392">
        <f t="shared" si="5"/>
        <v>0</v>
      </c>
      <c r="W20" s="870">
        <f>SUM(PROD!AY19:AY25)</f>
        <v>0</v>
      </c>
      <c r="X20" s="492">
        <f>IFERROR(W20/(AA23-AA21),0)</f>
        <v>0</v>
      </c>
      <c r="Y20" s="402" t="s">
        <v>391</v>
      </c>
      <c r="Z20" s="456">
        <v>0</v>
      </c>
      <c r="AA20" s="720"/>
      <c r="AB20" s="495">
        <f>IF(AA23&gt;0,AA20/AA23,0)</f>
        <v>0</v>
      </c>
    </row>
    <row r="21" spans="1:28" ht="15.75" customHeight="1" x14ac:dyDescent="0.3">
      <c r="A21" s="2301"/>
      <c r="B21" s="438" t="str">
        <f>$B$7</f>
        <v>Mortalidad Aves</v>
      </c>
      <c r="C21" s="401">
        <f>IF(A18&lt;=$B$2,C19+$C$2,0)</f>
        <v>0</v>
      </c>
      <c r="D21" s="390">
        <f>C21*SUM(PROD!D19:D25)</f>
        <v>0</v>
      </c>
      <c r="E21" s="383">
        <f>IFERROR(D21/SUM(PROD!L19:L25),0)</f>
        <v>0</v>
      </c>
      <c r="F21" s="384">
        <f>IFERROR(E21/SUM(E18:E24,J18:J24,O18:O23),0)</f>
        <v>0</v>
      </c>
      <c r="G21" s="439" t="str">
        <f>$G$14</f>
        <v>Servicios Públicos</v>
      </c>
      <c r="H21" s="401">
        <f t="shared" si="2"/>
        <v>0</v>
      </c>
      <c r="I21" s="390">
        <f t="shared" si="1"/>
        <v>0</v>
      </c>
      <c r="J21" s="383">
        <f>IFERROR(I21/SUM(PROD!L19:L25),0)</f>
        <v>0</v>
      </c>
      <c r="K21" s="384">
        <f>IFERROR(J21/SUM(E18:E24,J18:J24,O18:O23),0)</f>
        <v>0</v>
      </c>
      <c r="L21" s="441" t="str">
        <f>$L$7</f>
        <v>Administrativos</v>
      </c>
      <c r="M21" s="401">
        <f t="shared" si="6"/>
        <v>0</v>
      </c>
      <c r="N21" s="404">
        <f>M21*0.230769230769231</f>
        <v>0</v>
      </c>
      <c r="O21" s="383">
        <f>IFERROR(N21/SUM(PROD!L19:L25),0)</f>
        <v>0</v>
      </c>
      <c r="P21" s="384">
        <f>IFERROR(O21/SUM(E18:E24,J18:J24,O18:O23),0)</f>
        <v>0</v>
      </c>
      <c r="Q21" s="491" t="str">
        <f>$Q$7</f>
        <v>A</v>
      </c>
      <c r="R21" s="392">
        <f t="shared" si="4"/>
        <v>0</v>
      </c>
      <c r="S21" s="870">
        <f>SUM(PROD!AP19:AP25)</f>
        <v>0</v>
      </c>
      <c r="T21" s="492">
        <f>IF(AA18&gt;0,S21/AA18,0)</f>
        <v>0</v>
      </c>
      <c r="U21" s="405" t="str">
        <f>$U$7</f>
        <v>Roto</v>
      </c>
      <c r="V21" s="406">
        <f t="shared" si="5"/>
        <v>0</v>
      </c>
      <c r="W21" s="872">
        <f>SUM(PROD!AZ19:AZ25)</f>
        <v>0</v>
      </c>
      <c r="X21" s="407">
        <f>IFERROR(W21/(AA23-AA21),0)</f>
        <v>0</v>
      </c>
      <c r="Y21" s="408" t="s">
        <v>359</v>
      </c>
      <c r="Z21" s="442">
        <v>215</v>
      </c>
      <c r="AA21" s="410">
        <f>SUM(PROD!L19:L25)-SUM(W18:W24)-SUM(S18:S24)-AA20</f>
        <v>0</v>
      </c>
      <c r="AB21" s="496">
        <f>IF(AA23&gt;0,AA21/AA23,0)</f>
        <v>0</v>
      </c>
    </row>
    <row r="22" spans="1:28" ht="15.75" customHeight="1" x14ac:dyDescent="0.3">
      <c r="A22" s="2301"/>
      <c r="B22" s="399" t="str">
        <f>$B$8</f>
        <v>Materia Prima (Carb Ca, etc.)</v>
      </c>
      <c r="C22" s="440">
        <f>C15</f>
        <v>0</v>
      </c>
      <c r="D22" s="387">
        <f>C22*12/52</f>
        <v>0</v>
      </c>
      <c r="E22" s="383">
        <f>IFERROR(D22/SUM(PROD!L19:L25),0)</f>
        <v>0</v>
      </c>
      <c r="F22" s="384">
        <f>IFERROR(E22/SUM(E18:E24,J18:J24,O18:O23),0)</f>
        <v>0</v>
      </c>
      <c r="G22" s="441" t="str">
        <f>$G$15</f>
        <v>Gastos Legales</v>
      </c>
      <c r="H22" s="401">
        <f t="shared" si="2"/>
        <v>0</v>
      </c>
      <c r="I22" s="390">
        <f t="shared" si="1"/>
        <v>0</v>
      </c>
      <c r="J22" s="383">
        <f>IFERROR(I22/SUM(PROD!L19:L25),0)</f>
        <v>0</v>
      </c>
      <c r="K22" s="384">
        <f>IFERROR(J22/SUM(E18:E24,J18:J24,O18:O23),0)</f>
        <v>0</v>
      </c>
      <c r="L22" s="439" t="str">
        <f>$L$8</f>
        <v>Fletes</v>
      </c>
      <c r="M22" s="401">
        <f t="shared" si="6"/>
        <v>0</v>
      </c>
      <c r="N22" s="404">
        <f>M22*0.230769230769231</f>
        <v>0</v>
      </c>
      <c r="O22" s="383">
        <f>IFERROR(N22/SUM(PROD!L19:L25),0)</f>
        <v>0</v>
      </c>
      <c r="P22" s="384">
        <f>IFERROR(O22/SUM(E18:E24,J18:J24,O18:O23),0)</f>
        <v>0</v>
      </c>
      <c r="Q22" s="491" t="str">
        <f>$Q$8</f>
        <v>B</v>
      </c>
      <c r="R22" s="392">
        <f t="shared" si="4"/>
        <v>0</v>
      </c>
      <c r="S22" s="870">
        <f>SUM(PROD!AQ19:AQ25)</f>
        <v>0</v>
      </c>
      <c r="T22" s="492">
        <f>IF(AA18&gt;0,S22/AA18,0)</f>
        <v>0</v>
      </c>
      <c r="U22" s="395" t="str">
        <f>$U$8</f>
        <v>Rev. Gr.</v>
      </c>
      <c r="V22" s="412">
        <f t="shared" si="5"/>
        <v>0</v>
      </c>
      <c r="W22" s="873">
        <f>SUM(PROD!AT19:AT25)</f>
        <v>0</v>
      </c>
      <c r="X22" s="413">
        <f>IFERROR(W22/(AA23-AA21),0)</f>
        <v>0</v>
      </c>
      <c r="Y22" s="414" t="s">
        <v>262</v>
      </c>
      <c r="Z22" s="415">
        <f>IFERROR(SUMPRODUCT(V22:V24,W22:W24)/SUM(W22:W24),0)</f>
        <v>0</v>
      </c>
      <c r="AA22" s="416">
        <f>SUM(W22:W24)</f>
        <v>0</v>
      </c>
      <c r="AB22" s="497">
        <f>IF(AA23&gt;0,AA22/AA23,0)</f>
        <v>0</v>
      </c>
    </row>
    <row r="23" spans="1:28" ht="15.75" customHeight="1" x14ac:dyDescent="0.3">
      <c r="A23" s="2301"/>
      <c r="B23" s="438" t="str">
        <f>$B$9</f>
        <v>Vacunas y medicamentos</v>
      </c>
      <c r="C23" s="443">
        <f>C16</f>
        <v>0</v>
      </c>
      <c r="D23" s="387">
        <f>C23*12/52</f>
        <v>0</v>
      </c>
      <c r="E23" s="383">
        <f>IFERROR(D23/SUM(PROD!L19:L25),0)</f>
        <v>0</v>
      </c>
      <c r="F23" s="384">
        <f>IFERROR(E23/SUM(E18:E24,J18:J24,O18:O23),0)</f>
        <v>0</v>
      </c>
      <c r="G23" s="441" t="str">
        <f>$G$16</f>
        <v>Mantenimiento y Reparaciones</v>
      </c>
      <c r="H23" s="401">
        <f t="shared" si="2"/>
        <v>0</v>
      </c>
      <c r="I23" s="390">
        <f t="shared" si="1"/>
        <v>0</v>
      </c>
      <c r="J23" s="383">
        <f>IFERROR(I23/SUM(PROD!L19:L25),0)</f>
        <v>0</v>
      </c>
      <c r="K23" s="384">
        <f>IFERROR(J23/SUM(E18:E24,J18:J24,O18:O23),0)</f>
        <v>0</v>
      </c>
      <c r="L23" s="439">
        <f>$L$9</f>
        <v>0</v>
      </c>
      <c r="M23" s="401">
        <f t="shared" si="6"/>
        <v>0</v>
      </c>
      <c r="N23" s="404">
        <f>M23*0.230769230769231</f>
        <v>0</v>
      </c>
      <c r="O23" s="383">
        <f>IFERROR(N23/SUM(PROD!L19:L25),0)</f>
        <v>0</v>
      </c>
      <c r="P23" s="384">
        <f>IFERROR(O23/SUM(E18:E24,J18:J24,O18:O23),0)</f>
        <v>0</v>
      </c>
      <c r="Q23" s="491" t="str">
        <f>$Q$9</f>
        <v>C</v>
      </c>
      <c r="R23" s="392">
        <f t="shared" si="4"/>
        <v>0</v>
      </c>
      <c r="S23" s="870">
        <f>SUM(PROD!AR19:AR25)</f>
        <v>0</v>
      </c>
      <c r="T23" s="492">
        <f>IF(AA18&gt;0,S23/AA18,0)</f>
        <v>0</v>
      </c>
      <c r="U23" s="493" t="str">
        <f>$U$9</f>
        <v>Rev. Med</v>
      </c>
      <c r="V23" s="392">
        <f t="shared" si="5"/>
        <v>0</v>
      </c>
      <c r="W23" s="870">
        <f>SUM(PROD!AU19:AU25)</f>
        <v>0</v>
      </c>
      <c r="X23" s="498">
        <f>IFERROR(W23/(AA23-AA21),0)</f>
        <v>0</v>
      </c>
      <c r="Y23" s="2303" t="s">
        <v>325</v>
      </c>
      <c r="Z23" s="2305">
        <f>SUMPRODUCT(Z18:Z22,AB18:AB22)</f>
        <v>0</v>
      </c>
      <c r="AA23" s="2307">
        <f>SUM(AA18:AA21)</f>
        <v>0</v>
      </c>
      <c r="AB23" s="2308"/>
    </row>
    <row r="24" spans="1:28" ht="16.5" customHeight="1" thickBot="1" x14ac:dyDescent="0.35">
      <c r="A24" s="2302"/>
      <c r="B24" s="444" t="str">
        <f>$B$10</f>
        <v>Gastos de Personal</v>
      </c>
      <c r="C24" s="445">
        <f>C17</f>
        <v>0</v>
      </c>
      <c r="D24" s="421">
        <f>C24*12/52</f>
        <v>0</v>
      </c>
      <c r="E24" s="446">
        <f>IFERROR(D24/SUM(PROD!L19:L25),0)</f>
        <v>0</v>
      </c>
      <c r="F24" s="447">
        <f>IFERROR(E24/SUM(E18:E24,J18:J24,O18:O23),0)</f>
        <v>0</v>
      </c>
      <c r="G24" s="448" t="str">
        <f>$G$17</f>
        <v>Adecuación Instalaciones</v>
      </c>
      <c r="H24" s="445">
        <f t="shared" si="2"/>
        <v>0</v>
      </c>
      <c r="I24" s="426">
        <f t="shared" si="1"/>
        <v>0</v>
      </c>
      <c r="J24" s="446">
        <f>IFERROR(I24/SUM(PROD!L19:L25),0)</f>
        <v>0</v>
      </c>
      <c r="K24" s="447">
        <f>IFERROR(J24/SUM(E18:E24,J18:J24,O18:O23),0)</f>
        <v>0</v>
      </c>
      <c r="L24" s="2311" t="str">
        <f>$L$10</f>
        <v>TOTAL COSTO PRODUCCIÓN</v>
      </c>
      <c r="M24" s="2312"/>
      <c r="N24" s="427">
        <f>SUM(D18:D24,I18:I24,N18:N23)</f>
        <v>0</v>
      </c>
      <c r="O24" s="449">
        <f>IFERROR(N24/SUM(PROD!L19:L25),0)</f>
        <v>0</v>
      </c>
      <c r="P24" s="447">
        <f>IFERROR(O24/SUM(E18:E24,J18:J24,O18:O23),0)</f>
        <v>0</v>
      </c>
      <c r="Q24" s="429" t="str">
        <f>$Q$10</f>
        <v>D</v>
      </c>
      <c r="R24" s="499">
        <f t="shared" si="4"/>
        <v>0</v>
      </c>
      <c r="S24" s="871">
        <f>SUM(PROD!AS19:AS25)</f>
        <v>0</v>
      </c>
      <c r="T24" s="431">
        <f>IF(AA18&gt;0,S24/AA18,0)</f>
        <v>0</v>
      </c>
      <c r="U24" s="432" t="str">
        <f>$U$10</f>
        <v>Rev. Peq</v>
      </c>
      <c r="V24" s="499">
        <f t="shared" si="5"/>
        <v>0</v>
      </c>
      <c r="W24" s="871">
        <f>SUM(PROD!AV19:AV25)</f>
        <v>0</v>
      </c>
      <c r="X24" s="431">
        <f>IFERROR(W24/(AA23-AA21),0)</f>
        <v>0</v>
      </c>
      <c r="Y24" s="2304"/>
      <c r="Z24" s="2306"/>
      <c r="AA24" s="2309"/>
      <c r="AB24" s="2310"/>
    </row>
    <row r="25" spans="1:28" ht="16.5" customHeight="1" x14ac:dyDescent="0.3">
      <c r="A25" s="2300">
        <f>A18+1</f>
        <v>21</v>
      </c>
      <c r="B25" s="433" t="str">
        <f>$B$4</f>
        <v>ALIMENTO Kilos</v>
      </c>
      <c r="C25" s="435">
        <f>LOOKUP($A25,PROD!$A$5:$A$725,PROD!$AH$10:$AH$730)</f>
        <v>0</v>
      </c>
      <c r="D25" s="368">
        <f>C25*LOOKUP($A25,'Pr-Sem'!$A$6:$A$108,'Pr-Sem'!$N$6:$N$108)/(PROD!$A$1/1000)</f>
        <v>0</v>
      </c>
      <c r="E25" s="369">
        <f>IFERROR(D25/SUM(PROD!L26:L32),0)</f>
        <v>0</v>
      </c>
      <c r="F25" s="370">
        <f>IFERROR(E25/SUM(E25:E31,J25:J31,O25:O30),0)</f>
        <v>0</v>
      </c>
      <c r="G25" s="434" t="str">
        <f>$G$11</f>
        <v>Honorarios</v>
      </c>
      <c r="H25" s="435">
        <f t="shared" si="2"/>
        <v>0</v>
      </c>
      <c r="I25" s="372">
        <f t="shared" si="1"/>
        <v>0</v>
      </c>
      <c r="J25" s="369">
        <f>IFERROR(I25/SUM(PROD!L26:L32),0)</f>
        <v>0</v>
      </c>
      <c r="K25" s="370">
        <f>IFERROR(J25/SUM(E25:E31,J25:J31,O25:O30),0)</f>
        <v>0</v>
      </c>
      <c r="L25" s="436" t="str">
        <f>$L$4</f>
        <v>Gastos de Viaje</v>
      </c>
      <c r="M25" s="435">
        <f t="shared" ref="M25:M30" si="7">M18</f>
        <v>0</v>
      </c>
      <c r="N25" s="372">
        <f>M25*12/52</f>
        <v>0</v>
      </c>
      <c r="O25" s="369">
        <f>IFERROR(N25/SUM(PROD!L26:L32),0)</f>
        <v>0</v>
      </c>
      <c r="P25" s="370">
        <f>IFERROR(O25/SUM(E25:E31,J25:J31,O25:O30),0)</f>
        <v>0</v>
      </c>
      <c r="Q25" s="373" t="str">
        <f>$Q$4</f>
        <v>AAAA</v>
      </c>
      <c r="R25" s="374">
        <f t="shared" si="4"/>
        <v>0</v>
      </c>
      <c r="S25" s="869">
        <f>SUM(PROD!AM26:AM32)</f>
        <v>0</v>
      </c>
      <c r="T25" s="375">
        <f>IF(AA25&gt;0,S25/AA25,0)</f>
        <v>0</v>
      </c>
      <c r="U25" s="376" t="str">
        <f>$U$4</f>
        <v>Prob Color</v>
      </c>
      <c r="V25" s="374">
        <f t="shared" si="5"/>
        <v>0</v>
      </c>
      <c r="W25" s="869">
        <f>SUM(PROD!AW26:AW32)</f>
        <v>0</v>
      </c>
      <c r="X25" s="375">
        <f>IFERROR(W25/(AA30-AA28),0)</f>
        <v>0</v>
      </c>
      <c r="Y25" s="377" t="s">
        <v>323</v>
      </c>
      <c r="Z25" s="378">
        <f>SUMPRODUCT(R25:R31,T25:T31)</f>
        <v>0</v>
      </c>
      <c r="AA25" s="379">
        <f>SUM(S25:S31)</f>
        <v>0</v>
      </c>
      <c r="AB25" s="490">
        <f>IF(AA30&gt;0,AA25/AA30,0)</f>
        <v>0</v>
      </c>
    </row>
    <row r="26" spans="1:28" ht="15.75" customHeight="1" x14ac:dyDescent="0.3">
      <c r="A26" s="2301"/>
      <c r="B26" s="438" t="str">
        <f>$B$5</f>
        <v>Amortización de Aves</v>
      </c>
      <c r="C26" s="381">
        <f>IFERROR((C19-(D26/'Pr-Sem'!$O$2)),0)</f>
        <v>0</v>
      </c>
      <c r="D26" s="382">
        <f>SUM(PROD!L26:L32)*E26</f>
        <v>0</v>
      </c>
      <c r="E26" s="383">
        <f>IF(SUM(PROD!L26:L32)&gt;0,IFERROR(($C$1-$C$2)/LOOKUP($B$2,'Pr-Sem'!$A$6:$A$108,'Pr-Sem'!$L$6:$L$108)*(LOOKUP(INVENTARIOS!$A25,'Pr-Sem'!$A$6:$A$108,'Pr-Sem'!$L$6:$L$108)-LOOKUP(INVENTARIOS!$A25-1,'Pr-Sem'!$A$6:$A$108,'Pr-Sem'!$L$6:$L$108))/(LOOKUP(INVENTARIOS!$A25,'Pr-Sem'!$A$6:$A$108,'Pr-Sem'!$K$6:$K$108)-LOOKUP(INVENTARIOS!$A25-1,'Pr-Sem'!$A$6:$A$108,'Pr-Sem'!$K$6:$K$108)),0),0)</f>
        <v>0</v>
      </c>
      <c r="F26" s="384">
        <f>IFERROR(E26/SUM(E25:E31,J25:J31,O25:O30),0)</f>
        <v>0</v>
      </c>
      <c r="G26" s="439" t="str">
        <f>$G$12</f>
        <v>Impuestos</v>
      </c>
      <c r="H26" s="440">
        <f t="shared" si="2"/>
        <v>0</v>
      </c>
      <c r="I26" s="387">
        <f t="shared" si="1"/>
        <v>0</v>
      </c>
      <c r="J26" s="383">
        <f>IFERROR(I26/SUM(PROD!L26:L32),0)</f>
        <v>0</v>
      </c>
      <c r="K26" s="384">
        <f>IFERROR(J26/SUM(E25:E31,J25:J31,O25:O30),0)</f>
        <v>0</v>
      </c>
      <c r="L26" s="439" t="str">
        <f>$L$5</f>
        <v>Depreciaciones</v>
      </c>
      <c r="M26" s="401">
        <f t="shared" si="7"/>
        <v>0</v>
      </c>
      <c r="N26" s="390">
        <f>M26*12/52</f>
        <v>0</v>
      </c>
      <c r="O26" s="383">
        <f>IFERROR(N26/SUM(PROD!L26:L32),0)</f>
        <v>0</v>
      </c>
      <c r="P26" s="384">
        <f>IFERROR(O26/SUM(E25:E31,J25:J31,O25:O30),0)</f>
        <v>0</v>
      </c>
      <c r="Q26" s="491" t="str">
        <f>$Q$5</f>
        <v>AAA</v>
      </c>
      <c r="R26" s="392">
        <f t="shared" si="4"/>
        <v>0</v>
      </c>
      <c r="S26" s="870">
        <f>SUM(PROD!AN26:AN32)</f>
        <v>0</v>
      </c>
      <c r="T26" s="492">
        <f>IF(AA25&gt;0,S26/AA25,0)</f>
        <v>0</v>
      </c>
      <c r="U26" s="493" t="str">
        <f>$U$5</f>
        <v>Prob Cásc</v>
      </c>
      <c r="V26" s="392">
        <f t="shared" si="5"/>
        <v>0</v>
      </c>
      <c r="W26" s="870">
        <f>SUM(PROD!AX26:AX32)</f>
        <v>0</v>
      </c>
      <c r="X26" s="492">
        <f>IFERROR(W26/(AA30-AA28),0)</f>
        <v>0</v>
      </c>
      <c r="Y26" s="395" t="s">
        <v>324</v>
      </c>
      <c r="Z26" s="396">
        <f>IFERROR(SUMPRODUCT(V25:V28,W25:W28)/SUM(W25:W28),0)</f>
        <v>0</v>
      </c>
      <c r="AA26" s="397">
        <f>SUM(W25:W28)</f>
        <v>0</v>
      </c>
      <c r="AB26" s="494">
        <f>IF(AA30&gt;0,AA26/AA30,0)</f>
        <v>0</v>
      </c>
    </row>
    <row r="27" spans="1:28" ht="15.75" customHeight="1" x14ac:dyDescent="0.3">
      <c r="A27" s="2301"/>
      <c r="B27" s="399" t="str">
        <f>$B$6</f>
        <v>Bandeja</v>
      </c>
      <c r="C27" s="400">
        <f>C20</f>
        <v>0</v>
      </c>
      <c r="D27" s="387">
        <f>C27*SUM(INVENTARIOS!R25:R31)</f>
        <v>0</v>
      </c>
      <c r="E27" s="383">
        <f>IFERROR(D27/SUM(PROD!L26:L32),0)</f>
        <v>0</v>
      </c>
      <c r="F27" s="384">
        <f>IFERROR(E27/SUM(E25:E31,J25:J31,O25:O30),0)</f>
        <v>0</v>
      </c>
      <c r="G27" s="439" t="str">
        <f>$G$13</f>
        <v>Arrendamientos</v>
      </c>
      <c r="H27" s="401">
        <f t="shared" si="2"/>
        <v>0</v>
      </c>
      <c r="I27" s="390">
        <f t="shared" si="1"/>
        <v>0</v>
      </c>
      <c r="J27" s="383">
        <f>IFERROR(I27/SUM(PROD!L26:L32),0)</f>
        <v>0</v>
      </c>
      <c r="K27" s="384">
        <f>IFERROR(J27/SUM(E25:E31,J25:J31,O25:O30),0)</f>
        <v>0</v>
      </c>
      <c r="L27" s="439" t="str">
        <f>$L$6</f>
        <v>Diversos</v>
      </c>
      <c r="M27" s="401">
        <f t="shared" si="7"/>
        <v>0</v>
      </c>
      <c r="N27" s="390">
        <f>M27*12/52</f>
        <v>0</v>
      </c>
      <c r="O27" s="383">
        <f>IFERROR(N27/SUM(PROD!L26:L32),0)</f>
        <v>0</v>
      </c>
      <c r="P27" s="384">
        <f>IFERROR(O27/SUM(E25:E31,J25:J31,O25:O30),0)</f>
        <v>0</v>
      </c>
      <c r="Q27" s="491" t="str">
        <f>$Q$6</f>
        <v>AA</v>
      </c>
      <c r="R27" s="392">
        <f t="shared" si="4"/>
        <v>0</v>
      </c>
      <c r="S27" s="870">
        <f>SUM(PROD!AO26:AO32)</f>
        <v>0</v>
      </c>
      <c r="T27" s="492">
        <f>IF(AA25&gt;0,S27/AA25,0)</f>
        <v>0</v>
      </c>
      <c r="U27" s="493" t="str">
        <f>$U$6</f>
        <v>Vencido</v>
      </c>
      <c r="V27" s="392">
        <f t="shared" si="5"/>
        <v>0</v>
      </c>
      <c r="W27" s="870">
        <f>SUM(PROD!AY26:AY32)</f>
        <v>0</v>
      </c>
      <c r="X27" s="492">
        <f>IFERROR(W27/(AA30-AA28),0)</f>
        <v>0</v>
      </c>
      <c r="Y27" s="402" t="s">
        <v>391</v>
      </c>
      <c r="Z27" s="456">
        <v>0</v>
      </c>
      <c r="AA27" s="720"/>
      <c r="AB27" s="495">
        <f>IF(AA30&gt;0,AA27/AA30,0)</f>
        <v>0</v>
      </c>
    </row>
    <row r="28" spans="1:28" ht="15.75" customHeight="1" x14ac:dyDescent="0.3">
      <c r="A28" s="2301"/>
      <c r="B28" s="438" t="str">
        <f>$B$7</f>
        <v>Mortalidad Aves</v>
      </c>
      <c r="C28" s="401">
        <f>IF(A25&lt;=$B$2,C26+$C$2,0)</f>
        <v>0</v>
      </c>
      <c r="D28" s="390">
        <f>C28*SUM(PROD!D26:D32)</f>
        <v>0</v>
      </c>
      <c r="E28" s="383">
        <f>IFERROR(D28/SUM(PROD!L26:L32),0)</f>
        <v>0</v>
      </c>
      <c r="F28" s="384">
        <f>IFERROR(E28/SUM(E25:E31,J25:J31,O25:O30),0)</f>
        <v>0</v>
      </c>
      <c r="G28" s="439" t="str">
        <f>$G$14</f>
        <v>Servicios Públicos</v>
      </c>
      <c r="H28" s="401">
        <f t="shared" si="2"/>
        <v>0</v>
      </c>
      <c r="I28" s="390">
        <f t="shared" si="1"/>
        <v>0</v>
      </c>
      <c r="J28" s="383">
        <f>IFERROR(I28/SUM(PROD!L26:L32),0)</f>
        <v>0</v>
      </c>
      <c r="K28" s="384">
        <f>IFERROR(J28/SUM(E25:E31,J25:J31,O25:O30),0)</f>
        <v>0</v>
      </c>
      <c r="L28" s="441" t="str">
        <f>$L$7</f>
        <v>Administrativos</v>
      </c>
      <c r="M28" s="401">
        <f t="shared" si="7"/>
        <v>0</v>
      </c>
      <c r="N28" s="404">
        <f>M28*0.230769230769231</f>
        <v>0</v>
      </c>
      <c r="O28" s="383">
        <f>IFERROR(N28/SUM(PROD!L26:L32),0)</f>
        <v>0</v>
      </c>
      <c r="P28" s="384">
        <f>IFERROR(O28/SUM(E25:E31,J25:J31,O25:O30),0)</f>
        <v>0</v>
      </c>
      <c r="Q28" s="491" t="str">
        <f>$Q$7</f>
        <v>A</v>
      </c>
      <c r="R28" s="392">
        <f t="shared" si="4"/>
        <v>0</v>
      </c>
      <c r="S28" s="870">
        <f>SUM(PROD!AP26:AP32)</f>
        <v>0</v>
      </c>
      <c r="T28" s="492">
        <f>IF(AA25&gt;0,S28/AA25,0)</f>
        <v>0</v>
      </c>
      <c r="U28" s="405" t="str">
        <f>$U$7</f>
        <v>Roto</v>
      </c>
      <c r="V28" s="406">
        <f t="shared" si="5"/>
        <v>0</v>
      </c>
      <c r="W28" s="872">
        <f>SUM(PROD!AZ26:AZ32)</f>
        <v>0</v>
      </c>
      <c r="X28" s="407">
        <f>IFERROR(W28/(AA30-AA28),0)</f>
        <v>0</v>
      </c>
      <c r="Y28" s="408" t="s">
        <v>359</v>
      </c>
      <c r="Z28" s="442">
        <v>215</v>
      </c>
      <c r="AA28" s="410">
        <f>SUM(PROD!L26:L32)-SUM(W25:W31)-SUM(S25:S31)-AA27</f>
        <v>0</v>
      </c>
      <c r="AB28" s="496">
        <f>IF(AA30&gt;0,AA28/AA30,0)</f>
        <v>0</v>
      </c>
    </row>
    <row r="29" spans="1:28" ht="15.75" customHeight="1" x14ac:dyDescent="0.3">
      <c r="A29" s="2301"/>
      <c r="B29" s="399" t="str">
        <f>$B$8</f>
        <v>Materia Prima (Carb Ca, etc.)</v>
      </c>
      <c r="C29" s="440">
        <f>C22</f>
        <v>0</v>
      </c>
      <c r="D29" s="387">
        <f>C29*12/52</f>
        <v>0</v>
      </c>
      <c r="E29" s="383">
        <f>IFERROR(D29/SUM(PROD!L26:L32),0)</f>
        <v>0</v>
      </c>
      <c r="F29" s="384">
        <f>IFERROR(E29/SUM(E25:E31,J25:J31,O25:O30),0)</f>
        <v>0</v>
      </c>
      <c r="G29" s="441" t="str">
        <f>$G$15</f>
        <v>Gastos Legales</v>
      </c>
      <c r="H29" s="401">
        <f t="shared" si="2"/>
        <v>0</v>
      </c>
      <c r="I29" s="390">
        <f t="shared" si="1"/>
        <v>0</v>
      </c>
      <c r="J29" s="383">
        <f>IFERROR(I29/SUM(PROD!L26:L32),0)</f>
        <v>0</v>
      </c>
      <c r="K29" s="384">
        <f>IFERROR(J29/SUM(E25:E31,J25:J31,O25:O30),0)</f>
        <v>0</v>
      </c>
      <c r="L29" s="439" t="str">
        <f>$L$8</f>
        <v>Fletes</v>
      </c>
      <c r="M29" s="401">
        <f t="shared" si="7"/>
        <v>0</v>
      </c>
      <c r="N29" s="404">
        <f>M29*0.230769230769231</f>
        <v>0</v>
      </c>
      <c r="O29" s="383">
        <f>IFERROR(N29/SUM(PROD!L26:L32),0)</f>
        <v>0</v>
      </c>
      <c r="P29" s="384">
        <f>IFERROR(O29/SUM(E25:E31,J25:J31,O25:O30),0)</f>
        <v>0</v>
      </c>
      <c r="Q29" s="491" t="str">
        <f>$Q$8</f>
        <v>B</v>
      </c>
      <c r="R29" s="392">
        <f t="shared" si="4"/>
        <v>0</v>
      </c>
      <c r="S29" s="870">
        <f>SUM(PROD!AQ26:AQ32)</f>
        <v>0</v>
      </c>
      <c r="T29" s="492">
        <f>IF(AA25&gt;0,S29/AA25,0)</f>
        <v>0</v>
      </c>
      <c r="U29" s="395" t="str">
        <f>$U$8</f>
        <v>Rev. Gr.</v>
      </c>
      <c r="V29" s="412">
        <f t="shared" si="5"/>
        <v>0</v>
      </c>
      <c r="W29" s="873">
        <f>SUM(PROD!AT26:AT32)</f>
        <v>0</v>
      </c>
      <c r="X29" s="413">
        <f>IFERROR(W29/(AA30-AA28),0)</f>
        <v>0</v>
      </c>
      <c r="Y29" s="414" t="s">
        <v>262</v>
      </c>
      <c r="Z29" s="415">
        <f>IFERROR(SUMPRODUCT(V29:V31,W29:W31)/SUM(W29:W31),0)</f>
        <v>0</v>
      </c>
      <c r="AA29" s="416">
        <f>SUM(W29:W31)</f>
        <v>0</v>
      </c>
      <c r="AB29" s="497">
        <f>IF(AA30&gt;0,AA29/AA30,0)</f>
        <v>0</v>
      </c>
    </row>
    <row r="30" spans="1:28" ht="15.75" customHeight="1" x14ac:dyDescent="0.3">
      <c r="A30" s="2301"/>
      <c r="B30" s="438" t="str">
        <f>$B$9</f>
        <v>Vacunas y medicamentos</v>
      </c>
      <c r="C30" s="443">
        <f>C23</f>
        <v>0</v>
      </c>
      <c r="D30" s="387">
        <f>C30*12/52</f>
        <v>0</v>
      </c>
      <c r="E30" s="383">
        <f>IFERROR(D30/SUM(PROD!L26:L32),0)</f>
        <v>0</v>
      </c>
      <c r="F30" s="384">
        <f>IFERROR(E30/SUM(E25:E31,J25:J31,O25:O30),0)</f>
        <v>0</v>
      </c>
      <c r="G30" s="441" t="str">
        <f>$G$16</f>
        <v>Mantenimiento y Reparaciones</v>
      </c>
      <c r="H30" s="401">
        <f t="shared" si="2"/>
        <v>0</v>
      </c>
      <c r="I30" s="390">
        <f t="shared" si="1"/>
        <v>0</v>
      </c>
      <c r="J30" s="383">
        <f>IFERROR(I30/SUM(PROD!L26:L32),0)</f>
        <v>0</v>
      </c>
      <c r="K30" s="384">
        <f>IFERROR(J30/SUM(E25:E31,J25:J31,O25:O30),0)</f>
        <v>0</v>
      </c>
      <c r="L30" s="439">
        <f>$L$9</f>
        <v>0</v>
      </c>
      <c r="M30" s="401">
        <f t="shared" si="7"/>
        <v>0</v>
      </c>
      <c r="N30" s="404">
        <f>M30*0.230769230769231</f>
        <v>0</v>
      </c>
      <c r="O30" s="383">
        <f>IFERROR(N30/SUM(PROD!L26:L32),0)</f>
        <v>0</v>
      </c>
      <c r="P30" s="384">
        <f>IFERROR(O30/SUM(E25:E31,J25:J31,O25:O30),0)</f>
        <v>0</v>
      </c>
      <c r="Q30" s="491" t="str">
        <f>$Q$9</f>
        <v>C</v>
      </c>
      <c r="R30" s="392">
        <f t="shared" si="4"/>
        <v>0</v>
      </c>
      <c r="S30" s="870">
        <f>SUM(PROD!AR26:AR32)</f>
        <v>0</v>
      </c>
      <c r="T30" s="492">
        <f>IF(AA25&gt;0,S30/AA25,0)</f>
        <v>0</v>
      </c>
      <c r="U30" s="493" t="str">
        <f>$U$9</f>
        <v>Rev. Med</v>
      </c>
      <c r="V30" s="392">
        <f t="shared" si="5"/>
        <v>0</v>
      </c>
      <c r="W30" s="870">
        <f>SUM(PROD!AU26:AU32)</f>
        <v>0</v>
      </c>
      <c r="X30" s="498">
        <f>IFERROR(W30/(AA30-AA28),0)</f>
        <v>0</v>
      </c>
      <c r="Y30" s="2303" t="s">
        <v>325</v>
      </c>
      <c r="Z30" s="2305">
        <f>SUMPRODUCT(Z25:Z29,AB25:AB29)</f>
        <v>0</v>
      </c>
      <c r="AA30" s="2307">
        <f>SUM(AA25:AA28)</f>
        <v>0</v>
      </c>
      <c r="AB30" s="2308"/>
    </row>
    <row r="31" spans="1:28" ht="16.5" customHeight="1" thickBot="1" x14ac:dyDescent="0.35">
      <c r="A31" s="2302"/>
      <c r="B31" s="444" t="str">
        <f>$B$10</f>
        <v>Gastos de Personal</v>
      </c>
      <c r="C31" s="445">
        <f>C24</f>
        <v>0</v>
      </c>
      <c r="D31" s="421">
        <f>C31*12/52</f>
        <v>0</v>
      </c>
      <c r="E31" s="446">
        <f>IFERROR(D31/SUM(PROD!L26:L32),0)</f>
        <v>0</v>
      </c>
      <c r="F31" s="447">
        <f>IFERROR(E31/SUM(E25:E31,J25:J31,O25:O30),0)</f>
        <v>0</v>
      </c>
      <c r="G31" s="448" t="str">
        <f>$G$17</f>
        <v>Adecuación Instalaciones</v>
      </c>
      <c r="H31" s="445">
        <f t="shared" si="2"/>
        <v>0</v>
      </c>
      <c r="I31" s="426">
        <f t="shared" si="1"/>
        <v>0</v>
      </c>
      <c r="J31" s="446">
        <f>IFERROR(I31/SUM(PROD!L26:L32),0)</f>
        <v>0</v>
      </c>
      <c r="K31" s="447">
        <f>IFERROR(J31/SUM(E25:E31,J25:J31,O25:O30),0)</f>
        <v>0</v>
      </c>
      <c r="L31" s="2311" t="str">
        <f>$L$10</f>
        <v>TOTAL COSTO PRODUCCIÓN</v>
      </c>
      <c r="M31" s="2312"/>
      <c r="N31" s="427">
        <f>SUM(D25:D31,I25:I31,N25:N30)</f>
        <v>0</v>
      </c>
      <c r="O31" s="449">
        <f>IFERROR(N31/SUM(PROD!L26:L32),0)</f>
        <v>0</v>
      </c>
      <c r="P31" s="447">
        <f>IFERROR(O31/SUM(E25:E31,J25:J31,O25:O30),0)</f>
        <v>0</v>
      </c>
      <c r="Q31" s="429" t="str">
        <f>$Q$10</f>
        <v>D</v>
      </c>
      <c r="R31" s="499">
        <f t="shared" si="4"/>
        <v>0</v>
      </c>
      <c r="S31" s="871">
        <f>SUM(PROD!AS26:AS32)</f>
        <v>0</v>
      </c>
      <c r="T31" s="431">
        <f>IF(AA25&gt;0,S31/AA25,0)</f>
        <v>0</v>
      </c>
      <c r="U31" s="432" t="str">
        <f>$U$10</f>
        <v>Rev. Peq</v>
      </c>
      <c r="V31" s="499">
        <f t="shared" si="5"/>
        <v>0</v>
      </c>
      <c r="W31" s="871">
        <f>SUM(PROD!AV26:AV32)</f>
        <v>0</v>
      </c>
      <c r="X31" s="431">
        <f>IFERROR(W31/(AA30-AA28),0)</f>
        <v>0</v>
      </c>
      <c r="Y31" s="2304"/>
      <c r="Z31" s="2306"/>
      <c r="AA31" s="2309"/>
      <c r="AB31" s="2310"/>
    </row>
    <row r="32" spans="1:28" ht="16.5" customHeight="1" x14ac:dyDescent="0.3">
      <c r="A32" s="2300">
        <f>A25+1</f>
        <v>22</v>
      </c>
      <c r="B32" s="433" t="str">
        <f>$B$4</f>
        <v>ALIMENTO Kilos</v>
      </c>
      <c r="C32" s="435">
        <f>LOOKUP($A32,PROD!$A$5:$A$725,PROD!$AH$10:$AH$730)</f>
        <v>0</v>
      </c>
      <c r="D32" s="368">
        <f>C32*LOOKUP($A32,'Pr-Sem'!$A$6:$A$108,'Pr-Sem'!$N$6:$N$108)/(PROD!$A$1/1000)</f>
        <v>0</v>
      </c>
      <c r="E32" s="369">
        <f>IFERROR(D32/SUM(PROD!L33:L39),0)</f>
        <v>0</v>
      </c>
      <c r="F32" s="370">
        <f>IFERROR(E32/SUM(E32:E38,J32:J38,O32:O37),0)</f>
        <v>0</v>
      </c>
      <c r="G32" s="434" t="str">
        <f>$G$11</f>
        <v>Honorarios</v>
      </c>
      <c r="H32" s="435">
        <f t="shared" si="2"/>
        <v>0</v>
      </c>
      <c r="I32" s="372">
        <f t="shared" si="1"/>
        <v>0</v>
      </c>
      <c r="J32" s="369">
        <f>IFERROR(I32/SUM(PROD!L33:L39),0)</f>
        <v>0</v>
      </c>
      <c r="K32" s="370">
        <f>IFERROR(J32/SUM(E32:E38,J32:J38,O32:O37),0)</f>
        <v>0</v>
      </c>
      <c r="L32" s="436" t="str">
        <f>$L$4</f>
        <v>Gastos de Viaje</v>
      </c>
      <c r="M32" s="435">
        <f t="shared" ref="M32:M37" si="8">M25</f>
        <v>0</v>
      </c>
      <c r="N32" s="372">
        <f>M32*12/52</f>
        <v>0</v>
      </c>
      <c r="O32" s="369">
        <f>IFERROR(N32/SUM(PROD!L33:L39),0)</f>
        <v>0</v>
      </c>
      <c r="P32" s="370">
        <f>IFERROR(O32/SUM(E32:E38,J32:J38,O32:O37),0)</f>
        <v>0</v>
      </c>
      <c r="Q32" s="373" t="str">
        <f>$Q$4</f>
        <v>AAAA</v>
      </c>
      <c r="R32" s="374">
        <f t="shared" si="4"/>
        <v>0</v>
      </c>
      <c r="S32" s="869">
        <f>SUM(PROD!AM33:AM39)</f>
        <v>0</v>
      </c>
      <c r="T32" s="375">
        <f>IF(AA32&gt;0,S32/AA32,0)</f>
        <v>0</v>
      </c>
      <c r="U32" s="376" t="str">
        <f>$U$4</f>
        <v>Prob Color</v>
      </c>
      <c r="V32" s="374">
        <f t="shared" si="5"/>
        <v>0</v>
      </c>
      <c r="W32" s="869">
        <f>SUM(PROD!AW33:AW39)</f>
        <v>0</v>
      </c>
      <c r="X32" s="375">
        <f>IFERROR(W32/(AA37-AA35),0)</f>
        <v>0</v>
      </c>
      <c r="Y32" s="377" t="s">
        <v>323</v>
      </c>
      <c r="Z32" s="378">
        <f>SUMPRODUCT(R32:R38,T32:T38)</f>
        <v>0</v>
      </c>
      <c r="AA32" s="379">
        <f>SUM(S32:S38)</f>
        <v>0</v>
      </c>
      <c r="AB32" s="490">
        <f>IF(AA37&gt;0,AA32/AA37,0)</f>
        <v>0</v>
      </c>
    </row>
    <row r="33" spans="1:28" ht="15.75" customHeight="1" x14ac:dyDescent="0.3">
      <c r="A33" s="2301"/>
      <c r="B33" s="438" t="str">
        <f>$B$5</f>
        <v>Amortización de Aves</v>
      </c>
      <c r="C33" s="381">
        <f>IFERROR((C26-(D33/'Pr-Sem'!$O$2)),0)</f>
        <v>0</v>
      </c>
      <c r="D33" s="382">
        <f>SUM(PROD!L33:L39)*E33</f>
        <v>0</v>
      </c>
      <c r="E33" s="383">
        <f>IF(SUM(PROD!L33:L39)&gt;0,IFERROR(($C$1-$C$2)/LOOKUP($B$2,'Pr-Sem'!$A$6:$A$108,'Pr-Sem'!$L$6:$L$108)*(LOOKUP(INVENTARIOS!$A32,'Pr-Sem'!$A$6:$A$108,'Pr-Sem'!$L$6:$L$108)-LOOKUP(INVENTARIOS!$A32-1,'Pr-Sem'!$A$6:$A$108,'Pr-Sem'!$L$6:$L$108))/(LOOKUP(INVENTARIOS!$A32,'Pr-Sem'!$A$6:$A$108,'Pr-Sem'!$K$6:$K$108)-LOOKUP(INVENTARIOS!$A32-1,'Pr-Sem'!$A$6:$A$108,'Pr-Sem'!$K$6:$K$108)),0),0)</f>
        <v>0</v>
      </c>
      <c r="F33" s="384">
        <f>IFERROR(E33/SUM(E32:E38,J32:J38,O32:O37),0)</f>
        <v>0</v>
      </c>
      <c r="G33" s="439" t="str">
        <f>$G$12</f>
        <v>Impuestos</v>
      </c>
      <c r="H33" s="440">
        <f t="shared" si="2"/>
        <v>0</v>
      </c>
      <c r="I33" s="387">
        <f t="shared" si="1"/>
        <v>0</v>
      </c>
      <c r="J33" s="383">
        <f>IFERROR(I33/SUM(PROD!L33:L39),0)</f>
        <v>0</v>
      </c>
      <c r="K33" s="384">
        <f>IFERROR(J33/SUM(E32:E38,J32:J38,O32:O37),0)</f>
        <v>0</v>
      </c>
      <c r="L33" s="439" t="str">
        <f>$L$5</f>
        <v>Depreciaciones</v>
      </c>
      <c r="M33" s="401">
        <f t="shared" si="8"/>
        <v>0</v>
      </c>
      <c r="N33" s="390">
        <f>M33*12/52</f>
        <v>0</v>
      </c>
      <c r="O33" s="383">
        <f>IFERROR(N33/SUM(PROD!L33:L39),0)</f>
        <v>0</v>
      </c>
      <c r="P33" s="384">
        <f>IFERROR(O33/SUM(E32:E38,J32:J38,O32:O37),0)</f>
        <v>0</v>
      </c>
      <c r="Q33" s="491" t="str">
        <f>$Q$5</f>
        <v>AAA</v>
      </c>
      <c r="R33" s="392">
        <f t="shared" si="4"/>
        <v>0</v>
      </c>
      <c r="S33" s="870">
        <f>SUM(PROD!AN33:AN39)</f>
        <v>0</v>
      </c>
      <c r="T33" s="492">
        <f>IF(AA32&gt;0,S33/AA32,0)</f>
        <v>0</v>
      </c>
      <c r="U33" s="493" t="str">
        <f>$U$5</f>
        <v>Prob Cásc</v>
      </c>
      <c r="V33" s="392">
        <f t="shared" si="5"/>
        <v>0</v>
      </c>
      <c r="W33" s="870">
        <f>SUM(PROD!AX33:AX39)</f>
        <v>0</v>
      </c>
      <c r="X33" s="492">
        <f>IFERROR(W33/(AA37-AA35),0)</f>
        <v>0</v>
      </c>
      <c r="Y33" s="395" t="s">
        <v>324</v>
      </c>
      <c r="Z33" s="396">
        <f>IFERROR(SUMPRODUCT(V32:V35,W32:W35)/SUM(W32:W35),0)</f>
        <v>0</v>
      </c>
      <c r="AA33" s="397">
        <f>SUM(W32:W35)</f>
        <v>0</v>
      </c>
      <c r="AB33" s="494">
        <f>IF(AA37&gt;0,AA33/AA37,0)</f>
        <v>0</v>
      </c>
    </row>
    <row r="34" spans="1:28" ht="15.75" customHeight="1" x14ac:dyDescent="0.3">
      <c r="A34" s="2301"/>
      <c r="B34" s="399" t="str">
        <f>$B$6</f>
        <v>Bandeja</v>
      </c>
      <c r="C34" s="400">
        <f>C27</f>
        <v>0</v>
      </c>
      <c r="D34" s="387">
        <f>C34*SUM(INVENTARIOS!R32:R38)</f>
        <v>0</v>
      </c>
      <c r="E34" s="383">
        <f>IFERROR(D34/SUM(PROD!L33:L39),0)</f>
        <v>0</v>
      </c>
      <c r="F34" s="384">
        <f>IFERROR(E34/SUM(E32:E38,J32:J38,O32:O37),0)</f>
        <v>0</v>
      </c>
      <c r="G34" s="439" t="str">
        <f>$G$13</f>
        <v>Arrendamientos</v>
      </c>
      <c r="H34" s="401">
        <f t="shared" si="2"/>
        <v>0</v>
      </c>
      <c r="I34" s="390">
        <f t="shared" si="1"/>
        <v>0</v>
      </c>
      <c r="J34" s="383">
        <f>IFERROR(I34/SUM(PROD!L33:L39),0)</f>
        <v>0</v>
      </c>
      <c r="K34" s="384">
        <f>IFERROR(J34/SUM(E32:E38,J32:J38,O32:O37),0)</f>
        <v>0</v>
      </c>
      <c r="L34" s="439" t="str">
        <f>$L$6</f>
        <v>Diversos</v>
      </c>
      <c r="M34" s="401">
        <f t="shared" si="8"/>
        <v>0</v>
      </c>
      <c r="N34" s="390">
        <f>M34*12/52</f>
        <v>0</v>
      </c>
      <c r="O34" s="383">
        <f>IFERROR(N34/SUM(PROD!L33:L39),0)</f>
        <v>0</v>
      </c>
      <c r="P34" s="384">
        <f>IFERROR(O34/SUM(E32:E38,J32:J38,O32:O37),0)</f>
        <v>0</v>
      </c>
      <c r="Q34" s="491" t="str">
        <f>$Q$6</f>
        <v>AA</v>
      </c>
      <c r="R34" s="392">
        <f t="shared" si="4"/>
        <v>0</v>
      </c>
      <c r="S34" s="870">
        <f>SUM(PROD!AO33:AO39)</f>
        <v>0</v>
      </c>
      <c r="T34" s="492">
        <f>IF(AA32&gt;0,S34/AA32,0)</f>
        <v>0</v>
      </c>
      <c r="U34" s="493" t="str">
        <f>$U$6</f>
        <v>Vencido</v>
      </c>
      <c r="V34" s="392">
        <f t="shared" si="5"/>
        <v>0</v>
      </c>
      <c r="W34" s="870">
        <f>SUM(PROD!AY33:AY39)</f>
        <v>0</v>
      </c>
      <c r="X34" s="492">
        <f>IFERROR(W34/(AA37-AA35),0)</f>
        <v>0</v>
      </c>
      <c r="Y34" s="402" t="s">
        <v>391</v>
      </c>
      <c r="Z34" s="456">
        <v>0</v>
      </c>
      <c r="AA34" s="720"/>
      <c r="AB34" s="495">
        <f>IF(AA37&gt;0,AA34/AA37,0)</f>
        <v>0</v>
      </c>
    </row>
    <row r="35" spans="1:28" ht="15.75" customHeight="1" x14ac:dyDescent="0.3">
      <c r="A35" s="2301"/>
      <c r="B35" s="438" t="str">
        <f>$B$7</f>
        <v>Mortalidad Aves</v>
      </c>
      <c r="C35" s="401">
        <f>IF(A32&lt;=$B$2,C33+$C$2,0)</f>
        <v>0</v>
      </c>
      <c r="D35" s="390">
        <f>C35*SUM(PROD!D33:D39)</f>
        <v>0</v>
      </c>
      <c r="E35" s="383">
        <f>IFERROR(D35/SUM(PROD!L33:L39),0)</f>
        <v>0</v>
      </c>
      <c r="F35" s="384">
        <f>IFERROR(E35/SUM(E32:E38,J32:J38,O32:O37),0)</f>
        <v>0</v>
      </c>
      <c r="G35" s="439" t="str">
        <f>$G$14</f>
        <v>Servicios Públicos</v>
      </c>
      <c r="H35" s="401">
        <f t="shared" si="2"/>
        <v>0</v>
      </c>
      <c r="I35" s="390">
        <f t="shared" si="1"/>
        <v>0</v>
      </c>
      <c r="J35" s="383">
        <f>IFERROR(I35/SUM(PROD!L33:L39),0)</f>
        <v>0</v>
      </c>
      <c r="K35" s="384">
        <f>IFERROR(J35/SUM(E32:E38,J32:J38,O32:O37),0)</f>
        <v>0</v>
      </c>
      <c r="L35" s="441" t="str">
        <f>$L$7</f>
        <v>Administrativos</v>
      </c>
      <c r="M35" s="401">
        <f t="shared" si="8"/>
        <v>0</v>
      </c>
      <c r="N35" s="404">
        <f>M35*0.230769230769231</f>
        <v>0</v>
      </c>
      <c r="O35" s="383">
        <f>IFERROR(N35/SUM(PROD!L33:L39),0)</f>
        <v>0</v>
      </c>
      <c r="P35" s="384">
        <f>IFERROR(O35/SUM(E32:E38,J32:J38,O32:O37),0)</f>
        <v>0</v>
      </c>
      <c r="Q35" s="491" t="str">
        <f>$Q$7</f>
        <v>A</v>
      </c>
      <c r="R35" s="392">
        <f t="shared" si="4"/>
        <v>0</v>
      </c>
      <c r="S35" s="870">
        <f>SUM(PROD!AP33:AP39)</f>
        <v>0</v>
      </c>
      <c r="T35" s="492">
        <f>IF(AA32&gt;0,S35/AA32,0)</f>
        <v>0</v>
      </c>
      <c r="U35" s="405" t="str">
        <f>$U$7</f>
        <v>Roto</v>
      </c>
      <c r="V35" s="406">
        <f t="shared" si="5"/>
        <v>0</v>
      </c>
      <c r="W35" s="872">
        <f>SUM(PROD!AZ33:AZ39)</f>
        <v>0</v>
      </c>
      <c r="X35" s="407">
        <f>IFERROR(W35/(AA37-AA35),0)</f>
        <v>0</v>
      </c>
      <c r="Y35" s="408" t="s">
        <v>359</v>
      </c>
      <c r="Z35" s="442">
        <v>215</v>
      </c>
      <c r="AA35" s="410">
        <f>SUM(PROD!L33:L39)-SUM(W32:W38)-SUM(S32:S38)-AA34</f>
        <v>0</v>
      </c>
      <c r="AB35" s="496">
        <f>IF(AA37&gt;0,AA35/AA37,0)</f>
        <v>0</v>
      </c>
    </row>
    <row r="36" spans="1:28" ht="15.75" customHeight="1" x14ac:dyDescent="0.3">
      <c r="A36" s="2301"/>
      <c r="B36" s="399" t="str">
        <f>$B$8</f>
        <v>Materia Prima (Carb Ca, etc.)</v>
      </c>
      <c r="C36" s="440">
        <f>C29</f>
        <v>0</v>
      </c>
      <c r="D36" s="387">
        <f>C36*12/52</f>
        <v>0</v>
      </c>
      <c r="E36" s="383">
        <f>IFERROR(D36/SUM(PROD!L33:L39),0)</f>
        <v>0</v>
      </c>
      <c r="F36" s="384">
        <f>IFERROR(E36/SUM(E32:E38,J32:J38,O32:O37),0)</f>
        <v>0</v>
      </c>
      <c r="G36" s="441" t="str">
        <f>$G$15</f>
        <v>Gastos Legales</v>
      </c>
      <c r="H36" s="401">
        <f t="shared" si="2"/>
        <v>0</v>
      </c>
      <c r="I36" s="390">
        <f t="shared" si="1"/>
        <v>0</v>
      </c>
      <c r="J36" s="383">
        <f>IFERROR(I36/SUM(PROD!L33:L39),0)</f>
        <v>0</v>
      </c>
      <c r="K36" s="384">
        <f>IFERROR(J36/SUM(E32:E38,J32:J38,O32:O37),0)</f>
        <v>0</v>
      </c>
      <c r="L36" s="439" t="str">
        <f>$L$8</f>
        <v>Fletes</v>
      </c>
      <c r="M36" s="401">
        <f t="shared" si="8"/>
        <v>0</v>
      </c>
      <c r="N36" s="404">
        <f>M36*0.230769230769231</f>
        <v>0</v>
      </c>
      <c r="O36" s="383">
        <f>IFERROR(N36/SUM(PROD!L33:L39),0)</f>
        <v>0</v>
      </c>
      <c r="P36" s="384">
        <f>IFERROR(O36/SUM(E32:E38,J32:J38,O32:O37),0)</f>
        <v>0</v>
      </c>
      <c r="Q36" s="491" t="str">
        <f>$Q$8</f>
        <v>B</v>
      </c>
      <c r="R36" s="392">
        <f t="shared" si="4"/>
        <v>0</v>
      </c>
      <c r="S36" s="870">
        <f>SUM(PROD!AQ33:AQ39)</f>
        <v>0</v>
      </c>
      <c r="T36" s="492">
        <f>IF(AA32&gt;0,S36/AA32,0)</f>
        <v>0</v>
      </c>
      <c r="U36" s="395" t="str">
        <f>$U$8</f>
        <v>Rev. Gr.</v>
      </c>
      <c r="V36" s="412">
        <f t="shared" si="5"/>
        <v>0</v>
      </c>
      <c r="W36" s="873">
        <f>SUM(PROD!AT33:AT39)</f>
        <v>0</v>
      </c>
      <c r="X36" s="413">
        <f>IFERROR(W36/(AA37-AA35),0)</f>
        <v>0</v>
      </c>
      <c r="Y36" s="414" t="s">
        <v>262</v>
      </c>
      <c r="Z36" s="415">
        <f>IFERROR(SUMPRODUCT(V36:V38,W36:W38)/SUM(W36:W38),0)</f>
        <v>0</v>
      </c>
      <c r="AA36" s="416">
        <f>SUM(W36:W38)</f>
        <v>0</v>
      </c>
      <c r="AB36" s="497">
        <f>IF(AA37&gt;0,AA36/AA37,0)</f>
        <v>0</v>
      </c>
    </row>
    <row r="37" spans="1:28" ht="15.75" customHeight="1" x14ac:dyDescent="0.3">
      <c r="A37" s="2301"/>
      <c r="B37" s="438" t="str">
        <f>$B$9</f>
        <v>Vacunas y medicamentos</v>
      </c>
      <c r="C37" s="443">
        <f>C30</f>
        <v>0</v>
      </c>
      <c r="D37" s="387">
        <f>C37*12/52</f>
        <v>0</v>
      </c>
      <c r="E37" s="383">
        <f>IFERROR(D37/SUM(PROD!L33:L39),0)</f>
        <v>0</v>
      </c>
      <c r="F37" s="384">
        <f>IFERROR(E37/SUM(E32:E38,J32:J38,O32:O37),0)</f>
        <v>0</v>
      </c>
      <c r="G37" s="441" t="str">
        <f>$G$16</f>
        <v>Mantenimiento y Reparaciones</v>
      </c>
      <c r="H37" s="401">
        <f t="shared" si="2"/>
        <v>0</v>
      </c>
      <c r="I37" s="390">
        <f t="shared" si="1"/>
        <v>0</v>
      </c>
      <c r="J37" s="383">
        <f>IFERROR(I37/SUM(PROD!L33:L39),0)</f>
        <v>0</v>
      </c>
      <c r="K37" s="384">
        <f>IFERROR(J37/SUM(E32:E38,J32:J38,O32:O37),0)</f>
        <v>0</v>
      </c>
      <c r="L37" s="439">
        <f>$L$9</f>
        <v>0</v>
      </c>
      <c r="M37" s="401">
        <f t="shared" si="8"/>
        <v>0</v>
      </c>
      <c r="N37" s="404">
        <f>M37*0.230769230769231</f>
        <v>0</v>
      </c>
      <c r="O37" s="383">
        <f>IFERROR(N37/SUM(PROD!L33:L39),0)</f>
        <v>0</v>
      </c>
      <c r="P37" s="384">
        <f>IFERROR(O37/SUM(E32:E38,J32:J38,O32:O37),0)</f>
        <v>0</v>
      </c>
      <c r="Q37" s="491" t="str">
        <f>$Q$9</f>
        <v>C</v>
      </c>
      <c r="R37" s="392">
        <f t="shared" si="4"/>
        <v>0</v>
      </c>
      <c r="S37" s="870">
        <f>SUM(PROD!AR33:AR39)</f>
        <v>0</v>
      </c>
      <c r="T37" s="492">
        <f>IF(AA32&gt;0,S37/AA32,0)</f>
        <v>0</v>
      </c>
      <c r="U37" s="493" t="str">
        <f>$U$9</f>
        <v>Rev. Med</v>
      </c>
      <c r="V37" s="392">
        <f t="shared" si="5"/>
        <v>0</v>
      </c>
      <c r="W37" s="870">
        <f>SUM(PROD!AU33:AU39)</f>
        <v>0</v>
      </c>
      <c r="X37" s="498">
        <f>IFERROR(W37/(AA37-AA35),0)</f>
        <v>0</v>
      </c>
      <c r="Y37" s="2303" t="s">
        <v>325</v>
      </c>
      <c r="Z37" s="2305">
        <f>SUMPRODUCT(Z32:Z36,AB32:AB36)</f>
        <v>0</v>
      </c>
      <c r="AA37" s="2307">
        <f>SUM(AA32:AA35)</f>
        <v>0</v>
      </c>
      <c r="AB37" s="2308"/>
    </row>
    <row r="38" spans="1:28" ht="16.5" customHeight="1" thickBot="1" x14ac:dyDescent="0.35">
      <c r="A38" s="2302"/>
      <c r="B38" s="444" t="str">
        <f>$B$10</f>
        <v>Gastos de Personal</v>
      </c>
      <c r="C38" s="445">
        <f>C31</f>
        <v>0</v>
      </c>
      <c r="D38" s="421">
        <f>C38*12/52</f>
        <v>0</v>
      </c>
      <c r="E38" s="446">
        <f>IFERROR(D38/SUM(PROD!L33:L39),0)</f>
        <v>0</v>
      </c>
      <c r="F38" s="447">
        <f>IFERROR(E38/SUM(E32:E38,J32:J38,O32:O37),0)</f>
        <v>0</v>
      </c>
      <c r="G38" s="448" t="str">
        <f>$G$17</f>
        <v>Adecuación Instalaciones</v>
      </c>
      <c r="H38" s="445">
        <f t="shared" si="2"/>
        <v>0</v>
      </c>
      <c r="I38" s="426">
        <f t="shared" si="1"/>
        <v>0</v>
      </c>
      <c r="J38" s="446">
        <f>IFERROR(I38/SUM(PROD!L33:L39),0)</f>
        <v>0</v>
      </c>
      <c r="K38" s="447">
        <f>IFERROR(J38/SUM(E32:E38,J32:J38,O32:O37),0)</f>
        <v>0</v>
      </c>
      <c r="L38" s="2311" t="str">
        <f>$L$10</f>
        <v>TOTAL COSTO PRODUCCIÓN</v>
      </c>
      <c r="M38" s="2312"/>
      <c r="N38" s="427">
        <f>SUM(D32:D38,I32:I38,N32:N37)</f>
        <v>0</v>
      </c>
      <c r="O38" s="449">
        <f>IFERROR(N38/SUM(PROD!L33:L39),0)</f>
        <v>0</v>
      </c>
      <c r="P38" s="447">
        <f>IFERROR(O38/SUM(E32:E38,J32:J38,O32:O37),0)</f>
        <v>0</v>
      </c>
      <c r="Q38" s="429" t="str">
        <f>$Q$10</f>
        <v>D</v>
      </c>
      <c r="R38" s="499">
        <f t="shared" si="4"/>
        <v>0</v>
      </c>
      <c r="S38" s="871">
        <f>SUM(PROD!AS33:AS39)</f>
        <v>0</v>
      </c>
      <c r="T38" s="431">
        <f>IF(AA32&gt;0,S38/AA32,0)</f>
        <v>0</v>
      </c>
      <c r="U38" s="432" t="str">
        <f>$U$10</f>
        <v>Rev. Peq</v>
      </c>
      <c r="V38" s="499">
        <f t="shared" si="5"/>
        <v>0</v>
      </c>
      <c r="W38" s="871">
        <f>SUM(PROD!AV33:AV39)</f>
        <v>0</v>
      </c>
      <c r="X38" s="431">
        <f>IFERROR(W38/(AA37-AA35),0)</f>
        <v>0</v>
      </c>
      <c r="Y38" s="2304"/>
      <c r="Z38" s="2306"/>
      <c r="AA38" s="2309"/>
      <c r="AB38" s="2310"/>
    </row>
    <row r="39" spans="1:28" ht="16.5" customHeight="1" x14ac:dyDescent="0.3">
      <c r="A39" s="2300">
        <f>A32+1</f>
        <v>23</v>
      </c>
      <c r="B39" s="433" t="str">
        <f>$B$4</f>
        <v>ALIMENTO Kilos</v>
      </c>
      <c r="C39" s="435">
        <f>LOOKUP($A39,PROD!$A$5:$A$725,PROD!$AH$10:$AH$730)</f>
        <v>0</v>
      </c>
      <c r="D39" s="368">
        <f>C39*LOOKUP($A39,'Pr-Sem'!$A$6:$A$108,'Pr-Sem'!$N$6:$N$108)/(PROD!$A$1/1000)</f>
        <v>0</v>
      </c>
      <c r="E39" s="369">
        <f>IFERROR(D39/SUM(PROD!L40:L46),0)</f>
        <v>0</v>
      </c>
      <c r="F39" s="370">
        <f>IFERROR(E39/SUM(E39:E45,J39:J45,O39:O44),0)</f>
        <v>0</v>
      </c>
      <c r="G39" s="434" t="str">
        <f>$G$11</f>
        <v>Honorarios</v>
      </c>
      <c r="H39" s="435">
        <f t="shared" si="2"/>
        <v>0</v>
      </c>
      <c r="I39" s="372">
        <f t="shared" si="1"/>
        <v>0</v>
      </c>
      <c r="J39" s="369">
        <f>IFERROR(I39/SUM(PROD!L40:L46),0)</f>
        <v>0</v>
      </c>
      <c r="K39" s="370">
        <f>IFERROR(J39/SUM(E39:E45,J39:J45,O39:O44),0)</f>
        <v>0</v>
      </c>
      <c r="L39" s="436" t="str">
        <f>$L$4</f>
        <v>Gastos de Viaje</v>
      </c>
      <c r="M39" s="435">
        <f t="shared" ref="M39:M44" si="9">M32</f>
        <v>0</v>
      </c>
      <c r="N39" s="372">
        <f>M39*12/52</f>
        <v>0</v>
      </c>
      <c r="O39" s="369">
        <f>IFERROR(N39/SUM(PROD!L40:L46),0)</f>
        <v>0</v>
      </c>
      <c r="P39" s="370">
        <f>IFERROR(O39/SUM(E39:E45,J39:J45,O39:O44),0)</f>
        <v>0</v>
      </c>
      <c r="Q39" s="373" t="str">
        <f>$Q$4</f>
        <v>AAAA</v>
      </c>
      <c r="R39" s="374">
        <f t="shared" si="4"/>
        <v>0</v>
      </c>
      <c r="S39" s="869">
        <f>SUM(PROD!AM40:AM46)</f>
        <v>0</v>
      </c>
      <c r="T39" s="375">
        <f>IF(AA39&gt;0,S39/AA39,0)</f>
        <v>0</v>
      </c>
      <c r="U39" s="376" t="str">
        <f>$U$4</f>
        <v>Prob Color</v>
      </c>
      <c r="V39" s="374">
        <f t="shared" si="5"/>
        <v>0</v>
      </c>
      <c r="W39" s="869">
        <f>SUM(PROD!AW40:AW46)</f>
        <v>0</v>
      </c>
      <c r="X39" s="375">
        <f>IFERROR(W39/(AA44-AA42),0)</f>
        <v>0</v>
      </c>
      <c r="Y39" s="377" t="s">
        <v>323</v>
      </c>
      <c r="Z39" s="378">
        <f>SUMPRODUCT(R39:R45,T39:T45)</f>
        <v>0</v>
      </c>
      <c r="AA39" s="379">
        <f>SUM(S39:S45)</f>
        <v>0</v>
      </c>
      <c r="AB39" s="490">
        <f>IF(AA44&gt;0,AA39/AA44,0)</f>
        <v>0</v>
      </c>
    </row>
    <row r="40" spans="1:28" ht="15.75" customHeight="1" x14ac:dyDescent="0.3">
      <c r="A40" s="2301"/>
      <c r="B40" s="438" t="str">
        <f>$B$5</f>
        <v>Amortización de Aves</v>
      </c>
      <c r="C40" s="381">
        <f>IFERROR((C33-(D40/'Pr-Sem'!$O$2)),0)</f>
        <v>0</v>
      </c>
      <c r="D40" s="382">
        <f>SUM(PROD!L40:L46)*E40</f>
        <v>0</v>
      </c>
      <c r="E40" s="383">
        <f>IF(SUM(PROD!L40:L46)&gt;0,IFERROR(($C$1-$C$2)/LOOKUP($B$2,'Pr-Sem'!$A$6:$A$108,'Pr-Sem'!$L$6:$L$108)*(LOOKUP(INVENTARIOS!$A39,'Pr-Sem'!$A$6:$A$108,'Pr-Sem'!$L$6:$L$108)-LOOKUP(INVENTARIOS!$A39-1,'Pr-Sem'!$A$6:$A$108,'Pr-Sem'!$L$6:$L$108))/(LOOKUP(INVENTARIOS!$A39,'Pr-Sem'!$A$6:$A$108,'Pr-Sem'!$K$6:$K$108)-LOOKUP(INVENTARIOS!$A39-1,'Pr-Sem'!$A$6:$A$108,'Pr-Sem'!$K$6:$K$108)),0),0)</f>
        <v>0</v>
      </c>
      <c r="F40" s="384">
        <f>IFERROR(E40/SUM(E39:E45,J39:J45,O39:O44),0)</f>
        <v>0</v>
      </c>
      <c r="G40" s="439" t="str">
        <f>$G$12</f>
        <v>Impuestos</v>
      </c>
      <c r="H40" s="440">
        <f t="shared" si="2"/>
        <v>0</v>
      </c>
      <c r="I40" s="387">
        <f t="shared" si="1"/>
        <v>0</v>
      </c>
      <c r="J40" s="383">
        <f>IFERROR(I40/SUM(PROD!L40:L46),0)</f>
        <v>0</v>
      </c>
      <c r="K40" s="384">
        <f>IFERROR(J40/SUM(E39:E45,J39:J45,O39:O44),0)</f>
        <v>0</v>
      </c>
      <c r="L40" s="439" t="str">
        <f>$L$5</f>
        <v>Depreciaciones</v>
      </c>
      <c r="M40" s="401">
        <f t="shared" si="9"/>
        <v>0</v>
      </c>
      <c r="N40" s="390">
        <f>M40*12/52</f>
        <v>0</v>
      </c>
      <c r="O40" s="383">
        <f>IFERROR(N40/SUM(PROD!L40:L46),0)</f>
        <v>0</v>
      </c>
      <c r="P40" s="384">
        <f>IFERROR(O40/SUM(E39:E45,J39:J45,O39:O44),0)</f>
        <v>0</v>
      </c>
      <c r="Q40" s="491" t="str">
        <f>$Q$5</f>
        <v>AAA</v>
      </c>
      <c r="R40" s="392">
        <f t="shared" si="4"/>
        <v>0</v>
      </c>
      <c r="S40" s="870">
        <f>SUM(PROD!AN40:AN46)</f>
        <v>0</v>
      </c>
      <c r="T40" s="492">
        <f>IF(AA39&gt;0,S40/AA39,0)</f>
        <v>0</v>
      </c>
      <c r="U40" s="493" t="str">
        <f>$U$5</f>
        <v>Prob Cásc</v>
      </c>
      <c r="V40" s="392">
        <f t="shared" si="5"/>
        <v>0</v>
      </c>
      <c r="W40" s="870">
        <f>SUM(PROD!AX40:AX46)</f>
        <v>0</v>
      </c>
      <c r="X40" s="492">
        <f>IFERROR(W40/(AA44-AA42),0)</f>
        <v>0</v>
      </c>
      <c r="Y40" s="395" t="s">
        <v>324</v>
      </c>
      <c r="Z40" s="396">
        <f>IFERROR(SUMPRODUCT(V39:V42,W39:W42)/SUM(W39:W42),0)</f>
        <v>0</v>
      </c>
      <c r="AA40" s="397">
        <f>SUM(W39:W42)</f>
        <v>0</v>
      </c>
      <c r="AB40" s="494">
        <f>IF(AA44&gt;0,AA40/AA44,0)</f>
        <v>0</v>
      </c>
    </row>
    <row r="41" spans="1:28" ht="15.75" customHeight="1" x14ac:dyDescent="0.3">
      <c r="A41" s="2301"/>
      <c r="B41" s="399" t="str">
        <f>$B$6</f>
        <v>Bandeja</v>
      </c>
      <c r="C41" s="400">
        <f>C34</f>
        <v>0</v>
      </c>
      <c r="D41" s="387">
        <f>C41*SUM(INVENTARIOS!R39:R45)</f>
        <v>0</v>
      </c>
      <c r="E41" s="383">
        <f>IFERROR(D41/SUM(PROD!L40:L46),0)</f>
        <v>0</v>
      </c>
      <c r="F41" s="384">
        <f>IFERROR(E41/SUM(E39:E45,J39:J45,O39:O44),0)</f>
        <v>0</v>
      </c>
      <c r="G41" s="439" t="str">
        <f>$G$13</f>
        <v>Arrendamientos</v>
      </c>
      <c r="H41" s="401">
        <f t="shared" si="2"/>
        <v>0</v>
      </c>
      <c r="I41" s="390">
        <f t="shared" si="1"/>
        <v>0</v>
      </c>
      <c r="J41" s="383">
        <f>IFERROR(I41/SUM(PROD!L40:L46),0)</f>
        <v>0</v>
      </c>
      <c r="K41" s="384">
        <f>IFERROR(J41/SUM(E39:E45,J39:J45,O39:O44),0)</f>
        <v>0</v>
      </c>
      <c r="L41" s="439" t="str">
        <f>$L$6</f>
        <v>Diversos</v>
      </c>
      <c r="M41" s="401">
        <f t="shared" si="9"/>
        <v>0</v>
      </c>
      <c r="N41" s="390">
        <f>M41*12/52</f>
        <v>0</v>
      </c>
      <c r="O41" s="383">
        <f>IFERROR(N41/SUM(PROD!L40:L46),0)</f>
        <v>0</v>
      </c>
      <c r="P41" s="384">
        <f>IFERROR(O41/SUM(E39:E45,J39:J45,O39:O44),0)</f>
        <v>0</v>
      </c>
      <c r="Q41" s="491" t="str">
        <f>$Q$6</f>
        <v>AA</v>
      </c>
      <c r="R41" s="392">
        <f t="shared" si="4"/>
        <v>0</v>
      </c>
      <c r="S41" s="870">
        <f>SUM(PROD!AO40:AO46)</f>
        <v>0</v>
      </c>
      <c r="T41" s="492">
        <f>IF(AA39&gt;0,S41/AA39,0)</f>
        <v>0</v>
      </c>
      <c r="U41" s="493" t="str">
        <f>$U$6</f>
        <v>Vencido</v>
      </c>
      <c r="V41" s="392">
        <f t="shared" si="5"/>
        <v>0</v>
      </c>
      <c r="W41" s="870">
        <f>SUM(PROD!AY40:AY46)</f>
        <v>0</v>
      </c>
      <c r="X41" s="492">
        <f>IFERROR(W41/(AA44-AA42),0)</f>
        <v>0</v>
      </c>
      <c r="Y41" s="402" t="s">
        <v>391</v>
      </c>
      <c r="Z41" s="456">
        <v>0</v>
      </c>
      <c r="AA41" s="720"/>
      <c r="AB41" s="495">
        <f>IF(AA44&gt;0,AA41/AA44,0)</f>
        <v>0</v>
      </c>
    </row>
    <row r="42" spans="1:28" ht="15.75" customHeight="1" x14ac:dyDescent="0.3">
      <c r="A42" s="2301"/>
      <c r="B42" s="438" t="str">
        <f>$B$7</f>
        <v>Mortalidad Aves</v>
      </c>
      <c r="C42" s="401">
        <f>IF(A39&lt;=$B$2,C40+$C$2,0)</f>
        <v>0</v>
      </c>
      <c r="D42" s="390">
        <f>C42*SUM(PROD!D40:D46)</f>
        <v>0</v>
      </c>
      <c r="E42" s="383">
        <f>IFERROR(D42/SUM(PROD!L40:L46),0)</f>
        <v>0</v>
      </c>
      <c r="F42" s="384">
        <f>IFERROR(E42/SUM(E39:E45,J39:J45,O39:O44),0)</f>
        <v>0</v>
      </c>
      <c r="G42" s="439" t="str">
        <f>$G$14</f>
        <v>Servicios Públicos</v>
      </c>
      <c r="H42" s="401">
        <f t="shared" si="2"/>
        <v>0</v>
      </c>
      <c r="I42" s="390">
        <f t="shared" si="1"/>
        <v>0</v>
      </c>
      <c r="J42" s="383">
        <f>IFERROR(I42/SUM(PROD!L40:L46),0)</f>
        <v>0</v>
      </c>
      <c r="K42" s="384">
        <f>IFERROR(J42/SUM(E39:E45,J39:J45,O39:O44),0)</f>
        <v>0</v>
      </c>
      <c r="L42" s="441" t="str">
        <f>$L$7</f>
        <v>Administrativos</v>
      </c>
      <c r="M42" s="401">
        <f t="shared" si="9"/>
        <v>0</v>
      </c>
      <c r="N42" s="404">
        <f>M42*0.230769230769231</f>
        <v>0</v>
      </c>
      <c r="O42" s="383">
        <f>IFERROR(N42/SUM(PROD!L40:L46),0)</f>
        <v>0</v>
      </c>
      <c r="P42" s="384">
        <f>IFERROR(O42/SUM(E39:E45,J39:J45,O39:O44),0)</f>
        <v>0</v>
      </c>
      <c r="Q42" s="491" t="str">
        <f>$Q$7</f>
        <v>A</v>
      </c>
      <c r="R42" s="392">
        <f t="shared" si="4"/>
        <v>0</v>
      </c>
      <c r="S42" s="870">
        <f>SUM(PROD!AP40:AP46)</f>
        <v>0</v>
      </c>
      <c r="T42" s="492">
        <f>IF(AA39&gt;0,S42/AA39,0)</f>
        <v>0</v>
      </c>
      <c r="U42" s="405" t="str">
        <f>$U$7</f>
        <v>Roto</v>
      </c>
      <c r="V42" s="406">
        <f t="shared" si="5"/>
        <v>0</v>
      </c>
      <c r="W42" s="872">
        <f>SUM(PROD!AZ40:AZ46)</f>
        <v>0</v>
      </c>
      <c r="X42" s="407">
        <f>IFERROR(W42/(AA44-AA42),0)</f>
        <v>0</v>
      </c>
      <c r="Y42" s="408" t="s">
        <v>359</v>
      </c>
      <c r="Z42" s="442">
        <v>215</v>
      </c>
      <c r="AA42" s="410">
        <f>SUM(PROD!L40:L46)-SUM(W39:W45)-SUM(S39:S45)-AA41</f>
        <v>0</v>
      </c>
      <c r="AB42" s="496">
        <f>IF(AA44&gt;0,AA42/AA44,0)</f>
        <v>0</v>
      </c>
    </row>
    <row r="43" spans="1:28" ht="15.75" customHeight="1" x14ac:dyDescent="0.3">
      <c r="A43" s="2301"/>
      <c r="B43" s="399" t="str">
        <f>$B$8</f>
        <v>Materia Prima (Carb Ca, etc.)</v>
      </c>
      <c r="C43" s="440">
        <f>C36</f>
        <v>0</v>
      </c>
      <c r="D43" s="387">
        <f>C43*12/52</f>
        <v>0</v>
      </c>
      <c r="E43" s="383">
        <f>IFERROR(D43/SUM(PROD!L40:L46),0)</f>
        <v>0</v>
      </c>
      <c r="F43" s="384">
        <f>IFERROR(E43/SUM(E39:E45,J39:J45,O39:O44),0)</f>
        <v>0</v>
      </c>
      <c r="G43" s="441" t="str">
        <f>$G$15</f>
        <v>Gastos Legales</v>
      </c>
      <c r="H43" s="401">
        <f t="shared" si="2"/>
        <v>0</v>
      </c>
      <c r="I43" s="390">
        <f t="shared" si="1"/>
        <v>0</v>
      </c>
      <c r="J43" s="383">
        <f>IFERROR(I43/SUM(PROD!L40:L46),0)</f>
        <v>0</v>
      </c>
      <c r="K43" s="384">
        <f>IFERROR(J43/SUM(E39:E45,J39:J45,O39:O44),0)</f>
        <v>0</v>
      </c>
      <c r="L43" s="439" t="str">
        <f>$L$8</f>
        <v>Fletes</v>
      </c>
      <c r="M43" s="401">
        <f t="shared" si="9"/>
        <v>0</v>
      </c>
      <c r="N43" s="404">
        <f>M43*0.230769230769231</f>
        <v>0</v>
      </c>
      <c r="O43" s="383">
        <f>IFERROR(N43/SUM(PROD!L40:L46),0)</f>
        <v>0</v>
      </c>
      <c r="P43" s="384">
        <f>IFERROR(O43/SUM(E39:E45,J39:J45,O39:O44),0)</f>
        <v>0</v>
      </c>
      <c r="Q43" s="491" t="str">
        <f>$Q$8</f>
        <v>B</v>
      </c>
      <c r="R43" s="392">
        <f t="shared" si="4"/>
        <v>0</v>
      </c>
      <c r="S43" s="870">
        <f>SUM(PROD!AQ40:AQ46)</f>
        <v>0</v>
      </c>
      <c r="T43" s="492">
        <f>IF(AA39&gt;0,S43/AA39,0)</f>
        <v>0</v>
      </c>
      <c r="U43" s="395" t="str">
        <f>$U$8</f>
        <v>Rev. Gr.</v>
      </c>
      <c r="V43" s="412">
        <f t="shared" si="5"/>
        <v>0</v>
      </c>
      <c r="W43" s="873">
        <f>SUM(PROD!AT40:AT46)</f>
        <v>0</v>
      </c>
      <c r="X43" s="413">
        <f>IFERROR(W43/(AA44-AA42),0)</f>
        <v>0</v>
      </c>
      <c r="Y43" s="414" t="s">
        <v>262</v>
      </c>
      <c r="Z43" s="415">
        <f>IFERROR(SUMPRODUCT(V43:V45,W43:W45)/SUM(W43:W45),0)</f>
        <v>0</v>
      </c>
      <c r="AA43" s="416">
        <f>SUM(W43:W45)</f>
        <v>0</v>
      </c>
      <c r="AB43" s="497">
        <f>IF(AA44&gt;0,AA43/AA44,0)</f>
        <v>0</v>
      </c>
    </row>
    <row r="44" spans="1:28" ht="15.75" customHeight="1" x14ac:dyDescent="0.3">
      <c r="A44" s="2301"/>
      <c r="B44" s="438" t="str">
        <f>$B$9</f>
        <v>Vacunas y medicamentos</v>
      </c>
      <c r="C44" s="443">
        <f>C37</f>
        <v>0</v>
      </c>
      <c r="D44" s="387">
        <f>C44*12/52</f>
        <v>0</v>
      </c>
      <c r="E44" s="383">
        <f>IFERROR(D44/SUM(PROD!L40:L46),0)</f>
        <v>0</v>
      </c>
      <c r="F44" s="384">
        <f>IFERROR(E44/SUM(E39:E45,J39:J45,O39:O44),0)</f>
        <v>0</v>
      </c>
      <c r="G44" s="441" t="str">
        <f>$G$16</f>
        <v>Mantenimiento y Reparaciones</v>
      </c>
      <c r="H44" s="401">
        <f t="shared" si="2"/>
        <v>0</v>
      </c>
      <c r="I44" s="390">
        <f t="shared" si="1"/>
        <v>0</v>
      </c>
      <c r="J44" s="383">
        <f>IFERROR(I44/SUM(PROD!L40:L46),0)</f>
        <v>0</v>
      </c>
      <c r="K44" s="384">
        <f>IFERROR(J44/SUM(E39:E45,J39:J45,O39:O44),0)</f>
        <v>0</v>
      </c>
      <c r="L44" s="439">
        <f>$L$9</f>
        <v>0</v>
      </c>
      <c r="M44" s="401">
        <f t="shared" si="9"/>
        <v>0</v>
      </c>
      <c r="N44" s="404">
        <f>M44*0.230769230769231</f>
        <v>0</v>
      </c>
      <c r="O44" s="383">
        <f>IFERROR(N44/SUM(PROD!L40:L46),0)</f>
        <v>0</v>
      </c>
      <c r="P44" s="384">
        <f>IFERROR(O44/SUM(E39:E45,J39:J45,O39:O44),0)</f>
        <v>0</v>
      </c>
      <c r="Q44" s="491" t="str">
        <f>$Q$9</f>
        <v>C</v>
      </c>
      <c r="R44" s="392">
        <f t="shared" si="4"/>
        <v>0</v>
      </c>
      <c r="S44" s="870">
        <f>SUM(PROD!AR40:AR46)</f>
        <v>0</v>
      </c>
      <c r="T44" s="492">
        <f>IF(AA39&gt;0,S44/AA39,0)</f>
        <v>0</v>
      </c>
      <c r="U44" s="493" t="str">
        <f>$U$9</f>
        <v>Rev. Med</v>
      </c>
      <c r="V44" s="392">
        <f t="shared" si="5"/>
        <v>0</v>
      </c>
      <c r="W44" s="870">
        <f>SUM(PROD!AU40:AU46)</f>
        <v>0</v>
      </c>
      <c r="X44" s="498">
        <f>IFERROR(W44/(AA44-AA42),0)</f>
        <v>0</v>
      </c>
      <c r="Y44" s="2303" t="s">
        <v>325</v>
      </c>
      <c r="Z44" s="2305">
        <f>SUMPRODUCT(Z39:Z43,AB39:AB43)</f>
        <v>0</v>
      </c>
      <c r="AA44" s="2307">
        <f>SUM(AA39:AA42)</f>
        <v>0</v>
      </c>
      <c r="AB44" s="2308"/>
    </row>
    <row r="45" spans="1:28" ht="16.5" customHeight="1" thickBot="1" x14ac:dyDescent="0.35">
      <c r="A45" s="2302"/>
      <c r="B45" s="444" t="str">
        <f>$B$10</f>
        <v>Gastos de Personal</v>
      </c>
      <c r="C45" s="445">
        <f>C38</f>
        <v>0</v>
      </c>
      <c r="D45" s="421">
        <f>C45*12/52</f>
        <v>0</v>
      </c>
      <c r="E45" s="446">
        <f>IFERROR(D45/SUM(PROD!L40:L46),0)</f>
        <v>0</v>
      </c>
      <c r="F45" s="447">
        <f>IFERROR(E45/SUM(E39:E45,J39:J45,O39:O44),0)</f>
        <v>0</v>
      </c>
      <c r="G45" s="448" t="str">
        <f>$G$17</f>
        <v>Adecuación Instalaciones</v>
      </c>
      <c r="H45" s="445">
        <f t="shared" si="2"/>
        <v>0</v>
      </c>
      <c r="I45" s="426">
        <f t="shared" si="1"/>
        <v>0</v>
      </c>
      <c r="J45" s="446">
        <f>IFERROR(I45/SUM(PROD!L40:L46),0)</f>
        <v>0</v>
      </c>
      <c r="K45" s="447">
        <f>IFERROR(J45/SUM(E39:E45,J39:J45,O39:O44),0)</f>
        <v>0</v>
      </c>
      <c r="L45" s="2311" t="str">
        <f>$L$10</f>
        <v>TOTAL COSTO PRODUCCIÓN</v>
      </c>
      <c r="M45" s="2312"/>
      <c r="N45" s="427">
        <f>SUM(D39:D45,I39:I45,N39:N44)</f>
        <v>0</v>
      </c>
      <c r="O45" s="449">
        <f>IFERROR(N45/SUM(PROD!L40:L46),0)</f>
        <v>0</v>
      </c>
      <c r="P45" s="447">
        <f>IFERROR(O45/SUM(E39:E45,J39:J45,O39:O44),0)</f>
        <v>0</v>
      </c>
      <c r="Q45" s="429" t="str">
        <f>$Q$10</f>
        <v>D</v>
      </c>
      <c r="R45" s="499">
        <f t="shared" si="4"/>
        <v>0</v>
      </c>
      <c r="S45" s="871">
        <f>SUM(PROD!AS40:AS46)</f>
        <v>0</v>
      </c>
      <c r="T45" s="431">
        <f>IF(AA39&gt;0,S45/AA39,0)</f>
        <v>0</v>
      </c>
      <c r="U45" s="432" t="str">
        <f>$U$10</f>
        <v>Rev. Peq</v>
      </c>
      <c r="V45" s="499">
        <f t="shared" si="5"/>
        <v>0</v>
      </c>
      <c r="W45" s="871">
        <f>SUM(PROD!AV40:AV46)</f>
        <v>0</v>
      </c>
      <c r="X45" s="431">
        <f>IFERROR(W45/(AA44-AA42),0)</f>
        <v>0</v>
      </c>
      <c r="Y45" s="2304"/>
      <c r="Z45" s="2306"/>
      <c r="AA45" s="2309"/>
      <c r="AB45" s="2310"/>
    </row>
    <row r="46" spans="1:28" ht="16.5" customHeight="1" x14ac:dyDescent="0.3">
      <c r="A46" s="2300">
        <f>A39+1</f>
        <v>24</v>
      </c>
      <c r="B46" s="433" t="str">
        <f>$B$4</f>
        <v>ALIMENTO Kilos</v>
      </c>
      <c r="C46" s="435">
        <f>LOOKUP($A46,PROD!$A$5:$A$725,PROD!$AH$10:$AH$730)</f>
        <v>0</v>
      </c>
      <c r="D46" s="368">
        <f>C46*LOOKUP($A46,'Pr-Sem'!$A$6:$A$108,'Pr-Sem'!$N$6:$N$108)/(PROD!$A$1/1000)</f>
        <v>0</v>
      </c>
      <c r="E46" s="369">
        <f>IFERROR(D46/SUM(PROD!L47:L53),0)</f>
        <v>0</v>
      </c>
      <c r="F46" s="370">
        <f>IFERROR(E46/SUM(E46:E52,J46:J52,O46:O51),0)</f>
        <v>0</v>
      </c>
      <c r="G46" s="434" t="str">
        <f>$G$11</f>
        <v>Honorarios</v>
      </c>
      <c r="H46" s="435">
        <f t="shared" si="2"/>
        <v>0</v>
      </c>
      <c r="I46" s="372">
        <f t="shared" si="1"/>
        <v>0</v>
      </c>
      <c r="J46" s="369">
        <f>IFERROR(I46/SUM(PROD!L47:L53),0)</f>
        <v>0</v>
      </c>
      <c r="K46" s="370">
        <f>IFERROR(J46/SUM(E46:E52,J46:J52,O46:O51),0)</f>
        <v>0</v>
      </c>
      <c r="L46" s="436" t="str">
        <f>$L$4</f>
        <v>Gastos de Viaje</v>
      </c>
      <c r="M46" s="435">
        <f t="shared" ref="M46:M51" si="10">M39</f>
        <v>0</v>
      </c>
      <c r="N46" s="372">
        <f>M46*12/52</f>
        <v>0</v>
      </c>
      <c r="O46" s="369">
        <f>IFERROR(N46/SUM(PROD!L47:L53),0)</f>
        <v>0</v>
      </c>
      <c r="P46" s="370">
        <f>IFERROR(O46/SUM(E46:E52,J46:J52,O46:O51),0)</f>
        <v>0</v>
      </c>
      <c r="Q46" s="373" t="str">
        <f>$Q$4</f>
        <v>AAAA</v>
      </c>
      <c r="R46" s="374">
        <f t="shared" si="4"/>
        <v>0</v>
      </c>
      <c r="S46" s="869">
        <f>SUM(PROD!AM47:AM53)</f>
        <v>0</v>
      </c>
      <c r="T46" s="375">
        <f>IF(AA46&gt;0,S46/AA46,0)</f>
        <v>0</v>
      </c>
      <c r="U46" s="376" t="str">
        <f>$U$4</f>
        <v>Prob Color</v>
      </c>
      <c r="V46" s="374">
        <f t="shared" si="5"/>
        <v>0</v>
      </c>
      <c r="W46" s="869">
        <f>SUM(PROD!AW47:AW53)</f>
        <v>0</v>
      </c>
      <c r="X46" s="375">
        <f>IFERROR(W46/(AA51-AA49),0)</f>
        <v>0</v>
      </c>
      <c r="Y46" s="377" t="s">
        <v>323</v>
      </c>
      <c r="Z46" s="378">
        <f>SUMPRODUCT(R46:R52,T46:T52)</f>
        <v>0</v>
      </c>
      <c r="AA46" s="379">
        <f>SUM(S46:S52)</f>
        <v>0</v>
      </c>
      <c r="AB46" s="490">
        <f>IF(AA51&gt;0,AA46/AA51,0)</f>
        <v>0</v>
      </c>
    </row>
    <row r="47" spans="1:28" ht="15.75" customHeight="1" x14ac:dyDescent="0.3">
      <c r="A47" s="2301"/>
      <c r="B47" s="438" t="str">
        <f>$B$5</f>
        <v>Amortización de Aves</v>
      </c>
      <c r="C47" s="381">
        <f>IFERROR((C40-(D47/'Pr-Sem'!$O$2)),0)</f>
        <v>0</v>
      </c>
      <c r="D47" s="382">
        <f>SUM(PROD!L47:L53)*E47</f>
        <v>0</v>
      </c>
      <c r="E47" s="383">
        <f>IF(SUM(PROD!L47:L53)&gt;0,IFERROR(($C$1-$C$2)/LOOKUP($B$2,'Pr-Sem'!$A$6:$A$108,'Pr-Sem'!$L$6:$L$108)*(LOOKUP(INVENTARIOS!$A46,'Pr-Sem'!$A$6:$A$108,'Pr-Sem'!$L$6:$L$108)-LOOKUP(INVENTARIOS!$A46-1,'Pr-Sem'!$A$6:$A$108,'Pr-Sem'!$L$6:$L$108))/(LOOKUP(INVENTARIOS!$A46,'Pr-Sem'!$A$6:$A$108,'Pr-Sem'!$K$6:$K$108)-LOOKUP(INVENTARIOS!$A46-1,'Pr-Sem'!$A$6:$A$108,'Pr-Sem'!$K$6:$K$108)),0),0)</f>
        <v>0</v>
      </c>
      <c r="F47" s="384">
        <f>IFERROR(E47/SUM(E46:E52,J46:J52,O46:O51),0)</f>
        <v>0</v>
      </c>
      <c r="G47" s="439" t="str">
        <f>$G$12</f>
        <v>Impuestos</v>
      </c>
      <c r="H47" s="440">
        <f t="shared" si="2"/>
        <v>0</v>
      </c>
      <c r="I47" s="387">
        <f t="shared" si="1"/>
        <v>0</v>
      </c>
      <c r="J47" s="383">
        <f>IFERROR(I47/SUM(PROD!L47:L53),0)</f>
        <v>0</v>
      </c>
      <c r="K47" s="384">
        <f>IFERROR(J47/SUM(E46:E52,J46:J52,O46:O51),0)</f>
        <v>0</v>
      </c>
      <c r="L47" s="439" t="str">
        <f>$L$5</f>
        <v>Depreciaciones</v>
      </c>
      <c r="M47" s="401">
        <f t="shared" si="10"/>
        <v>0</v>
      </c>
      <c r="N47" s="390">
        <f>M47*12/52</f>
        <v>0</v>
      </c>
      <c r="O47" s="383">
        <f>IFERROR(N47/SUM(PROD!L47:L53),0)</f>
        <v>0</v>
      </c>
      <c r="P47" s="384">
        <f>IFERROR(O47/SUM(E46:E52,J46:J52,O46:O51),0)</f>
        <v>0</v>
      </c>
      <c r="Q47" s="491" t="str">
        <f>$Q$5</f>
        <v>AAA</v>
      </c>
      <c r="R47" s="392">
        <f t="shared" si="4"/>
        <v>0</v>
      </c>
      <c r="S47" s="870">
        <f>SUM(PROD!AN47:AN53)</f>
        <v>0</v>
      </c>
      <c r="T47" s="492">
        <f>IF(AA46&gt;0,S47/AA46,0)</f>
        <v>0</v>
      </c>
      <c r="U47" s="493" t="str">
        <f>$U$5</f>
        <v>Prob Cásc</v>
      </c>
      <c r="V47" s="392">
        <f t="shared" si="5"/>
        <v>0</v>
      </c>
      <c r="W47" s="870">
        <f>SUM(PROD!AX47:AX53)</f>
        <v>0</v>
      </c>
      <c r="X47" s="492">
        <f>IFERROR(W47/(AA51-AA49),0)</f>
        <v>0</v>
      </c>
      <c r="Y47" s="395" t="s">
        <v>324</v>
      </c>
      <c r="Z47" s="396">
        <f>IFERROR(SUMPRODUCT(V46:V49,W46:W49)/SUM(W46:W49),0)</f>
        <v>0</v>
      </c>
      <c r="AA47" s="397">
        <f>SUM(W46:W49)</f>
        <v>0</v>
      </c>
      <c r="AB47" s="494">
        <f>IF(AA51&gt;0,AA47/AA51,0)</f>
        <v>0</v>
      </c>
    </row>
    <row r="48" spans="1:28" ht="15.75" customHeight="1" x14ac:dyDescent="0.3">
      <c r="A48" s="2301"/>
      <c r="B48" s="399" t="str">
        <f>$B$6</f>
        <v>Bandeja</v>
      </c>
      <c r="C48" s="400">
        <f>C41</f>
        <v>0</v>
      </c>
      <c r="D48" s="387">
        <f>C48*SUM(INVENTARIOS!R46:R52)</f>
        <v>0</v>
      </c>
      <c r="E48" s="383">
        <f>IFERROR(D48/SUM(PROD!L47:L53),0)</f>
        <v>0</v>
      </c>
      <c r="F48" s="384">
        <f>IFERROR(E48/SUM(E46:E52,J46:J52,O46:O51),0)</f>
        <v>0</v>
      </c>
      <c r="G48" s="439" t="str">
        <f>$G$13</f>
        <v>Arrendamientos</v>
      </c>
      <c r="H48" s="401">
        <f t="shared" si="2"/>
        <v>0</v>
      </c>
      <c r="I48" s="390">
        <f t="shared" si="1"/>
        <v>0</v>
      </c>
      <c r="J48" s="383">
        <f>IFERROR(I48/SUM(PROD!L47:L53),0)</f>
        <v>0</v>
      </c>
      <c r="K48" s="384">
        <f>IFERROR(J48/SUM(E46:E52,J46:J52,O46:O51),0)</f>
        <v>0</v>
      </c>
      <c r="L48" s="439" t="str">
        <f>$L$6</f>
        <v>Diversos</v>
      </c>
      <c r="M48" s="401">
        <f t="shared" si="10"/>
        <v>0</v>
      </c>
      <c r="N48" s="390">
        <f>M48*12/52</f>
        <v>0</v>
      </c>
      <c r="O48" s="383">
        <f>IFERROR(N48/SUM(PROD!L47:L53),0)</f>
        <v>0</v>
      </c>
      <c r="P48" s="384">
        <f>IFERROR(O48/SUM(E46:E52,J46:J52,O46:O51),0)</f>
        <v>0</v>
      </c>
      <c r="Q48" s="491" t="str">
        <f>$Q$6</f>
        <v>AA</v>
      </c>
      <c r="R48" s="392">
        <f t="shared" si="4"/>
        <v>0</v>
      </c>
      <c r="S48" s="870">
        <f>SUM(PROD!AO47:AO53)</f>
        <v>0</v>
      </c>
      <c r="T48" s="492">
        <f>IF(AA46&gt;0,S48/AA46,0)</f>
        <v>0</v>
      </c>
      <c r="U48" s="493" t="str">
        <f>$U$6</f>
        <v>Vencido</v>
      </c>
      <c r="V48" s="392">
        <f t="shared" si="5"/>
        <v>0</v>
      </c>
      <c r="W48" s="870">
        <f>SUM(PROD!AY47:AY53)</f>
        <v>0</v>
      </c>
      <c r="X48" s="492">
        <f>IFERROR(W48/(AA51-AA49),0)</f>
        <v>0</v>
      </c>
      <c r="Y48" s="402" t="s">
        <v>391</v>
      </c>
      <c r="Z48" s="456">
        <v>0</v>
      </c>
      <c r="AA48" s="720"/>
      <c r="AB48" s="495">
        <f>IF(AA51&gt;0,AA48/AA51,0)</f>
        <v>0</v>
      </c>
    </row>
    <row r="49" spans="1:28" ht="15.75" customHeight="1" x14ac:dyDescent="0.3">
      <c r="A49" s="2301"/>
      <c r="B49" s="438" t="str">
        <f>$B$7</f>
        <v>Mortalidad Aves</v>
      </c>
      <c r="C49" s="401">
        <f>IF(A46&lt;=$B$2,C47+$C$2,0)</f>
        <v>0</v>
      </c>
      <c r="D49" s="390">
        <f>C49*SUM(PROD!D47:D53)</f>
        <v>0</v>
      </c>
      <c r="E49" s="383">
        <f>IFERROR(D49/SUM(PROD!L47:L53),0)</f>
        <v>0</v>
      </c>
      <c r="F49" s="384">
        <f>IFERROR(E49/SUM(E46:E52,J46:J52,O46:O51),0)</f>
        <v>0</v>
      </c>
      <c r="G49" s="439" t="str">
        <f>$G$14</f>
        <v>Servicios Públicos</v>
      </c>
      <c r="H49" s="401">
        <f t="shared" si="2"/>
        <v>0</v>
      </c>
      <c r="I49" s="390">
        <f t="shared" si="1"/>
        <v>0</v>
      </c>
      <c r="J49" s="383">
        <f>IFERROR(I49/SUM(PROD!L47:L53),0)</f>
        <v>0</v>
      </c>
      <c r="K49" s="384">
        <f>IFERROR(J49/SUM(E46:E52,J46:J52,O46:O51),0)</f>
        <v>0</v>
      </c>
      <c r="L49" s="441" t="str">
        <f>$L$7</f>
        <v>Administrativos</v>
      </c>
      <c r="M49" s="401">
        <f t="shared" si="10"/>
        <v>0</v>
      </c>
      <c r="N49" s="404">
        <f>M49*0.230769230769231</f>
        <v>0</v>
      </c>
      <c r="O49" s="383">
        <f>IFERROR(N49/SUM(PROD!L47:L53),0)</f>
        <v>0</v>
      </c>
      <c r="P49" s="384">
        <f>IFERROR(O49/SUM(E46:E52,J46:J52,O46:O51),0)</f>
        <v>0</v>
      </c>
      <c r="Q49" s="491" t="str">
        <f>$Q$7</f>
        <v>A</v>
      </c>
      <c r="R49" s="392">
        <f t="shared" si="4"/>
        <v>0</v>
      </c>
      <c r="S49" s="870">
        <f>SUM(PROD!AP47:AP53)</f>
        <v>0</v>
      </c>
      <c r="T49" s="492">
        <f>IF(AA46&gt;0,S49/AA46,0)</f>
        <v>0</v>
      </c>
      <c r="U49" s="405" t="str">
        <f>$U$7</f>
        <v>Roto</v>
      </c>
      <c r="V49" s="406">
        <f t="shared" si="5"/>
        <v>0</v>
      </c>
      <c r="W49" s="872">
        <f>SUM(PROD!AZ47:AZ53)</f>
        <v>0</v>
      </c>
      <c r="X49" s="407">
        <f>IFERROR(W49/(AA51-AA49),0)</f>
        <v>0</v>
      </c>
      <c r="Y49" s="408" t="s">
        <v>359</v>
      </c>
      <c r="Z49" s="442">
        <v>215</v>
      </c>
      <c r="AA49" s="410">
        <f>SUM(PROD!L47:L53)-SUM(W46:W52)-SUM(S46:S52)-AA48</f>
        <v>0</v>
      </c>
      <c r="AB49" s="496">
        <f>IF(AA51&gt;0,AA49/AA51,0)</f>
        <v>0</v>
      </c>
    </row>
    <row r="50" spans="1:28" ht="15.75" customHeight="1" x14ac:dyDescent="0.3">
      <c r="A50" s="2301"/>
      <c r="B50" s="399" t="str">
        <f>$B$8</f>
        <v>Materia Prima (Carb Ca, etc.)</v>
      </c>
      <c r="C50" s="440">
        <f>C43</f>
        <v>0</v>
      </c>
      <c r="D50" s="387">
        <f>C50*12/52</f>
        <v>0</v>
      </c>
      <c r="E50" s="383">
        <f>IFERROR(D50/SUM(PROD!L47:L53),0)</f>
        <v>0</v>
      </c>
      <c r="F50" s="384">
        <f>IFERROR(E50/SUM(E46:E52,J46:J52,O46:O51),0)</f>
        <v>0</v>
      </c>
      <c r="G50" s="441" t="str">
        <f>$G$15</f>
        <v>Gastos Legales</v>
      </c>
      <c r="H50" s="401">
        <f t="shared" si="2"/>
        <v>0</v>
      </c>
      <c r="I50" s="390">
        <f t="shared" si="1"/>
        <v>0</v>
      </c>
      <c r="J50" s="383">
        <f>IFERROR(I50/SUM(PROD!L47:L53),0)</f>
        <v>0</v>
      </c>
      <c r="K50" s="384">
        <f>IFERROR(J50/SUM(E46:E52,J46:J52,O46:O51),0)</f>
        <v>0</v>
      </c>
      <c r="L50" s="439" t="str">
        <f>$L$8</f>
        <v>Fletes</v>
      </c>
      <c r="M50" s="401">
        <f t="shared" si="10"/>
        <v>0</v>
      </c>
      <c r="N50" s="404">
        <f>M50*0.230769230769231</f>
        <v>0</v>
      </c>
      <c r="O50" s="383">
        <f>IFERROR(N50/SUM(PROD!L47:L53),0)</f>
        <v>0</v>
      </c>
      <c r="P50" s="384">
        <f>IFERROR(O50/SUM(E46:E52,J46:J52,O46:O51),0)</f>
        <v>0</v>
      </c>
      <c r="Q50" s="491" t="str">
        <f>$Q$8</f>
        <v>B</v>
      </c>
      <c r="R50" s="392">
        <f t="shared" si="4"/>
        <v>0</v>
      </c>
      <c r="S50" s="870">
        <f>SUM(PROD!AQ47:AQ53)</f>
        <v>0</v>
      </c>
      <c r="T50" s="492">
        <f>IF(AA46&gt;0,S50/AA46,0)</f>
        <v>0</v>
      </c>
      <c r="U50" s="395" t="str">
        <f>$U$8</f>
        <v>Rev. Gr.</v>
      </c>
      <c r="V50" s="412">
        <f t="shared" si="5"/>
        <v>0</v>
      </c>
      <c r="W50" s="873">
        <f>SUM(PROD!AT47:AT53)</f>
        <v>0</v>
      </c>
      <c r="X50" s="413">
        <f>IFERROR(W50/(AA51-AA49),0)</f>
        <v>0</v>
      </c>
      <c r="Y50" s="414" t="s">
        <v>262</v>
      </c>
      <c r="Z50" s="415">
        <f>IFERROR(SUMPRODUCT(V50:V52,W50:W52)/SUM(W50:W52),0)</f>
        <v>0</v>
      </c>
      <c r="AA50" s="416">
        <f>SUM(W50:W52)</f>
        <v>0</v>
      </c>
      <c r="AB50" s="497">
        <f>IF(AA51&gt;0,AA50/AA51,0)</f>
        <v>0</v>
      </c>
    </row>
    <row r="51" spans="1:28" ht="15.75" customHeight="1" x14ac:dyDescent="0.3">
      <c r="A51" s="2301"/>
      <c r="B51" s="438" t="str">
        <f>$B$9</f>
        <v>Vacunas y medicamentos</v>
      </c>
      <c r="C51" s="443">
        <f>C44</f>
        <v>0</v>
      </c>
      <c r="D51" s="387">
        <f>C51*12/52</f>
        <v>0</v>
      </c>
      <c r="E51" s="383">
        <f>IFERROR(D51/SUM(PROD!L47:L53),0)</f>
        <v>0</v>
      </c>
      <c r="F51" s="384">
        <f>IFERROR(E51/SUM(E46:E52,J46:J52,O46:O51),0)</f>
        <v>0</v>
      </c>
      <c r="G51" s="441" t="str">
        <f>$G$16</f>
        <v>Mantenimiento y Reparaciones</v>
      </c>
      <c r="H51" s="401">
        <f t="shared" si="2"/>
        <v>0</v>
      </c>
      <c r="I51" s="390">
        <f t="shared" si="1"/>
        <v>0</v>
      </c>
      <c r="J51" s="383">
        <f>IFERROR(I51/SUM(PROD!L47:L53),0)</f>
        <v>0</v>
      </c>
      <c r="K51" s="384">
        <f>IFERROR(J51/SUM(E46:E52,J46:J52,O46:O51),0)</f>
        <v>0</v>
      </c>
      <c r="L51" s="439">
        <f>$L$9</f>
        <v>0</v>
      </c>
      <c r="M51" s="401">
        <f t="shared" si="10"/>
        <v>0</v>
      </c>
      <c r="N51" s="404">
        <f>M51*0.230769230769231</f>
        <v>0</v>
      </c>
      <c r="O51" s="383">
        <f>IFERROR(N51/SUM(PROD!L47:L53),0)</f>
        <v>0</v>
      </c>
      <c r="P51" s="384">
        <f>IFERROR(O51/SUM(E46:E52,J46:J52,O46:O51),0)</f>
        <v>0</v>
      </c>
      <c r="Q51" s="491" t="str">
        <f>$Q$9</f>
        <v>C</v>
      </c>
      <c r="R51" s="392">
        <f t="shared" si="4"/>
        <v>0</v>
      </c>
      <c r="S51" s="870">
        <f>SUM(PROD!AR47:AR53)</f>
        <v>0</v>
      </c>
      <c r="T51" s="492">
        <f>IF(AA46&gt;0,S51/AA46,0)</f>
        <v>0</v>
      </c>
      <c r="U51" s="493" t="str">
        <f>$U$9</f>
        <v>Rev. Med</v>
      </c>
      <c r="V51" s="392">
        <f t="shared" si="5"/>
        <v>0</v>
      </c>
      <c r="W51" s="870">
        <f>SUM(PROD!AU47:AU53)</f>
        <v>0</v>
      </c>
      <c r="X51" s="498">
        <f>IFERROR(W51/(AA51-AA49),0)</f>
        <v>0</v>
      </c>
      <c r="Y51" s="2303" t="s">
        <v>325</v>
      </c>
      <c r="Z51" s="2305">
        <f>SUMPRODUCT(Z46:Z50,AB46:AB50)</f>
        <v>0</v>
      </c>
      <c r="AA51" s="2307">
        <f>SUM(AA46:AA49)</f>
        <v>0</v>
      </c>
      <c r="AB51" s="2308"/>
    </row>
    <row r="52" spans="1:28" ht="16.5" customHeight="1" thickBot="1" x14ac:dyDescent="0.35">
      <c r="A52" s="2302"/>
      <c r="B52" s="444" t="str">
        <f>$B$10</f>
        <v>Gastos de Personal</v>
      </c>
      <c r="C52" s="445">
        <f>C45</f>
        <v>0</v>
      </c>
      <c r="D52" s="421">
        <f>C52*12/52</f>
        <v>0</v>
      </c>
      <c r="E52" s="446">
        <f>IFERROR(D52/SUM(PROD!L47:L53),0)</f>
        <v>0</v>
      </c>
      <c r="F52" s="447">
        <f>IFERROR(E52/SUM(E46:E52,J46:J52,O46:O51),0)</f>
        <v>0</v>
      </c>
      <c r="G52" s="448" t="str">
        <f>$G$17</f>
        <v>Adecuación Instalaciones</v>
      </c>
      <c r="H52" s="445">
        <f t="shared" si="2"/>
        <v>0</v>
      </c>
      <c r="I52" s="426">
        <f t="shared" si="1"/>
        <v>0</v>
      </c>
      <c r="J52" s="446">
        <f>IFERROR(I52/SUM(PROD!L47:L53),0)</f>
        <v>0</v>
      </c>
      <c r="K52" s="447">
        <f>IFERROR(J52/SUM(E46:E52,J46:J52,O46:O51),0)</f>
        <v>0</v>
      </c>
      <c r="L52" s="2311" t="str">
        <f>$L$10</f>
        <v>TOTAL COSTO PRODUCCIÓN</v>
      </c>
      <c r="M52" s="2312"/>
      <c r="N52" s="427">
        <f>SUM(D46:D52,I46:I52,N46:N51)</f>
        <v>0</v>
      </c>
      <c r="O52" s="449">
        <f>IFERROR(N52/SUM(PROD!L47:L53),0)</f>
        <v>0</v>
      </c>
      <c r="P52" s="447">
        <f>IFERROR(O52/SUM(E46:E52,J46:J52,O46:O51),0)</f>
        <v>0</v>
      </c>
      <c r="Q52" s="429" t="str">
        <f>$Q$10</f>
        <v>D</v>
      </c>
      <c r="R52" s="499">
        <f t="shared" si="4"/>
        <v>0</v>
      </c>
      <c r="S52" s="871">
        <f>SUM(PROD!AS47:AS53)</f>
        <v>0</v>
      </c>
      <c r="T52" s="431">
        <f>IF(AA46&gt;0,S52/AA46,0)</f>
        <v>0</v>
      </c>
      <c r="U52" s="432" t="str">
        <f>$U$10</f>
        <v>Rev. Peq</v>
      </c>
      <c r="V52" s="499">
        <f t="shared" si="5"/>
        <v>0</v>
      </c>
      <c r="W52" s="871">
        <f>SUM(PROD!AV47:AV53)</f>
        <v>0</v>
      </c>
      <c r="X52" s="431">
        <f>IFERROR(W52/(AA51-AA49),0)</f>
        <v>0</v>
      </c>
      <c r="Y52" s="2304"/>
      <c r="Z52" s="2306"/>
      <c r="AA52" s="2309"/>
      <c r="AB52" s="2310"/>
    </row>
    <row r="53" spans="1:28" ht="16.5" customHeight="1" x14ac:dyDescent="0.3">
      <c r="A53" s="2300">
        <f>A46+1</f>
        <v>25</v>
      </c>
      <c r="B53" s="433" t="str">
        <f>$B$4</f>
        <v>ALIMENTO Kilos</v>
      </c>
      <c r="C53" s="435">
        <f>LOOKUP($A53,PROD!$A$5:$A$725,PROD!$AH$10:$AH$730)</f>
        <v>0</v>
      </c>
      <c r="D53" s="368">
        <f>C53*LOOKUP($A53,'Pr-Sem'!$A$6:$A$108,'Pr-Sem'!$N$6:$N$108)/(PROD!$A$1/1000)</f>
        <v>0</v>
      </c>
      <c r="E53" s="369">
        <f>IFERROR(D53/SUM(PROD!L54:L60),0)</f>
        <v>0</v>
      </c>
      <c r="F53" s="370">
        <f>IFERROR(E53/SUM(E53:E59,J53:J59,O53:O58),0)</f>
        <v>0</v>
      </c>
      <c r="G53" s="434" t="str">
        <f>$G$11</f>
        <v>Honorarios</v>
      </c>
      <c r="H53" s="435">
        <f t="shared" si="2"/>
        <v>0</v>
      </c>
      <c r="I53" s="372">
        <f t="shared" si="1"/>
        <v>0</v>
      </c>
      <c r="J53" s="369">
        <f>IFERROR(I53/SUM(PROD!L54:L60),0)</f>
        <v>0</v>
      </c>
      <c r="K53" s="370">
        <f>IFERROR(J53/SUM(E53:E59,J53:J59,O53:O58),0)</f>
        <v>0</v>
      </c>
      <c r="L53" s="436" t="str">
        <f>$L$4</f>
        <v>Gastos de Viaje</v>
      </c>
      <c r="M53" s="435">
        <f t="shared" ref="M53:M58" si="11">M46</f>
        <v>0</v>
      </c>
      <c r="N53" s="372">
        <f>M53*12/52</f>
        <v>0</v>
      </c>
      <c r="O53" s="369">
        <f>IFERROR(N53/SUM(PROD!L54:L60),0)</f>
        <v>0</v>
      </c>
      <c r="P53" s="370">
        <f>IFERROR(O53/SUM(E53:E59,J53:J59,O53:O58),0)</f>
        <v>0</v>
      </c>
      <c r="Q53" s="373" t="str">
        <f>$Q$4</f>
        <v>AAAA</v>
      </c>
      <c r="R53" s="374">
        <f t="shared" si="4"/>
        <v>0</v>
      </c>
      <c r="S53" s="869">
        <f>SUM(PROD!AM54:AM60)</f>
        <v>0</v>
      </c>
      <c r="T53" s="375">
        <f>IF(AA53&gt;0,S53/AA53,0)</f>
        <v>0</v>
      </c>
      <c r="U53" s="376" t="str">
        <f>$U$4</f>
        <v>Prob Color</v>
      </c>
      <c r="V53" s="374">
        <f t="shared" si="5"/>
        <v>0</v>
      </c>
      <c r="W53" s="869">
        <f>SUM(PROD!AW54:AW60)</f>
        <v>0</v>
      </c>
      <c r="X53" s="375">
        <f>IFERROR(W53/(AA58-AA56),0)</f>
        <v>0</v>
      </c>
      <c r="Y53" s="377" t="s">
        <v>323</v>
      </c>
      <c r="Z53" s="378">
        <f>SUMPRODUCT(R53:R59,T53:T59)</f>
        <v>0</v>
      </c>
      <c r="AA53" s="379">
        <f>SUM(S53:S59)</f>
        <v>0</v>
      </c>
      <c r="AB53" s="490">
        <f>IF(AA58&gt;0,AA53/AA58,0)</f>
        <v>0</v>
      </c>
    </row>
    <row r="54" spans="1:28" ht="15.75" customHeight="1" x14ac:dyDescent="0.3">
      <c r="A54" s="2301"/>
      <c r="B54" s="438" t="str">
        <f>$B$5</f>
        <v>Amortización de Aves</v>
      </c>
      <c r="C54" s="381">
        <f>IFERROR((C47-(D54/'Pr-Sem'!$O$2)),0)</f>
        <v>0</v>
      </c>
      <c r="D54" s="382">
        <f>SUM(PROD!L54:L60)*E54</f>
        <v>0</v>
      </c>
      <c r="E54" s="383">
        <f>IF(SUM(PROD!L54:L60)&gt;0,IFERROR(($C$1-$C$2)/LOOKUP($B$2,'Pr-Sem'!$A$6:$A$108,'Pr-Sem'!$L$6:$L$108)*(LOOKUP(INVENTARIOS!$A53,'Pr-Sem'!$A$6:$A$108,'Pr-Sem'!$L$6:$L$108)-LOOKUP(INVENTARIOS!$A53-1,'Pr-Sem'!$A$6:$A$108,'Pr-Sem'!$L$6:$L$108))/(LOOKUP(INVENTARIOS!$A53,'Pr-Sem'!$A$6:$A$108,'Pr-Sem'!$K$6:$K$108)-LOOKUP(INVENTARIOS!$A53-1,'Pr-Sem'!$A$6:$A$108,'Pr-Sem'!$K$6:$K$108)),0),0)</f>
        <v>0</v>
      </c>
      <c r="F54" s="384">
        <f>IFERROR(E54/SUM(E53:E59,J53:J59,O53:O58),0)</f>
        <v>0</v>
      </c>
      <c r="G54" s="439" t="str">
        <f>$G$12</f>
        <v>Impuestos</v>
      </c>
      <c r="H54" s="440">
        <f t="shared" si="2"/>
        <v>0</v>
      </c>
      <c r="I54" s="387">
        <f t="shared" si="1"/>
        <v>0</v>
      </c>
      <c r="J54" s="383">
        <f>IFERROR(I54/SUM(PROD!L54:L60),0)</f>
        <v>0</v>
      </c>
      <c r="K54" s="384">
        <f>IFERROR(J54/SUM(E53:E59,J53:J59,O53:O58),0)</f>
        <v>0</v>
      </c>
      <c r="L54" s="439" t="str">
        <f>$L$5</f>
        <v>Depreciaciones</v>
      </c>
      <c r="M54" s="401">
        <f t="shared" si="11"/>
        <v>0</v>
      </c>
      <c r="N54" s="390">
        <f>M54*12/52</f>
        <v>0</v>
      </c>
      <c r="O54" s="383">
        <f>IFERROR(N54/SUM(PROD!L54:L60),0)</f>
        <v>0</v>
      </c>
      <c r="P54" s="384">
        <f>IFERROR(O54/SUM(E53:E59,J53:J59,O53:O58),0)</f>
        <v>0</v>
      </c>
      <c r="Q54" s="491" t="str">
        <f>$Q$5</f>
        <v>AAA</v>
      </c>
      <c r="R54" s="392">
        <f t="shared" si="4"/>
        <v>0</v>
      </c>
      <c r="S54" s="870">
        <f>SUM(PROD!AN54:AN60)</f>
        <v>0</v>
      </c>
      <c r="T54" s="492">
        <f>IF(AA53&gt;0,S54/AA53,0)</f>
        <v>0</v>
      </c>
      <c r="U54" s="493" t="str">
        <f>$U$5</f>
        <v>Prob Cásc</v>
      </c>
      <c r="V54" s="392">
        <f t="shared" si="5"/>
        <v>0</v>
      </c>
      <c r="W54" s="870">
        <f>SUM(PROD!AX54:AX60)</f>
        <v>0</v>
      </c>
      <c r="X54" s="492">
        <f>IFERROR(W54/(AA58-AA56),0)</f>
        <v>0</v>
      </c>
      <c r="Y54" s="395" t="s">
        <v>324</v>
      </c>
      <c r="Z54" s="396">
        <f>IFERROR(SUMPRODUCT(V53:V56,W53:W56)/SUM(W53:W56),0)</f>
        <v>0</v>
      </c>
      <c r="AA54" s="397">
        <f>SUM(W53:W56)</f>
        <v>0</v>
      </c>
      <c r="AB54" s="494">
        <f>IF(AA58&gt;0,AA54/AA58,0)</f>
        <v>0</v>
      </c>
    </row>
    <row r="55" spans="1:28" ht="15.75" customHeight="1" x14ac:dyDescent="0.3">
      <c r="A55" s="2301"/>
      <c r="B55" s="399" t="str">
        <f>$B$6</f>
        <v>Bandeja</v>
      </c>
      <c r="C55" s="400">
        <f>C48</f>
        <v>0</v>
      </c>
      <c r="D55" s="387">
        <f>C55*SUM(INVENTARIOS!R53:R59)</f>
        <v>0</v>
      </c>
      <c r="E55" s="383">
        <f>IFERROR(D55/SUM(PROD!L54:L60),0)</f>
        <v>0</v>
      </c>
      <c r="F55" s="384">
        <f>IFERROR(E55/SUM(E53:E59,J53:J59,O53:O58),0)</f>
        <v>0</v>
      </c>
      <c r="G55" s="439" t="str">
        <f>$G$13</f>
        <v>Arrendamientos</v>
      </c>
      <c r="H55" s="401">
        <f t="shared" si="2"/>
        <v>0</v>
      </c>
      <c r="I55" s="390">
        <f t="shared" si="1"/>
        <v>0</v>
      </c>
      <c r="J55" s="383">
        <f>IFERROR(I55/SUM(PROD!L54:L60),0)</f>
        <v>0</v>
      </c>
      <c r="K55" s="384">
        <f>IFERROR(J55/SUM(E53:E59,J53:J59,O53:O58),0)</f>
        <v>0</v>
      </c>
      <c r="L55" s="439" t="str">
        <f>$L$6</f>
        <v>Diversos</v>
      </c>
      <c r="M55" s="401">
        <f t="shared" si="11"/>
        <v>0</v>
      </c>
      <c r="N55" s="390">
        <f>M55*12/52</f>
        <v>0</v>
      </c>
      <c r="O55" s="383">
        <f>IFERROR(N55/SUM(PROD!L54:L60),0)</f>
        <v>0</v>
      </c>
      <c r="P55" s="384">
        <f>IFERROR(O55/SUM(E53:E59,J53:J59,O53:O58),0)</f>
        <v>0</v>
      </c>
      <c r="Q55" s="491" t="str">
        <f>$Q$6</f>
        <v>AA</v>
      </c>
      <c r="R55" s="392">
        <f t="shared" si="4"/>
        <v>0</v>
      </c>
      <c r="S55" s="870">
        <f>SUM(PROD!AO54:AO60)</f>
        <v>0</v>
      </c>
      <c r="T55" s="492">
        <f>IF(AA53&gt;0,S55/AA53,0)</f>
        <v>0</v>
      </c>
      <c r="U55" s="493" t="str">
        <f>$U$6</f>
        <v>Vencido</v>
      </c>
      <c r="V55" s="392">
        <f t="shared" si="5"/>
        <v>0</v>
      </c>
      <c r="W55" s="870">
        <f>SUM(PROD!AY54:AY60)</f>
        <v>0</v>
      </c>
      <c r="X55" s="492">
        <f>IFERROR(W55/(AA58-AA56),0)</f>
        <v>0</v>
      </c>
      <c r="Y55" s="402" t="s">
        <v>391</v>
      </c>
      <c r="Z55" s="456">
        <v>0</v>
      </c>
      <c r="AA55" s="720"/>
      <c r="AB55" s="495">
        <f>IF(AA58&gt;0,AA55/AA58,0)</f>
        <v>0</v>
      </c>
    </row>
    <row r="56" spans="1:28" ht="15.75" customHeight="1" x14ac:dyDescent="0.3">
      <c r="A56" s="2301"/>
      <c r="B56" s="438" t="str">
        <f>$B$7</f>
        <v>Mortalidad Aves</v>
      </c>
      <c r="C56" s="401">
        <f>IF(A53&lt;=$B$2,C54+$C$2,0)</f>
        <v>0</v>
      </c>
      <c r="D56" s="390">
        <f>C56*SUM(PROD!D54:D60)</f>
        <v>0</v>
      </c>
      <c r="E56" s="383">
        <f>IFERROR(D56/SUM(PROD!L54:L60),0)</f>
        <v>0</v>
      </c>
      <c r="F56" s="384">
        <f>IFERROR(E56/SUM(E53:E59,J53:J59,O53:O58),0)</f>
        <v>0</v>
      </c>
      <c r="G56" s="439" t="str">
        <f>$G$14</f>
        <v>Servicios Públicos</v>
      </c>
      <c r="H56" s="401">
        <f t="shared" si="2"/>
        <v>0</v>
      </c>
      <c r="I56" s="390">
        <f t="shared" si="1"/>
        <v>0</v>
      </c>
      <c r="J56" s="383">
        <f>IFERROR(I56/SUM(PROD!L54:L60),0)</f>
        <v>0</v>
      </c>
      <c r="K56" s="384">
        <f>IFERROR(J56/SUM(E53:E59,J53:J59,O53:O58),0)</f>
        <v>0</v>
      </c>
      <c r="L56" s="441" t="str">
        <f>$L$7</f>
        <v>Administrativos</v>
      </c>
      <c r="M56" s="401">
        <f t="shared" si="11"/>
        <v>0</v>
      </c>
      <c r="N56" s="404">
        <f>M56*0.230769230769231</f>
        <v>0</v>
      </c>
      <c r="O56" s="383">
        <f>IFERROR(N56/SUM(PROD!L54:L60),0)</f>
        <v>0</v>
      </c>
      <c r="P56" s="384">
        <f>IFERROR(O56/SUM(E53:E59,J53:J59,O53:O58),0)</f>
        <v>0</v>
      </c>
      <c r="Q56" s="491" t="str">
        <f>$Q$7</f>
        <v>A</v>
      </c>
      <c r="R56" s="392">
        <f t="shared" si="4"/>
        <v>0</v>
      </c>
      <c r="S56" s="870">
        <f>SUM(PROD!AP54:AP60)</f>
        <v>0</v>
      </c>
      <c r="T56" s="492">
        <f>IF(AA53&gt;0,S56/AA53,0)</f>
        <v>0</v>
      </c>
      <c r="U56" s="405" t="str">
        <f>$U$7</f>
        <v>Roto</v>
      </c>
      <c r="V56" s="406">
        <f t="shared" si="5"/>
        <v>0</v>
      </c>
      <c r="W56" s="872">
        <f>SUM(PROD!AZ54:AZ60)</f>
        <v>0</v>
      </c>
      <c r="X56" s="407">
        <f>IFERROR(W56/(AA58-AA56),0)</f>
        <v>0</v>
      </c>
      <c r="Y56" s="408" t="s">
        <v>359</v>
      </c>
      <c r="Z56" s="442">
        <v>215</v>
      </c>
      <c r="AA56" s="410">
        <f>SUM(PROD!L54:L60)-SUM(W53:W59)-SUM(S53:S59)-AA55</f>
        <v>0</v>
      </c>
      <c r="AB56" s="496">
        <f>IF(AA58&gt;0,AA56/AA58,0)</f>
        <v>0</v>
      </c>
    </row>
    <row r="57" spans="1:28" ht="15.75" customHeight="1" x14ac:dyDescent="0.3">
      <c r="A57" s="2301"/>
      <c r="B57" s="399" t="str">
        <f>$B$8</f>
        <v>Materia Prima (Carb Ca, etc.)</v>
      </c>
      <c r="C57" s="440">
        <f>C50</f>
        <v>0</v>
      </c>
      <c r="D57" s="387">
        <f>C57*12/52</f>
        <v>0</v>
      </c>
      <c r="E57" s="383">
        <f>IFERROR(D57/SUM(PROD!L54:L60),0)</f>
        <v>0</v>
      </c>
      <c r="F57" s="384">
        <f>IFERROR(E57/SUM(E53:E59,J53:J59,O53:O58),0)</f>
        <v>0</v>
      </c>
      <c r="G57" s="441" t="str">
        <f>$G$15</f>
        <v>Gastos Legales</v>
      </c>
      <c r="H57" s="401">
        <f t="shared" si="2"/>
        <v>0</v>
      </c>
      <c r="I57" s="390">
        <f t="shared" si="1"/>
        <v>0</v>
      </c>
      <c r="J57" s="383">
        <f>IFERROR(I57/SUM(PROD!L54:L60),0)</f>
        <v>0</v>
      </c>
      <c r="K57" s="384">
        <f>IFERROR(J57/SUM(E53:E59,J53:J59,O53:O58),0)</f>
        <v>0</v>
      </c>
      <c r="L57" s="439" t="str">
        <f>$L$8</f>
        <v>Fletes</v>
      </c>
      <c r="M57" s="401">
        <f t="shared" si="11"/>
        <v>0</v>
      </c>
      <c r="N57" s="404">
        <f>M57*0.230769230769231</f>
        <v>0</v>
      </c>
      <c r="O57" s="383">
        <f>IFERROR(N57/SUM(PROD!L54:L60),0)</f>
        <v>0</v>
      </c>
      <c r="P57" s="384">
        <f>IFERROR(O57/SUM(E53:E59,J53:J59,O53:O58),0)</f>
        <v>0</v>
      </c>
      <c r="Q57" s="491" t="str">
        <f>$Q$8</f>
        <v>B</v>
      </c>
      <c r="R57" s="392">
        <f t="shared" si="4"/>
        <v>0</v>
      </c>
      <c r="S57" s="870">
        <f>SUM(PROD!AQ54:AQ60)</f>
        <v>0</v>
      </c>
      <c r="T57" s="492">
        <f>IF(AA53&gt;0,S57/AA53,0)</f>
        <v>0</v>
      </c>
      <c r="U57" s="395" t="str">
        <f>$U$8</f>
        <v>Rev. Gr.</v>
      </c>
      <c r="V57" s="412">
        <f t="shared" si="5"/>
        <v>0</v>
      </c>
      <c r="W57" s="873">
        <f>SUM(PROD!AT54:AT60)</f>
        <v>0</v>
      </c>
      <c r="X57" s="413">
        <f>IFERROR(W57/(AA58-AA56),0)</f>
        <v>0</v>
      </c>
      <c r="Y57" s="414" t="s">
        <v>262</v>
      </c>
      <c r="Z57" s="415">
        <f>IFERROR(SUMPRODUCT(V57:V59,W57:W59)/SUM(W57:W59),0)</f>
        <v>0</v>
      </c>
      <c r="AA57" s="416">
        <f>SUM(W57:W59)</f>
        <v>0</v>
      </c>
      <c r="AB57" s="497">
        <f>IF(AA58&gt;0,AA57/AA58,0)</f>
        <v>0</v>
      </c>
    </row>
    <row r="58" spans="1:28" ht="15.75" customHeight="1" x14ac:dyDescent="0.3">
      <c r="A58" s="2301"/>
      <c r="B58" s="438" t="str">
        <f>$B$9</f>
        <v>Vacunas y medicamentos</v>
      </c>
      <c r="C58" s="443">
        <f>C51</f>
        <v>0</v>
      </c>
      <c r="D58" s="387">
        <f>C58*12/52</f>
        <v>0</v>
      </c>
      <c r="E58" s="383">
        <f>IFERROR(D58/SUM(PROD!L54:L60),0)</f>
        <v>0</v>
      </c>
      <c r="F58" s="384">
        <f>IFERROR(E58/SUM(E53:E59,J53:J59,O53:O58),0)</f>
        <v>0</v>
      </c>
      <c r="G58" s="441" t="str">
        <f>$G$16</f>
        <v>Mantenimiento y Reparaciones</v>
      </c>
      <c r="H58" s="401">
        <f t="shared" si="2"/>
        <v>0</v>
      </c>
      <c r="I58" s="390">
        <f t="shared" si="1"/>
        <v>0</v>
      </c>
      <c r="J58" s="383">
        <f>IFERROR(I58/SUM(PROD!L54:L60),0)</f>
        <v>0</v>
      </c>
      <c r="K58" s="384">
        <f>IFERROR(J58/SUM(E53:E59,J53:J59,O53:O58),0)</f>
        <v>0</v>
      </c>
      <c r="L58" s="439">
        <f>$L$9</f>
        <v>0</v>
      </c>
      <c r="M58" s="401">
        <f t="shared" si="11"/>
        <v>0</v>
      </c>
      <c r="N58" s="404">
        <f>M58*0.230769230769231</f>
        <v>0</v>
      </c>
      <c r="O58" s="383">
        <f>IFERROR(N58/SUM(PROD!L54:L60),0)</f>
        <v>0</v>
      </c>
      <c r="P58" s="384">
        <f>IFERROR(O58/SUM(E53:E59,J53:J59,O53:O58),0)</f>
        <v>0</v>
      </c>
      <c r="Q58" s="491" t="str">
        <f>$Q$9</f>
        <v>C</v>
      </c>
      <c r="R58" s="392">
        <f t="shared" si="4"/>
        <v>0</v>
      </c>
      <c r="S58" s="870">
        <f>SUM(PROD!AR54:AR60)</f>
        <v>0</v>
      </c>
      <c r="T58" s="492">
        <f>IF(AA53&gt;0,S58/AA53,0)</f>
        <v>0</v>
      </c>
      <c r="U58" s="493" t="str">
        <f>$U$9</f>
        <v>Rev. Med</v>
      </c>
      <c r="V58" s="392">
        <f t="shared" si="5"/>
        <v>0</v>
      </c>
      <c r="W58" s="870">
        <f>SUM(PROD!AU54:AU60)</f>
        <v>0</v>
      </c>
      <c r="X58" s="498">
        <f>IFERROR(W58/(AA58-AA56),0)</f>
        <v>0</v>
      </c>
      <c r="Y58" s="2303" t="s">
        <v>325</v>
      </c>
      <c r="Z58" s="2305">
        <f>SUMPRODUCT(Z53:Z57,AB53:AB57)</f>
        <v>0</v>
      </c>
      <c r="AA58" s="2307">
        <f>SUM(AA53:AA56)</f>
        <v>0</v>
      </c>
      <c r="AB58" s="2308"/>
    </row>
    <row r="59" spans="1:28" ht="16.5" customHeight="1" thickBot="1" x14ac:dyDescent="0.35">
      <c r="A59" s="2302"/>
      <c r="B59" s="444" t="str">
        <f>$B$10</f>
        <v>Gastos de Personal</v>
      </c>
      <c r="C59" s="445">
        <f>C52</f>
        <v>0</v>
      </c>
      <c r="D59" s="421">
        <f>C59*12/52</f>
        <v>0</v>
      </c>
      <c r="E59" s="446">
        <f>IFERROR(D59/SUM(PROD!L54:L60),0)</f>
        <v>0</v>
      </c>
      <c r="F59" s="447">
        <f>IFERROR(E59/SUM(E53:E59,J53:J59,O53:O58),0)</f>
        <v>0</v>
      </c>
      <c r="G59" s="448" t="str">
        <f>$G$17</f>
        <v>Adecuación Instalaciones</v>
      </c>
      <c r="H59" s="445">
        <f t="shared" si="2"/>
        <v>0</v>
      </c>
      <c r="I59" s="426">
        <f t="shared" si="1"/>
        <v>0</v>
      </c>
      <c r="J59" s="446">
        <f>IFERROR(I59/SUM(PROD!L54:L60),0)</f>
        <v>0</v>
      </c>
      <c r="K59" s="447">
        <f>IFERROR(J59/SUM(E53:E59,J53:J59,O53:O58),0)</f>
        <v>0</v>
      </c>
      <c r="L59" s="2311" t="str">
        <f>$L$10</f>
        <v>TOTAL COSTO PRODUCCIÓN</v>
      </c>
      <c r="M59" s="2312"/>
      <c r="N59" s="427">
        <f>SUM(D53:D59,I53:I59,N53:N58)</f>
        <v>0</v>
      </c>
      <c r="O59" s="449">
        <f>IFERROR(N59/SUM(PROD!L54:L60),0)</f>
        <v>0</v>
      </c>
      <c r="P59" s="447">
        <f>IFERROR(O59/SUM(E53:E59,J53:J59,O53:O58),0)</f>
        <v>0</v>
      </c>
      <c r="Q59" s="429" t="str">
        <f>$Q$10</f>
        <v>D</v>
      </c>
      <c r="R59" s="499">
        <f t="shared" si="4"/>
        <v>0</v>
      </c>
      <c r="S59" s="871">
        <f>SUM(PROD!AS54:AS60)</f>
        <v>0</v>
      </c>
      <c r="T59" s="431">
        <f>IF(AA53&gt;0,S59/AA53,0)</f>
        <v>0</v>
      </c>
      <c r="U59" s="432" t="str">
        <f>$U$10</f>
        <v>Rev. Peq</v>
      </c>
      <c r="V59" s="499">
        <f t="shared" si="5"/>
        <v>0</v>
      </c>
      <c r="W59" s="871">
        <f>SUM(PROD!AV54:AV60)</f>
        <v>0</v>
      </c>
      <c r="X59" s="431">
        <f>IFERROR(W59/(AA58-AA56),0)</f>
        <v>0</v>
      </c>
      <c r="Y59" s="2304"/>
      <c r="Z59" s="2306"/>
      <c r="AA59" s="2309"/>
      <c r="AB59" s="2310"/>
    </row>
    <row r="60" spans="1:28" ht="16.5" customHeight="1" x14ac:dyDescent="0.3">
      <c r="A60" s="2300">
        <f>A53+1</f>
        <v>26</v>
      </c>
      <c r="B60" s="433" t="str">
        <f>$B$4</f>
        <v>ALIMENTO Kilos</v>
      </c>
      <c r="C60" s="435">
        <f>LOOKUP($A60,PROD!$A$5:$A$725,PROD!$AH$10:$AH$730)</f>
        <v>0</v>
      </c>
      <c r="D60" s="368">
        <f>C60*LOOKUP($A60,'Pr-Sem'!$A$6:$A$108,'Pr-Sem'!$N$6:$N$108)/(PROD!$A$1/1000)</f>
        <v>0</v>
      </c>
      <c r="E60" s="369">
        <f>IFERROR(D60/SUM(PROD!L61:L67),0)</f>
        <v>0</v>
      </c>
      <c r="F60" s="370">
        <f>IFERROR(E60/SUM(E60:E66,J60:J66,O60:O65),0)</f>
        <v>0</v>
      </c>
      <c r="G60" s="434" t="str">
        <f>$G$11</f>
        <v>Honorarios</v>
      </c>
      <c r="H60" s="435">
        <f t="shared" si="2"/>
        <v>0</v>
      </c>
      <c r="I60" s="372">
        <f t="shared" si="1"/>
        <v>0</v>
      </c>
      <c r="J60" s="369">
        <f>IFERROR(I60/SUM(PROD!L61:L67),0)</f>
        <v>0</v>
      </c>
      <c r="K60" s="370">
        <f>IFERROR(J60/SUM(E60:E66,J60:J66,O60:O65),0)</f>
        <v>0</v>
      </c>
      <c r="L60" s="436" t="str">
        <f>$L$4</f>
        <v>Gastos de Viaje</v>
      </c>
      <c r="M60" s="435">
        <f t="shared" ref="M60:M65" si="12">M53</f>
        <v>0</v>
      </c>
      <c r="N60" s="372">
        <f>M60*12/52</f>
        <v>0</v>
      </c>
      <c r="O60" s="369">
        <f>IFERROR(N60/SUM(PROD!L61:L67),0)</f>
        <v>0</v>
      </c>
      <c r="P60" s="370">
        <f>IFERROR(O60/SUM(E60:E66,J60:J66,O60:O65),0)</f>
        <v>0</v>
      </c>
      <c r="Q60" s="373" t="str">
        <f>$Q$4</f>
        <v>AAAA</v>
      </c>
      <c r="R60" s="374">
        <f t="shared" si="4"/>
        <v>0</v>
      </c>
      <c r="S60" s="869">
        <f>SUM(PROD!AM61:AM67)</f>
        <v>0</v>
      </c>
      <c r="T60" s="375">
        <f>IF(AA60&gt;0,S60/AA60,0)</f>
        <v>0</v>
      </c>
      <c r="U60" s="376" t="str">
        <f>$U$4</f>
        <v>Prob Color</v>
      </c>
      <c r="V60" s="374">
        <f t="shared" si="5"/>
        <v>0</v>
      </c>
      <c r="W60" s="869">
        <f>SUM(PROD!AW61:AW67)</f>
        <v>0</v>
      </c>
      <c r="X60" s="375">
        <f>IFERROR(W60/(AA65-AA63),0)</f>
        <v>0</v>
      </c>
      <c r="Y60" s="377" t="s">
        <v>323</v>
      </c>
      <c r="Z60" s="378">
        <f>SUMPRODUCT(R60:R66,T60:T66)</f>
        <v>0</v>
      </c>
      <c r="AA60" s="379">
        <f>SUM(S60:S66)</f>
        <v>0</v>
      </c>
      <c r="AB60" s="490">
        <f>IF(AA65&gt;0,AA60/AA65,0)</f>
        <v>0</v>
      </c>
    </row>
    <row r="61" spans="1:28" ht="15.75" customHeight="1" x14ac:dyDescent="0.3">
      <c r="A61" s="2301"/>
      <c r="B61" s="438" t="str">
        <f>$B$5</f>
        <v>Amortización de Aves</v>
      </c>
      <c r="C61" s="381">
        <f>IFERROR((C54-(D61/'Pr-Sem'!$O$2)),0)</f>
        <v>0</v>
      </c>
      <c r="D61" s="382">
        <f>SUM(PROD!L61:L67)*E61</f>
        <v>0</v>
      </c>
      <c r="E61" s="383">
        <f>IF(SUM(PROD!L61:L67)&gt;0,IFERROR(($C$1-$C$2)/LOOKUP($B$2,'Pr-Sem'!$A$6:$A$108,'Pr-Sem'!$L$6:$L$108)*(LOOKUP(INVENTARIOS!$A60,'Pr-Sem'!$A$6:$A$108,'Pr-Sem'!$L$6:$L$108)-LOOKUP(INVENTARIOS!$A60-1,'Pr-Sem'!$A$6:$A$108,'Pr-Sem'!$L$6:$L$108))/(LOOKUP(INVENTARIOS!$A60,'Pr-Sem'!$A$6:$A$108,'Pr-Sem'!$K$6:$K$108)-LOOKUP(INVENTARIOS!$A60-1,'Pr-Sem'!$A$6:$A$108,'Pr-Sem'!$K$6:$K$108)),0),0)</f>
        <v>0</v>
      </c>
      <c r="F61" s="384">
        <f>IFERROR(E61/SUM(E60:E66,J60:J66,O60:O65),0)</f>
        <v>0</v>
      </c>
      <c r="G61" s="439" t="str">
        <f>$G$12</f>
        <v>Impuestos</v>
      </c>
      <c r="H61" s="440">
        <f t="shared" si="2"/>
        <v>0</v>
      </c>
      <c r="I61" s="387">
        <f t="shared" si="1"/>
        <v>0</v>
      </c>
      <c r="J61" s="383">
        <f>IFERROR(I61/SUM(PROD!L61:L67),0)</f>
        <v>0</v>
      </c>
      <c r="K61" s="384">
        <f>IFERROR(J61/SUM(E60:E66,J60:J66,O60:O65),0)</f>
        <v>0</v>
      </c>
      <c r="L61" s="439" t="str">
        <f>$L$5</f>
        <v>Depreciaciones</v>
      </c>
      <c r="M61" s="401">
        <f t="shared" si="12"/>
        <v>0</v>
      </c>
      <c r="N61" s="390">
        <f>M61*12/52</f>
        <v>0</v>
      </c>
      <c r="O61" s="383">
        <f>IFERROR(N61/SUM(PROD!L61:L67),0)</f>
        <v>0</v>
      </c>
      <c r="P61" s="384">
        <f>IFERROR(O61/SUM(E60:E66,J60:J66,O60:O65),0)</f>
        <v>0</v>
      </c>
      <c r="Q61" s="491" t="str">
        <f>$Q$5</f>
        <v>AAA</v>
      </c>
      <c r="R61" s="392">
        <f t="shared" si="4"/>
        <v>0</v>
      </c>
      <c r="S61" s="870">
        <f>SUM(PROD!AN61:AN67)</f>
        <v>0</v>
      </c>
      <c r="T61" s="492">
        <f>IF(AA60&gt;0,S61/AA60,0)</f>
        <v>0</v>
      </c>
      <c r="U61" s="493" t="str">
        <f>$U$5</f>
        <v>Prob Cásc</v>
      </c>
      <c r="V61" s="392">
        <f t="shared" si="5"/>
        <v>0</v>
      </c>
      <c r="W61" s="870">
        <f>SUM(PROD!AX61:AX67)</f>
        <v>0</v>
      </c>
      <c r="X61" s="492">
        <f>IFERROR(W61/(AA65-AA63),0)</f>
        <v>0</v>
      </c>
      <c r="Y61" s="395" t="s">
        <v>324</v>
      </c>
      <c r="Z61" s="396">
        <f>IFERROR(SUMPRODUCT(V60:V63,W60:W63)/SUM(W60:W63),0)</f>
        <v>0</v>
      </c>
      <c r="AA61" s="397">
        <f>SUM(W60:W63)</f>
        <v>0</v>
      </c>
      <c r="AB61" s="494">
        <f>IF(AA65&gt;0,AA61/AA65,0)</f>
        <v>0</v>
      </c>
    </row>
    <row r="62" spans="1:28" ht="15.75" customHeight="1" x14ac:dyDescent="0.3">
      <c r="A62" s="2301"/>
      <c r="B62" s="399" t="str">
        <f>$B$6</f>
        <v>Bandeja</v>
      </c>
      <c r="C62" s="400">
        <f>C55</f>
        <v>0</v>
      </c>
      <c r="D62" s="387">
        <f>C62*SUM(INVENTARIOS!R60:R66)</f>
        <v>0</v>
      </c>
      <c r="E62" s="383">
        <f>IFERROR(D62/SUM(PROD!L61:L67),0)</f>
        <v>0</v>
      </c>
      <c r="F62" s="384">
        <f>IFERROR(E62/SUM(E60:E66,J60:J66,O60:O65),0)</f>
        <v>0</v>
      </c>
      <c r="G62" s="439" t="str">
        <f>$G$13</f>
        <v>Arrendamientos</v>
      </c>
      <c r="H62" s="401">
        <f t="shared" si="2"/>
        <v>0</v>
      </c>
      <c r="I62" s="390">
        <f t="shared" si="1"/>
        <v>0</v>
      </c>
      <c r="J62" s="383">
        <f>IFERROR(I62/SUM(PROD!L61:L67),0)</f>
        <v>0</v>
      </c>
      <c r="K62" s="384">
        <f>IFERROR(J62/SUM(E60:E66,J60:J66,O60:O65),0)</f>
        <v>0</v>
      </c>
      <c r="L62" s="439" t="str">
        <f>$L$6</f>
        <v>Diversos</v>
      </c>
      <c r="M62" s="401">
        <f t="shared" si="12"/>
        <v>0</v>
      </c>
      <c r="N62" s="390">
        <f>M62*12/52</f>
        <v>0</v>
      </c>
      <c r="O62" s="383">
        <f>IFERROR(N62/SUM(PROD!L61:L67),0)</f>
        <v>0</v>
      </c>
      <c r="P62" s="384">
        <f>IFERROR(O62/SUM(E60:E66,J60:J66,O60:O65),0)</f>
        <v>0</v>
      </c>
      <c r="Q62" s="491" t="str">
        <f>$Q$6</f>
        <v>AA</v>
      </c>
      <c r="R62" s="392">
        <f t="shared" si="4"/>
        <v>0</v>
      </c>
      <c r="S62" s="870">
        <f>SUM(PROD!AO61:AO67)</f>
        <v>0</v>
      </c>
      <c r="T62" s="492">
        <f>IF(AA60&gt;0,S62/AA60,0)</f>
        <v>0</v>
      </c>
      <c r="U62" s="493" t="str">
        <f>$U$6</f>
        <v>Vencido</v>
      </c>
      <c r="V62" s="392">
        <f t="shared" si="5"/>
        <v>0</v>
      </c>
      <c r="W62" s="870">
        <f>SUM(PROD!AY61:AY67)</f>
        <v>0</v>
      </c>
      <c r="X62" s="492">
        <f>IFERROR(W62/(AA65-AA63),0)</f>
        <v>0</v>
      </c>
      <c r="Y62" s="402" t="s">
        <v>391</v>
      </c>
      <c r="Z62" s="456">
        <v>0</v>
      </c>
      <c r="AA62" s="720"/>
      <c r="AB62" s="495">
        <f>IF(AA65&gt;0,AA62/AA65,0)</f>
        <v>0</v>
      </c>
    </row>
    <row r="63" spans="1:28" ht="15.75" customHeight="1" x14ac:dyDescent="0.3">
      <c r="A63" s="2301"/>
      <c r="B63" s="438" t="str">
        <f>$B$7</f>
        <v>Mortalidad Aves</v>
      </c>
      <c r="C63" s="401">
        <f>IF(A60&lt;=$B$2,C61+$C$2,0)</f>
        <v>0</v>
      </c>
      <c r="D63" s="390">
        <f>C63*SUM(PROD!D61:D67)</f>
        <v>0</v>
      </c>
      <c r="E63" s="383">
        <f>IFERROR(D63/SUM(PROD!L61:L67),0)</f>
        <v>0</v>
      </c>
      <c r="F63" s="384">
        <f>IFERROR(E63/SUM(E60:E66,J60:J66,O60:O65),0)</f>
        <v>0</v>
      </c>
      <c r="G63" s="439" t="str">
        <f>$G$14</f>
        <v>Servicios Públicos</v>
      </c>
      <c r="H63" s="401">
        <f t="shared" si="2"/>
        <v>0</v>
      </c>
      <c r="I63" s="390">
        <f t="shared" si="1"/>
        <v>0</v>
      </c>
      <c r="J63" s="383">
        <f>IFERROR(I63/SUM(PROD!L61:L67),0)</f>
        <v>0</v>
      </c>
      <c r="K63" s="384">
        <f>IFERROR(J63/SUM(E60:E66,J60:J66,O60:O65),0)</f>
        <v>0</v>
      </c>
      <c r="L63" s="441" t="str">
        <f>$L$7</f>
        <v>Administrativos</v>
      </c>
      <c r="M63" s="401">
        <f t="shared" si="12"/>
        <v>0</v>
      </c>
      <c r="N63" s="404">
        <f>M63*0.230769230769231</f>
        <v>0</v>
      </c>
      <c r="O63" s="383">
        <f>IFERROR(N63/SUM(PROD!L61:L67),0)</f>
        <v>0</v>
      </c>
      <c r="P63" s="384">
        <f>IFERROR(O63/SUM(E60:E66,J60:J66,O60:O65),0)</f>
        <v>0</v>
      </c>
      <c r="Q63" s="491" t="str">
        <f>$Q$7</f>
        <v>A</v>
      </c>
      <c r="R63" s="392">
        <f t="shared" si="4"/>
        <v>0</v>
      </c>
      <c r="S63" s="870">
        <f>SUM(PROD!AP61:AP67)</f>
        <v>0</v>
      </c>
      <c r="T63" s="492">
        <f>IF(AA60&gt;0,S63/AA60,0)</f>
        <v>0</v>
      </c>
      <c r="U63" s="405" t="str">
        <f>$U$7</f>
        <v>Roto</v>
      </c>
      <c r="V63" s="406">
        <f t="shared" si="5"/>
        <v>0</v>
      </c>
      <c r="W63" s="872">
        <f>SUM(PROD!AZ61:AZ67)</f>
        <v>0</v>
      </c>
      <c r="X63" s="407">
        <f>IFERROR(W63/(AA65-AA63),0)</f>
        <v>0</v>
      </c>
      <c r="Y63" s="408" t="s">
        <v>359</v>
      </c>
      <c r="Z63" s="442">
        <v>215</v>
      </c>
      <c r="AA63" s="410">
        <f>SUM(PROD!L61:L67)-SUM(W60:W66)-SUM(S60:S66)-AA62</f>
        <v>0</v>
      </c>
      <c r="AB63" s="496">
        <f>IF(AA65&gt;0,AA63/AA65,0)</f>
        <v>0</v>
      </c>
    </row>
    <row r="64" spans="1:28" ht="15.75" customHeight="1" x14ac:dyDescent="0.3">
      <c r="A64" s="2301"/>
      <c r="B64" s="399" t="str">
        <f>$B$8</f>
        <v>Materia Prima (Carb Ca, etc.)</v>
      </c>
      <c r="C64" s="440">
        <f>C57</f>
        <v>0</v>
      </c>
      <c r="D64" s="387">
        <f>C64*12/52</f>
        <v>0</v>
      </c>
      <c r="E64" s="383">
        <f>IFERROR(D64/SUM(PROD!L61:L67),0)</f>
        <v>0</v>
      </c>
      <c r="F64" s="384">
        <f>IFERROR(E64/SUM(E60:E66,J60:J66,O60:O65),0)</f>
        <v>0</v>
      </c>
      <c r="G64" s="441" t="str">
        <f>$G$15</f>
        <v>Gastos Legales</v>
      </c>
      <c r="H64" s="401">
        <f t="shared" si="2"/>
        <v>0</v>
      </c>
      <c r="I64" s="390">
        <f t="shared" si="1"/>
        <v>0</v>
      </c>
      <c r="J64" s="383">
        <f>IFERROR(I64/SUM(PROD!L61:L67),0)</f>
        <v>0</v>
      </c>
      <c r="K64" s="384">
        <f>IFERROR(J64/SUM(E60:E66,J60:J66,O60:O65),0)</f>
        <v>0</v>
      </c>
      <c r="L64" s="439" t="str">
        <f>$L$8</f>
        <v>Fletes</v>
      </c>
      <c r="M64" s="401">
        <f t="shared" si="12"/>
        <v>0</v>
      </c>
      <c r="N64" s="404">
        <f>M64*0.230769230769231</f>
        <v>0</v>
      </c>
      <c r="O64" s="383">
        <f>IFERROR(N64/SUM(PROD!L61:L67),0)</f>
        <v>0</v>
      </c>
      <c r="P64" s="384">
        <f>IFERROR(O64/SUM(E60:E66,J60:J66,O60:O65),0)</f>
        <v>0</v>
      </c>
      <c r="Q64" s="491" t="str">
        <f>$Q$8</f>
        <v>B</v>
      </c>
      <c r="R64" s="392">
        <f t="shared" si="4"/>
        <v>0</v>
      </c>
      <c r="S64" s="870">
        <f>SUM(PROD!AQ61:AQ67)</f>
        <v>0</v>
      </c>
      <c r="T64" s="492">
        <f>IF(AA60&gt;0,S64/AA60,0)</f>
        <v>0</v>
      </c>
      <c r="U64" s="395" t="str">
        <f>$U$8</f>
        <v>Rev. Gr.</v>
      </c>
      <c r="V64" s="412">
        <f t="shared" si="5"/>
        <v>0</v>
      </c>
      <c r="W64" s="873">
        <f>SUM(PROD!AT61:AT67)</f>
        <v>0</v>
      </c>
      <c r="X64" s="413">
        <f>IFERROR(W64/(AA65-AA63),0)</f>
        <v>0</v>
      </c>
      <c r="Y64" s="414" t="s">
        <v>262</v>
      </c>
      <c r="Z64" s="415">
        <f>IFERROR(SUMPRODUCT(V64:V66,W64:W66)/SUM(W64:W66),0)</f>
        <v>0</v>
      </c>
      <c r="AA64" s="416">
        <f>SUM(W64:W66)</f>
        <v>0</v>
      </c>
      <c r="AB64" s="497">
        <f>IF(AA65&gt;0,AA64/AA65,0)</f>
        <v>0</v>
      </c>
    </row>
    <row r="65" spans="1:28" ht="15.75" customHeight="1" x14ac:dyDescent="0.3">
      <c r="A65" s="2301"/>
      <c r="B65" s="438" t="str">
        <f>$B$9</f>
        <v>Vacunas y medicamentos</v>
      </c>
      <c r="C65" s="443">
        <f>C58</f>
        <v>0</v>
      </c>
      <c r="D65" s="387">
        <f>C65*12/52</f>
        <v>0</v>
      </c>
      <c r="E65" s="383">
        <f>IFERROR(D65/SUM(PROD!L61:L67),0)</f>
        <v>0</v>
      </c>
      <c r="F65" s="384">
        <f>IFERROR(E65/SUM(E60:E66,J60:J66,O60:O65),0)</f>
        <v>0</v>
      </c>
      <c r="G65" s="441" t="str">
        <f>$G$16</f>
        <v>Mantenimiento y Reparaciones</v>
      </c>
      <c r="H65" s="401">
        <f t="shared" si="2"/>
        <v>0</v>
      </c>
      <c r="I65" s="390">
        <f t="shared" si="1"/>
        <v>0</v>
      </c>
      <c r="J65" s="383">
        <f>IFERROR(I65/SUM(PROD!L61:L67),0)</f>
        <v>0</v>
      </c>
      <c r="K65" s="384">
        <f>IFERROR(J65/SUM(E60:E66,J60:J66,O60:O65),0)</f>
        <v>0</v>
      </c>
      <c r="L65" s="439">
        <f>$L$9</f>
        <v>0</v>
      </c>
      <c r="M65" s="401">
        <f t="shared" si="12"/>
        <v>0</v>
      </c>
      <c r="N65" s="404">
        <f>M65*0.230769230769231</f>
        <v>0</v>
      </c>
      <c r="O65" s="383">
        <f>IFERROR(N65/SUM(PROD!L61:L67),0)</f>
        <v>0</v>
      </c>
      <c r="P65" s="384">
        <f>IFERROR(O65/SUM(E60:E66,J60:J66,O60:O65),0)</f>
        <v>0</v>
      </c>
      <c r="Q65" s="491" t="str">
        <f>$Q$9</f>
        <v>C</v>
      </c>
      <c r="R65" s="392">
        <f t="shared" si="4"/>
        <v>0</v>
      </c>
      <c r="S65" s="870">
        <f>SUM(PROD!AR61:AR67)</f>
        <v>0</v>
      </c>
      <c r="T65" s="492">
        <f>IF(AA60&gt;0,S65/AA60,0)</f>
        <v>0</v>
      </c>
      <c r="U65" s="493" t="str">
        <f>$U$9</f>
        <v>Rev. Med</v>
      </c>
      <c r="V65" s="392">
        <f t="shared" si="5"/>
        <v>0</v>
      </c>
      <c r="W65" s="870">
        <f>SUM(PROD!AU61:AU67)</f>
        <v>0</v>
      </c>
      <c r="X65" s="498">
        <f>IFERROR(W65/(AA65-AA63),0)</f>
        <v>0</v>
      </c>
      <c r="Y65" s="2303" t="s">
        <v>325</v>
      </c>
      <c r="Z65" s="2305">
        <f>SUMPRODUCT(Z60:Z64,AB60:AB64)</f>
        <v>0</v>
      </c>
      <c r="AA65" s="2307">
        <f>SUM(AA60:AA63)</f>
        <v>0</v>
      </c>
      <c r="AB65" s="2308"/>
    </row>
    <row r="66" spans="1:28" ht="16.5" customHeight="1" thickBot="1" x14ac:dyDescent="0.35">
      <c r="A66" s="2302"/>
      <c r="B66" s="444" t="str">
        <f>$B$10</f>
        <v>Gastos de Personal</v>
      </c>
      <c r="C66" s="445">
        <f>C59</f>
        <v>0</v>
      </c>
      <c r="D66" s="421">
        <f>C66*12/52</f>
        <v>0</v>
      </c>
      <c r="E66" s="446">
        <f>IFERROR(D66/SUM(PROD!L61:L67),0)</f>
        <v>0</v>
      </c>
      <c r="F66" s="447">
        <f>IFERROR(E66/SUM(E60:E66,J60:J66,O60:O65),0)</f>
        <v>0</v>
      </c>
      <c r="G66" s="448" t="str">
        <f>$G$17</f>
        <v>Adecuación Instalaciones</v>
      </c>
      <c r="H66" s="445">
        <f t="shared" si="2"/>
        <v>0</v>
      </c>
      <c r="I66" s="426">
        <f t="shared" si="1"/>
        <v>0</v>
      </c>
      <c r="J66" s="446">
        <f>IFERROR(I66/SUM(PROD!L61:L67),0)</f>
        <v>0</v>
      </c>
      <c r="K66" s="447">
        <f>IFERROR(J66/SUM(E60:E66,J60:J66,O60:O65),0)</f>
        <v>0</v>
      </c>
      <c r="L66" s="2311" t="str">
        <f>$L$10</f>
        <v>TOTAL COSTO PRODUCCIÓN</v>
      </c>
      <c r="M66" s="2312"/>
      <c r="N66" s="427">
        <f>SUM(D60:D66,I60:I66,N60:N65)</f>
        <v>0</v>
      </c>
      <c r="O66" s="449">
        <f>IFERROR(N66/SUM(PROD!L61:L67),0)</f>
        <v>0</v>
      </c>
      <c r="P66" s="447">
        <f>IFERROR(O66/SUM(E60:E66,J60:J66,O60:O65),0)</f>
        <v>0</v>
      </c>
      <c r="Q66" s="429" t="str">
        <f>$Q$10</f>
        <v>D</v>
      </c>
      <c r="R66" s="499">
        <f t="shared" si="4"/>
        <v>0</v>
      </c>
      <c r="S66" s="871">
        <f>SUM(PROD!AS61:AS67)</f>
        <v>0</v>
      </c>
      <c r="T66" s="431">
        <f>IF(AA60&gt;0,S66/AA60,0)</f>
        <v>0</v>
      </c>
      <c r="U66" s="432" t="str">
        <f>$U$10</f>
        <v>Rev. Peq</v>
      </c>
      <c r="V66" s="499">
        <f t="shared" si="5"/>
        <v>0</v>
      </c>
      <c r="W66" s="871">
        <f>SUM(PROD!AV61:AV67)</f>
        <v>0</v>
      </c>
      <c r="X66" s="431">
        <f>IFERROR(W66/(AA65-AA63),0)</f>
        <v>0</v>
      </c>
      <c r="Y66" s="2304"/>
      <c r="Z66" s="2306"/>
      <c r="AA66" s="2309"/>
      <c r="AB66" s="2310"/>
    </row>
    <row r="67" spans="1:28" ht="16.5" customHeight="1" x14ac:dyDescent="0.3">
      <c r="A67" s="2300">
        <f>A60+1</f>
        <v>27</v>
      </c>
      <c r="B67" s="433" t="str">
        <f>$B$4</f>
        <v>ALIMENTO Kilos</v>
      </c>
      <c r="C67" s="435">
        <f>LOOKUP($A67,PROD!$A$5:$A$725,PROD!$AH$10:$AH$730)</f>
        <v>0</v>
      </c>
      <c r="D67" s="368">
        <f>C67*LOOKUP($A67,'Pr-Sem'!$A$6:$A$108,'Pr-Sem'!$N$6:$N$108)/(PROD!$A$1/1000)</f>
        <v>0</v>
      </c>
      <c r="E67" s="369">
        <f>IFERROR(D67/SUM(PROD!L68:L74),0)</f>
        <v>0</v>
      </c>
      <c r="F67" s="370">
        <f>IFERROR(E67/SUM(E67:E73,J67:J73,O67:O72),0)</f>
        <v>0</v>
      </c>
      <c r="G67" s="434" t="str">
        <f>$G$11</f>
        <v>Honorarios</v>
      </c>
      <c r="H67" s="435">
        <f t="shared" si="2"/>
        <v>0</v>
      </c>
      <c r="I67" s="372">
        <f t="shared" si="1"/>
        <v>0</v>
      </c>
      <c r="J67" s="369">
        <f>IFERROR(I67/SUM(PROD!L68:L74),0)</f>
        <v>0</v>
      </c>
      <c r="K67" s="370">
        <f>IFERROR(J67/SUM(E67:E73,J67:J73,O67:O72),0)</f>
        <v>0</v>
      </c>
      <c r="L67" s="436" t="str">
        <f>$L$4</f>
        <v>Gastos de Viaje</v>
      </c>
      <c r="M67" s="435">
        <f t="shared" ref="M67:M72" si="13">M60</f>
        <v>0</v>
      </c>
      <c r="N67" s="372">
        <f>M67*12/52</f>
        <v>0</v>
      </c>
      <c r="O67" s="369">
        <f>IFERROR(N67/SUM(PROD!L68:L74),0)</f>
        <v>0</v>
      </c>
      <c r="P67" s="370">
        <f>IFERROR(O67/SUM(E67:E73,J67:J73,O67:O72),0)</f>
        <v>0</v>
      </c>
      <c r="Q67" s="373" t="str">
        <f>$Q$4</f>
        <v>AAAA</v>
      </c>
      <c r="R67" s="374">
        <f t="shared" si="4"/>
        <v>0</v>
      </c>
      <c r="S67" s="869">
        <f>SUM(PROD!AM68:AM74)</f>
        <v>0</v>
      </c>
      <c r="T67" s="375">
        <f>IF(AA67&gt;0,S67/AA67,0)</f>
        <v>0</v>
      </c>
      <c r="U67" s="376" t="str">
        <f>$U$4</f>
        <v>Prob Color</v>
      </c>
      <c r="V67" s="374">
        <f t="shared" si="5"/>
        <v>0</v>
      </c>
      <c r="W67" s="869">
        <f>SUM(PROD!AW68:AW74)</f>
        <v>0</v>
      </c>
      <c r="X67" s="375">
        <f>IFERROR(W67/(AA72-AA70),0)</f>
        <v>0</v>
      </c>
      <c r="Y67" s="377" t="s">
        <v>323</v>
      </c>
      <c r="Z67" s="378">
        <f>SUMPRODUCT(R67:R73,T67:T73)</f>
        <v>0</v>
      </c>
      <c r="AA67" s="379">
        <f>SUM(S67:S73)</f>
        <v>0</v>
      </c>
      <c r="AB67" s="490">
        <f>IF(AA72&gt;0,AA67/AA72,0)</f>
        <v>0</v>
      </c>
    </row>
    <row r="68" spans="1:28" ht="15.75" customHeight="1" x14ac:dyDescent="0.3">
      <c r="A68" s="2301"/>
      <c r="B68" s="438" t="str">
        <f>$B$5</f>
        <v>Amortización de Aves</v>
      </c>
      <c r="C68" s="381">
        <f>IFERROR((C61-(D68/'Pr-Sem'!$O$2)),0)</f>
        <v>0</v>
      </c>
      <c r="D68" s="382">
        <f>SUM(PROD!L68:L74)*E68</f>
        <v>0</v>
      </c>
      <c r="E68" s="383">
        <f>IF(SUM(PROD!L68:L74)&gt;0,IFERROR(($C$1-$C$2)/LOOKUP($B$2,'Pr-Sem'!$A$6:$A$108,'Pr-Sem'!$L$6:$L$108)*(LOOKUP(INVENTARIOS!$A67,'Pr-Sem'!$A$6:$A$108,'Pr-Sem'!$L$6:$L$108)-LOOKUP(INVENTARIOS!$A67-1,'Pr-Sem'!$A$6:$A$108,'Pr-Sem'!$L$6:$L$108))/(LOOKUP(INVENTARIOS!$A67,'Pr-Sem'!$A$6:$A$108,'Pr-Sem'!$K$6:$K$108)-LOOKUP(INVENTARIOS!$A67-1,'Pr-Sem'!$A$6:$A$108,'Pr-Sem'!$K$6:$K$108)),0),0)</f>
        <v>0</v>
      </c>
      <c r="F68" s="384">
        <f>IFERROR(E68/SUM(E67:E73,J67:J73,O67:O72),0)</f>
        <v>0</v>
      </c>
      <c r="G68" s="439" t="str">
        <f>$G$12</f>
        <v>Impuestos</v>
      </c>
      <c r="H68" s="440">
        <f t="shared" si="2"/>
        <v>0</v>
      </c>
      <c r="I68" s="387">
        <f t="shared" ref="I68:I131" si="14">H68*12/52</f>
        <v>0</v>
      </c>
      <c r="J68" s="383">
        <f>IFERROR(I68/SUM(PROD!L68:L74),0)</f>
        <v>0</v>
      </c>
      <c r="K68" s="384">
        <f>IFERROR(J68/SUM(E67:E73,J67:J73,O67:O72),0)</f>
        <v>0</v>
      </c>
      <c r="L68" s="439" t="str">
        <f>$L$5</f>
        <v>Depreciaciones</v>
      </c>
      <c r="M68" s="401">
        <f t="shared" si="13"/>
        <v>0</v>
      </c>
      <c r="N68" s="390">
        <f>M68*12/52</f>
        <v>0</v>
      </c>
      <c r="O68" s="383">
        <f>IFERROR(N68/SUM(PROD!L68:L74),0)</f>
        <v>0</v>
      </c>
      <c r="P68" s="384">
        <f>IFERROR(O68/SUM(E67:E73,J67:J73,O67:O72),0)</f>
        <v>0</v>
      </c>
      <c r="Q68" s="491" t="str">
        <f>$Q$5</f>
        <v>AAA</v>
      </c>
      <c r="R68" s="392">
        <f t="shared" si="4"/>
        <v>0</v>
      </c>
      <c r="S68" s="870">
        <f>SUM(PROD!AN68:AN74)</f>
        <v>0</v>
      </c>
      <c r="T68" s="492">
        <f>IF(AA67&gt;0,S68/AA67,0)</f>
        <v>0</v>
      </c>
      <c r="U68" s="493" t="str">
        <f>$U$5</f>
        <v>Prob Cásc</v>
      </c>
      <c r="V68" s="392">
        <f t="shared" si="5"/>
        <v>0</v>
      </c>
      <c r="W68" s="870">
        <f>SUM(PROD!AX68:AX74)</f>
        <v>0</v>
      </c>
      <c r="X68" s="492">
        <f>IFERROR(W68/(AA72-AA70),0)</f>
        <v>0</v>
      </c>
      <c r="Y68" s="395" t="s">
        <v>324</v>
      </c>
      <c r="Z68" s="396">
        <f>IFERROR(SUMPRODUCT(V67:V70,W67:W70)/SUM(W67:W70),0)</f>
        <v>0</v>
      </c>
      <c r="AA68" s="397">
        <f>SUM(W67:W70)</f>
        <v>0</v>
      </c>
      <c r="AB68" s="494">
        <f>IF(AA72&gt;0,AA68/AA72,0)</f>
        <v>0</v>
      </c>
    </row>
    <row r="69" spans="1:28" ht="15.75" customHeight="1" x14ac:dyDescent="0.3">
      <c r="A69" s="2301"/>
      <c r="B69" s="399" t="str">
        <f>$B$6</f>
        <v>Bandeja</v>
      </c>
      <c r="C69" s="400">
        <f>C62</f>
        <v>0</v>
      </c>
      <c r="D69" s="387">
        <f>C69*SUM(INVENTARIOS!R67:R73)</f>
        <v>0</v>
      </c>
      <c r="E69" s="383">
        <f>IFERROR(D69/SUM(PROD!L68:L74),0)</f>
        <v>0</v>
      </c>
      <c r="F69" s="384">
        <f>IFERROR(E69/SUM(E67:E73,J67:J73,O67:O72),0)</f>
        <v>0</v>
      </c>
      <c r="G69" s="439" t="str">
        <f>$G$13</f>
        <v>Arrendamientos</v>
      </c>
      <c r="H69" s="401">
        <f t="shared" si="2"/>
        <v>0</v>
      </c>
      <c r="I69" s="390">
        <f t="shared" si="14"/>
        <v>0</v>
      </c>
      <c r="J69" s="383">
        <f>IFERROR(I69/SUM(PROD!L68:L74),0)</f>
        <v>0</v>
      </c>
      <c r="K69" s="384">
        <f>IFERROR(J69/SUM(E67:E73,J67:J73,O67:O72),0)</f>
        <v>0</v>
      </c>
      <c r="L69" s="439" t="str">
        <f>$L$6</f>
        <v>Diversos</v>
      </c>
      <c r="M69" s="401">
        <f t="shared" si="13"/>
        <v>0</v>
      </c>
      <c r="N69" s="390">
        <f>M69*12/52</f>
        <v>0</v>
      </c>
      <c r="O69" s="383">
        <f>IFERROR(N69/SUM(PROD!L68:L74),0)</f>
        <v>0</v>
      </c>
      <c r="P69" s="384">
        <f>IFERROR(O69/SUM(E67:E73,J67:J73,O67:O72),0)</f>
        <v>0</v>
      </c>
      <c r="Q69" s="491" t="str">
        <f>$Q$6</f>
        <v>AA</v>
      </c>
      <c r="R69" s="392">
        <f t="shared" si="4"/>
        <v>0</v>
      </c>
      <c r="S69" s="870">
        <f>SUM(PROD!AO68:AO74)</f>
        <v>0</v>
      </c>
      <c r="T69" s="492">
        <f>IF(AA67&gt;0,S69/AA67,0)</f>
        <v>0</v>
      </c>
      <c r="U69" s="493" t="str">
        <f>$U$6</f>
        <v>Vencido</v>
      </c>
      <c r="V69" s="392">
        <f t="shared" si="5"/>
        <v>0</v>
      </c>
      <c r="W69" s="870">
        <f>SUM(PROD!AY68:AY74)</f>
        <v>0</v>
      </c>
      <c r="X69" s="492">
        <f>IFERROR(W69/(AA72-AA70),0)</f>
        <v>0</v>
      </c>
      <c r="Y69" s="402" t="s">
        <v>391</v>
      </c>
      <c r="Z69" s="456">
        <v>0</v>
      </c>
      <c r="AA69" s="720"/>
      <c r="AB69" s="495">
        <f>IF(AA72&gt;0,AA69/AA72,0)</f>
        <v>0</v>
      </c>
    </row>
    <row r="70" spans="1:28" ht="15.75" customHeight="1" x14ac:dyDescent="0.3">
      <c r="A70" s="2301"/>
      <c r="B70" s="438" t="str">
        <f>$B$7</f>
        <v>Mortalidad Aves</v>
      </c>
      <c r="C70" s="401">
        <f>IF(A67&lt;=$B$2,C68+$C$2,0)</f>
        <v>0</v>
      </c>
      <c r="D70" s="390">
        <f>C70*SUM(PROD!D68:D74)</f>
        <v>0</v>
      </c>
      <c r="E70" s="383">
        <f>IFERROR(D70/SUM(PROD!L68:L74),0)</f>
        <v>0</v>
      </c>
      <c r="F70" s="384">
        <f>IFERROR(E70/SUM(E67:E73,J67:J73,O67:O72),0)</f>
        <v>0</v>
      </c>
      <c r="G70" s="439" t="str">
        <f>$G$14</f>
        <v>Servicios Públicos</v>
      </c>
      <c r="H70" s="401">
        <f t="shared" si="2"/>
        <v>0</v>
      </c>
      <c r="I70" s="390">
        <f t="shared" si="14"/>
        <v>0</v>
      </c>
      <c r="J70" s="383">
        <f>IFERROR(I70/SUM(PROD!L68:L74),0)</f>
        <v>0</v>
      </c>
      <c r="K70" s="384">
        <f>IFERROR(J70/SUM(E67:E73,J67:J73,O67:O72),0)</f>
        <v>0</v>
      </c>
      <c r="L70" s="441" t="str">
        <f>$L$7</f>
        <v>Administrativos</v>
      </c>
      <c r="M70" s="401">
        <f t="shared" si="13"/>
        <v>0</v>
      </c>
      <c r="N70" s="404">
        <f>M70*0.230769230769231</f>
        <v>0</v>
      </c>
      <c r="O70" s="383">
        <f>IFERROR(N70/SUM(PROD!L68:L74),0)</f>
        <v>0</v>
      </c>
      <c r="P70" s="384">
        <f>IFERROR(O70/SUM(E67:E73,J67:J73,O67:O72),0)</f>
        <v>0</v>
      </c>
      <c r="Q70" s="491" t="str">
        <f>$Q$7</f>
        <v>A</v>
      </c>
      <c r="R70" s="392">
        <f t="shared" si="4"/>
        <v>0</v>
      </c>
      <c r="S70" s="870">
        <f>SUM(PROD!AP68:AP74)</f>
        <v>0</v>
      </c>
      <c r="T70" s="492">
        <f>IF(AA67&gt;0,S70/AA67,0)</f>
        <v>0</v>
      </c>
      <c r="U70" s="405" t="str">
        <f>$U$7</f>
        <v>Roto</v>
      </c>
      <c r="V70" s="406">
        <f t="shared" si="5"/>
        <v>0</v>
      </c>
      <c r="W70" s="872">
        <f>SUM(PROD!AZ68:AZ74)</f>
        <v>0</v>
      </c>
      <c r="X70" s="407">
        <f>IFERROR(W70/(AA72-AA70),0)</f>
        <v>0</v>
      </c>
      <c r="Y70" s="408" t="s">
        <v>359</v>
      </c>
      <c r="Z70" s="442">
        <v>215</v>
      </c>
      <c r="AA70" s="410">
        <f>SUM(PROD!L68:L74)-SUM(W67:W73)-SUM(S67:S73)-AA69</f>
        <v>0</v>
      </c>
      <c r="AB70" s="496">
        <f>IF(AA72&gt;0,AA70/AA72,0)</f>
        <v>0</v>
      </c>
    </row>
    <row r="71" spans="1:28" ht="15.75" customHeight="1" x14ac:dyDescent="0.3">
      <c r="A71" s="2301"/>
      <c r="B71" s="399" t="str">
        <f>$B$8</f>
        <v>Materia Prima (Carb Ca, etc.)</v>
      </c>
      <c r="C71" s="440">
        <f>C64</f>
        <v>0</v>
      </c>
      <c r="D71" s="387">
        <f>C71*12/52</f>
        <v>0</v>
      </c>
      <c r="E71" s="383">
        <f>IFERROR(D71/SUM(PROD!L68:L74),0)</f>
        <v>0</v>
      </c>
      <c r="F71" s="384">
        <f>IFERROR(E71/SUM(E67:E73,J67:J73,O67:O72),0)</f>
        <v>0</v>
      </c>
      <c r="G71" s="441" t="str">
        <f>$G$15</f>
        <v>Gastos Legales</v>
      </c>
      <c r="H71" s="401">
        <f t="shared" si="2"/>
        <v>0</v>
      </c>
      <c r="I71" s="390">
        <f t="shared" si="14"/>
        <v>0</v>
      </c>
      <c r="J71" s="383">
        <f>IFERROR(I71/SUM(PROD!L68:L74),0)</f>
        <v>0</v>
      </c>
      <c r="K71" s="384">
        <f>IFERROR(J71/SUM(E67:E73,J67:J73,O67:O72),0)</f>
        <v>0</v>
      </c>
      <c r="L71" s="439" t="str">
        <f>$L$8</f>
        <v>Fletes</v>
      </c>
      <c r="M71" s="401">
        <f t="shared" si="13"/>
        <v>0</v>
      </c>
      <c r="N71" s="404">
        <f>M71*0.230769230769231</f>
        <v>0</v>
      </c>
      <c r="O71" s="383">
        <f>IFERROR(N71/SUM(PROD!L68:L74),0)</f>
        <v>0</v>
      </c>
      <c r="P71" s="384">
        <f>IFERROR(O71/SUM(E67:E73,J67:J73,O67:O72),0)</f>
        <v>0</v>
      </c>
      <c r="Q71" s="491" t="str">
        <f>$Q$8</f>
        <v>B</v>
      </c>
      <c r="R71" s="392">
        <f t="shared" si="4"/>
        <v>0</v>
      </c>
      <c r="S71" s="870">
        <f>SUM(PROD!AQ68:AQ74)</f>
        <v>0</v>
      </c>
      <c r="T71" s="492">
        <f>IF(AA67&gt;0,S71/AA67,0)</f>
        <v>0</v>
      </c>
      <c r="U71" s="395" t="str">
        <f>$U$8</f>
        <v>Rev. Gr.</v>
      </c>
      <c r="V71" s="412">
        <f t="shared" si="5"/>
        <v>0</v>
      </c>
      <c r="W71" s="873">
        <f>SUM(PROD!AT68:AT74)</f>
        <v>0</v>
      </c>
      <c r="X71" s="413">
        <f>IFERROR(W71/(AA72-AA70),0)</f>
        <v>0</v>
      </c>
      <c r="Y71" s="414" t="s">
        <v>262</v>
      </c>
      <c r="Z71" s="415">
        <f>IFERROR(SUMPRODUCT(V71:V73,W71:W73)/SUM(W71:W73),0)</f>
        <v>0</v>
      </c>
      <c r="AA71" s="416">
        <f>SUM(W71:W73)</f>
        <v>0</v>
      </c>
      <c r="AB71" s="497">
        <f>IF(AA72&gt;0,AA71/AA72,0)</f>
        <v>0</v>
      </c>
    </row>
    <row r="72" spans="1:28" ht="15.75" customHeight="1" x14ac:dyDescent="0.3">
      <c r="A72" s="2301"/>
      <c r="B72" s="438" t="str">
        <f>$B$9</f>
        <v>Vacunas y medicamentos</v>
      </c>
      <c r="C72" s="443">
        <f>C65</f>
        <v>0</v>
      </c>
      <c r="D72" s="387">
        <f>C72*12/52</f>
        <v>0</v>
      </c>
      <c r="E72" s="383">
        <f>IFERROR(D72/SUM(PROD!L68:L74),0)</f>
        <v>0</v>
      </c>
      <c r="F72" s="384">
        <f>IFERROR(E72/SUM(E67:E73,J67:J73,O67:O72),0)</f>
        <v>0</v>
      </c>
      <c r="G72" s="441" t="str">
        <f>$G$16</f>
        <v>Mantenimiento y Reparaciones</v>
      </c>
      <c r="H72" s="401">
        <f t="shared" si="2"/>
        <v>0</v>
      </c>
      <c r="I72" s="390">
        <f t="shared" si="14"/>
        <v>0</v>
      </c>
      <c r="J72" s="383">
        <f>IFERROR(I72/SUM(PROD!L68:L74),0)</f>
        <v>0</v>
      </c>
      <c r="K72" s="384">
        <f>IFERROR(J72/SUM(E67:E73,J67:J73,O67:O72),0)</f>
        <v>0</v>
      </c>
      <c r="L72" s="439">
        <f>$L$9</f>
        <v>0</v>
      </c>
      <c r="M72" s="401">
        <f t="shared" si="13"/>
        <v>0</v>
      </c>
      <c r="N72" s="404">
        <f>M72*0.230769230769231</f>
        <v>0</v>
      </c>
      <c r="O72" s="383">
        <f>IFERROR(N72/SUM(PROD!L68:L74),0)</f>
        <v>0</v>
      </c>
      <c r="P72" s="384">
        <f>IFERROR(O72/SUM(E67:E73,J67:J73,O67:O72),0)</f>
        <v>0</v>
      </c>
      <c r="Q72" s="491" t="str">
        <f>$Q$9</f>
        <v>C</v>
      </c>
      <c r="R72" s="392">
        <f t="shared" si="4"/>
        <v>0</v>
      </c>
      <c r="S72" s="870">
        <f>SUM(PROD!AR68:AR74)</f>
        <v>0</v>
      </c>
      <c r="T72" s="492">
        <f>IF(AA67&gt;0,S72/AA67,0)</f>
        <v>0</v>
      </c>
      <c r="U72" s="493" t="str">
        <f>$U$9</f>
        <v>Rev. Med</v>
      </c>
      <c r="V72" s="392">
        <f t="shared" si="5"/>
        <v>0</v>
      </c>
      <c r="W72" s="870">
        <f>SUM(PROD!AU68:AU74)</f>
        <v>0</v>
      </c>
      <c r="X72" s="498">
        <f>IFERROR(W72/(AA72-AA70),0)</f>
        <v>0</v>
      </c>
      <c r="Y72" s="2303" t="s">
        <v>325</v>
      </c>
      <c r="Z72" s="2305">
        <f>SUMPRODUCT(Z67:Z71,AB67:AB71)</f>
        <v>0</v>
      </c>
      <c r="AA72" s="2307">
        <f>SUM(AA67:AA70)</f>
        <v>0</v>
      </c>
      <c r="AB72" s="2308"/>
    </row>
    <row r="73" spans="1:28" ht="16.5" customHeight="1" thickBot="1" x14ac:dyDescent="0.35">
      <c r="A73" s="2302"/>
      <c r="B73" s="444" t="str">
        <f>$B$10</f>
        <v>Gastos de Personal</v>
      </c>
      <c r="C73" s="445">
        <f>C66</f>
        <v>0</v>
      </c>
      <c r="D73" s="421">
        <f>C73*12/52</f>
        <v>0</v>
      </c>
      <c r="E73" s="446">
        <f>IFERROR(D73/SUM(PROD!L68:L74),0)</f>
        <v>0</v>
      </c>
      <c r="F73" s="447">
        <f>IFERROR(E73/SUM(E67:E73,J67:J73,O67:O72),0)</f>
        <v>0</v>
      </c>
      <c r="G73" s="448" t="str">
        <f>$G$17</f>
        <v>Adecuación Instalaciones</v>
      </c>
      <c r="H73" s="445">
        <f t="shared" si="2"/>
        <v>0</v>
      </c>
      <c r="I73" s="426">
        <f t="shared" si="14"/>
        <v>0</v>
      </c>
      <c r="J73" s="446">
        <f>IFERROR(I73/SUM(PROD!L68:L74),0)</f>
        <v>0</v>
      </c>
      <c r="K73" s="447">
        <f>IFERROR(J73/SUM(E67:E73,J67:J73,O67:O72),0)</f>
        <v>0</v>
      </c>
      <c r="L73" s="2311" t="str">
        <f>$L$10</f>
        <v>TOTAL COSTO PRODUCCIÓN</v>
      </c>
      <c r="M73" s="2312"/>
      <c r="N73" s="427">
        <f>SUM(D67:D73,I67:I73,N67:N72)</f>
        <v>0</v>
      </c>
      <c r="O73" s="449">
        <f>IFERROR(N73/SUM(PROD!L68:L74),0)</f>
        <v>0</v>
      </c>
      <c r="P73" s="447">
        <f>IFERROR(O73/SUM(E67:E73,J67:J73,O67:O72),0)</f>
        <v>0</v>
      </c>
      <c r="Q73" s="429" t="str">
        <f>$Q$10</f>
        <v>D</v>
      </c>
      <c r="R73" s="499">
        <f t="shared" si="4"/>
        <v>0</v>
      </c>
      <c r="S73" s="871">
        <f>SUM(PROD!AS68:AS74)</f>
        <v>0</v>
      </c>
      <c r="T73" s="431">
        <f>IF(AA67&gt;0,S73/AA67,0)</f>
        <v>0</v>
      </c>
      <c r="U73" s="432" t="str">
        <f>$U$10</f>
        <v>Rev. Peq</v>
      </c>
      <c r="V73" s="499">
        <f t="shared" si="5"/>
        <v>0</v>
      </c>
      <c r="W73" s="871">
        <f>SUM(PROD!AV68:AV74)</f>
        <v>0</v>
      </c>
      <c r="X73" s="431">
        <f>IFERROR(W73/(AA72-AA70),0)</f>
        <v>0</v>
      </c>
      <c r="Y73" s="2304"/>
      <c r="Z73" s="2306"/>
      <c r="AA73" s="2309"/>
      <c r="AB73" s="2310"/>
    </row>
    <row r="74" spans="1:28" ht="16.5" customHeight="1" x14ac:dyDescent="0.3">
      <c r="A74" s="2300">
        <f>A67+1</f>
        <v>28</v>
      </c>
      <c r="B74" s="433" t="str">
        <f>$B$4</f>
        <v>ALIMENTO Kilos</v>
      </c>
      <c r="C74" s="435">
        <f>LOOKUP($A74,PROD!$A$5:$A$725,PROD!$AH$10:$AH$730)</f>
        <v>0</v>
      </c>
      <c r="D74" s="368">
        <f>C74*LOOKUP($A74,'Pr-Sem'!$A$6:$A$108,'Pr-Sem'!$N$6:$N$108)/(PROD!$A$1/1000)</f>
        <v>0</v>
      </c>
      <c r="E74" s="369">
        <f>IFERROR(D74/SUM(PROD!L75:L81),0)</f>
        <v>0</v>
      </c>
      <c r="F74" s="370">
        <f>IFERROR(E74/SUM(E74:E80,J74:J80,O74:O79),0)</f>
        <v>0</v>
      </c>
      <c r="G74" s="434" t="str">
        <f>$G$11</f>
        <v>Honorarios</v>
      </c>
      <c r="H74" s="435">
        <f t="shared" si="2"/>
        <v>0</v>
      </c>
      <c r="I74" s="372">
        <f t="shared" si="14"/>
        <v>0</v>
      </c>
      <c r="J74" s="369">
        <f>IFERROR(I74/SUM(PROD!L75:L81),0)</f>
        <v>0</v>
      </c>
      <c r="K74" s="370">
        <f>IFERROR(J74/SUM(E74:E80,J74:J80,O74:O79),0)</f>
        <v>0</v>
      </c>
      <c r="L74" s="436" t="str">
        <f>$L$4</f>
        <v>Gastos de Viaje</v>
      </c>
      <c r="M74" s="435">
        <f t="shared" ref="M74:M79" si="15">M67</f>
        <v>0</v>
      </c>
      <c r="N74" s="372">
        <f>M74*12/52</f>
        <v>0</v>
      </c>
      <c r="O74" s="369">
        <f>IFERROR(N74/SUM(PROD!L75:L81),0)</f>
        <v>0</v>
      </c>
      <c r="P74" s="370">
        <f>IFERROR(O74/SUM(E74:E80,J74:J80,O74:O79),0)</f>
        <v>0</v>
      </c>
      <c r="Q74" s="373" t="str">
        <f>$Q$4</f>
        <v>AAAA</v>
      </c>
      <c r="R74" s="374">
        <f t="shared" si="4"/>
        <v>0</v>
      </c>
      <c r="S74" s="869">
        <f>SUM(PROD!AM75:AM81)</f>
        <v>0</v>
      </c>
      <c r="T74" s="375">
        <f>IF(AA74&gt;0,S74/AA74,0)</f>
        <v>0</v>
      </c>
      <c r="U74" s="376" t="str">
        <f>$U$4</f>
        <v>Prob Color</v>
      </c>
      <c r="V74" s="374">
        <f t="shared" si="5"/>
        <v>0</v>
      </c>
      <c r="W74" s="869">
        <f>SUM(PROD!AW75:AW81)</f>
        <v>0</v>
      </c>
      <c r="X74" s="375">
        <f>IFERROR(W74/(AA79-AA77),0)</f>
        <v>0</v>
      </c>
      <c r="Y74" s="377" t="s">
        <v>323</v>
      </c>
      <c r="Z74" s="378">
        <f>SUMPRODUCT(R74:R80,T74:T80)</f>
        <v>0</v>
      </c>
      <c r="AA74" s="379">
        <f>SUM(S74:S80)</f>
        <v>0</v>
      </c>
      <c r="AB74" s="490">
        <f>IF(AA79&gt;0,AA74/AA79,0)</f>
        <v>0</v>
      </c>
    </row>
    <row r="75" spans="1:28" ht="15.75" customHeight="1" x14ac:dyDescent="0.3">
      <c r="A75" s="2301"/>
      <c r="B75" s="438" t="str">
        <f>$B$5</f>
        <v>Amortización de Aves</v>
      </c>
      <c r="C75" s="381">
        <f>IFERROR((C68-(D75/'Pr-Sem'!$O$2)),0)</f>
        <v>0</v>
      </c>
      <c r="D75" s="382">
        <f>SUM(PROD!L75:L81)*E75</f>
        <v>0</v>
      </c>
      <c r="E75" s="383">
        <f>IF(SUM(PROD!L75:L81)&gt;0,IFERROR(($C$1-$C$2)/LOOKUP($B$2,'Pr-Sem'!$A$6:$A$108,'Pr-Sem'!$L$6:$L$108)*(LOOKUP(INVENTARIOS!$A74,'Pr-Sem'!$A$6:$A$108,'Pr-Sem'!$L$6:$L$108)-LOOKUP(INVENTARIOS!$A74-1,'Pr-Sem'!$A$6:$A$108,'Pr-Sem'!$L$6:$L$108))/(LOOKUP(INVENTARIOS!$A74,'Pr-Sem'!$A$6:$A$108,'Pr-Sem'!$K$6:$K$108)-LOOKUP(INVENTARIOS!$A74-1,'Pr-Sem'!$A$6:$A$108,'Pr-Sem'!$K$6:$K$108)),0),0)</f>
        <v>0</v>
      </c>
      <c r="F75" s="384">
        <f>IFERROR(E75/SUM(E74:E80,J74:J80,O74:O79),0)</f>
        <v>0</v>
      </c>
      <c r="G75" s="439" t="str">
        <f>$G$12</f>
        <v>Impuestos</v>
      </c>
      <c r="H75" s="440">
        <f t="shared" ref="H75:H138" si="16">H68</f>
        <v>0</v>
      </c>
      <c r="I75" s="387">
        <f t="shared" si="14"/>
        <v>0</v>
      </c>
      <c r="J75" s="383">
        <f>IFERROR(I75/SUM(PROD!L75:L81),0)</f>
        <v>0</v>
      </c>
      <c r="K75" s="384">
        <f>IFERROR(J75/SUM(E74:E80,J74:J80,O74:O79),0)</f>
        <v>0</v>
      </c>
      <c r="L75" s="439" t="str">
        <f>$L$5</f>
        <v>Depreciaciones</v>
      </c>
      <c r="M75" s="401">
        <f t="shared" si="15"/>
        <v>0</v>
      </c>
      <c r="N75" s="390">
        <f>M75*12/52</f>
        <v>0</v>
      </c>
      <c r="O75" s="383">
        <f>IFERROR(N75/SUM(PROD!L75:L81),0)</f>
        <v>0</v>
      </c>
      <c r="P75" s="384">
        <f>IFERROR(O75/SUM(E74:E80,J74:J80,O74:O79),0)</f>
        <v>0</v>
      </c>
      <c r="Q75" s="491" t="str">
        <f>$Q$5</f>
        <v>AAA</v>
      </c>
      <c r="R75" s="392">
        <f t="shared" ref="R75:R138" si="17">R68</f>
        <v>0</v>
      </c>
      <c r="S75" s="870">
        <f>SUM(PROD!AN75:AN81)</f>
        <v>0</v>
      </c>
      <c r="T75" s="492">
        <f>IF(AA74&gt;0,S75/AA74,0)</f>
        <v>0</v>
      </c>
      <c r="U75" s="493" t="str">
        <f>$U$5</f>
        <v>Prob Cásc</v>
      </c>
      <c r="V75" s="392">
        <f t="shared" ref="V75:V138" si="18">V68</f>
        <v>0</v>
      </c>
      <c r="W75" s="870">
        <f>SUM(PROD!AX75:AX81)</f>
        <v>0</v>
      </c>
      <c r="X75" s="492">
        <f>IFERROR(W75/(AA79-AA77),0)</f>
        <v>0</v>
      </c>
      <c r="Y75" s="395" t="s">
        <v>324</v>
      </c>
      <c r="Z75" s="396">
        <f>IFERROR(SUMPRODUCT(V74:V77,W74:W77)/SUM(W74:W77),0)</f>
        <v>0</v>
      </c>
      <c r="AA75" s="397">
        <f>SUM(W74:W77)</f>
        <v>0</v>
      </c>
      <c r="AB75" s="494">
        <f>IF(AA79&gt;0,AA75/AA79,0)</f>
        <v>0</v>
      </c>
    </row>
    <row r="76" spans="1:28" ht="15.75" customHeight="1" x14ac:dyDescent="0.3">
      <c r="A76" s="2301"/>
      <c r="B76" s="399" t="str">
        <f>$B$6</f>
        <v>Bandeja</v>
      </c>
      <c r="C76" s="400">
        <f>C69</f>
        <v>0</v>
      </c>
      <c r="D76" s="387">
        <f>C76*SUM(INVENTARIOS!R74:R80)</f>
        <v>0</v>
      </c>
      <c r="E76" s="383">
        <f>IFERROR(D76/SUM(PROD!L75:L81),0)</f>
        <v>0</v>
      </c>
      <c r="F76" s="384">
        <f>IFERROR(E76/SUM(E74:E80,J74:J80,O74:O79),0)</f>
        <v>0</v>
      </c>
      <c r="G76" s="439" t="str">
        <f>$G$13</f>
        <v>Arrendamientos</v>
      </c>
      <c r="H76" s="401">
        <f t="shared" si="16"/>
        <v>0</v>
      </c>
      <c r="I76" s="390">
        <f t="shared" si="14"/>
        <v>0</v>
      </c>
      <c r="J76" s="383">
        <f>IFERROR(I76/SUM(PROD!L75:L81),0)</f>
        <v>0</v>
      </c>
      <c r="K76" s="384">
        <f>IFERROR(J76/SUM(E74:E80,J74:J80,O74:O79),0)</f>
        <v>0</v>
      </c>
      <c r="L76" s="439" t="str">
        <f>$L$6</f>
        <v>Diversos</v>
      </c>
      <c r="M76" s="401">
        <f t="shared" si="15"/>
        <v>0</v>
      </c>
      <c r="N76" s="390">
        <f>M76*12/52</f>
        <v>0</v>
      </c>
      <c r="O76" s="383">
        <f>IFERROR(N76/SUM(PROD!L75:L81),0)</f>
        <v>0</v>
      </c>
      <c r="P76" s="384">
        <f>IFERROR(O76/SUM(E74:E80,J74:J80,O74:O79),0)</f>
        <v>0</v>
      </c>
      <c r="Q76" s="491" t="str">
        <f>$Q$6</f>
        <v>AA</v>
      </c>
      <c r="R76" s="392">
        <f t="shared" si="17"/>
        <v>0</v>
      </c>
      <c r="S76" s="870">
        <f>SUM(PROD!AO75:AO81)</f>
        <v>0</v>
      </c>
      <c r="T76" s="492">
        <f>IF(AA74&gt;0,S76/AA74,0)</f>
        <v>0</v>
      </c>
      <c r="U76" s="493" t="str">
        <f>$U$6</f>
        <v>Vencido</v>
      </c>
      <c r="V76" s="392">
        <f t="shared" si="18"/>
        <v>0</v>
      </c>
      <c r="W76" s="870">
        <f>SUM(PROD!AY75:AY81)</f>
        <v>0</v>
      </c>
      <c r="X76" s="492">
        <f>IFERROR(W76/(AA79-AA77),0)</f>
        <v>0</v>
      </c>
      <c r="Y76" s="402" t="s">
        <v>391</v>
      </c>
      <c r="Z76" s="456">
        <v>0</v>
      </c>
      <c r="AA76" s="720"/>
      <c r="AB76" s="495">
        <f>IF(AA79&gt;0,AA76/AA79,0)</f>
        <v>0</v>
      </c>
    </row>
    <row r="77" spans="1:28" ht="15.75" customHeight="1" x14ac:dyDescent="0.3">
      <c r="A77" s="2301"/>
      <c r="B77" s="438" t="str">
        <f>$B$7</f>
        <v>Mortalidad Aves</v>
      </c>
      <c r="C77" s="401">
        <f>IF(A74&lt;=$B$2,C75+$C$2,0)</f>
        <v>0</v>
      </c>
      <c r="D77" s="390">
        <f>C77*SUM(PROD!D75:D81)</f>
        <v>0</v>
      </c>
      <c r="E77" s="383">
        <f>IFERROR(D77/SUM(PROD!L75:L81),0)</f>
        <v>0</v>
      </c>
      <c r="F77" s="384">
        <f>IFERROR(E77/SUM(E74:E80,J74:J80,O74:O79),0)</f>
        <v>0</v>
      </c>
      <c r="G77" s="439" t="str">
        <f>$G$14</f>
        <v>Servicios Públicos</v>
      </c>
      <c r="H77" s="401">
        <f t="shared" si="16"/>
        <v>0</v>
      </c>
      <c r="I77" s="390">
        <f t="shared" si="14"/>
        <v>0</v>
      </c>
      <c r="J77" s="383">
        <f>IFERROR(I77/SUM(PROD!L75:L81),0)</f>
        <v>0</v>
      </c>
      <c r="K77" s="384">
        <f>IFERROR(J77/SUM(E74:E80,J74:J80,O74:O79),0)</f>
        <v>0</v>
      </c>
      <c r="L77" s="441" t="str">
        <f>$L$7</f>
        <v>Administrativos</v>
      </c>
      <c r="M77" s="401">
        <f t="shared" si="15"/>
        <v>0</v>
      </c>
      <c r="N77" s="404">
        <f>M77*0.230769230769231</f>
        <v>0</v>
      </c>
      <c r="O77" s="383">
        <f>IFERROR(N77/SUM(PROD!L75:L81),0)</f>
        <v>0</v>
      </c>
      <c r="P77" s="384">
        <f>IFERROR(O77/SUM(E74:E80,J74:J80,O74:O79),0)</f>
        <v>0</v>
      </c>
      <c r="Q77" s="491" t="str">
        <f>$Q$7</f>
        <v>A</v>
      </c>
      <c r="R77" s="392">
        <f t="shared" si="17"/>
        <v>0</v>
      </c>
      <c r="S77" s="870">
        <f>SUM(PROD!AP75:AP81)</f>
        <v>0</v>
      </c>
      <c r="T77" s="492">
        <f>IF(AA74&gt;0,S77/AA74,0)</f>
        <v>0</v>
      </c>
      <c r="U77" s="405" t="str">
        <f>$U$7</f>
        <v>Roto</v>
      </c>
      <c r="V77" s="406">
        <f t="shared" si="18"/>
        <v>0</v>
      </c>
      <c r="W77" s="872">
        <f>SUM(PROD!AZ75:AZ81)</f>
        <v>0</v>
      </c>
      <c r="X77" s="407">
        <f>IFERROR(W77/(AA79-AA77),0)</f>
        <v>0</v>
      </c>
      <c r="Y77" s="408" t="s">
        <v>359</v>
      </c>
      <c r="Z77" s="442">
        <v>215</v>
      </c>
      <c r="AA77" s="410">
        <f>SUM(PROD!L75:L81)-SUM(W74:W80)-SUM(S74:S80)-AA76</f>
        <v>0</v>
      </c>
      <c r="AB77" s="496">
        <f>IF(AA79&gt;0,AA77/AA79,0)</f>
        <v>0</v>
      </c>
    </row>
    <row r="78" spans="1:28" ht="15.75" customHeight="1" x14ac:dyDescent="0.3">
      <c r="A78" s="2301"/>
      <c r="B78" s="399" t="str">
        <f>$B$8</f>
        <v>Materia Prima (Carb Ca, etc.)</v>
      </c>
      <c r="C78" s="440">
        <f>C71</f>
        <v>0</v>
      </c>
      <c r="D78" s="387">
        <f>C78*12/52</f>
        <v>0</v>
      </c>
      <c r="E78" s="383">
        <f>IFERROR(D78/SUM(PROD!L75:L81),0)</f>
        <v>0</v>
      </c>
      <c r="F78" s="384">
        <f>IFERROR(E78/SUM(E74:E80,J74:J80,O74:O79),0)</f>
        <v>0</v>
      </c>
      <c r="G78" s="441" t="str">
        <f>$G$15</f>
        <v>Gastos Legales</v>
      </c>
      <c r="H78" s="401">
        <f t="shared" si="16"/>
        <v>0</v>
      </c>
      <c r="I78" s="390">
        <f t="shared" si="14"/>
        <v>0</v>
      </c>
      <c r="J78" s="383">
        <f>IFERROR(I78/SUM(PROD!L75:L81),0)</f>
        <v>0</v>
      </c>
      <c r="K78" s="384">
        <f>IFERROR(J78/SUM(E74:E80,J74:J80,O74:O79),0)</f>
        <v>0</v>
      </c>
      <c r="L78" s="439" t="str">
        <f>$L$8</f>
        <v>Fletes</v>
      </c>
      <c r="M78" s="401">
        <f t="shared" si="15"/>
        <v>0</v>
      </c>
      <c r="N78" s="404">
        <f>M78*0.230769230769231</f>
        <v>0</v>
      </c>
      <c r="O78" s="383">
        <f>IFERROR(N78/SUM(PROD!L75:L81),0)</f>
        <v>0</v>
      </c>
      <c r="P78" s="384">
        <f>IFERROR(O78/SUM(E74:E80,J74:J80,O74:O79),0)</f>
        <v>0</v>
      </c>
      <c r="Q78" s="491" t="str">
        <f>$Q$8</f>
        <v>B</v>
      </c>
      <c r="R78" s="392">
        <f t="shared" si="17"/>
        <v>0</v>
      </c>
      <c r="S78" s="870">
        <f>SUM(PROD!AQ75:AQ81)</f>
        <v>0</v>
      </c>
      <c r="T78" s="492">
        <f>IF(AA74&gt;0,S78/AA74,0)</f>
        <v>0</v>
      </c>
      <c r="U78" s="395" t="str">
        <f>$U$8</f>
        <v>Rev. Gr.</v>
      </c>
      <c r="V78" s="412">
        <f t="shared" si="18"/>
        <v>0</v>
      </c>
      <c r="W78" s="873">
        <f>SUM(PROD!AT75:AT81)</f>
        <v>0</v>
      </c>
      <c r="X78" s="413">
        <f>IFERROR(W78/(AA79-AA77),0)</f>
        <v>0</v>
      </c>
      <c r="Y78" s="414" t="s">
        <v>262</v>
      </c>
      <c r="Z78" s="415">
        <f>IFERROR(SUMPRODUCT(V78:V80,W78:W80)/SUM(W78:W80),0)</f>
        <v>0</v>
      </c>
      <c r="AA78" s="416">
        <f>SUM(W78:W80)</f>
        <v>0</v>
      </c>
      <c r="AB78" s="497">
        <f>IF(AA79&gt;0,AA78/AA79,0)</f>
        <v>0</v>
      </c>
    </row>
    <row r="79" spans="1:28" ht="15.75" customHeight="1" x14ac:dyDescent="0.3">
      <c r="A79" s="2301"/>
      <c r="B79" s="438" t="str">
        <f>$B$9</f>
        <v>Vacunas y medicamentos</v>
      </c>
      <c r="C79" s="443">
        <f>C72</f>
        <v>0</v>
      </c>
      <c r="D79" s="387">
        <f>C79*12/52</f>
        <v>0</v>
      </c>
      <c r="E79" s="383">
        <f>IFERROR(D79/SUM(PROD!L75:L81),0)</f>
        <v>0</v>
      </c>
      <c r="F79" s="384">
        <f>IFERROR(E79/SUM(E74:E80,J74:J80,O74:O79),0)</f>
        <v>0</v>
      </c>
      <c r="G79" s="441" t="str">
        <f>$G$16</f>
        <v>Mantenimiento y Reparaciones</v>
      </c>
      <c r="H79" s="401">
        <f t="shared" si="16"/>
        <v>0</v>
      </c>
      <c r="I79" s="390">
        <f t="shared" si="14"/>
        <v>0</v>
      </c>
      <c r="J79" s="383">
        <f>IFERROR(I79/SUM(PROD!L75:L81),0)</f>
        <v>0</v>
      </c>
      <c r="K79" s="384">
        <f>IFERROR(J79/SUM(E74:E80,J74:J80,O74:O79),0)</f>
        <v>0</v>
      </c>
      <c r="L79" s="439">
        <f>$L$9</f>
        <v>0</v>
      </c>
      <c r="M79" s="401">
        <f t="shared" si="15"/>
        <v>0</v>
      </c>
      <c r="N79" s="404">
        <f>M79*0.230769230769231</f>
        <v>0</v>
      </c>
      <c r="O79" s="383">
        <f>IFERROR(N79/SUM(PROD!L75:L81),0)</f>
        <v>0</v>
      </c>
      <c r="P79" s="384">
        <f>IFERROR(O79/SUM(E74:E80,J74:J80,O74:O79),0)</f>
        <v>0</v>
      </c>
      <c r="Q79" s="491" t="str">
        <f>$Q$9</f>
        <v>C</v>
      </c>
      <c r="R79" s="392">
        <f t="shared" si="17"/>
        <v>0</v>
      </c>
      <c r="S79" s="870">
        <f>SUM(PROD!AR75:AR81)</f>
        <v>0</v>
      </c>
      <c r="T79" s="492">
        <f>IF(AA74&gt;0,S79/AA74,0)</f>
        <v>0</v>
      </c>
      <c r="U79" s="493" t="str">
        <f>$U$9</f>
        <v>Rev. Med</v>
      </c>
      <c r="V79" s="392">
        <f t="shared" si="18"/>
        <v>0</v>
      </c>
      <c r="W79" s="870">
        <f>SUM(PROD!AU75:AU81)</f>
        <v>0</v>
      </c>
      <c r="X79" s="498">
        <f>IFERROR(W79/(AA79-AA77),0)</f>
        <v>0</v>
      </c>
      <c r="Y79" s="2303" t="s">
        <v>325</v>
      </c>
      <c r="Z79" s="2305">
        <f>SUMPRODUCT(Z74:Z78,AB74:AB78)</f>
        <v>0</v>
      </c>
      <c r="AA79" s="2307">
        <f>SUM(AA74:AA77)</f>
        <v>0</v>
      </c>
      <c r="AB79" s="2308"/>
    </row>
    <row r="80" spans="1:28" ht="16.5" customHeight="1" thickBot="1" x14ac:dyDescent="0.35">
      <c r="A80" s="2302"/>
      <c r="B80" s="444" t="str">
        <f>$B$10</f>
        <v>Gastos de Personal</v>
      </c>
      <c r="C80" s="445">
        <f>C73</f>
        <v>0</v>
      </c>
      <c r="D80" s="421">
        <f>C80*12/52</f>
        <v>0</v>
      </c>
      <c r="E80" s="446">
        <f>IFERROR(D80/SUM(PROD!L75:L81),0)</f>
        <v>0</v>
      </c>
      <c r="F80" s="447">
        <f>IFERROR(E80/SUM(E74:E80,J74:J80,O74:O79),0)</f>
        <v>0</v>
      </c>
      <c r="G80" s="448" t="str">
        <f>$G$17</f>
        <v>Adecuación Instalaciones</v>
      </c>
      <c r="H80" s="445">
        <f t="shared" si="16"/>
        <v>0</v>
      </c>
      <c r="I80" s="426">
        <f t="shared" si="14"/>
        <v>0</v>
      </c>
      <c r="J80" s="446">
        <f>IFERROR(I80/SUM(PROD!L75:L81),0)</f>
        <v>0</v>
      </c>
      <c r="K80" s="447">
        <f>IFERROR(J80/SUM(E74:E80,J74:J80,O74:O79),0)</f>
        <v>0</v>
      </c>
      <c r="L80" s="2311" t="str">
        <f>$L$10</f>
        <v>TOTAL COSTO PRODUCCIÓN</v>
      </c>
      <c r="M80" s="2312"/>
      <c r="N80" s="427">
        <f>SUM(D74:D80,I74:I80,N74:N79)</f>
        <v>0</v>
      </c>
      <c r="O80" s="449">
        <f>IFERROR(N80/SUM(PROD!L75:L81),0)</f>
        <v>0</v>
      </c>
      <c r="P80" s="447">
        <f>IFERROR(O80/SUM(E74:E80,J74:J80,O74:O79),0)</f>
        <v>0</v>
      </c>
      <c r="Q80" s="429" t="str">
        <f>$Q$10</f>
        <v>D</v>
      </c>
      <c r="R80" s="499">
        <f t="shared" si="17"/>
        <v>0</v>
      </c>
      <c r="S80" s="871">
        <f>SUM(PROD!AS75:AS81)</f>
        <v>0</v>
      </c>
      <c r="T80" s="431">
        <f>IF(AA74&gt;0,S80/AA74,0)</f>
        <v>0</v>
      </c>
      <c r="U80" s="432" t="str">
        <f>$U$10</f>
        <v>Rev. Peq</v>
      </c>
      <c r="V80" s="499">
        <f t="shared" si="18"/>
        <v>0</v>
      </c>
      <c r="W80" s="871">
        <f>SUM(PROD!AV75:AV81)</f>
        <v>0</v>
      </c>
      <c r="X80" s="431">
        <f>IFERROR(W80/(AA79-AA77),0)</f>
        <v>0</v>
      </c>
      <c r="Y80" s="2304"/>
      <c r="Z80" s="2306"/>
      <c r="AA80" s="2309"/>
      <c r="AB80" s="2310"/>
    </row>
    <row r="81" spans="1:28" ht="16.5" customHeight="1" x14ac:dyDescent="0.3">
      <c r="A81" s="2300">
        <f>A74+1</f>
        <v>29</v>
      </c>
      <c r="B81" s="433" t="str">
        <f>$B$4</f>
        <v>ALIMENTO Kilos</v>
      </c>
      <c r="C81" s="435">
        <f>LOOKUP($A81,PROD!$A$5:$A$725,PROD!$AH$10:$AH$730)</f>
        <v>0</v>
      </c>
      <c r="D81" s="368">
        <f>C81*LOOKUP($A81,'Pr-Sem'!$A$6:$A$108,'Pr-Sem'!$N$6:$N$108)/(PROD!$A$1/1000)</f>
        <v>0</v>
      </c>
      <c r="E81" s="369">
        <f>IFERROR(D81/SUM(PROD!L82:L88),0)</f>
        <v>0</v>
      </c>
      <c r="F81" s="370">
        <f>IFERROR(E81/SUM(E81:E87,J81:J87,O81:O86),0)</f>
        <v>0</v>
      </c>
      <c r="G81" s="434" t="str">
        <f>$G$11</f>
        <v>Honorarios</v>
      </c>
      <c r="H81" s="435">
        <f t="shared" si="16"/>
        <v>0</v>
      </c>
      <c r="I81" s="372">
        <f t="shared" si="14"/>
        <v>0</v>
      </c>
      <c r="J81" s="369">
        <f>IFERROR(I81/SUM(PROD!L82:L88),0)</f>
        <v>0</v>
      </c>
      <c r="K81" s="370">
        <f>IFERROR(J81/SUM(E81:E87,J81:J87,O81:O86),0)</f>
        <v>0</v>
      </c>
      <c r="L81" s="436" t="str">
        <f>$L$4</f>
        <v>Gastos de Viaje</v>
      </c>
      <c r="M81" s="435">
        <f t="shared" ref="M81:M86" si="19">M74</f>
        <v>0</v>
      </c>
      <c r="N81" s="372">
        <f>M81*12/52</f>
        <v>0</v>
      </c>
      <c r="O81" s="369">
        <f>IFERROR(N81/SUM(PROD!L82:L88),0)</f>
        <v>0</v>
      </c>
      <c r="P81" s="370">
        <f>IFERROR(O81/SUM(E81:E87,J81:J87,O81:O86),0)</f>
        <v>0</v>
      </c>
      <c r="Q81" s="373" t="str">
        <f>$Q$4</f>
        <v>AAAA</v>
      </c>
      <c r="R81" s="374">
        <f t="shared" si="17"/>
        <v>0</v>
      </c>
      <c r="S81" s="869">
        <f>SUM(PROD!AM82:AM88)</f>
        <v>0</v>
      </c>
      <c r="T81" s="375">
        <f>IF(AA81&gt;0,S81/AA81,0)</f>
        <v>0</v>
      </c>
      <c r="U81" s="376" t="str">
        <f>$U$4</f>
        <v>Prob Color</v>
      </c>
      <c r="V81" s="374">
        <f t="shared" si="18"/>
        <v>0</v>
      </c>
      <c r="W81" s="869">
        <f>SUM(PROD!AW82:AW88)</f>
        <v>0</v>
      </c>
      <c r="X81" s="375">
        <f>IFERROR(W81/(AA86-AA84),0)</f>
        <v>0</v>
      </c>
      <c r="Y81" s="377" t="s">
        <v>323</v>
      </c>
      <c r="Z81" s="378">
        <f>SUMPRODUCT(R81:R87,T81:T87)</f>
        <v>0</v>
      </c>
      <c r="AA81" s="379">
        <f>SUM(S81:S87)</f>
        <v>0</v>
      </c>
      <c r="AB81" s="490">
        <f>IF(AA86&gt;0,AA81/AA86,0)</f>
        <v>0</v>
      </c>
    </row>
    <row r="82" spans="1:28" ht="15.75" customHeight="1" x14ac:dyDescent="0.3">
      <c r="A82" s="2301"/>
      <c r="B82" s="438" t="str">
        <f>$B$5</f>
        <v>Amortización de Aves</v>
      </c>
      <c r="C82" s="381">
        <f>IFERROR((C75-(D82/'Pr-Sem'!$O$2)),0)</f>
        <v>0</v>
      </c>
      <c r="D82" s="382">
        <f>SUM(PROD!L82:L88)*E82</f>
        <v>0</v>
      </c>
      <c r="E82" s="383">
        <f>IF(SUM(PROD!L82:L88)&gt;0,IFERROR(($C$1-$C$2)/LOOKUP($B$2,'Pr-Sem'!$A$6:$A$108,'Pr-Sem'!$L$6:$L$108)*(LOOKUP(INVENTARIOS!$A81,'Pr-Sem'!$A$6:$A$108,'Pr-Sem'!$L$6:$L$108)-LOOKUP(INVENTARIOS!$A81-1,'Pr-Sem'!$A$6:$A$108,'Pr-Sem'!$L$6:$L$108))/(LOOKUP(INVENTARIOS!$A81,'Pr-Sem'!$A$6:$A$108,'Pr-Sem'!$K$6:$K$108)-LOOKUP(INVENTARIOS!$A81-1,'Pr-Sem'!$A$6:$A$108,'Pr-Sem'!$K$6:$K$108)),0),0)</f>
        <v>0</v>
      </c>
      <c r="F82" s="384">
        <f>IFERROR(E82/SUM(E81:E87,J81:J87,O81:O86),0)</f>
        <v>0</v>
      </c>
      <c r="G82" s="439" t="str">
        <f>$G$12</f>
        <v>Impuestos</v>
      </c>
      <c r="H82" s="440">
        <f t="shared" si="16"/>
        <v>0</v>
      </c>
      <c r="I82" s="387">
        <f t="shared" si="14"/>
        <v>0</v>
      </c>
      <c r="J82" s="383">
        <f>IFERROR(I82/SUM(PROD!L82:L88),0)</f>
        <v>0</v>
      </c>
      <c r="K82" s="384">
        <f>IFERROR(J82/SUM(E81:E87,J81:J87,O81:O86),0)</f>
        <v>0</v>
      </c>
      <c r="L82" s="439" t="str">
        <f>$L$5</f>
        <v>Depreciaciones</v>
      </c>
      <c r="M82" s="401">
        <f t="shared" si="19"/>
        <v>0</v>
      </c>
      <c r="N82" s="390">
        <f>M82*12/52</f>
        <v>0</v>
      </c>
      <c r="O82" s="383">
        <f>IFERROR(N82/SUM(PROD!L82:L88),0)</f>
        <v>0</v>
      </c>
      <c r="P82" s="384">
        <f>IFERROR(O82/SUM(E81:E87,J81:J87,O81:O86),0)</f>
        <v>0</v>
      </c>
      <c r="Q82" s="491" t="str">
        <f>$Q$5</f>
        <v>AAA</v>
      </c>
      <c r="R82" s="392">
        <f t="shared" si="17"/>
        <v>0</v>
      </c>
      <c r="S82" s="870">
        <f>SUM(PROD!AN82:AN88)</f>
        <v>0</v>
      </c>
      <c r="T82" s="492">
        <f>IF(AA81&gt;0,S82/AA81,0)</f>
        <v>0</v>
      </c>
      <c r="U82" s="493" t="str">
        <f>$U$5</f>
        <v>Prob Cásc</v>
      </c>
      <c r="V82" s="392">
        <f t="shared" si="18"/>
        <v>0</v>
      </c>
      <c r="W82" s="870">
        <f>SUM(PROD!AX82:AX88)</f>
        <v>0</v>
      </c>
      <c r="X82" s="492">
        <f>IFERROR(W82/(AA86-AA84),0)</f>
        <v>0</v>
      </c>
      <c r="Y82" s="395" t="s">
        <v>324</v>
      </c>
      <c r="Z82" s="396">
        <f>IFERROR(SUMPRODUCT(V81:V84,W81:W84)/SUM(W81:W84),0)</f>
        <v>0</v>
      </c>
      <c r="AA82" s="397">
        <f>SUM(W81:W84)</f>
        <v>0</v>
      </c>
      <c r="AB82" s="494">
        <f>IF(AA86&gt;0,AA82/AA86,0)</f>
        <v>0</v>
      </c>
    </row>
    <row r="83" spans="1:28" ht="15.75" customHeight="1" x14ac:dyDescent="0.3">
      <c r="A83" s="2301"/>
      <c r="B83" s="399" t="str">
        <f>$B$6</f>
        <v>Bandeja</v>
      </c>
      <c r="C83" s="400">
        <f>C76</f>
        <v>0</v>
      </c>
      <c r="D83" s="387">
        <f>C83*SUM(INVENTARIOS!R81:R87)</f>
        <v>0</v>
      </c>
      <c r="E83" s="383">
        <f>IFERROR(D83/SUM(PROD!L82:L88),0)</f>
        <v>0</v>
      </c>
      <c r="F83" s="384">
        <f>IFERROR(E83/SUM(E81:E87,J81:J87,O81:O86),0)</f>
        <v>0</v>
      </c>
      <c r="G83" s="439" t="str">
        <f>$G$13</f>
        <v>Arrendamientos</v>
      </c>
      <c r="H83" s="401">
        <f t="shared" si="16"/>
        <v>0</v>
      </c>
      <c r="I83" s="390">
        <f t="shared" si="14"/>
        <v>0</v>
      </c>
      <c r="J83" s="383">
        <f>IFERROR(I83/SUM(PROD!L82:L88),0)</f>
        <v>0</v>
      </c>
      <c r="K83" s="384">
        <f>IFERROR(J83/SUM(E81:E87,J81:J87,O81:O86),0)</f>
        <v>0</v>
      </c>
      <c r="L83" s="439" t="str">
        <f>$L$6</f>
        <v>Diversos</v>
      </c>
      <c r="M83" s="401">
        <f t="shared" si="19"/>
        <v>0</v>
      </c>
      <c r="N83" s="390">
        <f>M83*12/52</f>
        <v>0</v>
      </c>
      <c r="O83" s="383">
        <f>IFERROR(N83/SUM(PROD!L82:L88),0)</f>
        <v>0</v>
      </c>
      <c r="P83" s="384">
        <f>IFERROR(O83/SUM(E81:E87,J81:J87,O81:O86),0)</f>
        <v>0</v>
      </c>
      <c r="Q83" s="491" t="str">
        <f>$Q$6</f>
        <v>AA</v>
      </c>
      <c r="R83" s="392">
        <f t="shared" si="17"/>
        <v>0</v>
      </c>
      <c r="S83" s="870">
        <f>SUM(PROD!AO82:AO88)</f>
        <v>0</v>
      </c>
      <c r="T83" s="492">
        <f>IF(AA81&gt;0,S83/AA81,0)</f>
        <v>0</v>
      </c>
      <c r="U83" s="493" t="str">
        <f>$U$6</f>
        <v>Vencido</v>
      </c>
      <c r="V83" s="392">
        <f t="shared" si="18"/>
        <v>0</v>
      </c>
      <c r="W83" s="870">
        <f>SUM(PROD!AY82:AY88)</f>
        <v>0</v>
      </c>
      <c r="X83" s="492">
        <f>IFERROR(W83/(AA86-AA84),0)</f>
        <v>0</v>
      </c>
      <c r="Y83" s="402" t="s">
        <v>391</v>
      </c>
      <c r="Z83" s="456">
        <v>0</v>
      </c>
      <c r="AA83" s="720"/>
      <c r="AB83" s="495">
        <f>IF(AA86&gt;0,AA83/AA86,0)</f>
        <v>0</v>
      </c>
    </row>
    <row r="84" spans="1:28" ht="15.75" customHeight="1" x14ac:dyDescent="0.3">
      <c r="A84" s="2301"/>
      <c r="B84" s="438" t="str">
        <f>$B$7</f>
        <v>Mortalidad Aves</v>
      </c>
      <c r="C84" s="401">
        <f>IF(A81&lt;=$B$2,C82+$C$2,0)</f>
        <v>0</v>
      </c>
      <c r="D84" s="390">
        <f>C84*SUM(PROD!D82:D88)</f>
        <v>0</v>
      </c>
      <c r="E84" s="383">
        <f>IFERROR(D84/SUM(PROD!L82:L88),0)</f>
        <v>0</v>
      </c>
      <c r="F84" s="384">
        <f>IFERROR(E84/SUM(E81:E87,J81:J87,O81:O86),0)</f>
        <v>0</v>
      </c>
      <c r="G84" s="439" t="str">
        <f>$G$14</f>
        <v>Servicios Públicos</v>
      </c>
      <c r="H84" s="401">
        <f t="shared" si="16"/>
        <v>0</v>
      </c>
      <c r="I84" s="390">
        <f t="shared" si="14"/>
        <v>0</v>
      </c>
      <c r="J84" s="383">
        <f>IFERROR(I84/SUM(PROD!L82:L88),0)</f>
        <v>0</v>
      </c>
      <c r="K84" s="384">
        <f>IFERROR(J84/SUM(E81:E87,J81:J87,O81:O86),0)</f>
        <v>0</v>
      </c>
      <c r="L84" s="441" t="str">
        <f>$L$7</f>
        <v>Administrativos</v>
      </c>
      <c r="M84" s="401">
        <f t="shared" si="19"/>
        <v>0</v>
      </c>
      <c r="N84" s="404">
        <f>M84*0.230769230769231</f>
        <v>0</v>
      </c>
      <c r="O84" s="383">
        <f>IFERROR(N84/SUM(PROD!L82:L88),0)</f>
        <v>0</v>
      </c>
      <c r="P84" s="384">
        <f>IFERROR(O84/SUM(E81:E87,J81:J87,O81:O86),0)</f>
        <v>0</v>
      </c>
      <c r="Q84" s="491" t="str">
        <f>$Q$7</f>
        <v>A</v>
      </c>
      <c r="R84" s="392">
        <f t="shared" si="17"/>
        <v>0</v>
      </c>
      <c r="S84" s="870">
        <f>SUM(PROD!AP82:AP88)</f>
        <v>0</v>
      </c>
      <c r="T84" s="492">
        <f>IF(AA81&gt;0,S84/AA81,0)</f>
        <v>0</v>
      </c>
      <c r="U84" s="405" t="str">
        <f>$U$7</f>
        <v>Roto</v>
      </c>
      <c r="V84" s="406">
        <f t="shared" si="18"/>
        <v>0</v>
      </c>
      <c r="W84" s="872">
        <f>SUM(PROD!AZ82:AZ88)</f>
        <v>0</v>
      </c>
      <c r="X84" s="407">
        <f>IFERROR(W84/(AA86-AA84),0)</f>
        <v>0</v>
      </c>
      <c r="Y84" s="408" t="s">
        <v>359</v>
      </c>
      <c r="Z84" s="442">
        <v>215</v>
      </c>
      <c r="AA84" s="410">
        <f>SUM(PROD!L82:L88)-SUM(W81:W87)-SUM(S81:S87)-AA83</f>
        <v>0</v>
      </c>
      <c r="AB84" s="496">
        <f>IF(AA86&gt;0,AA84/AA86,0)</f>
        <v>0</v>
      </c>
    </row>
    <row r="85" spans="1:28" ht="15.75" customHeight="1" x14ac:dyDescent="0.3">
      <c r="A85" s="2301"/>
      <c r="B85" s="399" t="str">
        <f>$B$8</f>
        <v>Materia Prima (Carb Ca, etc.)</v>
      </c>
      <c r="C85" s="440">
        <f>C78</f>
        <v>0</v>
      </c>
      <c r="D85" s="387">
        <f>C85*12/52</f>
        <v>0</v>
      </c>
      <c r="E85" s="383">
        <f>IFERROR(D85/SUM(PROD!L82:L88),0)</f>
        <v>0</v>
      </c>
      <c r="F85" s="384">
        <f>IFERROR(E85/SUM(E81:E87,J81:J87,O81:O86),0)</f>
        <v>0</v>
      </c>
      <c r="G85" s="441" t="str">
        <f>$G$15</f>
        <v>Gastos Legales</v>
      </c>
      <c r="H85" s="401">
        <f t="shared" si="16"/>
        <v>0</v>
      </c>
      <c r="I85" s="390">
        <f t="shared" si="14"/>
        <v>0</v>
      </c>
      <c r="J85" s="383">
        <f>IFERROR(I85/SUM(PROD!L82:L88),0)</f>
        <v>0</v>
      </c>
      <c r="K85" s="384">
        <f>IFERROR(J85/SUM(E81:E87,J81:J87,O81:O86),0)</f>
        <v>0</v>
      </c>
      <c r="L85" s="439" t="str">
        <f>$L$8</f>
        <v>Fletes</v>
      </c>
      <c r="M85" s="401">
        <f t="shared" si="19"/>
        <v>0</v>
      </c>
      <c r="N85" s="404">
        <f>M85*0.230769230769231</f>
        <v>0</v>
      </c>
      <c r="O85" s="383">
        <f>IFERROR(N85/SUM(PROD!L82:L88),0)</f>
        <v>0</v>
      </c>
      <c r="P85" s="384">
        <f>IFERROR(O85/SUM(E81:E87,J81:J87,O81:O86),0)</f>
        <v>0</v>
      </c>
      <c r="Q85" s="491" t="str">
        <f>$Q$8</f>
        <v>B</v>
      </c>
      <c r="R85" s="392">
        <f t="shared" si="17"/>
        <v>0</v>
      </c>
      <c r="S85" s="870">
        <f>SUM(PROD!AQ82:AQ88)</f>
        <v>0</v>
      </c>
      <c r="T85" s="492">
        <f>IF(AA81&gt;0,S85/AA81,0)</f>
        <v>0</v>
      </c>
      <c r="U85" s="395" t="str">
        <f>$U$8</f>
        <v>Rev. Gr.</v>
      </c>
      <c r="V85" s="412">
        <f t="shared" si="18"/>
        <v>0</v>
      </c>
      <c r="W85" s="873">
        <f>SUM(PROD!AT82:AT88)</f>
        <v>0</v>
      </c>
      <c r="X85" s="413">
        <f>IFERROR(W85/(AA86-AA84),0)</f>
        <v>0</v>
      </c>
      <c r="Y85" s="414" t="s">
        <v>262</v>
      </c>
      <c r="Z85" s="415">
        <f>IFERROR(SUMPRODUCT(V85:V87,W85:W87)/SUM(W85:W87),0)</f>
        <v>0</v>
      </c>
      <c r="AA85" s="416">
        <f>SUM(W85:W87)</f>
        <v>0</v>
      </c>
      <c r="AB85" s="497">
        <f>IF(AA86&gt;0,AA85/AA86,0)</f>
        <v>0</v>
      </c>
    </row>
    <row r="86" spans="1:28" ht="15.75" customHeight="1" x14ac:dyDescent="0.3">
      <c r="A86" s="2301"/>
      <c r="B86" s="438" t="str">
        <f>$B$9</f>
        <v>Vacunas y medicamentos</v>
      </c>
      <c r="C86" s="443">
        <f>C79</f>
        <v>0</v>
      </c>
      <c r="D86" s="387">
        <f>C86*12/52</f>
        <v>0</v>
      </c>
      <c r="E86" s="383">
        <f>IFERROR(D86/SUM(PROD!L82:L88),0)</f>
        <v>0</v>
      </c>
      <c r="F86" s="384">
        <f>IFERROR(E86/SUM(E81:E87,J81:J87,O81:O86),0)</f>
        <v>0</v>
      </c>
      <c r="G86" s="441" t="str">
        <f>$G$16</f>
        <v>Mantenimiento y Reparaciones</v>
      </c>
      <c r="H86" s="401">
        <f t="shared" si="16"/>
        <v>0</v>
      </c>
      <c r="I86" s="390">
        <f t="shared" si="14"/>
        <v>0</v>
      </c>
      <c r="J86" s="383">
        <f>IFERROR(I86/SUM(PROD!L82:L88),0)</f>
        <v>0</v>
      </c>
      <c r="K86" s="384">
        <f>IFERROR(J86/SUM(E81:E87,J81:J87,O81:O86),0)</f>
        <v>0</v>
      </c>
      <c r="L86" s="439">
        <f>$L$9</f>
        <v>0</v>
      </c>
      <c r="M86" s="401">
        <f t="shared" si="19"/>
        <v>0</v>
      </c>
      <c r="N86" s="404">
        <f>M86*0.230769230769231</f>
        <v>0</v>
      </c>
      <c r="O86" s="383">
        <f>IFERROR(N86/SUM(PROD!L82:L88),0)</f>
        <v>0</v>
      </c>
      <c r="P86" s="384">
        <f>IFERROR(O86/SUM(E81:E87,J81:J87,O81:O86),0)</f>
        <v>0</v>
      </c>
      <c r="Q86" s="491" t="str">
        <f>$Q$9</f>
        <v>C</v>
      </c>
      <c r="R86" s="392">
        <f t="shared" si="17"/>
        <v>0</v>
      </c>
      <c r="S86" s="870">
        <f>SUM(PROD!AR82:AR88)</f>
        <v>0</v>
      </c>
      <c r="T86" s="492">
        <f>IF(AA81&gt;0,S86/AA81,0)</f>
        <v>0</v>
      </c>
      <c r="U86" s="493" t="str">
        <f>$U$9</f>
        <v>Rev. Med</v>
      </c>
      <c r="V86" s="392">
        <f t="shared" si="18"/>
        <v>0</v>
      </c>
      <c r="W86" s="870">
        <f>SUM(PROD!AU82:AU88)</f>
        <v>0</v>
      </c>
      <c r="X86" s="498">
        <f>IFERROR(W86/(AA86-AA84),0)</f>
        <v>0</v>
      </c>
      <c r="Y86" s="2303" t="s">
        <v>325</v>
      </c>
      <c r="Z86" s="2305">
        <f>SUMPRODUCT(Z81:Z85,AB81:AB85)</f>
        <v>0</v>
      </c>
      <c r="AA86" s="2307">
        <f>SUM(AA81:AA84)</f>
        <v>0</v>
      </c>
      <c r="AB86" s="2308"/>
    </row>
    <row r="87" spans="1:28" ht="16.5" customHeight="1" thickBot="1" x14ac:dyDescent="0.35">
      <c r="A87" s="2302"/>
      <c r="B87" s="444" t="str">
        <f>$B$10</f>
        <v>Gastos de Personal</v>
      </c>
      <c r="C87" s="445">
        <f>C80</f>
        <v>0</v>
      </c>
      <c r="D87" s="421">
        <f>C87*12/52</f>
        <v>0</v>
      </c>
      <c r="E87" s="446">
        <f>IFERROR(D87/SUM(PROD!L82:L88),0)</f>
        <v>0</v>
      </c>
      <c r="F87" s="447">
        <f>IFERROR(E87/SUM(E81:E87,J81:J87,O81:O86),0)</f>
        <v>0</v>
      </c>
      <c r="G87" s="448" t="str">
        <f>$G$17</f>
        <v>Adecuación Instalaciones</v>
      </c>
      <c r="H87" s="445">
        <f t="shared" si="16"/>
        <v>0</v>
      </c>
      <c r="I87" s="426">
        <f t="shared" si="14"/>
        <v>0</v>
      </c>
      <c r="J87" s="446">
        <f>IFERROR(I87/SUM(PROD!L82:L88),0)</f>
        <v>0</v>
      </c>
      <c r="K87" s="447">
        <f>IFERROR(J87/SUM(E81:E87,J81:J87,O81:O86),0)</f>
        <v>0</v>
      </c>
      <c r="L87" s="2311" t="str">
        <f>$L$10</f>
        <v>TOTAL COSTO PRODUCCIÓN</v>
      </c>
      <c r="M87" s="2312"/>
      <c r="N87" s="427">
        <f>SUM(D81:D87,I81:I87,N81:N86)</f>
        <v>0</v>
      </c>
      <c r="O87" s="449">
        <f>IFERROR(N87/SUM(PROD!L82:L88),0)</f>
        <v>0</v>
      </c>
      <c r="P87" s="447">
        <f>IFERROR(O87/SUM(E81:E87,J81:J87,O81:O86),0)</f>
        <v>0</v>
      </c>
      <c r="Q87" s="429" t="str">
        <f>$Q$10</f>
        <v>D</v>
      </c>
      <c r="R87" s="499">
        <f t="shared" si="17"/>
        <v>0</v>
      </c>
      <c r="S87" s="871">
        <f>SUM(PROD!AS82:AS88)</f>
        <v>0</v>
      </c>
      <c r="T87" s="431">
        <f>IF(AA81&gt;0,S87/AA81,0)</f>
        <v>0</v>
      </c>
      <c r="U87" s="432" t="str">
        <f>$U$10</f>
        <v>Rev. Peq</v>
      </c>
      <c r="V87" s="499">
        <f t="shared" si="18"/>
        <v>0</v>
      </c>
      <c r="W87" s="871">
        <f>SUM(PROD!AV82:AV88)</f>
        <v>0</v>
      </c>
      <c r="X87" s="431">
        <f>IFERROR(W87/(AA86-AA84),0)</f>
        <v>0</v>
      </c>
      <c r="Y87" s="2304"/>
      <c r="Z87" s="2306"/>
      <c r="AA87" s="2309"/>
      <c r="AB87" s="2310"/>
    </row>
    <row r="88" spans="1:28" ht="16.5" customHeight="1" x14ac:dyDescent="0.3">
      <c r="A88" s="2300">
        <f>A81+1</f>
        <v>30</v>
      </c>
      <c r="B88" s="433" t="str">
        <f>$B$4</f>
        <v>ALIMENTO Kilos</v>
      </c>
      <c r="C88" s="435">
        <f>LOOKUP($A88,PROD!$A$5:$A$725,PROD!$AH$10:$AH$730)</f>
        <v>0</v>
      </c>
      <c r="D88" s="368">
        <f>C88*LOOKUP($A88,'Pr-Sem'!$A$6:$A$108,'Pr-Sem'!$N$6:$N$108)/(PROD!$A$1/1000)</f>
        <v>0</v>
      </c>
      <c r="E88" s="369">
        <f>IFERROR(D88/SUM(PROD!L89:L95),0)</f>
        <v>0</v>
      </c>
      <c r="F88" s="370">
        <f>IFERROR(E88/SUM(E88:E94,J88:J94,O88:O93),0)</f>
        <v>0</v>
      </c>
      <c r="G88" s="434" t="str">
        <f>$G$11</f>
        <v>Honorarios</v>
      </c>
      <c r="H88" s="435">
        <f t="shared" si="16"/>
        <v>0</v>
      </c>
      <c r="I88" s="372">
        <f t="shared" si="14"/>
        <v>0</v>
      </c>
      <c r="J88" s="369">
        <f>IFERROR(I88/SUM(PROD!L89:L95),0)</f>
        <v>0</v>
      </c>
      <c r="K88" s="370">
        <f>IFERROR(J88/SUM(E88:E94,J88:J94,O88:O93),0)</f>
        <v>0</v>
      </c>
      <c r="L88" s="436" t="str">
        <f>$L$4</f>
        <v>Gastos de Viaje</v>
      </c>
      <c r="M88" s="435">
        <f t="shared" ref="M88:M93" si="20">M81</f>
        <v>0</v>
      </c>
      <c r="N88" s="372">
        <f>M88*12/52</f>
        <v>0</v>
      </c>
      <c r="O88" s="369">
        <f>IFERROR(N88/SUM(PROD!L89:L95),0)</f>
        <v>0</v>
      </c>
      <c r="P88" s="370">
        <f>IFERROR(O88/SUM(E88:E94,J88:J94,O88:O93),0)</f>
        <v>0</v>
      </c>
      <c r="Q88" s="373" t="str">
        <f>$Q$4</f>
        <v>AAAA</v>
      </c>
      <c r="R88" s="374">
        <f t="shared" si="17"/>
        <v>0</v>
      </c>
      <c r="S88" s="869">
        <f>SUM(PROD!AM89:AM95)</f>
        <v>0</v>
      </c>
      <c r="T88" s="375">
        <f>IF(AA88&gt;0,S88/AA88,0)</f>
        <v>0</v>
      </c>
      <c r="U88" s="376" t="str">
        <f>$U$4</f>
        <v>Prob Color</v>
      </c>
      <c r="V88" s="374">
        <f t="shared" si="18"/>
        <v>0</v>
      </c>
      <c r="W88" s="869">
        <f>SUM(PROD!AW89:AW95)</f>
        <v>0</v>
      </c>
      <c r="X88" s="375">
        <f>IFERROR(W88/(AA93-AA91),0)</f>
        <v>0</v>
      </c>
      <c r="Y88" s="377" t="s">
        <v>323</v>
      </c>
      <c r="Z88" s="378">
        <f>SUMPRODUCT(R88:R94,T88:T94)</f>
        <v>0</v>
      </c>
      <c r="AA88" s="379">
        <f>SUM(S88:S94)</f>
        <v>0</v>
      </c>
      <c r="AB88" s="490">
        <f>IF(AA93&gt;0,AA88/AA93,0)</f>
        <v>0</v>
      </c>
    </row>
    <row r="89" spans="1:28" ht="15.75" customHeight="1" x14ac:dyDescent="0.3">
      <c r="A89" s="2301"/>
      <c r="B89" s="438" t="str">
        <f>$B$5</f>
        <v>Amortización de Aves</v>
      </c>
      <c r="C89" s="381">
        <f>IFERROR((C82-(D89/'Pr-Sem'!$O$2)),0)</f>
        <v>0</v>
      </c>
      <c r="D89" s="382">
        <f>SUM(PROD!L89:L95)*E89</f>
        <v>0</v>
      </c>
      <c r="E89" s="383">
        <f>IF(SUM(PROD!L89:L95)&gt;0,IFERROR(($C$1-$C$2)/LOOKUP($B$2,'Pr-Sem'!$A$6:$A$108,'Pr-Sem'!$L$6:$L$108)*(LOOKUP(INVENTARIOS!$A88,'Pr-Sem'!$A$6:$A$108,'Pr-Sem'!$L$6:$L$108)-LOOKUP(INVENTARIOS!$A88-1,'Pr-Sem'!$A$6:$A$108,'Pr-Sem'!$L$6:$L$108))/(LOOKUP(INVENTARIOS!$A88,'Pr-Sem'!$A$6:$A$108,'Pr-Sem'!$K$6:$K$108)-LOOKUP(INVENTARIOS!$A88-1,'Pr-Sem'!$A$6:$A$108,'Pr-Sem'!$K$6:$K$108)),0),0)</f>
        <v>0</v>
      </c>
      <c r="F89" s="384">
        <f>IFERROR(E89/SUM(E88:E94,J88:J94,O88:O93),0)</f>
        <v>0</v>
      </c>
      <c r="G89" s="439" t="str">
        <f>$G$12</f>
        <v>Impuestos</v>
      </c>
      <c r="H89" s="440">
        <f t="shared" si="16"/>
        <v>0</v>
      </c>
      <c r="I89" s="387">
        <f t="shared" si="14"/>
        <v>0</v>
      </c>
      <c r="J89" s="383">
        <f>IFERROR(I89/SUM(PROD!L89:L95),0)</f>
        <v>0</v>
      </c>
      <c r="K89" s="384">
        <f>IFERROR(J89/SUM(E88:E94,J88:J94,O88:O93),0)</f>
        <v>0</v>
      </c>
      <c r="L89" s="439" t="str">
        <f>$L$5</f>
        <v>Depreciaciones</v>
      </c>
      <c r="M89" s="401">
        <f t="shared" si="20"/>
        <v>0</v>
      </c>
      <c r="N89" s="390">
        <f>M89*12/52</f>
        <v>0</v>
      </c>
      <c r="O89" s="383">
        <f>IFERROR(N89/SUM(PROD!L89:L95),0)</f>
        <v>0</v>
      </c>
      <c r="P89" s="384">
        <f>IFERROR(O89/SUM(E88:E94,J88:J94,O88:O93),0)</f>
        <v>0</v>
      </c>
      <c r="Q89" s="491" t="str">
        <f>$Q$5</f>
        <v>AAA</v>
      </c>
      <c r="R89" s="392">
        <f t="shared" si="17"/>
        <v>0</v>
      </c>
      <c r="S89" s="870">
        <f>SUM(PROD!AN89:AN95)</f>
        <v>0</v>
      </c>
      <c r="T89" s="492">
        <f>IF(AA88&gt;0,S89/AA88,0)</f>
        <v>0</v>
      </c>
      <c r="U89" s="493" t="str">
        <f>$U$5</f>
        <v>Prob Cásc</v>
      </c>
      <c r="V89" s="392">
        <f t="shared" si="18"/>
        <v>0</v>
      </c>
      <c r="W89" s="870">
        <f>SUM(PROD!AX89:AX95)</f>
        <v>0</v>
      </c>
      <c r="X89" s="492">
        <f>IFERROR(W89/(AA93-AA91),0)</f>
        <v>0</v>
      </c>
      <c r="Y89" s="395" t="s">
        <v>324</v>
      </c>
      <c r="Z89" s="396">
        <f>IFERROR(SUMPRODUCT(V88:V91,W88:W91)/SUM(W88:W91),0)</f>
        <v>0</v>
      </c>
      <c r="AA89" s="397">
        <f>SUM(W88:W91)</f>
        <v>0</v>
      </c>
      <c r="AB89" s="494">
        <f>IF(AA93&gt;0,AA89/AA93,0)</f>
        <v>0</v>
      </c>
    </row>
    <row r="90" spans="1:28" ht="15.75" customHeight="1" x14ac:dyDescent="0.3">
      <c r="A90" s="2301"/>
      <c r="B90" s="399" t="str">
        <f>$B$6</f>
        <v>Bandeja</v>
      </c>
      <c r="C90" s="400">
        <f>C83</f>
        <v>0</v>
      </c>
      <c r="D90" s="387">
        <f>C90*SUM(INVENTARIOS!R88:R94)</f>
        <v>0</v>
      </c>
      <c r="E90" s="383">
        <f>IFERROR(D90/SUM(PROD!L89:L95),0)</f>
        <v>0</v>
      </c>
      <c r="F90" s="384">
        <f>IFERROR(E90/SUM(E88:E94,J88:J94,O88:O93),0)</f>
        <v>0</v>
      </c>
      <c r="G90" s="439" t="str">
        <f>$G$13</f>
        <v>Arrendamientos</v>
      </c>
      <c r="H90" s="401">
        <f t="shared" si="16"/>
        <v>0</v>
      </c>
      <c r="I90" s="390">
        <f t="shared" si="14"/>
        <v>0</v>
      </c>
      <c r="J90" s="383">
        <f>IFERROR(I90/SUM(PROD!L89:L95),0)</f>
        <v>0</v>
      </c>
      <c r="K90" s="384">
        <f>IFERROR(J90/SUM(E88:E94,J88:J94,O88:O93),0)</f>
        <v>0</v>
      </c>
      <c r="L90" s="439" t="str">
        <f>$L$6</f>
        <v>Diversos</v>
      </c>
      <c r="M90" s="401">
        <f t="shared" si="20"/>
        <v>0</v>
      </c>
      <c r="N90" s="390">
        <f>M90*12/52</f>
        <v>0</v>
      </c>
      <c r="O90" s="383">
        <f>IFERROR(N90/SUM(PROD!L89:L95),0)</f>
        <v>0</v>
      </c>
      <c r="P90" s="384">
        <f>IFERROR(O90/SUM(E88:E94,J88:J94,O88:O93),0)</f>
        <v>0</v>
      </c>
      <c r="Q90" s="491" t="str">
        <f>$Q$6</f>
        <v>AA</v>
      </c>
      <c r="R90" s="392">
        <f t="shared" si="17"/>
        <v>0</v>
      </c>
      <c r="S90" s="870">
        <f>SUM(PROD!AO89:AO95)</f>
        <v>0</v>
      </c>
      <c r="T90" s="492">
        <f>IF(AA88&gt;0,S90/AA88,0)</f>
        <v>0</v>
      </c>
      <c r="U90" s="493" t="str">
        <f>$U$6</f>
        <v>Vencido</v>
      </c>
      <c r="V90" s="392">
        <f t="shared" si="18"/>
        <v>0</v>
      </c>
      <c r="W90" s="870">
        <f>SUM(PROD!AY89:AY95)</f>
        <v>0</v>
      </c>
      <c r="X90" s="492">
        <f>IFERROR(W90/(AA93-AA91),0)</f>
        <v>0</v>
      </c>
      <c r="Y90" s="402" t="s">
        <v>391</v>
      </c>
      <c r="Z90" s="456">
        <v>0</v>
      </c>
      <c r="AA90" s="720"/>
      <c r="AB90" s="495">
        <f>IF(AA93&gt;0,AA90/AA93,0)</f>
        <v>0</v>
      </c>
    </row>
    <row r="91" spans="1:28" ht="15.75" customHeight="1" x14ac:dyDescent="0.3">
      <c r="A91" s="2301"/>
      <c r="B91" s="438" t="str">
        <f>$B$7</f>
        <v>Mortalidad Aves</v>
      </c>
      <c r="C91" s="401">
        <f>IF(A88&lt;=$B$2,C89+$C$2,0)</f>
        <v>0</v>
      </c>
      <c r="D91" s="390">
        <f>C91*SUM(PROD!D89:D95)</f>
        <v>0</v>
      </c>
      <c r="E91" s="383">
        <f>IFERROR(D91/SUM(PROD!L89:L95),0)</f>
        <v>0</v>
      </c>
      <c r="F91" s="384">
        <f>IFERROR(E91/SUM(E88:E94,J88:J94,O88:O93),0)</f>
        <v>0</v>
      </c>
      <c r="G91" s="439" t="str">
        <f>$G$14</f>
        <v>Servicios Públicos</v>
      </c>
      <c r="H91" s="401">
        <f t="shared" si="16"/>
        <v>0</v>
      </c>
      <c r="I91" s="390">
        <f t="shared" si="14"/>
        <v>0</v>
      </c>
      <c r="J91" s="383">
        <f>IFERROR(I91/SUM(PROD!L89:L95),0)</f>
        <v>0</v>
      </c>
      <c r="K91" s="384">
        <f>IFERROR(J91/SUM(E88:E94,J88:J94,O88:O93),0)</f>
        <v>0</v>
      </c>
      <c r="L91" s="441" t="str">
        <f>$L$7</f>
        <v>Administrativos</v>
      </c>
      <c r="M91" s="401">
        <f t="shared" si="20"/>
        <v>0</v>
      </c>
      <c r="N91" s="404">
        <f>M91*0.230769230769231</f>
        <v>0</v>
      </c>
      <c r="O91" s="383">
        <f>IFERROR(N91/SUM(PROD!L89:L95),0)</f>
        <v>0</v>
      </c>
      <c r="P91" s="384">
        <f>IFERROR(O91/SUM(E88:E94,J88:J94,O88:O93),0)</f>
        <v>0</v>
      </c>
      <c r="Q91" s="491" t="str">
        <f>$Q$7</f>
        <v>A</v>
      </c>
      <c r="R91" s="392">
        <f t="shared" si="17"/>
        <v>0</v>
      </c>
      <c r="S91" s="870">
        <f>SUM(PROD!AP89:AP95)</f>
        <v>0</v>
      </c>
      <c r="T91" s="492">
        <f>IF(AA88&gt;0,S91/AA88,0)</f>
        <v>0</v>
      </c>
      <c r="U91" s="405" t="str">
        <f>$U$7</f>
        <v>Roto</v>
      </c>
      <c r="V91" s="406">
        <f t="shared" si="18"/>
        <v>0</v>
      </c>
      <c r="W91" s="872">
        <f>SUM(PROD!AZ89:AZ95)</f>
        <v>0</v>
      </c>
      <c r="X91" s="407">
        <f>IFERROR(W91/(AA93-AA91),0)</f>
        <v>0</v>
      </c>
      <c r="Y91" s="408" t="s">
        <v>359</v>
      </c>
      <c r="Z91" s="442">
        <v>215</v>
      </c>
      <c r="AA91" s="410">
        <f>SUM(PROD!L89:L95)-SUM(W88:W94)-SUM(S88:S94)-AA90</f>
        <v>0</v>
      </c>
      <c r="AB91" s="496">
        <f>IF(AA93&gt;0,AA91/AA93,0)</f>
        <v>0</v>
      </c>
    </row>
    <row r="92" spans="1:28" ht="15.75" customHeight="1" x14ac:dyDescent="0.3">
      <c r="A92" s="2301"/>
      <c r="B92" s="399" t="str">
        <f>$B$8</f>
        <v>Materia Prima (Carb Ca, etc.)</v>
      </c>
      <c r="C92" s="440">
        <f>C85</f>
        <v>0</v>
      </c>
      <c r="D92" s="387">
        <f>C92*12/52</f>
        <v>0</v>
      </c>
      <c r="E92" s="383">
        <f>IFERROR(D92/SUM(PROD!L89:L95),0)</f>
        <v>0</v>
      </c>
      <c r="F92" s="384">
        <f>IFERROR(E92/SUM(E88:E94,J88:J94,O88:O93),0)</f>
        <v>0</v>
      </c>
      <c r="G92" s="441" t="str">
        <f>$G$15</f>
        <v>Gastos Legales</v>
      </c>
      <c r="H92" s="401">
        <f t="shared" si="16"/>
        <v>0</v>
      </c>
      <c r="I92" s="390">
        <f t="shared" si="14"/>
        <v>0</v>
      </c>
      <c r="J92" s="383">
        <f>IFERROR(I92/SUM(PROD!L89:L95),0)</f>
        <v>0</v>
      </c>
      <c r="K92" s="384">
        <f>IFERROR(J92/SUM(E88:E94,J88:J94,O88:O93),0)</f>
        <v>0</v>
      </c>
      <c r="L92" s="439" t="str">
        <f>$L$8</f>
        <v>Fletes</v>
      </c>
      <c r="M92" s="401">
        <f t="shared" si="20"/>
        <v>0</v>
      </c>
      <c r="N92" s="404">
        <f>M92*0.230769230769231</f>
        <v>0</v>
      </c>
      <c r="O92" s="383">
        <f>IFERROR(N92/SUM(PROD!L89:L95),0)</f>
        <v>0</v>
      </c>
      <c r="P92" s="384">
        <f>IFERROR(O92/SUM(E88:E94,J88:J94,O88:O93),0)</f>
        <v>0</v>
      </c>
      <c r="Q92" s="491" t="str">
        <f>$Q$8</f>
        <v>B</v>
      </c>
      <c r="R92" s="392">
        <f t="shared" si="17"/>
        <v>0</v>
      </c>
      <c r="S92" s="870">
        <f>SUM(PROD!AQ89:AQ95)</f>
        <v>0</v>
      </c>
      <c r="T92" s="492">
        <f>IF(AA88&gt;0,S92/AA88,0)</f>
        <v>0</v>
      </c>
      <c r="U92" s="395" t="str">
        <f>$U$8</f>
        <v>Rev. Gr.</v>
      </c>
      <c r="V92" s="412">
        <f t="shared" si="18"/>
        <v>0</v>
      </c>
      <c r="W92" s="873">
        <f>SUM(PROD!AT89:AT95)</f>
        <v>0</v>
      </c>
      <c r="X92" s="413">
        <f>IFERROR(W92/(AA93-AA91),0)</f>
        <v>0</v>
      </c>
      <c r="Y92" s="414" t="s">
        <v>262</v>
      </c>
      <c r="Z92" s="415">
        <f>IFERROR(SUMPRODUCT(V92:V94,W92:W94)/SUM(W92:W94),0)</f>
        <v>0</v>
      </c>
      <c r="AA92" s="416">
        <f>SUM(W92:W94)</f>
        <v>0</v>
      </c>
      <c r="AB92" s="497">
        <f>IF(AA93&gt;0,AA92/AA93,0)</f>
        <v>0</v>
      </c>
    </row>
    <row r="93" spans="1:28" ht="15.75" customHeight="1" x14ac:dyDescent="0.3">
      <c r="A93" s="2301"/>
      <c r="B93" s="438" t="str">
        <f>$B$9</f>
        <v>Vacunas y medicamentos</v>
      </c>
      <c r="C93" s="443">
        <f>C86</f>
        <v>0</v>
      </c>
      <c r="D93" s="387">
        <f>C93*12/52</f>
        <v>0</v>
      </c>
      <c r="E93" s="383">
        <f>IFERROR(D93/SUM(PROD!L89:L95),0)</f>
        <v>0</v>
      </c>
      <c r="F93" s="384">
        <f>IFERROR(E93/SUM(E88:E94,J88:J94,O88:O93),0)</f>
        <v>0</v>
      </c>
      <c r="G93" s="441" t="str">
        <f>$G$16</f>
        <v>Mantenimiento y Reparaciones</v>
      </c>
      <c r="H93" s="401">
        <f t="shared" si="16"/>
        <v>0</v>
      </c>
      <c r="I93" s="390">
        <f t="shared" si="14"/>
        <v>0</v>
      </c>
      <c r="J93" s="383">
        <f>IFERROR(I93/SUM(PROD!L89:L95),0)</f>
        <v>0</v>
      </c>
      <c r="K93" s="384">
        <f>IFERROR(J93/SUM(E88:E94,J88:J94,O88:O93),0)</f>
        <v>0</v>
      </c>
      <c r="L93" s="439">
        <f>$L$9</f>
        <v>0</v>
      </c>
      <c r="M93" s="401">
        <f t="shared" si="20"/>
        <v>0</v>
      </c>
      <c r="N93" s="404">
        <f>M93*0.230769230769231</f>
        <v>0</v>
      </c>
      <c r="O93" s="383">
        <f>IFERROR(N93/SUM(PROD!L89:L95),0)</f>
        <v>0</v>
      </c>
      <c r="P93" s="384">
        <f>IFERROR(O93/SUM(E88:E94,J88:J94,O88:O93),0)</f>
        <v>0</v>
      </c>
      <c r="Q93" s="491" t="str">
        <f>$Q$9</f>
        <v>C</v>
      </c>
      <c r="R93" s="392">
        <f t="shared" si="17"/>
        <v>0</v>
      </c>
      <c r="S93" s="870">
        <f>SUM(PROD!AR89:AR95)</f>
        <v>0</v>
      </c>
      <c r="T93" s="492">
        <f>IF(AA88&gt;0,S93/AA88,0)</f>
        <v>0</v>
      </c>
      <c r="U93" s="493" t="str">
        <f>$U$9</f>
        <v>Rev. Med</v>
      </c>
      <c r="V93" s="392">
        <f t="shared" si="18"/>
        <v>0</v>
      </c>
      <c r="W93" s="870">
        <f>SUM(PROD!AU89:AU95)</f>
        <v>0</v>
      </c>
      <c r="X93" s="498">
        <f>IFERROR(W93/(AA93-AA91),0)</f>
        <v>0</v>
      </c>
      <c r="Y93" s="2303" t="s">
        <v>325</v>
      </c>
      <c r="Z93" s="2305">
        <f>SUMPRODUCT(Z88:Z92,AB88:AB92)</f>
        <v>0</v>
      </c>
      <c r="AA93" s="2307">
        <f>SUM(AA88:AA91)</f>
        <v>0</v>
      </c>
      <c r="AB93" s="2308"/>
    </row>
    <row r="94" spans="1:28" ht="16.5" customHeight="1" thickBot="1" x14ac:dyDescent="0.35">
      <c r="A94" s="2302"/>
      <c r="B94" s="444" t="str">
        <f>$B$10</f>
        <v>Gastos de Personal</v>
      </c>
      <c r="C94" s="445">
        <f>C87</f>
        <v>0</v>
      </c>
      <c r="D94" s="421">
        <f>C94*12/52</f>
        <v>0</v>
      </c>
      <c r="E94" s="446">
        <f>IFERROR(D94/SUM(PROD!L89:L95),0)</f>
        <v>0</v>
      </c>
      <c r="F94" s="447">
        <f>IFERROR(E94/SUM(E88:E94,J88:J94,O88:O93),0)</f>
        <v>0</v>
      </c>
      <c r="G94" s="448" t="str">
        <f>$G$17</f>
        <v>Adecuación Instalaciones</v>
      </c>
      <c r="H94" s="445">
        <f t="shared" si="16"/>
        <v>0</v>
      </c>
      <c r="I94" s="426">
        <f t="shared" si="14"/>
        <v>0</v>
      </c>
      <c r="J94" s="446">
        <f>IFERROR(I94/SUM(PROD!L89:L95),0)</f>
        <v>0</v>
      </c>
      <c r="K94" s="447">
        <f>IFERROR(J94/SUM(E88:E94,J88:J94,O88:O93),0)</f>
        <v>0</v>
      </c>
      <c r="L94" s="2311" t="str">
        <f>$L$10</f>
        <v>TOTAL COSTO PRODUCCIÓN</v>
      </c>
      <c r="M94" s="2312"/>
      <c r="N94" s="427">
        <f>SUM(D88:D94,I88:I94,N88:N93)</f>
        <v>0</v>
      </c>
      <c r="O94" s="449">
        <f>IFERROR(N94/SUM(PROD!L89:L95),0)</f>
        <v>0</v>
      </c>
      <c r="P94" s="447">
        <f>IFERROR(O94/SUM(E88:E94,J88:J94,O88:O93),0)</f>
        <v>0</v>
      </c>
      <c r="Q94" s="429" t="str">
        <f>$Q$10</f>
        <v>D</v>
      </c>
      <c r="R94" s="499">
        <f t="shared" si="17"/>
        <v>0</v>
      </c>
      <c r="S94" s="871">
        <f>SUM(PROD!AS89:AS95)</f>
        <v>0</v>
      </c>
      <c r="T94" s="431">
        <f>IF(AA88&gt;0,S94/AA88,0)</f>
        <v>0</v>
      </c>
      <c r="U94" s="432" t="str">
        <f>$U$10</f>
        <v>Rev. Peq</v>
      </c>
      <c r="V94" s="499">
        <f t="shared" si="18"/>
        <v>0</v>
      </c>
      <c r="W94" s="871">
        <f>SUM(PROD!AV89:AV95)</f>
        <v>0</v>
      </c>
      <c r="X94" s="431">
        <f>IFERROR(W94/(AA93-AA91),0)</f>
        <v>0</v>
      </c>
      <c r="Y94" s="2304"/>
      <c r="Z94" s="2306"/>
      <c r="AA94" s="2309"/>
      <c r="AB94" s="2310"/>
    </row>
    <row r="95" spans="1:28" ht="16.5" customHeight="1" x14ac:dyDescent="0.3">
      <c r="A95" s="2300">
        <f>A88+1</f>
        <v>31</v>
      </c>
      <c r="B95" s="433" t="str">
        <f>$B$4</f>
        <v>ALIMENTO Kilos</v>
      </c>
      <c r="C95" s="435">
        <f>LOOKUP($A95,PROD!$A$5:$A$725,PROD!$AH$10:$AH$730)</f>
        <v>0</v>
      </c>
      <c r="D95" s="368">
        <f>C95*LOOKUP($A95,'Pr-Sem'!$A$6:$A$108,'Pr-Sem'!$N$6:$N$108)/(PROD!$A$1/1000)</f>
        <v>0</v>
      </c>
      <c r="E95" s="369">
        <f>IFERROR(D95/SUM(PROD!L96:L102),0)</f>
        <v>0</v>
      </c>
      <c r="F95" s="370">
        <f>IFERROR(E95/SUM(E95:E101,J95:J101,O95:O100),0)</f>
        <v>0</v>
      </c>
      <c r="G95" s="434" t="str">
        <f>$G$11</f>
        <v>Honorarios</v>
      </c>
      <c r="H95" s="435">
        <f t="shared" si="16"/>
        <v>0</v>
      </c>
      <c r="I95" s="372">
        <f t="shared" si="14"/>
        <v>0</v>
      </c>
      <c r="J95" s="369">
        <f>IFERROR(I95/SUM(PROD!L96:L102),0)</f>
        <v>0</v>
      </c>
      <c r="K95" s="370">
        <f>IFERROR(J95/SUM(E95:E101,J95:J101,O95:O100),0)</f>
        <v>0</v>
      </c>
      <c r="L95" s="436" t="str">
        <f>$L$4</f>
        <v>Gastos de Viaje</v>
      </c>
      <c r="M95" s="435">
        <f t="shared" ref="M95:M100" si="21">M88</f>
        <v>0</v>
      </c>
      <c r="N95" s="372">
        <f>M95*12/52</f>
        <v>0</v>
      </c>
      <c r="O95" s="369">
        <f>IFERROR(N95/SUM(PROD!L96:L102),0)</f>
        <v>0</v>
      </c>
      <c r="P95" s="370">
        <f>IFERROR(O95/SUM(E95:E101,J95:J101,O95:O100),0)</f>
        <v>0</v>
      </c>
      <c r="Q95" s="373" t="str">
        <f>$Q$4</f>
        <v>AAAA</v>
      </c>
      <c r="R95" s="374">
        <f t="shared" si="17"/>
        <v>0</v>
      </c>
      <c r="S95" s="869">
        <f>SUM(PROD!AM96:AM102)</f>
        <v>0</v>
      </c>
      <c r="T95" s="375">
        <f>IF(AA95&gt;0,S95/AA95,0)</f>
        <v>0</v>
      </c>
      <c r="U95" s="376" t="str">
        <f>$U$4</f>
        <v>Prob Color</v>
      </c>
      <c r="V95" s="374">
        <f t="shared" si="18"/>
        <v>0</v>
      </c>
      <c r="W95" s="869">
        <f>SUM(PROD!AW96:AW102)</f>
        <v>0</v>
      </c>
      <c r="X95" s="375">
        <f>IFERROR(W95/(AA100-AA98),0)</f>
        <v>0</v>
      </c>
      <c r="Y95" s="377" t="s">
        <v>323</v>
      </c>
      <c r="Z95" s="378">
        <f>SUMPRODUCT(R95:R101,T95:T101)</f>
        <v>0</v>
      </c>
      <c r="AA95" s="379">
        <f>SUM(S95:S101)</f>
        <v>0</v>
      </c>
      <c r="AB95" s="490">
        <f>IF(AA100&gt;0,AA95/AA100,0)</f>
        <v>0</v>
      </c>
    </row>
    <row r="96" spans="1:28" ht="15.75" customHeight="1" x14ac:dyDescent="0.3">
      <c r="A96" s="2301"/>
      <c r="B96" s="438" t="str">
        <f>$B$5</f>
        <v>Amortización de Aves</v>
      </c>
      <c r="C96" s="381">
        <f>IFERROR((C89-(D96/'Pr-Sem'!$O$2)),0)</f>
        <v>0</v>
      </c>
      <c r="D96" s="382">
        <f>SUM(PROD!L96:L102)*E96</f>
        <v>0</v>
      </c>
      <c r="E96" s="383">
        <f>IF(SUM(PROD!L96:L102)&gt;0,IFERROR(($C$1-$C$2)/LOOKUP($B$2,'Pr-Sem'!$A$6:$A$108,'Pr-Sem'!$L$6:$L$108)*(LOOKUP(INVENTARIOS!$A95,'Pr-Sem'!$A$6:$A$108,'Pr-Sem'!$L$6:$L$108)-LOOKUP(INVENTARIOS!$A95-1,'Pr-Sem'!$A$6:$A$108,'Pr-Sem'!$L$6:$L$108))/(LOOKUP(INVENTARIOS!$A95,'Pr-Sem'!$A$6:$A$108,'Pr-Sem'!$K$6:$K$108)-LOOKUP(INVENTARIOS!$A95-1,'Pr-Sem'!$A$6:$A$108,'Pr-Sem'!$K$6:$K$108)),0),0)</f>
        <v>0</v>
      </c>
      <c r="F96" s="384">
        <f>IFERROR(E96/SUM(E95:E101,J95:J101,O95:O100),0)</f>
        <v>0</v>
      </c>
      <c r="G96" s="439" t="str">
        <f>$G$12</f>
        <v>Impuestos</v>
      </c>
      <c r="H96" s="440">
        <f t="shared" si="16"/>
        <v>0</v>
      </c>
      <c r="I96" s="387">
        <f t="shared" si="14"/>
        <v>0</v>
      </c>
      <c r="J96" s="383">
        <f>IFERROR(I96/SUM(PROD!L96:L102),0)</f>
        <v>0</v>
      </c>
      <c r="K96" s="384">
        <f>IFERROR(J96/SUM(E95:E101,J95:J101,O95:O100),0)</f>
        <v>0</v>
      </c>
      <c r="L96" s="439" t="str">
        <f>$L$5</f>
        <v>Depreciaciones</v>
      </c>
      <c r="M96" s="401">
        <f t="shared" si="21"/>
        <v>0</v>
      </c>
      <c r="N96" s="390">
        <f>M96*12/52</f>
        <v>0</v>
      </c>
      <c r="O96" s="383">
        <f>IFERROR(N96/SUM(PROD!L96:L102),0)</f>
        <v>0</v>
      </c>
      <c r="P96" s="384">
        <f>IFERROR(O96/SUM(E95:E101,J95:J101,O95:O100),0)</f>
        <v>0</v>
      </c>
      <c r="Q96" s="491" t="str">
        <f>$Q$5</f>
        <v>AAA</v>
      </c>
      <c r="R96" s="392">
        <f t="shared" si="17"/>
        <v>0</v>
      </c>
      <c r="S96" s="870">
        <f>SUM(PROD!AN96:AN102)</f>
        <v>0</v>
      </c>
      <c r="T96" s="492">
        <f>IF(AA95&gt;0,S96/AA95,0)</f>
        <v>0</v>
      </c>
      <c r="U96" s="493" t="str">
        <f>$U$5</f>
        <v>Prob Cásc</v>
      </c>
      <c r="V96" s="392">
        <f t="shared" si="18"/>
        <v>0</v>
      </c>
      <c r="W96" s="870">
        <f>SUM(PROD!AX96:AX102)</f>
        <v>0</v>
      </c>
      <c r="X96" s="492">
        <f>IFERROR(W96/(AA100-AA98),0)</f>
        <v>0</v>
      </c>
      <c r="Y96" s="395" t="s">
        <v>324</v>
      </c>
      <c r="Z96" s="396">
        <f>IFERROR(SUMPRODUCT(V95:V98,W95:W98)/SUM(W95:W98),0)</f>
        <v>0</v>
      </c>
      <c r="AA96" s="397">
        <f>SUM(W95:W98)</f>
        <v>0</v>
      </c>
      <c r="AB96" s="494">
        <f>IF(AA100&gt;0,AA96/AA100,0)</f>
        <v>0</v>
      </c>
    </row>
    <row r="97" spans="1:28" ht="15.75" customHeight="1" x14ac:dyDescent="0.3">
      <c r="A97" s="2301"/>
      <c r="B97" s="399" t="str">
        <f>$B$6</f>
        <v>Bandeja</v>
      </c>
      <c r="C97" s="400">
        <f>C90</f>
        <v>0</v>
      </c>
      <c r="D97" s="387">
        <f>C97*SUM(INVENTARIOS!R95:R101)</f>
        <v>0</v>
      </c>
      <c r="E97" s="383">
        <f>IFERROR(D97/SUM(PROD!L96:L102),0)</f>
        <v>0</v>
      </c>
      <c r="F97" s="384">
        <f>IFERROR(E97/SUM(E95:E101,J95:J101,O95:O100),0)</f>
        <v>0</v>
      </c>
      <c r="G97" s="439" t="str">
        <f>$G$13</f>
        <v>Arrendamientos</v>
      </c>
      <c r="H97" s="401">
        <f t="shared" si="16"/>
        <v>0</v>
      </c>
      <c r="I97" s="390">
        <f t="shared" si="14"/>
        <v>0</v>
      </c>
      <c r="J97" s="383">
        <f>IFERROR(I97/SUM(PROD!L96:L102),0)</f>
        <v>0</v>
      </c>
      <c r="K97" s="384">
        <f>IFERROR(J97/SUM(E95:E101,J95:J101,O95:O100),0)</f>
        <v>0</v>
      </c>
      <c r="L97" s="439" t="str">
        <f>$L$6</f>
        <v>Diversos</v>
      </c>
      <c r="M97" s="401">
        <f t="shared" si="21"/>
        <v>0</v>
      </c>
      <c r="N97" s="390">
        <f>M97*12/52</f>
        <v>0</v>
      </c>
      <c r="O97" s="383">
        <f>IFERROR(N97/SUM(PROD!L96:L102),0)</f>
        <v>0</v>
      </c>
      <c r="P97" s="384">
        <f>IFERROR(O97/SUM(E95:E101,J95:J101,O95:O100),0)</f>
        <v>0</v>
      </c>
      <c r="Q97" s="491" t="str">
        <f>$Q$6</f>
        <v>AA</v>
      </c>
      <c r="R97" s="392">
        <f t="shared" si="17"/>
        <v>0</v>
      </c>
      <c r="S97" s="870">
        <f>SUM(PROD!AO96:AO102)</f>
        <v>0</v>
      </c>
      <c r="T97" s="492">
        <f>IF(AA95&gt;0,S97/AA95,0)</f>
        <v>0</v>
      </c>
      <c r="U97" s="493" t="str">
        <f>$U$6</f>
        <v>Vencido</v>
      </c>
      <c r="V97" s="392">
        <f t="shared" si="18"/>
        <v>0</v>
      </c>
      <c r="W97" s="870">
        <f>SUM(PROD!AY96:AY102)</f>
        <v>0</v>
      </c>
      <c r="X97" s="492">
        <f>IFERROR(W97/(AA100-AA98),0)</f>
        <v>0</v>
      </c>
      <c r="Y97" s="402" t="s">
        <v>391</v>
      </c>
      <c r="Z97" s="456">
        <v>0</v>
      </c>
      <c r="AA97" s="720"/>
      <c r="AB97" s="495">
        <f>IF(AA100&gt;0,AA97/AA100,0)</f>
        <v>0</v>
      </c>
    </row>
    <row r="98" spans="1:28" ht="15.75" customHeight="1" x14ac:dyDescent="0.3">
      <c r="A98" s="2301"/>
      <c r="B98" s="438" t="str">
        <f>$B$7</f>
        <v>Mortalidad Aves</v>
      </c>
      <c r="C98" s="401">
        <f>IF(A95&lt;=$B$2,C96+$C$2,0)</f>
        <v>0</v>
      </c>
      <c r="D98" s="390">
        <f>C98*SUM(PROD!D96:D102)</f>
        <v>0</v>
      </c>
      <c r="E98" s="383">
        <f>IFERROR(D98/SUM(PROD!L96:L102),0)</f>
        <v>0</v>
      </c>
      <c r="F98" s="384">
        <f>IFERROR(E98/SUM(E95:E101,J95:J101,O95:O100),0)</f>
        <v>0</v>
      </c>
      <c r="G98" s="439" t="str">
        <f>$G$14</f>
        <v>Servicios Públicos</v>
      </c>
      <c r="H98" s="401">
        <f t="shared" si="16"/>
        <v>0</v>
      </c>
      <c r="I98" s="390">
        <f t="shared" si="14"/>
        <v>0</v>
      </c>
      <c r="J98" s="383">
        <f>IFERROR(I98/SUM(PROD!L96:L102),0)</f>
        <v>0</v>
      </c>
      <c r="K98" s="384">
        <f>IFERROR(J98/SUM(E95:E101,J95:J101,O95:O100),0)</f>
        <v>0</v>
      </c>
      <c r="L98" s="441" t="str">
        <f>$L$7</f>
        <v>Administrativos</v>
      </c>
      <c r="M98" s="401">
        <f t="shared" si="21"/>
        <v>0</v>
      </c>
      <c r="N98" s="404">
        <f>M98*0.230769230769231</f>
        <v>0</v>
      </c>
      <c r="O98" s="383">
        <f>IFERROR(N98/SUM(PROD!L96:L102),0)</f>
        <v>0</v>
      </c>
      <c r="P98" s="384">
        <f>IFERROR(O98/SUM(E95:E101,J95:J101,O95:O100),0)</f>
        <v>0</v>
      </c>
      <c r="Q98" s="491" t="str">
        <f>$Q$7</f>
        <v>A</v>
      </c>
      <c r="R98" s="392">
        <f t="shared" si="17"/>
        <v>0</v>
      </c>
      <c r="S98" s="870">
        <f>SUM(PROD!AP96:AP102)</f>
        <v>0</v>
      </c>
      <c r="T98" s="492">
        <f>IF(AA95&gt;0,S98/AA95,0)</f>
        <v>0</v>
      </c>
      <c r="U98" s="405" t="str">
        <f>$U$7</f>
        <v>Roto</v>
      </c>
      <c r="V98" s="406">
        <f t="shared" si="18"/>
        <v>0</v>
      </c>
      <c r="W98" s="872">
        <f>SUM(PROD!AZ96:AZ102)</f>
        <v>0</v>
      </c>
      <c r="X98" s="407">
        <f>IFERROR(W98/(AA100-AA98),0)</f>
        <v>0</v>
      </c>
      <c r="Y98" s="408" t="s">
        <v>359</v>
      </c>
      <c r="Z98" s="442">
        <v>215</v>
      </c>
      <c r="AA98" s="410">
        <f>SUM(PROD!L96:L102)-SUM(W95:W101)-SUM(S95:S101)-AA97</f>
        <v>0</v>
      </c>
      <c r="AB98" s="496">
        <f>IF(AA100&gt;0,AA98/AA100,0)</f>
        <v>0</v>
      </c>
    </row>
    <row r="99" spans="1:28" ht="15.75" customHeight="1" x14ac:dyDescent="0.3">
      <c r="A99" s="2301"/>
      <c r="B99" s="399" t="str">
        <f>$B$8</f>
        <v>Materia Prima (Carb Ca, etc.)</v>
      </c>
      <c r="C99" s="440">
        <f>C92</f>
        <v>0</v>
      </c>
      <c r="D99" s="387">
        <f>C99*12/52</f>
        <v>0</v>
      </c>
      <c r="E99" s="383">
        <f>IFERROR(D99/SUM(PROD!L96:L102),0)</f>
        <v>0</v>
      </c>
      <c r="F99" s="384">
        <f>IFERROR(E99/SUM(E95:E101,J95:J101,O95:O100),0)</f>
        <v>0</v>
      </c>
      <c r="G99" s="441" t="str">
        <f>$G$15</f>
        <v>Gastos Legales</v>
      </c>
      <c r="H99" s="401">
        <f t="shared" si="16"/>
        <v>0</v>
      </c>
      <c r="I99" s="390">
        <f t="shared" si="14"/>
        <v>0</v>
      </c>
      <c r="J99" s="383">
        <f>IFERROR(I99/SUM(PROD!L96:L102),0)</f>
        <v>0</v>
      </c>
      <c r="K99" s="384">
        <f>IFERROR(J99/SUM(E95:E101,J95:J101,O95:O100),0)</f>
        <v>0</v>
      </c>
      <c r="L99" s="439" t="str">
        <f>$L$8</f>
        <v>Fletes</v>
      </c>
      <c r="M99" s="401">
        <f t="shared" si="21"/>
        <v>0</v>
      </c>
      <c r="N99" s="404">
        <f>M99*0.230769230769231</f>
        <v>0</v>
      </c>
      <c r="O99" s="383">
        <f>IFERROR(N99/SUM(PROD!L96:L102),0)</f>
        <v>0</v>
      </c>
      <c r="P99" s="384">
        <f>IFERROR(O99/SUM(E95:E101,J95:J101,O95:O100),0)</f>
        <v>0</v>
      </c>
      <c r="Q99" s="491" t="str">
        <f>$Q$8</f>
        <v>B</v>
      </c>
      <c r="R99" s="392">
        <f t="shared" si="17"/>
        <v>0</v>
      </c>
      <c r="S99" s="870">
        <f>SUM(PROD!AQ96:AQ102)</f>
        <v>0</v>
      </c>
      <c r="T99" s="492">
        <f>IF(AA95&gt;0,S99/AA95,0)</f>
        <v>0</v>
      </c>
      <c r="U99" s="395" t="str">
        <f>$U$8</f>
        <v>Rev. Gr.</v>
      </c>
      <c r="V99" s="412">
        <f t="shared" si="18"/>
        <v>0</v>
      </c>
      <c r="W99" s="873">
        <f>SUM(PROD!AT96:AT102)</f>
        <v>0</v>
      </c>
      <c r="X99" s="413">
        <f>IFERROR(W99/(AA100-AA98),0)</f>
        <v>0</v>
      </c>
      <c r="Y99" s="414" t="s">
        <v>262</v>
      </c>
      <c r="Z99" s="415">
        <f>IFERROR(SUMPRODUCT(V99:V101,W99:W101)/SUM(W99:W101),0)</f>
        <v>0</v>
      </c>
      <c r="AA99" s="416">
        <f>SUM(W99:W101)</f>
        <v>0</v>
      </c>
      <c r="AB99" s="497">
        <f>IF(AA100&gt;0,AA99/AA100,0)</f>
        <v>0</v>
      </c>
    </row>
    <row r="100" spans="1:28" ht="15.75" customHeight="1" x14ac:dyDescent="0.3">
      <c r="A100" s="2301"/>
      <c r="B100" s="438" t="str">
        <f>$B$9</f>
        <v>Vacunas y medicamentos</v>
      </c>
      <c r="C100" s="443">
        <f>C93</f>
        <v>0</v>
      </c>
      <c r="D100" s="387">
        <f>C100*12/52</f>
        <v>0</v>
      </c>
      <c r="E100" s="383">
        <f>IFERROR(D100/SUM(PROD!L96:L102),0)</f>
        <v>0</v>
      </c>
      <c r="F100" s="384">
        <f>IFERROR(E100/SUM(E95:E101,J95:J101,O95:O100),0)</f>
        <v>0</v>
      </c>
      <c r="G100" s="441" t="str">
        <f>$G$16</f>
        <v>Mantenimiento y Reparaciones</v>
      </c>
      <c r="H100" s="401">
        <f t="shared" si="16"/>
        <v>0</v>
      </c>
      <c r="I100" s="390">
        <f t="shared" si="14"/>
        <v>0</v>
      </c>
      <c r="J100" s="383">
        <f>IFERROR(I100/SUM(PROD!L96:L102),0)</f>
        <v>0</v>
      </c>
      <c r="K100" s="384">
        <f>IFERROR(J100/SUM(E95:E101,J95:J101,O95:O100),0)</f>
        <v>0</v>
      </c>
      <c r="L100" s="439">
        <f>$L$9</f>
        <v>0</v>
      </c>
      <c r="M100" s="401">
        <f t="shared" si="21"/>
        <v>0</v>
      </c>
      <c r="N100" s="404">
        <f>M100*0.230769230769231</f>
        <v>0</v>
      </c>
      <c r="O100" s="383">
        <f>IFERROR(N100/SUM(PROD!L96:L102),0)</f>
        <v>0</v>
      </c>
      <c r="P100" s="384">
        <f>IFERROR(O100/SUM(E95:E101,J95:J101,O95:O100),0)</f>
        <v>0</v>
      </c>
      <c r="Q100" s="491" t="str">
        <f>$Q$9</f>
        <v>C</v>
      </c>
      <c r="R100" s="392">
        <f t="shared" si="17"/>
        <v>0</v>
      </c>
      <c r="S100" s="870">
        <f>SUM(PROD!AR96:AR102)</f>
        <v>0</v>
      </c>
      <c r="T100" s="492">
        <f>IF(AA95&gt;0,S100/AA95,0)</f>
        <v>0</v>
      </c>
      <c r="U100" s="493" t="str">
        <f>$U$9</f>
        <v>Rev. Med</v>
      </c>
      <c r="V100" s="392">
        <f t="shared" si="18"/>
        <v>0</v>
      </c>
      <c r="W100" s="870">
        <f>SUM(PROD!AU96:AU102)</f>
        <v>0</v>
      </c>
      <c r="X100" s="498">
        <f>IFERROR(W100/(AA100-AA98),0)</f>
        <v>0</v>
      </c>
      <c r="Y100" s="2303" t="s">
        <v>325</v>
      </c>
      <c r="Z100" s="2305">
        <f>SUMPRODUCT(Z95:Z99,AB95:AB99)</f>
        <v>0</v>
      </c>
      <c r="AA100" s="2307">
        <f>SUM(AA95:AA98)</f>
        <v>0</v>
      </c>
      <c r="AB100" s="2308"/>
    </row>
    <row r="101" spans="1:28" ht="16.5" customHeight="1" thickBot="1" x14ac:dyDescent="0.35">
      <c r="A101" s="2302"/>
      <c r="B101" s="444" t="str">
        <f>$B$10</f>
        <v>Gastos de Personal</v>
      </c>
      <c r="C101" s="445">
        <f>C94</f>
        <v>0</v>
      </c>
      <c r="D101" s="421">
        <f>C101*12/52</f>
        <v>0</v>
      </c>
      <c r="E101" s="446">
        <f>IFERROR(D101/SUM(PROD!L96:L102),0)</f>
        <v>0</v>
      </c>
      <c r="F101" s="447">
        <f>IFERROR(E101/SUM(E95:E101,J95:J101,O95:O100),0)</f>
        <v>0</v>
      </c>
      <c r="G101" s="448" t="str">
        <f>$G$17</f>
        <v>Adecuación Instalaciones</v>
      </c>
      <c r="H101" s="445">
        <f t="shared" si="16"/>
        <v>0</v>
      </c>
      <c r="I101" s="426">
        <f t="shared" si="14"/>
        <v>0</v>
      </c>
      <c r="J101" s="446">
        <f>IFERROR(I101/SUM(PROD!L96:L102),0)</f>
        <v>0</v>
      </c>
      <c r="K101" s="447">
        <f>IFERROR(J101/SUM(E95:E101,J95:J101,O95:O100),0)</f>
        <v>0</v>
      </c>
      <c r="L101" s="2311" t="str">
        <f>$L$10</f>
        <v>TOTAL COSTO PRODUCCIÓN</v>
      </c>
      <c r="M101" s="2312"/>
      <c r="N101" s="427">
        <f>SUM(D95:D101,I95:I101,N95:N100)</f>
        <v>0</v>
      </c>
      <c r="O101" s="449">
        <f>IFERROR(N101/SUM(PROD!L96:L102),0)</f>
        <v>0</v>
      </c>
      <c r="P101" s="447">
        <f>IFERROR(O101/SUM(E95:E101,J95:J101,O95:O100),0)</f>
        <v>0</v>
      </c>
      <c r="Q101" s="429" t="str">
        <f>$Q$10</f>
        <v>D</v>
      </c>
      <c r="R101" s="499">
        <f t="shared" si="17"/>
        <v>0</v>
      </c>
      <c r="S101" s="871">
        <f>SUM(PROD!AS96:AS102)</f>
        <v>0</v>
      </c>
      <c r="T101" s="431">
        <f>IF(AA95&gt;0,S101/AA95,0)</f>
        <v>0</v>
      </c>
      <c r="U101" s="432" t="str">
        <f>$U$10</f>
        <v>Rev. Peq</v>
      </c>
      <c r="V101" s="499">
        <f t="shared" si="18"/>
        <v>0</v>
      </c>
      <c r="W101" s="871">
        <f>SUM(PROD!AV96:AV102)</f>
        <v>0</v>
      </c>
      <c r="X101" s="431">
        <f>IFERROR(W101/(AA100-AA98),0)</f>
        <v>0</v>
      </c>
      <c r="Y101" s="2304"/>
      <c r="Z101" s="2306"/>
      <c r="AA101" s="2309"/>
      <c r="AB101" s="2310"/>
    </row>
    <row r="102" spans="1:28" ht="16.5" customHeight="1" x14ac:dyDescent="0.3">
      <c r="A102" s="2300">
        <f>A95+1</f>
        <v>32</v>
      </c>
      <c r="B102" s="433" t="str">
        <f>$B$4</f>
        <v>ALIMENTO Kilos</v>
      </c>
      <c r="C102" s="435">
        <f>LOOKUP($A102,PROD!$A$5:$A$725,PROD!$AH$10:$AH$730)</f>
        <v>0</v>
      </c>
      <c r="D102" s="368">
        <f>C102*LOOKUP($A102,'Pr-Sem'!$A$6:$A$108,'Pr-Sem'!$N$6:$N$108)/(PROD!$A$1/1000)</f>
        <v>0</v>
      </c>
      <c r="E102" s="369">
        <f>IFERROR(D102/SUM(PROD!L103:L109),0)</f>
        <v>0</v>
      </c>
      <c r="F102" s="370">
        <f>IFERROR(E102/SUM(E102:E108,J102:J108,O102:O107),0)</f>
        <v>0</v>
      </c>
      <c r="G102" s="434" t="str">
        <f>$G$11</f>
        <v>Honorarios</v>
      </c>
      <c r="H102" s="435">
        <f t="shared" si="16"/>
        <v>0</v>
      </c>
      <c r="I102" s="372">
        <f t="shared" si="14"/>
        <v>0</v>
      </c>
      <c r="J102" s="369">
        <f>IFERROR(I102/SUM(PROD!L103:L109),0)</f>
        <v>0</v>
      </c>
      <c r="K102" s="370">
        <f>IFERROR(J102/SUM(E102:E108,J102:J108,O102:O107),0)</f>
        <v>0</v>
      </c>
      <c r="L102" s="436" t="str">
        <f>$L$4</f>
        <v>Gastos de Viaje</v>
      </c>
      <c r="M102" s="435">
        <f t="shared" ref="M102:M107" si="22">M95</f>
        <v>0</v>
      </c>
      <c r="N102" s="372">
        <f>M102*12/52</f>
        <v>0</v>
      </c>
      <c r="O102" s="369">
        <f>IFERROR(N102/SUM(PROD!L103:L109),0)</f>
        <v>0</v>
      </c>
      <c r="P102" s="370">
        <f>IFERROR(O102/SUM(E102:E108,J102:J108,O102:O107),0)</f>
        <v>0</v>
      </c>
      <c r="Q102" s="373" t="str">
        <f>$Q$4</f>
        <v>AAAA</v>
      </c>
      <c r="R102" s="374">
        <f t="shared" si="17"/>
        <v>0</v>
      </c>
      <c r="S102" s="869">
        <f>SUM(PROD!AM103:AM109)</f>
        <v>0</v>
      </c>
      <c r="T102" s="375">
        <f>IF(AA102&gt;0,S102/AA102,0)</f>
        <v>0</v>
      </c>
      <c r="U102" s="376" t="str">
        <f>$U$4</f>
        <v>Prob Color</v>
      </c>
      <c r="V102" s="374">
        <f t="shared" si="18"/>
        <v>0</v>
      </c>
      <c r="W102" s="869">
        <f>SUM(PROD!AW103:AW109)</f>
        <v>0</v>
      </c>
      <c r="X102" s="375">
        <f>IFERROR(W102/(AA107-AA105),0)</f>
        <v>0</v>
      </c>
      <c r="Y102" s="377" t="s">
        <v>323</v>
      </c>
      <c r="Z102" s="378">
        <f>SUMPRODUCT(R102:R108,T102:T108)</f>
        <v>0</v>
      </c>
      <c r="AA102" s="379">
        <f>SUM(S102:S108)</f>
        <v>0</v>
      </c>
      <c r="AB102" s="490">
        <f>IF(AA107&gt;0,AA102/AA107,0)</f>
        <v>0</v>
      </c>
    </row>
    <row r="103" spans="1:28" ht="15.75" customHeight="1" x14ac:dyDescent="0.3">
      <c r="A103" s="2301"/>
      <c r="B103" s="438" t="str">
        <f>$B$5</f>
        <v>Amortización de Aves</v>
      </c>
      <c r="C103" s="381">
        <f>IFERROR((C96-(D103/'Pr-Sem'!$O$2)),0)</f>
        <v>0</v>
      </c>
      <c r="D103" s="382">
        <f>SUM(PROD!L103:L109)*E103</f>
        <v>0</v>
      </c>
      <c r="E103" s="383">
        <f>IF(SUM(PROD!L103:L109)&gt;0,IFERROR(($C$1-$C$2)/LOOKUP($B$2,'Pr-Sem'!$A$6:$A$108,'Pr-Sem'!$L$6:$L$108)*(LOOKUP(INVENTARIOS!$A102,'Pr-Sem'!$A$6:$A$108,'Pr-Sem'!$L$6:$L$108)-LOOKUP(INVENTARIOS!$A102-1,'Pr-Sem'!$A$6:$A$108,'Pr-Sem'!$L$6:$L$108))/(LOOKUP(INVENTARIOS!$A102,'Pr-Sem'!$A$6:$A$108,'Pr-Sem'!$K$6:$K$108)-LOOKUP(INVENTARIOS!$A102-1,'Pr-Sem'!$A$6:$A$108,'Pr-Sem'!$K$6:$K$108)),0),0)</f>
        <v>0</v>
      </c>
      <c r="F103" s="384">
        <f>IFERROR(E103/SUM(E102:E108,J102:J108,O102:O107),0)</f>
        <v>0</v>
      </c>
      <c r="G103" s="439" t="str">
        <f>$G$12</f>
        <v>Impuestos</v>
      </c>
      <c r="H103" s="440">
        <f t="shared" si="16"/>
        <v>0</v>
      </c>
      <c r="I103" s="387">
        <f t="shared" si="14"/>
        <v>0</v>
      </c>
      <c r="J103" s="383">
        <f>IFERROR(I103/SUM(PROD!L103:L109),0)</f>
        <v>0</v>
      </c>
      <c r="K103" s="384">
        <f>IFERROR(J103/SUM(E102:E108,J102:J108,O102:O107),0)</f>
        <v>0</v>
      </c>
      <c r="L103" s="439" t="str">
        <f>$L$5</f>
        <v>Depreciaciones</v>
      </c>
      <c r="M103" s="401">
        <f t="shared" si="22"/>
        <v>0</v>
      </c>
      <c r="N103" s="390">
        <f>M103*12/52</f>
        <v>0</v>
      </c>
      <c r="O103" s="383">
        <f>IFERROR(N103/SUM(PROD!L103:L109),0)</f>
        <v>0</v>
      </c>
      <c r="P103" s="384">
        <f>IFERROR(O103/SUM(E102:E108,J102:J108,O102:O107),0)</f>
        <v>0</v>
      </c>
      <c r="Q103" s="491" t="str">
        <f>$Q$5</f>
        <v>AAA</v>
      </c>
      <c r="R103" s="392">
        <f t="shared" si="17"/>
        <v>0</v>
      </c>
      <c r="S103" s="870">
        <f>SUM(PROD!AN103:AN109)</f>
        <v>0</v>
      </c>
      <c r="T103" s="492">
        <f>IF(AA102&gt;0,S103/AA102,0)</f>
        <v>0</v>
      </c>
      <c r="U103" s="493" t="str">
        <f>$U$5</f>
        <v>Prob Cásc</v>
      </c>
      <c r="V103" s="392">
        <f t="shared" si="18"/>
        <v>0</v>
      </c>
      <c r="W103" s="870">
        <f>SUM(PROD!AX103:AX109)</f>
        <v>0</v>
      </c>
      <c r="X103" s="492">
        <f>IFERROR(W103/(AA107-AA105),0)</f>
        <v>0</v>
      </c>
      <c r="Y103" s="395" t="s">
        <v>324</v>
      </c>
      <c r="Z103" s="396">
        <f>IFERROR(SUMPRODUCT(V102:V105,W102:W105)/SUM(W102:W105),0)</f>
        <v>0</v>
      </c>
      <c r="AA103" s="397">
        <f>SUM(W102:W105)</f>
        <v>0</v>
      </c>
      <c r="AB103" s="494">
        <f>IF(AA107&gt;0,AA103/AA107,0)</f>
        <v>0</v>
      </c>
    </row>
    <row r="104" spans="1:28" ht="15.75" customHeight="1" x14ac:dyDescent="0.3">
      <c r="A104" s="2301"/>
      <c r="B104" s="399" t="str">
        <f>$B$6</f>
        <v>Bandeja</v>
      </c>
      <c r="C104" s="400">
        <f>C97</f>
        <v>0</v>
      </c>
      <c r="D104" s="387">
        <f>C104*SUM(INVENTARIOS!R102:R108)</f>
        <v>0</v>
      </c>
      <c r="E104" s="383">
        <f>IFERROR(D104/SUM(PROD!L103:L109),0)</f>
        <v>0</v>
      </c>
      <c r="F104" s="384">
        <f>IFERROR(E104/SUM(E102:E108,J102:J108,O102:O107),0)</f>
        <v>0</v>
      </c>
      <c r="G104" s="439" t="str">
        <f>$G$13</f>
        <v>Arrendamientos</v>
      </c>
      <c r="H104" s="401">
        <f t="shared" si="16"/>
        <v>0</v>
      </c>
      <c r="I104" s="390">
        <f t="shared" si="14"/>
        <v>0</v>
      </c>
      <c r="J104" s="383">
        <f>IFERROR(I104/SUM(PROD!L103:L109),0)</f>
        <v>0</v>
      </c>
      <c r="K104" s="384">
        <f>IFERROR(J104/SUM(E102:E108,J102:J108,O102:O107),0)</f>
        <v>0</v>
      </c>
      <c r="L104" s="439" t="str">
        <f>$L$6</f>
        <v>Diversos</v>
      </c>
      <c r="M104" s="401">
        <f t="shared" si="22"/>
        <v>0</v>
      </c>
      <c r="N104" s="390">
        <f>M104*12/52</f>
        <v>0</v>
      </c>
      <c r="O104" s="383">
        <f>IFERROR(N104/SUM(PROD!L103:L109),0)</f>
        <v>0</v>
      </c>
      <c r="P104" s="384">
        <f>IFERROR(O104/SUM(E102:E108,J102:J108,O102:O107),0)</f>
        <v>0</v>
      </c>
      <c r="Q104" s="491" t="str">
        <f>$Q$6</f>
        <v>AA</v>
      </c>
      <c r="R104" s="392">
        <f t="shared" si="17"/>
        <v>0</v>
      </c>
      <c r="S104" s="870">
        <f>SUM(PROD!AO103:AO109)</f>
        <v>0</v>
      </c>
      <c r="T104" s="492">
        <f>IF(AA102&gt;0,S104/AA102,0)</f>
        <v>0</v>
      </c>
      <c r="U104" s="493" t="str">
        <f>$U$6</f>
        <v>Vencido</v>
      </c>
      <c r="V104" s="392">
        <f t="shared" si="18"/>
        <v>0</v>
      </c>
      <c r="W104" s="870">
        <f>SUM(PROD!AY103:AY109)</f>
        <v>0</v>
      </c>
      <c r="X104" s="492">
        <f>IFERROR(W104/(AA107-AA105),0)</f>
        <v>0</v>
      </c>
      <c r="Y104" s="402" t="s">
        <v>391</v>
      </c>
      <c r="Z104" s="456">
        <v>0</v>
      </c>
      <c r="AA104" s="720"/>
      <c r="AB104" s="495">
        <f>IF(AA107&gt;0,AA104/AA107,0)</f>
        <v>0</v>
      </c>
    </row>
    <row r="105" spans="1:28" ht="15.75" customHeight="1" x14ac:dyDescent="0.3">
      <c r="A105" s="2301"/>
      <c r="B105" s="438" t="str">
        <f>$B$7</f>
        <v>Mortalidad Aves</v>
      </c>
      <c r="C105" s="401">
        <f>IF(A102&lt;=$B$2,C103+$C$2,0)</f>
        <v>0</v>
      </c>
      <c r="D105" s="390">
        <f>C105*SUM(PROD!D103:D109)</f>
        <v>0</v>
      </c>
      <c r="E105" s="383">
        <f>IFERROR(D105/SUM(PROD!L103:L109),0)</f>
        <v>0</v>
      </c>
      <c r="F105" s="384">
        <f>IFERROR(E105/SUM(E102:E108,J102:J108,O102:O107),0)</f>
        <v>0</v>
      </c>
      <c r="G105" s="439" t="str">
        <f>$G$14</f>
        <v>Servicios Públicos</v>
      </c>
      <c r="H105" s="401">
        <f t="shared" si="16"/>
        <v>0</v>
      </c>
      <c r="I105" s="390">
        <f t="shared" si="14"/>
        <v>0</v>
      </c>
      <c r="J105" s="383">
        <f>IFERROR(I105/SUM(PROD!L103:L109),0)</f>
        <v>0</v>
      </c>
      <c r="K105" s="384">
        <f>IFERROR(J105/SUM(E102:E108,J102:J108,O102:O107),0)</f>
        <v>0</v>
      </c>
      <c r="L105" s="441" t="str">
        <f>$L$7</f>
        <v>Administrativos</v>
      </c>
      <c r="M105" s="401">
        <f t="shared" si="22"/>
        <v>0</v>
      </c>
      <c r="N105" s="404">
        <f>M105*0.230769230769231</f>
        <v>0</v>
      </c>
      <c r="O105" s="383">
        <f>IFERROR(N105/SUM(PROD!L103:L109),0)</f>
        <v>0</v>
      </c>
      <c r="P105" s="384">
        <f>IFERROR(O105/SUM(E102:E108,J102:J108,O102:O107),0)</f>
        <v>0</v>
      </c>
      <c r="Q105" s="491" t="str">
        <f>$Q$7</f>
        <v>A</v>
      </c>
      <c r="R105" s="392">
        <f t="shared" si="17"/>
        <v>0</v>
      </c>
      <c r="S105" s="870">
        <f>SUM(PROD!AP103:AP109)</f>
        <v>0</v>
      </c>
      <c r="T105" s="492">
        <f>IF(AA102&gt;0,S105/AA102,0)</f>
        <v>0</v>
      </c>
      <c r="U105" s="405" t="str">
        <f>$U$7</f>
        <v>Roto</v>
      </c>
      <c r="V105" s="406">
        <f t="shared" si="18"/>
        <v>0</v>
      </c>
      <c r="W105" s="872">
        <f>SUM(PROD!AZ103:AZ109)</f>
        <v>0</v>
      </c>
      <c r="X105" s="407">
        <f>IFERROR(W105/(AA107-AA105),0)</f>
        <v>0</v>
      </c>
      <c r="Y105" s="408" t="s">
        <v>359</v>
      </c>
      <c r="Z105" s="442">
        <v>215</v>
      </c>
      <c r="AA105" s="410">
        <f>SUM(PROD!L103:L109)-SUM(W102:W108)-SUM(S102:S108)-AA104</f>
        <v>0</v>
      </c>
      <c r="AB105" s="496">
        <f>IF(AA107&gt;0,AA105/AA107,0)</f>
        <v>0</v>
      </c>
    </row>
    <row r="106" spans="1:28" ht="15.75" customHeight="1" x14ac:dyDescent="0.3">
      <c r="A106" s="2301"/>
      <c r="B106" s="399" t="str">
        <f>$B$8</f>
        <v>Materia Prima (Carb Ca, etc.)</v>
      </c>
      <c r="C106" s="440">
        <f>C99</f>
        <v>0</v>
      </c>
      <c r="D106" s="387">
        <f>C106*12/52</f>
        <v>0</v>
      </c>
      <c r="E106" s="383">
        <f>IFERROR(D106/SUM(PROD!L103:L109),0)</f>
        <v>0</v>
      </c>
      <c r="F106" s="384">
        <f>IFERROR(E106/SUM(E102:E108,J102:J108,O102:O107),0)</f>
        <v>0</v>
      </c>
      <c r="G106" s="441" t="str">
        <f>$G$15</f>
        <v>Gastos Legales</v>
      </c>
      <c r="H106" s="401">
        <f t="shared" si="16"/>
        <v>0</v>
      </c>
      <c r="I106" s="390">
        <f t="shared" si="14"/>
        <v>0</v>
      </c>
      <c r="J106" s="383">
        <f>IFERROR(I106/SUM(PROD!L103:L109),0)</f>
        <v>0</v>
      </c>
      <c r="K106" s="384">
        <f>IFERROR(J106/SUM(E102:E108,J102:J108,O102:O107),0)</f>
        <v>0</v>
      </c>
      <c r="L106" s="439" t="str">
        <f>$L$8</f>
        <v>Fletes</v>
      </c>
      <c r="M106" s="401">
        <f t="shared" si="22"/>
        <v>0</v>
      </c>
      <c r="N106" s="404">
        <f>M106*0.230769230769231</f>
        <v>0</v>
      </c>
      <c r="O106" s="383">
        <f>IFERROR(N106/SUM(PROD!L103:L109),0)</f>
        <v>0</v>
      </c>
      <c r="P106" s="384">
        <f>IFERROR(O106/SUM(E102:E108,J102:J108,O102:O107),0)</f>
        <v>0</v>
      </c>
      <c r="Q106" s="491" t="str">
        <f>$Q$8</f>
        <v>B</v>
      </c>
      <c r="R106" s="392">
        <f t="shared" si="17"/>
        <v>0</v>
      </c>
      <c r="S106" s="870">
        <f>SUM(PROD!AQ103:AQ109)</f>
        <v>0</v>
      </c>
      <c r="T106" s="492">
        <f>IF(AA102&gt;0,S106/AA102,0)</f>
        <v>0</v>
      </c>
      <c r="U106" s="395" t="str">
        <f>$U$8</f>
        <v>Rev. Gr.</v>
      </c>
      <c r="V106" s="412">
        <f t="shared" si="18"/>
        <v>0</v>
      </c>
      <c r="W106" s="873">
        <f>SUM(PROD!AT103:AT109)</f>
        <v>0</v>
      </c>
      <c r="X106" s="413">
        <f>IFERROR(W106/(AA107-AA105),0)</f>
        <v>0</v>
      </c>
      <c r="Y106" s="414" t="s">
        <v>262</v>
      </c>
      <c r="Z106" s="415">
        <f>IFERROR(SUMPRODUCT(V106:V108,W106:W108)/SUM(W106:W108),0)</f>
        <v>0</v>
      </c>
      <c r="AA106" s="416">
        <f>SUM(W106:W108)</f>
        <v>0</v>
      </c>
      <c r="AB106" s="497">
        <f>IF(AA107&gt;0,AA106/AA107,0)</f>
        <v>0</v>
      </c>
    </row>
    <row r="107" spans="1:28" ht="15.75" customHeight="1" x14ac:dyDescent="0.3">
      <c r="A107" s="2301"/>
      <c r="B107" s="438" t="str">
        <f>$B$9</f>
        <v>Vacunas y medicamentos</v>
      </c>
      <c r="C107" s="443">
        <f>C100</f>
        <v>0</v>
      </c>
      <c r="D107" s="387">
        <f>C107*12/52</f>
        <v>0</v>
      </c>
      <c r="E107" s="383">
        <f>IFERROR(D107/SUM(PROD!L103:L109),0)</f>
        <v>0</v>
      </c>
      <c r="F107" s="384">
        <f>IFERROR(E107/SUM(E102:E108,J102:J108,O102:O107),0)</f>
        <v>0</v>
      </c>
      <c r="G107" s="441" t="str">
        <f>$G$16</f>
        <v>Mantenimiento y Reparaciones</v>
      </c>
      <c r="H107" s="401">
        <f t="shared" si="16"/>
        <v>0</v>
      </c>
      <c r="I107" s="390">
        <f t="shared" si="14"/>
        <v>0</v>
      </c>
      <c r="J107" s="383">
        <f>IFERROR(I107/SUM(PROD!L103:L109),0)</f>
        <v>0</v>
      </c>
      <c r="K107" s="384">
        <f>IFERROR(J107/SUM(E102:E108,J102:J108,O102:O107),0)</f>
        <v>0</v>
      </c>
      <c r="L107" s="439">
        <f>$L$9</f>
        <v>0</v>
      </c>
      <c r="M107" s="401">
        <f t="shared" si="22"/>
        <v>0</v>
      </c>
      <c r="N107" s="404">
        <f>M107*0.230769230769231</f>
        <v>0</v>
      </c>
      <c r="O107" s="383">
        <f>IFERROR(N107/SUM(PROD!L103:L109),0)</f>
        <v>0</v>
      </c>
      <c r="P107" s="384">
        <f>IFERROR(O107/SUM(E102:E108,J102:J108,O102:O107),0)</f>
        <v>0</v>
      </c>
      <c r="Q107" s="491" t="str">
        <f>$Q$9</f>
        <v>C</v>
      </c>
      <c r="R107" s="392">
        <f t="shared" si="17"/>
        <v>0</v>
      </c>
      <c r="S107" s="870">
        <f>SUM(PROD!AR103:AR109)</f>
        <v>0</v>
      </c>
      <c r="T107" s="492">
        <f>IF(AA102&gt;0,S107/AA102,0)</f>
        <v>0</v>
      </c>
      <c r="U107" s="493" t="str">
        <f>$U$9</f>
        <v>Rev. Med</v>
      </c>
      <c r="V107" s="392">
        <f t="shared" si="18"/>
        <v>0</v>
      </c>
      <c r="W107" s="870">
        <f>SUM(PROD!AU103:AU109)</f>
        <v>0</v>
      </c>
      <c r="X107" s="498">
        <f>IFERROR(W107/(AA107-AA105),0)</f>
        <v>0</v>
      </c>
      <c r="Y107" s="2303" t="s">
        <v>325</v>
      </c>
      <c r="Z107" s="2305">
        <f>SUMPRODUCT(Z102:Z106,AB102:AB106)</f>
        <v>0</v>
      </c>
      <c r="AA107" s="2307">
        <f>SUM(AA102:AA105)</f>
        <v>0</v>
      </c>
      <c r="AB107" s="2308"/>
    </row>
    <row r="108" spans="1:28" ht="16.5" customHeight="1" thickBot="1" x14ac:dyDescent="0.35">
      <c r="A108" s="2302"/>
      <c r="B108" s="444" t="str">
        <f>$B$10</f>
        <v>Gastos de Personal</v>
      </c>
      <c r="C108" s="445">
        <f>C101</f>
        <v>0</v>
      </c>
      <c r="D108" s="421">
        <f>C108*12/52</f>
        <v>0</v>
      </c>
      <c r="E108" s="446">
        <f>IFERROR(D108/SUM(PROD!L103:L109),0)</f>
        <v>0</v>
      </c>
      <c r="F108" s="447">
        <f>IFERROR(E108/SUM(E102:E108,J102:J108,O102:O107),0)</f>
        <v>0</v>
      </c>
      <c r="G108" s="448" t="str">
        <f>$G$17</f>
        <v>Adecuación Instalaciones</v>
      </c>
      <c r="H108" s="445">
        <f t="shared" si="16"/>
        <v>0</v>
      </c>
      <c r="I108" s="426">
        <f t="shared" si="14"/>
        <v>0</v>
      </c>
      <c r="J108" s="446">
        <f>IFERROR(I108/SUM(PROD!L103:L109),0)</f>
        <v>0</v>
      </c>
      <c r="K108" s="447">
        <f>IFERROR(J108/SUM(E102:E108,J102:J108,O102:O107),0)</f>
        <v>0</v>
      </c>
      <c r="L108" s="2311" t="str">
        <f>$L$10</f>
        <v>TOTAL COSTO PRODUCCIÓN</v>
      </c>
      <c r="M108" s="2312"/>
      <c r="N108" s="427">
        <f>SUM(D102:D108,I102:I108,N102:N107)</f>
        <v>0</v>
      </c>
      <c r="O108" s="449">
        <f>IFERROR(N108/SUM(PROD!L103:L109),0)</f>
        <v>0</v>
      </c>
      <c r="P108" s="447">
        <f>IFERROR(O108/SUM(E102:E108,J102:J108,O102:O107),0)</f>
        <v>0</v>
      </c>
      <c r="Q108" s="429" t="str">
        <f>$Q$10</f>
        <v>D</v>
      </c>
      <c r="R108" s="499">
        <f t="shared" si="17"/>
        <v>0</v>
      </c>
      <c r="S108" s="871">
        <f>SUM(PROD!AS103:AS109)</f>
        <v>0</v>
      </c>
      <c r="T108" s="431">
        <f>IF(AA102&gt;0,S108/AA102,0)</f>
        <v>0</v>
      </c>
      <c r="U108" s="432" t="str">
        <f>$U$10</f>
        <v>Rev. Peq</v>
      </c>
      <c r="V108" s="499">
        <f t="shared" si="18"/>
        <v>0</v>
      </c>
      <c r="W108" s="871">
        <f>SUM(PROD!AV103:AV109)</f>
        <v>0</v>
      </c>
      <c r="X108" s="431">
        <f>IFERROR(W108/(AA107-AA105),0)</f>
        <v>0</v>
      </c>
      <c r="Y108" s="2304"/>
      <c r="Z108" s="2306"/>
      <c r="AA108" s="2309"/>
      <c r="AB108" s="2310"/>
    </row>
    <row r="109" spans="1:28" ht="16.5" customHeight="1" x14ac:dyDescent="0.3">
      <c r="A109" s="2300">
        <f>A102+1</f>
        <v>33</v>
      </c>
      <c r="B109" s="433" t="str">
        <f>$B$4</f>
        <v>ALIMENTO Kilos</v>
      </c>
      <c r="C109" s="435">
        <f>LOOKUP($A109,PROD!$A$5:$A$725,PROD!$AH$10:$AH$730)</f>
        <v>0</v>
      </c>
      <c r="D109" s="368">
        <f>C109*LOOKUP($A109,'Pr-Sem'!$A$6:$A$108,'Pr-Sem'!$N$6:$N$108)/(PROD!$A$1/1000)</f>
        <v>0</v>
      </c>
      <c r="E109" s="369">
        <f>IFERROR(D109/SUM(PROD!L110:L116),0)</f>
        <v>0</v>
      </c>
      <c r="F109" s="370">
        <f>IFERROR(E109/SUM(E109:E115,J109:J115,O109:O114),0)</f>
        <v>0</v>
      </c>
      <c r="G109" s="434" t="str">
        <f>$G$11</f>
        <v>Honorarios</v>
      </c>
      <c r="H109" s="435">
        <f t="shared" si="16"/>
        <v>0</v>
      </c>
      <c r="I109" s="372">
        <f t="shared" si="14"/>
        <v>0</v>
      </c>
      <c r="J109" s="369">
        <f>IFERROR(I109/SUM(PROD!L110:L116),0)</f>
        <v>0</v>
      </c>
      <c r="K109" s="370">
        <f>IFERROR(J109/SUM(E109:E115,J109:J115,O109:O114),0)</f>
        <v>0</v>
      </c>
      <c r="L109" s="436" t="str">
        <f>$L$4</f>
        <v>Gastos de Viaje</v>
      </c>
      <c r="M109" s="435">
        <f t="shared" ref="M109:M114" si="23">M102</f>
        <v>0</v>
      </c>
      <c r="N109" s="372">
        <f>M109*12/52</f>
        <v>0</v>
      </c>
      <c r="O109" s="369">
        <f>IFERROR(N109/SUM(PROD!L110:L116),0)</f>
        <v>0</v>
      </c>
      <c r="P109" s="370">
        <f>IFERROR(O109/SUM(E109:E115,J109:J115,O109:O114),0)</f>
        <v>0</v>
      </c>
      <c r="Q109" s="373" t="str">
        <f>$Q$4</f>
        <v>AAAA</v>
      </c>
      <c r="R109" s="374">
        <f t="shared" si="17"/>
        <v>0</v>
      </c>
      <c r="S109" s="869">
        <f>SUM(PROD!AM110:AM116)</f>
        <v>0</v>
      </c>
      <c r="T109" s="375">
        <f>IF(AA109&gt;0,S109/AA109,0)</f>
        <v>0</v>
      </c>
      <c r="U109" s="376" t="str">
        <f>$U$4</f>
        <v>Prob Color</v>
      </c>
      <c r="V109" s="374">
        <f t="shared" si="18"/>
        <v>0</v>
      </c>
      <c r="W109" s="869">
        <f>SUM(PROD!AW110:AW116)</f>
        <v>0</v>
      </c>
      <c r="X109" s="375">
        <f>IFERROR(W109/(AA114-AA112),0)</f>
        <v>0</v>
      </c>
      <c r="Y109" s="377" t="s">
        <v>323</v>
      </c>
      <c r="Z109" s="378">
        <f>SUMPRODUCT(R109:R115,T109:T115)</f>
        <v>0</v>
      </c>
      <c r="AA109" s="379">
        <f>SUM(S109:S115)</f>
        <v>0</v>
      </c>
      <c r="AB109" s="490">
        <f>IF(AA114&gt;0,AA109/AA114,0)</f>
        <v>0</v>
      </c>
    </row>
    <row r="110" spans="1:28" ht="15.75" customHeight="1" x14ac:dyDescent="0.3">
      <c r="A110" s="2301"/>
      <c r="B110" s="438" t="str">
        <f>$B$5</f>
        <v>Amortización de Aves</v>
      </c>
      <c r="C110" s="381">
        <f>IFERROR((C103-(D110/'Pr-Sem'!$O$2)),0)</f>
        <v>0</v>
      </c>
      <c r="D110" s="382">
        <f>SUM(PROD!L110:L116)*E110</f>
        <v>0</v>
      </c>
      <c r="E110" s="383">
        <f>IF(SUM(PROD!L110:L116)&gt;0,IFERROR(($C$1-$C$2)/LOOKUP($B$2,'Pr-Sem'!$A$6:$A$108,'Pr-Sem'!$L$6:$L$108)*(LOOKUP(INVENTARIOS!$A109,'Pr-Sem'!$A$6:$A$108,'Pr-Sem'!$L$6:$L$108)-LOOKUP(INVENTARIOS!$A109-1,'Pr-Sem'!$A$6:$A$108,'Pr-Sem'!$L$6:$L$108))/(LOOKUP(INVENTARIOS!$A109,'Pr-Sem'!$A$6:$A$108,'Pr-Sem'!$K$6:$K$108)-LOOKUP(INVENTARIOS!$A109-1,'Pr-Sem'!$A$6:$A$108,'Pr-Sem'!$K$6:$K$108)),0),0)</f>
        <v>0</v>
      </c>
      <c r="F110" s="384">
        <f>IFERROR(E110/SUM(E109:E115,J109:J115,O109:O114),0)</f>
        <v>0</v>
      </c>
      <c r="G110" s="439" t="str">
        <f>$G$12</f>
        <v>Impuestos</v>
      </c>
      <c r="H110" s="440">
        <f t="shared" si="16"/>
        <v>0</v>
      </c>
      <c r="I110" s="387">
        <f t="shared" si="14"/>
        <v>0</v>
      </c>
      <c r="J110" s="383">
        <f>IFERROR(I110/SUM(PROD!L110:L116),0)</f>
        <v>0</v>
      </c>
      <c r="K110" s="384">
        <f>IFERROR(J110/SUM(E109:E115,J109:J115,O109:O114),0)</f>
        <v>0</v>
      </c>
      <c r="L110" s="439" t="str">
        <f>$L$5</f>
        <v>Depreciaciones</v>
      </c>
      <c r="M110" s="401">
        <f t="shared" si="23"/>
        <v>0</v>
      </c>
      <c r="N110" s="390">
        <f>M110*12/52</f>
        <v>0</v>
      </c>
      <c r="O110" s="383">
        <f>IFERROR(N110/SUM(PROD!L110:L116),0)</f>
        <v>0</v>
      </c>
      <c r="P110" s="384">
        <f>IFERROR(O110/SUM(E109:E115,J109:J115,O109:O114),0)</f>
        <v>0</v>
      </c>
      <c r="Q110" s="491" t="str">
        <f>$Q$5</f>
        <v>AAA</v>
      </c>
      <c r="R110" s="392">
        <f t="shared" si="17"/>
        <v>0</v>
      </c>
      <c r="S110" s="870">
        <f>SUM(PROD!AN110:AN116)</f>
        <v>0</v>
      </c>
      <c r="T110" s="492">
        <f>IF(AA109&gt;0,S110/AA109,0)</f>
        <v>0</v>
      </c>
      <c r="U110" s="493" t="str">
        <f>$U$5</f>
        <v>Prob Cásc</v>
      </c>
      <c r="V110" s="392">
        <f t="shared" si="18"/>
        <v>0</v>
      </c>
      <c r="W110" s="870">
        <f>SUM(PROD!AX110:AX116)</f>
        <v>0</v>
      </c>
      <c r="X110" s="492">
        <f>IFERROR(W110/(AA114-AA112),0)</f>
        <v>0</v>
      </c>
      <c r="Y110" s="395" t="s">
        <v>324</v>
      </c>
      <c r="Z110" s="396">
        <f>IFERROR(SUMPRODUCT(V109:V112,W109:W112)/SUM(W109:W112),0)</f>
        <v>0</v>
      </c>
      <c r="AA110" s="397">
        <f>SUM(W109:W112)</f>
        <v>0</v>
      </c>
      <c r="AB110" s="494">
        <f>IF(AA114&gt;0,AA110/AA114,0)</f>
        <v>0</v>
      </c>
    </row>
    <row r="111" spans="1:28" ht="15.75" customHeight="1" x14ac:dyDescent="0.3">
      <c r="A111" s="2301"/>
      <c r="B111" s="399" t="str">
        <f>$B$6</f>
        <v>Bandeja</v>
      </c>
      <c r="C111" s="400">
        <f>C104</f>
        <v>0</v>
      </c>
      <c r="D111" s="387">
        <f>C111*SUM(INVENTARIOS!R109:R115)</f>
        <v>0</v>
      </c>
      <c r="E111" s="383">
        <f>IFERROR(D111/SUM(PROD!L110:L116),0)</f>
        <v>0</v>
      </c>
      <c r="F111" s="384">
        <f>IFERROR(E111/SUM(E109:E115,J109:J115,O109:O114),0)</f>
        <v>0</v>
      </c>
      <c r="G111" s="439" t="str">
        <f>$G$13</f>
        <v>Arrendamientos</v>
      </c>
      <c r="H111" s="401">
        <f t="shared" si="16"/>
        <v>0</v>
      </c>
      <c r="I111" s="390">
        <f t="shared" si="14"/>
        <v>0</v>
      </c>
      <c r="J111" s="383">
        <f>IFERROR(I111/SUM(PROD!L110:L116),0)</f>
        <v>0</v>
      </c>
      <c r="K111" s="384">
        <f>IFERROR(J111/SUM(E109:E115,J109:J115,O109:O114),0)</f>
        <v>0</v>
      </c>
      <c r="L111" s="439" t="str">
        <f>$L$6</f>
        <v>Diversos</v>
      </c>
      <c r="M111" s="401">
        <f t="shared" si="23"/>
        <v>0</v>
      </c>
      <c r="N111" s="390">
        <f>M111*12/52</f>
        <v>0</v>
      </c>
      <c r="O111" s="383">
        <f>IFERROR(N111/SUM(PROD!L110:L116),0)</f>
        <v>0</v>
      </c>
      <c r="P111" s="384">
        <f>IFERROR(O111/SUM(E109:E115,J109:J115,O109:O114),0)</f>
        <v>0</v>
      </c>
      <c r="Q111" s="491" t="str">
        <f>$Q$6</f>
        <v>AA</v>
      </c>
      <c r="R111" s="392">
        <f t="shared" si="17"/>
        <v>0</v>
      </c>
      <c r="S111" s="870">
        <f>SUM(PROD!AO110:AO116)</f>
        <v>0</v>
      </c>
      <c r="T111" s="492">
        <f>IF(AA109&gt;0,S111/AA109,0)</f>
        <v>0</v>
      </c>
      <c r="U111" s="493" t="str">
        <f>$U$6</f>
        <v>Vencido</v>
      </c>
      <c r="V111" s="392">
        <f t="shared" si="18"/>
        <v>0</v>
      </c>
      <c r="W111" s="870">
        <f>SUM(PROD!AY110:AY116)</f>
        <v>0</v>
      </c>
      <c r="X111" s="492">
        <f>IFERROR(W111/(AA114-AA112),0)</f>
        <v>0</v>
      </c>
      <c r="Y111" s="402" t="s">
        <v>391</v>
      </c>
      <c r="Z111" s="456">
        <v>0</v>
      </c>
      <c r="AA111" s="720"/>
      <c r="AB111" s="495">
        <f>IF(AA114&gt;0,AA111/AA114,0)</f>
        <v>0</v>
      </c>
    </row>
    <row r="112" spans="1:28" ht="15.75" customHeight="1" x14ac:dyDescent="0.3">
      <c r="A112" s="2301"/>
      <c r="B112" s="438" t="str">
        <f>$B$7</f>
        <v>Mortalidad Aves</v>
      </c>
      <c r="C112" s="401">
        <f>IF(A109&lt;=$B$2,C110+$C$2,0)</f>
        <v>0</v>
      </c>
      <c r="D112" s="390">
        <f>C112*SUM(PROD!D110:D116)</f>
        <v>0</v>
      </c>
      <c r="E112" s="383">
        <f>IFERROR(D112/SUM(PROD!L110:L116),0)</f>
        <v>0</v>
      </c>
      <c r="F112" s="384">
        <f>IFERROR(E112/SUM(E109:E115,J109:J115,O109:O114),0)</f>
        <v>0</v>
      </c>
      <c r="G112" s="439" t="str">
        <f>$G$14</f>
        <v>Servicios Públicos</v>
      </c>
      <c r="H112" s="401">
        <f t="shared" si="16"/>
        <v>0</v>
      </c>
      <c r="I112" s="390">
        <f t="shared" si="14"/>
        <v>0</v>
      </c>
      <c r="J112" s="383">
        <f>IFERROR(I112/SUM(PROD!L110:L116),0)</f>
        <v>0</v>
      </c>
      <c r="K112" s="384">
        <f>IFERROR(J112/SUM(E109:E115,J109:J115,O109:O114),0)</f>
        <v>0</v>
      </c>
      <c r="L112" s="441" t="str">
        <f>$L$7</f>
        <v>Administrativos</v>
      </c>
      <c r="M112" s="401">
        <f t="shared" si="23"/>
        <v>0</v>
      </c>
      <c r="N112" s="404">
        <f>M112*0.230769230769231</f>
        <v>0</v>
      </c>
      <c r="O112" s="383">
        <f>IFERROR(N112/SUM(PROD!L110:L116),0)</f>
        <v>0</v>
      </c>
      <c r="P112" s="384">
        <f>IFERROR(O112/SUM(E109:E115,J109:J115,O109:O114),0)</f>
        <v>0</v>
      </c>
      <c r="Q112" s="491" t="str">
        <f>$Q$7</f>
        <v>A</v>
      </c>
      <c r="R112" s="392">
        <f t="shared" si="17"/>
        <v>0</v>
      </c>
      <c r="S112" s="870">
        <f>SUM(PROD!AP110:AP116)</f>
        <v>0</v>
      </c>
      <c r="T112" s="492">
        <f>IF(AA109&gt;0,S112/AA109,0)</f>
        <v>0</v>
      </c>
      <c r="U112" s="405" t="str">
        <f>$U$7</f>
        <v>Roto</v>
      </c>
      <c r="V112" s="406">
        <f t="shared" si="18"/>
        <v>0</v>
      </c>
      <c r="W112" s="872">
        <f>SUM(PROD!AZ110:AZ116)</f>
        <v>0</v>
      </c>
      <c r="X112" s="407">
        <f>IFERROR(W112/(AA114-AA112),0)</f>
        <v>0</v>
      </c>
      <c r="Y112" s="408" t="s">
        <v>359</v>
      </c>
      <c r="Z112" s="442">
        <v>215</v>
      </c>
      <c r="AA112" s="410">
        <f>SUM(PROD!L110:L116)-SUM(W109:W115)-SUM(S109:S115)-AA111</f>
        <v>0</v>
      </c>
      <c r="AB112" s="496">
        <f>IF(AA114&gt;0,AA112/AA114,0)</f>
        <v>0</v>
      </c>
    </row>
    <row r="113" spans="1:28" ht="15.75" customHeight="1" x14ac:dyDescent="0.3">
      <c r="A113" s="2301"/>
      <c r="B113" s="399" t="str">
        <f>$B$8</f>
        <v>Materia Prima (Carb Ca, etc.)</v>
      </c>
      <c r="C113" s="440">
        <f>C106</f>
        <v>0</v>
      </c>
      <c r="D113" s="387">
        <f>C113*12/52</f>
        <v>0</v>
      </c>
      <c r="E113" s="383">
        <f>IFERROR(D113/SUM(PROD!L110:L116),0)</f>
        <v>0</v>
      </c>
      <c r="F113" s="384">
        <f>IFERROR(E113/SUM(E109:E115,J109:J115,O109:O114),0)</f>
        <v>0</v>
      </c>
      <c r="G113" s="441" t="str">
        <f>$G$15</f>
        <v>Gastos Legales</v>
      </c>
      <c r="H113" s="401">
        <f t="shared" si="16"/>
        <v>0</v>
      </c>
      <c r="I113" s="390">
        <f t="shared" si="14"/>
        <v>0</v>
      </c>
      <c r="J113" s="383">
        <f>IFERROR(I113/SUM(PROD!L110:L116),0)</f>
        <v>0</v>
      </c>
      <c r="K113" s="384">
        <f>IFERROR(J113/SUM(E109:E115,J109:J115,O109:O114),0)</f>
        <v>0</v>
      </c>
      <c r="L113" s="439" t="str">
        <f>$L$8</f>
        <v>Fletes</v>
      </c>
      <c r="M113" s="401">
        <f t="shared" si="23"/>
        <v>0</v>
      </c>
      <c r="N113" s="404">
        <f>M113*0.230769230769231</f>
        <v>0</v>
      </c>
      <c r="O113" s="383">
        <f>IFERROR(N113/SUM(PROD!L110:L116),0)</f>
        <v>0</v>
      </c>
      <c r="P113" s="384">
        <f>IFERROR(O113/SUM(E109:E115,J109:J115,O109:O114),0)</f>
        <v>0</v>
      </c>
      <c r="Q113" s="491" t="str">
        <f>$Q$8</f>
        <v>B</v>
      </c>
      <c r="R113" s="392">
        <f t="shared" si="17"/>
        <v>0</v>
      </c>
      <c r="S113" s="870">
        <f>SUM(PROD!AQ110:AQ116)</f>
        <v>0</v>
      </c>
      <c r="T113" s="492">
        <f>IF(AA109&gt;0,S113/AA109,0)</f>
        <v>0</v>
      </c>
      <c r="U113" s="395" t="str">
        <f>$U$8</f>
        <v>Rev. Gr.</v>
      </c>
      <c r="V113" s="412">
        <f t="shared" si="18"/>
        <v>0</v>
      </c>
      <c r="W113" s="873">
        <f>SUM(PROD!AT110:AT116)</f>
        <v>0</v>
      </c>
      <c r="X113" s="413">
        <f>IFERROR(W113/(AA114-AA112),0)</f>
        <v>0</v>
      </c>
      <c r="Y113" s="414" t="s">
        <v>262</v>
      </c>
      <c r="Z113" s="415">
        <f>IFERROR(SUMPRODUCT(V113:V115,W113:W115)/SUM(W113:W115),0)</f>
        <v>0</v>
      </c>
      <c r="AA113" s="416">
        <f>SUM(W113:W115)</f>
        <v>0</v>
      </c>
      <c r="AB113" s="497">
        <f>IF(AA114&gt;0,AA113/AA114,0)</f>
        <v>0</v>
      </c>
    </row>
    <row r="114" spans="1:28" ht="15.75" customHeight="1" x14ac:dyDescent="0.3">
      <c r="A114" s="2301"/>
      <c r="B114" s="438" t="str">
        <f>$B$9</f>
        <v>Vacunas y medicamentos</v>
      </c>
      <c r="C114" s="443">
        <f>C107</f>
        <v>0</v>
      </c>
      <c r="D114" s="387">
        <f>C114*12/52</f>
        <v>0</v>
      </c>
      <c r="E114" s="383">
        <f>IFERROR(D114/SUM(PROD!L110:L116),0)</f>
        <v>0</v>
      </c>
      <c r="F114" s="384">
        <f>IFERROR(E114/SUM(E109:E115,J109:J115,O109:O114),0)</f>
        <v>0</v>
      </c>
      <c r="G114" s="441" t="str">
        <f>$G$16</f>
        <v>Mantenimiento y Reparaciones</v>
      </c>
      <c r="H114" s="401">
        <f t="shared" si="16"/>
        <v>0</v>
      </c>
      <c r="I114" s="390">
        <f t="shared" si="14"/>
        <v>0</v>
      </c>
      <c r="J114" s="383">
        <f>IFERROR(I114/SUM(PROD!L110:L116),0)</f>
        <v>0</v>
      </c>
      <c r="K114" s="384">
        <f>IFERROR(J114/SUM(E109:E115,J109:J115,O109:O114),0)</f>
        <v>0</v>
      </c>
      <c r="L114" s="439">
        <f>$L$9</f>
        <v>0</v>
      </c>
      <c r="M114" s="401">
        <f t="shared" si="23"/>
        <v>0</v>
      </c>
      <c r="N114" s="404">
        <f>M114*0.230769230769231</f>
        <v>0</v>
      </c>
      <c r="O114" s="383">
        <f>IFERROR(N114/SUM(PROD!L110:L116),0)</f>
        <v>0</v>
      </c>
      <c r="P114" s="384">
        <f>IFERROR(O114/SUM(E109:E115,J109:J115,O109:O114),0)</f>
        <v>0</v>
      </c>
      <c r="Q114" s="491" t="str">
        <f>$Q$9</f>
        <v>C</v>
      </c>
      <c r="R114" s="392">
        <f t="shared" si="17"/>
        <v>0</v>
      </c>
      <c r="S114" s="870">
        <f>SUM(PROD!AR110:AR116)</f>
        <v>0</v>
      </c>
      <c r="T114" s="492">
        <f>IF(AA109&gt;0,S114/AA109,0)</f>
        <v>0</v>
      </c>
      <c r="U114" s="493" t="str">
        <f>$U$9</f>
        <v>Rev. Med</v>
      </c>
      <c r="V114" s="392">
        <f t="shared" si="18"/>
        <v>0</v>
      </c>
      <c r="W114" s="870">
        <f>SUM(PROD!AU110:AU116)</f>
        <v>0</v>
      </c>
      <c r="X114" s="498">
        <f>IFERROR(W114/(AA114-AA112),0)</f>
        <v>0</v>
      </c>
      <c r="Y114" s="2303" t="s">
        <v>325</v>
      </c>
      <c r="Z114" s="2305">
        <f>SUMPRODUCT(Z109:Z113,AB109:AB113)</f>
        <v>0</v>
      </c>
      <c r="AA114" s="2307">
        <f>SUM(AA109:AA112)</f>
        <v>0</v>
      </c>
      <c r="AB114" s="2308"/>
    </row>
    <row r="115" spans="1:28" ht="16.5" customHeight="1" thickBot="1" x14ac:dyDescent="0.35">
      <c r="A115" s="2302"/>
      <c r="B115" s="444" t="str">
        <f>$B$10</f>
        <v>Gastos de Personal</v>
      </c>
      <c r="C115" s="445">
        <f>C108</f>
        <v>0</v>
      </c>
      <c r="D115" s="421">
        <f>C115*12/52</f>
        <v>0</v>
      </c>
      <c r="E115" s="446">
        <f>IFERROR(D115/SUM(PROD!L110:L116),0)</f>
        <v>0</v>
      </c>
      <c r="F115" s="447">
        <f>IFERROR(E115/SUM(E109:E115,J109:J115,O109:O114),0)</f>
        <v>0</v>
      </c>
      <c r="G115" s="448" t="str">
        <f>$G$17</f>
        <v>Adecuación Instalaciones</v>
      </c>
      <c r="H115" s="445">
        <f t="shared" si="16"/>
        <v>0</v>
      </c>
      <c r="I115" s="426">
        <f t="shared" si="14"/>
        <v>0</v>
      </c>
      <c r="J115" s="446">
        <f>IFERROR(I115/SUM(PROD!L110:L116),0)</f>
        <v>0</v>
      </c>
      <c r="K115" s="447">
        <f>IFERROR(J115/SUM(E109:E115,J109:J115,O109:O114),0)</f>
        <v>0</v>
      </c>
      <c r="L115" s="2311" t="str">
        <f>$L$10</f>
        <v>TOTAL COSTO PRODUCCIÓN</v>
      </c>
      <c r="M115" s="2312"/>
      <c r="N115" s="427">
        <f>SUM(D109:D115,I109:I115,N109:N114)</f>
        <v>0</v>
      </c>
      <c r="O115" s="449">
        <f>IFERROR(N115/SUM(PROD!L110:L116),0)</f>
        <v>0</v>
      </c>
      <c r="P115" s="447">
        <f>IFERROR(O115/SUM(E109:E115,J109:J115,O109:O114),0)</f>
        <v>0</v>
      </c>
      <c r="Q115" s="429" t="str">
        <f>$Q$10</f>
        <v>D</v>
      </c>
      <c r="R115" s="499">
        <f t="shared" si="17"/>
        <v>0</v>
      </c>
      <c r="S115" s="871">
        <f>SUM(PROD!AS110:AS116)</f>
        <v>0</v>
      </c>
      <c r="T115" s="431">
        <f>IF(AA109&gt;0,S115/AA109,0)</f>
        <v>0</v>
      </c>
      <c r="U115" s="432" t="str">
        <f>$U$10</f>
        <v>Rev. Peq</v>
      </c>
      <c r="V115" s="499">
        <f t="shared" si="18"/>
        <v>0</v>
      </c>
      <c r="W115" s="871">
        <f>SUM(PROD!AV110:AV116)</f>
        <v>0</v>
      </c>
      <c r="X115" s="431">
        <f>IFERROR(W115/(AA114-AA112),0)</f>
        <v>0</v>
      </c>
      <c r="Y115" s="2304"/>
      <c r="Z115" s="2306"/>
      <c r="AA115" s="2309"/>
      <c r="AB115" s="2310"/>
    </row>
    <row r="116" spans="1:28" ht="16.5" customHeight="1" x14ac:dyDescent="0.3">
      <c r="A116" s="2300">
        <f>A109+1</f>
        <v>34</v>
      </c>
      <c r="B116" s="433" t="str">
        <f>$B$4</f>
        <v>ALIMENTO Kilos</v>
      </c>
      <c r="C116" s="435">
        <f>LOOKUP($A116,PROD!$A$5:$A$725,PROD!$AH$10:$AH$730)</f>
        <v>0</v>
      </c>
      <c r="D116" s="368">
        <f>C116*LOOKUP($A116,'Pr-Sem'!$A$6:$A$108,'Pr-Sem'!$N$6:$N$108)/(PROD!$A$1/1000)</f>
        <v>0</v>
      </c>
      <c r="E116" s="369">
        <f>IFERROR(D116/SUM(PROD!L117:L123),0)</f>
        <v>0</v>
      </c>
      <c r="F116" s="370">
        <f>IFERROR(E116/SUM(E116:E122,J116:J122,O116:O121),0)</f>
        <v>0</v>
      </c>
      <c r="G116" s="434" t="str">
        <f>$G$11</f>
        <v>Honorarios</v>
      </c>
      <c r="H116" s="435">
        <f t="shared" si="16"/>
        <v>0</v>
      </c>
      <c r="I116" s="372">
        <f t="shared" si="14"/>
        <v>0</v>
      </c>
      <c r="J116" s="369">
        <f>IFERROR(I116/SUM(PROD!L117:L123),0)</f>
        <v>0</v>
      </c>
      <c r="K116" s="370">
        <f>IFERROR(J116/SUM(E116:E122,J116:J122,O116:O121),0)</f>
        <v>0</v>
      </c>
      <c r="L116" s="436" t="str">
        <f>$L$4</f>
        <v>Gastos de Viaje</v>
      </c>
      <c r="M116" s="435">
        <f t="shared" ref="M116:M121" si="24">M109</f>
        <v>0</v>
      </c>
      <c r="N116" s="372">
        <f>M116*12/52</f>
        <v>0</v>
      </c>
      <c r="O116" s="369">
        <f>IFERROR(N116/SUM(PROD!L117:L123),0)</f>
        <v>0</v>
      </c>
      <c r="P116" s="370">
        <f>IFERROR(O116/SUM(E116:E122,J116:J122,O116:O121),0)</f>
        <v>0</v>
      </c>
      <c r="Q116" s="373" t="str">
        <f>$Q$4</f>
        <v>AAAA</v>
      </c>
      <c r="R116" s="374">
        <f t="shared" si="17"/>
        <v>0</v>
      </c>
      <c r="S116" s="869">
        <f>SUM(PROD!AM117:AM123)</f>
        <v>0</v>
      </c>
      <c r="T116" s="375">
        <f>IF(AA116&gt;0,S116/AA116,0)</f>
        <v>0</v>
      </c>
      <c r="U116" s="376" t="str">
        <f>$U$4</f>
        <v>Prob Color</v>
      </c>
      <c r="V116" s="374">
        <f t="shared" si="18"/>
        <v>0</v>
      </c>
      <c r="W116" s="869">
        <f>SUM(PROD!AW117:AW123)</f>
        <v>0</v>
      </c>
      <c r="X116" s="375">
        <f>IFERROR(W116/(AA121-AA119),0)</f>
        <v>0</v>
      </c>
      <c r="Y116" s="377" t="s">
        <v>323</v>
      </c>
      <c r="Z116" s="378">
        <f>SUMPRODUCT(R116:R122,T116:T122)</f>
        <v>0</v>
      </c>
      <c r="AA116" s="379">
        <f>SUM(S116:S122)</f>
        <v>0</v>
      </c>
      <c r="AB116" s="490">
        <f>IF(AA121&gt;0,AA116/AA121,0)</f>
        <v>0</v>
      </c>
    </row>
    <row r="117" spans="1:28" ht="15.75" customHeight="1" x14ac:dyDescent="0.3">
      <c r="A117" s="2301"/>
      <c r="B117" s="438" t="str">
        <f>$B$5</f>
        <v>Amortización de Aves</v>
      </c>
      <c r="C117" s="381">
        <f>IFERROR((C110-(D117/'Pr-Sem'!$O$2)),0)</f>
        <v>0</v>
      </c>
      <c r="D117" s="382">
        <f>SUM(PROD!L117:L123)*E117</f>
        <v>0</v>
      </c>
      <c r="E117" s="383">
        <f>IF(SUM(PROD!L117:L123)&gt;0,IFERROR(($C$1-$C$2)/LOOKUP($B$2,'Pr-Sem'!$A$6:$A$108,'Pr-Sem'!$L$6:$L$108)*(LOOKUP(INVENTARIOS!$A116,'Pr-Sem'!$A$6:$A$108,'Pr-Sem'!$L$6:$L$108)-LOOKUP(INVENTARIOS!$A116-1,'Pr-Sem'!$A$6:$A$108,'Pr-Sem'!$L$6:$L$108))/(LOOKUP(INVENTARIOS!$A116,'Pr-Sem'!$A$6:$A$108,'Pr-Sem'!$K$6:$K$108)-LOOKUP(INVENTARIOS!$A116-1,'Pr-Sem'!$A$6:$A$108,'Pr-Sem'!$K$6:$K$108)),0),0)</f>
        <v>0</v>
      </c>
      <c r="F117" s="384">
        <f>IFERROR(E117/SUM(E116:E122,J116:J122,O116:O121),0)</f>
        <v>0</v>
      </c>
      <c r="G117" s="439" t="str">
        <f>$G$12</f>
        <v>Impuestos</v>
      </c>
      <c r="H117" s="440">
        <f t="shared" si="16"/>
        <v>0</v>
      </c>
      <c r="I117" s="387">
        <f t="shared" si="14"/>
        <v>0</v>
      </c>
      <c r="J117" s="383">
        <f>IFERROR(I117/SUM(PROD!L117:L123),0)</f>
        <v>0</v>
      </c>
      <c r="K117" s="384">
        <f>IFERROR(J117/SUM(E116:E122,J116:J122,O116:O121),0)</f>
        <v>0</v>
      </c>
      <c r="L117" s="439" t="str">
        <f>$L$5</f>
        <v>Depreciaciones</v>
      </c>
      <c r="M117" s="401">
        <f t="shared" si="24"/>
        <v>0</v>
      </c>
      <c r="N117" s="390">
        <f>M117*12/52</f>
        <v>0</v>
      </c>
      <c r="O117" s="383">
        <f>IFERROR(N117/SUM(PROD!L117:L123),0)</f>
        <v>0</v>
      </c>
      <c r="P117" s="384">
        <f>IFERROR(O117/SUM(E116:E122,J116:J122,O116:O121),0)</f>
        <v>0</v>
      </c>
      <c r="Q117" s="491" t="str">
        <f>$Q$5</f>
        <v>AAA</v>
      </c>
      <c r="R117" s="392">
        <f t="shared" si="17"/>
        <v>0</v>
      </c>
      <c r="S117" s="870">
        <f>SUM(PROD!AN117:AN123)</f>
        <v>0</v>
      </c>
      <c r="T117" s="492">
        <f>IF(AA116&gt;0,S117/AA116,0)</f>
        <v>0</v>
      </c>
      <c r="U117" s="493" t="str">
        <f>$U$5</f>
        <v>Prob Cásc</v>
      </c>
      <c r="V117" s="392">
        <f t="shared" si="18"/>
        <v>0</v>
      </c>
      <c r="W117" s="870">
        <f>SUM(PROD!AX117:AX123)</f>
        <v>0</v>
      </c>
      <c r="X117" s="492">
        <f>IFERROR(W117/(AA121-AA119),0)</f>
        <v>0</v>
      </c>
      <c r="Y117" s="395" t="s">
        <v>324</v>
      </c>
      <c r="Z117" s="396">
        <f>IFERROR(SUMPRODUCT(V116:V119,W116:W119)/SUM(W116:W119),0)</f>
        <v>0</v>
      </c>
      <c r="AA117" s="397">
        <f>SUM(W116:W119)</f>
        <v>0</v>
      </c>
      <c r="AB117" s="494">
        <f>IF(AA121&gt;0,AA117/AA121,0)</f>
        <v>0</v>
      </c>
    </row>
    <row r="118" spans="1:28" ht="15.75" customHeight="1" x14ac:dyDescent="0.3">
      <c r="A118" s="2301"/>
      <c r="B118" s="399" t="str">
        <f>$B$6</f>
        <v>Bandeja</v>
      </c>
      <c r="C118" s="400">
        <f>C111</f>
        <v>0</v>
      </c>
      <c r="D118" s="387">
        <f>C118*SUM(INVENTARIOS!R116:R122)</f>
        <v>0</v>
      </c>
      <c r="E118" s="383">
        <f>IFERROR(D118/SUM(PROD!L117:L123),0)</f>
        <v>0</v>
      </c>
      <c r="F118" s="384">
        <f>IFERROR(E118/SUM(E116:E122,J116:J122,O116:O121),0)</f>
        <v>0</v>
      </c>
      <c r="G118" s="439" t="str">
        <f>$G$13</f>
        <v>Arrendamientos</v>
      </c>
      <c r="H118" s="401">
        <f t="shared" si="16"/>
        <v>0</v>
      </c>
      <c r="I118" s="390">
        <f t="shared" si="14"/>
        <v>0</v>
      </c>
      <c r="J118" s="383">
        <f>IFERROR(I118/SUM(PROD!L117:L123),0)</f>
        <v>0</v>
      </c>
      <c r="K118" s="384">
        <f>IFERROR(J118/SUM(E116:E122,J116:J122,O116:O121),0)</f>
        <v>0</v>
      </c>
      <c r="L118" s="439" t="str">
        <f>$L$6</f>
        <v>Diversos</v>
      </c>
      <c r="M118" s="401">
        <f t="shared" si="24"/>
        <v>0</v>
      </c>
      <c r="N118" s="390">
        <f>M118*12/52</f>
        <v>0</v>
      </c>
      <c r="O118" s="383">
        <f>IFERROR(N118/SUM(PROD!L117:L123),0)</f>
        <v>0</v>
      </c>
      <c r="P118" s="384">
        <f>IFERROR(O118/SUM(E116:E122,J116:J122,O116:O121),0)</f>
        <v>0</v>
      </c>
      <c r="Q118" s="491" t="str">
        <f>$Q$6</f>
        <v>AA</v>
      </c>
      <c r="R118" s="392">
        <f t="shared" si="17"/>
        <v>0</v>
      </c>
      <c r="S118" s="870">
        <f>SUM(PROD!AO117:AO123)</f>
        <v>0</v>
      </c>
      <c r="T118" s="492">
        <f>IF(AA116&gt;0,S118/AA116,0)</f>
        <v>0</v>
      </c>
      <c r="U118" s="493" t="str">
        <f>$U$6</f>
        <v>Vencido</v>
      </c>
      <c r="V118" s="392">
        <f t="shared" si="18"/>
        <v>0</v>
      </c>
      <c r="W118" s="870">
        <f>SUM(PROD!AY117:AY123)</f>
        <v>0</v>
      </c>
      <c r="X118" s="492">
        <f>IFERROR(W118/(AA121-AA119),0)</f>
        <v>0</v>
      </c>
      <c r="Y118" s="402" t="s">
        <v>391</v>
      </c>
      <c r="Z118" s="456">
        <v>0</v>
      </c>
      <c r="AA118" s="720"/>
      <c r="AB118" s="495">
        <f>IF(AA121&gt;0,AA118/AA121,0)</f>
        <v>0</v>
      </c>
    </row>
    <row r="119" spans="1:28" ht="15.75" customHeight="1" x14ac:dyDescent="0.3">
      <c r="A119" s="2301"/>
      <c r="B119" s="438" t="str">
        <f>$B$7</f>
        <v>Mortalidad Aves</v>
      </c>
      <c r="C119" s="401">
        <f>IF(A116&lt;=$B$2,C117+$C$2,0)</f>
        <v>0</v>
      </c>
      <c r="D119" s="390">
        <f>C119*SUM(PROD!D117:D123)</f>
        <v>0</v>
      </c>
      <c r="E119" s="383">
        <f>IFERROR(D119/SUM(PROD!L117:L123),0)</f>
        <v>0</v>
      </c>
      <c r="F119" s="384">
        <f>IFERROR(E119/SUM(E116:E122,J116:J122,O116:O121),0)</f>
        <v>0</v>
      </c>
      <c r="G119" s="439" t="str">
        <f>$G$14</f>
        <v>Servicios Públicos</v>
      </c>
      <c r="H119" s="401">
        <f t="shared" si="16"/>
        <v>0</v>
      </c>
      <c r="I119" s="390">
        <f t="shared" si="14"/>
        <v>0</v>
      </c>
      <c r="J119" s="383">
        <f>IFERROR(I119/SUM(PROD!L117:L123),0)</f>
        <v>0</v>
      </c>
      <c r="K119" s="384">
        <f>IFERROR(J119/SUM(E116:E122,J116:J122,O116:O121),0)</f>
        <v>0</v>
      </c>
      <c r="L119" s="441" t="str">
        <f>$L$7</f>
        <v>Administrativos</v>
      </c>
      <c r="M119" s="401">
        <f t="shared" si="24"/>
        <v>0</v>
      </c>
      <c r="N119" s="404">
        <f>M119*0.230769230769231</f>
        <v>0</v>
      </c>
      <c r="O119" s="383">
        <f>IFERROR(N119/SUM(PROD!L117:L123),0)</f>
        <v>0</v>
      </c>
      <c r="P119" s="384">
        <f>IFERROR(O119/SUM(E116:E122,J116:J122,O116:O121),0)</f>
        <v>0</v>
      </c>
      <c r="Q119" s="491" t="str">
        <f>$Q$7</f>
        <v>A</v>
      </c>
      <c r="R119" s="392">
        <f t="shared" si="17"/>
        <v>0</v>
      </c>
      <c r="S119" s="870">
        <f>SUM(PROD!AP117:AP123)</f>
        <v>0</v>
      </c>
      <c r="T119" s="492">
        <f>IF(AA116&gt;0,S119/AA116,0)</f>
        <v>0</v>
      </c>
      <c r="U119" s="405" t="str">
        <f>$U$7</f>
        <v>Roto</v>
      </c>
      <c r="V119" s="406">
        <f t="shared" si="18"/>
        <v>0</v>
      </c>
      <c r="W119" s="872">
        <f>SUM(PROD!AZ117:AZ123)</f>
        <v>0</v>
      </c>
      <c r="X119" s="407">
        <f>IFERROR(W119/(AA121-AA119),0)</f>
        <v>0</v>
      </c>
      <c r="Y119" s="408" t="s">
        <v>359</v>
      </c>
      <c r="Z119" s="442">
        <v>215</v>
      </c>
      <c r="AA119" s="410">
        <f>SUM(PROD!L117:L123)-SUM(W116:W122)-SUM(S116:S122)-AA118</f>
        <v>0</v>
      </c>
      <c r="AB119" s="496">
        <f>IF(AA121&gt;0,AA119/AA121,0)</f>
        <v>0</v>
      </c>
    </row>
    <row r="120" spans="1:28" ht="15.75" customHeight="1" x14ac:dyDescent="0.3">
      <c r="A120" s="2301"/>
      <c r="B120" s="399" t="str">
        <f>$B$8</f>
        <v>Materia Prima (Carb Ca, etc.)</v>
      </c>
      <c r="C120" s="440">
        <f>C113</f>
        <v>0</v>
      </c>
      <c r="D120" s="387">
        <f>C120*12/52</f>
        <v>0</v>
      </c>
      <c r="E120" s="383">
        <f>IFERROR(D120/SUM(PROD!L117:L123),0)</f>
        <v>0</v>
      </c>
      <c r="F120" s="384">
        <f>IFERROR(E120/SUM(E116:E122,J116:J122,O116:O121),0)</f>
        <v>0</v>
      </c>
      <c r="G120" s="441" t="str">
        <f>$G$15</f>
        <v>Gastos Legales</v>
      </c>
      <c r="H120" s="401">
        <f t="shared" si="16"/>
        <v>0</v>
      </c>
      <c r="I120" s="390">
        <f t="shared" si="14"/>
        <v>0</v>
      </c>
      <c r="J120" s="383">
        <f>IFERROR(I120/SUM(PROD!L117:L123),0)</f>
        <v>0</v>
      </c>
      <c r="K120" s="384">
        <f>IFERROR(J120/SUM(E116:E122,J116:J122,O116:O121),0)</f>
        <v>0</v>
      </c>
      <c r="L120" s="439" t="str">
        <f>$L$8</f>
        <v>Fletes</v>
      </c>
      <c r="M120" s="401">
        <f t="shared" si="24"/>
        <v>0</v>
      </c>
      <c r="N120" s="404">
        <f>M120*0.230769230769231</f>
        <v>0</v>
      </c>
      <c r="O120" s="383">
        <f>IFERROR(N120/SUM(PROD!L117:L123),0)</f>
        <v>0</v>
      </c>
      <c r="P120" s="384">
        <f>IFERROR(O120/SUM(E116:E122,J116:J122,O116:O121),0)</f>
        <v>0</v>
      </c>
      <c r="Q120" s="491" t="str">
        <f>$Q$8</f>
        <v>B</v>
      </c>
      <c r="R120" s="392">
        <f t="shared" si="17"/>
        <v>0</v>
      </c>
      <c r="S120" s="870">
        <f>SUM(PROD!AQ117:AQ123)</f>
        <v>0</v>
      </c>
      <c r="T120" s="492">
        <f>IF(AA116&gt;0,S120/AA116,0)</f>
        <v>0</v>
      </c>
      <c r="U120" s="395" t="str">
        <f>$U$8</f>
        <v>Rev. Gr.</v>
      </c>
      <c r="V120" s="412">
        <f t="shared" si="18"/>
        <v>0</v>
      </c>
      <c r="W120" s="873">
        <f>SUM(PROD!AT117:AT123)</f>
        <v>0</v>
      </c>
      <c r="X120" s="413">
        <f>IFERROR(W120/(AA121-AA119),0)</f>
        <v>0</v>
      </c>
      <c r="Y120" s="414" t="s">
        <v>262</v>
      </c>
      <c r="Z120" s="415">
        <f>IFERROR(SUMPRODUCT(V120:V122,W120:W122)/SUM(W120:W122),0)</f>
        <v>0</v>
      </c>
      <c r="AA120" s="416">
        <f>SUM(W120:W122)</f>
        <v>0</v>
      </c>
      <c r="AB120" s="497">
        <f>IF(AA121&gt;0,AA120/AA121,0)</f>
        <v>0</v>
      </c>
    </row>
    <row r="121" spans="1:28" ht="15.75" customHeight="1" x14ac:dyDescent="0.3">
      <c r="A121" s="2301"/>
      <c r="B121" s="438" t="str">
        <f>$B$9</f>
        <v>Vacunas y medicamentos</v>
      </c>
      <c r="C121" s="443">
        <f>C114</f>
        <v>0</v>
      </c>
      <c r="D121" s="387">
        <f>C121*12/52</f>
        <v>0</v>
      </c>
      <c r="E121" s="383">
        <f>IFERROR(D121/SUM(PROD!L117:L123),0)</f>
        <v>0</v>
      </c>
      <c r="F121" s="384">
        <f>IFERROR(E121/SUM(E116:E122,J116:J122,O116:O121),0)</f>
        <v>0</v>
      </c>
      <c r="G121" s="441" t="str">
        <f>$G$16</f>
        <v>Mantenimiento y Reparaciones</v>
      </c>
      <c r="H121" s="401">
        <f t="shared" si="16"/>
        <v>0</v>
      </c>
      <c r="I121" s="390">
        <f t="shared" si="14"/>
        <v>0</v>
      </c>
      <c r="J121" s="383">
        <f>IFERROR(I121/SUM(PROD!L117:L123),0)</f>
        <v>0</v>
      </c>
      <c r="K121" s="384">
        <f>IFERROR(J121/SUM(E116:E122,J116:J122,O116:O121),0)</f>
        <v>0</v>
      </c>
      <c r="L121" s="439">
        <f>$L$9</f>
        <v>0</v>
      </c>
      <c r="M121" s="401">
        <f t="shared" si="24"/>
        <v>0</v>
      </c>
      <c r="N121" s="404">
        <f>M121*0.230769230769231</f>
        <v>0</v>
      </c>
      <c r="O121" s="383">
        <f>IFERROR(N121/SUM(PROD!L117:L123),0)</f>
        <v>0</v>
      </c>
      <c r="P121" s="384">
        <f>IFERROR(O121/SUM(E116:E122,J116:J122,O116:O121),0)</f>
        <v>0</v>
      </c>
      <c r="Q121" s="491" t="str">
        <f>$Q$9</f>
        <v>C</v>
      </c>
      <c r="R121" s="392">
        <f t="shared" si="17"/>
        <v>0</v>
      </c>
      <c r="S121" s="870">
        <f>SUM(PROD!AR117:AR123)</f>
        <v>0</v>
      </c>
      <c r="T121" s="492">
        <f>IF(AA116&gt;0,S121/AA116,0)</f>
        <v>0</v>
      </c>
      <c r="U121" s="493" t="str">
        <f>$U$9</f>
        <v>Rev. Med</v>
      </c>
      <c r="V121" s="392">
        <f t="shared" si="18"/>
        <v>0</v>
      </c>
      <c r="W121" s="870">
        <f>SUM(PROD!AU117:AU123)</f>
        <v>0</v>
      </c>
      <c r="X121" s="498">
        <f>IFERROR(W121/(AA121-AA119),0)</f>
        <v>0</v>
      </c>
      <c r="Y121" s="2303" t="s">
        <v>325</v>
      </c>
      <c r="Z121" s="2305">
        <f>SUMPRODUCT(Z116:Z120,AB116:AB120)</f>
        <v>0</v>
      </c>
      <c r="AA121" s="2307">
        <f>SUM(AA116:AA119)</f>
        <v>0</v>
      </c>
      <c r="AB121" s="2308"/>
    </row>
    <row r="122" spans="1:28" ht="16.5" customHeight="1" thickBot="1" x14ac:dyDescent="0.35">
      <c r="A122" s="2302"/>
      <c r="B122" s="444" t="str">
        <f>$B$10</f>
        <v>Gastos de Personal</v>
      </c>
      <c r="C122" s="445">
        <f>C115</f>
        <v>0</v>
      </c>
      <c r="D122" s="421">
        <f>C122*12/52</f>
        <v>0</v>
      </c>
      <c r="E122" s="446">
        <f>IFERROR(D122/SUM(PROD!L117:L123),0)</f>
        <v>0</v>
      </c>
      <c r="F122" s="447">
        <f>IFERROR(E122/SUM(E116:E122,J116:J122,O116:O121),0)</f>
        <v>0</v>
      </c>
      <c r="G122" s="448" t="str">
        <f>$G$17</f>
        <v>Adecuación Instalaciones</v>
      </c>
      <c r="H122" s="445">
        <f t="shared" si="16"/>
        <v>0</v>
      </c>
      <c r="I122" s="426">
        <f t="shared" si="14"/>
        <v>0</v>
      </c>
      <c r="J122" s="446">
        <f>IFERROR(I122/SUM(PROD!L117:L123),0)</f>
        <v>0</v>
      </c>
      <c r="K122" s="447">
        <f>IFERROR(J122/SUM(E116:E122,J116:J122,O116:O121),0)</f>
        <v>0</v>
      </c>
      <c r="L122" s="2311" t="str">
        <f>$L$10</f>
        <v>TOTAL COSTO PRODUCCIÓN</v>
      </c>
      <c r="M122" s="2312"/>
      <c r="N122" s="427">
        <f>SUM(D116:D122,I116:I122,N116:N121)</f>
        <v>0</v>
      </c>
      <c r="O122" s="449">
        <f>IFERROR(N122/SUM(PROD!L117:L123),0)</f>
        <v>0</v>
      </c>
      <c r="P122" s="447">
        <f>IFERROR(O122/SUM(E116:E122,J116:J122,O116:O121),0)</f>
        <v>0</v>
      </c>
      <c r="Q122" s="429" t="str">
        <f>$Q$10</f>
        <v>D</v>
      </c>
      <c r="R122" s="499">
        <f t="shared" si="17"/>
        <v>0</v>
      </c>
      <c r="S122" s="871">
        <f>SUM(PROD!AS117:AS123)</f>
        <v>0</v>
      </c>
      <c r="T122" s="431">
        <f>IF(AA116&gt;0,S122/AA116,0)</f>
        <v>0</v>
      </c>
      <c r="U122" s="432" t="str">
        <f>$U$10</f>
        <v>Rev. Peq</v>
      </c>
      <c r="V122" s="499">
        <f t="shared" si="18"/>
        <v>0</v>
      </c>
      <c r="W122" s="871">
        <f>SUM(PROD!AV117:AV123)</f>
        <v>0</v>
      </c>
      <c r="X122" s="431">
        <f>IFERROR(W122/(AA121-AA119),0)</f>
        <v>0</v>
      </c>
      <c r="Y122" s="2304"/>
      <c r="Z122" s="2306"/>
      <c r="AA122" s="2309"/>
      <c r="AB122" s="2310"/>
    </row>
    <row r="123" spans="1:28" ht="16.5" customHeight="1" x14ac:dyDescent="0.3">
      <c r="A123" s="2300">
        <f>A116+1</f>
        <v>35</v>
      </c>
      <c r="B123" s="433" t="str">
        <f>$B$4</f>
        <v>ALIMENTO Kilos</v>
      </c>
      <c r="C123" s="435">
        <f>LOOKUP($A123,PROD!$A$5:$A$725,PROD!$AH$10:$AH$730)</f>
        <v>0</v>
      </c>
      <c r="D123" s="368">
        <f>C123*LOOKUP($A123,'Pr-Sem'!$A$6:$A$108,'Pr-Sem'!$N$6:$N$108)/(PROD!$A$1/1000)</f>
        <v>0</v>
      </c>
      <c r="E123" s="369">
        <f>IFERROR(D123/SUM(PROD!L124:L130),0)</f>
        <v>0</v>
      </c>
      <c r="F123" s="370">
        <f>IFERROR(E123/SUM(E123:E129,J123:J129,O123:O128),0)</f>
        <v>0</v>
      </c>
      <c r="G123" s="434" t="str">
        <f>$G$11</f>
        <v>Honorarios</v>
      </c>
      <c r="H123" s="435">
        <f t="shared" si="16"/>
        <v>0</v>
      </c>
      <c r="I123" s="372">
        <f t="shared" si="14"/>
        <v>0</v>
      </c>
      <c r="J123" s="369">
        <f>IFERROR(I123/SUM(PROD!L124:L130),0)</f>
        <v>0</v>
      </c>
      <c r="K123" s="370">
        <f>IFERROR(J123/SUM(E123:E129,J123:J129,O123:O128),0)</f>
        <v>0</v>
      </c>
      <c r="L123" s="436" t="str">
        <f>$L$4</f>
        <v>Gastos de Viaje</v>
      </c>
      <c r="M123" s="435">
        <f t="shared" ref="M123:M128" si="25">M116</f>
        <v>0</v>
      </c>
      <c r="N123" s="372">
        <f>M123*12/52</f>
        <v>0</v>
      </c>
      <c r="O123" s="369">
        <f>IFERROR(N123/SUM(PROD!L124:L130),0)</f>
        <v>0</v>
      </c>
      <c r="P123" s="370">
        <f>IFERROR(O123/SUM(E123:E129,J123:J129,O123:O128),0)</f>
        <v>0</v>
      </c>
      <c r="Q123" s="373" t="str">
        <f>$Q$4</f>
        <v>AAAA</v>
      </c>
      <c r="R123" s="374">
        <f t="shared" si="17"/>
        <v>0</v>
      </c>
      <c r="S123" s="869">
        <f>SUM(PROD!AM124:AM130)</f>
        <v>0</v>
      </c>
      <c r="T123" s="375">
        <f>IF(AA123&gt;0,S123/AA123,0)</f>
        <v>0</v>
      </c>
      <c r="U123" s="376" t="str">
        <f>$U$4</f>
        <v>Prob Color</v>
      </c>
      <c r="V123" s="374">
        <f t="shared" si="18"/>
        <v>0</v>
      </c>
      <c r="W123" s="869">
        <f>SUM(PROD!AW124:AW130)</f>
        <v>0</v>
      </c>
      <c r="X123" s="375">
        <f>IFERROR(W123/(AA128-AA126),0)</f>
        <v>0</v>
      </c>
      <c r="Y123" s="377" t="s">
        <v>323</v>
      </c>
      <c r="Z123" s="378">
        <f>SUMPRODUCT(R123:R129,T123:T129)</f>
        <v>0</v>
      </c>
      <c r="AA123" s="379">
        <f>SUM(S123:S129)</f>
        <v>0</v>
      </c>
      <c r="AB123" s="490">
        <f>IF(AA128&gt;0,AA123/AA128,0)</f>
        <v>0</v>
      </c>
    </row>
    <row r="124" spans="1:28" ht="15.75" customHeight="1" x14ac:dyDescent="0.3">
      <c r="A124" s="2301"/>
      <c r="B124" s="438" t="str">
        <f>$B$5</f>
        <v>Amortización de Aves</v>
      </c>
      <c r="C124" s="381">
        <f>IFERROR((C117-(D124/'Pr-Sem'!$O$2)),0)</f>
        <v>0</v>
      </c>
      <c r="D124" s="382">
        <f>SUM(PROD!L124:L130)*E124</f>
        <v>0</v>
      </c>
      <c r="E124" s="383">
        <f>IF(SUM(PROD!L124:L130)&gt;0,IFERROR(($C$1-$C$2)/LOOKUP($B$2,'Pr-Sem'!$A$6:$A$108,'Pr-Sem'!$L$6:$L$108)*(LOOKUP(INVENTARIOS!$A123,'Pr-Sem'!$A$6:$A$108,'Pr-Sem'!$L$6:$L$108)-LOOKUP(INVENTARIOS!$A123-1,'Pr-Sem'!$A$6:$A$108,'Pr-Sem'!$L$6:$L$108))/(LOOKUP(INVENTARIOS!$A123,'Pr-Sem'!$A$6:$A$108,'Pr-Sem'!$K$6:$K$108)-LOOKUP(INVENTARIOS!$A123-1,'Pr-Sem'!$A$6:$A$108,'Pr-Sem'!$K$6:$K$108)),0),0)</f>
        <v>0</v>
      </c>
      <c r="F124" s="384">
        <f>IFERROR(E124/SUM(E123:E129,J123:J129,O123:O128),0)</f>
        <v>0</v>
      </c>
      <c r="G124" s="439" t="str">
        <f>$G$12</f>
        <v>Impuestos</v>
      </c>
      <c r="H124" s="440">
        <f t="shared" si="16"/>
        <v>0</v>
      </c>
      <c r="I124" s="387">
        <f t="shared" si="14"/>
        <v>0</v>
      </c>
      <c r="J124" s="383">
        <f>IFERROR(I124/SUM(PROD!L124:L130),0)</f>
        <v>0</v>
      </c>
      <c r="K124" s="384">
        <f>IFERROR(J124/SUM(E123:E129,J123:J129,O123:O128),0)</f>
        <v>0</v>
      </c>
      <c r="L124" s="439" t="str">
        <f>$L$5</f>
        <v>Depreciaciones</v>
      </c>
      <c r="M124" s="401">
        <f t="shared" si="25"/>
        <v>0</v>
      </c>
      <c r="N124" s="390">
        <f>M124*12/52</f>
        <v>0</v>
      </c>
      <c r="O124" s="383">
        <f>IFERROR(N124/SUM(PROD!L124:L130),0)</f>
        <v>0</v>
      </c>
      <c r="P124" s="384">
        <f>IFERROR(O124/SUM(E123:E129,J123:J129,O123:O128),0)</f>
        <v>0</v>
      </c>
      <c r="Q124" s="491" t="str">
        <f>$Q$5</f>
        <v>AAA</v>
      </c>
      <c r="R124" s="392">
        <f t="shared" si="17"/>
        <v>0</v>
      </c>
      <c r="S124" s="870">
        <f>SUM(PROD!AN124:AN130)</f>
        <v>0</v>
      </c>
      <c r="T124" s="492">
        <f>IF(AA123&gt;0,S124/AA123,0)</f>
        <v>0</v>
      </c>
      <c r="U124" s="493" t="str">
        <f>$U$5</f>
        <v>Prob Cásc</v>
      </c>
      <c r="V124" s="392">
        <f t="shared" si="18"/>
        <v>0</v>
      </c>
      <c r="W124" s="870">
        <f>SUM(PROD!AX124:AX130)</f>
        <v>0</v>
      </c>
      <c r="X124" s="492">
        <f>IFERROR(W124/(AA128-AA126),0)</f>
        <v>0</v>
      </c>
      <c r="Y124" s="395" t="s">
        <v>324</v>
      </c>
      <c r="Z124" s="396">
        <f>IFERROR(SUMPRODUCT(V123:V126,W123:W126)/SUM(W123:W126),0)</f>
        <v>0</v>
      </c>
      <c r="AA124" s="397">
        <f>SUM(W123:W126)</f>
        <v>0</v>
      </c>
      <c r="AB124" s="494">
        <f>IF(AA128&gt;0,AA124/AA128,0)</f>
        <v>0</v>
      </c>
    </row>
    <row r="125" spans="1:28" ht="15.75" customHeight="1" x14ac:dyDescent="0.3">
      <c r="A125" s="2301"/>
      <c r="B125" s="399" t="str">
        <f>$B$6</f>
        <v>Bandeja</v>
      </c>
      <c r="C125" s="400">
        <f>C118</f>
        <v>0</v>
      </c>
      <c r="D125" s="387">
        <f>C125*SUM(INVENTARIOS!R123:R129)</f>
        <v>0</v>
      </c>
      <c r="E125" s="383">
        <f>IFERROR(D125/SUM(PROD!L124:L130),0)</f>
        <v>0</v>
      </c>
      <c r="F125" s="384">
        <f>IFERROR(E125/SUM(E123:E129,J123:J129,O123:O128),0)</f>
        <v>0</v>
      </c>
      <c r="G125" s="439" t="str">
        <f>$G$13</f>
        <v>Arrendamientos</v>
      </c>
      <c r="H125" s="401">
        <f t="shared" si="16"/>
        <v>0</v>
      </c>
      <c r="I125" s="390">
        <f t="shared" si="14"/>
        <v>0</v>
      </c>
      <c r="J125" s="383">
        <f>IFERROR(I125/SUM(PROD!L124:L130),0)</f>
        <v>0</v>
      </c>
      <c r="K125" s="384">
        <f>IFERROR(J125/SUM(E123:E129,J123:J129,O123:O128),0)</f>
        <v>0</v>
      </c>
      <c r="L125" s="439" t="str">
        <f>$L$6</f>
        <v>Diversos</v>
      </c>
      <c r="M125" s="401">
        <f t="shared" si="25"/>
        <v>0</v>
      </c>
      <c r="N125" s="390">
        <f>M125*12/52</f>
        <v>0</v>
      </c>
      <c r="O125" s="383">
        <f>IFERROR(N125/SUM(PROD!L124:L130),0)</f>
        <v>0</v>
      </c>
      <c r="P125" s="384">
        <f>IFERROR(O125/SUM(E123:E129,J123:J129,O123:O128),0)</f>
        <v>0</v>
      </c>
      <c r="Q125" s="491" t="str">
        <f>$Q$6</f>
        <v>AA</v>
      </c>
      <c r="R125" s="392">
        <f t="shared" si="17"/>
        <v>0</v>
      </c>
      <c r="S125" s="870">
        <f>SUM(PROD!AO124:AO130)</f>
        <v>0</v>
      </c>
      <c r="T125" s="492">
        <f>IF(AA123&gt;0,S125/AA123,0)</f>
        <v>0</v>
      </c>
      <c r="U125" s="493" t="str">
        <f>$U$6</f>
        <v>Vencido</v>
      </c>
      <c r="V125" s="392">
        <f t="shared" si="18"/>
        <v>0</v>
      </c>
      <c r="W125" s="870">
        <f>SUM(PROD!AY124:AY130)</f>
        <v>0</v>
      </c>
      <c r="X125" s="492">
        <f>IFERROR(W125/(AA128-AA126),0)</f>
        <v>0</v>
      </c>
      <c r="Y125" s="402" t="s">
        <v>391</v>
      </c>
      <c r="Z125" s="456">
        <v>0</v>
      </c>
      <c r="AA125" s="720"/>
      <c r="AB125" s="495">
        <f>IF(AA128&gt;0,AA125/AA128,0)</f>
        <v>0</v>
      </c>
    </row>
    <row r="126" spans="1:28" ht="15.75" customHeight="1" x14ac:dyDescent="0.3">
      <c r="A126" s="2301"/>
      <c r="B126" s="438" t="str">
        <f>$B$7</f>
        <v>Mortalidad Aves</v>
      </c>
      <c r="C126" s="401">
        <f>IF(A123&lt;=$B$2,C124+$C$2,0)</f>
        <v>0</v>
      </c>
      <c r="D126" s="390">
        <f>C126*SUM(PROD!D124:D130)</f>
        <v>0</v>
      </c>
      <c r="E126" s="383">
        <f>IFERROR(D126/SUM(PROD!L124:L130),0)</f>
        <v>0</v>
      </c>
      <c r="F126" s="384">
        <f>IFERROR(E126/SUM(E123:E129,J123:J129,O123:O128),0)</f>
        <v>0</v>
      </c>
      <c r="G126" s="439" t="str">
        <f>$G$14</f>
        <v>Servicios Públicos</v>
      </c>
      <c r="H126" s="401">
        <f t="shared" si="16"/>
        <v>0</v>
      </c>
      <c r="I126" s="390">
        <f t="shared" si="14"/>
        <v>0</v>
      </c>
      <c r="J126" s="383">
        <f>IFERROR(I126/SUM(PROD!L124:L130),0)</f>
        <v>0</v>
      </c>
      <c r="K126" s="384">
        <f>IFERROR(J126/SUM(E123:E129,J123:J129,O123:O128),0)</f>
        <v>0</v>
      </c>
      <c r="L126" s="441" t="str">
        <f>$L$7</f>
        <v>Administrativos</v>
      </c>
      <c r="M126" s="401">
        <f t="shared" si="25"/>
        <v>0</v>
      </c>
      <c r="N126" s="404">
        <f>M126*0.230769230769231</f>
        <v>0</v>
      </c>
      <c r="O126" s="383">
        <f>IFERROR(N126/SUM(PROD!L124:L130),0)</f>
        <v>0</v>
      </c>
      <c r="P126" s="384">
        <f>IFERROR(O126/SUM(E123:E129,J123:J129,O123:O128),0)</f>
        <v>0</v>
      </c>
      <c r="Q126" s="491" t="str">
        <f>$Q$7</f>
        <v>A</v>
      </c>
      <c r="R126" s="392">
        <f t="shared" si="17"/>
        <v>0</v>
      </c>
      <c r="S126" s="870">
        <f>SUM(PROD!AP124:AP130)</f>
        <v>0</v>
      </c>
      <c r="T126" s="492">
        <f>IF(AA123&gt;0,S126/AA123,0)</f>
        <v>0</v>
      </c>
      <c r="U126" s="405" t="str">
        <f>$U$7</f>
        <v>Roto</v>
      </c>
      <c r="V126" s="406">
        <f t="shared" si="18"/>
        <v>0</v>
      </c>
      <c r="W126" s="872">
        <f>SUM(PROD!AZ124:AZ130)</f>
        <v>0</v>
      </c>
      <c r="X126" s="407">
        <f>IFERROR(W126/(AA128-AA126),0)</f>
        <v>0</v>
      </c>
      <c r="Y126" s="408" t="s">
        <v>359</v>
      </c>
      <c r="Z126" s="442">
        <v>215</v>
      </c>
      <c r="AA126" s="410">
        <f>SUM(PROD!L124:L130)-SUM(W123:W129)-SUM(S123:S129)-AA125</f>
        <v>0</v>
      </c>
      <c r="AB126" s="496">
        <f>IF(AA128&gt;0,AA126/AA128,0)</f>
        <v>0</v>
      </c>
    </row>
    <row r="127" spans="1:28" ht="15.75" customHeight="1" x14ac:dyDescent="0.3">
      <c r="A127" s="2301"/>
      <c r="B127" s="399" t="str">
        <f>$B$8</f>
        <v>Materia Prima (Carb Ca, etc.)</v>
      </c>
      <c r="C127" s="440">
        <f>C120</f>
        <v>0</v>
      </c>
      <c r="D127" s="387">
        <f>C127*12/52</f>
        <v>0</v>
      </c>
      <c r="E127" s="383">
        <f>IFERROR(D127/SUM(PROD!L124:L130),0)</f>
        <v>0</v>
      </c>
      <c r="F127" s="384">
        <f>IFERROR(E127/SUM(E123:E129,J123:J129,O123:O128),0)</f>
        <v>0</v>
      </c>
      <c r="G127" s="441" t="str">
        <f>$G$15</f>
        <v>Gastos Legales</v>
      </c>
      <c r="H127" s="401">
        <f t="shared" si="16"/>
        <v>0</v>
      </c>
      <c r="I127" s="390">
        <f t="shared" si="14"/>
        <v>0</v>
      </c>
      <c r="J127" s="383">
        <f>IFERROR(I127/SUM(PROD!L124:L130),0)</f>
        <v>0</v>
      </c>
      <c r="K127" s="384">
        <f>IFERROR(J127/SUM(E123:E129,J123:J129,O123:O128),0)</f>
        <v>0</v>
      </c>
      <c r="L127" s="439" t="str">
        <f>$L$8</f>
        <v>Fletes</v>
      </c>
      <c r="M127" s="401">
        <f t="shared" si="25"/>
        <v>0</v>
      </c>
      <c r="N127" s="404">
        <f>M127*0.230769230769231</f>
        <v>0</v>
      </c>
      <c r="O127" s="383">
        <f>IFERROR(N127/SUM(PROD!L124:L130),0)</f>
        <v>0</v>
      </c>
      <c r="P127" s="384">
        <f>IFERROR(O127/SUM(E123:E129,J123:J129,O123:O128),0)</f>
        <v>0</v>
      </c>
      <c r="Q127" s="491" t="str">
        <f>$Q$8</f>
        <v>B</v>
      </c>
      <c r="R127" s="392">
        <f t="shared" si="17"/>
        <v>0</v>
      </c>
      <c r="S127" s="870">
        <f>SUM(PROD!AQ124:AQ130)</f>
        <v>0</v>
      </c>
      <c r="T127" s="492">
        <f>IF(AA123&gt;0,S127/AA123,0)</f>
        <v>0</v>
      </c>
      <c r="U127" s="395" t="str">
        <f>$U$8</f>
        <v>Rev. Gr.</v>
      </c>
      <c r="V127" s="412">
        <f t="shared" si="18"/>
        <v>0</v>
      </c>
      <c r="W127" s="873">
        <f>SUM(PROD!AT124:AT130)</f>
        <v>0</v>
      </c>
      <c r="X127" s="413">
        <f>IFERROR(W127/(AA128-AA126),0)</f>
        <v>0</v>
      </c>
      <c r="Y127" s="414" t="s">
        <v>262</v>
      </c>
      <c r="Z127" s="415">
        <f>IFERROR(SUMPRODUCT(V127:V129,W127:W129)/SUM(W127:W129),0)</f>
        <v>0</v>
      </c>
      <c r="AA127" s="416">
        <f>SUM(W127:W129)</f>
        <v>0</v>
      </c>
      <c r="AB127" s="497">
        <f>IF(AA128&gt;0,AA127/AA128,0)</f>
        <v>0</v>
      </c>
    </row>
    <row r="128" spans="1:28" ht="15.75" customHeight="1" x14ac:dyDescent="0.3">
      <c r="A128" s="2301"/>
      <c r="B128" s="438" t="str">
        <f>$B$9</f>
        <v>Vacunas y medicamentos</v>
      </c>
      <c r="C128" s="443">
        <f>C121</f>
        <v>0</v>
      </c>
      <c r="D128" s="387">
        <f>C128*12/52</f>
        <v>0</v>
      </c>
      <c r="E128" s="383">
        <f>IFERROR(D128/SUM(PROD!L124:L130),0)</f>
        <v>0</v>
      </c>
      <c r="F128" s="384">
        <f>IFERROR(E128/SUM(E123:E129,J123:J129,O123:O128),0)</f>
        <v>0</v>
      </c>
      <c r="G128" s="441" t="str">
        <f>$G$16</f>
        <v>Mantenimiento y Reparaciones</v>
      </c>
      <c r="H128" s="401">
        <f t="shared" si="16"/>
        <v>0</v>
      </c>
      <c r="I128" s="390">
        <f t="shared" si="14"/>
        <v>0</v>
      </c>
      <c r="J128" s="383">
        <f>IFERROR(I128/SUM(PROD!L124:L130),0)</f>
        <v>0</v>
      </c>
      <c r="K128" s="384">
        <f>IFERROR(J128/SUM(E123:E129,J123:J129,O123:O128),0)</f>
        <v>0</v>
      </c>
      <c r="L128" s="439">
        <f>$L$9</f>
        <v>0</v>
      </c>
      <c r="M128" s="401">
        <f t="shared" si="25"/>
        <v>0</v>
      </c>
      <c r="N128" s="404">
        <f>M128*0.230769230769231</f>
        <v>0</v>
      </c>
      <c r="O128" s="383">
        <f>IFERROR(N128/SUM(PROD!L124:L130),0)</f>
        <v>0</v>
      </c>
      <c r="P128" s="384">
        <f>IFERROR(O128/SUM(E123:E129,J123:J129,O123:O128),0)</f>
        <v>0</v>
      </c>
      <c r="Q128" s="491" t="str">
        <f>$Q$9</f>
        <v>C</v>
      </c>
      <c r="R128" s="392">
        <f t="shared" si="17"/>
        <v>0</v>
      </c>
      <c r="S128" s="870">
        <f>SUM(PROD!AR124:AR130)</f>
        <v>0</v>
      </c>
      <c r="T128" s="492">
        <f>IF(AA123&gt;0,S128/AA123,0)</f>
        <v>0</v>
      </c>
      <c r="U128" s="493" t="str">
        <f>$U$9</f>
        <v>Rev. Med</v>
      </c>
      <c r="V128" s="392">
        <f t="shared" si="18"/>
        <v>0</v>
      </c>
      <c r="W128" s="870">
        <f>SUM(PROD!AU124:AU130)</f>
        <v>0</v>
      </c>
      <c r="X128" s="498">
        <f>IFERROR(W128/(AA128-AA126),0)</f>
        <v>0</v>
      </c>
      <c r="Y128" s="2303" t="s">
        <v>325</v>
      </c>
      <c r="Z128" s="2305">
        <f>SUMPRODUCT(Z123:Z127,AB123:AB127)</f>
        <v>0</v>
      </c>
      <c r="AA128" s="2307">
        <f>SUM(AA123:AA126)</f>
        <v>0</v>
      </c>
      <c r="AB128" s="2308"/>
    </row>
    <row r="129" spans="1:28" ht="16.5" customHeight="1" thickBot="1" x14ac:dyDescent="0.35">
      <c r="A129" s="2302"/>
      <c r="B129" s="444" t="str">
        <f>$B$10</f>
        <v>Gastos de Personal</v>
      </c>
      <c r="C129" s="445">
        <f>C122</f>
        <v>0</v>
      </c>
      <c r="D129" s="421">
        <f>C129*12/52</f>
        <v>0</v>
      </c>
      <c r="E129" s="446">
        <f>IFERROR(D129/SUM(PROD!L124:L130),0)</f>
        <v>0</v>
      </c>
      <c r="F129" s="447">
        <f>IFERROR(E129/SUM(E123:E129,J123:J129,O123:O128),0)</f>
        <v>0</v>
      </c>
      <c r="G129" s="448" t="str">
        <f>$G$17</f>
        <v>Adecuación Instalaciones</v>
      </c>
      <c r="H129" s="445">
        <f t="shared" si="16"/>
        <v>0</v>
      </c>
      <c r="I129" s="426">
        <f t="shared" si="14"/>
        <v>0</v>
      </c>
      <c r="J129" s="446">
        <f>IFERROR(I129/SUM(PROD!L124:L130),0)</f>
        <v>0</v>
      </c>
      <c r="K129" s="447">
        <f>IFERROR(J129/SUM(E123:E129,J123:J129,O123:O128),0)</f>
        <v>0</v>
      </c>
      <c r="L129" s="2311" t="str">
        <f>$L$10</f>
        <v>TOTAL COSTO PRODUCCIÓN</v>
      </c>
      <c r="M129" s="2312"/>
      <c r="N129" s="427">
        <f>SUM(D123:D129,I123:I129,N123:N128)</f>
        <v>0</v>
      </c>
      <c r="O129" s="449">
        <f>IFERROR(N129/SUM(PROD!L124:L130),0)</f>
        <v>0</v>
      </c>
      <c r="P129" s="447">
        <f>IFERROR(O129/SUM(E123:E129,J123:J129,O123:O128),0)</f>
        <v>0</v>
      </c>
      <c r="Q129" s="429" t="str">
        <f>$Q$10</f>
        <v>D</v>
      </c>
      <c r="R129" s="499">
        <f t="shared" si="17"/>
        <v>0</v>
      </c>
      <c r="S129" s="871">
        <f>SUM(PROD!AS124:AS130)</f>
        <v>0</v>
      </c>
      <c r="T129" s="431">
        <f>IF(AA123&gt;0,S129/AA123,0)</f>
        <v>0</v>
      </c>
      <c r="U129" s="432" t="str">
        <f>$U$10</f>
        <v>Rev. Peq</v>
      </c>
      <c r="V129" s="499">
        <f t="shared" si="18"/>
        <v>0</v>
      </c>
      <c r="W129" s="871">
        <f>SUM(PROD!AV124:AV130)</f>
        <v>0</v>
      </c>
      <c r="X129" s="431">
        <f>IFERROR(W129/(AA128-AA126),0)</f>
        <v>0</v>
      </c>
      <c r="Y129" s="2304"/>
      <c r="Z129" s="2306"/>
      <c r="AA129" s="2309"/>
      <c r="AB129" s="2310"/>
    </row>
    <row r="130" spans="1:28" ht="16.5" customHeight="1" x14ac:dyDescent="0.3">
      <c r="A130" s="2300">
        <f>A123+1</f>
        <v>36</v>
      </c>
      <c r="B130" s="433" t="str">
        <f>$B$4</f>
        <v>ALIMENTO Kilos</v>
      </c>
      <c r="C130" s="435">
        <f>LOOKUP($A130,PROD!$A$5:$A$725,PROD!$AH$10:$AH$730)</f>
        <v>0</v>
      </c>
      <c r="D130" s="368">
        <f>C130*LOOKUP($A130,'Pr-Sem'!$A$6:$A$108,'Pr-Sem'!$N$6:$N$108)/(PROD!$A$1/1000)</f>
        <v>0</v>
      </c>
      <c r="E130" s="369">
        <f>IFERROR(D130/SUM(PROD!L131:L137),0)</f>
        <v>0</v>
      </c>
      <c r="F130" s="370">
        <f>IFERROR(E130/SUM(E130:E136,J130:J136,O130:O135),0)</f>
        <v>0</v>
      </c>
      <c r="G130" s="434" t="str">
        <f>$G$11</f>
        <v>Honorarios</v>
      </c>
      <c r="H130" s="435">
        <f t="shared" si="16"/>
        <v>0</v>
      </c>
      <c r="I130" s="372">
        <f t="shared" si="14"/>
        <v>0</v>
      </c>
      <c r="J130" s="369">
        <f>IFERROR(I130/SUM(PROD!L131:L137),0)</f>
        <v>0</v>
      </c>
      <c r="K130" s="370">
        <f>IFERROR(J130/SUM(E130:E136,J130:J136,O130:O135),0)</f>
        <v>0</v>
      </c>
      <c r="L130" s="436" t="str">
        <f>$L$4</f>
        <v>Gastos de Viaje</v>
      </c>
      <c r="M130" s="435">
        <f t="shared" ref="M130:M135" si="26">M123</f>
        <v>0</v>
      </c>
      <c r="N130" s="372">
        <f>M130*12/52</f>
        <v>0</v>
      </c>
      <c r="O130" s="369">
        <f>IFERROR(N130/SUM(PROD!L131:L137),0)</f>
        <v>0</v>
      </c>
      <c r="P130" s="370">
        <f>IFERROR(O130/SUM(E130:E136,J130:J136,O130:O135),0)</f>
        <v>0</v>
      </c>
      <c r="Q130" s="373" t="str">
        <f>$Q$4</f>
        <v>AAAA</v>
      </c>
      <c r="R130" s="374">
        <f t="shared" si="17"/>
        <v>0</v>
      </c>
      <c r="S130" s="869">
        <f>SUM(PROD!AM131:AM137)</f>
        <v>0</v>
      </c>
      <c r="T130" s="375">
        <f>IF(AA130&gt;0,S130/AA130,0)</f>
        <v>0</v>
      </c>
      <c r="U130" s="376" t="str">
        <f>$U$4</f>
        <v>Prob Color</v>
      </c>
      <c r="V130" s="374">
        <f t="shared" si="18"/>
        <v>0</v>
      </c>
      <c r="W130" s="869">
        <f>SUM(PROD!AW131:AW137)</f>
        <v>0</v>
      </c>
      <c r="X130" s="375">
        <f>IFERROR(W130/(AA135-AA133),0)</f>
        <v>0</v>
      </c>
      <c r="Y130" s="377" t="s">
        <v>323</v>
      </c>
      <c r="Z130" s="378">
        <f>SUMPRODUCT(R130:R136,T130:T136)</f>
        <v>0</v>
      </c>
      <c r="AA130" s="379">
        <f>SUM(S130:S136)</f>
        <v>0</v>
      </c>
      <c r="AB130" s="490">
        <f>IF(AA135&gt;0,AA130/AA135,0)</f>
        <v>0</v>
      </c>
    </row>
    <row r="131" spans="1:28" ht="15.75" customHeight="1" x14ac:dyDescent="0.3">
      <c r="A131" s="2301"/>
      <c r="B131" s="438" t="str">
        <f>$B$5</f>
        <v>Amortización de Aves</v>
      </c>
      <c r="C131" s="381">
        <f>IFERROR((C124-(D131/'Pr-Sem'!$O$2)),0)</f>
        <v>0</v>
      </c>
      <c r="D131" s="382">
        <f>SUM(PROD!L131:L137)*E131</f>
        <v>0</v>
      </c>
      <c r="E131" s="383">
        <f>IF(SUM(PROD!L131:L137)&gt;0,IFERROR(($C$1-$C$2)/LOOKUP($B$2,'Pr-Sem'!$A$6:$A$108,'Pr-Sem'!$L$6:$L$108)*(LOOKUP(INVENTARIOS!$A130,'Pr-Sem'!$A$6:$A$108,'Pr-Sem'!$L$6:$L$108)-LOOKUP(INVENTARIOS!$A130-1,'Pr-Sem'!$A$6:$A$108,'Pr-Sem'!$L$6:$L$108))/(LOOKUP(INVENTARIOS!$A130,'Pr-Sem'!$A$6:$A$108,'Pr-Sem'!$K$6:$K$108)-LOOKUP(INVENTARIOS!$A130-1,'Pr-Sem'!$A$6:$A$108,'Pr-Sem'!$K$6:$K$108)),0),0)</f>
        <v>0</v>
      </c>
      <c r="F131" s="384">
        <f>IFERROR(E131/SUM(E130:E136,J130:J136,O130:O135),0)</f>
        <v>0</v>
      </c>
      <c r="G131" s="439" t="str">
        <f>$G$12</f>
        <v>Impuestos</v>
      </c>
      <c r="H131" s="440">
        <f t="shared" si="16"/>
        <v>0</v>
      </c>
      <c r="I131" s="387">
        <f t="shared" si="14"/>
        <v>0</v>
      </c>
      <c r="J131" s="383">
        <f>IFERROR(I131/SUM(PROD!L131:L137),0)</f>
        <v>0</v>
      </c>
      <c r="K131" s="384">
        <f>IFERROR(J131/SUM(E130:E136,J130:J136,O130:O135),0)</f>
        <v>0</v>
      </c>
      <c r="L131" s="439" t="str">
        <f>$L$5</f>
        <v>Depreciaciones</v>
      </c>
      <c r="M131" s="401">
        <f t="shared" si="26"/>
        <v>0</v>
      </c>
      <c r="N131" s="390">
        <f>M131*12/52</f>
        <v>0</v>
      </c>
      <c r="O131" s="383">
        <f>IFERROR(N131/SUM(PROD!L131:L137),0)</f>
        <v>0</v>
      </c>
      <c r="P131" s="384">
        <f>IFERROR(O131/SUM(E130:E136,J130:J136,O130:O135),0)</f>
        <v>0</v>
      </c>
      <c r="Q131" s="491" t="str">
        <f>$Q$5</f>
        <v>AAA</v>
      </c>
      <c r="R131" s="392">
        <f t="shared" si="17"/>
        <v>0</v>
      </c>
      <c r="S131" s="870">
        <f>SUM(PROD!AN131:AN137)</f>
        <v>0</v>
      </c>
      <c r="T131" s="492">
        <f>IF(AA130&gt;0,S131/AA130,0)</f>
        <v>0</v>
      </c>
      <c r="U131" s="493" t="str">
        <f>$U$5</f>
        <v>Prob Cásc</v>
      </c>
      <c r="V131" s="392">
        <f t="shared" si="18"/>
        <v>0</v>
      </c>
      <c r="W131" s="870">
        <f>SUM(PROD!AX131:AX137)</f>
        <v>0</v>
      </c>
      <c r="X131" s="492">
        <f>IFERROR(W131/(AA135-AA133),0)</f>
        <v>0</v>
      </c>
      <c r="Y131" s="395" t="s">
        <v>324</v>
      </c>
      <c r="Z131" s="396">
        <f>IFERROR(SUMPRODUCT(V130:V133,W130:W133)/SUM(W130:W133),0)</f>
        <v>0</v>
      </c>
      <c r="AA131" s="397">
        <f>SUM(W130:W133)</f>
        <v>0</v>
      </c>
      <c r="AB131" s="494">
        <f>IF(AA135&gt;0,AA131/AA135,0)</f>
        <v>0</v>
      </c>
    </row>
    <row r="132" spans="1:28" ht="15.75" customHeight="1" x14ac:dyDescent="0.3">
      <c r="A132" s="2301"/>
      <c r="B132" s="399" t="str">
        <f>$B$6</f>
        <v>Bandeja</v>
      </c>
      <c r="C132" s="400">
        <f>C125</f>
        <v>0</v>
      </c>
      <c r="D132" s="387">
        <f>C132*SUM(INVENTARIOS!R130:R136)</f>
        <v>0</v>
      </c>
      <c r="E132" s="383">
        <f>IFERROR(D132/SUM(PROD!L131:L137),0)</f>
        <v>0</v>
      </c>
      <c r="F132" s="384">
        <f>IFERROR(E132/SUM(E130:E136,J130:J136,O130:O135),0)</f>
        <v>0</v>
      </c>
      <c r="G132" s="439" t="str">
        <f>$G$13</f>
        <v>Arrendamientos</v>
      </c>
      <c r="H132" s="401">
        <f t="shared" si="16"/>
        <v>0</v>
      </c>
      <c r="I132" s="390">
        <f t="shared" ref="I132:I195" si="27">H132*12/52</f>
        <v>0</v>
      </c>
      <c r="J132" s="383">
        <f>IFERROR(I132/SUM(PROD!L131:L137),0)</f>
        <v>0</v>
      </c>
      <c r="K132" s="384">
        <f>IFERROR(J132/SUM(E130:E136,J130:J136,O130:O135),0)</f>
        <v>0</v>
      </c>
      <c r="L132" s="439" t="str">
        <f>$L$6</f>
        <v>Diversos</v>
      </c>
      <c r="M132" s="401">
        <f t="shared" si="26"/>
        <v>0</v>
      </c>
      <c r="N132" s="390">
        <f>M132*12/52</f>
        <v>0</v>
      </c>
      <c r="O132" s="383">
        <f>IFERROR(N132/SUM(PROD!L131:L137),0)</f>
        <v>0</v>
      </c>
      <c r="P132" s="384">
        <f>IFERROR(O132/SUM(E130:E136,J130:J136,O130:O135),0)</f>
        <v>0</v>
      </c>
      <c r="Q132" s="491" t="str">
        <f>$Q$6</f>
        <v>AA</v>
      </c>
      <c r="R132" s="392">
        <f t="shared" si="17"/>
        <v>0</v>
      </c>
      <c r="S132" s="870">
        <f>SUM(PROD!AO131:AO137)</f>
        <v>0</v>
      </c>
      <c r="T132" s="492">
        <f>IF(AA130&gt;0,S132/AA130,0)</f>
        <v>0</v>
      </c>
      <c r="U132" s="493" t="str">
        <f>$U$6</f>
        <v>Vencido</v>
      </c>
      <c r="V132" s="392">
        <f t="shared" si="18"/>
        <v>0</v>
      </c>
      <c r="W132" s="870">
        <f>SUM(PROD!AY131:AY137)</f>
        <v>0</v>
      </c>
      <c r="X132" s="492">
        <f>IFERROR(W132/(AA135-AA133),0)</f>
        <v>0</v>
      </c>
      <c r="Y132" s="402" t="s">
        <v>391</v>
      </c>
      <c r="Z132" s="456">
        <v>0</v>
      </c>
      <c r="AA132" s="720"/>
      <c r="AB132" s="495">
        <f>IF(AA135&gt;0,AA132/AA135,0)</f>
        <v>0</v>
      </c>
    </row>
    <row r="133" spans="1:28" ht="15.75" customHeight="1" x14ac:dyDescent="0.3">
      <c r="A133" s="2301"/>
      <c r="B133" s="438" t="str">
        <f>$B$7</f>
        <v>Mortalidad Aves</v>
      </c>
      <c r="C133" s="401">
        <f>IF(A130&lt;=$B$2,C131+$C$2,0)</f>
        <v>0</v>
      </c>
      <c r="D133" s="390">
        <f>C133*SUM(PROD!D131:D137)</f>
        <v>0</v>
      </c>
      <c r="E133" s="383">
        <f>IFERROR(D133/SUM(PROD!L131:L137),0)</f>
        <v>0</v>
      </c>
      <c r="F133" s="384">
        <f>IFERROR(E133/SUM(E130:E136,J130:J136,O130:O135),0)</f>
        <v>0</v>
      </c>
      <c r="G133" s="439" t="str">
        <f>$G$14</f>
        <v>Servicios Públicos</v>
      </c>
      <c r="H133" s="401">
        <f t="shared" si="16"/>
        <v>0</v>
      </c>
      <c r="I133" s="390">
        <f t="shared" si="27"/>
        <v>0</v>
      </c>
      <c r="J133" s="383">
        <f>IFERROR(I133/SUM(PROD!L131:L137),0)</f>
        <v>0</v>
      </c>
      <c r="K133" s="384">
        <f>IFERROR(J133/SUM(E130:E136,J130:J136,O130:O135),0)</f>
        <v>0</v>
      </c>
      <c r="L133" s="441" t="str">
        <f>$L$7</f>
        <v>Administrativos</v>
      </c>
      <c r="M133" s="401">
        <f t="shared" si="26"/>
        <v>0</v>
      </c>
      <c r="N133" s="404">
        <f>M133*0.230769230769231</f>
        <v>0</v>
      </c>
      <c r="O133" s="383">
        <f>IFERROR(N133/SUM(PROD!L131:L137),0)</f>
        <v>0</v>
      </c>
      <c r="P133" s="384">
        <f>IFERROR(O133/SUM(E130:E136,J130:J136,O130:O135),0)</f>
        <v>0</v>
      </c>
      <c r="Q133" s="491" t="str">
        <f>$Q$7</f>
        <v>A</v>
      </c>
      <c r="R133" s="392">
        <f t="shared" si="17"/>
        <v>0</v>
      </c>
      <c r="S133" s="870">
        <f>SUM(PROD!AP131:AP137)</f>
        <v>0</v>
      </c>
      <c r="T133" s="492">
        <f>IF(AA130&gt;0,S133/AA130,0)</f>
        <v>0</v>
      </c>
      <c r="U133" s="405" t="str">
        <f>$U$7</f>
        <v>Roto</v>
      </c>
      <c r="V133" s="406">
        <f t="shared" si="18"/>
        <v>0</v>
      </c>
      <c r="W133" s="872">
        <f>SUM(PROD!AZ131:AZ137)</f>
        <v>0</v>
      </c>
      <c r="X133" s="407">
        <f>IFERROR(W133/(AA135-AA133),0)</f>
        <v>0</v>
      </c>
      <c r="Y133" s="408" t="s">
        <v>359</v>
      </c>
      <c r="Z133" s="442">
        <v>215</v>
      </c>
      <c r="AA133" s="410">
        <f>SUM(PROD!L131:L137)-SUM(W130:W136)-SUM(S130:S136)-AA132</f>
        <v>0</v>
      </c>
      <c r="AB133" s="496">
        <f>IF(AA135&gt;0,AA133/AA135,0)</f>
        <v>0</v>
      </c>
    </row>
    <row r="134" spans="1:28" ht="15.75" customHeight="1" x14ac:dyDescent="0.3">
      <c r="A134" s="2301"/>
      <c r="B134" s="399" t="str">
        <f>$B$8</f>
        <v>Materia Prima (Carb Ca, etc.)</v>
      </c>
      <c r="C134" s="440">
        <f>C127</f>
        <v>0</v>
      </c>
      <c r="D134" s="387">
        <f>C134*12/52</f>
        <v>0</v>
      </c>
      <c r="E134" s="383">
        <f>IFERROR(D134/SUM(PROD!L131:L137),0)</f>
        <v>0</v>
      </c>
      <c r="F134" s="384">
        <f>IFERROR(E134/SUM(E130:E136,J130:J136,O130:O135),0)</f>
        <v>0</v>
      </c>
      <c r="G134" s="441" t="str">
        <f>$G$15</f>
        <v>Gastos Legales</v>
      </c>
      <c r="H134" s="401">
        <f t="shared" si="16"/>
        <v>0</v>
      </c>
      <c r="I134" s="390">
        <f t="shared" si="27"/>
        <v>0</v>
      </c>
      <c r="J134" s="383">
        <f>IFERROR(I134/SUM(PROD!L131:L137),0)</f>
        <v>0</v>
      </c>
      <c r="K134" s="384">
        <f>IFERROR(J134/SUM(E130:E136,J130:J136,O130:O135),0)</f>
        <v>0</v>
      </c>
      <c r="L134" s="439" t="str">
        <f>$L$8</f>
        <v>Fletes</v>
      </c>
      <c r="M134" s="401">
        <f t="shared" si="26"/>
        <v>0</v>
      </c>
      <c r="N134" s="404">
        <f>M134*0.230769230769231</f>
        <v>0</v>
      </c>
      <c r="O134" s="383">
        <f>IFERROR(N134/SUM(PROD!L131:L137),0)</f>
        <v>0</v>
      </c>
      <c r="P134" s="384">
        <f>IFERROR(O134/SUM(E130:E136,J130:J136,O130:O135),0)</f>
        <v>0</v>
      </c>
      <c r="Q134" s="491" t="str">
        <f>$Q$8</f>
        <v>B</v>
      </c>
      <c r="R134" s="392">
        <f t="shared" si="17"/>
        <v>0</v>
      </c>
      <c r="S134" s="870">
        <f>SUM(PROD!AQ131:AQ137)</f>
        <v>0</v>
      </c>
      <c r="T134" s="492">
        <f>IF(AA130&gt;0,S134/AA130,0)</f>
        <v>0</v>
      </c>
      <c r="U134" s="395" t="str">
        <f>$U$8</f>
        <v>Rev. Gr.</v>
      </c>
      <c r="V134" s="412">
        <f t="shared" si="18"/>
        <v>0</v>
      </c>
      <c r="W134" s="873">
        <f>SUM(PROD!AT131:AT137)</f>
        <v>0</v>
      </c>
      <c r="X134" s="413">
        <f>IFERROR(W134/(AA135-AA133),0)</f>
        <v>0</v>
      </c>
      <c r="Y134" s="414" t="s">
        <v>262</v>
      </c>
      <c r="Z134" s="415">
        <f>IFERROR(SUMPRODUCT(V134:V136,W134:W136)/SUM(W134:W136),0)</f>
        <v>0</v>
      </c>
      <c r="AA134" s="416">
        <f>SUM(W134:W136)</f>
        <v>0</v>
      </c>
      <c r="AB134" s="497">
        <f>IF(AA135&gt;0,AA134/AA135,0)</f>
        <v>0</v>
      </c>
    </row>
    <row r="135" spans="1:28" ht="15.75" customHeight="1" x14ac:dyDescent="0.3">
      <c r="A135" s="2301"/>
      <c r="B135" s="438" t="str">
        <f>$B$9</f>
        <v>Vacunas y medicamentos</v>
      </c>
      <c r="C135" s="443">
        <f>C128</f>
        <v>0</v>
      </c>
      <c r="D135" s="387">
        <f>C135*12/52</f>
        <v>0</v>
      </c>
      <c r="E135" s="383">
        <f>IFERROR(D135/SUM(PROD!L131:L137),0)</f>
        <v>0</v>
      </c>
      <c r="F135" s="384">
        <f>IFERROR(E135/SUM(E130:E136,J130:J136,O130:O135),0)</f>
        <v>0</v>
      </c>
      <c r="G135" s="441" t="str">
        <f>$G$16</f>
        <v>Mantenimiento y Reparaciones</v>
      </c>
      <c r="H135" s="401">
        <f t="shared" si="16"/>
        <v>0</v>
      </c>
      <c r="I135" s="390">
        <f t="shared" si="27"/>
        <v>0</v>
      </c>
      <c r="J135" s="383">
        <f>IFERROR(I135/SUM(PROD!L131:L137),0)</f>
        <v>0</v>
      </c>
      <c r="K135" s="384">
        <f>IFERROR(J135/SUM(E130:E136,J130:J136,O130:O135),0)</f>
        <v>0</v>
      </c>
      <c r="L135" s="439">
        <f>$L$9</f>
        <v>0</v>
      </c>
      <c r="M135" s="401">
        <f t="shared" si="26"/>
        <v>0</v>
      </c>
      <c r="N135" s="404">
        <f>M135*0.230769230769231</f>
        <v>0</v>
      </c>
      <c r="O135" s="383">
        <f>IFERROR(N135/SUM(PROD!L131:L137),0)</f>
        <v>0</v>
      </c>
      <c r="P135" s="384">
        <f>IFERROR(O135/SUM(E130:E136,J130:J136,O130:O135),0)</f>
        <v>0</v>
      </c>
      <c r="Q135" s="491" t="str">
        <f>$Q$9</f>
        <v>C</v>
      </c>
      <c r="R135" s="392">
        <f t="shared" si="17"/>
        <v>0</v>
      </c>
      <c r="S135" s="870">
        <f>SUM(PROD!AR131:AR137)</f>
        <v>0</v>
      </c>
      <c r="T135" s="492">
        <f>IF(AA130&gt;0,S135/AA130,0)</f>
        <v>0</v>
      </c>
      <c r="U135" s="493" t="str">
        <f>$U$9</f>
        <v>Rev. Med</v>
      </c>
      <c r="V135" s="392">
        <f t="shared" si="18"/>
        <v>0</v>
      </c>
      <c r="W135" s="870">
        <f>SUM(PROD!AU131:AU137)</f>
        <v>0</v>
      </c>
      <c r="X135" s="498">
        <f>IFERROR(W135/(AA135-AA133),0)</f>
        <v>0</v>
      </c>
      <c r="Y135" s="2303" t="s">
        <v>325</v>
      </c>
      <c r="Z135" s="2305">
        <f>SUMPRODUCT(Z130:Z134,AB130:AB134)</f>
        <v>0</v>
      </c>
      <c r="AA135" s="2307">
        <f>SUM(AA130:AA133)</f>
        <v>0</v>
      </c>
      <c r="AB135" s="2308"/>
    </row>
    <row r="136" spans="1:28" ht="16.5" customHeight="1" thickBot="1" x14ac:dyDescent="0.35">
      <c r="A136" s="2302"/>
      <c r="B136" s="444" t="str">
        <f>$B$10</f>
        <v>Gastos de Personal</v>
      </c>
      <c r="C136" s="445">
        <f>C129</f>
        <v>0</v>
      </c>
      <c r="D136" s="421">
        <f>C136*12/52</f>
        <v>0</v>
      </c>
      <c r="E136" s="446">
        <f>IFERROR(D136/SUM(PROD!L131:L137),0)</f>
        <v>0</v>
      </c>
      <c r="F136" s="447">
        <f>IFERROR(E136/SUM(E130:E136,J130:J136,O130:O135),0)</f>
        <v>0</v>
      </c>
      <c r="G136" s="448" t="str">
        <f>$G$17</f>
        <v>Adecuación Instalaciones</v>
      </c>
      <c r="H136" s="445">
        <f t="shared" si="16"/>
        <v>0</v>
      </c>
      <c r="I136" s="426">
        <f t="shared" si="27"/>
        <v>0</v>
      </c>
      <c r="J136" s="446">
        <f>IFERROR(I136/SUM(PROD!L131:L137),0)</f>
        <v>0</v>
      </c>
      <c r="K136" s="447">
        <f>IFERROR(J136/SUM(E130:E136,J130:J136,O130:O135),0)</f>
        <v>0</v>
      </c>
      <c r="L136" s="2311" t="str">
        <f>$L$10</f>
        <v>TOTAL COSTO PRODUCCIÓN</v>
      </c>
      <c r="M136" s="2312"/>
      <c r="N136" s="427">
        <f>SUM(D130:D136,I130:I136,N130:N135)</f>
        <v>0</v>
      </c>
      <c r="O136" s="449">
        <f>IFERROR(N136/SUM(PROD!L131:L137),0)</f>
        <v>0</v>
      </c>
      <c r="P136" s="447">
        <f>IFERROR(O136/SUM(E130:E136,J130:J136,O130:O135),0)</f>
        <v>0</v>
      </c>
      <c r="Q136" s="429" t="str">
        <f>$Q$10</f>
        <v>D</v>
      </c>
      <c r="R136" s="499">
        <f t="shared" si="17"/>
        <v>0</v>
      </c>
      <c r="S136" s="871">
        <f>SUM(PROD!AS131:AS137)</f>
        <v>0</v>
      </c>
      <c r="T136" s="431">
        <f>IF(AA130&gt;0,S136/AA130,0)</f>
        <v>0</v>
      </c>
      <c r="U136" s="432" t="str">
        <f>$U$10</f>
        <v>Rev. Peq</v>
      </c>
      <c r="V136" s="499">
        <f t="shared" si="18"/>
        <v>0</v>
      </c>
      <c r="W136" s="871">
        <f>SUM(PROD!AV131:AV137)</f>
        <v>0</v>
      </c>
      <c r="X136" s="431">
        <f>IFERROR(W136/(AA135-AA133),0)</f>
        <v>0</v>
      </c>
      <c r="Y136" s="2304"/>
      <c r="Z136" s="2306"/>
      <c r="AA136" s="2309"/>
      <c r="AB136" s="2310"/>
    </row>
    <row r="137" spans="1:28" ht="16.5" customHeight="1" x14ac:dyDescent="0.3">
      <c r="A137" s="2300">
        <f>A130+1</f>
        <v>37</v>
      </c>
      <c r="B137" s="433" t="str">
        <f>$B$4</f>
        <v>ALIMENTO Kilos</v>
      </c>
      <c r="C137" s="435">
        <f>LOOKUP($A137,PROD!$A$5:$A$725,PROD!$AH$10:$AH$730)</f>
        <v>0</v>
      </c>
      <c r="D137" s="368">
        <f>C137*LOOKUP($A137,'Pr-Sem'!$A$6:$A$108,'Pr-Sem'!$N$6:$N$108)/(PROD!$A$1/1000)</f>
        <v>0</v>
      </c>
      <c r="E137" s="369">
        <f>IFERROR(D137/SUM(PROD!L138:L144),0)</f>
        <v>0</v>
      </c>
      <c r="F137" s="370">
        <f>IFERROR(E137/SUM(E137:E143,J137:J143,O137:O142),0)</f>
        <v>0</v>
      </c>
      <c r="G137" s="434" t="str">
        <f>$G$11</f>
        <v>Honorarios</v>
      </c>
      <c r="H137" s="435">
        <f t="shared" si="16"/>
        <v>0</v>
      </c>
      <c r="I137" s="372">
        <f t="shared" si="27"/>
        <v>0</v>
      </c>
      <c r="J137" s="369">
        <f>IFERROR(I137/SUM(PROD!L138:L144),0)</f>
        <v>0</v>
      </c>
      <c r="K137" s="370">
        <f>IFERROR(J137/SUM(E137:E143,J137:J143,O137:O142),0)</f>
        <v>0</v>
      </c>
      <c r="L137" s="436" t="str">
        <f>$L$4</f>
        <v>Gastos de Viaje</v>
      </c>
      <c r="M137" s="435">
        <f t="shared" ref="M137:M142" si="28">M130</f>
        <v>0</v>
      </c>
      <c r="N137" s="372">
        <f>M137*12/52</f>
        <v>0</v>
      </c>
      <c r="O137" s="369">
        <f>IFERROR(N137/SUM(PROD!L138:L144),0)</f>
        <v>0</v>
      </c>
      <c r="P137" s="370">
        <f>IFERROR(O137/SUM(E137:E143,J137:J143,O137:O142),0)</f>
        <v>0</v>
      </c>
      <c r="Q137" s="373" t="str">
        <f>$Q$4</f>
        <v>AAAA</v>
      </c>
      <c r="R137" s="374">
        <f t="shared" si="17"/>
        <v>0</v>
      </c>
      <c r="S137" s="869">
        <f>SUM(PROD!AM138:AM144)</f>
        <v>0</v>
      </c>
      <c r="T137" s="375">
        <f>IF(AA137&gt;0,S137/AA137,0)</f>
        <v>0</v>
      </c>
      <c r="U137" s="376" t="str">
        <f>$U$4</f>
        <v>Prob Color</v>
      </c>
      <c r="V137" s="374">
        <f t="shared" si="18"/>
        <v>0</v>
      </c>
      <c r="W137" s="869">
        <f>SUM(PROD!AW138:AW144)</f>
        <v>0</v>
      </c>
      <c r="X137" s="375">
        <f>IFERROR(W137/(AA142-AA140),0)</f>
        <v>0</v>
      </c>
      <c r="Y137" s="377" t="s">
        <v>323</v>
      </c>
      <c r="Z137" s="378">
        <f>SUMPRODUCT(R137:R143,T137:T143)</f>
        <v>0</v>
      </c>
      <c r="AA137" s="379">
        <f>SUM(S137:S143)</f>
        <v>0</v>
      </c>
      <c r="AB137" s="490">
        <f>IF(AA142&gt;0,AA137/AA142,0)</f>
        <v>0</v>
      </c>
    </row>
    <row r="138" spans="1:28" ht="15.75" customHeight="1" x14ac:dyDescent="0.3">
      <c r="A138" s="2301"/>
      <c r="B138" s="438" t="str">
        <f>$B$5</f>
        <v>Amortización de Aves</v>
      </c>
      <c r="C138" s="381">
        <f>IFERROR((C131-(D138/'Pr-Sem'!$O$2)),0)</f>
        <v>0</v>
      </c>
      <c r="D138" s="382">
        <f>SUM(PROD!L138:L144)*E138</f>
        <v>0</v>
      </c>
      <c r="E138" s="383">
        <f>IF(SUM(PROD!L138:L144)&gt;0,IFERROR(($C$1-$C$2)/LOOKUP($B$2,'Pr-Sem'!$A$6:$A$108,'Pr-Sem'!$L$6:$L$108)*(LOOKUP(INVENTARIOS!$A137,'Pr-Sem'!$A$6:$A$108,'Pr-Sem'!$L$6:$L$108)-LOOKUP(INVENTARIOS!$A137-1,'Pr-Sem'!$A$6:$A$108,'Pr-Sem'!$L$6:$L$108))/(LOOKUP(INVENTARIOS!$A137,'Pr-Sem'!$A$6:$A$108,'Pr-Sem'!$K$6:$K$108)-LOOKUP(INVENTARIOS!$A137-1,'Pr-Sem'!$A$6:$A$108,'Pr-Sem'!$K$6:$K$108)),0),0)</f>
        <v>0</v>
      </c>
      <c r="F138" s="384">
        <f>IFERROR(E138/SUM(E137:E143,J137:J143,O137:O142),0)</f>
        <v>0</v>
      </c>
      <c r="G138" s="439" t="str">
        <f>$G$12</f>
        <v>Impuestos</v>
      </c>
      <c r="H138" s="440">
        <f t="shared" si="16"/>
        <v>0</v>
      </c>
      <c r="I138" s="387">
        <f t="shared" si="27"/>
        <v>0</v>
      </c>
      <c r="J138" s="383">
        <f>IFERROR(I138/SUM(PROD!L138:L144),0)</f>
        <v>0</v>
      </c>
      <c r="K138" s="384">
        <f>IFERROR(J138/SUM(E137:E143,J137:J143,O137:O142),0)</f>
        <v>0</v>
      </c>
      <c r="L138" s="439" t="str">
        <f>$L$5</f>
        <v>Depreciaciones</v>
      </c>
      <c r="M138" s="401">
        <f t="shared" si="28"/>
        <v>0</v>
      </c>
      <c r="N138" s="390">
        <f>M138*12/52</f>
        <v>0</v>
      </c>
      <c r="O138" s="383">
        <f>IFERROR(N138/SUM(PROD!L138:L144),0)</f>
        <v>0</v>
      </c>
      <c r="P138" s="384">
        <f>IFERROR(O138/SUM(E137:E143,J137:J143,O137:O142),0)</f>
        <v>0</v>
      </c>
      <c r="Q138" s="491" t="str">
        <f>$Q$5</f>
        <v>AAA</v>
      </c>
      <c r="R138" s="392">
        <f t="shared" si="17"/>
        <v>0</v>
      </c>
      <c r="S138" s="870">
        <f>SUM(PROD!AN138:AN144)</f>
        <v>0</v>
      </c>
      <c r="T138" s="492">
        <f>IF(AA137&gt;0,S138/AA137,0)</f>
        <v>0</v>
      </c>
      <c r="U138" s="493" t="str">
        <f>$U$5</f>
        <v>Prob Cásc</v>
      </c>
      <c r="V138" s="392">
        <f t="shared" si="18"/>
        <v>0</v>
      </c>
      <c r="W138" s="870">
        <f>SUM(PROD!AX138:AX144)</f>
        <v>0</v>
      </c>
      <c r="X138" s="492">
        <f>IFERROR(W138/(AA142-AA140),0)</f>
        <v>0</v>
      </c>
      <c r="Y138" s="395" t="s">
        <v>324</v>
      </c>
      <c r="Z138" s="396">
        <f>IFERROR(SUMPRODUCT(V137:V140,W137:W140)/SUM(W137:W140),0)</f>
        <v>0</v>
      </c>
      <c r="AA138" s="397">
        <f>SUM(W137:W140)</f>
        <v>0</v>
      </c>
      <c r="AB138" s="494">
        <f>IF(AA142&gt;0,AA138/AA142,0)</f>
        <v>0</v>
      </c>
    </row>
    <row r="139" spans="1:28" ht="15.75" customHeight="1" x14ac:dyDescent="0.3">
      <c r="A139" s="2301"/>
      <c r="B139" s="399" t="str">
        <f>$B$6</f>
        <v>Bandeja</v>
      </c>
      <c r="C139" s="400">
        <f>C132</f>
        <v>0</v>
      </c>
      <c r="D139" s="387">
        <f>C139*SUM(INVENTARIOS!R137:R143)</f>
        <v>0</v>
      </c>
      <c r="E139" s="383">
        <f>IFERROR(D139/SUM(PROD!L138:L144),0)</f>
        <v>0</v>
      </c>
      <c r="F139" s="384">
        <f>IFERROR(E139/SUM(E137:E143,J137:J143,O137:O142),0)</f>
        <v>0</v>
      </c>
      <c r="G139" s="439" t="str">
        <f>$G$13</f>
        <v>Arrendamientos</v>
      </c>
      <c r="H139" s="401">
        <f t="shared" ref="H139:H202" si="29">H132</f>
        <v>0</v>
      </c>
      <c r="I139" s="390">
        <f t="shared" si="27"/>
        <v>0</v>
      </c>
      <c r="J139" s="383">
        <f>IFERROR(I139/SUM(PROD!L138:L144),0)</f>
        <v>0</v>
      </c>
      <c r="K139" s="384">
        <f>IFERROR(J139/SUM(E137:E143,J137:J143,O137:O142),0)</f>
        <v>0</v>
      </c>
      <c r="L139" s="439" t="str">
        <f>$L$6</f>
        <v>Diversos</v>
      </c>
      <c r="M139" s="401">
        <f t="shared" si="28"/>
        <v>0</v>
      </c>
      <c r="N139" s="390">
        <f>M139*12/52</f>
        <v>0</v>
      </c>
      <c r="O139" s="383">
        <f>IFERROR(N139/SUM(PROD!L138:L144),0)</f>
        <v>0</v>
      </c>
      <c r="P139" s="384">
        <f>IFERROR(O139/SUM(E137:E143,J137:J143,O137:O142),0)</f>
        <v>0</v>
      </c>
      <c r="Q139" s="491" t="str">
        <f>$Q$6</f>
        <v>AA</v>
      </c>
      <c r="R139" s="392">
        <f t="shared" ref="R139:R202" si="30">R132</f>
        <v>0</v>
      </c>
      <c r="S139" s="870">
        <f>SUM(PROD!AO138:AO144)</f>
        <v>0</v>
      </c>
      <c r="T139" s="492">
        <f>IF(AA137&gt;0,S139/AA137,0)</f>
        <v>0</v>
      </c>
      <c r="U139" s="493" t="str">
        <f>$U$6</f>
        <v>Vencido</v>
      </c>
      <c r="V139" s="392">
        <f t="shared" ref="V139:V202" si="31">V132</f>
        <v>0</v>
      </c>
      <c r="W139" s="870">
        <f>SUM(PROD!AY138:AY144)</f>
        <v>0</v>
      </c>
      <c r="X139" s="492">
        <f>IFERROR(W139/(AA142-AA140),0)</f>
        <v>0</v>
      </c>
      <c r="Y139" s="402" t="s">
        <v>391</v>
      </c>
      <c r="Z139" s="456">
        <v>0</v>
      </c>
      <c r="AA139" s="720"/>
      <c r="AB139" s="495">
        <f>IF(AA142&gt;0,AA139/AA142,0)</f>
        <v>0</v>
      </c>
    </row>
    <row r="140" spans="1:28" ht="15.75" customHeight="1" x14ac:dyDescent="0.3">
      <c r="A140" s="2301"/>
      <c r="B140" s="438" t="str">
        <f>$B$7</f>
        <v>Mortalidad Aves</v>
      </c>
      <c r="C140" s="401">
        <f>IF(A137&lt;=$B$2,C138+$C$2,0)</f>
        <v>0</v>
      </c>
      <c r="D140" s="390">
        <f>C140*SUM(PROD!D138:D144)</f>
        <v>0</v>
      </c>
      <c r="E140" s="383">
        <f>IFERROR(D140/SUM(PROD!L138:L144),0)</f>
        <v>0</v>
      </c>
      <c r="F140" s="384">
        <f>IFERROR(E140/SUM(E137:E143,J137:J143,O137:O142),0)</f>
        <v>0</v>
      </c>
      <c r="G140" s="439" t="str">
        <f>$G$14</f>
        <v>Servicios Públicos</v>
      </c>
      <c r="H140" s="401">
        <f t="shared" si="29"/>
        <v>0</v>
      </c>
      <c r="I140" s="390">
        <f t="shared" si="27"/>
        <v>0</v>
      </c>
      <c r="J140" s="383">
        <f>IFERROR(I140/SUM(PROD!L138:L144),0)</f>
        <v>0</v>
      </c>
      <c r="K140" s="384">
        <f>IFERROR(J140/SUM(E137:E143,J137:J143,O137:O142),0)</f>
        <v>0</v>
      </c>
      <c r="L140" s="441" t="str">
        <f>$L$7</f>
        <v>Administrativos</v>
      </c>
      <c r="M140" s="401">
        <f t="shared" si="28"/>
        <v>0</v>
      </c>
      <c r="N140" s="404">
        <f>M140*0.230769230769231</f>
        <v>0</v>
      </c>
      <c r="O140" s="383">
        <f>IFERROR(N140/SUM(PROD!L138:L144),0)</f>
        <v>0</v>
      </c>
      <c r="P140" s="384">
        <f>IFERROR(O140/SUM(E137:E143,J137:J143,O137:O142),0)</f>
        <v>0</v>
      </c>
      <c r="Q140" s="491" t="str">
        <f>$Q$7</f>
        <v>A</v>
      </c>
      <c r="R140" s="392">
        <f t="shared" si="30"/>
        <v>0</v>
      </c>
      <c r="S140" s="870">
        <f>SUM(PROD!AP138:AP144)</f>
        <v>0</v>
      </c>
      <c r="T140" s="492">
        <f>IF(AA137&gt;0,S140/AA137,0)</f>
        <v>0</v>
      </c>
      <c r="U140" s="405" t="str">
        <f>$U$7</f>
        <v>Roto</v>
      </c>
      <c r="V140" s="406">
        <f t="shared" si="31"/>
        <v>0</v>
      </c>
      <c r="W140" s="872">
        <f>SUM(PROD!AZ138:AZ144)</f>
        <v>0</v>
      </c>
      <c r="X140" s="407">
        <f>IFERROR(W140/(AA142-AA140),0)</f>
        <v>0</v>
      </c>
      <c r="Y140" s="408" t="s">
        <v>359</v>
      </c>
      <c r="Z140" s="442">
        <v>215</v>
      </c>
      <c r="AA140" s="410">
        <f>SUM(PROD!L138:L144)-SUM(W137:W143)-SUM(S137:S143)-AA139</f>
        <v>0</v>
      </c>
      <c r="AB140" s="496">
        <f>IF(AA142&gt;0,AA140/AA142,0)</f>
        <v>0</v>
      </c>
    </row>
    <row r="141" spans="1:28" ht="15.75" customHeight="1" x14ac:dyDescent="0.3">
      <c r="A141" s="2301"/>
      <c r="B141" s="399" t="str">
        <f>$B$8</f>
        <v>Materia Prima (Carb Ca, etc.)</v>
      </c>
      <c r="C141" s="440">
        <f>C134</f>
        <v>0</v>
      </c>
      <c r="D141" s="387">
        <f>C141*12/52</f>
        <v>0</v>
      </c>
      <c r="E141" s="383">
        <f>IFERROR(D141/SUM(PROD!L138:L144),0)</f>
        <v>0</v>
      </c>
      <c r="F141" s="384">
        <f>IFERROR(E141/SUM(E137:E143,J137:J143,O137:O142),0)</f>
        <v>0</v>
      </c>
      <c r="G141" s="441" t="str">
        <f>$G$15</f>
        <v>Gastos Legales</v>
      </c>
      <c r="H141" s="401">
        <f t="shared" si="29"/>
        <v>0</v>
      </c>
      <c r="I141" s="390">
        <f t="shared" si="27"/>
        <v>0</v>
      </c>
      <c r="J141" s="383">
        <f>IFERROR(I141/SUM(PROD!L138:L144),0)</f>
        <v>0</v>
      </c>
      <c r="K141" s="384">
        <f>IFERROR(J141/SUM(E137:E143,J137:J143,O137:O142),0)</f>
        <v>0</v>
      </c>
      <c r="L141" s="439" t="str">
        <f>$L$8</f>
        <v>Fletes</v>
      </c>
      <c r="M141" s="401">
        <f t="shared" si="28"/>
        <v>0</v>
      </c>
      <c r="N141" s="404">
        <f>M141*0.230769230769231</f>
        <v>0</v>
      </c>
      <c r="O141" s="383">
        <f>IFERROR(N141/SUM(PROD!L138:L144),0)</f>
        <v>0</v>
      </c>
      <c r="P141" s="384">
        <f>IFERROR(O141/SUM(E137:E143,J137:J143,O137:O142),0)</f>
        <v>0</v>
      </c>
      <c r="Q141" s="491" t="str">
        <f>$Q$8</f>
        <v>B</v>
      </c>
      <c r="R141" s="392">
        <f t="shared" si="30"/>
        <v>0</v>
      </c>
      <c r="S141" s="870">
        <f>SUM(PROD!AQ138:AQ144)</f>
        <v>0</v>
      </c>
      <c r="T141" s="492">
        <f>IF(AA137&gt;0,S141/AA137,0)</f>
        <v>0</v>
      </c>
      <c r="U141" s="395" t="str">
        <f>$U$8</f>
        <v>Rev. Gr.</v>
      </c>
      <c r="V141" s="412">
        <f t="shared" si="31"/>
        <v>0</v>
      </c>
      <c r="W141" s="873">
        <f>SUM(PROD!AT138:AT144)</f>
        <v>0</v>
      </c>
      <c r="X141" s="413">
        <f>IFERROR(W141/(AA142-AA140),0)</f>
        <v>0</v>
      </c>
      <c r="Y141" s="414" t="s">
        <v>262</v>
      </c>
      <c r="Z141" s="415">
        <f>IFERROR(SUMPRODUCT(V141:V143,W141:W143)/SUM(W141:W143),0)</f>
        <v>0</v>
      </c>
      <c r="AA141" s="416">
        <f>SUM(W141:W143)</f>
        <v>0</v>
      </c>
      <c r="AB141" s="497">
        <f>IF(AA142&gt;0,AA141/AA142,0)</f>
        <v>0</v>
      </c>
    </row>
    <row r="142" spans="1:28" ht="15.75" customHeight="1" x14ac:dyDescent="0.3">
      <c r="A142" s="2301"/>
      <c r="B142" s="438" t="str">
        <f>$B$9</f>
        <v>Vacunas y medicamentos</v>
      </c>
      <c r="C142" s="443">
        <f>C135</f>
        <v>0</v>
      </c>
      <c r="D142" s="387">
        <f>C142*12/52</f>
        <v>0</v>
      </c>
      <c r="E142" s="383">
        <f>IFERROR(D142/SUM(PROD!L138:L144),0)</f>
        <v>0</v>
      </c>
      <c r="F142" s="384">
        <f>IFERROR(E142/SUM(E137:E143,J137:J143,O137:O142),0)</f>
        <v>0</v>
      </c>
      <c r="G142" s="441" t="str">
        <f>$G$16</f>
        <v>Mantenimiento y Reparaciones</v>
      </c>
      <c r="H142" s="401">
        <f t="shared" si="29"/>
        <v>0</v>
      </c>
      <c r="I142" s="390">
        <f t="shared" si="27"/>
        <v>0</v>
      </c>
      <c r="J142" s="383">
        <f>IFERROR(I142/SUM(PROD!L138:L144),0)</f>
        <v>0</v>
      </c>
      <c r="K142" s="384">
        <f>IFERROR(J142/SUM(E137:E143,J137:J143,O137:O142),0)</f>
        <v>0</v>
      </c>
      <c r="L142" s="439">
        <f>$L$9</f>
        <v>0</v>
      </c>
      <c r="M142" s="401">
        <f t="shared" si="28"/>
        <v>0</v>
      </c>
      <c r="N142" s="404">
        <f>M142*0.230769230769231</f>
        <v>0</v>
      </c>
      <c r="O142" s="383">
        <f>IFERROR(N142/SUM(PROD!L138:L144),0)</f>
        <v>0</v>
      </c>
      <c r="P142" s="384">
        <f>IFERROR(O142/SUM(E137:E143,J137:J143,O137:O142),0)</f>
        <v>0</v>
      </c>
      <c r="Q142" s="491" t="str">
        <f>$Q$9</f>
        <v>C</v>
      </c>
      <c r="R142" s="392">
        <f t="shared" si="30"/>
        <v>0</v>
      </c>
      <c r="S142" s="870">
        <f>SUM(PROD!AR138:AR144)</f>
        <v>0</v>
      </c>
      <c r="T142" s="492">
        <f>IF(AA137&gt;0,S142/AA137,0)</f>
        <v>0</v>
      </c>
      <c r="U142" s="493" t="str">
        <f>$U$9</f>
        <v>Rev. Med</v>
      </c>
      <c r="V142" s="392">
        <f t="shared" si="31"/>
        <v>0</v>
      </c>
      <c r="W142" s="870">
        <f>SUM(PROD!AU138:AU144)</f>
        <v>0</v>
      </c>
      <c r="X142" s="498">
        <f>IFERROR(W142/(AA142-AA140),0)</f>
        <v>0</v>
      </c>
      <c r="Y142" s="2303" t="s">
        <v>325</v>
      </c>
      <c r="Z142" s="2305">
        <f>SUMPRODUCT(Z137:Z141,AB137:AB141)</f>
        <v>0</v>
      </c>
      <c r="AA142" s="2307">
        <f>SUM(AA137:AA140)</f>
        <v>0</v>
      </c>
      <c r="AB142" s="2308"/>
    </row>
    <row r="143" spans="1:28" ht="16.5" customHeight="1" thickBot="1" x14ac:dyDescent="0.35">
      <c r="A143" s="2302"/>
      <c r="B143" s="444" t="str">
        <f>$B$10</f>
        <v>Gastos de Personal</v>
      </c>
      <c r="C143" s="445">
        <f>C136</f>
        <v>0</v>
      </c>
      <c r="D143" s="421">
        <f>C143*12/52</f>
        <v>0</v>
      </c>
      <c r="E143" s="446">
        <f>IFERROR(D143/SUM(PROD!L138:L144),0)</f>
        <v>0</v>
      </c>
      <c r="F143" s="447">
        <f>IFERROR(E143/SUM(E137:E143,J137:J143,O137:O142),0)</f>
        <v>0</v>
      </c>
      <c r="G143" s="448" t="str">
        <f>$G$17</f>
        <v>Adecuación Instalaciones</v>
      </c>
      <c r="H143" s="445">
        <f t="shared" si="29"/>
        <v>0</v>
      </c>
      <c r="I143" s="426">
        <f t="shared" si="27"/>
        <v>0</v>
      </c>
      <c r="J143" s="446">
        <f>IFERROR(I143/SUM(PROD!L138:L144),0)</f>
        <v>0</v>
      </c>
      <c r="K143" s="447">
        <f>IFERROR(J143/SUM(E137:E143,J137:J143,O137:O142),0)</f>
        <v>0</v>
      </c>
      <c r="L143" s="2311" t="str">
        <f>$L$10</f>
        <v>TOTAL COSTO PRODUCCIÓN</v>
      </c>
      <c r="M143" s="2312"/>
      <c r="N143" s="427">
        <f>SUM(D137:D143,I137:I143,N137:N142)</f>
        <v>0</v>
      </c>
      <c r="O143" s="449">
        <f>IFERROR(N143/SUM(PROD!L138:L144),0)</f>
        <v>0</v>
      </c>
      <c r="P143" s="447">
        <f>IFERROR(O143/SUM(E137:E143,J137:J143,O137:O142),0)</f>
        <v>0</v>
      </c>
      <c r="Q143" s="429" t="str">
        <f>$Q$10</f>
        <v>D</v>
      </c>
      <c r="R143" s="499">
        <f t="shared" si="30"/>
        <v>0</v>
      </c>
      <c r="S143" s="871">
        <f>SUM(PROD!AS138:AS144)</f>
        <v>0</v>
      </c>
      <c r="T143" s="431">
        <f>IF(AA137&gt;0,S143/AA137,0)</f>
        <v>0</v>
      </c>
      <c r="U143" s="432" t="str">
        <f>$U$10</f>
        <v>Rev. Peq</v>
      </c>
      <c r="V143" s="499">
        <f t="shared" si="31"/>
        <v>0</v>
      </c>
      <c r="W143" s="871">
        <f>SUM(PROD!AV138:AV144)</f>
        <v>0</v>
      </c>
      <c r="X143" s="431">
        <f>IFERROR(W143/(AA142-AA140),0)</f>
        <v>0</v>
      </c>
      <c r="Y143" s="2304"/>
      <c r="Z143" s="2306"/>
      <c r="AA143" s="2309"/>
      <c r="AB143" s="2310"/>
    </row>
    <row r="144" spans="1:28" ht="16.5" customHeight="1" x14ac:dyDescent="0.3">
      <c r="A144" s="2300">
        <f>A137+1</f>
        <v>38</v>
      </c>
      <c r="B144" s="433" t="str">
        <f>$B$4</f>
        <v>ALIMENTO Kilos</v>
      </c>
      <c r="C144" s="435">
        <f>LOOKUP($A144,PROD!$A$5:$A$725,PROD!$AH$10:$AH$730)</f>
        <v>0</v>
      </c>
      <c r="D144" s="368">
        <f>C144*LOOKUP($A144,'Pr-Sem'!$A$6:$A$108,'Pr-Sem'!$N$6:$N$108)/(PROD!$A$1/1000)</f>
        <v>0</v>
      </c>
      <c r="E144" s="369">
        <f>IFERROR(D144/SUM(PROD!L145:L151),0)</f>
        <v>0</v>
      </c>
      <c r="F144" s="370">
        <f>IFERROR(E144/SUM(E144:E150,J144:J150,O144:O149),0)</f>
        <v>0</v>
      </c>
      <c r="G144" s="434" t="str">
        <f>$G$11</f>
        <v>Honorarios</v>
      </c>
      <c r="H144" s="435">
        <f t="shared" si="29"/>
        <v>0</v>
      </c>
      <c r="I144" s="372">
        <f t="shared" si="27"/>
        <v>0</v>
      </c>
      <c r="J144" s="369">
        <f>IFERROR(I144/SUM(PROD!L145:L151),0)</f>
        <v>0</v>
      </c>
      <c r="K144" s="370">
        <f>IFERROR(J144/SUM(E144:E150,J144:J150,O144:O149),0)</f>
        <v>0</v>
      </c>
      <c r="L144" s="436" t="str">
        <f>$L$4</f>
        <v>Gastos de Viaje</v>
      </c>
      <c r="M144" s="435">
        <f t="shared" ref="M144:M149" si="32">M137</f>
        <v>0</v>
      </c>
      <c r="N144" s="372">
        <f>M144*12/52</f>
        <v>0</v>
      </c>
      <c r="O144" s="369">
        <f>IFERROR(N144/SUM(PROD!L145:L151),0)</f>
        <v>0</v>
      </c>
      <c r="P144" s="370">
        <f>IFERROR(O144/SUM(E144:E150,J144:J150,O144:O149),0)</f>
        <v>0</v>
      </c>
      <c r="Q144" s="373" t="str">
        <f>$Q$4</f>
        <v>AAAA</v>
      </c>
      <c r="R144" s="374">
        <f t="shared" si="30"/>
        <v>0</v>
      </c>
      <c r="S144" s="869">
        <f>SUM(PROD!AM145:AM151)</f>
        <v>0</v>
      </c>
      <c r="T144" s="375">
        <f>IF(AA144&gt;0,S144/AA144,0)</f>
        <v>0</v>
      </c>
      <c r="U144" s="376" t="str">
        <f>$U$4</f>
        <v>Prob Color</v>
      </c>
      <c r="V144" s="374">
        <f t="shared" si="31"/>
        <v>0</v>
      </c>
      <c r="W144" s="869">
        <f>SUM(PROD!AW145:AW151)</f>
        <v>0</v>
      </c>
      <c r="X144" s="375">
        <f>IFERROR(W144/(AA149-AA147),0)</f>
        <v>0</v>
      </c>
      <c r="Y144" s="377" t="s">
        <v>323</v>
      </c>
      <c r="Z144" s="378">
        <f>SUMPRODUCT(R144:R150,T144:T150)</f>
        <v>0</v>
      </c>
      <c r="AA144" s="379">
        <f>SUM(S144:S150)</f>
        <v>0</v>
      </c>
      <c r="AB144" s="490">
        <f>IF(AA149&gt;0,AA144/AA149,0)</f>
        <v>0</v>
      </c>
    </row>
    <row r="145" spans="1:28" ht="15.75" customHeight="1" x14ac:dyDescent="0.3">
      <c r="A145" s="2301"/>
      <c r="B145" s="438" t="str">
        <f>$B$5</f>
        <v>Amortización de Aves</v>
      </c>
      <c r="C145" s="381">
        <f>IFERROR((C138-(D145/'Pr-Sem'!$O$2)),0)</f>
        <v>0</v>
      </c>
      <c r="D145" s="382">
        <f>SUM(PROD!L145:L151)*E145</f>
        <v>0</v>
      </c>
      <c r="E145" s="383">
        <f>IF(SUM(PROD!L145:L151)&gt;0,IFERROR(($C$1-$C$2)/LOOKUP($B$2,'Pr-Sem'!$A$6:$A$108,'Pr-Sem'!$L$6:$L$108)*(LOOKUP(INVENTARIOS!$A144,'Pr-Sem'!$A$6:$A$108,'Pr-Sem'!$L$6:$L$108)-LOOKUP(INVENTARIOS!$A144-1,'Pr-Sem'!$A$6:$A$108,'Pr-Sem'!$L$6:$L$108))/(LOOKUP(INVENTARIOS!$A144,'Pr-Sem'!$A$6:$A$108,'Pr-Sem'!$K$6:$K$108)-LOOKUP(INVENTARIOS!$A144-1,'Pr-Sem'!$A$6:$A$108,'Pr-Sem'!$K$6:$K$108)),0),0)</f>
        <v>0</v>
      </c>
      <c r="F145" s="384">
        <f>IFERROR(E145/SUM(E144:E150,J144:J150,O144:O149),0)</f>
        <v>0</v>
      </c>
      <c r="G145" s="439" t="str">
        <f>$G$12</f>
        <v>Impuestos</v>
      </c>
      <c r="H145" s="440">
        <f t="shared" si="29"/>
        <v>0</v>
      </c>
      <c r="I145" s="387">
        <f t="shared" si="27"/>
        <v>0</v>
      </c>
      <c r="J145" s="383">
        <f>IFERROR(I145/SUM(PROD!L145:L151),0)</f>
        <v>0</v>
      </c>
      <c r="K145" s="384">
        <f>IFERROR(J145/SUM(E144:E150,J144:J150,O144:O149),0)</f>
        <v>0</v>
      </c>
      <c r="L145" s="439" t="str">
        <f>$L$5</f>
        <v>Depreciaciones</v>
      </c>
      <c r="M145" s="401">
        <f t="shared" si="32"/>
        <v>0</v>
      </c>
      <c r="N145" s="390">
        <f>M145*12/52</f>
        <v>0</v>
      </c>
      <c r="O145" s="383">
        <f>IFERROR(N145/SUM(PROD!L145:L151),0)</f>
        <v>0</v>
      </c>
      <c r="P145" s="384">
        <f>IFERROR(O145/SUM(E144:E150,J144:J150,O144:O149),0)</f>
        <v>0</v>
      </c>
      <c r="Q145" s="491" t="str">
        <f>$Q$5</f>
        <v>AAA</v>
      </c>
      <c r="R145" s="392">
        <f t="shared" si="30"/>
        <v>0</v>
      </c>
      <c r="S145" s="870">
        <f>SUM(PROD!AN145:AN151)</f>
        <v>0</v>
      </c>
      <c r="T145" s="492">
        <f>IF(AA144&gt;0,S145/AA144,0)</f>
        <v>0</v>
      </c>
      <c r="U145" s="493" t="str">
        <f>$U$5</f>
        <v>Prob Cásc</v>
      </c>
      <c r="V145" s="392">
        <f t="shared" si="31"/>
        <v>0</v>
      </c>
      <c r="W145" s="870">
        <f>SUM(PROD!AX145:AX151)</f>
        <v>0</v>
      </c>
      <c r="X145" s="492">
        <f>IFERROR(W145/(AA149-AA147),0)</f>
        <v>0</v>
      </c>
      <c r="Y145" s="395" t="s">
        <v>324</v>
      </c>
      <c r="Z145" s="396">
        <f>IFERROR(SUMPRODUCT(V144:V147,W144:W147)/SUM(W144:W147),0)</f>
        <v>0</v>
      </c>
      <c r="AA145" s="397">
        <f>SUM(W144:W147)</f>
        <v>0</v>
      </c>
      <c r="AB145" s="494">
        <f>IF(AA149&gt;0,AA145/AA149,0)</f>
        <v>0</v>
      </c>
    </row>
    <row r="146" spans="1:28" ht="15.75" customHeight="1" x14ac:dyDescent="0.3">
      <c r="A146" s="2301"/>
      <c r="B146" s="399" t="str">
        <f>$B$6</f>
        <v>Bandeja</v>
      </c>
      <c r="C146" s="400">
        <f>C139</f>
        <v>0</v>
      </c>
      <c r="D146" s="387">
        <f>C146*SUM(INVENTARIOS!R144:R150)</f>
        <v>0</v>
      </c>
      <c r="E146" s="383">
        <f>IFERROR(D146/SUM(PROD!L145:L151),0)</f>
        <v>0</v>
      </c>
      <c r="F146" s="384">
        <f>IFERROR(E146/SUM(E144:E150,J144:J150,O144:O149),0)</f>
        <v>0</v>
      </c>
      <c r="G146" s="439" t="str">
        <f>$G$13</f>
        <v>Arrendamientos</v>
      </c>
      <c r="H146" s="401">
        <f t="shared" si="29"/>
        <v>0</v>
      </c>
      <c r="I146" s="390">
        <f t="shared" si="27"/>
        <v>0</v>
      </c>
      <c r="J146" s="383">
        <f>IFERROR(I146/SUM(PROD!L145:L151),0)</f>
        <v>0</v>
      </c>
      <c r="K146" s="384">
        <f>IFERROR(J146/SUM(E144:E150,J144:J150,O144:O149),0)</f>
        <v>0</v>
      </c>
      <c r="L146" s="439" t="str">
        <f>$L$6</f>
        <v>Diversos</v>
      </c>
      <c r="M146" s="401">
        <f t="shared" si="32"/>
        <v>0</v>
      </c>
      <c r="N146" s="390">
        <f>M146*12/52</f>
        <v>0</v>
      </c>
      <c r="O146" s="383">
        <f>IFERROR(N146/SUM(PROD!L145:L151),0)</f>
        <v>0</v>
      </c>
      <c r="P146" s="384">
        <f>IFERROR(O146/SUM(E144:E150,J144:J150,O144:O149),0)</f>
        <v>0</v>
      </c>
      <c r="Q146" s="491" t="str">
        <f>$Q$6</f>
        <v>AA</v>
      </c>
      <c r="R146" s="392">
        <f t="shared" si="30"/>
        <v>0</v>
      </c>
      <c r="S146" s="870">
        <f>SUM(PROD!AO145:AO151)</f>
        <v>0</v>
      </c>
      <c r="T146" s="492">
        <f>IF(AA144&gt;0,S146/AA144,0)</f>
        <v>0</v>
      </c>
      <c r="U146" s="493" t="str">
        <f>$U$6</f>
        <v>Vencido</v>
      </c>
      <c r="V146" s="392">
        <f t="shared" si="31"/>
        <v>0</v>
      </c>
      <c r="W146" s="870">
        <f>SUM(PROD!AY145:AY151)</f>
        <v>0</v>
      </c>
      <c r="X146" s="492">
        <f>IFERROR(W146/(AA149-AA147),0)</f>
        <v>0</v>
      </c>
      <c r="Y146" s="402" t="s">
        <v>391</v>
      </c>
      <c r="Z146" s="456">
        <v>0</v>
      </c>
      <c r="AA146" s="720"/>
      <c r="AB146" s="495">
        <f>IF(AA149&gt;0,AA146/AA149,0)</f>
        <v>0</v>
      </c>
    </row>
    <row r="147" spans="1:28" ht="15.75" customHeight="1" x14ac:dyDescent="0.3">
      <c r="A147" s="2301"/>
      <c r="B147" s="438" t="str">
        <f>$B$7</f>
        <v>Mortalidad Aves</v>
      </c>
      <c r="C147" s="401">
        <f>IF(A144&lt;=$B$2,C145+$C$2,0)</f>
        <v>0</v>
      </c>
      <c r="D147" s="390">
        <f>C147*SUM(PROD!D145:D151)</f>
        <v>0</v>
      </c>
      <c r="E147" s="383">
        <f>IFERROR(D147/SUM(PROD!L145:L151),0)</f>
        <v>0</v>
      </c>
      <c r="F147" s="384">
        <f>IFERROR(E147/SUM(E144:E150,J144:J150,O144:O149),0)</f>
        <v>0</v>
      </c>
      <c r="G147" s="439" t="str">
        <f>$G$14</f>
        <v>Servicios Públicos</v>
      </c>
      <c r="H147" s="401">
        <f t="shared" si="29"/>
        <v>0</v>
      </c>
      <c r="I147" s="390">
        <f t="shared" si="27"/>
        <v>0</v>
      </c>
      <c r="J147" s="383">
        <f>IFERROR(I147/SUM(PROD!L145:L151),0)</f>
        <v>0</v>
      </c>
      <c r="K147" s="384">
        <f>IFERROR(J147/SUM(E144:E150,J144:J150,O144:O149),0)</f>
        <v>0</v>
      </c>
      <c r="L147" s="441" t="str">
        <f>$L$7</f>
        <v>Administrativos</v>
      </c>
      <c r="M147" s="401">
        <f t="shared" si="32"/>
        <v>0</v>
      </c>
      <c r="N147" s="404">
        <f>M147*0.230769230769231</f>
        <v>0</v>
      </c>
      <c r="O147" s="383">
        <f>IFERROR(N147/SUM(PROD!L145:L151),0)</f>
        <v>0</v>
      </c>
      <c r="P147" s="384">
        <f>IFERROR(O147/SUM(E144:E150,J144:J150,O144:O149),0)</f>
        <v>0</v>
      </c>
      <c r="Q147" s="491" t="str">
        <f>$Q$7</f>
        <v>A</v>
      </c>
      <c r="R147" s="392">
        <f t="shared" si="30"/>
        <v>0</v>
      </c>
      <c r="S147" s="870">
        <f>SUM(PROD!AP145:AP151)</f>
        <v>0</v>
      </c>
      <c r="T147" s="492">
        <f>IF(AA144&gt;0,S147/AA144,0)</f>
        <v>0</v>
      </c>
      <c r="U147" s="405" t="str">
        <f>$U$7</f>
        <v>Roto</v>
      </c>
      <c r="V147" s="406">
        <f t="shared" si="31"/>
        <v>0</v>
      </c>
      <c r="W147" s="872">
        <f>SUM(PROD!AZ145:AZ151)</f>
        <v>0</v>
      </c>
      <c r="X147" s="407">
        <f>IFERROR(W147/(AA149-AA147),0)</f>
        <v>0</v>
      </c>
      <c r="Y147" s="408" t="s">
        <v>359</v>
      </c>
      <c r="Z147" s="442">
        <v>215</v>
      </c>
      <c r="AA147" s="410">
        <f>SUM(PROD!L145:L151)-SUM(W144:W150)-SUM(S144:S150)-AA146</f>
        <v>0</v>
      </c>
      <c r="AB147" s="496">
        <f>IF(AA149&gt;0,AA147/AA149,0)</f>
        <v>0</v>
      </c>
    </row>
    <row r="148" spans="1:28" ht="15.75" customHeight="1" x14ac:dyDescent="0.3">
      <c r="A148" s="2301"/>
      <c r="B148" s="399" t="str">
        <f>$B$8</f>
        <v>Materia Prima (Carb Ca, etc.)</v>
      </c>
      <c r="C148" s="440">
        <f>C141</f>
        <v>0</v>
      </c>
      <c r="D148" s="387">
        <f>C148*12/52</f>
        <v>0</v>
      </c>
      <c r="E148" s="383">
        <f>IFERROR(D148/SUM(PROD!L145:L151),0)</f>
        <v>0</v>
      </c>
      <c r="F148" s="384">
        <f>IFERROR(E148/SUM(E144:E150,J144:J150,O144:O149),0)</f>
        <v>0</v>
      </c>
      <c r="G148" s="441" t="str">
        <f>$G$15</f>
        <v>Gastos Legales</v>
      </c>
      <c r="H148" s="401">
        <f t="shared" si="29"/>
        <v>0</v>
      </c>
      <c r="I148" s="390">
        <f t="shared" si="27"/>
        <v>0</v>
      </c>
      <c r="J148" s="383">
        <f>IFERROR(I148/SUM(PROD!L145:L151),0)</f>
        <v>0</v>
      </c>
      <c r="K148" s="384">
        <f>IFERROR(J148/SUM(E144:E150,J144:J150,O144:O149),0)</f>
        <v>0</v>
      </c>
      <c r="L148" s="439" t="str">
        <f>$L$8</f>
        <v>Fletes</v>
      </c>
      <c r="M148" s="401">
        <f t="shared" si="32"/>
        <v>0</v>
      </c>
      <c r="N148" s="404">
        <f>M148*0.230769230769231</f>
        <v>0</v>
      </c>
      <c r="O148" s="383">
        <f>IFERROR(N148/SUM(PROD!L145:L151),0)</f>
        <v>0</v>
      </c>
      <c r="P148" s="384">
        <f>IFERROR(O148/SUM(E144:E150,J144:J150,O144:O149),0)</f>
        <v>0</v>
      </c>
      <c r="Q148" s="491" t="str">
        <f>$Q$8</f>
        <v>B</v>
      </c>
      <c r="R148" s="392">
        <f t="shared" si="30"/>
        <v>0</v>
      </c>
      <c r="S148" s="870">
        <f>SUM(PROD!AQ145:AQ151)</f>
        <v>0</v>
      </c>
      <c r="T148" s="492">
        <f>IF(AA144&gt;0,S148/AA144,0)</f>
        <v>0</v>
      </c>
      <c r="U148" s="395" t="str">
        <f>$U$8</f>
        <v>Rev. Gr.</v>
      </c>
      <c r="V148" s="412">
        <f t="shared" si="31"/>
        <v>0</v>
      </c>
      <c r="W148" s="873">
        <f>SUM(PROD!AT145:AT151)</f>
        <v>0</v>
      </c>
      <c r="X148" s="413">
        <f>IFERROR(W148/(AA149-AA147),0)</f>
        <v>0</v>
      </c>
      <c r="Y148" s="414" t="s">
        <v>262</v>
      </c>
      <c r="Z148" s="415">
        <f>IFERROR(SUMPRODUCT(V148:V150,W148:W150)/SUM(W148:W150),0)</f>
        <v>0</v>
      </c>
      <c r="AA148" s="416">
        <f>SUM(W148:W150)</f>
        <v>0</v>
      </c>
      <c r="AB148" s="497">
        <f>IF(AA149&gt;0,AA148/AA149,0)</f>
        <v>0</v>
      </c>
    </row>
    <row r="149" spans="1:28" ht="15.75" customHeight="1" x14ac:dyDescent="0.3">
      <c r="A149" s="2301"/>
      <c r="B149" s="438" t="str">
        <f>$B$9</f>
        <v>Vacunas y medicamentos</v>
      </c>
      <c r="C149" s="443">
        <f>C142</f>
        <v>0</v>
      </c>
      <c r="D149" s="387">
        <f>C149*12/52</f>
        <v>0</v>
      </c>
      <c r="E149" s="383">
        <f>IFERROR(D149/SUM(PROD!L145:L151),0)</f>
        <v>0</v>
      </c>
      <c r="F149" s="384">
        <f>IFERROR(E149/SUM(E144:E150,J144:J150,O144:O149),0)</f>
        <v>0</v>
      </c>
      <c r="G149" s="441" t="str">
        <f>$G$16</f>
        <v>Mantenimiento y Reparaciones</v>
      </c>
      <c r="H149" s="401">
        <f t="shared" si="29"/>
        <v>0</v>
      </c>
      <c r="I149" s="390">
        <f t="shared" si="27"/>
        <v>0</v>
      </c>
      <c r="J149" s="383">
        <f>IFERROR(I149/SUM(PROD!L145:L151),0)</f>
        <v>0</v>
      </c>
      <c r="K149" s="384">
        <f>IFERROR(J149/SUM(E144:E150,J144:J150,O144:O149),0)</f>
        <v>0</v>
      </c>
      <c r="L149" s="439">
        <f>$L$9</f>
        <v>0</v>
      </c>
      <c r="M149" s="401">
        <f t="shared" si="32"/>
        <v>0</v>
      </c>
      <c r="N149" s="404">
        <f>M149*0.230769230769231</f>
        <v>0</v>
      </c>
      <c r="O149" s="383">
        <f>IFERROR(N149/SUM(PROD!L145:L151),0)</f>
        <v>0</v>
      </c>
      <c r="P149" s="384">
        <f>IFERROR(O149/SUM(E144:E150,J144:J150,O144:O149),0)</f>
        <v>0</v>
      </c>
      <c r="Q149" s="491" t="str">
        <f>$Q$9</f>
        <v>C</v>
      </c>
      <c r="R149" s="392">
        <f t="shared" si="30"/>
        <v>0</v>
      </c>
      <c r="S149" s="870">
        <f>SUM(PROD!AR145:AR151)</f>
        <v>0</v>
      </c>
      <c r="T149" s="492">
        <f>IF(AA144&gt;0,S149/AA144,0)</f>
        <v>0</v>
      </c>
      <c r="U149" s="493" t="str">
        <f>$U$9</f>
        <v>Rev. Med</v>
      </c>
      <c r="V149" s="392">
        <f t="shared" si="31"/>
        <v>0</v>
      </c>
      <c r="W149" s="870">
        <f>SUM(PROD!AU145:AU151)</f>
        <v>0</v>
      </c>
      <c r="X149" s="498">
        <f>IFERROR(W149/(AA149-AA147),0)</f>
        <v>0</v>
      </c>
      <c r="Y149" s="2303" t="s">
        <v>325</v>
      </c>
      <c r="Z149" s="2305">
        <f>SUMPRODUCT(Z144:Z148,AB144:AB148)</f>
        <v>0</v>
      </c>
      <c r="AA149" s="2307">
        <f>SUM(AA144:AA147)</f>
        <v>0</v>
      </c>
      <c r="AB149" s="2308"/>
    </row>
    <row r="150" spans="1:28" ht="16.5" customHeight="1" thickBot="1" x14ac:dyDescent="0.35">
      <c r="A150" s="2302"/>
      <c r="B150" s="444" t="str">
        <f>$B$10</f>
        <v>Gastos de Personal</v>
      </c>
      <c r="C150" s="445">
        <f>C143</f>
        <v>0</v>
      </c>
      <c r="D150" s="421">
        <f>C150*12/52</f>
        <v>0</v>
      </c>
      <c r="E150" s="446">
        <f>IFERROR(D150/SUM(PROD!L145:L151),0)</f>
        <v>0</v>
      </c>
      <c r="F150" s="447">
        <f>IFERROR(E150/SUM(E144:E150,J144:J150,O144:O149),0)</f>
        <v>0</v>
      </c>
      <c r="G150" s="448" t="str">
        <f>$G$17</f>
        <v>Adecuación Instalaciones</v>
      </c>
      <c r="H150" s="445">
        <f t="shared" si="29"/>
        <v>0</v>
      </c>
      <c r="I150" s="426">
        <f t="shared" si="27"/>
        <v>0</v>
      </c>
      <c r="J150" s="446">
        <f>IFERROR(I150/SUM(PROD!L145:L151),0)</f>
        <v>0</v>
      </c>
      <c r="K150" s="447">
        <f>IFERROR(J150/SUM(E144:E150,J144:J150,O144:O149),0)</f>
        <v>0</v>
      </c>
      <c r="L150" s="2311" t="str">
        <f>$L$10</f>
        <v>TOTAL COSTO PRODUCCIÓN</v>
      </c>
      <c r="M150" s="2312"/>
      <c r="N150" s="427">
        <f>SUM(D144:D150,I144:I150,N144:N149)</f>
        <v>0</v>
      </c>
      <c r="O150" s="449">
        <f>IFERROR(N150/SUM(PROD!L145:L151),0)</f>
        <v>0</v>
      </c>
      <c r="P150" s="447">
        <f>IFERROR(O150/SUM(E144:E150,J144:J150,O144:O149),0)</f>
        <v>0</v>
      </c>
      <c r="Q150" s="429" t="str">
        <f>$Q$10</f>
        <v>D</v>
      </c>
      <c r="R150" s="499">
        <f t="shared" si="30"/>
        <v>0</v>
      </c>
      <c r="S150" s="871">
        <f>SUM(PROD!AS145:AS151)</f>
        <v>0</v>
      </c>
      <c r="T150" s="431">
        <f>IF(AA144&gt;0,S150/AA144,0)</f>
        <v>0</v>
      </c>
      <c r="U150" s="432" t="str">
        <f>$U$10</f>
        <v>Rev. Peq</v>
      </c>
      <c r="V150" s="499">
        <f t="shared" si="31"/>
        <v>0</v>
      </c>
      <c r="W150" s="871">
        <f>SUM(PROD!AV145:AV151)</f>
        <v>0</v>
      </c>
      <c r="X150" s="431">
        <f>IFERROR(W150/(AA149-AA147),0)</f>
        <v>0</v>
      </c>
      <c r="Y150" s="2304"/>
      <c r="Z150" s="2306"/>
      <c r="AA150" s="2309"/>
      <c r="AB150" s="2310"/>
    </row>
    <row r="151" spans="1:28" ht="16.5" customHeight="1" x14ac:dyDescent="0.3">
      <c r="A151" s="2300">
        <f>A144+1</f>
        <v>39</v>
      </c>
      <c r="B151" s="433" t="str">
        <f>$B$4</f>
        <v>ALIMENTO Kilos</v>
      </c>
      <c r="C151" s="435">
        <f>LOOKUP($A151,PROD!$A$5:$A$725,PROD!$AH$10:$AH$730)</f>
        <v>0</v>
      </c>
      <c r="D151" s="368">
        <f>C151*LOOKUP($A151,'Pr-Sem'!$A$6:$A$108,'Pr-Sem'!$N$6:$N$108)/(PROD!$A$1/1000)</f>
        <v>0</v>
      </c>
      <c r="E151" s="369">
        <f>IFERROR(D151/SUM(PROD!L152:L158),0)</f>
        <v>0</v>
      </c>
      <c r="F151" s="370">
        <f>IFERROR(E151/SUM(E151:E157,J151:J157,O151:O156),0)</f>
        <v>0</v>
      </c>
      <c r="G151" s="434" t="str">
        <f>$G$11</f>
        <v>Honorarios</v>
      </c>
      <c r="H151" s="435">
        <f t="shared" si="29"/>
        <v>0</v>
      </c>
      <c r="I151" s="372">
        <f t="shared" si="27"/>
        <v>0</v>
      </c>
      <c r="J151" s="369">
        <f>IFERROR(I151/SUM(PROD!L152:L158),0)</f>
        <v>0</v>
      </c>
      <c r="K151" s="370">
        <f>IFERROR(J151/SUM(E151:E157,J151:J157,O151:O156),0)</f>
        <v>0</v>
      </c>
      <c r="L151" s="436" t="str">
        <f>$L$4</f>
        <v>Gastos de Viaje</v>
      </c>
      <c r="M151" s="435">
        <f t="shared" ref="M151:M156" si="33">M144</f>
        <v>0</v>
      </c>
      <c r="N151" s="372">
        <f>M151*12/52</f>
        <v>0</v>
      </c>
      <c r="O151" s="369">
        <f>IFERROR(N151/SUM(PROD!L152:L158),0)</f>
        <v>0</v>
      </c>
      <c r="P151" s="370">
        <f>IFERROR(O151/SUM(E151:E157,J151:J157,O151:O156),0)</f>
        <v>0</v>
      </c>
      <c r="Q151" s="373" t="str">
        <f>$Q$4</f>
        <v>AAAA</v>
      </c>
      <c r="R151" s="374">
        <f t="shared" si="30"/>
        <v>0</v>
      </c>
      <c r="S151" s="869">
        <f>SUM(PROD!AM152:AM158)</f>
        <v>0</v>
      </c>
      <c r="T151" s="375">
        <f>IF(AA151&gt;0,S151/AA151,0)</f>
        <v>0</v>
      </c>
      <c r="U151" s="376" t="str">
        <f>$U$4</f>
        <v>Prob Color</v>
      </c>
      <c r="V151" s="374">
        <f t="shared" si="31"/>
        <v>0</v>
      </c>
      <c r="W151" s="869">
        <f>SUM(PROD!AW152:AW158)</f>
        <v>0</v>
      </c>
      <c r="X151" s="375">
        <f>IFERROR(W151/(AA156-AA154),0)</f>
        <v>0</v>
      </c>
      <c r="Y151" s="377" t="s">
        <v>323</v>
      </c>
      <c r="Z151" s="378">
        <f>SUMPRODUCT(R151:R157,T151:T157)</f>
        <v>0</v>
      </c>
      <c r="AA151" s="379">
        <f>SUM(S151:S157)</f>
        <v>0</v>
      </c>
      <c r="AB151" s="490">
        <f>IF(AA156&gt;0,AA151/AA156,0)</f>
        <v>0</v>
      </c>
    </row>
    <row r="152" spans="1:28" ht="15.75" customHeight="1" x14ac:dyDescent="0.3">
      <c r="A152" s="2301"/>
      <c r="B152" s="438" t="str">
        <f>$B$5</f>
        <v>Amortización de Aves</v>
      </c>
      <c r="C152" s="381">
        <f>IFERROR((C145-(D152/'Pr-Sem'!$O$2)),0)</f>
        <v>0</v>
      </c>
      <c r="D152" s="382">
        <f>SUM(PROD!L152:L158)*E152</f>
        <v>0</v>
      </c>
      <c r="E152" s="383">
        <f>IF(SUM(PROD!L152:L158)&gt;0,IFERROR(($C$1-$C$2)/LOOKUP($B$2,'Pr-Sem'!$A$6:$A$108,'Pr-Sem'!$L$6:$L$108)*(LOOKUP(INVENTARIOS!$A151,'Pr-Sem'!$A$6:$A$108,'Pr-Sem'!$L$6:$L$108)-LOOKUP(INVENTARIOS!$A151-1,'Pr-Sem'!$A$6:$A$108,'Pr-Sem'!$L$6:$L$108))/(LOOKUP(INVENTARIOS!$A151,'Pr-Sem'!$A$6:$A$108,'Pr-Sem'!$K$6:$K$108)-LOOKUP(INVENTARIOS!$A151-1,'Pr-Sem'!$A$6:$A$108,'Pr-Sem'!$K$6:$K$108)),0),0)</f>
        <v>0</v>
      </c>
      <c r="F152" s="384">
        <f>IFERROR(E152/SUM(E151:E157,J151:J157,O151:O156),0)</f>
        <v>0</v>
      </c>
      <c r="G152" s="439" t="str">
        <f>$G$12</f>
        <v>Impuestos</v>
      </c>
      <c r="H152" s="440">
        <f t="shared" si="29"/>
        <v>0</v>
      </c>
      <c r="I152" s="387">
        <f t="shared" si="27"/>
        <v>0</v>
      </c>
      <c r="J152" s="383">
        <f>IFERROR(I152/SUM(PROD!L152:L158),0)</f>
        <v>0</v>
      </c>
      <c r="K152" s="384">
        <f>IFERROR(J152/SUM(E151:E157,J151:J157,O151:O156),0)</f>
        <v>0</v>
      </c>
      <c r="L152" s="439" t="str">
        <f>$L$5</f>
        <v>Depreciaciones</v>
      </c>
      <c r="M152" s="401">
        <f t="shared" si="33"/>
        <v>0</v>
      </c>
      <c r="N152" s="390">
        <f>M152*12/52</f>
        <v>0</v>
      </c>
      <c r="O152" s="383">
        <f>IFERROR(N152/SUM(PROD!L152:L158),0)</f>
        <v>0</v>
      </c>
      <c r="P152" s="384">
        <f>IFERROR(O152/SUM(E151:E157,J151:J157,O151:O156),0)</f>
        <v>0</v>
      </c>
      <c r="Q152" s="491" t="str">
        <f>$Q$5</f>
        <v>AAA</v>
      </c>
      <c r="R152" s="392">
        <f t="shared" si="30"/>
        <v>0</v>
      </c>
      <c r="S152" s="870">
        <f>SUM(PROD!AN152:AN158)</f>
        <v>0</v>
      </c>
      <c r="T152" s="492">
        <f>IF(AA151&gt;0,S152/AA151,0)</f>
        <v>0</v>
      </c>
      <c r="U152" s="493" t="str">
        <f>$U$5</f>
        <v>Prob Cásc</v>
      </c>
      <c r="V152" s="392">
        <f t="shared" si="31"/>
        <v>0</v>
      </c>
      <c r="W152" s="870">
        <f>SUM(PROD!AX152:AX158)</f>
        <v>0</v>
      </c>
      <c r="X152" s="492">
        <f>IFERROR(W152/(AA156-AA154),0)</f>
        <v>0</v>
      </c>
      <c r="Y152" s="395" t="s">
        <v>324</v>
      </c>
      <c r="Z152" s="396">
        <f>IFERROR(SUMPRODUCT(V151:V154,W151:W154)/SUM(W151:W154),0)</f>
        <v>0</v>
      </c>
      <c r="AA152" s="397">
        <f>SUM(W151:W154)</f>
        <v>0</v>
      </c>
      <c r="AB152" s="494">
        <f>IF(AA156&gt;0,AA152/AA156,0)</f>
        <v>0</v>
      </c>
    </row>
    <row r="153" spans="1:28" ht="15.75" customHeight="1" x14ac:dyDescent="0.3">
      <c r="A153" s="2301"/>
      <c r="B153" s="399" t="str">
        <f>$B$6</f>
        <v>Bandeja</v>
      </c>
      <c r="C153" s="400">
        <f>C146</f>
        <v>0</v>
      </c>
      <c r="D153" s="387">
        <f>C153*SUM(INVENTARIOS!R151:R157)</f>
        <v>0</v>
      </c>
      <c r="E153" s="383">
        <f>IFERROR(D153/SUM(PROD!L152:L158),0)</f>
        <v>0</v>
      </c>
      <c r="F153" s="384">
        <f>IFERROR(E153/SUM(E151:E157,J151:J157,O151:O156),0)</f>
        <v>0</v>
      </c>
      <c r="G153" s="439" t="str">
        <f>$G$13</f>
        <v>Arrendamientos</v>
      </c>
      <c r="H153" s="401">
        <f t="shared" si="29"/>
        <v>0</v>
      </c>
      <c r="I153" s="390">
        <f t="shared" si="27"/>
        <v>0</v>
      </c>
      <c r="J153" s="383">
        <f>IFERROR(I153/SUM(PROD!L152:L158),0)</f>
        <v>0</v>
      </c>
      <c r="K153" s="384">
        <f>IFERROR(J153/SUM(E151:E157,J151:J157,O151:O156),0)</f>
        <v>0</v>
      </c>
      <c r="L153" s="439" t="str">
        <f>$L$6</f>
        <v>Diversos</v>
      </c>
      <c r="M153" s="401">
        <f t="shared" si="33"/>
        <v>0</v>
      </c>
      <c r="N153" s="390">
        <f>M153*12/52</f>
        <v>0</v>
      </c>
      <c r="O153" s="383">
        <f>IFERROR(N153/SUM(PROD!L152:L158),0)</f>
        <v>0</v>
      </c>
      <c r="P153" s="384">
        <f>IFERROR(O153/SUM(E151:E157,J151:J157,O151:O156),0)</f>
        <v>0</v>
      </c>
      <c r="Q153" s="491" t="str">
        <f>$Q$6</f>
        <v>AA</v>
      </c>
      <c r="R153" s="392">
        <f t="shared" si="30"/>
        <v>0</v>
      </c>
      <c r="S153" s="870">
        <f>SUM(PROD!AO152:AO158)</f>
        <v>0</v>
      </c>
      <c r="T153" s="492">
        <f>IF(AA151&gt;0,S153/AA151,0)</f>
        <v>0</v>
      </c>
      <c r="U153" s="493" t="str">
        <f>$U$6</f>
        <v>Vencido</v>
      </c>
      <c r="V153" s="392">
        <f t="shared" si="31"/>
        <v>0</v>
      </c>
      <c r="W153" s="870">
        <f>SUM(PROD!AY152:AY158)</f>
        <v>0</v>
      </c>
      <c r="X153" s="492">
        <f>IFERROR(W153/(AA156-AA154),0)</f>
        <v>0</v>
      </c>
      <c r="Y153" s="402" t="s">
        <v>391</v>
      </c>
      <c r="Z153" s="456">
        <v>0</v>
      </c>
      <c r="AA153" s="720"/>
      <c r="AB153" s="495">
        <f>IF(AA156&gt;0,AA153/AA156,0)</f>
        <v>0</v>
      </c>
    </row>
    <row r="154" spans="1:28" ht="15.75" customHeight="1" x14ac:dyDescent="0.3">
      <c r="A154" s="2301"/>
      <c r="B154" s="438" t="str">
        <f>$B$7</f>
        <v>Mortalidad Aves</v>
      </c>
      <c r="C154" s="401">
        <f>IF(A151&lt;=$B$2,C152+$C$2,0)</f>
        <v>0</v>
      </c>
      <c r="D154" s="390">
        <f>C154*SUM(PROD!D152:D158)</f>
        <v>0</v>
      </c>
      <c r="E154" s="383">
        <f>IFERROR(D154/SUM(PROD!L152:L158),0)</f>
        <v>0</v>
      </c>
      <c r="F154" s="384">
        <f>IFERROR(E154/SUM(E151:E157,J151:J157,O151:O156),0)</f>
        <v>0</v>
      </c>
      <c r="G154" s="439" t="str">
        <f>$G$14</f>
        <v>Servicios Públicos</v>
      </c>
      <c r="H154" s="401">
        <f t="shared" si="29"/>
        <v>0</v>
      </c>
      <c r="I154" s="390">
        <f t="shared" si="27"/>
        <v>0</v>
      </c>
      <c r="J154" s="383">
        <f>IFERROR(I154/SUM(PROD!L152:L158),0)</f>
        <v>0</v>
      </c>
      <c r="K154" s="384">
        <f>IFERROR(J154/SUM(E151:E157,J151:J157,O151:O156),0)</f>
        <v>0</v>
      </c>
      <c r="L154" s="441" t="str">
        <f>$L$7</f>
        <v>Administrativos</v>
      </c>
      <c r="M154" s="401">
        <f t="shared" si="33"/>
        <v>0</v>
      </c>
      <c r="N154" s="404">
        <f>M154*0.230769230769231</f>
        <v>0</v>
      </c>
      <c r="O154" s="383">
        <f>IFERROR(N154/SUM(PROD!L152:L158),0)</f>
        <v>0</v>
      </c>
      <c r="P154" s="384">
        <f>IFERROR(O154/SUM(E151:E157,J151:J157,O151:O156),0)</f>
        <v>0</v>
      </c>
      <c r="Q154" s="491" t="str">
        <f>$Q$7</f>
        <v>A</v>
      </c>
      <c r="R154" s="392">
        <f t="shared" si="30"/>
        <v>0</v>
      </c>
      <c r="S154" s="870">
        <f>SUM(PROD!AP152:AP158)</f>
        <v>0</v>
      </c>
      <c r="T154" s="492">
        <f>IF(AA151&gt;0,S154/AA151,0)</f>
        <v>0</v>
      </c>
      <c r="U154" s="405" t="str">
        <f>$U$7</f>
        <v>Roto</v>
      </c>
      <c r="V154" s="406">
        <f t="shared" si="31"/>
        <v>0</v>
      </c>
      <c r="W154" s="872">
        <f>SUM(PROD!AZ152:AZ158)</f>
        <v>0</v>
      </c>
      <c r="X154" s="407">
        <f>IFERROR(W154/(AA156-AA154),0)</f>
        <v>0</v>
      </c>
      <c r="Y154" s="408" t="s">
        <v>359</v>
      </c>
      <c r="Z154" s="442">
        <v>215</v>
      </c>
      <c r="AA154" s="410">
        <f>SUM(PROD!L152:L158)-SUM(W151:W157)-SUM(S151:S157)-AA153</f>
        <v>0</v>
      </c>
      <c r="AB154" s="496">
        <f>IF(AA156&gt;0,AA154/AA156,0)</f>
        <v>0</v>
      </c>
    </row>
    <row r="155" spans="1:28" ht="15.75" customHeight="1" x14ac:dyDescent="0.3">
      <c r="A155" s="2301"/>
      <c r="B155" s="399" t="str">
        <f>$B$8</f>
        <v>Materia Prima (Carb Ca, etc.)</v>
      </c>
      <c r="C155" s="440">
        <f>C148</f>
        <v>0</v>
      </c>
      <c r="D155" s="387">
        <f>C155*12/52</f>
        <v>0</v>
      </c>
      <c r="E155" s="383">
        <f>IFERROR(D155/SUM(PROD!L152:L158),0)</f>
        <v>0</v>
      </c>
      <c r="F155" s="384">
        <f>IFERROR(E155/SUM(E151:E157,J151:J157,O151:O156),0)</f>
        <v>0</v>
      </c>
      <c r="G155" s="441" t="str">
        <f>$G$15</f>
        <v>Gastos Legales</v>
      </c>
      <c r="H155" s="401">
        <f t="shared" si="29"/>
        <v>0</v>
      </c>
      <c r="I155" s="390">
        <f t="shared" si="27"/>
        <v>0</v>
      </c>
      <c r="J155" s="383">
        <f>IFERROR(I155/SUM(PROD!L152:L158),0)</f>
        <v>0</v>
      </c>
      <c r="K155" s="384">
        <f>IFERROR(J155/SUM(E151:E157,J151:J157,O151:O156),0)</f>
        <v>0</v>
      </c>
      <c r="L155" s="439" t="str">
        <f>$L$8</f>
        <v>Fletes</v>
      </c>
      <c r="M155" s="401">
        <f t="shared" si="33"/>
        <v>0</v>
      </c>
      <c r="N155" s="404">
        <f>M155*0.230769230769231</f>
        <v>0</v>
      </c>
      <c r="O155" s="383">
        <f>IFERROR(N155/SUM(PROD!L152:L158),0)</f>
        <v>0</v>
      </c>
      <c r="P155" s="384">
        <f>IFERROR(O155/SUM(E151:E157,J151:J157,O151:O156),0)</f>
        <v>0</v>
      </c>
      <c r="Q155" s="491" t="str">
        <f>$Q$8</f>
        <v>B</v>
      </c>
      <c r="R155" s="392">
        <f t="shared" si="30"/>
        <v>0</v>
      </c>
      <c r="S155" s="870">
        <f>SUM(PROD!AQ152:AQ158)</f>
        <v>0</v>
      </c>
      <c r="T155" s="492">
        <f>IF(AA151&gt;0,S155/AA151,0)</f>
        <v>0</v>
      </c>
      <c r="U155" s="395" t="str">
        <f>$U$8</f>
        <v>Rev. Gr.</v>
      </c>
      <c r="V155" s="412">
        <f t="shared" si="31"/>
        <v>0</v>
      </c>
      <c r="W155" s="873">
        <f>SUM(PROD!AT152:AT158)</f>
        <v>0</v>
      </c>
      <c r="X155" s="413">
        <f>IFERROR(W155/(AA156-AA154),0)</f>
        <v>0</v>
      </c>
      <c r="Y155" s="414" t="s">
        <v>262</v>
      </c>
      <c r="Z155" s="415">
        <f>IFERROR(SUMPRODUCT(V155:V157,W155:W157)/SUM(W155:W157),0)</f>
        <v>0</v>
      </c>
      <c r="AA155" s="416">
        <f>SUM(W155:W157)</f>
        <v>0</v>
      </c>
      <c r="AB155" s="497">
        <f>IF(AA156&gt;0,AA155/AA156,0)</f>
        <v>0</v>
      </c>
    </row>
    <row r="156" spans="1:28" ht="15.75" customHeight="1" x14ac:dyDescent="0.3">
      <c r="A156" s="2301"/>
      <c r="B156" s="438" t="str">
        <f>$B$9</f>
        <v>Vacunas y medicamentos</v>
      </c>
      <c r="C156" s="443">
        <f>C149</f>
        <v>0</v>
      </c>
      <c r="D156" s="387">
        <f>C156*12/52</f>
        <v>0</v>
      </c>
      <c r="E156" s="383">
        <f>IFERROR(D156/SUM(PROD!L152:L158),0)</f>
        <v>0</v>
      </c>
      <c r="F156" s="384">
        <f>IFERROR(E156/SUM(E151:E157,J151:J157,O151:O156),0)</f>
        <v>0</v>
      </c>
      <c r="G156" s="441" t="str">
        <f>$G$16</f>
        <v>Mantenimiento y Reparaciones</v>
      </c>
      <c r="H156" s="401">
        <f t="shared" si="29"/>
        <v>0</v>
      </c>
      <c r="I156" s="390">
        <f t="shared" si="27"/>
        <v>0</v>
      </c>
      <c r="J156" s="383">
        <f>IFERROR(I156/SUM(PROD!L152:L158),0)</f>
        <v>0</v>
      </c>
      <c r="K156" s="384">
        <f>IFERROR(J156/SUM(E151:E157,J151:J157,O151:O156),0)</f>
        <v>0</v>
      </c>
      <c r="L156" s="439">
        <f>$L$9</f>
        <v>0</v>
      </c>
      <c r="M156" s="401">
        <f t="shared" si="33"/>
        <v>0</v>
      </c>
      <c r="N156" s="404">
        <f>M156*0.230769230769231</f>
        <v>0</v>
      </c>
      <c r="O156" s="383">
        <f>IFERROR(N156/SUM(PROD!L152:L158),0)</f>
        <v>0</v>
      </c>
      <c r="P156" s="384">
        <f>IFERROR(O156/SUM(E151:E157,J151:J157,O151:O156),0)</f>
        <v>0</v>
      </c>
      <c r="Q156" s="491" t="str">
        <f>$Q$9</f>
        <v>C</v>
      </c>
      <c r="R156" s="392">
        <f t="shared" si="30"/>
        <v>0</v>
      </c>
      <c r="S156" s="870">
        <f>SUM(PROD!AR152:AR158)</f>
        <v>0</v>
      </c>
      <c r="T156" s="492">
        <f>IF(AA151&gt;0,S156/AA151,0)</f>
        <v>0</v>
      </c>
      <c r="U156" s="493" t="str">
        <f>$U$9</f>
        <v>Rev. Med</v>
      </c>
      <c r="V156" s="392">
        <f t="shared" si="31"/>
        <v>0</v>
      </c>
      <c r="W156" s="870">
        <f>SUM(PROD!AU152:AU158)</f>
        <v>0</v>
      </c>
      <c r="X156" s="498">
        <f>IFERROR(W156/(AA156-AA154),0)</f>
        <v>0</v>
      </c>
      <c r="Y156" s="2303" t="s">
        <v>325</v>
      </c>
      <c r="Z156" s="2305">
        <f>SUMPRODUCT(Z151:Z155,AB151:AB155)</f>
        <v>0</v>
      </c>
      <c r="AA156" s="2307">
        <f>SUM(AA151:AA154)</f>
        <v>0</v>
      </c>
      <c r="AB156" s="2308"/>
    </row>
    <row r="157" spans="1:28" ht="16.5" customHeight="1" thickBot="1" x14ac:dyDescent="0.35">
      <c r="A157" s="2302"/>
      <c r="B157" s="444" t="str">
        <f>$B$10</f>
        <v>Gastos de Personal</v>
      </c>
      <c r="C157" s="445">
        <f>C150</f>
        <v>0</v>
      </c>
      <c r="D157" s="421">
        <f>C157*12/52</f>
        <v>0</v>
      </c>
      <c r="E157" s="446">
        <f>IFERROR(D157/SUM(PROD!L152:L158),0)</f>
        <v>0</v>
      </c>
      <c r="F157" s="447">
        <f>IFERROR(E157/SUM(E151:E157,J151:J157,O151:O156),0)</f>
        <v>0</v>
      </c>
      <c r="G157" s="448" t="str">
        <f>$G$17</f>
        <v>Adecuación Instalaciones</v>
      </c>
      <c r="H157" s="445">
        <f t="shared" si="29"/>
        <v>0</v>
      </c>
      <c r="I157" s="426">
        <f t="shared" si="27"/>
        <v>0</v>
      </c>
      <c r="J157" s="446">
        <f>IFERROR(I157/SUM(PROD!L152:L158),0)</f>
        <v>0</v>
      </c>
      <c r="K157" s="447">
        <f>IFERROR(J157/SUM(E151:E157,J151:J157,O151:O156),0)</f>
        <v>0</v>
      </c>
      <c r="L157" s="2311" t="str">
        <f>$L$10</f>
        <v>TOTAL COSTO PRODUCCIÓN</v>
      </c>
      <c r="M157" s="2312"/>
      <c r="N157" s="427">
        <f>SUM(D151:D157,I151:I157,N151:N156)</f>
        <v>0</v>
      </c>
      <c r="O157" s="449">
        <f>IFERROR(N157/SUM(PROD!L152:L158),0)</f>
        <v>0</v>
      </c>
      <c r="P157" s="447">
        <f>IFERROR(O157/SUM(E151:E157,J151:J157,O151:O156),0)</f>
        <v>0</v>
      </c>
      <c r="Q157" s="429" t="str">
        <f>$Q$10</f>
        <v>D</v>
      </c>
      <c r="R157" s="499">
        <f t="shared" si="30"/>
        <v>0</v>
      </c>
      <c r="S157" s="871">
        <f>SUM(PROD!AS152:AS158)</f>
        <v>0</v>
      </c>
      <c r="T157" s="431">
        <f>IF(AA151&gt;0,S157/AA151,0)</f>
        <v>0</v>
      </c>
      <c r="U157" s="432" t="str">
        <f>$U$10</f>
        <v>Rev. Peq</v>
      </c>
      <c r="V157" s="499">
        <f t="shared" si="31"/>
        <v>0</v>
      </c>
      <c r="W157" s="871">
        <f>SUM(PROD!AV152:AV158)</f>
        <v>0</v>
      </c>
      <c r="X157" s="431">
        <f>IFERROR(W157/(AA156-AA154),0)</f>
        <v>0</v>
      </c>
      <c r="Y157" s="2304"/>
      <c r="Z157" s="2306"/>
      <c r="AA157" s="2309"/>
      <c r="AB157" s="2310"/>
    </row>
    <row r="158" spans="1:28" ht="16.5" customHeight="1" x14ac:dyDescent="0.3">
      <c r="A158" s="2300">
        <f>A151+1</f>
        <v>40</v>
      </c>
      <c r="B158" s="433" t="str">
        <f>$B$4</f>
        <v>ALIMENTO Kilos</v>
      </c>
      <c r="C158" s="435">
        <f>LOOKUP($A158,PROD!$A$5:$A$725,PROD!$AH$10:$AH$730)</f>
        <v>0</v>
      </c>
      <c r="D158" s="368">
        <f>C158*LOOKUP($A158,'Pr-Sem'!$A$6:$A$108,'Pr-Sem'!$N$6:$N$108)/(PROD!$A$1/1000)</f>
        <v>0</v>
      </c>
      <c r="E158" s="369">
        <f>IFERROR(D158/SUM(PROD!L159:L165),0)</f>
        <v>0</v>
      </c>
      <c r="F158" s="370">
        <f>IFERROR(E158/SUM(E158:E164,J158:J164,O158:O163),0)</f>
        <v>0</v>
      </c>
      <c r="G158" s="434" t="str">
        <f>$G$11</f>
        <v>Honorarios</v>
      </c>
      <c r="H158" s="435">
        <f t="shared" si="29"/>
        <v>0</v>
      </c>
      <c r="I158" s="372">
        <f t="shared" si="27"/>
        <v>0</v>
      </c>
      <c r="J158" s="369">
        <f>IFERROR(I158/SUM(PROD!L159:L165),0)</f>
        <v>0</v>
      </c>
      <c r="K158" s="370">
        <f>IFERROR(J158/SUM(E158:E164,J158:J164,O158:O163),0)</f>
        <v>0</v>
      </c>
      <c r="L158" s="436" t="str">
        <f>$L$4</f>
        <v>Gastos de Viaje</v>
      </c>
      <c r="M158" s="435">
        <f t="shared" ref="M158:M163" si="34">M151</f>
        <v>0</v>
      </c>
      <c r="N158" s="372">
        <f>M158*12/52</f>
        <v>0</v>
      </c>
      <c r="O158" s="369">
        <f>IFERROR(N158/SUM(PROD!L159:L165),0)</f>
        <v>0</v>
      </c>
      <c r="P158" s="370">
        <f>IFERROR(O158/SUM(E158:E164,J158:J164,O158:O163),0)</f>
        <v>0</v>
      </c>
      <c r="Q158" s="373" t="str">
        <f>$Q$4</f>
        <v>AAAA</v>
      </c>
      <c r="R158" s="374">
        <f t="shared" si="30"/>
        <v>0</v>
      </c>
      <c r="S158" s="869">
        <f>SUM(PROD!AM159:AM165)</f>
        <v>0</v>
      </c>
      <c r="T158" s="375">
        <f>IF(AA158&gt;0,S158/AA158,0)</f>
        <v>0</v>
      </c>
      <c r="U158" s="376" t="str">
        <f>$U$4</f>
        <v>Prob Color</v>
      </c>
      <c r="V158" s="374">
        <f t="shared" si="31"/>
        <v>0</v>
      </c>
      <c r="W158" s="869">
        <f>SUM(PROD!AW159:AW165)</f>
        <v>0</v>
      </c>
      <c r="X158" s="375">
        <f>IFERROR(W158/(AA163-AA161),0)</f>
        <v>0</v>
      </c>
      <c r="Y158" s="377" t="s">
        <v>323</v>
      </c>
      <c r="Z158" s="378">
        <f>SUMPRODUCT(R158:R164,T158:T164)</f>
        <v>0</v>
      </c>
      <c r="AA158" s="379">
        <f>SUM(S158:S164)</f>
        <v>0</v>
      </c>
      <c r="AB158" s="490">
        <f>IF(AA163&gt;0,AA158/AA163,0)</f>
        <v>0</v>
      </c>
    </row>
    <row r="159" spans="1:28" ht="15.75" customHeight="1" x14ac:dyDescent="0.3">
      <c r="A159" s="2301"/>
      <c r="B159" s="438" t="str">
        <f>$B$5</f>
        <v>Amortización de Aves</v>
      </c>
      <c r="C159" s="381">
        <f>IFERROR((C152-(D159/'Pr-Sem'!$O$2)),0)</f>
        <v>0</v>
      </c>
      <c r="D159" s="382">
        <f>SUM(PROD!L159:L165)*E159</f>
        <v>0</v>
      </c>
      <c r="E159" s="383">
        <f>IF(SUM(PROD!L159:L165)&gt;0,IFERROR(($C$1-$C$2)/LOOKUP($B$2,'Pr-Sem'!$A$6:$A$108,'Pr-Sem'!$L$6:$L$108)*(LOOKUP(INVENTARIOS!$A158,'Pr-Sem'!$A$6:$A$108,'Pr-Sem'!$L$6:$L$108)-LOOKUP(INVENTARIOS!$A158-1,'Pr-Sem'!$A$6:$A$108,'Pr-Sem'!$L$6:$L$108))/(LOOKUP(INVENTARIOS!$A158,'Pr-Sem'!$A$6:$A$108,'Pr-Sem'!$K$6:$K$108)-LOOKUP(INVENTARIOS!$A158-1,'Pr-Sem'!$A$6:$A$108,'Pr-Sem'!$K$6:$K$108)),0),0)</f>
        <v>0</v>
      </c>
      <c r="F159" s="384">
        <f>IFERROR(E159/SUM(E158:E164,J158:J164,O158:O163),0)</f>
        <v>0</v>
      </c>
      <c r="G159" s="439" t="str">
        <f>$G$12</f>
        <v>Impuestos</v>
      </c>
      <c r="H159" s="440">
        <f t="shared" si="29"/>
        <v>0</v>
      </c>
      <c r="I159" s="387">
        <f t="shared" si="27"/>
        <v>0</v>
      </c>
      <c r="J159" s="383">
        <f>IFERROR(I159/SUM(PROD!L159:L165),0)</f>
        <v>0</v>
      </c>
      <c r="K159" s="384">
        <f>IFERROR(J159/SUM(E158:E164,J158:J164,O158:O163),0)</f>
        <v>0</v>
      </c>
      <c r="L159" s="439" t="str">
        <f>$L$5</f>
        <v>Depreciaciones</v>
      </c>
      <c r="M159" s="401">
        <f t="shared" si="34"/>
        <v>0</v>
      </c>
      <c r="N159" s="390">
        <f>M159*12/52</f>
        <v>0</v>
      </c>
      <c r="O159" s="383">
        <f>IFERROR(N159/SUM(PROD!L159:L165),0)</f>
        <v>0</v>
      </c>
      <c r="P159" s="384">
        <f>IFERROR(O159/SUM(E158:E164,J158:J164,O158:O163),0)</f>
        <v>0</v>
      </c>
      <c r="Q159" s="491" t="str">
        <f>$Q$5</f>
        <v>AAA</v>
      </c>
      <c r="R159" s="392">
        <f t="shared" si="30"/>
        <v>0</v>
      </c>
      <c r="S159" s="870">
        <f>SUM(PROD!AN159:AN165)</f>
        <v>0</v>
      </c>
      <c r="T159" s="492">
        <f>IF(AA158&gt;0,S159/AA158,0)</f>
        <v>0</v>
      </c>
      <c r="U159" s="493" t="str">
        <f>$U$5</f>
        <v>Prob Cásc</v>
      </c>
      <c r="V159" s="392">
        <f t="shared" si="31"/>
        <v>0</v>
      </c>
      <c r="W159" s="870">
        <f>SUM(PROD!AX159:AX165)</f>
        <v>0</v>
      </c>
      <c r="X159" s="492">
        <f>IFERROR(W159/(AA163-AA161),0)</f>
        <v>0</v>
      </c>
      <c r="Y159" s="395" t="s">
        <v>324</v>
      </c>
      <c r="Z159" s="396">
        <f>IFERROR(SUMPRODUCT(V158:V161,W158:W161)/SUM(W158:W161),0)</f>
        <v>0</v>
      </c>
      <c r="AA159" s="397">
        <f>SUM(W158:W161)</f>
        <v>0</v>
      </c>
      <c r="AB159" s="494">
        <f>IF(AA163&gt;0,AA159/AA163,0)</f>
        <v>0</v>
      </c>
    </row>
    <row r="160" spans="1:28" ht="15.75" customHeight="1" x14ac:dyDescent="0.3">
      <c r="A160" s="2301"/>
      <c r="B160" s="399" t="str">
        <f>$B$6</f>
        <v>Bandeja</v>
      </c>
      <c r="C160" s="400">
        <f>C153</f>
        <v>0</v>
      </c>
      <c r="D160" s="387">
        <f>C160*SUM(INVENTARIOS!R158:R164)</f>
        <v>0</v>
      </c>
      <c r="E160" s="383">
        <f>IFERROR(D160/SUM(PROD!L159:L165),0)</f>
        <v>0</v>
      </c>
      <c r="F160" s="384">
        <f>IFERROR(E160/SUM(E158:E164,J158:J164,O158:O163),0)</f>
        <v>0</v>
      </c>
      <c r="G160" s="439" t="str">
        <f>$G$13</f>
        <v>Arrendamientos</v>
      </c>
      <c r="H160" s="401">
        <f t="shared" si="29"/>
        <v>0</v>
      </c>
      <c r="I160" s="390">
        <f t="shared" si="27"/>
        <v>0</v>
      </c>
      <c r="J160" s="383">
        <f>IFERROR(I160/SUM(PROD!L159:L165),0)</f>
        <v>0</v>
      </c>
      <c r="K160" s="384">
        <f>IFERROR(J160/SUM(E158:E164,J158:J164,O158:O163),0)</f>
        <v>0</v>
      </c>
      <c r="L160" s="439" t="str">
        <f>$L$6</f>
        <v>Diversos</v>
      </c>
      <c r="M160" s="401">
        <f t="shared" si="34"/>
        <v>0</v>
      </c>
      <c r="N160" s="390">
        <f>M160*12/52</f>
        <v>0</v>
      </c>
      <c r="O160" s="383">
        <f>IFERROR(N160/SUM(PROD!L159:L165),0)</f>
        <v>0</v>
      </c>
      <c r="P160" s="384">
        <f>IFERROR(O160/SUM(E158:E164,J158:J164,O158:O163),0)</f>
        <v>0</v>
      </c>
      <c r="Q160" s="491" t="str">
        <f>$Q$6</f>
        <v>AA</v>
      </c>
      <c r="R160" s="392">
        <f t="shared" si="30"/>
        <v>0</v>
      </c>
      <c r="S160" s="870">
        <f>SUM(PROD!AO159:AO165)</f>
        <v>0</v>
      </c>
      <c r="T160" s="492">
        <f>IF(AA158&gt;0,S160/AA158,0)</f>
        <v>0</v>
      </c>
      <c r="U160" s="493" t="str">
        <f>$U$6</f>
        <v>Vencido</v>
      </c>
      <c r="V160" s="392">
        <f t="shared" si="31"/>
        <v>0</v>
      </c>
      <c r="W160" s="870">
        <f>SUM(PROD!AY159:AY165)</f>
        <v>0</v>
      </c>
      <c r="X160" s="492">
        <f>IFERROR(W160/(AA163-AA161),0)</f>
        <v>0</v>
      </c>
      <c r="Y160" s="402" t="s">
        <v>391</v>
      </c>
      <c r="Z160" s="456">
        <v>0</v>
      </c>
      <c r="AA160" s="720"/>
      <c r="AB160" s="495">
        <f>IF(AA163&gt;0,AA160/AA163,0)</f>
        <v>0</v>
      </c>
    </row>
    <row r="161" spans="1:28" ht="15.75" customHeight="1" x14ac:dyDescent="0.3">
      <c r="A161" s="2301"/>
      <c r="B161" s="438" t="str">
        <f>$B$7</f>
        <v>Mortalidad Aves</v>
      </c>
      <c r="C161" s="401">
        <f>IF(A158&lt;=$B$2,C159+$C$2,0)</f>
        <v>0</v>
      </c>
      <c r="D161" s="390">
        <f>C161*SUM(PROD!D159:D165)</f>
        <v>0</v>
      </c>
      <c r="E161" s="383">
        <f>IFERROR(D161/SUM(PROD!L159:L165),0)</f>
        <v>0</v>
      </c>
      <c r="F161" s="384">
        <f>IFERROR(E161/SUM(E158:E164,J158:J164,O158:O163),0)</f>
        <v>0</v>
      </c>
      <c r="G161" s="439" t="str">
        <f>$G$14</f>
        <v>Servicios Públicos</v>
      </c>
      <c r="H161" s="401">
        <f t="shared" si="29"/>
        <v>0</v>
      </c>
      <c r="I161" s="390">
        <f t="shared" si="27"/>
        <v>0</v>
      </c>
      <c r="J161" s="383">
        <f>IFERROR(I161/SUM(PROD!L159:L165),0)</f>
        <v>0</v>
      </c>
      <c r="K161" s="384">
        <f>IFERROR(J161/SUM(E158:E164,J158:J164,O158:O163),0)</f>
        <v>0</v>
      </c>
      <c r="L161" s="441" t="str">
        <f>$L$7</f>
        <v>Administrativos</v>
      </c>
      <c r="M161" s="401">
        <f t="shared" si="34"/>
        <v>0</v>
      </c>
      <c r="N161" s="404">
        <f>M161*0.230769230769231</f>
        <v>0</v>
      </c>
      <c r="O161" s="383">
        <f>IFERROR(N161/SUM(PROD!L159:L165),0)</f>
        <v>0</v>
      </c>
      <c r="P161" s="384">
        <f>IFERROR(O161/SUM(E158:E164,J158:J164,O158:O163),0)</f>
        <v>0</v>
      </c>
      <c r="Q161" s="491" t="str">
        <f>$Q$7</f>
        <v>A</v>
      </c>
      <c r="R161" s="392">
        <f t="shared" si="30"/>
        <v>0</v>
      </c>
      <c r="S161" s="870">
        <f>SUM(PROD!AP159:AP165)</f>
        <v>0</v>
      </c>
      <c r="T161" s="492">
        <f>IF(AA158&gt;0,S161/AA158,0)</f>
        <v>0</v>
      </c>
      <c r="U161" s="405" t="str">
        <f>$U$7</f>
        <v>Roto</v>
      </c>
      <c r="V161" s="406">
        <f t="shared" si="31"/>
        <v>0</v>
      </c>
      <c r="W161" s="872">
        <f>SUM(PROD!AZ159:AZ165)</f>
        <v>0</v>
      </c>
      <c r="X161" s="407">
        <f>IFERROR(W161/(AA163-AA161),0)</f>
        <v>0</v>
      </c>
      <c r="Y161" s="408" t="s">
        <v>359</v>
      </c>
      <c r="Z161" s="442">
        <v>215</v>
      </c>
      <c r="AA161" s="410">
        <f>SUM(PROD!L159:L165)-SUM(W158:W164)-SUM(S158:S164)-AA160</f>
        <v>0</v>
      </c>
      <c r="AB161" s="496">
        <f>IF(AA163&gt;0,AA161/AA163,0)</f>
        <v>0</v>
      </c>
    </row>
    <row r="162" spans="1:28" ht="15.75" customHeight="1" x14ac:dyDescent="0.3">
      <c r="A162" s="2301"/>
      <c r="B162" s="399" t="str">
        <f>$B$8</f>
        <v>Materia Prima (Carb Ca, etc.)</v>
      </c>
      <c r="C162" s="440">
        <f>C155</f>
        <v>0</v>
      </c>
      <c r="D162" s="387">
        <f>C162*12/52</f>
        <v>0</v>
      </c>
      <c r="E162" s="383">
        <f>IFERROR(D162/SUM(PROD!L159:L165),0)</f>
        <v>0</v>
      </c>
      <c r="F162" s="384">
        <f>IFERROR(E162/SUM(E158:E164,J158:J164,O158:O163),0)</f>
        <v>0</v>
      </c>
      <c r="G162" s="441" t="str">
        <f>$G$15</f>
        <v>Gastos Legales</v>
      </c>
      <c r="H162" s="401">
        <f t="shared" si="29"/>
        <v>0</v>
      </c>
      <c r="I162" s="390">
        <f t="shared" si="27"/>
        <v>0</v>
      </c>
      <c r="J162" s="383">
        <f>IFERROR(I162/SUM(PROD!L159:L165),0)</f>
        <v>0</v>
      </c>
      <c r="K162" s="384">
        <f>IFERROR(J162/SUM(E158:E164,J158:J164,O158:O163),0)</f>
        <v>0</v>
      </c>
      <c r="L162" s="439" t="str">
        <f>$L$8</f>
        <v>Fletes</v>
      </c>
      <c r="M162" s="401">
        <f t="shared" si="34"/>
        <v>0</v>
      </c>
      <c r="N162" s="404">
        <f>M162*0.230769230769231</f>
        <v>0</v>
      </c>
      <c r="O162" s="383">
        <f>IFERROR(N162/SUM(PROD!L159:L165),0)</f>
        <v>0</v>
      </c>
      <c r="P162" s="384">
        <f>IFERROR(O162/SUM(E158:E164,J158:J164,O158:O163),0)</f>
        <v>0</v>
      </c>
      <c r="Q162" s="491" t="str">
        <f>$Q$8</f>
        <v>B</v>
      </c>
      <c r="R162" s="392">
        <f t="shared" si="30"/>
        <v>0</v>
      </c>
      <c r="S162" s="870">
        <f>SUM(PROD!AQ159:AQ165)</f>
        <v>0</v>
      </c>
      <c r="T162" s="492">
        <f>IF(AA158&gt;0,S162/AA158,0)</f>
        <v>0</v>
      </c>
      <c r="U162" s="395" t="str">
        <f>$U$8</f>
        <v>Rev. Gr.</v>
      </c>
      <c r="V162" s="412">
        <f t="shared" si="31"/>
        <v>0</v>
      </c>
      <c r="W162" s="873">
        <f>SUM(PROD!AT159:AT165)</f>
        <v>0</v>
      </c>
      <c r="X162" s="413">
        <f>IFERROR(W162/(AA163-AA161),0)</f>
        <v>0</v>
      </c>
      <c r="Y162" s="414" t="s">
        <v>262</v>
      </c>
      <c r="Z162" s="415">
        <f>IFERROR(SUMPRODUCT(V162:V164,W162:W164)/SUM(W162:W164),0)</f>
        <v>0</v>
      </c>
      <c r="AA162" s="416">
        <f>SUM(W162:W164)</f>
        <v>0</v>
      </c>
      <c r="AB162" s="497">
        <f>IF(AA163&gt;0,AA162/AA163,0)</f>
        <v>0</v>
      </c>
    </row>
    <row r="163" spans="1:28" ht="15.75" customHeight="1" x14ac:dyDescent="0.3">
      <c r="A163" s="2301"/>
      <c r="B163" s="438" t="str">
        <f>$B$9</f>
        <v>Vacunas y medicamentos</v>
      </c>
      <c r="C163" s="443">
        <f>C156</f>
        <v>0</v>
      </c>
      <c r="D163" s="387">
        <f>C163*12/52</f>
        <v>0</v>
      </c>
      <c r="E163" s="383">
        <f>IFERROR(D163/SUM(PROD!L159:L165),0)</f>
        <v>0</v>
      </c>
      <c r="F163" s="384">
        <f>IFERROR(E163/SUM(E158:E164,J158:J164,O158:O163),0)</f>
        <v>0</v>
      </c>
      <c r="G163" s="441" t="str">
        <f>$G$16</f>
        <v>Mantenimiento y Reparaciones</v>
      </c>
      <c r="H163" s="401">
        <f t="shared" si="29"/>
        <v>0</v>
      </c>
      <c r="I163" s="390">
        <f t="shared" si="27"/>
        <v>0</v>
      </c>
      <c r="J163" s="383">
        <f>IFERROR(I163/SUM(PROD!L159:L165),0)</f>
        <v>0</v>
      </c>
      <c r="K163" s="384">
        <f>IFERROR(J163/SUM(E158:E164,J158:J164,O158:O163),0)</f>
        <v>0</v>
      </c>
      <c r="L163" s="439">
        <f>$L$9</f>
        <v>0</v>
      </c>
      <c r="M163" s="401">
        <f t="shared" si="34"/>
        <v>0</v>
      </c>
      <c r="N163" s="404">
        <f>M163*0.230769230769231</f>
        <v>0</v>
      </c>
      <c r="O163" s="383">
        <f>IFERROR(N163/SUM(PROD!L159:L165),0)</f>
        <v>0</v>
      </c>
      <c r="P163" s="384">
        <f>IFERROR(O163/SUM(E158:E164,J158:J164,O158:O163),0)</f>
        <v>0</v>
      </c>
      <c r="Q163" s="491" t="str">
        <f>$Q$9</f>
        <v>C</v>
      </c>
      <c r="R163" s="392">
        <f t="shared" si="30"/>
        <v>0</v>
      </c>
      <c r="S163" s="870">
        <f>SUM(PROD!AR159:AR165)</f>
        <v>0</v>
      </c>
      <c r="T163" s="492">
        <f>IF(AA158&gt;0,S163/AA158,0)</f>
        <v>0</v>
      </c>
      <c r="U163" s="493" t="str">
        <f>$U$9</f>
        <v>Rev. Med</v>
      </c>
      <c r="V163" s="392">
        <f t="shared" si="31"/>
        <v>0</v>
      </c>
      <c r="W163" s="870">
        <f>SUM(PROD!AU159:AU165)</f>
        <v>0</v>
      </c>
      <c r="X163" s="498">
        <f>IFERROR(W163/(AA163-AA161),0)</f>
        <v>0</v>
      </c>
      <c r="Y163" s="2303" t="s">
        <v>325</v>
      </c>
      <c r="Z163" s="2305">
        <f>SUMPRODUCT(Z158:Z162,AB158:AB162)</f>
        <v>0</v>
      </c>
      <c r="AA163" s="2307">
        <f>SUM(AA158:AA161)</f>
        <v>0</v>
      </c>
      <c r="AB163" s="2308"/>
    </row>
    <row r="164" spans="1:28" ht="16.5" customHeight="1" thickBot="1" x14ac:dyDescent="0.35">
      <c r="A164" s="2302"/>
      <c r="B164" s="444" t="str">
        <f>$B$10</f>
        <v>Gastos de Personal</v>
      </c>
      <c r="C164" s="445">
        <f>C157</f>
        <v>0</v>
      </c>
      <c r="D164" s="421">
        <f>C164*12/52</f>
        <v>0</v>
      </c>
      <c r="E164" s="446">
        <f>IFERROR(D164/SUM(PROD!L159:L165),0)</f>
        <v>0</v>
      </c>
      <c r="F164" s="447">
        <f>IFERROR(E164/SUM(E158:E164,J158:J164,O158:O163),0)</f>
        <v>0</v>
      </c>
      <c r="G164" s="448" t="str">
        <f>$G$17</f>
        <v>Adecuación Instalaciones</v>
      </c>
      <c r="H164" s="445">
        <f t="shared" si="29"/>
        <v>0</v>
      </c>
      <c r="I164" s="426">
        <f t="shared" si="27"/>
        <v>0</v>
      </c>
      <c r="J164" s="446">
        <f>IFERROR(I164/SUM(PROD!L159:L165),0)</f>
        <v>0</v>
      </c>
      <c r="K164" s="447">
        <f>IFERROR(J164/SUM(E158:E164,J158:J164,O158:O163),0)</f>
        <v>0</v>
      </c>
      <c r="L164" s="2311" t="str">
        <f>$L$10</f>
        <v>TOTAL COSTO PRODUCCIÓN</v>
      </c>
      <c r="M164" s="2312"/>
      <c r="N164" s="427">
        <f>SUM(D158:D164,I158:I164,N158:N163)</f>
        <v>0</v>
      </c>
      <c r="O164" s="449">
        <f>IFERROR(N164/SUM(PROD!L159:L165),0)</f>
        <v>0</v>
      </c>
      <c r="P164" s="447">
        <f>IFERROR(O164/SUM(E158:E164,J158:J164,O158:O163),0)</f>
        <v>0</v>
      </c>
      <c r="Q164" s="429" t="str">
        <f>$Q$10</f>
        <v>D</v>
      </c>
      <c r="R164" s="499">
        <f t="shared" si="30"/>
        <v>0</v>
      </c>
      <c r="S164" s="871">
        <f>SUM(PROD!AS159:AS165)</f>
        <v>0</v>
      </c>
      <c r="T164" s="431">
        <f>IF(AA158&gt;0,S164/AA158,0)</f>
        <v>0</v>
      </c>
      <c r="U164" s="432" t="str">
        <f>$U$10</f>
        <v>Rev. Peq</v>
      </c>
      <c r="V164" s="499">
        <f t="shared" si="31"/>
        <v>0</v>
      </c>
      <c r="W164" s="871">
        <f>SUM(PROD!AV159:AV165)</f>
        <v>0</v>
      </c>
      <c r="X164" s="431">
        <f>IFERROR(W164/(AA163-AA161),0)</f>
        <v>0</v>
      </c>
      <c r="Y164" s="2304"/>
      <c r="Z164" s="2306"/>
      <c r="AA164" s="2309"/>
      <c r="AB164" s="2310"/>
    </row>
    <row r="165" spans="1:28" ht="16.5" customHeight="1" x14ac:dyDescent="0.3">
      <c r="A165" s="2300">
        <f>A158+1</f>
        <v>41</v>
      </c>
      <c r="B165" s="433" t="str">
        <f>$B$4</f>
        <v>ALIMENTO Kilos</v>
      </c>
      <c r="C165" s="435">
        <f>LOOKUP($A165,PROD!$A$5:$A$725,PROD!$AH$10:$AH$730)</f>
        <v>0</v>
      </c>
      <c r="D165" s="368">
        <f>C165*LOOKUP($A165,'Pr-Sem'!$A$6:$A$108,'Pr-Sem'!$N$6:$N$108)/(PROD!$A$1/1000)</f>
        <v>0</v>
      </c>
      <c r="E165" s="369">
        <f>IFERROR(D165/SUM(PROD!L166:L172),0)</f>
        <v>0</v>
      </c>
      <c r="F165" s="370">
        <f>IFERROR(E165/SUM(E165:E171,J165:J171,O165:O170),0)</f>
        <v>0</v>
      </c>
      <c r="G165" s="434" t="str">
        <f>$G$11</f>
        <v>Honorarios</v>
      </c>
      <c r="H165" s="435">
        <f t="shared" si="29"/>
        <v>0</v>
      </c>
      <c r="I165" s="372">
        <f t="shared" si="27"/>
        <v>0</v>
      </c>
      <c r="J165" s="369">
        <f>IFERROR(I165/SUM(PROD!L166:L172),0)</f>
        <v>0</v>
      </c>
      <c r="K165" s="370">
        <f>IFERROR(J165/SUM(E165:E171,J165:J171,O165:O170),0)</f>
        <v>0</v>
      </c>
      <c r="L165" s="436" t="str">
        <f>$L$4</f>
        <v>Gastos de Viaje</v>
      </c>
      <c r="M165" s="435">
        <f t="shared" ref="M165:M170" si="35">M158</f>
        <v>0</v>
      </c>
      <c r="N165" s="372">
        <f>M165*12/52</f>
        <v>0</v>
      </c>
      <c r="O165" s="369">
        <f>IFERROR(N165/SUM(PROD!L166:L172),0)</f>
        <v>0</v>
      </c>
      <c r="P165" s="370">
        <f>IFERROR(O165/SUM(E165:E171,J165:J171,O165:O170),0)</f>
        <v>0</v>
      </c>
      <c r="Q165" s="373" t="str">
        <f>$Q$4</f>
        <v>AAAA</v>
      </c>
      <c r="R165" s="374">
        <f t="shared" si="30"/>
        <v>0</v>
      </c>
      <c r="S165" s="869">
        <f>SUM(PROD!AM166:AM172)</f>
        <v>0</v>
      </c>
      <c r="T165" s="375">
        <f>IF(AA165&gt;0,S165/AA165,0)</f>
        <v>0</v>
      </c>
      <c r="U165" s="376" t="str">
        <f>$U$4</f>
        <v>Prob Color</v>
      </c>
      <c r="V165" s="374">
        <f t="shared" si="31"/>
        <v>0</v>
      </c>
      <c r="W165" s="869">
        <f>SUM(PROD!AW166:AW172)</f>
        <v>0</v>
      </c>
      <c r="X165" s="375">
        <f>IFERROR(W165/(AA170-AA168),0)</f>
        <v>0</v>
      </c>
      <c r="Y165" s="377" t="s">
        <v>323</v>
      </c>
      <c r="Z165" s="378">
        <f>SUMPRODUCT(R165:R171,T165:T171)</f>
        <v>0</v>
      </c>
      <c r="AA165" s="379">
        <f>SUM(S165:S171)</f>
        <v>0</v>
      </c>
      <c r="AB165" s="490">
        <f>IF(AA170&gt;0,AA165/AA170,0)</f>
        <v>0</v>
      </c>
    </row>
    <row r="166" spans="1:28" ht="15.75" customHeight="1" x14ac:dyDescent="0.3">
      <c r="A166" s="2301"/>
      <c r="B166" s="438" t="str">
        <f>$B$5</f>
        <v>Amortización de Aves</v>
      </c>
      <c r="C166" s="381">
        <f>IFERROR((C159-(D166/'Pr-Sem'!$O$2)),0)</f>
        <v>0</v>
      </c>
      <c r="D166" s="382">
        <f>SUM(PROD!L166:L172)*E166</f>
        <v>0</v>
      </c>
      <c r="E166" s="383">
        <f>IF(SUM(PROD!L166:L172)&gt;0,IFERROR(($C$1-$C$2)/LOOKUP($B$2,'Pr-Sem'!$A$6:$A$108,'Pr-Sem'!$L$6:$L$108)*(LOOKUP(INVENTARIOS!$A165,'Pr-Sem'!$A$6:$A$108,'Pr-Sem'!$L$6:$L$108)-LOOKUP(INVENTARIOS!$A165-1,'Pr-Sem'!$A$6:$A$108,'Pr-Sem'!$L$6:$L$108))/(LOOKUP(INVENTARIOS!$A165,'Pr-Sem'!$A$6:$A$108,'Pr-Sem'!$K$6:$K$108)-LOOKUP(INVENTARIOS!$A165-1,'Pr-Sem'!$A$6:$A$108,'Pr-Sem'!$K$6:$K$108)),0),0)</f>
        <v>0</v>
      </c>
      <c r="F166" s="384">
        <f>IFERROR(E166/SUM(E165:E171,J165:J171,O165:O170),0)</f>
        <v>0</v>
      </c>
      <c r="G166" s="439" t="str">
        <f>$G$12</f>
        <v>Impuestos</v>
      </c>
      <c r="H166" s="440">
        <f t="shared" si="29"/>
        <v>0</v>
      </c>
      <c r="I166" s="387">
        <f t="shared" si="27"/>
        <v>0</v>
      </c>
      <c r="J166" s="383">
        <f>IFERROR(I166/SUM(PROD!L166:L172),0)</f>
        <v>0</v>
      </c>
      <c r="K166" s="384">
        <f>IFERROR(J166/SUM(E165:E171,J165:J171,O165:O170),0)</f>
        <v>0</v>
      </c>
      <c r="L166" s="439" t="str">
        <f>$L$5</f>
        <v>Depreciaciones</v>
      </c>
      <c r="M166" s="401">
        <f t="shared" si="35"/>
        <v>0</v>
      </c>
      <c r="N166" s="390">
        <f>M166*12/52</f>
        <v>0</v>
      </c>
      <c r="O166" s="383">
        <f>IFERROR(N166/SUM(PROD!L166:L172),0)</f>
        <v>0</v>
      </c>
      <c r="P166" s="384">
        <f>IFERROR(O166/SUM(E165:E171,J165:J171,O165:O170),0)</f>
        <v>0</v>
      </c>
      <c r="Q166" s="491" t="str">
        <f>$Q$5</f>
        <v>AAA</v>
      </c>
      <c r="R166" s="392">
        <f t="shared" si="30"/>
        <v>0</v>
      </c>
      <c r="S166" s="870">
        <f>SUM(PROD!AN166:AN172)</f>
        <v>0</v>
      </c>
      <c r="T166" s="492">
        <f>IF(AA165&gt;0,S166/AA165,0)</f>
        <v>0</v>
      </c>
      <c r="U166" s="493" t="str">
        <f>$U$5</f>
        <v>Prob Cásc</v>
      </c>
      <c r="V166" s="392">
        <f t="shared" si="31"/>
        <v>0</v>
      </c>
      <c r="W166" s="870">
        <f>SUM(PROD!AX166:AX172)</f>
        <v>0</v>
      </c>
      <c r="X166" s="492">
        <f>IFERROR(W166/(AA170-AA168),0)</f>
        <v>0</v>
      </c>
      <c r="Y166" s="395" t="s">
        <v>324</v>
      </c>
      <c r="Z166" s="396">
        <f>IFERROR(SUMPRODUCT(V165:V168,W165:W168)/SUM(W165:W168),0)</f>
        <v>0</v>
      </c>
      <c r="AA166" s="397">
        <f>SUM(W165:W168)</f>
        <v>0</v>
      </c>
      <c r="AB166" s="494">
        <f>IF(AA170&gt;0,AA166/AA170,0)</f>
        <v>0</v>
      </c>
    </row>
    <row r="167" spans="1:28" ht="15.75" customHeight="1" x14ac:dyDescent="0.3">
      <c r="A167" s="2301"/>
      <c r="B167" s="399" t="str">
        <f>$B$6</f>
        <v>Bandeja</v>
      </c>
      <c r="C167" s="400">
        <f>C160</f>
        <v>0</v>
      </c>
      <c r="D167" s="387">
        <f>C167*SUM(INVENTARIOS!R165:R171)</f>
        <v>0</v>
      </c>
      <c r="E167" s="383">
        <f>IFERROR(D167/SUM(PROD!L166:L172),0)</f>
        <v>0</v>
      </c>
      <c r="F167" s="384">
        <f>IFERROR(E167/SUM(E165:E171,J165:J171,O165:O170),0)</f>
        <v>0</v>
      </c>
      <c r="G167" s="439" t="str">
        <f>$G$13</f>
        <v>Arrendamientos</v>
      </c>
      <c r="H167" s="401">
        <f t="shared" si="29"/>
        <v>0</v>
      </c>
      <c r="I167" s="390">
        <f t="shared" si="27"/>
        <v>0</v>
      </c>
      <c r="J167" s="383">
        <f>IFERROR(I167/SUM(PROD!L166:L172),0)</f>
        <v>0</v>
      </c>
      <c r="K167" s="384">
        <f>IFERROR(J167/SUM(E165:E171,J165:J171,O165:O170),0)</f>
        <v>0</v>
      </c>
      <c r="L167" s="439" t="str">
        <f>$L$6</f>
        <v>Diversos</v>
      </c>
      <c r="M167" s="401">
        <f t="shared" si="35"/>
        <v>0</v>
      </c>
      <c r="N167" s="390">
        <f>M167*12/52</f>
        <v>0</v>
      </c>
      <c r="O167" s="383">
        <f>IFERROR(N167/SUM(PROD!L166:L172),0)</f>
        <v>0</v>
      </c>
      <c r="P167" s="384">
        <f>IFERROR(O167/SUM(E165:E171,J165:J171,O165:O170),0)</f>
        <v>0</v>
      </c>
      <c r="Q167" s="491" t="str">
        <f>$Q$6</f>
        <v>AA</v>
      </c>
      <c r="R167" s="392">
        <f t="shared" si="30"/>
        <v>0</v>
      </c>
      <c r="S167" s="870">
        <f>SUM(PROD!AO166:AO172)</f>
        <v>0</v>
      </c>
      <c r="T167" s="492">
        <f>IF(AA165&gt;0,S167/AA165,0)</f>
        <v>0</v>
      </c>
      <c r="U167" s="493" t="str">
        <f>$U$6</f>
        <v>Vencido</v>
      </c>
      <c r="V167" s="392">
        <f t="shared" si="31"/>
        <v>0</v>
      </c>
      <c r="W167" s="870">
        <f>SUM(PROD!AY166:AY172)</f>
        <v>0</v>
      </c>
      <c r="X167" s="492">
        <f>IFERROR(W167/(AA170-AA168),0)</f>
        <v>0</v>
      </c>
      <c r="Y167" s="402" t="s">
        <v>391</v>
      </c>
      <c r="Z167" s="456">
        <v>0</v>
      </c>
      <c r="AA167" s="720"/>
      <c r="AB167" s="495">
        <f>IF(AA170&gt;0,AA167/AA170,0)</f>
        <v>0</v>
      </c>
    </row>
    <row r="168" spans="1:28" ht="15.75" customHeight="1" x14ac:dyDescent="0.3">
      <c r="A168" s="2301"/>
      <c r="B168" s="438" t="str">
        <f>$B$7</f>
        <v>Mortalidad Aves</v>
      </c>
      <c r="C168" s="401">
        <f>IF(A165&lt;=$B$2,C166+$C$2,0)</f>
        <v>0</v>
      </c>
      <c r="D168" s="390">
        <f>C168*SUM(PROD!D166:D172)</f>
        <v>0</v>
      </c>
      <c r="E168" s="383">
        <f>IFERROR(D168/SUM(PROD!L166:L172),0)</f>
        <v>0</v>
      </c>
      <c r="F168" s="384">
        <f>IFERROR(E168/SUM(E165:E171,J165:J171,O165:O170),0)</f>
        <v>0</v>
      </c>
      <c r="G168" s="439" t="str">
        <f>$G$14</f>
        <v>Servicios Públicos</v>
      </c>
      <c r="H168" s="401">
        <f t="shared" si="29"/>
        <v>0</v>
      </c>
      <c r="I168" s="390">
        <f t="shared" si="27"/>
        <v>0</v>
      </c>
      <c r="J168" s="383">
        <f>IFERROR(I168/SUM(PROD!L166:L172),0)</f>
        <v>0</v>
      </c>
      <c r="K168" s="384">
        <f>IFERROR(J168/SUM(E165:E171,J165:J171,O165:O170),0)</f>
        <v>0</v>
      </c>
      <c r="L168" s="441" t="str">
        <f>$L$7</f>
        <v>Administrativos</v>
      </c>
      <c r="M168" s="401">
        <f t="shared" si="35"/>
        <v>0</v>
      </c>
      <c r="N168" s="404">
        <f>M168*0.230769230769231</f>
        <v>0</v>
      </c>
      <c r="O168" s="383">
        <f>IFERROR(N168/SUM(PROD!L166:L172),0)</f>
        <v>0</v>
      </c>
      <c r="P168" s="384">
        <f>IFERROR(O168/SUM(E165:E171,J165:J171,O165:O170),0)</f>
        <v>0</v>
      </c>
      <c r="Q168" s="491" t="str">
        <f>$Q$7</f>
        <v>A</v>
      </c>
      <c r="R168" s="392">
        <f t="shared" si="30"/>
        <v>0</v>
      </c>
      <c r="S168" s="870">
        <f>SUM(PROD!AP166:AP172)</f>
        <v>0</v>
      </c>
      <c r="T168" s="492">
        <f>IF(AA165&gt;0,S168/AA165,0)</f>
        <v>0</v>
      </c>
      <c r="U168" s="405" t="str">
        <f>$U$7</f>
        <v>Roto</v>
      </c>
      <c r="V168" s="406">
        <f t="shared" si="31"/>
        <v>0</v>
      </c>
      <c r="W168" s="872">
        <f>SUM(PROD!AZ166:AZ172)</f>
        <v>0</v>
      </c>
      <c r="X168" s="407">
        <f>IFERROR(W168/(AA170-AA168),0)</f>
        <v>0</v>
      </c>
      <c r="Y168" s="408" t="s">
        <v>359</v>
      </c>
      <c r="Z168" s="442">
        <v>215</v>
      </c>
      <c r="AA168" s="410">
        <f>SUM(PROD!L166:L172)-SUM(W165:W171)-SUM(S165:S171)-AA167</f>
        <v>0</v>
      </c>
      <c r="AB168" s="496">
        <f>IF(AA170&gt;0,AA168/AA170,0)</f>
        <v>0</v>
      </c>
    </row>
    <row r="169" spans="1:28" ht="15.75" customHeight="1" x14ac:dyDescent="0.3">
      <c r="A169" s="2301"/>
      <c r="B169" s="399" t="str">
        <f>$B$8</f>
        <v>Materia Prima (Carb Ca, etc.)</v>
      </c>
      <c r="C169" s="440">
        <f>C162</f>
        <v>0</v>
      </c>
      <c r="D169" s="387">
        <f>C169*12/52</f>
        <v>0</v>
      </c>
      <c r="E169" s="383">
        <f>IFERROR(D169/SUM(PROD!L166:L172),0)</f>
        <v>0</v>
      </c>
      <c r="F169" s="384">
        <f>IFERROR(E169/SUM(E165:E171,J165:J171,O165:O170),0)</f>
        <v>0</v>
      </c>
      <c r="G169" s="441" t="str">
        <f>$G$15</f>
        <v>Gastos Legales</v>
      </c>
      <c r="H169" s="401">
        <f t="shared" si="29"/>
        <v>0</v>
      </c>
      <c r="I169" s="390">
        <f t="shared" si="27"/>
        <v>0</v>
      </c>
      <c r="J169" s="383">
        <f>IFERROR(I169/SUM(PROD!L166:L172),0)</f>
        <v>0</v>
      </c>
      <c r="K169" s="384">
        <f>IFERROR(J169/SUM(E165:E171,J165:J171,O165:O170),0)</f>
        <v>0</v>
      </c>
      <c r="L169" s="439" t="str">
        <f>$L$8</f>
        <v>Fletes</v>
      </c>
      <c r="M169" s="401">
        <f t="shared" si="35"/>
        <v>0</v>
      </c>
      <c r="N169" s="404">
        <f>M169*0.230769230769231</f>
        <v>0</v>
      </c>
      <c r="O169" s="383">
        <f>IFERROR(N169/SUM(PROD!L166:L172),0)</f>
        <v>0</v>
      </c>
      <c r="P169" s="384">
        <f>IFERROR(O169/SUM(E165:E171,J165:J171,O165:O170),0)</f>
        <v>0</v>
      </c>
      <c r="Q169" s="491" t="str">
        <f>$Q$8</f>
        <v>B</v>
      </c>
      <c r="R169" s="392">
        <f t="shared" si="30"/>
        <v>0</v>
      </c>
      <c r="S169" s="870">
        <f>SUM(PROD!AQ166:AQ172)</f>
        <v>0</v>
      </c>
      <c r="T169" s="492">
        <f>IF(AA165&gt;0,S169/AA165,0)</f>
        <v>0</v>
      </c>
      <c r="U169" s="395" t="str">
        <f>$U$8</f>
        <v>Rev. Gr.</v>
      </c>
      <c r="V169" s="412">
        <f t="shared" si="31"/>
        <v>0</v>
      </c>
      <c r="W169" s="873">
        <f>SUM(PROD!AT166:AT172)</f>
        <v>0</v>
      </c>
      <c r="X169" s="413">
        <f>IFERROR(W169/(AA170-AA168),0)</f>
        <v>0</v>
      </c>
      <c r="Y169" s="414" t="s">
        <v>262</v>
      </c>
      <c r="Z169" s="415">
        <f>IFERROR(SUMPRODUCT(V169:V171,W169:W171)/SUM(W169:W171),0)</f>
        <v>0</v>
      </c>
      <c r="AA169" s="416">
        <f>SUM(W169:W171)</f>
        <v>0</v>
      </c>
      <c r="AB169" s="497">
        <f>IF(AA170&gt;0,AA169/AA170,0)</f>
        <v>0</v>
      </c>
    </row>
    <row r="170" spans="1:28" ht="15.75" customHeight="1" x14ac:dyDescent="0.3">
      <c r="A170" s="2301"/>
      <c r="B170" s="438" t="str">
        <f>$B$9</f>
        <v>Vacunas y medicamentos</v>
      </c>
      <c r="C170" s="443">
        <f>C163</f>
        <v>0</v>
      </c>
      <c r="D170" s="387">
        <f>C170*12/52</f>
        <v>0</v>
      </c>
      <c r="E170" s="383">
        <f>IFERROR(D170/SUM(PROD!L166:L172),0)</f>
        <v>0</v>
      </c>
      <c r="F170" s="384">
        <f>IFERROR(E170/SUM(E165:E171,J165:J171,O165:O170),0)</f>
        <v>0</v>
      </c>
      <c r="G170" s="441" t="str">
        <f>$G$16</f>
        <v>Mantenimiento y Reparaciones</v>
      </c>
      <c r="H170" s="401">
        <f t="shared" si="29"/>
        <v>0</v>
      </c>
      <c r="I170" s="390">
        <f t="shared" si="27"/>
        <v>0</v>
      </c>
      <c r="J170" s="383">
        <f>IFERROR(I170/SUM(PROD!L166:L172),0)</f>
        <v>0</v>
      </c>
      <c r="K170" s="384">
        <f>IFERROR(J170/SUM(E165:E171,J165:J171,O165:O170),0)</f>
        <v>0</v>
      </c>
      <c r="L170" s="439">
        <f>$L$9</f>
        <v>0</v>
      </c>
      <c r="M170" s="401">
        <f t="shared" si="35"/>
        <v>0</v>
      </c>
      <c r="N170" s="404">
        <f>M170*0.230769230769231</f>
        <v>0</v>
      </c>
      <c r="O170" s="383">
        <f>IFERROR(N170/SUM(PROD!L166:L172),0)</f>
        <v>0</v>
      </c>
      <c r="P170" s="384">
        <f>IFERROR(O170/SUM(E165:E171,J165:J171,O165:O170),0)</f>
        <v>0</v>
      </c>
      <c r="Q170" s="491" t="str">
        <f>$Q$9</f>
        <v>C</v>
      </c>
      <c r="R170" s="392">
        <f t="shared" si="30"/>
        <v>0</v>
      </c>
      <c r="S170" s="870">
        <f>SUM(PROD!AR166:AR172)</f>
        <v>0</v>
      </c>
      <c r="T170" s="492">
        <f>IF(AA165&gt;0,S170/AA165,0)</f>
        <v>0</v>
      </c>
      <c r="U170" s="493" t="str">
        <f>$U$9</f>
        <v>Rev. Med</v>
      </c>
      <c r="V170" s="392">
        <f t="shared" si="31"/>
        <v>0</v>
      </c>
      <c r="W170" s="870">
        <f>SUM(PROD!AU166:AU172)</f>
        <v>0</v>
      </c>
      <c r="X170" s="498">
        <f>IFERROR(W170/(AA170-AA168),0)</f>
        <v>0</v>
      </c>
      <c r="Y170" s="2303" t="s">
        <v>325</v>
      </c>
      <c r="Z170" s="2305">
        <f>SUMPRODUCT(Z165:Z169,AB165:AB169)</f>
        <v>0</v>
      </c>
      <c r="AA170" s="2307">
        <f>SUM(AA165:AA168)</f>
        <v>0</v>
      </c>
      <c r="AB170" s="2308"/>
    </row>
    <row r="171" spans="1:28" ht="16.5" customHeight="1" thickBot="1" x14ac:dyDescent="0.35">
      <c r="A171" s="2302"/>
      <c r="B171" s="444" t="str">
        <f>$B$10</f>
        <v>Gastos de Personal</v>
      </c>
      <c r="C171" s="445">
        <f>C164</f>
        <v>0</v>
      </c>
      <c r="D171" s="421">
        <f>C171*12/52</f>
        <v>0</v>
      </c>
      <c r="E171" s="446">
        <f>IFERROR(D171/SUM(PROD!L166:L172),0)</f>
        <v>0</v>
      </c>
      <c r="F171" s="447">
        <f>IFERROR(E171/SUM(E165:E171,J165:J171,O165:O170),0)</f>
        <v>0</v>
      </c>
      <c r="G171" s="448" t="str">
        <f>$G$17</f>
        <v>Adecuación Instalaciones</v>
      </c>
      <c r="H171" s="445">
        <f t="shared" si="29"/>
        <v>0</v>
      </c>
      <c r="I171" s="426">
        <f t="shared" si="27"/>
        <v>0</v>
      </c>
      <c r="J171" s="446">
        <f>IFERROR(I171/SUM(PROD!L166:L172),0)</f>
        <v>0</v>
      </c>
      <c r="K171" s="447">
        <f>IFERROR(J171/SUM(E165:E171,J165:J171,O165:O170),0)</f>
        <v>0</v>
      </c>
      <c r="L171" s="2311" t="str">
        <f>$L$10</f>
        <v>TOTAL COSTO PRODUCCIÓN</v>
      </c>
      <c r="M171" s="2312"/>
      <c r="N171" s="427">
        <f>SUM(D165:D171,I165:I171,N165:N170)</f>
        <v>0</v>
      </c>
      <c r="O171" s="449">
        <f>IFERROR(N171/SUM(PROD!L166:L172),0)</f>
        <v>0</v>
      </c>
      <c r="P171" s="447">
        <f>IFERROR(O171/SUM(E165:E171,J165:J171,O165:O170),0)</f>
        <v>0</v>
      </c>
      <c r="Q171" s="429" t="str">
        <f>$Q$10</f>
        <v>D</v>
      </c>
      <c r="R171" s="499">
        <f t="shared" si="30"/>
        <v>0</v>
      </c>
      <c r="S171" s="871">
        <f>SUM(PROD!AS166:AS172)</f>
        <v>0</v>
      </c>
      <c r="T171" s="431">
        <f>IF(AA165&gt;0,S171/AA165,0)</f>
        <v>0</v>
      </c>
      <c r="U171" s="432" t="str">
        <f>$U$10</f>
        <v>Rev. Peq</v>
      </c>
      <c r="V171" s="499">
        <f t="shared" si="31"/>
        <v>0</v>
      </c>
      <c r="W171" s="871">
        <f>SUM(PROD!AV166:AV172)</f>
        <v>0</v>
      </c>
      <c r="X171" s="431">
        <f>IFERROR(W171/(AA170-AA168),0)</f>
        <v>0</v>
      </c>
      <c r="Y171" s="2304"/>
      <c r="Z171" s="2306"/>
      <c r="AA171" s="2309"/>
      <c r="AB171" s="2310"/>
    </row>
    <row r="172" spans="1:28" ht="16.5" customHeight="1" x14ac:dyDescent="0.3">
      <c r="A172" s="2300">
        <f>A165+1</f>
        <v>42</v>
      </c>
      <c r="B172" s="433" t="str">
        <f>$B$4</f>
        <v>ALIMENTO Kilos</v>
      </c>
      <c r="C172" s="435">
        <f>LOOKUP($A172,PROD!$A$5:$A$725,PROD!$AH$10:$AH$730)</f>
        <v>0</v>
      </c>
      <c r="D172" s="368">
        <f>C172*LOOKUP($A172,'Pr-Sem'!$A$6:$A$108,'Pr-Sem'!$N$6:$N$108)/(PROD!$A$1/1000)</f>
        <v>0</v>
      </c>
      <c r="E172" s="369">
        <f>IFERROR(D172/SUM(PROD!L173:L179),0)</f>
        <v>0</v>
      </c>
      <c r="F172" s="370">
        <f>IFERROR(E172/SUM(E172:E178,J172:J178,O172:O177),0)</f>
        <v>0</v>
      </c>
      <c r="G172" s="434" t="str">
        <f>$G$11</f>
        <v>Honorarios</v>
      </c>
      <c r="H172" s="435">
        <f t="shared" si="29"/>
        <v>0</v>
      </c>
      <c r="I172" s="372">
        <f t="shared" si="27"/>
        <v>0</v>
      </c>
      <c r="J172" s="369">
        <f>IFERROR(I172/SUM(PROD!L173:L179),0)</f>
        <v>0</v>
      </c>
      <c r="K172" s="370">
        <f>IFERROR(J172/SUM(E172:E178,J172:J178,O172:O177),0)</f>
        <v>0</v>
      </c>
      <c r="L172" s="436" t="str">
        <f>$L$4</f>
        <v>Gastos de Viaje</v>
      </c>
      <c r="M172" s="435">
        <f t="shared" ref="M172:M177" si="36">M165</f>
        <v>0</v>
      </c>
      <c r="N172" s="372">
        <f>M172*12/52</f>
        <v>0</v>
      </c>
      <c r="O172" s="369">
        <f>IFERROR(N172/SUM(PROD!L173:L179),0)</f>
        <v>0</v>
      </c>
      <c r="P172" s="370">
        <f>IFERROR(O172/SUM(E172:E178,J172:J178,O172:O177),0)</f>
        <v>0</v>
      </c>
      <c r="Q172" s="373" t="str">
        <f>$Q$4</f>
        <v>AAAA</v>
      </c>
      <c r="R172" s="374">
        <f t="shared" si="30"/>
        <v>0</v>
      </c>
      <c r="S172" s="869">
        <f>SUM(PROD!AM173:AM179)</f>
        <v>0</v>
      </c>
      <c r="T172" s="375">
        <f>IF(AA172&gt;0,S172/AA172,0)</f>
        <v>0</v>
      </c>
      <c r="U172" s="376" t="str">
        <f>$U$4</f>
        <v>Prob Color</v>
      </c>
      <c r="V172" s="374">
        <f t="shared" si="31"/>
        <v>0</v>
      </c>
      <c r="W172" s="869">
        <f>SUM(PROD!AW173:AW179)</f>
        <v>0</v>
      </c>
      <c r="X172" s="375">
        <f>IFERROR(W172/(AA177-AA175),0)</f>
        <v>0</v>
      </c>
      <c r="Y172" s="377" t="s">
        <v>323</v>
      </c>
      <c r="Z172" s="378">
        <f>SUMPRODUCT(R172:R178,T172:T178)</f>
        <v>0</v>
      </c>
      <c r="AA172" s="379">
        <f>SUM(S172:S178)</f>
        <v>0</v>
      </c>
      <c r="AB172" s="490">
        <f>IF(AA177&gt;0,AA172/AA177,0)</f>
        <v>0</v>
      </c>
    </row>
    <row r="173" spans="1:28" ht="15.75" customHeight="1" x14ac:dyDescent="0.3">
      <c r="A173" s="2301"/>
      <c r="B173" s="438" t="str">
        <f>$B$5</f>
        <v>Amortización de Aves</v>
      </c>
      <c r="C173" s="381">
        <f>IFERROR((C166-(D173/'Pr-Sem'!$O$2)),0)</f>
        <v>0</v>
      </c>
      <c r="D173" s="382">
        <f>SUM(PROD!L173:L179)*E173</f>
        <v>0</v>
      </c>
      <c r="E173" s="383">
        <f>IF(SUM(PROD!L173:L179)&gt;0,IFERROR(($C$1-$C$2)/LOOKUP($B$2,'Pr-Sem'!$A$6:$A$108,'Pr-Sem'!$L$6:$L$108)*(LOOKUP(INVENTARIOS!$A172,'Pr-Sem'!$A$6:$A$108,'Pr-Sem'!$L$6:$L$108)-LOOKUP(INVENTARIOS!$A172-1,'Pr-Sem'!$A$6:$A$108,'Pr-Sem'!$L$6:$L$108))/(LOOKUP(INVENTARIOS!$A172,'Pr-Sem'!$A$6:$A$108,'Pr-Sem'!$K$6:$K$108)-LOOKUP(INVENTARIOS!$A172-1,'Pr-Sem'!$A$6:$A$108,'Pr-Sem'!$K$6:$K$108)),0),0)</f>
        <v>0</v>
      </c>
      <c r="F173" s="384">
        <f>IFERROR(E173/SUM(E172:E178,J172:J178,O172:O177),0)</f>
        <v>0</v>
      </c>
      <c r="G173" s="439" t="str">
        <f>$G$12</f>
        <v>Impuestos</v>
      </c>
      <c r="H173" s="440">
        <f t="shared" si="29"/>
        <v>0</v>
      </c>
      <c r="I173" s="387">
        <f t="shared" si="27"/>
        <v>0</v>
      </c>
      <c r="J173" s="383">
        <f>IFERROR(I173/SUM(PROD!L173:L179),0)</f>
        <v>0</v>
      </c>
      <c r="K173" s="384">
        <f>IFERROR(J173/SUM(E172:E178,J172:J178,O172:O177),0)</f>
        <v>0</v>
      </c>
      <c r="L173" s="439" t="str">
        <f>$L$5</f>
        <v>Depreciaciones</v>
      </c>
      <c r="M173" s="401">
        <f t="shared" si="36"/>
        <v>0</v>
      </c>
      <c r="N173" s="390">
        <f>M173*12/52</f>
        <v>0</v>
      </c>
      <c r="O173" s="383">
        <f>IFERROR(N173/SUM(PROD!L173:L179),0)</f>
        <v>0</v>
      </c>
      <c r="P173" s="384">
        <f>IFERROR(O173/SUM(E172:E178,J172:J178,O172:O177),0)</f>
        <v>0</v>
      </c>
      <c r="Q173" s="491" t="str">
        <f>$Q$5</f>
        <v>AAA</v>
      </c>
      <c r="R173" s="392">
        <f t="shared" si="30"/>
        <v>0</v>
      </c>
      <c r="S173" s="870">
        <f>SUM(PROD!AN173:AN179)</f>
        <v>0</v>
      </c>
      <c r="T173" s="492">
        <f>IF(AA172&gt;0,S173/AA172,0)</f>
        <v>0</v>
      </c>
      <c r="U173" s="493" t="str">
        <f>$U$5</f>
        <v>Prob Cásc</v>
      </c>
      <c r="V173" s="392">
        <f t="shared" si="31"/>
        <v>0</v>
      </c>
      <c r="W173" s="870">
        <f>SUM(PROD!AX173:AX179)</f>
        <v>0</v>
      </c>
      <c r="X173" s="492">
        <f>IFERROR(W173/(AA177-AA175),0)</f>
        <v>0</v>
      </c>
      <c r="Y173" s="395" t="s">
        <v>324</v>
      </c>
      <c r="Z173" s="396">
        <f>IFERROR(SUMPRODUCT(V172:V175,W172:W175)/SUM(W172:W175),0)</f>
        <v>0</v>
      </c>
      <c r="AA173" s="397">
        <f>SUM(W172:W175)</f>
        <v>0</v>
      </c>
      <c r="AB173" s="494">
        <f>IF(AA177&gt;0,AA173/AA177,0)</f>
        <v>0</v>
      </c>
    </row>
    <row r="174" spans="1:28" ht="15.75" customHeight="1" x14ac:dyDescent="0.3">
      <c r="A174" s="2301"/>
      <c r="B174" s="399" t="str">
        <f>$B$6</f>
        <v>Bandeja</v>
      </c>
      <c r="C174" s="400">
        <f>C167</f>
        <v>0</v>
      </c>
      <c r="D174" s="387">
        <f>C174*SUM(INVENTARIOS!R172:R178)</f>
        <v>0</v>
      </c>
      <c r="E174" s="383">
        <f>IFERROR(D174/SUM(PROD!L173:L179),0)</f>
        <v>0</v>
      </c>
      <c r="F174" s="384">
        <f>IFERROR(E174/SUM(E172:E178,J172:J178,O172:O177),0)</f>
        <v>0</v>
      </c>
      <c r="G174" s="439" t="str">
        <f>$G$13</f>
        <v>Arrendamientos</v>
      </c>
      <c r="H174" s="401">
        <f t="shared" si="29"/>
        <v>0</v>
      </c>
      <c r="I174" s="390">
        <f t="shared" si="27"/>
        <v>0</v>
      </c>
      <c r="J174" s="383">
        <f>IFERROR(I174/SUM(PROD!L173:L179),0)</f>
        <v>0</v>
      </c>
      <c r="K174" s="384">
        <f>IFERROR(J174/SUM(E172:E178,J172:J178,O172:O177),0)</f>
        <v>0</v>
      </c>
      <c r="L174" s="439" t="str">
        <f>$L$6</f>
        <v>Diversos</v>
      </c>
      <c r="M174" s="401">
        <f t="shared" si="36"/>
        <v>0</v>
      </c>
      <c r="N174" s="390">
        <f>M174*12/52</f>
        <v>0</v>
      </c>
      <c r="O174" s="383">
        <f>IFERROR(N174/SUM(PROD!L173:L179),0)</f>
        <v>0</v>
      </c>
      <c r="P174" s="384">
        <f>IFERROR(O174/SUM(E172:E178,J172:J178,O172:O177),0)</f>
        <v>0</v>
      </c>
      <c r="Q174" s="491" t="str">
        <f>$Q$6</f>
        <v>AA</v>
      </c>
      <c r="R174" s="392">
        <f t="shared" si="30"/>
        <v>0</v>
      </c>
      <c r="S174" s="870">
        <f>SUM(PROD!AO173:AO179)</f>
        <v>0</v>
      </c>
      <c r="T174" s="492">
        <f>IF(AA172&gt;0,S174/AA172,0)</f>
        <v>0</v>
      </c>
      <c r="U174" s="493" t="str">
        <f>$U$6</f>
        <v>Vencido</v>
      </c>
      <c r="V174" s="392">
        <f t="shared" si="31"/>
        <v>0</v>
      </c>
      <c r="W174" s="870">
        <f>SUM(PROD!AY173:AY179)</f>
        <v>0</v>
      </c>
      <c r="X174" s="492">
        <f>IFERROR(W174/(AA177-AA175),0)</f>
        <v>0</v>
      </c>
      <c r="Y174" s="402" t="s">
        <v>391</v>
      </c>
      <c r="Z174" s="456">
        <v>0</v>
      </c>
      <c r="AA174" s="720"/>
      <c r="AB174" s="495">
        <f>IF(AA177&gt;0,AA174/AA177,0)</f>
        <v>0</v>
      </c>
    </row>
    <row r="175" spans="1:28" ht="15.75" customHeight="1" x14ac:dyDescent="0.3">
      <c r="A175" s="2301"/>
      <c r="B175" s="438" t="str">
        <f>$B$7</f>
        <v>Mortalidad Aves</v>
      </c>
      <c r="C175" s="401">
        <f>IF(A172&lt;=$B$2,C173+$C$2,0)</f>
        <v>0</v>
      </c>
      <c r="D175" s="390">
        <f>C175*SUM(PROD!D173:D179)</f>
        <v>0</v>
      </c>
      <c r="E175" s="383">
        <f>IFERROR(D175/SUM(PROD!L173:L179),0)</f>
        <v>0</v>
      </c>
      <c r="F175" s="384">
        <f>IFERROR(E175/SUM(E172:E178,J172:J178,O172:O177),0)</f>
        <v>0</v>
      </c>
      <c r="G175" s="439" t="str">
        <f>$G$14</f>
        <v>Servicios Públicos</v>
      </c>
      <c r="H175" s="401">
        <f t="shared" si="29"/>
        <v>0</v>
      </c>
      <c r="I175" s="390">
        <f t="shared" si="27"/>
        <v>0</v>
      </c>
      <c r="J175" s="383">
        <f>IFERROR(I175/SUM(PROD!L173:L179),0)</f>
        <v>0</v>
      </c>
      <c r="K175" s="384">
        <f>IFERROR(J175/SUM(E172:E178,J172:J178,O172:O177),0)</f>
        <v>0</v>
      </c>
      <c r="L175" s="441" t="str">
        <f>$L$7</f>
        <v>Administrativos</v>
      </c>
      <c r="M175" s="401">
        <f t="shared" si="36"/>
        <v>0</v>
      </c>
      <c r="N175" s="404">
        <f>M175*0.230769230769231</f>
        <v>0</v>
      </c>
      <c r="O175" s="383">
        <f>IFERROR(N175/SUM(PROD!L173:L179),0)</f>
        <v>0</v>
      </c>
      <c r="P175" s="384">
        <f>IFERROR(O175/SUM(E172:E178,J172:J178,O172:O177),0)</f>
        <v>0</v>
      </c>
      <c r="Q175" s="491" t="str">
        <f>$Q$7</f>
        <v>A</v>
      </c>
      <c r="R175" s="392">
        <f t="shared" si="30"/>
        <v>0</v>
      </c>
      <c r="S175" s="870">
        <f>SUM(PROD!AP173:AP179)</f>
        <v>0</v>
      </c>
      <c r="T175" s="492">
        <f>IF(AA172&gt;0,S175/AA172,0)</f>
        <v>0</v>
      </c>
      <c r="U175" s="405" t="str">
        <f>$U$7</f>
        <v>Roto</v>
      </c>
      <c r="V175" s="406">
        <f t="shared" si="31"/>
        <v>0</v>
      </c>
      <c r="W175" s="872">
        <f>SUM(PROD!AZ173:AZ179)</f>
        <v>0</v>
      </c>
      <c r="X175" s="407">
        <f>IFERROR(W175/(AA177-AA175),0)</f>
        <v>0</v>
      </c>
      <c r="Y175" s="408" t="s">
        <v>359</v>
      </c>
      <c r="Z175" s="442">
        <v>215</v>
      </c>
      <c r="AA175" s="410">
        <f>SUM(PROD!L173:L179)-SUM(W172:W178)-SUM(S172:S178)-AA174</f>
        <v>0</v>
      </c>
      <c r="AB175" s="496">
        <f>IF(AA177&gt;0,AA175/AA177,0)</f>
        <v>0</v>
      </c>
    </row>
    <row r="176" spans="1:28" ht="15.75" customHeight="1" x14ac:dyDescent="0.3">
      <c r="A176" s="2301"/>
      <c r="B176" s="399" t="str">
        <f>$B$8</f>
        <v>Materia Prima (Carb Ca, etc.)</v>
      </c>
      <c r="C176" s="440">
        <f>C169</f>
        <v>0</v>
      </c>
      <c r="D176" s="387">
        <f>C176*12/52</f>
        <v>0</v>
      </c>
      <c r="E176" s="383">
        <f>IFERROR(D176/SUM(PROD!L173:L179),0)</f>
        <v>0</v>
      </c>
      <c r="F176" s="384">
        <f>IFERROR(E176/SUM(E172:E178,J172:J178,O172:O177),0)</f>
        <v>0</v>
      </c>
      <c r="G176" s="441" t="str">
        <f>$G$15</f>
        <v>Gastos Legales</v>
      </c>
      <c r="H176" s="401">
        <f t="shared" si="29"/>
        <v>0</v>
      </c>
      <c r="I176" s="390">
        <f t="shared" si="27"/>
        <v>0</v>
      </c>
      <c r="J176" s="383">
        <f>IFERROR(I176/SUM(PROD!L173:L179),0)</f>
        <v>0</v>
      </c>
      <c r="K176" s="384">
        <f>IFERROR(J176/SUM(E172:E178,J172:J178,O172:O177),0)</f>
        <v>0</v>
      </c>
      <c r="L176" s="439" t="str">
        <f>$L$8</f>
        <v>Fletes</v>
      </c>
      <c r="M176" s="401">
        <f t="shared" si="36"/>
        <v>0</v>
      </c>
      <c r="N176" s="404">
        <f>M176*0.230769230769231</f>
        <v>0</v>
      </c>
      <c r="O176" s="383">
        <f>IFERROR(N176/SUM(PROD!L173:L179),0)</f>
        <v>0</v>
      </c>
      <c r="P176" s="384">
        <f>IFERROR(O176/SUM(E172:E178,J172:J178,O172:O177),0)</f>
        <v>0</v>
      </c>
      <c r="Q176" s="491" t="str">
        <f>$Q$8</f>
        <v>B</v>
      </c>
      <c r="R176" s="392">
        <f t="shared" si="30"/>
        <v>0</v>
      </c>
      <c r="S176" s="870">
        <f>SUM(PROD!AQ173:AQ179)</f>
        <v>0</v>
      </c>
      <c r="T176" s="492">
        <f>IF(AA172&gt;0,S176/AA172,0)</f>
        <v>0</v>
      </c>
      <c r="U176" s="395" t="str">
        <f>$U$8</f>
        <v>Rev. Gr.</v>
      </c>
      <c r="V176" s="412">
        <f t="shared" si="31"/>
        <v>0</v>
      </c>
      <c r="W176" s="873">
        <f>SUM(PROD!AT173:AT179)</f>
        <v>0</v>
      </c>
      <c r="X176" s="413">
        <f>IFERROR(W176/(AA177-AA175),0)</f>
        <v>0</v>
      </c>
      <c r="Y176" s="414" t="s">
        <v>262</v>
      </c>
      <c r="Z176" s="415">
        <f>IFERROR(SUMPRODUCT(V176:V178,W176:W178)/SUM(W176:W178),0)</f>
        <v>0</v>
      </c>
      <c r="AA176" s="416">
        <f>SUM(W176:W178)</f>
        <v>0</v>
      </c>
      <c r="AB176" s="497">
        <f>IF(AA177&gt;0,AA176/AA177,0)</f>
        <v>0</v>
      </c>
    </row>
    <row r="177" spans="1:28" ht="15.75" customHeight="1" x14ac:dyDescent="0.3">
      <c r="A177" s="2301"/>
      <c r="B177" s="438" t="str">
        <f>$B$9</f>
        <v>Vacunas y medicamentos</v>
      </c>
      <c r="C177" s="443">
        <f>C170</f>
        <v>0</v>
      </c>
      <c r="D177" s="387">
        <f>C177*12/52</f>
        <v>0</v>
      </c>
      <c r="E177" s="383">
        <f>IFERROR(D177/SUM(PROD!L173:L179),0)</f>
        <v>0</v>
      </c>
      <c r="F177" s="384">
        <f>IFERROR(E177/SUM(E172:E178,J172:J178,O172:O177),0)</f>
        <v>0</v>
      </c>
      <c r="G177" s="441" t="str">
        <f>$G$16</f>
        <v>Mantenimiento y Reparaciones</v>
      </c>
      <c r="H177" s="401">
        <f t="shared" si="29"/>
        <v>0</v>
      </c>
      <c r="I177" s="390">
        <f t="shared" si="27"/>
        <v>0</v>
      </c>
      <c r="J177" s="383">
        <f>IFERROR(I177/SUM(PROD!L173:L179),0)</f>
        <v>0</v>
      </c>
      <c r="K177" s="384">
        <f>IFERROR(J177/SUM(E172:E178,J172:J178,O172:O177),0)</f>
        <v>0</v>
      </c>
      <c r="L177" s="439">
        <f>$L$9</f>
        <v>0</v>
      </c>
      <c r="M177" s="401">
        <f t="shared" si="36"/>
        <v>0</v>
      </c>
      <c r="N177" s="404">
        <f>M177*0.230769230769231</f>
        <v>0</v>
      </c>
      <c r="O177" s="383">
        <f>IFERROR(N177/SUM(PROD!L173:L179),0)</f>
        <v>0</v>
      </c>
      <c r="P177" s="384">
        <f>IFERROR(O177/SUM(E172:E178,J172:J178,O172:O177),0)</f>
        <v>0</v>
      </c>
      <c r="Q177" s="491" t="str">
        <f>$Q$9</f>
        <v>C</v>
      </c>
      <c r="R177" s="392">
        <f t="shared" si="30"/>
        <v>0</v>
      </c>
      <c r="S177" s="870">
        <f>SUM(PROD!AR173:AR179)</f>
        <v>0</v>
      </c>
      <c r="T177" s="492">
        <f>IF(AA172&gt;0,S177/AA172,0)</f>
        <v>0</v>
      </c>
      <c r="U177" s="493" t="str">
        <f>$U$9</f>
        <v>Rev. Med</v>
      </c>
      <c r="V177" s="392">
        <f t="shared" si="31"/>
        <v>0</v>
      </c>
      <c r="W177" s="870">
        <f>SUM(PROD!AU173:AU179)</f>
        <v>0</v>
      </c>
      <c r="X177" s="498">
        <f>IFERROR(W177/(AA177-AA175),0)</f>
        <v>0</v>
      </c>
      <c r="Y177" s="2303" t="s">
        <v>325</v>
      </c>
      <c r="Z177" s="2305">
        <f>SUMPRODUCT(Z172:Z176,AB172:AB176)</f>
        <v>0</v>
      </c>
      <c r="AA177" s="2307">
        <f>SUM(AA172:AA175)</f>
        <v>0</v>
      </c>
      <c r="AB177" s="2308"/>
    </row>
    <row r="178" spans="1:28" ht="16.5" customHeight="1" thickBot="1" x14ac:dyDescent="0.35">
      <c r="A178" s="2302"/>
      <c r="B178" s="444" t="str">
        <f>$B$10</f>
        <v>Gastos de Personal</v>
      </c>
      <c r="C178" s="445">
        <f>C171</f>
        <v>0</v>
      </c>
      <c r="D178" s="421">
        <f>C178*12/52</f>
        <v>0</v>
      </c>
      <c r="E178" s="446">
        <f>IFERROR(D178/SUM(PROD!L173:L179),0)</f>
        <v>0</v>
      </c>
      <c r="F178" s="447">
        <f>IFERROR(E178/SUM(E172:E178,J172:J178,O172:O177),0)</f>
        <v>0</v>
      </c>
      <c r="G178" s="448" t="str">
        <f>$G$17</f>
        <v>Adecuación Instalaciones</v>
      </c>
      <c r="H178" s="445">
        <f t="shared" si="29"/>
        <v>0</v>
      </c>
      <c r="I178" s="426">
        <f t="shared" si="27"/>
        <v>0</v>
      </c>
      <c r="J178" s="446">
        <f>IFERROR(I178/SUM(PROD!L173:L179),0)</f>
        <v>0</v>
      </c>
      <c r="K178" s="447">
        <f>IFERROR(J178/SUM(E172:E178,J172:J178,O172:O177),0)</f>
        <v>0</v>
      </c>
      <c r="L178" s="2311" t="str">
        <f>$L$10</f>
        <v>TOTAL COSTO PRODUCCIÓN</v>
      </c>
      <c r="M178" s="2312"/>
      <c r="N178" s="427">
        <f>SUM(D172:D178,I172:I178,N172:N177)</f>
        <v>0</v>
      </c>
      <c r="O178" s="449">
        <f>IFERROR(N178/SUM(PROD!L173:L179),0)</f>
        <v>0</v>
      </c>
      <c r="P178" s="447">
        <f>IFERROR(O178/SUM(E172:E178,J172:J178,O172:O177),0)</f>
        <v>0</v>
      </c>
      <c r="Q178" s="429" t="str">
        <f>$Q$10</f>
        <v>D</v>
      </c>
      <c r="R178" s="499">
        <f t="shared" si="30"/>
        <v>0</v>
      </c>
      <c r="S178" s="871">
        <f>SUM(PROD!AS173:AS179)</f>
        <v>0</v>
      </c>
      <c r="T178" s="431">
        <f>IF(AA172&gt;0,S178/AA172,0)</f>
        <v>0</v>
      </c>
      <c r="U178" s="432" t="str">
        <f>$U$10</f>
        <v>Rev. Peq</v>
      </c>
      <c r="V178" s="499">
        <f t="shared" si="31"/>
        <v>0</v>
      </c>
      <c r="W178" s="871">
        <f>SUM(PROD!AV173:AV179)</f>
        <v>0</v>
      </c>
      <c r="X178" s="431">
        <f>IFERROR(W178/(AA177-AA175),0)</f>
        <v>0</v>
      </c>
      <c r="Y178" s="2304"/>
      <c r="Z178" s="2306"/>
      <c r="AA178" s="2309"/>
      <c r="AB178" s="2310"/>
    </row>
    <row r="179" spans="1:28" ht="16.5" customHeight="1" x14ac:dyDescent="0.3">
      <c r="A179" s="2300">
        <f>A172+1</f>
        <v>43</v>
      </c>
      <c r="B179" s="433" t="str">
        <f>$B$4</f>
        <v>ALIMENTO Kilos</v>
      </c>
      <c r="C179" s="435">
        <f>LOOKUP($A179,PROD!$A$5:$A$725,PROD!$AH$10:$AH$730)</f>
        <v>0</v>
      </c>
      <c r="D179" s="368">
        <f>C179*LOOKUP($A179,'Pr-Sem'!$A$6:$A$108,'Pr-Sem'!$N$6:$N$108)/(PROD!$A$1/1000)</f>
        <v>0</v>
      </c>
      <c r="E179" s="369">
        <f>IFERROR(D179/SUM(PROD!L180:L186),0)</f>
        <v>0</v>
      </c>
      <c r="F179" s="370">
        <f>IFERROR(E179/SUM(E179:E185,J179:J185,O179:O184),0)</f>
        <v>0</v>
      </c>
      <c r="G179" s="434" t="str">
        <f>$G$11</f>
        <v>Honorarios</v>
      </c>
      <c r="H179" s="435">
        <f t="shared" si="29"/>
        <v>0</v>
      </c>
      <c r="I179" s="372">
        <f t="shared" si="27"/>
        <v>0</v>
      </c>
      <c r="J179" s="369">
        <f>IFERROR(I179/SUM(PROD!L180:L186),0)</f>
        <v>0</v>
      </c>
      <c r="K179" s="370">
        <f>IFERROR(J179/SUM(E179:E185,J179:J185,O179:O184),0)</f>
        <v>0</v>
      </c>
      <c r="L179" s="436" t="str">
        <f>$L$4</f>
        <v>Gastos de Viaje</v>
      </c>
      <c r="M179" s="435">
        <f t="shared" ref="M179:M184" si="37">M172</f>
        <v>0</v>
      </c>
      <c r="N179" s="372">
        <f>M179*12/52</f>
        <v>0</v>
      </c>
      <c r="O179" s="369">
        <f>IFERROR(N179/SUM(PROD!L180:L186),0)</f>
        <v>0</v>
      </c>
      <c r="P179" s="370">
        <f>IFERROR(O179/SUM(E179:E185,J179:J185,O179:O184),0)</f>
        <v>0</v>
      </c>
      <c r="Q179" s="373" t="str">
        <f>$Q$4</f>
        <v>AAAA</v>
      </c>
      <c r="R179" s="374">
        <f t="shared" si="30"/>
        <v>0</v>
      </c>
      <c r="S179" s="869">
        <f>SUM(PROD!AM180:AM186)</f>
        <v>0</v>
      </c>
      <c r="T179" s="375">
        <f>IF(AA179&gt;0,S179/AA179,0)</f>
        <v>0</v>
      </c>
      <c r="U179" s="376" t="str">
        <f>$U$4</f>
        <v>Prob Color</v>
      </c>
      <c r="V179" s="374">
        <f t="shared" si="31"/>
        <v>0</v>
      </c>
      <c r="W179" s="869">
        <f>SUM(PROD!AW180:AW186)</f>
        <v>0</v>
      </c>
      <c r="X179" s="375">
        <f>IFERROR(W179/(AA184-AA182),0)</f>
        <v>0</v>
      </c>
      <c r="Y179" s="377" t="s">
        <v>323</v>
      </c>
      <c r="Z179" s="378">
        <f>SUMPRODUCT(R179:R185,T179:T185)</f>
        <v>0</v>
      </c>
      <c r="AA179" s="379">
        <f>SUM(S179:S185)</f>
        <v>0</v>
      </c>
      <c r="AB179" s="490">
        <f>IF(AA184&gt;0,AA179/AA184,0)</f>
        <v>0</v>
      </c>
    </row>
    <row r="180" spans="1:28" ht="15.75" customHeight="1" x14ac:dyDescent="0.3">
      <c r="A180" s="2301"/>
      <c r="B180" s="438" t="str">
        <f>$B$5</f>
        <v>Amortización de Aves</v>
      </c>
      <c r="C180" s="381">
        <f>IFERROR((C173-(D180/'Pr-Sem'!$O$2)),0)</f>
        <v>0</v>
      </c>
      <c r="D180" s="382">
        <f>SUM(PROD!L180:L186)*E180</f>
        <v>0</v>
      </c>
      <c r="E180" s="383">
        <f>IF(SUM(PROD!L180:L186)&gt;0,IFERROR(($C$1-$C$2)/LOOKUP($B$2,'Pr-Sem'!$A$6:$A$108,'Pr-Sem'!$L$6:$L$108)*(LOOKUP(INVENTARIOS!$A179,'Pr-Sem'!$A$6:$A$108,'Pr-Sem'!$L$6:$L$108)-LOOKUP(INVENTARIOS!$A179-1,'Pr-Sem'!$A$6:$A$108,'Pr-Sem'!$L$6:$L$108))/(LOOKUP(INVENTARIOS!$A179,'Pr-Sem'!$A$6:$A$108,'Pr-Sem'!$K$6:$K$108)-LOOKUP(INVENTARIOS!$A179-1,'Pr-Sem'!$A$6:$A$108,'Pr-Sem'!$K$6:$K$108)),0),0)</f>
        <v>0</v>
      </c>
      <c r="F180" s="384">
        <f>IFERROR(E180/SUM(E179:E185,J179:J185,O179:O184),0)</f>
        <v>0</v>
      </c>
      <c r="G180" s="439" t="str">
        <f>$G$12</f>
        <v>Impuestos</v>
      </c>
      <c r="H180" s="440">
        <f t="shared" si="29"/>
        <v>0</v>
      </c>
      <c r="I180" s="387">
        <f t="shared" si="27"/>
        <v>0</v>
      </c>
      <c r="J180" s="383">
        <f>IFERROR(I180/SUM(PROD!L180:L186),0)</f>
        <v>0</v>
      </c>
      <c r="K180" s="384">
        <f>IFERROR(J180/SUM(E179:E185,J179:J185,O179:O184),0)</f>
        <v>0</v>
      </c>
      <c r="L180" s="439" t="str">
        <f>$L$5</f>
        <v>Depreciaciones</v>
      </c>
      <c r="M180" s="401">
        <f t="shared" si="37"/>
        <v>0</v>
      </c>
      <c r="N180" s="390">
        <f>M180*12/52</f>
        <v>0</v>
      </c>
      <c r="O180" s="383">
        <f>IFERROR(N180/SUM(PROD!L180:L186),0)</f>
        <v>0</v>
      </c>
      <c r="P180" s="384">
        <f>IFERROR(O180/SUM(E179:E185,J179:J185,O179:O184),0)</f>
        <v>0</v>
      </c>
      <c r="Q180" s="491" t="str">
        <f>$Q$5</f>
        <v>AAA</v>
      </c>
      <c r="R180" s="392">
        <f t="shared" si="30"/>
        <v>0</v>
      </c>
      <c r="S180" s="870">
        <f>SUM(PROD!AN180:AN186)</f>
        <v>0</v>
      </c>
      <c r="T180" s="492">
        <f>IF(AA179&gt;0,S180/AA179,0)</f>
        <v>0</v>
      </c>
      <c r="U180" s="493" t="str">
        <f>$U$5</f>
        <v>Prob Cásc</v>
      </c>
      <c r="V180" s="392">
        <f t="shared" si="31"/>
        <v>0</v>
      </c>
      <c r="W180" s="870">
        <f>SUM(PROD!AX180:AX186)</f>
        <v>0</v>
      </c>
      <c r="X180" s="492">
        <f>IFERROR(W180/(AA184-AA182),0)</f>
        <v>0</v>
      </c>
      <c r="Y180" s="395" t="s">
        <v>324</v>
      </c>
      <c r="Z180" s="396">
        <f>IFERROR(SUMPRODUCT(V179:V182,W179:W182)/SUM(W179:W182),0)</f>
        <v>0</v>
      </c>
      <c r="AA180" s="397">
        <f>SUM(W179:W182)</f>
        <v>0</v>
      </c>
      <c r="AB180" s="494">
        <f>IF(AA184&gt;0,AA180/AA184,0)</f>
        <v>0</v>
      </c>
    </row>
    <row r="181" spans="1:28" ht="15.75" customHeight="1" x14ac:dyDescent="0.3">
      <c r="A181" s="2301"/>
      <c r="B181" s="399" t="str">
        <f>$B$6</f>
        <v>Bandeja</v>
      </c>
      <c r="C181" s="400">
        <f>C174</f>
        <v>0</v>
      </c>
      <c r="D181" s="387">
        <f>C181*SUM(INVENTARIOS!R179:R185)</f>
        <v>0</v>
      </c>
      <c r="E181" s="383">
        <f>IFERROR(D181/SUM(PROD!L180:L186),0)</f>
        <v>0</v>
      </c>
      <c r="F181" s="384">
        <f>IFERROR(E181/SUM(E179:E185,J179:J185,O179:O184),0)</f>
        <v>0</v>
      </c>
      <c r="G181" s="439" t="str">
        <f>$G$13</f>
        <v>Arrendamientos</v>
      </c>
      <c r="H181" s="401">
        <f t="shared" si="29"/>
        <v>0</v>
      </c>
      <c r="I181" s="390">
        <f t="shared" si="27"/>
        <v>0</v>
      </c>
      <c r="J181" s="383">
        <f>IFERROR(I181/SUM(PROD!L180:L186),0)</f>
        <v>0</v>
      </c>
      <c r="K181" s="384">
        <f>IFERROR(J181/SUM(E179:E185,J179:J185,O179:O184),0)</f>
        <v>0</v>
      </c>
      <c r="L181" s="439" t="str">
        <f>$L$6</f>
        <v>Diversos</v>
      </c>
      <c r="M181" s="401">
        <f t="shared" si="37"/>
        <v>0</v>
      </c>
      <c r="N181" s="390">
        <f>M181*12/52</f>
        <v>0</v>
      </c>
      <c r="O181" s="383">
        <f>IFERROR(N181/SUM(PROD!L180:L186),0)</f>
        <v>0</v>
      </c>
      <c r="P181" s="384">
        <f>IFERROR(O181/SUM(E179:E185,J179:J185,O179:O184),0)</f>
        <v>0</v>
      </c>
      <c r="Q181" s="491" t="str">
        <f>$Q$6</f>
        <v>AA</v>
      </c>
      <c r="R181" s="392">
        <f t="shared" si="30"/>
        <v>0</v>
      </c>
      <c r="S181" s="870">
        <f>SUM(PROD!AO180:AO186)</f>
        <v>0</v>
      </c>
      <c r="T181" s="492">
        <f>IF(AA179&gt;0,S181/AA179,0)</f>
        <v>0</v>
      </c>
      <c r="U181" s="493" t="str">
        <f>$U$6</f>
        <v>Vencido</v>
      </c>
      <c r="V181" s="392">
        <f t="shared" si="31"/>
        <v>0</v>
      </c>
      <c r="W181" s="870">
        <f>SUM(PROD!AY180:AY186)</f>
        <v>0</v>
      </c>
      <c r="X181" s="492">
        <f>IFERROR(W181/(AA184-AA182),0)</f>
        <v>0</v>
      </c>
      <c r="Y181" s="402" t="s">
        <v>391</v>
      </c>
      <c r="Z181" s="456">
        <v>0</v>
      </c>
      <c r="AA181" s="720"/>
      <c r="AB181" s="495">
        <f>IF(AA184&gt;0,AA181/AA184,0)</f>
        <v>0</v>
      </c>
    </row>
    <row r="182" spans="1:28" ht="15.75" customHeight="1" x14ac:dyDescent="0.3">
      <c r="A182" s="2301"/>
      <c r="B182" s="438" t="str">
        <f>$B$7</f>
        <v>Mortalidad Aves</v>
      </c>
      <c r="C182" s="401">
        <f>IF(A179&lt;=$B$2,C180+$C$2,0)</f>
        <v>0</v>
      </c>
      <c r="D182" s="390">
        <f>C182*SUM(PROD!D180:D186)</f>
        <v>0</v>
      </c>
      <c r="E182" s="383">
        <f>IFERROR(D182/SUM(PROD!L180:L186),0)</f>
        <v>0</v>
      </c>
      <c r="F182" s="384">
        <f>IFERROR(E182/SUM(E179:E185,J179:J185,O179:O184),0)</f>
        <v>0</v>
      </c>
      <c r="G182" s="439" t="str">
        <f>$G$14</f>
        <v>Servicios Públicos</v>
      </c>
      <c r="H182" s="401">
        <f t="shared" si="29"/>
        <v>0</v>
      </c>
      <c r="I182" s="390">
        <f t="shared" si="27"/>
        <v>0</v>
      </c>
      <c r="J182" s="383">
        <f>IFERROR(I182/SUM(PROD!L180:L186),0)</f>
        <v>0</v>
      </c>
      <c r="K182" s="384">
        <f>IFERROR(J182/SUM(E179:E185,J179:J185,O179:O184),0)</f>
        <v>0</v>
      </c>
      <c r="L182" s="441" t="str">
        <f>$L$7</f>
        <v>Administrativos</v>
      </c>
      <c r="M182" s="401">
        <f t="shared" si="37"/>
        <v>0</v>
      </c>
      <c r="N182" s="404">
        <f>M182*0.230769230769231</f>
        <v>0</v>
      </c>
      <c r="O182" s="383">
        <f>IFERROR(N182/SUM(PROD!L180:L186),0)</f>
        <v>0</v>
      </c>
      <c r="P182" s="384">
        <f>IFERROR(O182/SUM(E179:E185,J179:J185,O179:O184),0)</f>
        <v>0</v>
      </c>
      <c r="Q182" s="491" t="str">
        <f>$Q$7</f>
        <v>A</v>
      </c>
      <c r="R182" s="392">
        <f t="shared" si="30"/>
        <v>0</v>
      </c>
      <c r="S182" s="870">
        <f>SUM(PROD!AP180:AP186)</f>
        <v>0</v>
      </c>
      <c r="T182" s="492">
        <f>IF(AA179&gt;0,S182/AA179,0)</f>
        <v>0</v>
      </c>
      <c r="U182" s="405" t="str">
        <f>$U$7</f>
        <v>Roto</v>
      </c>
      <c r="V182" s="406">
        <f t="shared" si="31"/>
        <v>0</v>
      </c>
      <c r="W182" s="872">
        <f>SUM(PROD!AZ180:AZ186)</f>
        <v>0</v>
      </c>
      <c r="X182" s="407">
        <f>IFERROR(W182/(AA184-AA182),0)</f>
        <v>0</v>
      </c>
      <c r="Y182" s="408" t="s">
        <v>359</v>
      </c>
      <c r="Z182" s="442">
        <v>215</v>
      </c>
      <c r="AA182" s="410">
        <f>SUM(PROD!L180:L186)-SUM(W179:W185)-SUM(S179:S185)-AA181</f>
        <v>0</v>
      </c>
      <c r="AB182" s="496">
        <f>IF(AA184&gt;0,AA182/AA184,0)</f>
        <v>0</v>
      </c>
    </row>
    <row r="183" spans="1:28" ht="15.75" customHeight="1" x14ac:dyDescent="0.3">
      <c r="A183" s="2301"/>
      <c r="B183" s="399" t="str">
        <f>$B$8</f>
        <v>Materia Prima (Carb Ca, etc.)</v>
      </c>
      <c r="C183" s="440">
        <f>C176</f>
        <v>0</v>
      </c>
      <c r="D183" s="387">
        <f>C183*12/52</f>
        <v>0</v>
      </c>
      <c r="E183" s="383">
        <f>IFERROR(D183/SUM(PROD!L180:L186),0)</f>
        <v>0</v>
      </c>
      <c r="F183" s="384">
        <f>IFERROR(E183/SUM(E179:E185,J179:J185,O179:O184),0)</f>
        <v>0</v>
      </c>
      <c r="G183" s="441" t="str">
        <f>$G$15</f>
        <v>Gastos Legales</v>
      </c>
      <c r="H183" s="401">
        <f t="shared" si="29"/>
        <v>0</v>
      </c>
      <c r="I183" s="390">
        <f t="shared" si="27"/>
        <v>0</v>
      </c>
      <c r="J183" s="383">
        <f>IFERROR(I183/SUM(PROD!L180:L186),0)</f>
        <v>0</v>
      </c>
      <c r="K183" s="384">
        <f>IFERROR(J183/SUM(E179:E185,J179:J185,O179:O184),0)</f>
        <v>0</v>
      </c>
      <c r="L183" s="439" t="str">
        <f>$L$8</f>
        <v>Fletes</v>
      </c>
      <c r="M183" s="401">
        <f t="shared" si="37"/>
        <v>0</v>
      </c>
      <c r="N183" s="404">
        <f>M183*0.230769230769231</f>
        <v>0</v>
      </c>
      <c r="O183" s="383">
        <f>IFERROR(N183/SUM(PROD!L180:L186),0)</f>
        <v>0</v>
      </c>
      <c r="P183" s="384">
        <f>IFERROR(O183/SUM(E179:E185,J179:J185,O179:O184),0)</f>
        <v>0</v>
      </c>
      <c r="Q183" s="491" t="str">
        <f>$Q$8</f>
        <v>B</v>
      </c>
      <c r="R183" s="392">
        <f t="shared" si="30"/>
        <v>0</v>
      </c>
      <c r="S183" s="870">
        <f>SUM(PROD!AQ180:AQ186)</f>
        <v>0</v>
      </c>
      <c r="T183" s="492">
        <f>IF(AA179&gt;0,S183/AA179,0)</f>
        <v>0</v>
      </c>
      <c r="U183" s="395" t="str">
        <f>$U$8</f>
        <v>Rev. Gr.</v>
      </c>
      <c r="V183" s="412">
        <f t="shared" si="31"/>
        <v>0</v>
      </c>
      <c r="W183" s="873">
        <f>SUM(PROD!AT180:AT186)</f>
        <v>0</v>
      </c>
      <c r="X183" s="413">
        <f>IFERROR(W183/(AA184-AA182),0)</f>
        <v>0</v>
      </c>
      <c r="Y183" s="414" t="s">
        <v>262</v>
      </c>
      <c r="Z183" s="415">
        <f>IFERROR(SUMPRODUCT(V183:V185,W183:W185)/SUM(W183:W185),0)</f>
        <v>0</v>
      </c>
      <c r="AA183" s="416">
        <f>SUM(W183:W185)</f>
        <v>0</v>
      </c>
      <c r="AB183" s="497">
        <f>IF(AA184&gt;0,AA183/AA184,0)</f>
        <v>0</v>
      </c>
    </row>
    <row r="184" spans="1:28" ht="15.75" customHeight="1" x14ac:dyDescent="0.3">
      <c r="A184" s="2301"/>
      <c r="B184" s="438" t="str">
        <f>$B$9</f>
        <v>Vacunas y medicamentos</v>
      </c>
      <c r="C184" s="443">
        <f>C177</f>
        <v>0</v>
      </c>
      <c r="D184" s="387">
        <f>C184*12/52</f>
        <v>0</v>
      </c>
      <c r="E184" s="383">
        <f>IFERROR(D184/SUM(PROD!L180:L186),0)</f>
        <v>0</v>
      </c>
      <c r="F184" s="384">
        <f>IFERROR(E184/SUM(E179:E185,J179:J185,O179:O184),0)</f>
        <v>0</v>
      </c>
      <c r="G184" s="441" t="str">
        <f>$G$16</f>
        <v>Mantenimiento y Reparaciones</v>
      </c>
      <c r="H184" s="401">
        <f t="shared" si="29"/>
        <v>0</v>
      </c>
      <c r="I184" s="390">
        <f t="shared" si="27"/>
        <v>0</v>
      </c>
      <c r="J184" s="383">
        <f>IFERROR(I184/SUM(PROD!L180:L186),0)</f>
        <v>0</v>
      </c>
      <c r="K184" s="384">
        <f>IFERROR(J184/SUM(E179:E185,J179:J185,O179:O184),0)</f>
        <v>0</v>
      </c>
      <c r="L184" s="439">
        <f>$L$9</f>
        <v>0</v>
      </c>
      <c r="M184" s="401">
        <f t="shared" si="37"/>
        <v>0</v>
      </c>
      <c r="N184" s="404">
        <f>M184*0.230769230769231</f>
        <v>0</v>
      </c>
      <c r="O184" s="383">
        <f>IFERROR(N184/SUM(PROD!L180:L186),0)</f>
        <v>0</v>
      </c>
      <c r="P184" s="384">
        <f>IFERROR(O184/SUM(E179:E185,J179:J185,O179:O184),0)</f>
        <v>0</v>
      </c>
      <c r="Q184" s="491" t="str">
        <f>$Q$9</f>
        <v>C</v>
      </c>
      <c r="R184" s="392">
        <f t="shared" si="30"/>
        <v>0</v>
      </c>
      <c r="S184" s="870">
        <f>SUM(PROD!AR180:AR186)</f>
        <v>0</v>
      </c>
      <c r="T184" s="492">
        <f>IF(AA179&gt;0,S184/AA179,0)</f>
        <v>0</v>
      </c>
      <c r="U184" s="493" t="str">
        <f>$U$9</f>
        <v>Rev. Med</v>
      </c>
      <c r="V184" s="392">
        <f t="shared" si="31"/>
        <v>0</v>
      </c>
      <c r="W184" s="870">
        <f>SUM(PROD!AU180:AU186)</f>
        <v>0</v>
      </c>
      <c r="X184" s="498">
        <f>IFERROR(W184/(AA184-AA182),0)</f>
        <v>0</v>
      </c>
      <c r="Y184" s="2303" t="s">
        <v>325</v>
      </c>
      <c r="Z184" s="2305">
        <f>SUMPRODUCT(Z179:Z183,AB179:AB183)</f>
        <v>0</v>
      </c>
      <c r="AA184" s="2307">
        <f>SUM(AA179:AA182)</f>
        <v>0</v>
      </c>
      <c r="AB184" s="2308"/>
    </row>
    <row r="185" spans="1:28" ht="16.5" customHeight="1" thickBot="1" x14ac:dyDescent="0.35">
      <c r="A185" s="2302"/>
      <c r="B185" s="444" t="str">
        <f>$B$10</f>
        <v>Gastos de Personal</v>
      </c>
      <c r="C185" s="445">
        <f>C178</f>
        <v>0</v>
      </c>
      <c r="D185" s="421">
        <f>C185*12/52</f>
        <v>0</v>
      </c>
      <c r="E185" s="446">
        <f>IFERROR(D185/SUM(PROD!L180:L186),0)</f>
        <v>0</v>
      </c>
      <c r="F185" s="447">
        <f>IFERROR(E185/SUM(E179:E185,J179:J185,O179:O184),0)</f>
        <v>0</v>
      </c>
      <c r="G185" s="448" t="str">
        <f>$G$17</f>
        <v>Adecuación Instalaciones</v>
      </c>
      <c r="H185" s="445">
        <f t="shared" si="29"/>
        <v>0</v>
      </c>
      <c r="I185" s="426">
        <f t="shared" si="27"/>
        <v>0</v>
      </c>
      <c r="J185" s="446">
        <f>IFERROR(I185/SUM(PROD!L180:L186),0)</f>
        <v>0</v>
      </c>
      <c r="K185" s="447">
        <f>IFERROR(J185/SUM(E179:E185,J179:J185,O179:O184),0)</f>
        <v>0</v>
      </c>
      <c r="L185" s="2311" t="str">
        <f>$L$10</f>
        <v>TOTAL COSTO PRODUCCIÓN</v>
      </c>
      <c r="M185" s="2312"/>
      <c r="N185" s="427">
        <f>SUM(D179:D185,I179:I185,N179:N184)</f>
        <v>0</v>
      </c>
      <c r="O185" s="449">
        <f>IFERROR(N185/SUM(PROD!L180:L186),0)</f>
        <v>0</v>
      </c>
      <c r="P185" s="447">
        <f>IFERROR(O185/SUM(E179:E185,J179:J185,O179:O184),0)</f>
        <v>0</v>
      </c>
      <c r="Q185" s="429" t="str">
        <f>$Q$10</f>
        <v>D</v>
      </c>
      <c r="R185" s="499">
        <f t="shared" si="30"/>
        <v>0</v>
      </c>
      <c r="S185" s="871">
        <f>SUM(PROD!AS180:AS186)</f>
        <v>0</v>
      </c>
      <c r="T185" s="431">
        <f>IF(AA179&gt;0,S185/AA179,0)</f>
        <v>0</v>
      </c>
      <c r="U185" s="432" t="str">
        <f>$U$10</f>
        <v>Rev. Peq</v>
      </c>
      <c r="V185" s="499">
        <f t="shared" si="31"/>
        <v>0</v>
      </c>
      <c r="W185" s="871">
        <f>SUM(PROD!AV180:AV186)</f>
        <v>0</v>
      </c>
      <c r="X185" s="431">
        <f>IFERROR(W185/(AA184-AA182),0)</f>
        <v>0</v>
      </c>
      <c r="Y185" s="2304"/>
      <c r="Z185" s="2306"/>
      <c r="AA185" s="2309"/>
      <c r="AB185" s="2310"/>
    </row>
    <row r="186" spans="1:28" ht="16.5" customHeight="1" x14ac:dyDescent="0.3">
      <c r="A186" s="2300">
        <f>A179+1</f>
        <v>44</v>
      </c>
      <c r="B186" s="433" t="str">
        <f>$B$4</f>
        <v>ALIMENTO Kilos</v>
      </c>
      <c r="C186" s="435">
        <f>LOOKUP($A186,PROD!$A$5:$A$725,PROD!$AH$10:$AH$730)</f>
        <v>0</v>
      </c>
      <c r="D186" s="368">
        <f>C186*LOOKUP($A186,'Pr-Sem'!$A$6:$A$108,'Pr-Sem'!$N$6:$N$108)/(PROD!$A$1/1000)</f>
        <v>0</v>
      </c>
      <c r="E186" s="369">
        <f>IFERROR(D186/SUM(PROD!L187:L193),0)</f>
        <v>0</v>
      </c>
      <c r="F186" s="370">
        <f>IFERROR(E186/SUM(E186:E192,J186:J192,O186:O191),0)</f>
        <v>0</v>
      </c>
      <c r="G186" s="434" t="str">
        <f>$G$11</f>
        <v>Honorarios</v>
      </c>
      <c r="H186" s="435">
        <f t="shared" si="29"/>
        <v>0</v>
      </c>
      <c r="I186" s="372">
        <f t="shared" si="27"/>
        <v>0</v>
      </c>
      <c r="J186" s="369">
        <f>IFERROR(I186/SUM(PROD!L187:L193),0)</f>
        <v>0</v>
      </c>
      <c r="K186" s="370">
        <f>IFERROR(J186/SUM(E186:E192,J186:J192,O186:O191),0)</f>
        <v>0</v>
      </c>
      <c r="L186" s="436" t="str">
        <f>$L$4</f>
        <v>Gastos de Viaje</v>
      </c>
      <c r="M186" s="435">
        <f t="shared" ref="M186:M191" si="38">M179</f>
        <v>0</v>
      </c>
      <c r="N186" s="372">
        <f>M186*12/52</f>
        <v>0</v>
      </c>
      <c r="O186" s="369">
        <f>IFERROR(N186/SUM(PROD!L187:L193),0)</f>
        <v>0</v>
      </c>
      <c r="P186" s="370">
        <f>IFERROR(O186/SUM(E186:E192,J186:J192,O186:O191),0)</f>
        <v>0</v>
      </c>
      <c r="Q186" s="373" t="str">
        <f>$Q$4</f>
        <v>AAAA</v>
      </c>
      <c r="R186" s="374">
        <f t="shared" si="30"/>
        <v>0</v>
      </c>
      <c r="S186" s="869">
        <f>SUM(PROD!AM187:AM193)</f>
        <v>0</v>
      </c>
      <c r="T186" s="375">
        <f>IF(AA186&gt;0,S186/AA186,0)</f>
        <v>0</v>
      </c>
      <c r="U186" s="376" t="str">
        <f>$U$4</f>
        <v>Prob Color</v>
      </c>
      <c r="V186" s="374">
        <f t="shared" si="31"/>
        <v>0</v>
      </c>
      <c r="W186" s="869">
        <f>SUM(PROD!AW187:AW193)</f>
        <v>0</v>
      </c>
      <c r="X186" s="375">
        <f>IFERROR(W186/(AA191-AA189),0)</f>
        <v>0</v>
      </c>
      <c r="Y186" s="377" t="s">
        <v>323</v>
      </c>
      <c r="Z186" s="378">
        <f>SUMPRODUCT(R186:R192,T186:T192)</f>
        <v>0</v>
      </c>
      <c r="AA186" s="379">
        <f>SUM(S186:S192)</f>
        <v>0</v>
      </c>
      <c r="AB186" s="490">
        <f>IF(AA191&gt;0,AA186/AA191,0)</f>
        <v>0</v>
      </c>
    </row>
    <row r="187" spans="1:28" ht="15.75" customHeight="1" x14ac:dyDescent="0.3">
      <c r="A187" s="2301"/>
      <c r="B187" s="438" t="str">
        <f>$B$5</f>
        <v>Amortización de Aves</v>
      </c>
      <c r="C187" s="381">
        <f>IFERROR((C180-(D187/'Pr-Sem'!$O$2)),0)</f>
        <v>0</v>
      </c>
      <c r="D187" s="382">
        <f>SUM(PROD!L187:L193)*E187</f>
        <v>0</v>
      </c>
      <c r="E187" s="383">
        <f>IF(SUM(PROD!L187:L193)&gt;0,IFERROR(($C$1-$C$2)/LOOKUP($B$2,'Pr-Sem'!$A$6:$A$108,'Pr-Sem'!$L$6:$L$108)*(LOOKUP(INVENTARIOS!$A186,'Pr-Sem'!$A$6:$A$108,'Pr-Sem'!$L$6:$L$108)-LOOKUP(INVENTARIOS!$A186-1,'Pr-Sem'!$A$6:$A$108,'Pr-Sem'!$L$6:$L$108))/(LOOKUP(INVENTARIOS!$A186,'Pr-Sem'!$A$6:$A$108,'Pr-Sem'!$K$6:$K$108)-LOOKUP(INVENTARIOS!$A186-1,'Pr-Sem'!$A$6:$A$108,'Pr-Sem'!$K$6:$K$108)),0),0)</f>
        <v>0</v>
      </c>
      <c r="F187" s="384">
        <f>IFERROR(E187/SUM(E186:E192,J186:J192,O186:O191),0)</f>
        <v>0</v>
      </c>
      <c r="G187" s="439" t="str">
        <f>$G$12</f>
        <v>Impuestos</v>
      </c>
      <c r="H187" s="440">
        <f t="shared" si="29"/>
        <v>0</v>
      </c>
      <c r="I187" s="387">
        <f t="shared" si="27"/>
        <v>0</v>
      </c>
      <c r="J187" s="383">
        <f>IFERROR(I187/SUM(PROD!L187:L193),0)</f>
        <v>0</v>
      </c>
      <c r="K187" s="384">
        <f>IFERROR(J187/SUM(E186:E192,J186:J192,O186:O191),0)</f>
        <v>0</v>
      </c>
      <c r="L187" s="439" t="str">
        <f>$L$5</f>
        <v>Depreciaciones</v>
      </c>
      <c r="M187" s="401">
        <f t="shared" si="38"/>
        <v>0</v>
      </c>
      <c r="N187" s="390">
        <f>M187*12/52</f>
        <v>0</v>
      </c>
      <c r="O187" s="383">
        <f>IFERROR(N187/SUM(PROD!L187:L193),0)</f>
        <v>0</v>
      </c>
      <c r="P187" s="384">
        <f>IFERROR(O187/SUM(E186:E192,J186:J192,O186:O191),0)</f>
        <v>0</v>
      </c>
      <c r="Q187" s="491" t="str">
        <f>$Q$5</f>
        <v>AAA</v>
      </c>
      <c r="R187" s="392">
        <f t="shared" si="30"/>
        <v>0</v>
      </c>
      <c r="S187" s="870">
        <f>SUM(PROD!AN187:AN193)</f>
        <v>0</v>
      </c>
      <c r="T187" s="492">
        <f>IF(AA186&gt;0,S187/AA186,0)</f>
        <v>0</v>
      </c>
      <c r="U187" s="493" t="str">
        <f>$U$5</f>
        <v>Prob Cásc</v>
      </c>
      <c r="V187" s="392">
        <f t="shared" si="31"/>
        <v>0</v>
      </c>
      <c r="W187" s="870">
        <f>SUM(PROD!AX187:AX193)</f>
        <v>0</v>
      </c>
      <c r="X187" s="492">
        <f>IFERROR(W187/(AA191-AA189),0)</f>
        <v>0</v>
      </c>
      <c r="Y187" s="395" t="s">
        <v>324</v>
      </c>
      <c r="Z187" s="396">
        <f>IFERROR(SUMPRODUCT(V186:V189,W186:W189)/SUM(W186:W189),0)</f>
        <v>0</v>
      </c>
      <c r="AA187" s="397">
        <f>SUM(W186:W189)</f>
        <v>0</v>
      </c>
      <c r="AB187" s="494">
        <f>IF(AA191&gt;0,AA187/AA191,0)</f>
        <v>0</v>
      </c>
    </row>
    <row r="188" spans="1:28" ht="15.75" customHeight="1" x14ac:dyDescent="0.3">
      <c r="A188" s="2301"/>
      <c r="B188" s="399" t="str">
        <f>$B$6</f>
        <v>Bandeja</v>
      </c>
      <c r="C188" s="400">
        <f>C181</f>
        <v>0</v>
      </c>
      <c r="D188" s="387">
        <f>C188*SUM(INVENTARIOS!R186:R192)</f>
        <v>0</v>
      </c>
      <c r="E188" s="383">
        <f>IFERROR(D188/SUM(PROD!L187:L193),0)</f>
        <v>0</v>
      </c>
      <c r="F188" s="384">
        <f>IFERROR(E188/SUM(E186:E192,J186:J192,O186:O191),0)</f>
        <v>0</v>
      </c>
      <c r="G188" s="439" t="str">
        <f>$G$13</f>
        <v>Arrendamientos</v>
      </c>
      <c r="H188" s="401">
        <f t="shared" si="29"/>
        <v>0</v>
      </c>
      <c r="I188" s="390">
        <f t="shared" si="27"/>
        <v>0</v>
      </c>
      <c r="J188" s="383">
        <f>IFERROR(I188/SUM(PROD!L187:L193),0)</f>
        <v>0</v>
      </c>
      <c r="K188" s="384">
        <f>IFERROR(J188/SUM(E186:E192,J186:J192,O186:O191),0)</f>
        <v>0</v>
      </c>
      <c r="L188" s="439" t="str">
        <f>$L$6</f>
        <v>Diversos</v>
      </c>
      <c r="M188" s="401">
        <f t="shared" si="38"/>
        <v>0</v>
      </c>
      <c r="N188" s="390">
        <f>M188*12/52</f>
        <v>0</v>
      </c>
      <c r="O188" s="383">
        <f>IFERROR(N188/SUM(PROD!L187:L193),0)</f>
        <v>0</v>
      </c>
      <c r="P188" s="384">
        <f>IFERROR(O188/SUM(E186:E192,J186:J192,O186:O191),0)</f>
        <v>0</v>
      </c>
      <c r="Q188" s="491" t="str">
        <f>$Q$6</f>
        <v>AA</v>
      </c>
      <c r="R188" s="392">
        <f t="shared" si="30"/>
        <v>0</v>
      </c>
      <c r="S188" s="870">
        <f>SUM(PROD!AO187:AO193)</f>
        <v>0</v>
      </c>
      <c r="T188" s="492">
        <f>IF(AA186&gt;0,S188/AA186,0)</f>
        <v>0</v>
      </c>
      <c r="U188" s="493" t="str">
        <f>$U$6</f>
        <v>Vencido</v>
      </c>
      <c r="V188" s="392">
        <f t="shared" si="31"/>
        <v>0</v>
      </c>
      <c r="W188" s="870">
        <f>SUM(PROD!AY187:AY193)</f>
        <v>0</v>
      </c>
      <c r="X188" s="492">
        <f>IFERROR(W188/(AA191-AA189),0)</f>
        <v>0</v>
      </c>
      <c r="Y188" s="402" t="s">
        <v>391</v>
      </c>
      <c r="Z188" s="456">
        <v>0</v>
      </c>
      <c r="AA188" s="720"/>
      <c r="AB188" s="495">
        <f>IF(AA191&gt;0,AA188/AA191,0)</f>
        <v>0</v>
      </c>
    </row>
    <row r="189" spans="1:28" ht="15.75" customHeight="1" x14ac:dyDescent="0.3">
      <c r="A189" s="2301"/>
      <c r="B189" s="438" t="str">
        <f>$B$7</f>
        <v>Mortalidad Aves</v>
      </c>
      <c r="C189" s="401">
        <f>IF(A186&lt;=$B$2,C187+$C$2,0)</f>
        <v>0</v>
      </c>
      <c r="D189" s="390">
        <f>C189*SUM(PROD!D187:D193)</f>
        <v>0</v>
      </c>
      <c r="E189" s="383">
        <f>IFERROR(D189/SUM(PROD!L187:L193),0)</f>
        <v>0</v>
      </c>
      <c r="F189" s="384">
        <f>IFERROR(E189/SUM(E186:E192,J186:J192,O186:O191),0)</f>
        <v>0</v>
      </c>
      <c r="G189" s="439" t="str">
        <f>$G$14</f>
        <v>Servicios Públicos</v>
      </c>
      <c r="H189" s="401">
        <f t="shared" si="29"/>
        <v>0</v>
      </c>
      <c r="I189" s="390">
        <f t="shared" si="27"/>
        <v>0</v>
      </c>
      <c r="J189" s="383">
        <f>IFERROR(I189/SUM(PROD!L187:L193),0)</f>
        <v>0</v>
      </c>
      <c r="K189" s="384">
        <f>IFERROR(J189/SUM(E186:E192,J186:J192,O186:O191),0)</f>
        <v>0</v>
      </c>
      <c r="L189" s="441" t="str">
        <f>$L$7</f>
        <v>Administrativos</v>
      </c>
      <c r="M189" s="401">
        <f t="shared" si="38"/>
        <v>0</v>
      </c>
      <c r="N189" s="404">
        <f>M189*0.230769230769231</f>
        <v>0</v>
      </c>
      <c r="O189" s="383">
        <f>IFERROR(N189/SUM(PROD!L187:L193),0)</f>
        <v>0</v>
      </c>
      <c r="P189" s="384">
        <f>IFERROR(O189/SUM(E186:E192,J186:J192,O186:O191),0)</f>
        <v>0</v>
      </c>
      <c r="Q189" s="491" t="str">
        <f>$Q$7</f>
        <v>A</v>
      </c>
      <c r="R189" s="392">
        <f t="shared" si="30"/>
        <v>0</v>
      </c>
      <c r="S189" s="870">
        <f>SUM(PROD!AP187:AP193)</f>
        <v>0</v>
      </c>
      <c r="T189" s="492">
        <f>IF(AA186&gt;0,S189/AA186,0)</f>
        <v>0</v>
      </c>
      <c r="U189" s="405" t="str">
        <f>$U$7</f>
        <v>Roto</v>
      </c>
      <c r="V189" s="406">
        <f t="shared" si="31"/>
        <v>0</v>
      </c>
      <c r="W189" s="872">
        <f>SUM(PROD!AZ187:AZ193)</f>
        <v>0</v>
      </c>
      <c r="X189" s="407">
        <f>IFERROR(W189/(AA191-AA189),0)</f>
        <v>0</v>
      </c>
      <c r="Y189" s="408" t="s">
        <v>359</v>
      </c>
      <c r="Z189" s="442">
        <v>215</v>
      </c>
      <c r="AA189" s="410">
        <f>SUM(PROD!L187:L193)-SUM(W186:W192)-SUM(S186:S192)-AA188</f>
        <v>0</v>
      </c>
      <c r="AB189" s="496">
        <f>IF(AA191&gt;0,AA189/AA191,0)</f>
        <v>0</v>
      </c>
    </row>
    <row r="190" spans="1:28" ht="15.75" customHeight="1" x14ac:dyDescent="0.3">
      <c r="A190" s="2301"/>
      <c r="B190" s="399" t="str">
        <f>$B$8</f>
        <v>Materia Prima (Carb Ca, etc.)</v>
      </c>
      <c r="C190" s="440">
        <f>C183</f>
        <v>0</v>
      </c>
      <c r="D190" s="387">
        <f>C190*12/52</f>
        <v>0</v>
      </c>
      <c r="E190" s="383">
        <f>IFERROR(D190/SUM(PROD!L187:L193),0)</f>
        <v>0</v>
      </c>
      <c r="F190" s="384">
        <f>IFERROR(E190/SUM(E186:E192,J186:J192,O186:O191),0)</f>
        <v>0</v>
      </c>
      <c r="G190" s="441" t="str">
        <f>$G$15</f>
        <v>Gastos Legales</v>
      </c>
      <c r="H190" s="401">
        <f t="shared" si="29"/>
        <v>0</v>
      </c>
      <c r="I190" s="390">
        <f t="shared" si="27"/>
        <v>0</v>
      </c>
      <c r="J190" s="383">
        <f>IFERROR(I190/SUM(PROD!L187:L193),0)</f>
        <v>0</v>
      </c>
      <c r="K190" s="384">
        <f>IFERROR(J190/SUM(E186:E192,J186:J192,O186:O191),0)</f>
        <v>0</v>
      </c>
      <c r="L190" s="439" t="str">
        <f>$L$8</f>
        <v>Fletes</v>
      </c>
      <c r="M190" s="401">
        <f t="shared" si="38"/>
        <v>0</v>
      </c>
      <c r="N190" s="404">
        <f>M190*0.230769230769231</f>
        <v>0</v>
      </c>
      <c r="O190" s="383">
        <f>IFERROR(N190/SUM(PROD!L187:L193),0)</f>
        <v>0</v>
      </c>
      <c r="P190" s="384">
        <f>IFERROR(O190/SUM(E186:E192,J186:J192,O186:O191),0)</f>
        <v>0</v>
      </c>
      <c r="Q190" s="491" t="str">
        <f>$Q$8</f>
        <v>B</v>
      </c>
      <c r="R190" s="392">
        <f t="shared" si="30"/>
        <v>0</v>
      </c>
      <c r="S190" s="870">
        <f>SUM(PROD!AQ187:AQ193)</f>
        <v>0</v>
      </c>
      <c r="T190" s="492">
        <f>IF(AA186&gt;0,S190/AA186,0)</f>
        <v>0</v>
      </c>
      <c r="U190" s="395" t="str">
        <f>$U$8</f>
        <v>Rev. Gr.</v>
      </c>
      <c r="V190" s="412">
        <f t="shared" si="31"/>
        <v>0</v>
      </c>
      <c r="W190" s="873">
        <f>SUM(PROD!AT187:AT193)</f>
        <v>0</v>
      </c>
      <c r="X190" s="413">
        <f>IFERROR(W190/(AA191-AA189),0)</f>
        <v>0</v>
      </c>
      <c r="Y190" s="414" t="s">
        <v>262</v>
      </c>
      <c r="Z190" s="415">
        <f>IFERROR(SUMPRODUCT(V190:V192,W190:W192)/SUM(W190:W192),0)</f>
        <v>0</v>
      </c>
      <c r="AA190" s="416">
        <f>SUM(W190:W192)</f>
        <v>0</v>
      </c>
      <c r="AB190" s="497">
        <f>IF(AA191&gt;0,AA190/AA191,0)</f>
        <v>0</v>
      </c>
    </row>
    <row r="191" spans="1:28" ht="15.75" customHeight="1" x14ac:dyDescent="0.3">
      <c r="A191" s="2301"/>
      <c r="B191" s="438" t="str">
        <f>$B$9</f>
        <v>Vacunas y medicamentos</v>
      </c>
      <c r="C191" s="443">
        <f>C184</f>
        <v>0</v>
      </c>
      <c r="D191" s="387">
        <f>C191*12/52</f>
        <v>0</v>
      </c>
      <c r="E191" s="383">
        <f>IFERROR(D191/SUM(PROD!L187:L193),0)</f>
        <v>0</v>
      </c>
      <c r="F191" s="384">
        <f>IFERROR(E191/SUM(E186:E192,J186:J192,O186:O191),0)</f>
        <v>0</v>
      </c>
      <c r="G191" s="441" t="str">
        <f>$G$16</f>
        <v>Mantenimiento y Reparaciones</v>
      </c>
      <c r="H191" s="401">
        <f t="shared" si="29"/>
        <v>0</v>
      </c>
      <c r="I191" s="390">
        <f t="shared" si="27"/>
        <v>0</v>
      </c>
      <c r="J191" s="383">
        <f>IFERROR(I191/SUM(PROD!L187:L193),0)</f>
        <v>0</v>
      </c>
      <c r="K191" s="384">
        <f>IFERROR(J191/SUM(E186:E192,J186:J192,O186:O191),0)</f>
        <v>0</v>
      </c>
      <c r="L191" s="439">
        <f>$L$9</f>
        <v>0</v>
      </c>
      <c r="M191" s="401">
        <f t="shared" si="38"/>
        <v>0</v>
      </c>
      <c r="N191" s="404">
        <f>M191*0.230769230769231</f>
        <v>0</v>
      </c>
      <c r="O191" s="383">
        <f>IFERROR(N191/SUM(PROD!L187:L193),0)</f>
        <v>0</v>
      </c>
      <c r="P191" s="384">
        <f>IFERROR(O191/SUM(E186:E192,J186:J192,O186:O191),0)</f>
        <v>0</v>
      </c>
      <c r="Q191" s="491" t="str">
        <f>$Q$9</f>
        <v>C</v>
      </c>
      <c r="R191" s="392">
        <f t="shared" si="30"/>
        <v>0</v>
      </c>
      <c r="S191" s="870">
        <f>SUM(PROD!AR187:AR193)</f>
        <v>0</v>
      </c>
      <c r="T191" s="492">
        <f>IF(AA186&gt;0,S191/AA186,0)</f>
        <v>0</v>
      </c>
      <c r="U191" s="493" t="str">
        <f>$U$9</f>
        <v>Rev. Med</v>
      </c>
      <c r="V191" s="392">
        <f t="shared" si="31"/>
        <v>0</v>
      </c>
      <c r="W191" s="870">
        <f>SUM(PROD!AU187:AU193)</f>
        <v>0</v>
      </c>
      <c r="X191" s="498">
        <f>IFERROR(W191/(AA191-AA189),0)</f>
        <v>0</v>
      </c>
      <c r="Y191" s="2303" t="s">
        <v>325</v>
      </c>
      <c r="Z191" s="2305">
        <f>SUMPRODUCT(Z186:Z190,AB186:AB190)</f>
        <v>0</v>
      </c>
      <c r="AA191" s="2307">
        <f>SUM(AA186:AA189)</f>
        <v>0</v>
      </c>
      <c r="AB191" s="2308"/>
    </row>
    <row r="192" spans="1:28" ht="16.5" customHeight="1" thickBot="1" x14ac:dyDescent="0.35">
      <c r="A192" s="2302"/>
      <c r="B192" s="444" t="str">
        <f>$B$10</f>
        <v>Gastos de Personal</v>
      </c>
      <c r="C192" s="445">
        <f>C185</f>
        <v>0</v>
      </c>
      <c r="D192" s="421">
        <f>C192*12/52</f>
        <v>0</v>
      </c>
      <c r="E192" s="446">
        <f>IFERROR(D192/SUM(PROD!L187:L193),0)</f>
        <v>0</v>
      </c>
      <c r="F192" s="447">
        <f>IFERROR(E192/SUM(E186:E192,J186:J192,O186:O191),0)</f>
        <v>0</v>
      </c>
      <c r="G192" s="448" t="str">
        <f>$G$17</f>
        <v>Adecuación Instalaciones</v>
      </c>
      <c r="H192" s="445">
        <f t="shared" si="29"/>
        <v>0</v>
      </c>
      <c r="I192" s="426">
        <f t="shared" si="27"/>
        <v>0</v>
      </c>
      <c r="J192" s="446">
        <f>IFERROR(I192/SUM(PROD!L187:L193),0)</f>
        <v>0</v>
      </c>
      <c r="K192" s="447">
        <f>IFERROR(J192/SUM(E186:E192,J186:J192,O186:O191),0)</f>
        <v>0</v>
      </c>
      <c r="L192" s="2311" t="str">
        <f>$L$10</f>
        <v>TOTAL COSTO PRODUCCIÓN</v>
      </c>
      <c r="M192" s="2312"/>
      <c r="N192" s="427">
        <f>SUM(D186:D192,I186:I192,N186:N191)</f>
        <v>0</v>
      </c>
      <c r="O192" s="449">
        <f>IFERROR(N192/SUM(PROD!L187:L193),0)</f>
        <v>0</v>
      </c>
      <c r="P192" s="447">
        <f>IFERROR(O192/SUM(E186:E192,J186:J192,O186:O191),0)</f>
        <v>0</v>
      </c>
      <c r="Q192" s="429" t="str">
        <f>$Q$10</f>
        <v>D</v>
      </c>
      <c r="R192" s="499">
        <f t="shared" si="30"/>
        <v>0</v>
      </c>
      <c r="S192" s="871">
        <f>SUM(PROD!AS187:AS193)</f>
        <v>0</v>
      </c>
      <c r="T192" s="431">
        <f>IF(AA186&gt;0,S192/AA186,0)</f>
        <v>0</v>
      </c>
      <c r="U192" s="432" t="str">
        <f>$U$10</f>
        <v>Rev. Peq</v>
      </c>
      <c r="V192" s="499">
        <f t="shared" si="31"/>
        <v>0</v>
      </c>
      <c r="W192" s="871">
        <f>SUM(PROD!AV187:AV193)</f>
        <v>0</v>
      </c>
      <c r="X192" s="431">
        <f>IFERROR(W192/(AA191-AA189),0)</f>
        <v>0</v>
      </c>
      <c r="Y192" s="2304"/>
      <c r="Z192" s="2306"/>
      <c r="AA192" s="2309"/>
      <c r="AB192" s="2310"/>
    </row>
    <row r="193" spans="1:28" ht="16.5" customHeight="1" x14ac:dyDescent="0.3">
      <c r="A193" s="2300">
        <f>A186+1</f>
        <v>45</v>
      </c>
      <c r="B193" s="433" t="str">
        <f>$B$4</f>
        <v>ALIMENTO Kilos</v>
      </c>
      <c r="C193" s="435">
        <f>LOOKUP($A193,PROD!$A$5:$A$725,PROD!$AH$10:$AH$730)</f>
        <v>0</v>
      </c>
      <c r="D193" s="368">
        <f>C193*LOOKUP($A193,'Pr-Sem'!$A$6:$A$108,'Pr-Sem'!$N$6:$N$108)/(PROD!$A$1/1000)</f>
        <v>0</v>
      </c>
      <c r="E193" s="369">
        <f>IFERROR(D193/SUM(PROD!L194:L200),0)</f>
        <v>0</v>
      </c>
      <c r="F193" s="370">
        <f>IFERROR(E193/SUM(E193:E199,J193:J199,O193:O198),0)</f>
        <v>0</v>
      </c>
      <c r="G193" s="434" t="str">
        <f>$G$11</f>
        <v>Honorarios</v>
      </c>
      <c r="H193" s="435">
        <f t="shared" si="29"/>
        <v>0</v>
      </c>
      <c r="I193" s="372">
        <f t="shared" si="27"/>
        <v>0</v>
      </c>
      <c r="J193" s="369">
        <f>IFERROR(I193/SUM(PROD!L194:L200),0)</f>
        <v>0</v>
      </c>
      <c r="K193" s="370">
        <f>IFERROR(J193/SUM(E193:E199,J193:J199,O193:O198),0)</f>
        <v>0</v>
      </c>
      <c r="L193" s="436" t="str">
        <f>$L$4</f>
        <v>Gastos de Viaje</v>
      </c>
      <c r="M193" s="435">
        <f t="shared" ref="M193:M198" si="39">M186</f>
        <v>0</v>
      </c>
      <c r="N193" s="372">
        <f>M193*12/52</f>
        <v>0</v>
      </c>
      <c r="O193" s="369">
        <f>IFERROR(N193/SUM(PROD!L194:L200),0)</f>
        <v>0</v>
      </c>
      <c r="P193" s="370">
        <f>IFERROR(O193/SUM(E193:E199,J193:J199,O193:O198),0)</f>
        <v>0</v>
      </c>
      <c r="Q193" s="373" t="str">
        <f>$Q$4</f>
        <v>AAAA</v>
      </c>
      <c r="R193" s="374">
        <f t="shared" si="30"/>
        <v>0</v>
      </c>
      <c r="S193" s="869">
        <f>SUM(PROD!AM194:AM200)</f>
        <v>0</v>
      </c>
      <c r="T193" s="375">
        <f>IF(AA193&gt;0,S193/AA193,0)</f>
        <v>0</v>
      </c>
      <c r="U193" s="376" t="str">
        <f>$U$4</f>
        <v>Prob Color</v>
      </c>
      <c r="V193" s="374">
        <f t="shared" si="31"/>
        <v>0</v>
      </c>
      <c r="W193" s="869">
        <f>SUM(PROD!AW194:AW200)</f>
        <v>0</v>
      </c>
      <c r="X193" s="375">
        <f>IFERROR(W193/(AA198-AA196),0)</f>
        <v>0</v>
      </c>
      <c r="Y193" s="377" t="s">
        <v>323</v>
      </c>
      <c r="Z193" s="378">
        <f>SUMPRODUCT(R193:R199,T193:T199)</f>
        <v>0</v>
      </c>
      <c r="AA193" s="379">
        <f>SUM(S193:S199)</f>
        <v>0</v>
      </c>
      <c r="AB193" s="490">
        <f>IF(AA198&gt;0,AA193/AA198,0)</f>
        <v>0</v>
      </c>
    </row>
    <row r="194" spans="1:28" ht="15.75" customHeight="1" x14ac:dyDescent="0.3">
      <c r="A194" s="2301"/>
      <c r="B194" s="438" t="str">
        <f>$B$5</f>
        <v>Amortización de Aves</v>
      </c>
      <c r="C194" s="381">
        <f>IFERROR((C187-(D194/'Pr-Sem'!$O$2)),0)</f>
        <v>0</v>
      </c>
      <c r="D194" s="382">
        <f>SUM(PROD!L194:L200)*E194</f>
        <v>0</v>
      </c>
      <c r="E194" s="383">
        <f>IF(SUM(PROD!L194:L200)&gt;0,IFERROR(($C$1-$C$2)/LOOKUP($B$2,'Pr-Sem'!$A$6:$A$108,'Pr-Sem'!$L$6:$L$108)*(LOOKUP(INVENTARIOS!$A193,'Pr-Sem'!$A$6:$A$108,'Pr-Sem'!$L$6:$L$108)-LOOKUP(INVENTARIOS!$A193-1,'Pr-Sem'!$A$6:$A$108,'Pr-Sem'!$L$6:$L$108))/(LOOKUP(INVENTARIOS!$A193,'Pr-Sem'!$A$6:$A$108,'Pr-Sem'!$K$6:$K$108)-LOOKUP(INVENTARIOS!$A193-1,'Pr-Sem'!$A$6:$A$108,'Pr-Sem'!$K$6:$K$108)),0),0)</f>
        <v>0</v>
      </c>
      <c r="F194" s="384">
        <f>IFERROR(E194/SUM(E193:E199,J193:J199,O193:O198),0)</f>
        <v>0</v>
      </c>
      <c r="G194" s="439" t="str">
        <f>$G$12</f>
        <v>Impuestos</v>
      </c>
      <c r="H194" s="440">
        <f t="shared" si="29"/>
        <v>0</v>
      </c>
      <c r="I194" s="387">
        <f t="shared" si="27"/>
        <v>0</v>
      </c>
      <c r="J194" s="383">
        <f>IFERROR(I194/SUM(PROD!L194:L200),0)</f>
        <v>0</v>
      </c>
      <c r="K194" s="384">
        <f>IFERROR(J194/SUM(E193:E199,J193:J199,O193:O198),0)</f>
        <v>0</v>
      </c>
      <c r="L194" s="439" t="str">
        <f>$L$5</f>
        <v>Depreciaciones</v>
      </c>
      <c r="M194" s="401">
        <f t="shared" si="39"/>
        <v>0</v>
      </c>
      <c r="N194" s="390">
        <f>M194*12/52</f>
        <v>0</v>
      </c>
      <c r="O194" s="383">
        <f>IFERROR(N194/SUM(PROD!L194:L200),0)</f>
        <v>0</v>
      </c>
      <c r="P194" s="384">
        <f>IFERROR(O194/SUM(E193:E199,J193:J199,O193:O198),0)</f>
        <v>0</v>
      </c>
      <c r="Q194" s="491" t="str">
        <f>$Q$5</f>
        <v>AAA</v>
      </c>
      <c r="R194" s="392">
        <f t="shared" si="30"/>
        <v>0</v>
      </c>
      <c r="S194" s="870">
        <f>SUM(PROD!AN194:AN200)</f>
        <v>0</v>
      </c>
      <c r="T194" s="492">
        <f>IF(AA193&gt;0,S194/AA193,0)</f>
        <v>0</v>
      </c>
      <c r="U194" s="493" t="str">
        <f>$U$5</f>
        <v>Prob Cásc</v>
      </c>
      <c r="V194" s="392">
        <f t="shared" si="31"/>
        <v>0</v>
      </c>
      <c r="W194" s="870">
        <f>SUM(PROD!AX194:AX200)</f>
        <v>0</v>
      </c>
      <c r="X194" s="492">
        <f>IFERROR(W194/(AA198-AA196),0)</f>
        <v>0</v>
      </c>
      <c r="Y194" s="395" t="s">
        <v>324</v>
      </c>
      <c r="Z194" s="396">
        <f>IFERROR(SUMPRODUCT(V193:V196,W193:W196)/SUM(W193:W196),0)</f>
        <v>0</v>
      </c>
      <c r="AA194" s="397">
        <f>SUM(W193:W196)</f>
        <v>0</v>
      </c>
      <c r="AB194" s="494">
        <f>IF(AA198&gt;0,AA194/AA198,0)</f>
        <v>0</v>
      </c>
    </row>
    <row r="195" spans="1:28" ht="15.75" customHeight="1" x14ac:dyDescent="0.3">
      <c r="A195" s="2301"/>
      <c r="B195" s="399" t="str">
        <f>$B$6</f>
        <v>Bandeja</v>
      </c>
      <c r="C195" s="400">
        <f>C188</f>
        <v>0</v>
      </c>
      <c r="D195" s="387">
        <f>C195*SUM(INVENTARIOS!R193:R199)</f>
        <v>0</v>
      </c>
      <c r="E195" s="383">
        <f>IFERROR(D195/SUM(PROD!L194:L200),0)</f>
        <v>0</v>
      </c>
      <c r="F195" s="384">
        <f>IFERROR(E195/SUM(E193:E199,J193:J199,O193:O198),0)</f>
        <v>0</v>
      </c>
      <c r="G195" s="439" t="str">
        <f>$G$13</f>
        <v>Arrendamientos</v>
      </c>
      <c r="H195" s="401">
        <f t="shared" si="29"/>
        <v>0</v>
      </c>
      <c r="I195" s="390">
        <f t="shared" si="27"/>
        <v>0</v>
      </c>
      <c r="J195" s="383">
        <f>IFERROR(I195/SUM(PROD!L194:L200),0)</f>
        <v>0</v>
      </c>
      <c r="K195" s="384">
        <f>IFERROR(J195/SUM(E193:E199,J193:J199,O193:O198),0)</f>
        <v>0</v>
      </c>
      <c r="L195" s="439" t="str">
        <f>$L$6</f>
        <v>Diversos</v>
      </c>
      <c r="M195" s="401">
        <f t="shared" si="39"/>
        <v>0</v>
      </c>
      <c r="N195" s="390">
        <f>M195*12/52</f>
        <v>0</v>
      </c>
      <c r="O195" s="383">
        <f>IFERROR(N195/SUM(PROD!L194:L200),0)</f>
        <v>0</v>
      </c>
      <c r="P195" s="384">
        <f>IFERROR(O195/SUM(E193:E199,J193:J199,O193:O198),0)</f>
        <v>0</v>
      </c>
      <c r="Q195" s="491" t="str">
        <f>$Q$6</f>
        <v>AA</v>
      </c>
      <c r="R195" s="392">
        <f t="shared" si="30"/>
        <v>0</v>
      </c>
      <c r="S195" s="870">
        <f>SUM(PROD!AO194:AO200)</f>
        <v>0</v>
      </c>
      <c r="T195" s="492">
        <f>IF(AA193&gt;0,S195/AA193,0)</f>
        <v>0</v>
      </c>
      <c r="U195" s="493" t="str">
        <f>$U$6</f>
        <v>Vencido</v>
      </c>
      <c r="V195" s="392">
        <f t="shared" si="31"/>
        <v>0</v>
      </c>
      <c r="W195" s="870">
        <f>SUM(PROD!AY194:AY200)</f>
        <v>0</v>
      </c>
      <c r="X195" s="492">
        <f>IFERROR(W195/(AA198-AA196),0)</f>
        <v>0</v>
      </c>
      <c r="Y195" s="402" t="s">
        <v>391</v>
      </c>
      <c r="Z195" s="456">
        <v>0</v>
      </c>
      <c r="AA195" s="720"/>
      <c r="AB195" s="495">
        <f>IF(AA198&gt;0,AA195/AA198,0)</f>
        <v>0</v>
      </c>
    </row>
    <row r="196" spans="1:28" ht="15.75" customHeight="1" x14ac:dyDescent="0.3">
      <c r="A196" s="2301"/>
      <c r="B196" s="438" t="str">
        <f>$B$7</f>
        <v>Mortalidad Aves</v>
      </c>
      <c r="C196" s="401">
        <f>IF(A193&lt;=$B$2,C194+$C$2,0)</f>
        <v>0</v>
      </c>
      <c r="D196" s="390">
        <f>C196*SUM(PROD!D194:D200)</f>
        <v>0</v>
      </c>
      <c r="E196" s="383">
        <f>IFERROR(D196/SUM(PROD!L194:L200),0)</f>
        <v>0</v>
      </c>
      <c r="F196" s="384">
        <f>IFERROR(E196/SUM(E193:E199,J193:J199,O193:O198),0)</f>
        <v>0</v>
      </c>
      <c r="G196" s="439" t="str">
        <f>$G$14</f>
        <v>Servicios Públicos</v>
      </c>
      <c r="H196" s="401">
        <f t="shared" si="29"/>
        <v>0</v>
      </c>
      <c r="I196" s="390">
        <f t="shared" ref="I196:I259" si="40">H196*12/52</f>
        <v>0</v>
      </c>
      <c r="J196" s="383">
        <f>IFERROR(I196/SUM(PROD!L194:L200),0)</f>
        <v>0</v>
      </c>
      <c r="K196" s="384">
        <f>IFERROR(J196/SUM(E193:E199,J193:J199,O193:O198),0)</f>
        <v>0</v>
      </c>
      <c r="L196" s="441" t="str">
        <f>$L$7</f>
        <v>Administrativos</v>
      </c>
      <c r="M196" s="401">
        <f t="shared" si="39"/>
        <v>0</v>
      </c>
      <c r="N196" s="404">
        <f>M196*0.230769230769231</f>
        <v>0</v>
      </c>
      <c r="O196" s="383">
        <f>IFERROR(N196/SUM(PROD!L194:L200),0)</f>
        <v>0</v>
      </c>
      <c r="P196" s="384">
        <f>IFERROR(O196/SUM(E193:E199,J193:J199,O193:O198),0)</f>
        <v>0</v>
      </c>
      <c r="Q196" s="491" t="str">
        <f>$Q$7</f>
        <v>A</v>
      </c>
      <c r="R196" s="392">
        <f t="shared" si="30"/>
        <v>0</v>
      </c>
      <c r="S196" s="870">
        <f>SUM(PROD!AP194:AP200)</f>
        <v>0</v>
      </c>
      <c r="T196" s="492">
        <f>IF(AA193&gt;0,S196/AA193,0)</f>
        <v>0</v>
      </c>
      <c r="U196" s="405" t="str">
        <f>$U$7</f>
        <v>Roto</v>
      </c>
      <c r="V196" s="406">
        <f t="shared" si="31"/>
        <v>0</v>
      </c>
      <c r="W196" s="872">
        <f>SUM(PROD!AZ194:AZ200)</f>
        <v>0</v>
      </c>
      <c r="X196" s="407">
        <f>IFERROR(W196/(AA198-AA196),0)</f>
        <v>0</v>
      </c>
      <c r="Y196" s="408" t="s">
        <v>359</v>
      </c>
      <c r="Z196" s="442">
        <v>215</v>
      </c>
      <c r="AA196" s="410">
        <f>SUM(PROD!L194:L200)-SUM(W193:W199)-SUM(S193:S199)-AA195</f>
        <v>0</v>
      </c>
      <c r="AB196" s="496">
        <f>IF(AA198&gt;0,AA196/AA198,0)</f>
        <v>0</v>
      </c>
    </row>
    <row r="197" spans="1:28" ht="15.75" customHeight="1" x14ac:dyDescent="0.3">
      <c r="A197" s="2301"/>
      <c r="B197" s="399" t="str">
        <f>$B$8</f>
        <v>Materia Prima (Carb Ca, etc.)</v>
      </c>
      <c r="C197" s="440">
        <f>C190</f>
        <v>0</v>
      </c>
      <c r="D197" s="387">
        <f>C197*12/52</f>
        <v>0</v>
      </c>
      <c r="E197" s="383">
        <f>IFERROR(D197/SUM(PROD!L194:L200),0)</f>
        <v>0</v>
      </c>
      <c r="F197" s="384">
        <f>IFERROR(E197/SUM(E193:E199,J193:J199,O193:O198),0)</f>
        <v>0</v>
      </c>
      <c r="G197" s="441" t="str">
        <f>$G$15</f>
        <v>Gastos Legales</v>
      </c>
      <c r="H197" s="401">
        <f t="shared" si="29"/>
        <v>0</v>
      </c>
      <c r="I197" s="390">
        <f t="shared" si="40"/>
        <v>0</v>
      </c>
      <c r="J197" s="383">
        <f>IFERROR(I197/SUM(PROD!L194:L200),0)</f>
        <v>0</v>
      </c>
      <c r="K197" s="384">
        <f>IFERROR(J197/SUM(E193:E199,J193:J199,O193:O198),0)</f>
        <v>0</v>
      </c>
      <c r="L197" s="439" t="str">
        <f>$L$8</f>
        <v>Fletes</v>
      </c>
      <c r="M197" s="401">
        <f t="shared" si="39"/>
        <v>0</v>
      </c>
      <c r="N197" s="404">
        <f>M197*0.230769230769231</f>
        <v>0</v>
      </c>
      <c r="O197" s="383">
        <f>IFERROR(N197/SUM(PROD!L194:L200),0)</f>
        <v>0</v>
      </c>
      <c r="P197" s="384">
        <f>IFERROR(O197/SUM(E193:E199,J193:J199,O193:O198),0)</f>
        <v>0</v>
      </c>
      <c r="Q197" s="491" t="str">
        <f>$Q$8</f>
        <v>B</v>
      </c>
      <c r="R197" s="392">
        <f t="shared" si="30"/>
        <v>0</v>
      </c>
      <c r="S197" s="870">
        <f>SUM(PROD!AQ194:AQ200)</f>
        <v>0</v>
      </c>
      <c r="T197" s="492">
        <f>IF(AA193&gt;0,S197/AA193,0)</f>
        <v>0</v>
      </c>
      <c r="U197" s="395" t="str">
        <f>$U$8</f>
        <v>Rev. Gr.</v>
      </c>
      <c r="V197" s="412">
        <f t="shared" si="31"/>
        <v>0</v>
      </c>
      <c r="W197" s="873">
        <f>SUM(PROD!AT194:AT200)</f>
        <v>0</v>
      </c>
      <c r="X197" s="413">
        <f>IFERROR(W197/(AA198-AA196),0)</f>
        <v>0</v>
      </c>
      <c r="Y197" s="414" t="s">
        <v>262</v>
      </c>
      <c r="Z197" s="415">
        <f>IFERROR(SUMPRODUCT(V197:V199,W197:W199)/SUM(W197:W199),0)</f>
        <v>0</v>
      </c>
      <c r="AA197" s="416">
        <f>SUM(W197:W199)</f>
        <v>0</v>
      </c>
      <c r="AB197" s="497">
        <f>IF(AA198&gt;0,AA197/AA198,0)</f>
        <v>0</v>
      </c>
    </row>
    <row r="198" spans="1:28" ht="15.75" customHeight="1" x14ac:dyDescent="0.3">
      <c r="A198" s="2301"/>
      <c r="B198" s="438" t="str">
        <f>$B$9</f>
        <v>Vacunas y medicamentos</v>
      </c>
      <c r="C198" s="443">
        <f>C191</f>
        <v>0</v>
      </c>
      <c r="D198" s="387">
        <f>C198*12/52</f>
        <v>0</v>
      </c>
      <c r="E198" s="383">
        <f>IFERROR(D198/SUM(PROD!L194:L200),0)</f>
        <v>0</v>
      </c>
      <c r="F198" s="384">
        <f>IFERROR(E198/SUM(E193:E199,J193:J199,O193:O198),0)</f>
        <v>0</v>
      </c>
      <c r="G198" s="441" t="str">
        <f>$G$16</f>
        <v>Mantenimiento y Reparaciones</v>
      </c>
      <c r="H198" s="401">
        <f t="shared" si="29"/>
        <v>0</v>
      </c>
      <c r="I198" s="390">
        <f t="shared" si="40"/>
        <v>0</v>
      </c>
      <c r="J198" s="383">
        <f>IFERROR(I198/SUM(PROD!L194:L200),0)</f>
        <v>0</v>
      </c>
      <c r="K198" s="384">
        <f>IFERROR(J198/SUM(E193:E199,J193:J199,O193:O198),0)</f>
        <v>0</v>
      </c>
      <c r="L198" s="439">
        <f>$L$9</f>
        <v>0</v>
      </c>
      <c r="M198" s="401">
        <f t="shared" si="39"/>
        <v>0</v>
      </c>
      <c r="N198" s="404">
        <f>M198*0.230769230769231</f>
        <v>0</v>
      </c>
      <c r="O198" s="383">
        <f>IFERROR(N198/SUM(PROD!L194:L200),0)</f>
        <v>0</v>
      </c>
      <c r="P198" s="384">
        <f>IFERROR(O198/SUM(E193:E199,J193:J199,O193:O198),0)</f>
        <v>0</v>
      </c>
      <c r="Q198" s="491" t="str">
        <f>$Q$9</f>
        <v>C</v>
      </c>
      <c r="R198" s="392">
        <f t="shared" si="30"/>
        <v>0</v>
      </c>
      <c r="S198" s="870">
        <f>SUM(PROD!AR194:AR200)</f>
        <v>0</v>
      </c>
      <c r="T198" s="492">
        <f>IF(AA193&gt;0,S198/AA193,0)</f>
        <v>0</v>
      </c>
      <c r="U198" s="493" t="str">
        <f>$U$9</f>
        <v>Rev. Med</v>
      </c>
      <c r="V198" s="392">
        <f t="shared" si="31"/>
        <v>0</v>
      </c>
      <c r="W198" s="870">
        <f>SUM(PROD!AU194:AU200)</f>
        <v>0</v>
      </c>
      <c r="X198" s="498">
        <f>IFERROR(W198/(AA198-AA196),0)</f>
        <v>0</v>
      </c>
      <c r="Y198" s="2303" t="s">
        <v>325</v>
      </c>
      <c r="Z198" s="2305">
        <f>SUMPRODUCT(Z193:Z197,AB193:AB197)</f>
        <v>0</v>
      </c>
      <c r="AA198" s="2307">
        <f>SUM(AA193:AA196)</f>
        <v>0</v>
      </c>
      <c r="AB198" s="2308"/>
    </row>
    <row r="199" spans="1:28" ht="16.5" customHeight="1" thickBot="1" x14ac:dyDescent="0.35">
      <c r="A199" s="2302"/>
      <c r="B199" s="444" t="str">
        <f>$B$10</f>
        <v>Gastos de Personal</v>
      </c>
      <c r="C199" s="445">
        <f>C192</f>
        <v>0</v>
      </c>
      <c r="D199" s="421">
        <f>C199*12/52</f>
        <v>0</v>
      </c>
      <c r="E199" s="446">
        <f>IFERROR(D199/SUM(PROD!L194:L200),0)</f>
        <v>0</v>
      </c>
      <c r="F199" s="447">
        <f>IFERROR(E199/SUM(E193:E199,J193:J199,O193:O198),0)</f>
        <v>0</v>
      </c>
      <c r="G199" s="448" t="str">
        <f>$G$17</f>
        <v>Adecuación Instalaciones</v>
      </c>
      <c r="H199" s="445">
        <f t="shared" si="29"/>
        <v>0</v>
      </c>
      <c r="I199" s="426">
        <f t="shared" si="40"/>
        <v>0</v>
      </c>
      <c r="J199" s="446">
        <f>IFERROR(I199/SUM(PROD!L194:L200),0)</f>
        <v>0</v>
      </c>
      <c r="K199" s="447">
        <f>IFERROR(J199/SUM(E193:E199,J193:J199,O193:O198),0)</f>
        <v>0</v>
      </c>
      <c r="L199" s="2311" t="str">
        <f>$L$10</f>
        <v>TOTAL COSTO PRODUCCIÓN</v>
      </c>
      <c r="M199" s="2312"/>
      <c r="N199" s="427">
        <f>SUM(D193:D199,I193:I199,N193:N198)</f>
        <v>0</v>
      </c>
      <c r="O199" s="449">
        <f>IFERROR(N199/SUM(PROD!L194:L200),0)</f>
        <v>0</v>
      </c>
      <c r="P199" s="447">
        <f>IFERROR(O199/SUM(E193:E199,J193:J199,O193:O198),0)</f>
        <v>0</v>
      </c>
      <c r="Q199" s="429" t="str">
        <f>$Q$10</f>
        <v>D</v>
      </c>
      <c r="R199" s="499">
        <f t="shared" si="30"/>
        <v>0</v>
      </c>
      <c r="S199" s="871">
        <f>SUM(PROD!AS194:AS200)</f>
        <v>0</v>
      </c>
      <c r="T199" s="431">
        <f>IF(AA193&gt;0,S199/AA193,0)</f>
        <v>0</v>
      </c>
      <c r="U199" s="432" t="str">
        <f>$U$10</f>
        <v>Rev. Peq</v>
      </c>
      <c r="V199" s="499">
        <f t="shared" si="31"/>
        <v>0</v>
      </c>
      <c r="W199" s="871">
        <f>SUM(PROD!AV194:AV200)</f>
        <v>0</v>
      </c>
      <c r="X199" s="431">
        <f>IFERROR(W199/(AA198-AA196),0)</f>
        <v>0</v>
      </c>
      <c r="Y199" s="2304"/>
      <c r="Z199" s="2306"/>
      <c r="AA199" s="2309"/>
      <c r="AB199" s="2310"/>
    </row>
    <row r="200" spans="1:28" ht="16.5" customHeight="1" x14ac:dyDescent="0.3">
      <c r="A200" s="2300">
        <f>A193+1</f>
        <v>46</v>
      </c>
      <c r="B200" s="433" t="str">
        <f>$B$4</f>
        <v>ALIMENTO Kilos</v>
      </c>
      <c r="C200" s="435">
        <f>LOOKUP($A200,PROD!$A$5:$A$725,PROD!$AH$10:$AH$730)</f>
        <v>0</v>
      </c>
      <c r="D200" s="368">
        <f>C200*LOOKUP($A200,'Pr-Sem'!$A$6:$A$108,'Pr-Sem'!$N$6:$N$108)/(PROD!$A$1/1000)</f>
        <v>0</v>
      </c>
      <c r="E200" s="369">
        <f>IFERROR(D200/SUM(PROD!L201:L207),0)</f>
        <v>0</v>
      </c>
      <c r="F200" s="370">
        <f>IFERROR(E200/SUM(E200:E206,J200:J206,O200:O205),0)</f>
        <v>0</v>
      </c>
      <c r="G200" s="434" t="str">
        <f>$G$11</f>
        <v>Honorarios</v>
      </c>
      <c r="H200" s="435">
        <f t="shared" si="29"/>
        <v>0</v>
      </c>
      <c r="I200" s="372">
        <f t="shared" si="40"/>
        <v>0</v>
      </c>
      <c r="J200" s="369">
        <f>IFERROR(I200/SUM(PROD!L201:L207),0)</f>
        <v>0</v>
      </c>
      <c r="K200" s="370">
        <f>IFERROR(J200/SUM(E200:E206,J200:J206,O200:O205),0)</f>
        <v>0</v>
      </c>
      <c r="L200" s="436" t="str">
        <f>$L$4</f>
        <v>Gastos de Viaje</v>
      </c>
      <c r="M200" s="435">
        <f t="shared" ref="M200:M205" si="41">M193</f>
        <v>0</v>
      </c>
      <c r="N200" s="372">
        <f>M200*12/52</f>
        <v>0</v>
      </c>
      <c r="O200" s="369">
        <f>IFERROR(N200/SUM(PROD!L201:L207),0)</f>
        <v>0</v>
      </c>
      <c r="P200" s="370">
        <f>IFERROR(O200/SUM(E200:E206,J200:J206,O200:O205),0)</f>
        <v>0</v>
      </c>
      <c r="Q200" s="373" t="str">
        <f>$Q$4</f>
        <v>AAAA</v>
      </c>
      <c r="R200" s="374">
        <f t="shared" si="30"/>
        <v>0</v>
      </c>
      <c r="S200" s="869">
        <f>SUM(PROD!AM201:AM207)</f>
        <v>0</v>
      </c>
      <c r="T200" s="375">
        <f>IF(AA200&gt;0,S200/AA200,0)</f>
        <v>0</v>
      </c>
      <c r="U200" s="376" t="str">
        <f>$U$4</f>
        <v>Prob Color</v>
      </c>
      <c r="V200" s="374">
        <f t="shared" si="31"/>
        <v>0</v>
      </c>
      <c r="W200" s="869">
        <f>SUM(PROD!AW201:AW207)</f>
        <v>0</v>
      </c>
      <c r="X200" s="375">
        <f>IFERROR(W200/(AA205-AA203),0)</f>
        <v>0</v>
      </c>
      <c r="Y200" s="377" t="s">
        <v>323</v>
      </c>
      <c r="Z200" s="378">
        <f>SUMPRODUCT(R200:R206,T200:T206)</f>
        <v>0</v>
      </c>
      <c r="AA200" s="379">
        <f>SUM(S200:S206)</f>
        <v>0</v>
      </c>
      <c r="AB200" s="490">
        <f>IF(AA205&gt;0,AA200/AA205,0)</f>
        <v>0</v>
      </c>
    </row>
    <row r="201" spans="1:28" ht="15.75" customHeight="1" x14ac:dyDescent="0.3">
      <c r="A201" s="2301"/>
      <c r="B201" s="438" t="str">
        <f>$B$5</f>
        <v>Amortización de Aves</v>
      </c>
      <c r="C201" s="381">
        <f>IFERROR((C194-(D201/'Pr-Sem'!$O$2)),0)</f>
        <v>0</v>
      </c>
      <c r="D201" s="382">
        <f>SUM(PROD!L201:L207)*E201</f>
        <v>0</v>
      </c>
      <c r="E201" s="383">
        <f>IF(SUM(PROD!L201:L207)&gt;0,IFERROR(($C$1-$C$2)/LOOKUP($B$2,'Pr-Sem'!$A$6:$A$108,'Pr-Sem'!$L$6:$L$108)*(LOOKUP(INVENTARIOS!$A200,'Pr-Sem'!$A$6:$A$108,'Pr-Sem'!$L$6:$L$108)-LOOKUP(INVENTARIOS!$A200-1,'Pr-Sem'!$A$6:$A$108,'Pr-Sem'!$L$6:$L$108))/(LOOKUP(INVENTARIOS!$A200,'Pr-Sem'!$A$6:$A$108,'Pr-Sem'!$K$6:$K$108)-LOOKUP(INVENTARIOS!$A200-1,'Pr-Sem'!$A$6:$A$108,'Pr-Sem'!$K$6:$K$108)),0),0)</f>
        <v>0</v>
      </c>
      <c r="F201" s="384">
        <f>IFERROR(E201/SUM(E200:E206,J200:J206,O200:O205),0)</f>
        <v>0</v>
      </c>
      <c r="G201" s="439" t="str">
        <f>$G$12</f>
        <v>Impuestos</v>
      </c>
      <c r="H201" s="440">
        <f t="shared" si="29"/>
        <v>0</v>
      </c>
      <c r="I201" s="387">
        <f t="shared" si="40"/>
        <v>0</v>
      </c>
      <c r="J201" s="383">
        <f>IFERROR(I201/SUM(PROD!L201:L207),0)</f>
        <v>0</v>
      </c>
      <c r="K201" s="384">
        <f>IFERROR(J201/SUM(E200:E206,J200:J206,O200:O205),0)</f>
        <v>0</v>
      </c>
      <c r="L201" s="439" t="str">
        <f>$L$5</f>
        <v>Depreciaciones</v>
      </c>
      <c r="M201" s="401">
        <f t="shared" si="41"/>
        <v>0</v>
      </c>
      <c r="N201" s="390">
        <f>M201*12/52</f>
        <v>0</v>
      </c>
      <c r="O201" s="383">
        <f>IFERROR(N201/SUM(PROD!L201:L207),0)</f>
        <v>0</v>
      </c>
      <c r="P201" s="384">
        <f>IFERROR(O201/SUM(E200:E206,J200:J206,O200:O205),0)</f>
        <v>0</v>
      </c>
      <c r="Q201" s="491" t="str">
        <f>$Q$5</f>
        <v>AAA</v>
      </c>
      <c r="R201" s="392">
        <f t="shared" si="30"/>
        <v>0</v>
      </c>
      <c r="S201" s="870">
        <f>SUM(PROD!AN201:AN207)</f>
        <v>0</v>
      </c>
      <c r="T201" s="492">
        <f>IF(AA200&gt;0,S201/AA200,0)</f>
        <v>0</v>
      </c>
      <c r="U201" s="493" t="str">
        <f>$U$5</f>
        <v>Prob Cásc</v>
      </c>
      <c r="V201" s="392">
        <f t="shared" si="31"/>
        <v>0</v>
      </c>
      <c r="W201" s="870">
        <f>SUM(PROD!AX201:AX207)</f>
        <v>0</v>
      </c>
      <c r="X201" s="492">
        <f>IFERROR(W201/(AA205-AA203),0)</f>
        <v>0</v>
      </c>
      <c r="Y201" s="395" t="s">
        <v>324</v>
      </c>
      <c r="Z201" s="396">
        <f>IFERROR(SUMPRODUCT(V200:V203,W200:W203)/SUM(W200:W203),0)</f>
        <v>0</v>
      </c>
      <c r="AA201" s="397">
        <f>SUM(W200:W203)</f>
        <v>0</v>
      </c>
      <c r="AB201" s="494">
        <f>IF(AA205&gt;0,AA201/AA205,0)</f>
        <v>0</v>
      </c>
    </row>
    <row r="202" spans="1:28" ht="15.75" customHeight="1" x14ac:dyDescent="0.3">
      <c r="A202" s="2301"/>
      <c r="B202" s="399" t="str">
        <f>$B$6</f>
        <v>Bandeja</v>
      </c>
      <c r="C202" s="400">
        <f>C195</f>
        <v>0</v>
      </c>
      <c r="D202" s="387">
        <f>C202*SUM(INVENTARIOS!R200:R206)</f>
        <v>0</v>
      </c>
      <c r="E202" s="383">
        <f>IFERROR(D202/SUM(PROD!L201:L207),0)</f>
        <v>0</v>
      </c>
      <c r="F202" s="384">
        <f>IFERROR(E202/SUM(E200:E206,J200:J206,O200:O205),0)</f>
        <v>0</v>
      </c>
      <c r="G202" s="439" t="str">
        <f>$G$13</f>
        <v>Arrendamientos</v>
      </c>
      <c r="H202" s="401">
        <f t="shared" si="29"/>
        <v>0</v>
      </c>
      <c r="I202" s="390">
        <f t="shared" si="40"/>
        <v>0</v>
      </c>
      <c r="J202" s="383">
        <f>IFERROR(I202/SUM(PROD!L201:L207),0)</f>
        <v>0</v>
      </c>
      <c r="K202" s="384">
        <f>IFERROR(J202/SUM(E200:E206,J200:J206,O200:O205),0)</f>
        <v>0</v>
      </c>
      <c r="L202" s="439" t="str">
        <f>$L$6</f>
        <v>Diversos</v>
      </c>
      <c r="M202" s="401">
        <f t="shared" si="41"/>
        <v>0</v>
      </c>
      <c r="N202" s="390">
        <f>M202*12/52</f>
        <v>0</v>
      </c>
      <c r="O202" s="383">
        <f>IFERROR(N202/SUM(PROD!L201:L207),0)</f>
        <v>0</v>
      </c>
      <c r="P202" s="384">
        <f>IFERROR(O202/SUM(E200:E206,J200:J206,O200:O205),0)</f>
        <v>0</v>
      </c>
      <c r="Q202" s="491" t="str">
        <f>$Q$6</f>
        <v>AA</v>
      </c>
      <c r="R202" s="392">
        <f t="shared" si="30"/>
        <v>0</v>
      </c>
      <c r="S202" s="870">
        <f>SUM(PROD!AO201:AO207)</f>
        <v>0</v>
      </c>
      <c r="T202" s="492">
        <f>IF(AA200&gt;0,S202/AA200,0)</f>
        <v>0</v>
      </c>
      <c r="U202" s="493" t="str">
        <f>$U$6</f>
        <v>Vencido</v>
      </c>
      <c r="V202" s="392">
        <f t="shared" si="31"/>
        <v>0</v>
      </c>
      <c r="W202" s="870">
        <f>SUM(PROD!AY201:AY207)</f>
        <v>0</v>
      </c>
      <c r="X202" s="492">
        <f>IFERROR(W202/(AA205-AA203),0)</f>
        <v>0</v>
      </c>
      <c r="Y202" s="402" t="s">
        <v>391</v>
      </c>
      <c r="Z202" s="456">
        <v>0</v>
      </c>
      <c r="AA202" s="720"/>
      <c r="AB202" s="495">
        <f>IF(AA205&gt;0,AA202/AA205,0)</f>
        <v>0</v>
      </c>
    </row>
    <row r="203" spans="1:28" ht="15.75" customHeight="1" x14ac:dyDescent="0.3">
      <c r="A203" s="2301"/>
      <c r="B203" s="438" t="str">
        <f>$B$7</f>
        <v>Mortalidad Aves</v>
      </c>
      <c r="C203" s="401">
        <f>IF(A200&lt;=$B$2,C201+$C$2,0)</f>
        <v>0</v>
      </c>
      <c r="D203" s="390">
        <f>C203*SUM(PROD!D201:D207)</f>
        <v>0</v>
      </c>
      <c r="E203" s="383">
        <f>IFERROR(D203/SUM(PROD!L201:L207),0)</f>
        <v>0</v>
      </c>
      <c r="F203" s="384">
        <f>IFERROR(E203/SUM(E200:E206,J200:J206,O200:O205),0)</f>
        <v>0</v>
      </c>
      <c r="G203" s="439" t="str">
        <f>$G$14</f>
        <v>Servicios Públicos</v>
      </c>
      <c r="H203" s="401">
        <f t="shared" ref="H203:H266" si="42">H196</f>
        <v>0</v>
      </c>
      <c r="I203" s="390">
        <f t="shared" si="40"/>
        <v>0</v>
      </c>
      <c r="J203" s="383">
        <f>IFERROR(I203/SUM(PROD!L201:L207),0)</f>
        <v>0</v>
      </c>
      <c r="K203" s="384">
        <f>IFERROR(J203/SUM(E200:E206,J200:J206,O200:O205),0)</f>
        <v>0</v>
      </c>
      <c r="L203" s="441" t="str">
        <f>$L$7</f>
        <v>Administrativos</v>
      </c>
      <c r="M203" s="401">
        <f t="shared" si="41"/>
        <v>0</v>
      </c>
      <c r="N203" s="404">
        <f>M203*0.230769230769231</f>
        <v>0</v>
      </c>
      <c r="O203" s="383">
        <f>IFERROR(N203/SUM(PROD!L201:L207),0)</f>
        <v>0</v>
      </c>
      <c r="P203" s="384">
        <f>IFERROR(O203/SUM(E200:E206,J200:J206,O200:O205),0)</f>
        <v>0</v>
      </c>
      <c r="Q203" s="491" t="str">
        <f>$Q$7</f>
        <v>A</v>
      </c>
      <c r="R203" s="392">
        <f t="shared" ref="R203:R266" si="43">R196</f>
        <v>0</v>
      </c>
      <c r="S203" s="870">
        <f>SUM(PROD!AP201:AP207)</f>
        <v>0</v>
      </c>
      <c r="T203" s="492">
        <f>IF(AA200&gt;0,S203/AA200,0)</f>
        <v>0</v>
      </c>
      <c r="U203" s="405" t="str">
        <f>$U$7</f>
        <v>Roto</v>
      </c>
      <c r="V203" s="406">
        <f t="shared" ref="V203:V266" si="44">V196</f>
        <v>0</v>
      </c>
      <c r="W203" s="872">
        <f>SUM(PROD!AZ201:AZ207)</f>
        <v>0</v>
      </c>
      <c r="X203" s="407">
        <f>IFERROR(W203/(AA205-AA203),0)</f>
        <v>0</v>
      </c>
      <c r="Y203" s="408" t="s">
        <v>359</v>
      </c>
      <c r="Z203" s="442">
        <v>215</v>
      </c>
      <c r="AA203" s="410">
        <f>SUM(PROD!L201:L207)-SUM(W200:W206)-SUM(S200:S206)-AA202</f>
        <v>0</v>
      </c>
      <c r="AB203" s="496">
        <f>IF(AA205&gt;0,AA203/AA205,0)</f>
        <v>0</v>
      </c>
    </row>
    <row r="204" spans="1:28" ht="15.75" customHeight="1" x14ac:dyDescent="0.3">
      <c r="A204" s="2301"/>
      <c r="B204" s="399" t="str">
        <f>$B$8</f>
        <v>Materia Prima (Carb Ca, etc.)</v>
      </c>
      <c r="C204" s="440">
        <f>C197</f>
        <v>0</v>
      </c>
      <c r="D204" s="387">
        <f>C204*12/52</f>
        <v>0</v>
      </c>
      <c r="E204" s="383">
        <f>IFERROR(D204/SUM(PROD!L201:L207),0)</f>
        <v>0</v>
      </c>
      <c r="F204" s="384">
        <f>IFERROR(E204/SUM(E200:E206,J200:J206,O200:O205),0)</f>
        <v>0</v>
      </c>
      <c r="G204" s="441" t="str">
        <f>$G$15</f>
        <v>Gastos Legales</v>
      </c>
      <c r="H204" s="401">
        <f t="shared" si="42"/>
        <v>0</v>
      </c>
      <c r="I204" s="390">
        <f t="shared" si="40"/>
        <v>0</v>
      </c>
      <c r="J204" s="383">
        <f>IFERROR(I204/SUM(PROD!L201:L207),0)</f>
        <v>0</v>
      </c>
      <c r="K204" s="384">
        <f>IFERROR(J204/SUM(E200:E206,J200:J206,O200:O205),0)</f>
        <v>0</v>
      </c>
      <c r="L204" s="439" t="str">
        <f>$L$8</f>
        <v>Fletes</v>
      </c>
      <c r="M204" s="401">
        <f t="shared" si="41"/>
        <v>0</v>
      </c>
      <c r="N204" s="404">
        <f>M204*0.230769230769231</f>
        <v>0</v>
      </c>
      <c r="O204" s="383">
        <f>IFERROR(N204/SUM(PROD!L201:L207),0)</f>
        <v>0</v>
      </c>
      <c r="P204" s="384">
        <f>IFERROR(O204/SUM(E200:E206,J200:J206,O200:O205),0)</f>
        <v>0</v>
      </c>
      <c r="Q204" s="491" t="str">
        <f>$Q$8</f>
        <v>B</v>
      </c>
      <c r="R204" s="392">
        <f t="shared" si="43"/>
        <v>0</v>
      </c>
      <c r="S204" s="870">
        <f>SUM(PROD!AQ201:AQ207)</f>
        <v>0</v>
      </c>
      <c r="T204" s="492">
        <f>IF(AA200&gt;0,S204/AA200,0)</f>
        <v>0</v>
      </c>
      <c r="U204" s="395" t="str">
        <f>$U$8</f>
        <v>Rev. Gr.</v>
      </c>
      <c r="V204" s="412">
        <f t="shared" si="44"/>
        <v>0</v>
      </c>
      <c r="W204" s="873">
        <f>SUM(PROD!AT201:AT207)</f>
        <v>0</v>
      </c>
      <c r="X204" s="413">
        <f>IFERROR(W204/(AA205-AA203),0)</f>
        <v>0</v>
      </c>
      <c r="Y204" s="414" t="s">
        <v>262</v>
      </c>
      <c r="Z204" s="415">
        <f>IFERROR(SUMPRODUCT(V204:V206,W204:W206)/SUM(W204:W206),0)</f>
        <v>0</v>
      </c>
      <c r="AA204" s="416">
        <f>SUM(W204:W206)</f>
        <v>0</v>
      </c>
      <c r="AB204" s="497">
        <f>IF(AA205&gt;0,AA204/AA205,0)</f>
        <v>0</v>
      </c>
    </row>
    <row r="205" spans="1:28" ht="15.75" customHeight="1" x14ac:dyDescent="0.3">
      <c r="A205" s="2301"/>
      <c r="B205" s="438" t="str">
        <f>$B$9</f>
        <v>Vacunas y medicamentos</v>
      </c>
      <c r="C205" s="443">
        <f>C198</f>
        <v>0</v>
      </c>
      <c r="D205" s="387">
        <f>C205*12/52</f>
        <v>0</v>
      </c>
      <c r="E205" s="383">
        <f>IFERROR(D205/SUM(PROD!L201:L207),0)</f>
        <v>0</v>
      </c>
      <c r="F205" s="384">
        <f>IFERROR(E205/SUM(E200:E206,J200:J206,O200:O205),0)</f>
        <v>0</v>
      </c>
      <c r="G205" s="441" t="str">
        <f>$G$16</f>
        <v>Mantenimiento y Reparaciones</v>
      </c>
      <c r="H205" s="401">
        <f t="shared" si="42"/>
        <v>0</v>
      </c>
      <c r="I205" s="390">
        <f t="shared" si="40"/>
        <v>0</v>
      </c>
      <c r="J205" s="383">
        <f>IFERROR(I205/SUM(PROD!L201:L207),0)</f>
        <v>0</v>
      </c>
      <c r="K205" s="384">
        <f>IFERROR(J205/SUM(E200:E206,J200:J206,O200:O205),0)</f>
        <v>0</v>
      </c>
      <c r="L205" s="439">
        <f>$L$9</f>
        <v>0</v>
      </c>
      <c r="M205" s="401">
        <f t="shared" si="41"/>
        <v>0</v>
      </c>
      <c r="N205" s="404">
        <f>M205*0.230769230769231</f>
        <v>0</v>
      </c>
      <c r="O205" s="383">
        <f>IFERROR(N205/SUM(PROD!L201:L207),0)</f>
        <v>0</v>
      </c>
      <c r="P205" s="384">
        <f>IFERROR(O205/SUM(E200:E206,J200:J206,O200:O205),0)</f>
        <v>0</v>
      </c>
      <c r="Q205" s="491" t="str">
        <f>$Q$9</f>
        <v>C</v>
      </c>
      <c r="R205" s="392">
        <f t="shared" si="43"/>
        <v>0</v>
      </c>
      <c r="S205" s="870">
        <f>SUM(PROD!AR201:AR207)</f>
        <v>0</v>
      </c>
      <c r="T205" s="492">
        <f>IF(AA200&gt;0,S205/AA200,0)</f>
        <v>0</v>
      </c>
      <c r="U205" s="493" t="str">
        <f>$U$9</f>
        <v>Rev. Med</v>
      </c>
      <c r="V205" s="392">
        <f t="shared" si="44"/>
        <v>0</v>
      </c>
      <c r="W205" s="870">
        <f>SUM(PROD!AU201:AU207)</f>
        <v>0</v>
      </c>
      <c r="X205" s="498">
        <f>IFERROR(W205/(AA205-AA203),0)</f>
        <v>0</v>
      </c>
      <c r="Y205" s="2303" t="s">
        <v>325</v>
      </c>
      <c r="Z205" s="2305">
        <f>SUMPRODUCT(Z200:Z204,AB200:AB204)</f>
        <v>0</v>
      </c>
      <c r="AA205" s="2307">
        <f>SUM(AA200:AA203)</f>
        <v>0</v>
      </c>
      <c r="AB205" s="2308"/>
    </row>
    <row r="206" spans="1:28" ht="16.5" customHeight="1" thickBot="1" x14ac:dyDescent="0.35">
      <c r="A206" s="2302"/>
      <c r="B206" s="444" t="str">
        <f>$B$10</f>
        <v>Gastos de Personal</v>
      </c>
      <c r="C206" s="445">
        <f>C199</f>
        <v>0</v>
      </c>
      <c r="D206" s="421">
        <f>C206*12/52</f>
        <v>0</v>
      </c>
      <c r="E206" s="446">
        <f>IFERROR(D206/SUM(PROD!L201:L207),0)</f>
        <v>0</v>
      </c>
      <c r="F206" s="447">
        <f>IFERROR(E206/SUM(E200:E206,J200:J206,O200:O205),0)</f>
        <v>0</v>
      </c>
      <c r="G206" s="448" t="str">
        <f>$G$17</f>
        <v>Adecuación Instalaciones</v>
      </c>
      <c r="H206" s="445">
        <f t="shared" si="42"/>
        <v>0</v>
      </c>
      <c r="I206" s="426">
        <f t="shared" si="40"/>
        <v>0</v>
      </c>
      <c r="J206" s="446">
        <f>IFERROR(I206/SUM(PROD!L201:L207),0)</f>
        <v>0</v>
      </c>
      <c r="K206" s="447">
        <f>IFERROR(J206/SUM(E200:E206,J200:J206,O200:O205),0)</f>
        <v>0</v>
      </c>
      <c r="L206" s="2311" t="str">
        <f>$L$10</f>
        <v>TOTAL COSTO PRODUCCIÓN</v>
      </c>
      <c r="M206" s="2312"/>
      <c r="N206" s="427">
        <f>SUM(D200:D206,I200:I206,N200:N205)</f>
        <v>0</v>
      </c>
      <c r="O206" s="449">
        <f>IFERROR(N206/SUM(PROD!L201:L207),0)</f>
        <v>0</v>
      </c>
      <c r="P206" s="447">
        <f>IFERROR(O206/SUM(E200:E206,J200:J206,O200:O205),0)</f>
        <v>0</v>
      </c>
      <c r="Q206" s="429" t="str">
        <f>$Q$10</f>
        <v>D</v>
      </c>
      <c r="R206" s="499">
        <f t="shared" si="43"/>
        <v>0</v>
      </c>
      <c r="S206" s="871">
        <f>SUM(PROD!AS201:AS207)</f>
        <v>0</v>
      </c>
      <c r="T206" s="431">
        <f>IF(AA200&gt;0,S206/AA200,0)</f>
        <v>0</v>
      </c>
      <c r="U206" s="432" t="str">
        <f>$U$10</f>
        <v>Rev. Peq</v>
      </c>
      <c r="V206" s="499">
        <f t="shared" si="44"/>
        <v>0</v>
      </c>
      <c r="W206" s="871">
        <f>SUM(PROD!AV201:AV207)</f>
        <v>0</v>
      </c>
      <c r="X206" s="431">
        <f>IFERROR(W206/(AA205-AA203),0)</f>
        <v>0</v>
      </c>
      <c r="Y206" s="2304"/>
      <c r="Z206" s="2306"/>
      <c r="AA206" s="2309"/>
      <c r="AB206" s="2310"/>
    </row>
    <row r="207" spans="1:28" ht="16.5" customHeight="1" x14ac:dyDescent="0.3">
      <c r="A207" s="2300">
        <f>A200+1</f>
        <v>47</v>
      </c>
      <c r="B207" s="433" t="str">
        <f>$B$4</f>
        <v>ALIMENTO Kilos</v>
      </c>
      <c r="C207" s="435">
        <f>LOOKUP($A207,PROD!$A$5:$A$725,PROD!$AH$10:$AH$730)</f>
        <v>0</v>
      </c>
      <c r="D207" s="368">
        <f>C207*LOOKUP($A207,'Pr-Sem'!$A$6:$A$108,'Pr-Sem'!$N$6:$N$108)/(PROD!$A$1/1000)</f>
        <v>0</v>
      </c>
      <c r="E207" s="369">
        <f>IFERROR(D207/SUM(PROD!L208:L214),0)</f>
        <v>0</v>
      </c>
      <c r="F207" s="370">
        <f>IFERROR(E207/SUM(E207:E213,J207:J213,O207:O212),0)</f>
        <v>0</v>
      </c>
      <c r="G207" s="434" t="str">
        <f>$G$11</f>
        <v>Honorarios</v>
      </c>
      <c r="H207" s="435">
        <f t="shared" si="42"/>
        <v>0</v>
      </c>
      <c r="I207" s="372">
        <f t="shared" si="40"/>
        <v>0</v>
      </c>
      <c r="J207" s="369">
        <f>IFERROR(I207/SUM(PROD!L208:L214),0)</f>
        <v>0</v>
      </c>
      <c r="K207" s="370">
        <f>IFERROR(J207/SUM(E207:E213,J207:J213,O207:O212),0)</f>
        <v>0</v>
      </c>
      <c r="L207" s="436" t="str">
        <f>$L$4</f>
        <v>Gastos de Viaje</v>
      </c>
      <c r="M207" s="435">
        <f t="shared" ref="M207:M212" si="45">M200</f>
        <v>0</v>
      </c>
      <c r="N207" s="372">
        <f>M207*12/52</f>
        <v>0</v>
      </c>
      <c r="O207" s="369">
        <f>IFERROR(N207/SUM(PROD!L208:L214),0)</f>
        <v>0</v>
      </c>
      <c r="P207" s="370">
        <f>IFERROR(O207/SUM(E207:E213,J207:J213,O207:O212),0)</f>
        <v>0</v>
      </c>
      <c r="Q207" s="373" t="str">
        <f>$Q$4</f>
        <v>AAAA</v>
      </c>
      <c r="R207" s="374">
        <f t="shared" si="43"/>
        <v>0</v>
      </c>
      <c r="S207" s="869">
        <f>SUM(PROD!AM208:AM214)</f>
        <v>0</v>
      </c>
      <c r="T207" s="375">
        <f>IF(AA207&gt;0,S207/AA207,0)</f>
        <v>0</v>
      </c>
      <c r="U207" s="376" t="str">
        <f>$U$4</f>
        <v>Prob Color</v>
      </c>
      <c r="V207" s="374">
        <f t="shared" si="44"/>
        <v>0</v>
      </c>
      <c r="W207" s="869">
        <f>SUM(PROD!AW208:AW214)</f>
        <v>0</v>
      </c>
      <c r="X207" s="375">
        <f>IFERROR(W207/(AA212-AA210),0)</f>
        <v>0</v>
      </c>
      <c r="Y207" s="377" t="s">
        <v>323</v>
      </c>
      <c r="Z207" s="378">
        <f>SUMPRODUCT(R207:R213,T207:T213)</f>
        <v>0</v>
      </c>
      <c r="AA207" s="379">
        <f>SUM(S207:S213)</f>
        <v>0</v>
      </c>
      <c r="AB207" s="490">
        <f>IF(AA212&gt;0,AA207/AA212,0)</f>
        <v>0</v>
      </c>
    </row>
    <row r="208" spans="1:28" ht="15.75" customHeight="1" x14ac:dyDescent="0.3">
      <c r="A208" s="2301"/>
      <c r="B208" s="438" t="str">
        <f>$B$5</f>
        <v>Amortización de Aves</v>
      </c>
      <c r="C208" s="381">
        <f>IFERROR((C201-(D208/'Pr-Sem'!$O$2)),0)</f>
        <v>0</v>
      </c>
      <c r="D208" s="382">
        <f>SUM(PROD!L208:L214)*E208</f>
        <v>0</v>
      </c>
      <c r="E208" s="383">
        <f>IF(SUM(PROD!L208:L214)&gt;0,IFERROR(($C$1-$C$2)/LOOKUP($B$2,'Pr-Sem'!$A$6:$A$108,'Pr-Sem'!$L$6:$L$108)*(LOOKUP(INVENTARIOS!$A207,'Pr-Sem'!$A$6:$A$108,'Pr-Sem'!$L$6:$L$108)-LOOKUP(INVENTARIOS!$A207-1,'Pr-Sem'!$A$6:$A$108,'Pr-Sem'!$L$6:$L$108))/(LOOKUP(INVENTARIOS!$A207,'Pr-Sem'!$A$6:$A$108,'Pr-Sem'!$K$6:$K$108)-LOOKUP(INVENTARIOS!$A207-1,'Pr-Sem'!$A$6:$A$108,'Pr-Sem'!$K$6:$K$108)),0),0)</f>
        <v>0</v>
      </c>
      <c r="F208" s="384">
        <f>IFERROR(E208/SUM(E207:E213,J207:J213,O207:O212),0)</f>
        <v>0</v>
      </c>
      <c r="G208" s="439" t="str">
        <f>$G$12</f>
        <v>Impuestos</v>
      </c>
      <c r="H208" s="440">
        <f t="shared" si="42"/>
        <v>0</v>
      </c>
      <c r="I208" s="387">
        <f t="shared" si="40"/>
        <v>0</v>
      </c>
      <c r="J208" s="383">
        <f>IFERROR(I208/SUM(PROD!L208:L214),0)</f>
        <v>0</v>
      </c>
      <c r="K208" s="384">
        <f>IFERROR(J208/SUM(E207:E213,J207:J213,O207:O212),0)</f>
        <v>0</v>
      </c>
      <c r="L208" s="439" t="str">
        <f>$L$5</f>
        <v>Depreciaciones</v>
      </c>
      <c r="M208" s="401">
        <f t="shared" si="45"/>
        <v>0</v>
      </c>
      <c r="N208" s="390">
        <f>M208*12/52</f>
        <v>0</v>
      </c>
      <c r="O208" s="383">
        <f>IFERROR(N208/SUM(PROD!L208:L214),0)</f>
        <v>0</v>
      </c>
      <c r="P208" s="384">
        <f>IFERROR(O208/SUM(E207:E213,J207:J213,O207:O212),0)</f>
        <v>0</v>
      </c>
      <c r="Q208" s="491" t="str">
        <f>$Q$5</f>
        <v>AAA</v>
      </c>
      <c r="R208" s="392">
        <f t="shared" si="43"/>
        <v>0</v>
      </c>
      <c r="S208" s="870">
        <f>SUM(PROD!AN208:AN214)</f>
        <v>0</v>
      </c>
      <c r="T208" s="492">
        <f>IF(AA207&gt;0,S208/AA207,0)</f>
        <v>0</v>
      </c>
      <c r="U208" s="493" t="str">
        <f>$U$5</f>
        <v>Prob Cásc</v>
      </c>
      <c r="V208" s="392">
        <f t="shared" si="44"/>
        <v>0</v>
      </c>
      <c r="W208" s="870">
        <f>SUM(PROD!AX208:AX214)</f>
        <v>0</v>
      </c>
      <c r="X208" s="492">
        <f>IFERROR(W208/(AA212-AA210),0)</f>
        <v>0</v>
      </c>
      <c r="Y208" s="395" t="s">
        <v>324</v>
      </c>
      <c r="Z208" s="396">
        <f>IFERROR(SUMPRODUCT(V207:V210,W207:W210)/SUM(W207:W210),0)</f>
        <v>0</v>
      </c>
      <c r="AA208" s="397">
        <f>SUM(W207:W210)</f>
        <v>0</v>
      </c>
      <c r="AB208" s="494">
        <f>IF(AA212&gt;0,AA208/AA212,0)</f>
        <v>0</v>
      </c>
    </row>
    <row r="209" spans="1:28" ht="15.75" customHeight="1" x14ac:dyDescent="0.3">
      <c r="A209" s="2301"/>
      <c r="B209" s="399" t="str">
        <f>$B$6</f>
        <v>Bandeja</v>
      </c>
      <c r="C209" s="400">
        <f>C202</f>
        <v>0</v>
      </c>
      <c r="D209" s="387">
        <f>C209*SUM(INVENTARIOS!R207:R213)</f>
        <v>0</v>
      </c>
      <c r="E209" s="383">
        <f>IFERROR(D209/SUM(PROD!L208:L214),0)</f>
        <v>0</v>
      </c>
      <c r="F209" s="384">
        <f>IFERROR(E209/SUM(E207:E213,J207:J213,O207:O212),0)</f>
        <v>0</v>
      </c>
      <c r="G209" s="439" t="str">
        <f>$G$13</f>
        <v>Arrendamientos</v>
      </c>
      <c r="H209" s="401">
        <f t="shared" si="42"/>
        <v>0</v>
      </c>
      <c r="I209" s="390">
        <f t="shared" si="40"/>
        <v>0</v>
      </c>
      <c r="J209" s="383">
        <f>IFERROR(I209/SUM(PROD!L208:L214),0)</f>
        <v>0</v>
      </c>
      <c r="K209" s="384">
        <f>IFERROR(J209/SUM(E207:E213,J207:J213,O207:O212),0)</f>
        <v>0</v>
      </c>
      <c r="L209" s="439" t="str">
        <f>$L$6</f>
        <v>Diversos</v>
      </c>
      <c r="M209" s="401">
        <f t="shared" si="45"/>
        <v>0</v>
      </c>
      <c r="N209" s="390">
        <f>M209*12/52</f>
        <v>0</v>
      </c>
      <c r="O209" s="383">
        <f>IFERROR(N209/SUM(PROD!L208:L214),0)</f>
        <v>0</v>
      </c>
      <c r="P209" s="384">
        <f>IFERROR(O209/SUM(E207:E213,J207:J213,O207:O212),0)</f>
        <v>0</v>
      </c>
      <c r="Q209" s="491" t="str">
        <f>$Q$6</f>
        <v>AA</v>
      </c>
      <c r="R209" s="392">
        <f t="shared" si="43"/>
        <v>0</v>
      </c>
      <c r="S209" s="870">
        <f>SUM(PROD!AO208:AO214)</f>
        <v>0</v>
      </c>
      <c r="T209" s="492">
        <f>IF(AA207&gt;0,S209/AA207,0)</f>
        <v>0</v>
      </c>
      <c r="U209" s="493" t="str">
        <f>$U$6</f>
        <v>Vencido</v>
      </c>
      <c r="V209" s="392">
        <f t="shared" si="44"/>
        <v>0</v>
      </c>
      <c r="W209" s="870">
        <f>SUM(PROD!AY208:AY214)</f>
        <v>0</v>
      </c>
      <c r="X209" s="492">
        <f>IFERROR(W209/(AA212-AA210),0)</f>
        <v>0</v>
      </c>
      <c r="Y209" s="402" t="s">
        <v>391</v>
      </c>
      <c r="Z209" s="456">
        <v>0</v>
      </c>
      <c r="AA209" s="720"/>
      <c r="AB209" s="495">
        <f>IF(AA212&gt;0,AA209/AA212,0)</f>
        <v>0</v>
      </c>
    </row>
    <row r="210" spans="1:28" ht="15.75" customHeight="1" x14ac:dyDescent="0.3">
      <c r="A210" s="2301"/>
      <c r="B210" s="438" t="str">
        <f>$B$7</f>
        <v>Mortalidad Aves</v>
      </c>
      <c r="C210" s="401">
        <f>IF(A207&lt;=$B$2,C208+$C$2,0)</f>
        <v>0</v>
      </c>
      <c r="D210" s="390">
        <f>C210*SUM(PROD!D208:D214)</f>
        <v>0</v>
      </c>
      <c r="E210" s="383">
        <f>IFERROR(D210/SUM(PROD!L208:L214),0)</f>
        <v>0</v>
      </c>
      <c r="F210" s="384">
        <f>IFERROR(E210/SUM(E207:E213,J207:J213,O207:O212),0)</f>
        <v>0</v>
      </c>
      <c r="G210" s="439" t="str">
        <f>$G$14</f>
        <v>Servicios Públicos</v>
      </c>
      <c r="H210" s="401">
        <f t="shared" si="42"/>
        <v>0</v>
      </c>
      <c r="I210" s="390">
        <f t="shared" si="40"/>
        <v>0</v>
      </c>
      <c r="J210" s="383">
        <f>IFERROR(I210/SUM(PROD!L208:L214),0)</f>
        <v>0</v>
      </c>
      <c r="K210" s="384">
        <f>IFERROR(J210/SUM(E207:E213,J207:J213,O207:O212),0)</f>
        <v>0</v>
      </c>
      <c r="L210" s="441" t="str">
        <f>$L$7</f>
        <v>Administrativos</v>
      </c>
      <c r="M210" s="401">
        <f t="shared" si="45"/>
        <v>0</v>
      </c>
      <c r="N210" s="404">
        <f>M210*0.230769230769231</f>
        <v>0</v>
      </c>
      <c r="O210" s="383">
        <f>IFERROR(N210/SUM(PROD!L208:L214),0)</f>
        <v>0</v>
      </c>
      <c r="P210" s="384">
        <f>IFERROR(O210/SUM(E207:E213,J207:J213,O207:O212),0)</f>
        <v>0</v>
      </c>
      <c r="Q210" s="491" t="str">
        <f>$Q$7</f>
        <v>A</v>
      </c>
      <c r="R210" s="392">
        <f t="shared" si="43"/>
        <v>0</v>
      </c>
      <c r="S210" s="870">
        <f>SUM(PROD!AP208:AP214)</f>
        <v>0</v>
      </c>
      <c r="T210" s="492">
        <f>IF(AA207&gt;0,S210/AA207,0)</f>
        <v>0</v>
      </c>
      <c r="U210" s="405" t="str">
        <f>$U$7</f>
        <v>Roto</v>
      </c>
      <c r="V210" s="406">
        <f t="shared" si="44"/>
        <v>0</v>
      </c>
      <c r="W210" s="872">
        <f>SUM(PROD!AZ208:AZ214)</f>
        <v>0</v>
      </c>
      <c r="X210" s="407">
        <f>IFERROR(W210/(AA212-AA210),0)</f>
        <v>0</v>
      </c>
      <c r="Y210" s="408" t="s">
        <v>359</v>
      </c>
      <c r="Z210" s="442">
        <v>215</v>
      </c>
      <c r="AA210" s="410">
        <f>SUM(PROD!L208:L214)-SUM(W207:W213)-SUM(S207:S213)-AA209</f>
        <v>0</v>
      </c>
      <c r="AB210" s="496">
        <f>IF(AA212&gt;0,AA210/AA212,0)</f>
        <v>0</v>
      </c>
    </row>
    <row r="211" spans="1:28" ht="15.75" customHeight="1" x14ac:dyDescent="0.3">
      <c r="A211" s="2301"/>
      <c r="B211" s="399" t="str">
        <f>$B$8</f>
        <v>Materia Prima (Carb Ca, etc.)</v>
      </c>
      <c r="C211" s="440">
        <f>C204</f>
        <v>0</v>
      </c>
      <c r="D211" s="387">
        <f>C211*12/52</f>
        <v>0</v>
      </c>
      <c r="E211" s="383">
        <f>IFERROR(D211/SUM(PROD!L208:L214),0)</f>
        <v>0</v>
      </c>
      <c r="F211" s="384">
        <f>IFERROR(E211/SUM(E207:E213,J207:J213,O207:O212),0)</f>
        <v>0</v>
      </c>
      <c r="G211" s="441" t="str">
        <f>$G$15</f>
        <v>Gastos Legales</v>
      </c>
      <c r="H211" s="401">
        <f t="shared" si="42"/>
        <v>0</v>
      </c>
      <c r="I211" s="390">
        <f t="shared" si="40"/>
        <v>0</v>
      </c>
      <c r="J211" s="383">
        <f>IFERROR(I211/SUM(PROD!L208:L214),0)</f>
        <v>0</v>
      </c>
      <c r="K211" s="384">
        <f>IFERROR(J211/SUM(E207:E213,J207:J213,O207:O212),0)</f>
        <v>0</v>
      </c>
      <c r="L211" s="439" t="str">
        <f>$L$8</f>
        <v>Fletes</v>
      </c>
      <c r="M211" s="401">
        <f t="shared" si="45"/>
        <v>0</v>
      </c>
      <c r="N211" s="404">
        <f>M211*0.230769230769231</f>
        <v>0</v>
      </c>
      <c r="O211" s="383">
        <f>IFERROR(N211/SUM(PROD!L208:L214),0)</f>
        <v>0</v>
      </c>
      <c r="P211" s="384">
        <f>IFERROR(O211/SUM(E207:E213,J207:J213,O207:O212),0)</f>
        <v>0</v>
      </c>
      <c r="Q211" s="491" t="str">
        <f>$Q$8</f>
        <v>B</v>
      </c>
      <c r="R211" s="392">
        <f t="shared" si="43"/>
        <v>0</v>
      </c>
      <c r="S211" s="870">
        <f>SUM(PROD!AQ208:AQ214)</f>
        <v>0</v>
      </c>
      <c r="T211" s="492">
        <f>IF(AA207&gt;0,S211/AA207,0)</f>
        <v>0</v>
      </c>
      <c r="U211" s="395" t="str">
        <f>$U$8</f>
        <v>Rev. Gr.</v>
      </c>
      <c r="V211" s="412">
        <f t="shared" si="44"/>
        <v>0</v>
      </c>
      <c r="W211" s="873">
        <f>SUM(PROD!AT208:AT214)</f>
        <v>0</v>
      </c>
      <c r="X211" s="413">
        <f>IFERROR(W211/(AA212-AA210),0)</f>
        <v>0</v>
      </c>
      <c r="Y211" s="414" t="s">
        <v>262</v>
      </c>
      <c r="Z211" s="415">
        <f>IFERROR(SUMPRODUCT(V211:V213,W211:W213)/SUM(W211:W213),0)</f>
        <v>0</v>
      </c>
      <c r="AA211" s="416">
        <f>SUM(W211:W213)</f>
        <v>0</v>
      </c>
      <c r="AB211" s="497">
        <f>IF(AA212&gt;0,AA211/AA212,0)</f>
        <v>0</v>
      </c>
    </row>
    <row r="212" spans="1:28" ht="15.75" customHeight="1" x14ac:dyDescent="0.3">
      <c r="A212" s="2301"/>
      <c r="B212" s="438" t="str">
        <f>$B$9</f>
        <v>Vacunas y medicamentos</v>
      </c>
      <c r="C212" s="443">
        <f>C205</f>
        <v>0</v>
      </c>
      <c r="D212" s="387">
        <f>C212*12/52</f>
        <v>0</v>
      </c>
      <c r="E212" s="383">
        <f>IFERROR(D212/SUM(PROD!L208:L214),0)</f>
        <v>0</v>
      </c>
      <c r="F212" s="384">
        <f>IFERROR(E212/SUM(E207:E213,J207:J213,O207:O212),0)</f>
        <v>0</v>
      </c>
      <c r="G212" s="441" t="str">
        <f>$G$16</f>
        <v>Mantenimiento y Reparaciones</v>
      </c>
      <c r="H212" s="401">
        <f t="shared" si="42"/>
        <v>0</v>
      </c>
      <c r="I212" s="390">
        <f t="shared" si="40"/>
        <v>0</v>
      </c>
      <c r="J212" s="383">
        <f>IFERROR(I212/SUM(PROD!L208:L214),0)</f>
        <v>0</v>
      </c>
      <c r="K212" s="384">
        <f>IFERROR(J212/SUM(E207:E213,J207:J213,O207:O212),0)</f>
        <v>0</v>
      </c>
      <c r="L212" s="439">
        <f>$L$9</f>
        <v>0</v>
      </c>
      <c r="M212" s="401">
        <f t="shared" si="45"/>
        <v>0</v>
      </c>
      <c r="N212" s="404">
        <f>M212*0.230769230769231</f>
        <v>0</v>
      </c>
      <c r="O212" s="383">
        <f>IFERROR(N212/SUM(PROD!L208:L214),0)</f>
        <v>0</v>
      </c>
      <c r="P212" s="384">
        <f>IFERROR(O212/SUM(E207:E213,J207:J213,O207:O212),0)</f>
        <v>0</v>
      </c>
      <c r="Q212" s="491" t="str">
        <f>$Q$9</f>
        <v>C</v>
      </c>
      <c r="R212" s="392">
        <f t="shared" si="43"/>
        <v>0</v>
      </c>
      <c r="S212" s="870">
        <f>SUM(PROD!AR208:AR214)</f>
        <v>0</v>
      </c>
      <c r="T212" s="492">
        <f>IF(AA207&gt;0,S212/AA207,0)</f>
        <v>0</v>
      </c>
      <c r="U212" s="493" t="str">
        <f>$U$9</f>
        <v>Rev. Med</v>
      </c>
      <c r="V212" s="392">
        <f t="shared" si="44"/>
        <v>0</v>
      </c>
      <c r="W212" s="870">
        <f>SUM(PROD!AU208:AU214)</f>
        <v>0</v>
      </c>
      <c r="X212" s="498">
        <f>IFERROR(W212/(AA212-AA210),0)</f>
        <v>0</v>
      </c>
      <c r="Y212" s="2303" t="s">
        <v>325</v>
      </c>
      <c r="Z212" s="2305">
        <f>SUMPRODUCT(Z207:Z211,AB207:AB211)</f>
        <v>0</v>
      </c>
      <c r="AA212" s="2307">
        <f>SUM(AA207:AA210)</f>
        <v>0</v>
      </c>
      <c r="AB212" s="2308"/>
    </row>
    <row r="213" spans="1:28" ht="16.5" customHeight="1" thickBot="1" x14ac:dyDescent="0.35">
      <c r="A213" s="2302"/>
      <c r="B213" s="444" t="str">
        <f>$B$10</f>
        <v>Gastos de Personal</v>
      </c>
      <c r="C213" s="445">
        <f>C206</f>
        <v>0</v>
      </c>
      <c r="D213" s="421">
        <f>C213*12/52</f>
        <v>0</v>
      </c>
      <c r="E213" s="446">
        <f>IFERROR(D213/SUM(PROD!L208:L214),0)</f>
        <v>0</v>
      </c>
      <c r="F213" s="447">
        <f>IFERROR(E213/SUM(E207:E213,J207:J213,O207:O212),0)</f>
        <v>0</v>
      </c>
      <c r="G213" s="448" t="str">
        <f>$G$17</f>
        <v>Adecuación Instalaciones</v>
      </c>
      <c r="H213" s="445">
        <f t="shared" si="42"/>
        <v>0</v>
      </c>
      <c r="I213" s="426">
        <f t="shared" si="40"/>
        <v>0</v>
      </c>
      <c r="J213" s="446">
        <f>IFERROR(I213/SUM(PROD!L208:L214),0)</f>
        <v>0</v>
      </c>
      <c r="K213" s="447">
        <f>IFERROR(J213/SUM(E207:E213,J207:J213,O207:O212),0)</f>
        <v>0</v>
      </c>
      <c r="L213" s="2311" t="str">
        <f>$L$10</f>
        <v>TOTAL COSTO PRODUCCIÓN</v>
      </c>
      <c r="M213" s="2312"/>
      <c r="N213" s="427">
        <f>SUM(D207:D213,I207:I213,N207:N212)</f>
        <v>0</v>
      </c>
      <c r="O213" s="449">
        <f>IFERROR(N213/SUM(PROD!L208:L214),0)</f>
        <v>0</v>
      </c>
      <c r="P213" s="447">
        <f>IFERROR(O213/SUM(E207:E213,J207:J213,O207:O212),0)</f>
        <v>0</v>
      </c>
      <c r="Q213" s="429" t="str">
        <f>$Q$10</f>
        <v>D</v>
      </c>
      <c r="R213" s="499">
        <f t="shared" si="43"/>
        <v>0</v>
      </c>
      <c r="S213" s="871">
        <f>SUM(PROD!AS208:AS214)</f>
        <v>0</v>
      </c>
      <c r="T213" s="431">
        <f>IF(AA207&gt;0,S213/AA207,0)</f>
        <v>0</v>
      </c>
      <c r="U213" s="432" t="str">
        <f>$U$10</f>
        <v>Rev. Peq</v>
      </c>
      <c r="V213" s="499">
        <f t="shared" si="44"/>
        <v>0</v>
      </c>
      <c r="W213" s="871">
        <f>SUM(PROD!AV208:AV214)</f>
        <v>0</v>
      </c>
      <c r="X213" s="431">
        <f>IFERROR(W213/(AA212-AA210),0)</f>
        <v>0</v>
      </c>
      <c r="Y213" s="2304"/>
      <c r="Z213" s="2306"/>
      <c r="AA213" s="2309"/>
      <c r="AB213" s="2310"/>
    </row>
    <row r="214" spans="1:28" ht="16.5" customHeight="1" x14ac:dyDescent="0.3">
      <c r="A214" s="2300">
        <f>A207+1</f>
        <v>48</v>
      </c>
      <c r="B214" s="433" t="str">
        <f>$B$4</f>
        <v>ALIMENTO Kilos</v>
      </c>
      <c r="C214" s="435">
        <f>LOOKUP($A214,PROD!$A$5:$A$725,PROD!$AH$10:$AH$730)</f>
        <v>0</v>
      </c>
      <c r="D214" s="368">
        <f>C214*LOOKUP($A214,'Pr-Sem'!$A$6:$A$108,'Pr-Sem'!$N$6:$N$108)/(PROD!$A$1/1000)</f>
        <v>0</v>
      </c>
      <c r="E214" s="369">
        <f>IFERROR(D214/SUM(PROD!L215:L221),0)</f>
        <v>0</v>
      </c>
      <c r="F214" s="370">
        <f>IFERROR(E214/SUM(E214:E220,J214:J220,O214:O219),0)</f>
        <v>0</v>
      </c>
      <c r="G214" s="434" t="str">
        <f>$G$11</f>
        <v>Honorarios</v>
      </c>
      <c r="H214" s="435">
        <f t="shared" si="42"/>
        <v>0</v>
      </c>
      <c r="I214" s="372">
        <f t="shared" si="40"/>
        <v>0</v>
      </c>
      <c r="J214" s="369">
        <f>IFERROR(I214/SUM(PROD!L215:L221),0)</f>
        <v>0</v>
      </c>
      <c r="K214" s="370">
        <f>IFERROR(J214/SUM(E214:E220,J214:J220,O214:O219),0)</f>
        <v>0</v>
      </c>
      <c r="L214" s="436" t="str">
        <f>$L$4</f>
        <v>Gastos de Viaje</v>
      </c>
      <c r="M214" s="435">
        <f t="shared" ref="M214:M219" si="46">M207</f>
        <v>0</v>
      </c>
      <c r="N214" s="372">
        <f>M214*12/52</f>
        <v>0</v>
      </c>
      <c r="O214" s="369">
        <f>IFERROR(N214/SUM(PROD!L215:L221),0)</f>
        <v>0</v>
      </c>
      <c r="P214" s="370">
        <f>IFERROR(O214/SUM(E214:E220,J214:J220,O214:O219),0)</f>
        <v>0</v>
      </c>
      <c r="Q214" s="373" t="str">
        <f>$Q$4</f>
        <v>AAAA</v>
      </c>
      <c r="R214" s="374">
        <f t="shared" si="43"/>
        <v>0</v>
      </c>
      <c r="S214" s="869">
        <f>SUM(PROD!AM215:AM221)</f>
        <v>0</v>
      </c>
      <c r="T214" s="375">
        <f>IF(AA214&gt;0,S214/AA214,0)</f>
        <v>0</v>
      </c>
      <c r="U214" s="376" t="str">
        <f>$U$4</f>
        <v>Prob Color</v>
      </c>
      <c r="V214" s="374">
        <f t="shared" si="44"/>
        <v>0</v>
      </c>
      <c r="W214" s="869">
        <f>SUM(PROD!AW215:AW221)</f>
        <v>0</v>
      </c>
      <c r="X214" s="375">
        <f>IFERROR(W214/(AA219-AA217),0)</f>
        <v>0</v>
      </c>
      <c r="Y214" s="377" t="s">
        <v>323</v>
      </c>
      <c r="Z214" s="378">
        <f>SUMPRODUCT(R214:R220,T214:T220)</f>
        <v>0</v>
      </c>
      <c r="AA214" s="379">
        <f>SUM(S214:S220)</f>
        <v>0</v>
      </c>
      <c r="AB214" s="490">
        <f>IF(AA219&gt;0,AA214/AA219,0)</f>
        <v>0</v>
      </c>
    </row>
    <row r="215" spans="1:28" ht="15.75" customHeight="1" x14ac:dyDescent="0.3">
      <c r="A215" s="2301"/>
      <c r="B215" s="438" t="str">
        <f>$B$5</f>
        <v>Amortización de Aves</v>
      </c>
      <c r="C215" s="381">
        <f>IFERROR((C208-(D215/'Pr-Sem'!$O$2)),0)</f>
        <v>0</v>
      </c>
      <c r="D215" s="382">
        <f>SUM(PROD!L215:L221)*E215</f>
        <v>0</v>
      </c>
      <c r="E215" s="383">
        <f>IF(SUM(PROD!L215:L221)&gt;0,IFERROR(($C$1-$C$2)/LOOKUP($B$2,'Pr-Sem'!$A$6:$A$108,'Pr-Sem'!$L$6:$L$108)*(LOOKUP(INVENTARIOS!$A214,'Pr-Sem'!$A$6:$A$108,'Pr-Sem'!$L$6:$L$108)-LOOKUP(INVENTARIOS!$A214-1,'Pr-Sem'!$A$6:$A$108,'Pr-Sem'!$L$6:$L$108))/(LOOKUP(INVENTARIOS!$A214,'Pr-Sem'!$A$6:$A$108,'Pr-Sem'!$K$6:$K$108)-LOOKUP(INVENTARIOS!$A214-1,'Pr-Sem'!$A$6:$A$108,'Pr-Sem'!$K$6:$K$108)),0),0)</f>
        <v>0</v>
      </c>
      <c r="F215" s="384">
        <f>IFERROR(E215/SUM(E214:E220,J214:J220,O214:O219),0)</f>
        <v>0</v>
      </c>
      <c r="G215" s="439" t="str">
        <f>$G$12</f>
        <v>Impuestos</v>
      </c>
      <c r="H215" s="440">
        <f t="shared" si="42"/>
        <v>0</v>
      </c>
      <c r="I215" s="387">
        <f t="shared" si="40"/>
        <v>0</v>
      </c>
      <c r="J215" s="383">
        <f>IFERROR(I215/SUM(PROD!L215:L221),0)</f>
        <v>0</v>
      </c>
      <c r="K215" s="384">
        <f>IFERROR(J215/SUM(E214:E220,J214:J220,O214:O219),0)</f>
        <v>0</v>
      </c>
      <c r="L215" s="439" t="str">
        <f>$L$5</f>
        <v>Depreciaciones</v>
      </c>
      <c r="M215" s="401">
        <f t="shared" si="46"/>
        <v>0</v>
      </c>
      <c r="N215" s="390">
        <f>M215*12/52</f>
        <v>0</v>
      </c>
      <c r="O215" s="383">
        <f>IFERROR(N215/SUM(PROD!L215:L221),0)</f>
        <v>0</v>
      </c>
      <c r="P215" s="384">
        <f>IFERROR(O215/SUM(E214:E220,J214:J220,O214:O219),0)</f>
        <v>0</v>
      </c>
      <c r="Q215" s="491" t="str">
        <f>$Q$5</f>
        <v>AAA</v>
      </c>
      <c r="R215" s="392">
        <f t="shared" si="43"/>
        <v>0</v>
      </c>
      <c r="S215" s="870">
        <f>SUM(PROD!AN215:AN221)</f>
        <v>0</v>
      </c>
      <c r="T215" s="492">
        <f>IF(AA214&gt;0,S215/AA214,0)</f>
        <v>0</v>
      </c>
      <c r="U215" s="493" t="str">
        <f>$U$5</f>
        <v>Prob Cásc</v>
      </c>
      <c r="V215" s="392">
        <f t="shared" si="44"/>
        <v>0</v>
      </c>
      <c r="W215" s="870">
        <f>SUM(PROD!AX215:AX221)</f>
        <v>0</v>
      </c>
      <c r="X215" s="492">
        <f>IFERROR(W215/(AA219-AA217),0)</f>
        <v>0</v>
      </c>
      <c r="Y215" s="395" t="s">
        <v>324</v>
      </c>
      <c r="Z215" s="396">
        <f>IFERROR(SUMPRODUCT(V214:V217,W214:W217)/SUM(W214:W217),0)</f>
        <v>0</v>
      </c>
      <c r="AA215" s="397">
        <f>SUM(W214:W217)</f>
        <v>0</v>
      </c>
      <c r="AB215" s="494">
        <f>IF(AA219&gt;0,AA215/AA219,0)</f>
        <v>0</v>
      </c>
    </row>
    <row r="216" spans="1:28" ht="15.75" customHeight="1" x14ac:dyDescent="0.3">
      <c r="A216" s="2301"/>
      <c r="B216" s="399" t="str">
        <f>$B$6</f>
        <v>Bandeja</v>
      </c>
      <c r="C216" s="400">
        <f>C209</f>
        <v>0</v>
      </c>
      <c r="D216" s="387">
        <f>C216*SUM(INVENTARIOS!R214:R220)</f>
        <v>0</v>
      </c>
      <c r="E216" s="383">
        <f>IFERROR(D216/SUM(PROD!L215:L221),0)</f>
        <v>0</v>
      </c>
      <c r="F216" s="384">
        <f>IFERROR(E216/SUM(E214:E220,J214:J220,O214:O219),0)</f>
        <v>0</v>
      </c>
      <c r="G216" s="439" t="str">
        <f>$G$13</f>
        <v>Arrendamientos</v>
      </c>
      <c r="H216" s="401">
        <f t="shared" si="42"/>
        <v>0</v>
      </c>
      <c r="I216" s="390">
        <f t="shared" si="40"/>
        <v>0</v>
      </c>
      <c r="J216" s="383">
        <f>IFERROR(I216/SUM(PROD!L215:L221),0)</f>
        <v>0</v>
      </c>
      <c r="K216" s="384">
        <f>IFERROR(J216/SUM(E214:E220,J214:J220,O214:O219),0)</f>
        <v>0</v>
      </c>
      <c r="L216" s="439" t="str">
        <f>$L$6</f>
        <v>Diversos</v>
      </c>
      <c r="M216" s="401">
        <f t="shared" si="46"/>
        <v>0</v>
      </c>
      <c r="N216" s="390">
        <f>M216*12/52</f>
        <v>0</v>
      </c>
      <c r="O216" s="383">
        <f>IFERROR(N216/SUM(PROD!L215:L221),0)</f>
        <v>0</v>
      </c>
      <c r="P216" s="384">
        <f>IFERROR(O216/SUM(E214:E220,J214:J220,O214:O219),0)</f>
        <v>0</v>
      </c>
      <c r="Q216" s="491" t="str">
        <f>$Q$6</f>
        <v>AA</v>
      </c>
      <c r="R216" s="392">
        <f t="shared" si="43"/>
        <v>0</v>
      </c>
      <c r="S216" s="870">
        <f>SUM(PROD!AO215:AO221)</f>
        <v>0</v>
      </c>
      <c r="T216" s="492">
        <f>IF(AA214&gt;0,S216/AA214,0)</f>
        <v>0</v>
      </c>
      <c r="U216" s="493" t="str">
        <f>$U$6</f>
        <v>Vencido</v>
      </c>
      <c r="V216" s="392">
        <f t="shared" si="44"/>
        <v>0</v>
      </c>
      <c r="W216" s="870">
        <f>SUM(PROD!AY215:AY221)</f>
        <v>0</v>
      </c>
      <c r="X216" s="492">
        <f>IFERROR(W216/(AA219-AA217),0)</f>
        <v>0</v>
      </c>
      <c r="Y216" s="402" t="s">
        <v>391</v>
      </c>
      <c r="Z216" s="456">
        <v>0</v>
      </c>
      <c r="AA216" s="720"/>
      <c r="AB216" s="495">
        <f>IF(AA219&gt;0,AA216/AA219,0)</f>
        <v>0</v>
      </c>
    </row>
    <row r="217" spans="1:28" ht="15.75" customHeight="1" x14ac:dyDescent="0.3">
      <c r="A217" s="2301"/>
      <c r="B217" s="438" t="str">
        <f>$B$7</f>
        <v>Mortalidad Aves</v>
      </c>
      <c r="C217" s="401">
        <f>IF(A214&lt;=$B$2,C215+$C$2,0)</f>
        <v>0</v>
      </c>
      <c r="D217" s="390">
        <f>C217*SUM(PROD!D215:D221)</f>
        <v>0</v>
      </c>
      <c r="E217" s="383">
        <f>IFERROR(D217/SUM(PROD!L215:L221),0)</f>
        <v>0</v>
      </c>
      <c r="F217" s="384">
        <f>IFERROR(E217/SUM(E214:E220,J214:J220,O214:O219),0)</f>
        <v>0</v>
      </c>
      <c r="G217" s="439" t="str">
        <f>$G$14</f>
        <v>Servicios Públicos</v>
      </c>
      <c r="H217" s="401">
        <f t="shared" si="42"/>
        <v>0</v>
      </c>
      <c r="I217" s="390">
        <f t="shared" si="40"/>
        <v>0</v>
      </c>
      <c r="J217" s="383">
        <f>IFERROR(I217/SUM(PROD!L215:L221),0)</f>
        <v>0</v>
      </c>
      <c r="K217" s="384">
        <f>IFERROR(J217/SUM(E214:E220,J214:J220,O214:O219),0)</f>
        <v>0</v>
      </c>
      <c r="L217" s="441" t="str">
        <f>$L$7</f>
        <v>Administrativos</v>
      </c>
      <c r="M217" s="401">
        <f t="shared" si="46"/>
        <v>0</v>
      </c>
      <c r="N217" s="404">
        <f>M217*0.230769230769231</f>
        <v>0</v>
      </c>
      <c r="O217" s="383">
        <f>IFERROR(N217/SUM(PROD!L215:L221),0)</f>
        <v>0</v>
      </c>
      <c r="P217" s="384">
        <f>IFERROR(O217/SUM(E214:E220,J214:J220,O214:O219),0)</f>
        <v>0</v>
      </c>
      <c r="Q217" s="491" t="str">
        <f>$Q$7</f>
        <v>A</v>
      </c>
      <c r="R217" s="392">
        <f t="shared" si="43"/>
        <v>0</v>
      </c>
      <c r="S217" s="870">
        <f>SUM(PROD!AP215:AP221)</f>
        <v>0</v>
      </c>
      <c r="T217" s="492">
        <f>IF(AA214&gt;0,S217/AA214,0)</f>
        <v>0</v>
      </c>
      <c r="U217" s="405" t="str">
        <f>$U$7</f>
        <v>Roto</v>
      </c>
      <c r="V217" s="406">
        <f t="shared" si="44"/>
        <v>0</v>
      </c>
      <c r="W217" s="872">
        <f>SUM(PROD!AZ215:AZ221)</f>
        <v>0</v>
      </c>
      <c r="X217" s="407">
        <f>IFERROR(W217/(AA219-AA217),0)</f>
        <v>0</v>
      </c>
      <c r="Y217" s="408" t="s">
        <v>359</v>
      </c>
      <c r="Z217" s="442">
        <v>215</v>
      </c>
      <c r="AA217" s="410">
        <f>SUM(PROD!L215:L221)-SUM(W214:W220)-SUM(S214:S220)-AA216</f>
        <v>0</v>
      </c>
      <c r="AB217" s="496">
        <f>IF(AA219&gt;0,AA217/AA219,0)</f>
        <v>0</v>
      </c>
    </row>
    <row r="218" spans="1:28" ht="15.75" customHeight="1" x14ac:dyDescent="0.3">
      <c r="A218" s="2301"/>
      <c r="B218" s="399" t="str">
        <f>$B$8</f>
        <v>Materia Prima (Carb Ca, etc.)</v>
      </c>
      <c r="C218" s="440">
        <f>C211</f>
        <v>0</v>
      </c>
      <c r="D218" s="387">
        <f>C218*12/52</f>
        <v>0</v>
      </c>
      <c r="E218" s="383">
        <f>IFERROR(D218/SUM(PROD!L215:L221),0)</f>
        <v>0</v>
      </c>
      <c r="F218" s="384">
        <f>IFERROR(E218/SUM(E214:E220,J214:J220,O214:O219),0)</f>
        <v>0</v>
      </c>
      <c r="G218" s="441" t="str">
        <f>$G$15</f>
        <v>Gastos Legales</v>
      </c>
      <c r="H218" s="401">
        <f t="shared" si="42"/>
        <v>0</v>
      </c>
      <c r="I218" s="390">
        <f t="shared" si="40"/>
        <v>0</v>
      </c>
      <c r="J218" s="383">
        <f>IFERROR(I218/SUM(PROD!L215:L221),0)</f>
        <v>0</v>
      </c>
      <c r="K218" s="384">
        <f>IFERROR(J218/SUM(E214:E220,J214:J220,O214:O219),0)</f>
        <v>0</v>
      </c>
      <c r="L218" s="439" t="str">
        <f>$L$8</f>
        <v>Fletes</v>
      </c>
      <c r="M218" s="401">
        <f t="shared" si="46"/>
        <v>0</v>
      </c>
      <c r="N218" s="404">
        <f>M218*0.230769230769231</f>
        <v>0</v>
      </c>
      <c r="O218" s="383">
        <f>IFERROR(N218/SUM(PROD!L215:L221),0)</f>
        <v>0</v>
      </c>
      <c r="P218" s="384">
        <f>IFERROR(O218/SUM(E214:E220,J214:J220,O214:O219),0)</f>
        <v>0</v>
      </c>
      <c r="Q218" s="491" t="str">
        <f>$Q$8</f>
        <v>B</v>
      </c>
      <c r="R218" s="392">
        <f t="shared" si="43"/>
        <v>0</v>
      </c>
      <c r="S218" s="870">
        <f>SUM(PROD!AQ215:AQ221)</f>
        <v>0</v>
      </c>
      <c r="T218" s="492">
        <f>IF(AA214&gt;0,S218/AA214,0)</f>
        <v>0</v>
      </c>
      <c r="U218" s="395" t="str">
        <f>$U$8</f>
        <v>Rev. Gr.</v>
      </c>
      <c r="V218" s="412">
        <f t="shared" si="44"/>
        <v>0</v>
      </c>
      <c r="W218" s="873">
        <f>SUM(PROD!AT215:AT221)</f>
        <v>0</v>
      </c>
      <c r="X218" s="413">
        <f>IFERROR(W218/(AA219-AA217),0)</f>
        <v>0</v>
      </c>
      <c r="Y218" s="414" t="s">
        <v>262</v>
      </c>
      <c r="Z218" s="415">
        <f>IFERROR(SUMPRODUCT(V218:V220,W218:W220)/SUM(W218:W220),0)</f>
        <v>0</v>
      </c>
      <c r="AA218" s="416">
        <f>SUM(W218:W220)</f>
        <v>0</v>
      </c>
      <c r="AB218" s="497">
        <f>IF(AA219&gt;0,AA218/AA219,0)</f>
        <v>0</v>
      </c>
    </row>
    <row r="219" spans="1:28" ht="15.75" customHeight="1" x14ac:dyDescent="0.3">
      <c r="A219" s="2301"/>
      <c r="B219" s="438" t="str">
        <f>$B$9</f>
        <v>Vacunas y medicamentos</v>
      </c>
      <c r="C219" s="443">
        <f>C212</f>
        <v>0</v>
      </c>
      <c r="D219" s="387">
        <f>C219*12/52</f>
        <v>0</v>
      </c>
      <c r="E219" s="383">
        <f>IFERROR(D219/SUM(PROD!L215:L221),0)</f>
        <v>0</v>
      </c>
      <c r="F219" s="384">
        <f>IFERROR(E219/SUM(E214:E220,J214:J220,O214:O219),0)</f>
        <v>0</v>
      </c>
      <c r="G219" s="441" t="str">
        <f>$G$16</f>
        <v>Mantenimiento y Reparaciones</v>
      </c>
      <c r="H219" s="401">
        <f t="shared" si="42"/>
        <v>0</v>
      </c>
      <c r="I219" s="390">
        <f t="shared" si="40"/>
        <v>0</v>
      </c>
      <c r="J219" s="383">
        <f>IFERROR(I219/SUM(PROD!L215:L221),0)</f>
        <v>0</v>
      </c>
      <c r="K219" s="384">
        <f>IFERROR(J219/SUM(E214:E220,J214:J220,O214:O219),0)</f>
        <v>0</v>
      </c>
      <c r="L219" s="439">
        <f>$L$9</f>
        <v>0</v>
      </c>
      <c r="M219" s="401">
        <f t="shared" si="46"/>
        <v>0</v>
      </c>
      <c r="N219" s="404">
        <f>M219*0.230769230769231</f>
        <v>0</v>
      </c>
      <c r="O219" s="383">
        <f>IFERROR(N219/SUM(PROD!L215:L221),0)</f>
        <v>0</v>
      </c>
      <c r="P219" s="384">
        <f>IFERROR(O219/SUM(E214:E220,J214:J220,O214:O219),0)</f>
        <v>0</v>
      </c>
      <c r="Q219" s="491" t="str">
        <f>$Q$9</f>
        <v>C</v>
      </c>
      <c r="R219" s="392">
        <f t="shared" si="43"/>
        <v>0</v>
      </c>
      <c r="S219" s="870">
        <f>SUM(PROD!AR215:AR221)</f>
        <v>0</v>
      </c>
      <c r="T219" s="492">
        <f>IF(AA214&gt;0,S219/AA214,0)</f>
        <v>0</v>
      </c>
      <c r="U219" s="493" t="str">
        <f>$U$9</f>
        <v>Rev. Med</v>
      </c>
      <c r="V219" s="392">
        <f t="shared" si="44"/>
        <v>0</v>
      </c>
      <c r="W219" s="870">
        <f>SUM(PROD!AU215:AU221)</f>
        <v>0</v>
      </c>
      <c r="X219" s="498">
        <f>IFERROR(W219/(AA219-AA217),0)</f>
        <v>0</v>
      </c>
      <c r="Y219" s="2303" t="s">
        <v>325</v>
      </c>
      <c r="Z219" s="2305">
        <f>SUMPRODUCT(Z214:Z218,AB214:AB218)</f>
        <v>0</v>
      </c>
      <c r="AA219" s="2307">
        <f>SUM(AA214:AA217)</f>
        <v>0</v>
      </c>
      <c r="AB219" s="2308"/>
    </row>
    <row r="220" spans="1:28" ht="16.5" customHeight="1" thickBot="1" x14ac:dyDescent="0.35">
      <c r="A220" s="2302"/>
      <c r="B220" s="444" t="str">
        <f>$B$10</f>
        <v>Gastos de Personal</v>
      </c>
      <c r="C220" s="445">
        <f>C213</f>
        <v>0</v>
      </c>
      <c r="D220" s="421">
        <f>C220*12/52</f>
        <v>0</v>
      </c>
      <c r="E220" s="446">
        <f>IFERROR(D220/SUM(PROD!L215:L221),0)</f>
        <v>0</v>
      </c>
      <c r="F220" s="447">
        <f>IFERROR(E220/SUM(E214:E220,J214:J220,O214:O219),0)</f>
        <v>0</v>
      </c>
      <c r="G220" s="448" t="str">
        <f>$G$17</f>
        <v>Adecuación Instalaciones</v>
      </c>
      <c r="H220" s="445">
        <f t="shared" si="42"/>
        <v>0</v>
      </c>
      <c r="I220" s="426">
        <f t="shared" si="40"/>
        <v>0</v>
      </c>
      <c r="J220" s="446">
        <f>IFERROR(I220/SUM(PROD!L215:L221),0)</f>
        <v>0</v>
      </c>
      <c r="K220" s="447">
        <f>IFERROR(J220/SUM(E214:E220,J214:J220,O214:O219),0)</f>
        <v>0</v>
      </c>
      <c r="L220" s="2311" t="str">
        <f>$L$10</f>
        <v>TOTAL COSTO PRODUCCIÓN</v>
      </c>
      <c r="M220" s="2312"/>
      <c r="N220" s="427">
        <f>SUM(D214:D220,I214:I220,N214:N219)</f>
        <v>0</v>
      </c>
      <c r="O220" s="449">
        <f>IFERROR(N220/SUM(PROD!L215:L221),0)</f>
        <v>0</v>
      </c>
      <c r="P220" s="447">
        <f>IFERROR(O220/SUM(E214:E220,J214:J220,O214:O219),0)</f>
        <v>0</v>
      </c>
      <c r="Q220" s="429" t="str">
        <f>$Q$10</f>
        <v>D</v>
      </c>
      <c r="R220" s="499">
        <f t="shared" si="43"/>
        <v>0</v>
      </c>
      <c r="S220" s="871">
        <f>SUM(PROD!AS215:AS221)</f>
        <v>0</v>
      </c>
      <c r="T220" s="431">
        <f>IF(AA214&gt;0,S220/AA214,0)</f>
        <v>0</v>
      </c>
      <c r="U220" s="432" t="str">
        <f>$U$10</f>
        <v>Rev. Peq</v>
      </c>
      <c r="V220" s="499">
        <f t="shared" si="44"/>
        <v>0</v>
      </c>
      <c r="W220" s="871">
        <f>SUM(PROD!AV215:AV221)</f>
        <v>0</v>
      </c>
      <c r="X220" s="431">
        <f>IFERROR(W220/(AA219-AA217),0)</f>
        <v>0</v>
      </c>
      <c r="Y220" s="2304"/>
      <c r="Z220" s="2306"/>
      <c r="AA220" s="2309"/>
      <c r="AB220" s="2310"/>
    </row>
    <row r="221" spans="1:28" ht="16.5" customHeight="1" x14ac:dyDescent="0.3">
      <c r="A221" s="2300">
        <f>A214+1</f>
        <v>49</v>
      </c>
      <c r="B221" s="433" t="str">
        <f>$B$4</f>
        <v>ALIMENTO Kilos</v>
      </c>
      <c r="C221" s="435">
        <f>LOOKUP($A221,PROD!$A$5:$A$725,PROD!$AH$10:$AH$730)</f>
        <v>0</v>
      </c>
      <c r="D221" s="368">
        <f>C221*LOOKUP($A221,'Pr-Sem'!$A$6:$A$108,'Pr-Sem'!$N$6:$N$108)/(PROD!$A$1/1000)</f>
        <v>0</v>
      </c>
      <c r="E221" s="369">
        <f>IFERROR(D221/SUM(PROD!L222:L228),0)</f>
        <v>0</v>
      </c>
      <c r="F221" s="370">
        <f>IFERROR(E221/SUM(E221:E227,J221:J227,O221:O226),0)</f>
        <v>0</v>
      </c>
      <c r="G221" s="434" t="str">
        <f>$G$11</f>
        <v>Honorarios</v>
      </c>
      <c r="H221" s="435">
        <f t="shared" si="42"/>
        <v>0</v>
      </c>
      <c r="I221" s="372">
        <f t="shared" si="40"/>
        <v>0</v>
      </c>
      <c r="J221" s="369">
        <f>IFERROR(I221/SUM(PROD!L222:L228),0)</f>
        <v>0</v>
      </c>
      <c r="K221" s="370">
        <f>IFERROR(J221/SUM(E221:E227,J221:J227,O221:O226),0)</f>
        <v>0</v>
      </c>
      <c r="L221" s="436" t="str">
        <f>$L$4</f>
        <v>Gastos de Viaje</v>
      </c>
      <c r="M221" s="435">
        <f t="shared" ref="M221:M226" si="47">M214</f>
        <v>0</v>
      </c>
      <c r="N221" s="372">
        <f>M221*12/52</f>
        <v>0</v>
      </c>
      <c r="O221" s="369">
        <f>IFERROR(N221/SUM(PROD!L222:L228),0)</f>
        <v>0</v>
      </c>
      <c r="P221" s="370">
        <f>IFERROR(O221/SUM(E221:E227,J221:J227,O221:O226),0)</f>
        <v>0</v>
      </c>
      <c r="Q221" s="373" t="str">
        <f>$Q$4</f>
        <v>AAAA</v>
      </c>
      <c r="R221" s="374">
        <f t="shared" si="43"/>
        <v>0</v>
      </c>
      <c r="S221" s="869">
        <f>SUM(PROD!AM222:AM228)</f>
        <v>0</v>
      </c>
      <c r="T221" s="375">
        <f>IF(AA221&gt;0,S221/AA221,0)</f>
        <v>0</v>
      </c>
      <c r="U221" s="376" t="str">
        <f>$U$4</f>
        <v>Prob Color</v>
      </c>
      <c r="V221" s="374">
        <f t="shared" si="44"/>
        <v>0</v>
      </c>
      <c r="W221" s="869">
        <f>SUM(PROD!AW222:AW228)</f>
        <v>0</v>
      </c>
      <c r="X221" s="375">
        <f>IFERROR(W221/(AA226-AA224),0)</f>
        <v>0</v>
      </c>
      <c r="Y221" s="377" t="s">
        <v>323</v>
      </c>
      <c r="Z221" s="378">
        <f>SUMPRODUCT(R221:R227,T221:T227)</f>
        <v>0</v>
      </c>
      <c r="AA221" s="379">
        <f>SUM(S221:S227)</f>
        <v>0</v>
      </c>
      <c r="AB221" s="490">
        <f>IF(AA226&gt;0,AA221/AA226,0)</f>
        <v>0</v>
      </c>
    </row>
    <row r="222" spans="1:28" ht="15.75" customHeight="1" x14ac:dyDescent="0.3">
      <c r="A222" s="2301"/>
      <c r="B222" s="438" t="str">
        <f>$B$5</f>
        <v>Amortización de Aves</v>
      </c>
      <c r="C222" s="381">
        <f>IFERROR((C215-(D222/'Pr-Sem'!$O$2)),0)</f>
        <v>0</v>
      </c>
      <c r="D222" s="382">
        <f>SUM(PROD!L222:L228)*E222</f>
        <v>0</v>
      </c>
      <c r="E222" s="383">
        <f>IF(SUM(PROD!L222:L228)&gt;0,IFERROR(($C$1-$C$2)/LOOKUP($B$2,'Pr-Sem'!$A$6:$A$108,'Pr-Sem'!$L$6:$L$108)*(LOOKUP(INVENTARIOS!$A221,'Pr-Sem'!$A$6:$A$108,'Pr-Sem'!$L$6:$L$108)-LOOKUP(INVENTARIOS!$A221-1,'Pr-Sem'!$A$6:$A$108,'Pr-Sem'!$L$6:$L$108))/(LOOKUP(INVENTARIOS!$A221,'Pr-Sem'!$A$6:$A$108,'Pr-Sem'!$K$6:$K$108)-LOOKUP(INVENTARIOS!$A221-1,'Pr-Sem'!$A$6:$A$108,'Pr-Sem'!$K$6:$K$108)),0),0)</f>
        <v>0</v>
      </c>
      <c r="F222" s="384">
        <f>IFERROR(E222/SUM(E221:E227,J221:J227,O221:O226),0)</f>
        <v>0</v>
      </c>
      <c r="G222" s="439" t="str">
        <f>$G$12</f>
        <v>Impuestos</v>
      </c>
      <c r="H222" s="440">
        <f t="shared" si="42"/>
        <v>0</v>
      </c>
      <c r="I222" s="387">
        <f t="shared" si="40"/>
        <v>0</v>
      </c>
      <c r="J222" s="383">
        <f>IFERROR(I222/SUM(PROD!L222:L228),0)</f>
        <v>0</v>
      </c>
      <c r="K222" s="384">
        <f>IFERROR(J222/SUM(E221:E227,J221:J227,O221:O226),0)</f>
        <v>0</v>
      </c>
      <c r="L222" s="439" t="str">
        <f>$L$5</f>
        <v>Depreciaciones</v>
      </c>
      <c r="M222" s="401">
        <f t="shared" si="47"/>
        <v>0</v>
      </c>
      <c r="N222" s="390">
        <f>M222*12/52</f>
        <v>0</v>
      </c>
      <c r="O222" s="383">
        <f>IFERROR(N222/SUM(PROD!L222:L228),0)</f>
        <v>0</v>
      </c>
      <c r="P222" s="384">
        <f>IFERROR(O222/SUM(E221:E227,J221:J227,O221:O226),0)</f>
        <v>0</v>
      </c>
      <c r="Q222" s="491" t="str">
        <f>$Q$5</f>
        <v>AAA</v>
      </c>
      <c r="R222" s="392">
        <f t="shared" si="43"/>
        <v>0</v>
      </c>
      <c r="S222" s="870">
        <f>SUM(PROD!AN222:AN228)</f>
        <v>0</v>
      </c>
      <c r="T222" s="492">
        <f>IF(AA221&gt;0,S222/AA221,0)</f>
        <v>0</v>
      </c>
      <c r="U222" s="493" t="str">
        <f>$U$5</f>
        <v>Prob Cásc</v>
      </c>
      <c r="V222" s="392">
        <f t="shared" si="44"/>
        <v>0</v>
      </c>
      <c r="W222" s="870">
        <f>SUM(PROD!AX222:AX228)</f>
        <v>0</v>
      </c>
      <c r="X222" s="492">
        <f>IFERROR(W222/(AA226-AA224),0)</f>
        <v>0</v>
      </c>
      <c r="Y222" s="395" t="s">
        <v>324</v>
      </c>
      <c r="Z222" s="396">
        <f>IFERROR(SUMPRODUCT(V221:V224,W221:W224)/SUM(W221:W224),0)</f>
        <v>0</v>
      </c>
      <c r="AA222" s="397">
        <f>SUM(W221:W224)</f>
        <v>0</v>
      </c>
      <c r="AB222" s="494">
        <f>IF(AA226&gt;0,AA222/AA226,0)</f>
        <v>0</v>
      </c>
    </row>
    <row r="223" spans="1:28" ht="15.75" customHeight="1" x14ac:dyDescent="0.3">
      <c r="A223" s="2301"/>
      <c r="B223" s="399" t="str">
        <f>$B$6</f>
        <v>Bandeja</v>
      </c>
      <c r="C223" s="400">
        <f>C216</f>
        <v>0</v>
      </c>
      <c r="D223" s="387">
        <f>C223*SUM(INVENTARIOS!R221:R227)</f>
        <v>0</v>
      </c>
      <c r="E223" s="383">
        <f>IFERROR(D223/SUM(PROD!L222:L228),0)</f>
        <v>0</v>
      </c>
      <c r="F223" s="384">
        <f>IFERROR(E223/SUM(E221:E227,J221:J227,O221:O226),0)</f>
        <v>0</v>
      </c>
      <c r="G223" s="439" t="str">
        <f>$G$13</f>
        <v>Arrendamientos</v>
      </c>
      <c r="H223" s="401">
        <f t="shared" si="42"/>
        <v>0</v>
      </c>
      <c r="I223" s="390">
        <f t="shared" si="40"/>
        <v>0</v>
      </c>
      <c r="J223" s="383">
        <f>IFERROR(I223/SUM(PROD!L222:L228),0)</f>
        <v>0</v>
      </c>
      <c r="K223" s="384">
        <f>IFERROR(J223/SUM(E221:E227,J221:J227,O221:O226),0)</f>
        <v>0</v>
      </c>
      <c r="L223" s="439" t="str">
        <f>$L$6</f>
        <v>Diversos</v>
      </c>
      <c r="M223" s="401">
        <f t="shared" si="47"/>
        <v>0</v>
      </c>
      <c r="N223" s="390">
        <f>M223*12/52</f>
        <v>0</v>
      </c>
      <c r="O223" s="383">
        <f>IFERROR(N223/SUM(PROD!L222:L228),0)</f>
        <v>0</v>
      </c>
      <c r="P223" s="384">
        <f>IFERROR(O223/SUM(E221:E227,J221:J227,O221:O226),0)</f>
        <v>0</v>
      </c>
      <c r="Q223" s="491" t="str">
        <f>$Q$6</f>
        <v>AA</v>
      </c>
      <c r="R223" s="392">
        <f t="shared" si="43"/>
        <v>0</v>
      </c>
      <c r="S223" s="870">
        <f>SUM(PROD!AO222:AO228)</f>
        <v>0</v>
      </c>
      <c r="T223" s="492">
        <f>IF(AA221&gt;0,S223/AA221,0)</f>
        <v>0</v>
      </c>
      <c r="U223" s="493" t="str">
        <f>$U$6</f>
        <v>Vencido</v>
      </c>
      <c r="V223" s="392">
        <f t="shared" si="44"/>
        <v>0</v>
      </c>
      <c r="W223" s="870">
        <f>SUM(PROD!AY222:AY228)</f>
        <v>0</v>
      </c>
      <c r="X223" s="492">
        <f>IFERROR(W223/(AA226-AA224),0)</f>
        <v>0</v>
      </c>
      <c r="Y223" s="402" t="s">
        <v>391</v>
      </c>
      <c r="Z223" s="456">
        <v>0</v>
      </c>
      <c r="AA223" s="720"/>
      <c r="AB223" s="495">
        <f>IF(AA226&gt;0,AA223/AA226,0)</f>
        <v>0</v>
      </c>
    </row>
    <row r="224" spans="1:28" ht="15.75" customHeight="1" x14ac:dyDescent="0.3">
      <c r="A224" s="2301"/>
      <c r="B224" s="438" t="str">
        <f>$B$7</f>
        <v>Mortalidad Aves</v>
      </c>
      <c r="C224" s="401">
        <f>IF(A221&lt;=$B$2,C222+$C$2,0)</f>
        <v>0</v>
      </c>
      <c r="D224" s="390">
        <f>C224*SUM(PROD!D222:D228)</f>
        <v>0</v>
      </c>
      <c r="E224" s="383">
        <f>IFERROR(D224/SUM(PROD!L222:L228),0)</f>
        <v>0</v>
      </c>
      <c r="F224" s="384">
        <f>IFERROR(E224/SUM(E221:E227,J221:J227,O221:O226),0)</f>
        <v>0</v>
      </c>
      <c r="G224" s="439" t="str">
        <f>$G$14</f>
        <v>Servicios Públicos</v>
      </c>
      <c r="H224" s="401">
        <f t="shared" si="42"/>
        <v>0</v>
      </c>
      <c r="I224" s="390">
        <f t="shared" si="40"/>
        <v>0</v>
      </c>
      <c r="J224" s="383">
        <f>IFERROR(I224/SUM(PROD!L222:L228),0)</f>
        <v>0</v>
      </c>
      <c r="K224" s="384">
        <f>IFERROR(J224/SUM(E221:E227,J221:J227,O221:O226),0)</f>
        <v>0</v>
      </c>
      <c r="L224" s="441" t="str">
        <f>$L$7</f>
        <v>Administrativos</v>
      </c>
      <c r="M224" s="401">
        <f t="shared" si="47"/>
        <v>0</v>
      </c>
      <c r="N224" s="404">
        <f>M224*0.230769230769231</f>
        <v>0</v>
      </c>
      <c r="O224" s="383">
        <f>IFERROR(N224/SUM(PROD!L222:L228),0)</f>
        <v>0</v>
      </c>
      <c r="P224" s="384">
        <f>IFERROR(O224/SUM(E221:E227,J221:J227,O221:O226),0)</f>
        <v>0</v>
      </c>
      <c r="Q224" s="491" t="str">
        <f>$Q$7</f>
        <v>A</v>
      </c>
      <c r="R224" s="392">
        <f t="shared" si="43"/>
        <v>0</v>
      </c>
      <c r="S224" s="870">
        <f>SUM(PROD!AP222:AP228)</f>
        <v>0</v>
      </c>
      <c r="T224" s="492">
        <f>IF(AA221&gt;0,S224/AA221,0)</f>
        <v>0</v>
      </c>
      <c r="U224" s="405" t="str">
        <f>$U$7</f>
        <v>Roto</v>
      </c>
      <c r="V224" s="406">
        <f t="shared" si="44"/>
        <v>0</v>
      </c>
      <c r="W224" s="872">
        <f>SUM(PROD!AZ222:AZ228)</f>
        <v>0</v>
      </c>
      <c r="X224" s="407">
        <f>IFERROR(W224/(AA226-AA224),0)</f>
        <v>0</v>
      </c>
      <c r="Y224" s="408" t="s">
        <v>359</v>
      </c>
      <c r="Z224" s="442">
        <v>215</v>
      </c>
      <c r="AA224" s="410">
        <f>SUM(PROD!L222:L228)-SUM(W221:W227)-SUM(S221:S227)-AA223</f>
        <v>0</v>
      </c>
      <c r="AB224" s="496">
        <f>IF(AA226&gt;0,AA224/AA226,0)</f>
        <v>0</v>
      </c>
    </row>
    <row r="225" spans="1:28" ht="15.75" customHeight="1" x14ac:dyDescent="0.3">
      <c r="A225" s="2301"/>
      <c r="B225" s="399" t="str">
        <f>$B$8</f>
        <v>Materia Prima (Carb Ca, etc.)</v>
      </c>
      <c r="C225" s="440">
        <f>C218</f>
        <v>0</v>
      </c>
      <c r="D225" s="387">
        <f>C225*12/52</f>
        <v>0</v>
      </c>
      <c r="E225" s="383">
        <f>IFERROR(D225/SUM(PROD!L222:L228),0)</f>
        <v>0</v>
      </c>
      <c r="F225" s="384">
        <f>IFERROR(E225/SUM(E221:E227,J221:J227,O221:O226),0)</f>
        <v>0</v>
      </c>
      <c r="G225" s="441" t="str">
        <f>$G$15</f>
        <v>Gastos Legales</v>
      </c>
      <c r="H225" s="401">
        <f t="shared" si="42"/>
        <v>0</v>
      </c>
      <c r="I225" s="390">
        <f t="shared" si="40"/>
        <v>0</v>
      </c>
      <c r="J225" s="383">
        <f>IFERROR(I225/SUM(PROD!L222:L228),0)</f>
        <v>0</v>
      </c>
      <c r="K225" s="384">
        <f>IFERROR(J225/SUM(E221:E227,J221:J227,O221:O226),0)</f>
        <v>0</v>
      </c>
      <c r="L225" s="439" t="str">
        <f>$L$8</f>
        <v>Fletes</v>
      </c>
      <c r="M225" s="401">
        <f t="shared" si="47"/>
        <v>0</v>
      </c>
      <c r="N225" s="404">
        <f>M225*0.230769230769231</f>
        <v>0</v>
      </c>
      <c r="O225" s="383">
        <f>IFERROR(N225/SUM(PROD!L222:L228),0)</f>
        <v>0</v>
      </c>
      <c r="P225" s="384">
        <f>IFERROR(O225/SUM(E221:E227,J221:J227,O221:O226),0)</f>
        <v>0</v>
      </c>
      <c r="Q225" s="491" t="str">
        <f>$Q$8</f>
        <v>B</v>
      </c>
      <c r="R225" s="392">
        <f t="shared" si="43"/>
        <v>0</v>
      </c>
      <c r="S225" s="870">
        <f>SUM(PROD!AQ222:AQ228)</f>
        <v>0</v>
      </c>
      <c r="T225" s="492">
        <f>IF(AA221&gt;0,S225/AA221,0)</f>
        <v>0</v>
      </c>
      <c r="U225" s="395" t="str">
        <f>$U$8</f>
        <v>Rev. Gr.</v>
      </c>
      <c r="V225" s="412">
        <f t="shared" si="44"/>
        <v>0</v>
      </c>
      <c r="W225" s="873">
        <f>SUM(PROD!AT222:AT228)</f>
        <v>0</v>
      </c>
      <c r="X225" s="413">
        <f>IFERROR(W225/(AA226-AA224),0)</f>
        <v>0</v>
      </c>
      <c r="Y225" s="414" t="s">
        <v>262</v>
      </c>
      <c r="Z225" s="415">
        <f>IFERROR(SUMPRODUCT(V225:V227,W225:W227)/SUM(W225:W227),0)</f>
        <v>0</v>
      </c>
      <c r="AA225" s="416">
        <f>SUM(W225:W227)</f>
        <v>0</v>
      </c>
      <c r="AB225" s="497">
        <f>IF(AA226&gt;0,AA225/AA226,0)</f>
        <v>0</v>
      </c>
    </row>
    <row r="226" spans="1:28" ht="15.75" customHeight="1" x14ac:dyDescent="0.3">
      <c r="A226" s="2301"/>
      <c r="B226" s="438" t="str">
        <f>$B$9</f>
        <v>Vacunas y medicamentos</v>
      </c>
      <c r="C226" s="443">
        <f>C219</f>
        <v>0</v>
      </c>
      <c r="D226" s="387">
        <f>C226*12/52</f>
        <v>0</v>
      </c>
      <c r="E226" s="383">
        <f>IFERROR(D226/SUM(PROD!L222:L228),0)</f>
        <v>0</v>
      </c>
      <c r="F226" s="384">
        <f>IFERROR(E226/SUM(E221:E227,J221:J227,O221:O226),0)</f>
        <v>0</v>
      </c>
      <c r="G226" s="441" t="str">
        <f>$G$16</f>
        <v>Mantenimiento y Reparaciones</v>
      </c>
      <c r="H226" s="401">
        <f t="shared" si="42"/>
        <v>0</v>
      </c>
      <c r="I226" s="390">
        <f t="shared" si="40"/>
        <v>0</v>
      </c>
      <c r="J226" s="383">
        <f>IFERROR(I226/SUM(PROD!L222:L228),0)</f>
        <v>0</v>
      </c>
      <c r="K226" s="384">
        <f>IFERROR(J226/SUM(E221:E227,J221:J227,O221:O226),0)</f>
        <v>0</v>
      </c>
      <c r="L226" s="439">
        <f>$L$9</f>
        <v>0</v>
      </c>
      <c r="M226" s="401">
        <f t="shared" si="47"/>
        <v>0</v>
      </c>
      <c r="N226" s="404">
        <f>M226*0.230769230769231</f>
        <v>0</v>
      </c>
      <c r="O226" s="383">
        <f>IFERROR(N226/SUM(PROD!L222:L228),0)</f>
        <v>0</v>
      </c>
      <c r="P226" s="384">
        <f>IFERROR(O226/SUM(E221:E227,J221:J227,O221:O226),0)</f>
        <v>0</v>
      </c>
      <c r="Q226" s="491" t="str">
        <f>$Q$9</f>
        <v>C</v>
      </c>
      <c r="R226" s="392">
        <f t="shared" si="43"/>
        <v>0</v>
      </c>
      <c r="S226" s="870">
        <f>SUM(PROD!AR222:AR228)</f>
        <v>0</v>
      </c>
      <c r="T226" s="492">
        <f>IF(AA221&gt;0,S226/AA221,0)</f>
        <v>0</v>
      </c>
      <c r="U226" s="493" t="str">
        <f>$U$9</f>
        <v>Rev. Med</v>
      </c>
      <c r="V226" s="392">
        <f t="shared" si="44"/>
        <v>0</v>
      </c>
      <c r="W226" s="870">
        <f>SUM(PROD!AU222:AU228)</f>
        <v>0</v>
      </c>
      <c r="X226" s="498">
        <f>IFERROR(W226/(AA226-AA224),0)</f>
        <v>0</v>
      </c>
      <c r="Y226" s="2303" t="s">
        <v>325</v>
      </c>
      <c r="Z226" s="2305">
        <f>SUMPRODUCT(Z221:Z225,AB221:AB225)</f>
        <v>0</v>
      </c>
      <c r="AA226" s="2307">
        <f>SUM(AA221:AA224)</f>
        <v>0</v>
      </c>
      <c r="AB226" s="2308"/>
    </row>
    <row r="227" spans="1:28" ht="16.5" customHeight="1" thickBot="1" x14ac:dyDescent="0.35">
      <c r="A227" s="2302"/>
      <c r="B227" s="444" t="str">
        <f>$B$10</f>
        <v>Gastos de Personal</v>
      </c>
      <c r="C227" s="445">
        <f>C220</f>
        <v>0</v>
      </c>
      <c r="D227" s="421">
        <f>C227*12/52</f>
        <v>0</v>
      </c>
      <c r="E227" s="446">
        <f>IFERROR(D227/SUM(PROD!L222:L228),0)</f>
        <v>0</v>
      </c>
      <c r="F227" s="447">
        <f>IFERROR(E227/SUM(E221:E227,J221:J227,O221:O226),0)</f>
        <v>0</v>
      </c>
      <c r="G227" s="448" t="str">
        <f>$G$17</f>
        <v>Adecuación Instalaciones</v>
      </c>
      <c r="H227" s="445">
        <f t="shared" si="42"/>
        <v>0</v>
      </c>
      <c r="I227" s="426">
        <f t="shared" si="40"/>
        <v>0</v>
      </c>
      <c r="J227" s="446">
        <f>IFERROR(I227/SUM(PROD!L222:L228),0)</f>
        <v>0</v>
      </c>
      <c r="K227" s="447">
        <f>IFERROR(J227/SUM(E221:E227,J221:J227,O221:O226),0)</f>
        <v>0</v>
      </c>
      <c r="L227" s="2311" t="str">
        <f>$L$10</f>
        <v>TOTAL COSTO PRODUCCIÓN</v>
      </c>
      <c r="M227" s="2312"/>
      <c r="N227" s="427">
        <f>SUM(D221:D227,I221:I227,N221:N226)</f>
        <v>0</v>
      </c>
      <c r="O227" s="449">
        <f>IFERROR(N227/SUM(PROD!L222:L228),0)</f>
        <v>0</v>
      </c>
      <c r="P227" s="447">
        <f>IFERROR(O227/SUM(E221:E227,J221:J227,O221:O226),0)</f>
        <v>0</v>
      </c>
      <c r="Q227" s="429" t="str">
        <f>$Q$10</f>
        <v>D</v>
      </c>
      <c r="R227" s="499">
        <f t="shared" si="43"/>
        <v>0</v>
      </c>
      <c r="S227" s="871">
        <f>SUM(PROD!AS222:AS228)</f>
        <v>0</v>
      </c>
      <c r="T227" s="431">
        <f>IF(AA221&gt;0,S227/AA221,0)</f>
        <v>0</v>
      </c>
      <c r="U227" s="432" t="str">
        <f>$U$10</f>
        <v>Rev. Peq</v>
      </c>
      <c r="V227" s="499">
        <f t="shared" si="44"/>
        <v>0</v>
      </c>
      <c r="W227" s="871">
        <f>SUM(PROD!AV222:AV228)</f>
        <v>0</v>
      </c>
      <c r="X227" s="431">
        <f>IFERROR(W227/(AA226-AA224),0)</f>
        <v>0</v>
      </c>
      <c r="Y227" s="2304"/>
      <c r="Z227" s="2306"/>
      <c r="AA227" s="2309"/>
      <c r="AB227" s="2310"/>
    </row>
    <row r="228" spans="1:28" ht="16.5" customHeight="1" x14ac:dyDescent="0.3">
      <c r="A228" s="2300">
        <f>A221+1</f>
        <v>50</v>
      </c>
      <c r="B228" s="433" t="str">
        <f>$B$4</f>
        <v>ALIMENTO Kilos</v>
      </c>
      <c r="C228" s="435">
        <f>LOOKUP($A228,PROD!$A$5:$A$725,PROD!$AH$10:$AH$730)</f>
        <v>0</v>
      </c>
      <c r="D228" s="368">
        <f>C228*LOOKUP($A228,'Pr-Sem'!$A$6:$A$108,'Pr-Sem'!$N$6:$N$108)/(PROD!$A$1/1000)</f>
        <v>0</v>
      </c>
      <c r="E228" s="369">
        <f>IFERROR(D228/SUM(PROD!L229:L235),0)</f>
        <v>0</v>
      </c>
      <c r="F228" s="370">
        <f>IFERROR(E228/SUM(E228:E234,J228:J234,O228:O233),0)</f>
        <v>0</v>
      </c>
      <c r="G228" s="434" t="str">
        <f>$G$11</f>
        <v>Honorarios</v>
      </c>
      <c r="H228" s="435">
        <f t="shared" si="42"/>
        <v>0</v>
      </c>
      <c r="I228" s="372">
        <f t="shared" si="40"/>
        <v>0</v>
      </c>
      <c r="J228" s="369">
        <f>IFERROR(I228/SUM(PROD!L229:L235),0)</f>
        <v>0</v>
      </c>
      <c r="K228" s="370">
        <f>IFERROR(J228/SUM(E228:E234,J228:J234,O228:O233),0)</f>
        <v>0</v>
      </c>
      <c r="L228" s="436" t="str">
        <f>$L$4</f>
        <v>Gastos de Viaje</v>
      </c>
      <c r="M228" s="435">
        <f t="shared" ref="M228:M233" si="48">M221</f>
        <v>0</v>
      </c>
      <c r="N228" s="372">
        <f>M228*12/52</f>
        <v>0</v>
      </c>
      <c r="O228" s="369">
        <f>IFERROR(N228/SUM(PROD!L229:L235),0)</f>
        <v>0</v>
      </c>
      <c r="P228" s="370">
        <f>IFERROR(O228/SUM(E228:E234,J228:J234,O228:O233),0)</f>
        <v>0</v>
      </c>
      <c r="Q228" s="373" t="str">
        <f>$Q$4</f>
        <v>AAAA</v>
      </c>
      <c r="R228" s="374">
        <f t="shared" si="43"/>
        <v>0</v>
      </c>
      <c r="S228" s="869">
        <f>SUM(PROD!AM229:AM235)</f>
        <v>0</v>
      </c>
      <c r="T228" s="375">
        <f>IF(AA228&gt;0,S228/AA228,0)</f>
        <v>0</v>
      </c>
      <c r="U228" s="376" t="str">
        <f>$U$4</f>
        <v>Prob Color</v>
      </c>
      <c r="V228" s="374">
        <f t="shared" si="44"/>
        <v>0</v>
      </c>
      <c r="W228" s="869">
        <f>SUM(PROD!AW229:AW235)</f>
        <v>0</v>
      </c>
      <c r="X228" s="375">
        <f>IFERROR(W228/(AA233-AA231),0)</f>
        <v>0</v>
      </c>
      <c r="Y228" s="377" t="s">
        <v>323</v>
      </c>
      <c r="Z228" s="378">
        <f>SUMPRODUCT(R228:R234,T228:T234)</f>
        <v>0</v>
      </c>
      <c r="AA228" s="379">
        <f>SUM(S228:S234)</f>
        <v>0</v>
      </c>
      <c r="AB228" s="490">
        <f>IF(AA233&gt;0,AA228/AA233,0)</f>
        <v>0</v>
      </c>
    </row>
    <row r="229" spans="1:28" ht="15.75" customHeight="1" x14ac:dyDescent="0.3">
      <c r="A229" s="2301"/>
      <c r="B229" s="438" t="str">
        <f>$B$5</f>
        <v>Amortización de Aves</v>
      </c>
      <c r="C229" s="381">
        <f>IFERROR((C222-(D229/'Pr-Sem'!$O$2)),0)</f>
        <v>0</v>
      </c>
      <c r="D229" s="382">
        <f>SUM(PROD!L229:L235)*E229</f>
        <v>0</v>
      </c>
      <c r="E229" s="383">
        <f>IF(SUM(PROD!L229:L235)&gt;0,IFERROR(($C$1-$C$2)/LOOKUP($B$2,'Pr-Sem'!$A$6:$A$108,'Pr-Sem'!$L$6:$L$108)*(LOOKUP(INVENTARIOS!$A228,'Pr-Sem'!$A$6:$A$108,'Pr-Sem'!$L$6:$L$108)-LOOKUP(INVENTARIOS!$A228-1,'Pr-Sem'!$A$6:$A$108,'Pr-Sem'!$L$6:$L$108))/(LOOKUP(INVENTARIOS!$A228,'Pr-Sem'!$A$6:$A$108,'Pr-Sem'!$K$6:$K$108)-LOOKUP(INVENTARIOS!$A228-1,'Pr-Sem'!$A$6:$A$108,'Pr-Sem'!$K$6:$K$108)),0),0)</f>
        <v>0</v>
      </c>
      <c r="F229" s="384">
        <f>IFERROR(E229/SUM(E228:E234,J228:J234,O228:O233),0)</f>
        <v>0</v>
      </c>
      <c r="G229" s="439" t="str">
        <f>$G$12</f>
        <v>Impuestos</v>
      </c>
      <c r="H229" s="440">
        <f t="shared" si="42"/>
        <v>0</v>
      </c>
      <c r="I229" s="387">
        <f t="shared" si="40"/>
        <v>0</v>
      </c>
      <c r="J229" s="383">
        <f>IFERROR(I229/SUM(PROD!L229:L235),0)</f>
        <v>0</v>
      </c>
      <c r="K229" s="384">
        <f>IFERROR(J229/SUM(E228:E234,J228:J234,O228:O233),0)</f>
        <v>0</v>
      </c>
      <c r="L229" s="439" t="str">
        <f>$L$5</f>
        <v>Depreciaciones</v>
      </c>
      <c r="M229" s="401">
        <f t="shared" si="48"/>
        <v>0</v>
      </c>
      <c r="N229" s="390">
        <f>M229*12/52</f>
        <v>0</v>
      </c>
      <c r="O229" s="383">
        <f>IFERROR(N229/SUM(PROD!L229:L235),0)</f>
        <v>0</v>
      </c>
      <c r="P229" s="384">
        <f>IFERROR(O229/SUM(E228:E234,J228:J234,O228:O233),0)</f>
        <v>0</v>
      </c>
      <c r="Q229" s="491" t="str">
        <f>$Q$5</f>
        <v>AAA</v>
      </c>
      <c r="R229" s="392">
        <f t="shared" si="43"/>
        <v>0</v>
      </c>
      <c r="S229" s="870">
        <f>SUM(PROD!AN229:AN235)</f>
        <v>0</v>
      </c>
      <c r="T229" s="492">
        <f>IF(AA228&gt;0,S229/AA228,0)</f>
        <v>0</v>
      </c>
      <c r="U229" s="493" t="str">
        <f>$U$5</f>
        <v>Prob Cásc</v>
      </c>
      <c r="V229" s="392">
        <f t="shared" si="44"/>
        <v>0</v>
      </c>
      <c r="W229" s="870">
        <f>SUM(PROD!AX229:AX235)</f>
        <v>0</v>
      </c>
      <c r="X229" s="492">
        <f>IFERROR(W229/(AA233-AA231),0)</f>
        <v>0</v>
      </c>
      <c r="Y229" s="395" t="s">
        <v>324</v>
      </c>
      <c r="Z229" s="396">
        <f>IFERROR(SUMPRODUCT(V228:V231,W228:W231)/SUM(W228:W231),0)</f>
        <v>0</v>
      </c>
      <c r="AA229" s="397">
        <f>SUM(W228:W231)</f>
        <v>0</v>
      </c>
      <c r="AB229" s="494">
        <f>IF(AA233&gt;0,AA229/AA233,0)</f>
        <v>0</v>
      </c>
    </row>
    <row r="230" spans="1:28" ht="15.75" customHeight="1" x14ac:dyDescent="0.3">
      <c r="A230" s="2301"/>
      <c r="B230" s="399" t="str">
        <f>$B$6</f>
        <v>Bandeja</v>
      </c>
      <c r="C230" s="400">
        <f>C223</f>
        <v>0</v>
      </c>
      <c r="D230" s="387">
        <f>C230*SUM(INVENTARIOS!R228:R234)</f>
        <v>0</v>
      </c>
      <c r="E230" s="383">
        <f>IFERROR(D230/SUM(PROD!L229:L235),0)</f>
        <v>0</v>
      </c>
      <c r="F230" s="384">
        <f>IFERROR(E230/SUM(E228:E234,J228:J234,O228:O233),0)</f>
        <v>0</v>
      </c>
      <c r="G230" s="439" t="str">
        <f>$G$13</f>
        <v>Arrendamientos</v>
      </c>
      <c r="H230" s="401">
        <f t="shared" si="42"/>
        <v>0</v>
      </c>
      <c r="I230" s="390">
        <f t="shared" si="40"/>
        <v>0</v>
      </c>
      <c r="J230" s="383">
        <f>IFERROR(I230/SUM(PROD!L229:L235),0)</f>
        <v>0</v>
      </c>
      <c r="K230" s="384">
        <f>IFERROR(J230/SUM(E228:E234,J228:J234,O228:O233),0)</f>
        <v>0</v>
      </c>
      <c r="L230" s="439" t="str">
        <f>$L$6</f>
        <v>Diversos</v>
      </c>
      <c r="M230" s="401">
        <f t="shared" si="48"/>
        <v>0</v>
      </c>
      <c r="N230" s="390">
        <f>M230*12/52</f>
        <v>0</v>
      </c>
      <c r="O230" s="383">
        <f>IFERROR(N230/SUM(PROD!L229:L235),0)</f>
        <v>0</v>
      </c>
      <c r="P230" s="384">
        <f>IFERROR(O230/SUM(E228:E234,J228:J234,O228:O233),0)</f>
        <v>0</v>
      </c>
      <c r="Q230" s="491" t="str">
        <f>$Q$6</f>
        <v>AA</v>
      </c>
      <c r="R230" s="392">
        <f t="shared" si="43"/>
        <v>0</v>
      </c>
      <c r="S230" s="870">
        <f>SUM(PROD!AO229:AO235)</f>
        <v>0</v>
      </c>
      <c r="T230" s="492">
        <f>IF(AA228&gt;0,S230/AA228,0)</f>
        <v>0</v>
      </c>
      <c r="U230" s="493" t="str">
        <f>$U$6</f>
        <v>Vencido</v>
      </c>
      <c r="V230" s="392">
        <f t="shared" si="44"/>
        <v>0</v>
      </c>
      <c r="W230" s="870">
        <f>SUM(PROD!AY229:AY235)</f>
        <v>0</v>
      </c>
      <c r="X230" s="492">
        <f>IFERROR(W230/(AA233-AA231),0)</f>
        <v>0</v>
      </c>
      <c r="Y230" s="402" t="s">
        <v>391</v>
      </c>
      <c r="Z230" s="456">
        <v>0</v>
      </c>
      <c r="AA230" s="720"/>
      <c r="AB230" s="495">
        <f>IF(AA233&gt;0,AA230/AA233,0)</f>
        <v>0</v>
      </c>
    </row>
    <row r="231" spans="1:28" ht="15.75" customHeight="1" x14ac:dyDescent="0.3">
      <c r="A231" s="2301"/>
      <c r="B231" s="438" t="str">
        <f>$B$7</f>
        <v>Mortalidad Aves</v>
      </c>
      <c r="C231" s="401">
        <f>IF(A228&lt;=$B$2,C229+$C$2,0)</f>
        <v>0</v>
      </c>
      <c r="D231" s="390">
        <f>C231*SUM(PROD!D229:D235)</f>
        <v>0</v>
      </c>
      <c r="E231" s="383">
        <f>IFERROR(D231/SUM(PROD!L229:L235),0)</f>
        <v>0</v>
      </c>
      <c r="F231" s="384">
        <f>IFERROR(E231/SUM(E228:E234,J228:J234,O228:O233),0)</f>
        <v>0</v>
      </c>
      <c r="G231" s="439" t="str">
        <f>$G$14</f>
        <v>Servicios Públicos</v>
      </c>
      <c r="H231" s="401">
        <f t="shared" si="42"/>
        <v>0</v>
      </c>
      <c r="I231" s="390">
        <f t="shared" si="40"/>
        <v>0</v>
      </c>
      <c r="J231" s="383">
        <f>IFERROR(I231/SUM(PROD!L229:L235),0)</f>
        <v>0</v>
      </c>
      <c r="K231" s="384">
        <f>IFERROR(J231/SUM(E228:E234,J228:J234,O228:O233),0)</f>
        <v>0</v>
      </c>
      <c r="L231" s="441" t="str">
        <f>$L$7</f>
        <v>Administrativos</v>
      </c>
      <c r="M231" s="401">
        <f t="shared" si="48"/>
        <v>0</v>
      </c>
      <c r="N231" s="404">
        <f>M231*0.230769230769231</f>
        <v>0</v>
      </c>
      <c r="O231" s="383">
        <f>IFERROR(N231/SUM(PROD!L229:L235),0)</f>
        <v>0</v>
      </c>
      <c r="P231" s="384">
        <f>IFERROR(O231/SUM(E228:E234,J228:J234,O228:O233),0)</f>
        <v>0</v>
      </c>
      <c r="Q231" s="491" t="str">
        <f>$Q$7</f>
        <v>A</v>
      </c>
      <c r="R231" s="392">
        <f t="shared" si="43"/>
        <v>0</v>
      </c>
      <c r="S231" s="870">
        <f>SUM(PROD!AP229:AP235)</f>
        <v>0</v>
      </c>
      <c r="T231" s="492">
        <f>IF(AA228&gt;0,S231/AA228,0)</f>
        <v>0</v>
      </c>
      <c r="U231" s="405" t="str">
        <f>$U$7</f>
        <v>Roto</v>
      </c>
      <c r="V231" s="406">
        <f t="shared" si="44"/>
        <v>0</v>
      </c>
      <c r="W231" s="872">
        <f>SUM(PROD!AZ229:AZ235)</f>
        <v>0</v>
      </c>
      <c r="X231" s="407">
        <f>IFERROR(W231/(AA233-AA231),0)</f>
        <v>0</v>
      </c>
      <c r="Y231" s="408" t="s">
        <v>359</v>
      </c>
      <c r="Z231" s="442">
        <v>215</v>
      </c>
      <c r="AA231" s="410">
        <f>SUM(PROD!L229:L235)-SUM(W228:W234)-SUM(S228:S234)-AA230</f>
        <v>0</v>
      </c>
      <c r="AB231" s="496">
        <f>IF(AA233&gt;0,AA231/AA233,0)</f>
        <v>0</v>
      </c>
    </row>
    <row r="232" spans="1:28" ht="15.75" customHeight="1" x14ac:dyDescent="0.3">
      <c r="A232" s="2301"/>
      <c r="B232" s="399" t="str">
        <f>$B$8</f>
        <v>Materia Prima (Carb Ca, etc.)</v>
      </c>
      <c r="C232" s="440">
        <f>C225</f>
        <v>0</v>
      </c>
      <c r="D232" s="387">
        <f>C232*12/52</f>
        <v>0</v>
      </c>
      <c r="E232" s="383">
        <f>IFERROR(D232/SUM(PROD!L229:L235),0)</f>
        <v>0</v>
      </c>
      <c r="F232" s="384">
        <f>IFERROR(E232/SUM(E228:E234,J228:J234,O228:O233),0)</f>
        <v>0</v>
      </c>
      <c r="G232" s="441" t="str">
        <f>$G$15</f>
        <v>Gastos Legales</v>
      </c>
      <c r="H232" s="401">
        <f t="shared" si="42"/>
        <v>0</v>
      </c>
      <c r="I232" s="390">
        <f t="shared" si="40"/>
        <v>0</v>
      </c>
      <c r="J232" s="383">
        <f>IFERROR(I232/SUM(PROD!L229:L235),0)</f>
        <v>0</v>
      </c>
      <c r="K232" s="384">
        <f>IFERROR(J232/SUM(E228:E234,J228:J234,O228:O233),0)</f>
        <v>0</v>
      </c>
      <c r="L232" s="439" t="str">
        <f>$L$8</f>
        <v>Fletes</v>
      </c>
      <c r="M232" s="401">
        <f t="shared" si="48"/>
        <v>0</v>
      </c>
      <c r="N232" s="404">
        <f>M232*0.230769230769231</f>
        <v>0</v>
      </c>
      <c r="O232" s="383">
        <f>IFERROR(N232/SUM(PROD!L229:L235),0)</f>
        <v>0</v>
      </c>
      <c r="P232" s="384">
        <f>IFERROR(O232/SUM(E228:E234,J228:J234,O228:O233),0)</f>
        <v>0</v>
      </c>
      <c r="Q232" s="491" t="str">
        <f>$Q$8</f>
        <v>B</v>
      </c>
      <c r="R232" s="392">
        <f t="shared" si="43"/>
        <v>0</v>
      </c>
      <c r="S232" s="870">
        <f>SUM(PROD!AQ229:AQ235)</f>
        <v>0</v>
      </c>
      <c r="T232" s="492">
        <f>IF(AA228&gt;0,S232/AA228,0)</f>
        <v>0</v>
      </c>
      <c r="U232" s="395" t="str">
        <f>$U$8</f>
        <v>Rev. Gr.</v>
      </c>
      <c r="V232" s="412">
        <f t="shared" si="44"/>
        <v>0</v>
      </c>
      <c r="W232" s="873">
        <f>SUM(PROD!AT229:AT235)</f>
        <v>0</v>
      </c>
      <c r="X232" s="413">
        <f>IFERROR(W232/(AA233-AA231),0)</f>
        <v>0</v>
      </c>
      <c r="Y232" s="414" t="s">
        <v>262</v>
      </c>
      <c r="Z232" s="415">
        <f>IFERROR(SUMPRODUCT(V232:V234,W232:W234)/SUM(W232:W234),0)</f>
        <v>0</v>
      </c>
      <c r="AA232" s="416">
        <f>SUM(W232:W234)</f>
        <v>0</v>
      </c>
      <c r="AB232" s="497">
        <f>IF(AA233&gt;0,AA232/AA233,0)</f>
        <v>0</v>
      </c>
    </row>
    <row r="233" spans="1:28" ht="15.75" customHeight="1" x14ac:dyDescent="0.3">
      <c r="A233" s="2301"/>
      <c r="B233" s="438" t="str">
        <f>$B$9</f>
        <v>Vacunas y medicamentos</v>
      </c>
      <c r="C233" s="443">
        <f>C226</f>
        <v>0</v>
      </c>
      <c r="D233" s="387">
        <f>C233*12/52</f>
        <v>0</v>
      </c>
      <c r="E233" s="383">
        <f>IFERROR(D233/SUM(PROD!L229:L235),0)</f>
        <v>0</v>
      </c>
      <c r="F233" s="384">
        <f>IFERROR(E233/SUM(E228:E234,J228:J234,O228:O233),0)</f>
        <v>0</v>
      </c>
      <c r="G233" s="441" t="str">
        <f>$G$16</f>
        <v>Mantenimiento y Reparaciones</v>
      </c>
      <c r="H233" s="401">
        <f t="shared" si="42"/>
        <v>0</v>
      </c>
      <c r="I233" s="390">
        <f t="shared" si="40"/>
        <v>0</v>
      </c>
      <c r="J233" s="383">
        <f>IFERROR(I233/SUM(PROD!L229:L235),0)</f>
        <v>0</v>
      </c>
      <c r="K233" s="384">
        <f>IFERROR(J233/SUM(E228:E234,J228:J234,O228:O233),0)</f>
        <v>0</v>
      </c>
      <c r="L233" s="439">
        <f>$L$9</f>
        <v>0</v>
      </c>
      <c r="M233" s="401">
        <f t="shared" si="48"/>
        <v>0</v>
      </c>
      <c r="N233" s="404">
        <f>M233*0.230769230769231</f>
        <v>0</v>
      </c>
      <c r="O233" s="383">
        <f>IFERROR(N233/SUM(PROD!L229:L235),0)</f>
        <v>0</v>
      </c>
      <c r="P233" s="384">
        <f>IFERROR(O233/SUM(E228:E234,J228:J234,O228:O233),0)</f>
        <v>0</v>
      </c>
      <c r="Q233" s="491" t="str">
        <f>$Q$9</f>
        <v>C</v>
      </c>
      <c r="R233" s="392">
        <f t="shared" si="43"/>
        <v>0</v>
      </c>
      <c r="S233" s="870">
        <f>SUM(PROD!AR229:AR235)</f>
        <v>0</v>
      </c>
      <c r="T233" s="492">
        <f>IF(AA228&gt;0,S233/AA228,0)</f>
        <v>0</v>
      </c>
      <c r="U233" s="493" t="str">
        <f>$U$9</f>
        <v>Rev. Med</v>
      </c>
      <c r="V233" s="392">
        <f t="shared" si="44"/>
        <v>0</v>
      </c>
      <c r="W233" s="870">
        <f>SUM(PROD!AU229:AU235)</f>
        <v>0</v>
      </c>
      <c r="X233" s="498">
        <f>IFERROR(W233/(AA233-AA231),0)</f>
        <v>0</v>
      </c>
      <c r="Y233" s="2303" t="s">
        <v>325</v>
      </c>
      <c r="Z233" s="2305">
        <f>SUMPRODUCT(Z228:Z232,AB228:AB232)</f>
        <v>0</v>
      </c>
      <c r="AA233" s="2307">
        <f>SUM(AA228:AA231)</f>
        <v>0</v>
      </c>
      <c r="AB233" s="2308"/>
    </row>
    <row r="234" spans="1:28" ht="16.5" customHeight="1" thickBot="1" x14ac:dyDescent="0.35">
      <c r="A234" s="2302"/>
      <c r="B234" s="444" t="str">
        <f>$B$10</f>
        <v>Gastos de Personal</v>
      </c>
      <c r="C234" s="445">
        <f>C227</f>
        <v>0</v>
      </c>
      <c r="D234" s="421">
        <f>C234*12/52</f>
        <v>0</v>
      </c>
      <c r="E234" s="446">
        <f>IFERROR(D234/SUM(PROD!L229:L235),0)</f>
        <v>0</v>
      </c>
      <c r="F234" s="447">
        <f>IFERROR(E234/SUM(E228:E234,J228:J234,O228:O233),0)</f>
        <v>0</v>
      </c>
      <c r="G234" s="448" t="str">
        <f>$G$17</f>
        <v>Adecuación Instalaciones</v>
      </c>
      <c r="H234" s="445">
        <f t="shared" si="42"/>
        <v>0</v>
      </c>
      <c r="I234" s="426">
        <f t="shared" si="40"/>
        <v>0</v>
      </c>
      <c r="J234" s="446">
        <f>IFERROR(I234/SUM(PROD!L229:L235),0)</f>
        <v>0</v>
      </c>
      <c r="K234" s="447">
        <f>IFERROR(J234/SUM(E228:E234,J228:J234,O228:O233),0)</f>
        <v>0</v>
      </c>
      <c r="L234" s="2311" t="str">
        <f>$L$10</f>
        <v>TOTAL COSTO PRODUCCIÓN</v>
      </c>
      <c r="M234" s="2312"/>
      <c r="N234" s="427">
        <f>SUM(D228:D234,I228:I234,N228:N233)</f>
        <v>0</v>
      </c>
      <c r="O234" s="449">
        <f>IFERROR(N234/SUM(PROD!L229:L235),0)</f>
        <v>0</v>
      </c>
      <c r="P234" s="447">
        <f>IFERROR(O234/SUM(E228:E234,J228:J234,O228:O233),0)</f>
        <v>0</v>
      </c>
      <c r="Q234" s="429" t="str">
        <f>$Q$10</f>
        <v>D</v>
      </c>
      <c r="R234" s="499">
        <f t="shared" si="43"/>
        <v>0</v>
      </c>
      <c r="S234" s="871">
        <f>SUM(PROD!AS229:AS235)</f>
        <v>0</v>
      </c>
      <c r="T234" s="431">
        <f>IF(AA228&gt;0,S234/AA228,0)</f>
        <v>0</v>
      </c>
      <c r="U234" s="432" t="str">
        <f>$U$10</f>
        <v>Rev. Peq</v>
      </c>
      <c r="V234" s="499">
        <f t="shared" si="44"/>
        <v>0</v>
      </c>
      <c r="W234" s="871">
        <f>SUM(PROD!AV229:AV235)</f>
        <v>0</v>
      </c>
      <c r="X234" s="431">
        <f>IFERROR(W234/(AA233-AA231),0)</f>
        <v>0</v>
      </c>
      <c r="Y234" s="2304"/>
      <c r="Z234" s="2306"/>
      <c r="AA234" s="2309"/>
      <c r="AB234" s="2310"/>
    </row>
    <row r="235" spans="1:28" ht="16.5" customHeight="1" x14ac:dyDescent="0.3">
      <c r="A235" s="2300">
        <f>A228+1</f>
        <v>51</v>
      </c>
      <c r="B235" s="433" t="str">
        <f>$B$4</f>
        <v>ALIMENTO Kilos</v>
      </c>
      <c r="C235" s="435">
        <f>LOOKUP($A235,PROD!$A$5:$A$725,PROD!$AH$10:$AH$730)</f>
        <v>0</v>
      </c>
      <c r="D235" s="368">
        <f>C235*LOOKUP($A235,'Pr-Sem'!$A$6:$A$108,'Pr-Sem'!$N$6:$N$108)/(PROD!$A$1/1000)</f>
        <v>0</v>
      </c>
      <c r="E235" s="369">
        <f>IFERROR(D235/SUM(PROD!L236:L242),0)</f>
        <v>0</v>
      </c>
      <c r="F235" s="370">
        <f>IFERROR(E235/SUM(E235:E241,J235:J241,O235:O240),0)</f>
        <v>0</v>
      </c>
      <c r="G235" s="434" t="str">
        <f>$G$11</f>
        <v>Honorarios</v>
      </c>
      <c r="H235" s="435">
        <f t="shared" si="42"/>
        <v>0</v>
      </c>
      <c r="I235" s="372">
        <f t="shared" si="40"/>
        <v>0</v>
      </c>
      <c r="J235" s="369">
        <f>IFERROR(I235/SUM(PROD!L236:L242),0)</f>
        <v>0</v>
      </c>
      <c r="K235" s="370">
        <f>IFERROR(J235/SUM(E235:E241,J235:J241,O235:O240),0)</f>
        <v>0</v>
      </c>
      <c r="L235" s="436" t="str">
        <f>$L$4</f>
        <v>Gastos de Viaje</v>
      </c>
      <c r="M235" s="435">
        <f t="shared" ref="M235:M240" si="49">M228</f>
        <v>0</v>
      </c>
      <c r="N235" s="372">
        <f>M235*12/52</f>
        <v>0</v>
      </c>
      <c r="O235" s="369">
        <f>IFERROR(N235/SUM(PROD!L236:L242),0)</f>
        <v>0</v>
      </c>
      <c r="P235" s="370">
        <f>IFERROR(O235/SUM(E235:E241,J235:J241,O235:O240),0)</f>
        <v>0</v>
      </c>
      <c r="Q235" s="373" t="str">
        <f>$Q$4</f>
        <v>AAAA</v>
      </c>
      <c r="R235" s="374">
        <f t="shared" si="43"/>
        <v>0</v>
      </c>
      <c r="S235" s="869">
        <f>SUM(PROD!AM236:AM242)</f>
        <v>0</v>
      </c>
      <c r="T235" s="375">
        <f>IF(AA235&gt;0,S235/AA235,0)</f>
        <v>0</v>
      </c>
      <c r="U235" s="376" t="str">
        <f>$U$4</f>
        <v>Prob Color</v>
      </c>
      <c r="V235" s="374">
        <f t="shared" si="44"/>
        <v>0</v>
      </c>
      <c r="W235" s="869">
        <f>SUM(PROD!AW236:AW242)</f>
        <v>0</v>
      </c>
      <c r="X235" s="375">
        <f>IFERROR(W235/(AA240-AA238),0)</f>
        <v>0</v>
      </c>
      <c r="Y235" s="377" t="s">
        <v>323</v>
      </c>
      <c r="Z235" s="378">
        <f>SUMPRODUCT(R235:R241,T235:T241)</f>
        <v>0</v>
      </c>
      <c r="AA235" s="379">
        <f>SUM(S235:S241)</f>
        <v>0</v>
      </c>
      <c r="AB235" s="490">
        <f>IF(AA240&gt;0,AA235/AA240,0)</f>
        <v>0</v>
      </c>
    </row>
    <row r="236" spans="1:28" ht="15.75" customHeight="1" x14ac:dyDescent="0.3">
      <c r="A236" s="2301"/>
      <c r="B236" s="438" t="str">
        <f>$B$5</f>
        <v>Amortización de Aves</v>
      </c>
      <c r="C236" s="381">
        <f>IFERROR((C229-(D236/'Pr-Sem'!$O$2)),0)</f>
        <v>0</v>
      </c>
      <c r="D236" s="382">
        <f>SUM(PROD!L236:L242)*E236</f>
        <v>0</v>
      </c>
      <c r="E236" s="383">
        <f>IF(SUM(PROD!L236:L242)&gt;0,IFERROR(($C$1-$C$2)/LOOKUP($B$2,'Pr-Sem'!$A$6:$A$108,'Pr-Sem'!$L$6:$L$108)*(LOOKUP(INVENTARIOS!$A235,'Pr-Sem'!$A$6:$A$108,'Pr-Sem'!$L$6:$L$108)-LOOKUP(INVENTARIOS!$A235-1,'Pr-Sem'!$A$6:$A$108,'Pr-Sem'!$L$6:$L$108))/(LOOKUP(INVENTARIOS!$A235,'Pr-Sem'!$A$6:$A$108,'Pr-Sem'!$K$6:$K$108)-LOOKUP(INVENTARIOS!$A235-1,'Pr-Sem'!$A$6:$A$108,'Pr-Sem'!$K$6:$K$108)),0),0)</f>
        <v>0</v>
      </c>
      <c r="F236" s="384">
        <f>IFERROR(E236/SUM(E235:E241,J235:J241,O235:O240),0)</f>
        <v>0</v>
      </c>
      <c r="G236" s="439" t="str">
        <f>$G$12</f>
        <v>Impuestos</v>
      </c>
      <c r="H236" s="440">
        <f t="shared" si="42"/>
        <v>0</v>
      </c>
      <c r="I236" s="387">
        <f t="shared" si="40"/>
        <v>0</v>
      </c>
      <c r="J236" s="383">
        <f>IFERROR(I236/SUM(PROD!L236:L242),0)</f>
        <v>0</v>
      </c>
      <c r="K236" s="384">
        <f>IFERROR(J236/SUM(E235:E241,J235:J241,O235:O240),0)</f>
        <v>0</v>
      </c>
      <c r="L236" s="439" t="str">
        <f>$L$5</f>
        <v>Depreciaciones</v>
      </c>
      <c r="M236" s="401">
        <f t="shared" si="49"/>
        <v>0</v>
      </c>
      <c r="N236" s="390">
        <f>M236*12/52</f>
        <v>0</v>
      </c>
      <c r="O236" s="383">
        <f>IFERROR(N236/SUM(PROD!L236:L242),0)</f>
        <v>0</v>
      </c>
      <c r="P236" s="384">
        <f>IFERROR(O236/SUM(E235:E241,J235:J241,O235:O240),0)</f>
        <v>0</v>
      </c>
      <c r="Q236" s="491" t="str">
        <f>$Q$5</f>
        <v>AAA</v>
      </c>
      <c r="R236" s="392">
        <f t="shared" si="43"/>
        <v>0</v>
      </c>
      <c r="S236" s="870">
        <f>SUM(PROD!AN236:AN242)</f>
        <v>0</v>
      </c>
      <c r="T236" s="492">
        <f>IF(AA235&gt;0,S236/AA235,0)</f>
        <v>0</v>
      </c>
      <c r="U236" s="493" t="str">
        <f>$U$5</f>
        <v>Prob Cásc</v>
      </c>
      <c r="V236" s="392">
        <f t="shared" si="44"/>
        <v>0</v>
      </c>
      <c r="W236" s="870">
        <f>SUM(PROD!AX236:AX242)</f>
        <v>0</v>
      </c>
      <c r="X236" s="492">
        <f>IFERROR(W236/(AA240-AA238),0)</f>
        <v>0</v>
      </c>
      <c r="Y236" s="395" t="s">
        <v>324</v>
      </c>
      <c r="Z236" s="396">
        <f>IFERROR(SUMPRODUCT(V235:V238,W235:W238)/SUM(W235:W238),0)</f>
        <v>0</v>
      </c>
      <c r="AA236" s="397">
        <f>SUM(W235:W238)</f>
        <v>0</v>
      </c>
      <c r="AB236" s="494">
        <f>IF(AA240&gt;0,AA236/AA240,0)</f>
        <v>0</v>
      </c>
    </row>
    <row r="237" spans="1:28" ht="15.75" customHeight="1" x14ac:dyDescent="0.3">
      <c r="A237" s="2301"/>
      <c r="B237" s="399" t="str">
        <f>$B$6</f>
        <v>Bandeja</v>
      </c>
      <c r="C237" s="400">
        <f>C230</f>
        <v>0</v>
      </c>
      <c r="D237" s="387">
        <f>C237*SUM(INVENTARIOS!R235:R241)</f>
        <v>0</v>
      </c>
      <c r="E237" s="383">
        <f>IFERROR(D237/SUM(PROD!L236:L242),0)</f>
        <v>0</v>
      </c>
      <c r="F237" s="384">
        <f>IFERROR(E237/SUM(E235:E241,J235:J241,O235:O240),0)</f>
        <v>0</v>
      </c>
      <c r="G237" s="439" t="str">
        <f>$G$13</f>
        <v>Arrendamientos</v>
      </c>
      <c r="H237" s="401">
        <f t="shared" si="42"/>
        <v>0</v>
      </c>
      <c r="I237" s="390">
        <f t="shared" si="40"/>
        <v>0</v>
      </c>
      <c r="J237" s="383">
        <f>IFERROR(I237/SUM(PROD!L236:L242),0)</f>
        <v>0</v>
      </c>
      <c r="K237" s="384">
        <f>IFERROR(J237/SUM(E235:E241,J235:J241,O235:O240),0)</f>
        <v>0</v>
      </c>
      <c r="L237" s="439" t="str">
        <f>$L$6</f>
        <v>Diversos</v>
      </c>
      <c r="M237" s="401">
        <f t="shared" si="49"/>
        <v>0</v>
      </c>
      <c r="N237" s="390">
        <f>M237*12/52</f>
        <v>0</v>
      </c>
      <c r="O237" s="383">
        <f>IFERROR(N237/SUM(PROD!L236:L242),0)</f>
        <v>0</v>
      </c>
      <c r="P237" s="384">
        <f>IFERROR(O237/SUM(E235:E241,J235:J241,O235:O240),0)</f>
        <v>0</v>
      </c>
      <c r="Q237" s="491" t="str">
        <f>$Q$6</f>
        <v>AA</v>
      </c>
      <c r="R237" s="392">
        <f t="shared" si="43"/>
        <v>0</v>
      </c>
      <c r="S237" s="870">
        <f>SUM(PROD!AO236:AO242)</f>
        <v>0</v>
      </c>
      <c r="T237" s="492">
        <f>IF(AA235&gt;0,S237/AA235,0)</f>
        <v>0</v>
      </c>
      <c r="U237" s="493" t="str">
        <f>$U$6</f>
        <v>Vencido</v>
      </c>
      <c r="V237" s="392">
        <f t="shared" si="44"/>
        <v>0</v>
      </c>
      <c r="W237" s="870">
        <f>SUM(PROD!AY236:AY242)</f>
        <v>0</v>
      </c>
      <c r="X237" s="492">
        <f>IFERROR(W237/(AA240-AA238),0)</f>
        <v>0</v>
      </c>
      <c r="Y237" s="402" t="s">
        <v>391</v>
      </c>
      <c r="Z237" s="456">
        <v>0</v>
      </c>
      <c r="AA237" s="720"/>
      <c r="AB237" s="495">
        <f>IF(AA240&gt;0,AA237/AA240,0)</f>
        <v>0</v>
      </c>
    </row>
    <row r="238" spans="1:28" ht="15.75" customHeight="1" x14ac:dyDescent="0.3">
      <c r="A238" s="2301"/>
      <c r="B238" s="438" t="str">
        <f>$B$7</f>
        <v>Mortalidad Aves</v>
      </c>
      <c r="C238" s="401">
        <f>IF(A235&lt;=$B$2,C236+$C$2,0)</f>
        <v>0</v>
      </c>
      <c r="D238" s="390">
        <f>C238*SUM(PROD!D236:D242)</f>
        <v>0</v>
      </c>
      <c r="E238" s="383">
        <f>IFERROR(D238/SUM(PROD!L236:L242),0)</f>
        <v>0</v>
      </c>
      <c r="F238" s="384">
        <f>IFERROR(E238/SUM(E235:E241,J235:J241,O235:O240),0)</f>
        <v>0</v>
      </c>
      <c r="G238" s="439" t="str">
        <f>$G$14</f>
        <v>Servicios Públicos</v>
      </c>
      <c r="H238" s="401">
        <f t="shared" si="42"/>
        <v>0</v>
      </c>
      <c r="I238" s="390">
        <f t="shared" si="40"/>
        <v>0</v>
      </c>
      <c r="J238" s="383">
        <f>IFERROR(I238/SUM(PROD!L236:L242),0)</f>
        <v>0</v>
      </c>
      <c r="K238" s="384">
        <f>IFERROR(J238/SUM(E235:E241,J235:J241,O235:O240),0)</f>
        <v>0</v>
      </c>
      <c r="L238" s="441" t="str">
        <f>$L$7</f>
        <v>Administrativos</v>
      </c>
      <c r="M238" s="401">
        <f t="shared" si="49"/>
        <v>0</v>
      </c>
      <c r="N238" s="404">
        <f>M238*0.230769230769231</f>
        <v>0</v>
      </c>
      <c r="O238" s="383">
        <f>IFERROR(N238/SUM(PROD!L236:L242),0)</f>
        <v>0</v>
      </c>
      <c r="P238" s="384">
        <f>IFERROR(O238/SUM(E235:E241,J235:J241,O235:O240),0)</f>
        <v>0</v>
      </c>
      <c r="Q238" s="491" t="str">
        <f>$Q$7</f>
        <v>A</v>
      </c>
      <c r="R238" s="392">
        <f t="shared" si="43"/>
        <v>0</v>
      </c>
      <c r="S238" s="870">
        <f>SUM(PROD!AP236:AP242)</f>
        <v>0</v>
      </c>
      <c r="T238" s="492">
        <f>IF(AA235&gt;0,S238/AA235,0)</f>
        <v>0</v>
      </c>
      <c r="U238" s="405" t="str">
        <f>$U$7</f>
        <v>Roto</v>
      </c>
      <c r="V238" s="406">
        <f t="shared" si="44"/>
        <v>0</v>
      </c>
      <c r="W238" s="872">
        <f>SUM(PROD!AZ236:AZ242)</f>
        <v>0</v>
      </c>
      <c r="X238" s="407">
        <f>IFERROR(W238/(AA240-AA238),0)</f>
        <v>0</v>
      </c>
      <c r="Y238" s="408" t="s">
        <v>359</v>
      </c>
      <c r="Z238" s="442">
        <v>215</v>
      </c>
      <c r="AA238" s="410">
        <f>SUM(PROD!L236:L242)-SUM(W235:W241)-SUM(S235:S241)-AA237</f>
        <v>0</v>
      </c>
      <c r="AB238" s="496">
        <f>IF(AA240&gt;0,AA238/AA240,0)</f>
        <v>0</v>
      </c>
    </row>
    <row r="239" spans="1:28" ht="15.75" customHeight="1" x14ac:dyDescent="0.3">
      <c r="A239" s="2301"/>
      <c r="B239" s="399" t="str">
        <f>$B$8</f>
        <v>Materia Prima (Carb Ca, etc.)</v>
      </c>
      <c r="C239" s="440">
        <f>C232</f>
        <v>0</v>
      </c>
      <c r="D239" s="387">
        <f>C239*12/52</f>
        <v>0</v>
      </c>
      <c r="E239" s="383">
        <f>IFERROR(D239/SUM(PROD!L236:L242),0)</f>
        <v>0</v>
      </c>
      <c r="F239" s="384">
        <f>IFERROR(E239/SUM(E235:E241,J235:J241,O235:O240),0)</f>
        <v>0</v>
      </c>
      <c r="G239" s="441" t="str">
        <f>$G$15</f>
        <v>Gastos Legales</v>
      </c>
      <c r="H239" s="401">
        <f t="shared" si="42"/>
        <v>0</v>
      </c>
      <c r="I239" s="390">
        <f t="shared" si="40"/>
        <v>0</v>
      </c>
      <c r="J239" s="383">
        <f>IFERROR(I239/SUM(PROD!L236:L242),0)</f>
        <v>0</v>
      </c>
      <c r="K239" s="384">
        <f>IFERROR(J239/SUM(E235:E241,J235:J241,O235:O240),0)</f>
        <v>0</v>
      </c>
      <c r="L239" s="439" t="str">
        <f>$L$8</f>
        <v>Fletes</v>
      </c>
      <c r="M239" s="401">
        <f t="shared" si="49"/>
        <v>0</v>
      </c>
      <c r="N239" s="404">
        <f>M239*0.230769230769231</f>
        <v>0</v>
      </c>
      <c r="O239" s="383">
        <f>IFERROR(N239/SUM(PROD!L236:L242),0)</f>
        <v>0</v>
      </c>
      <c r="P239" s="384">
        <f>IFERROR(O239/SUM(E235:E241,J235:J241,O235:O240),0)</f>
        <v>0</v>
      </c>
      <c r="Q239" s="491" t="str">
        <f>$Q$8</f>
        <v>B</v>
      </c>
      <c r="R239" s="392">
        <f t="shared" si="43"/>
        <v>0</v>
      </c>
      <c r="S239" s="870">
        <f>SUM(PROD!AQ236:AQ242)</f>
        <v>0</v>
      </c>
      <c r="T239" s="492">
        <f>IF(AA235&gt;0,S239/AA235,0)</f>
        <v>0</v>
      </c>
      <c r="U239" s="395" t="str">
        <f>$U$8</f>
        <v>Rev. Gr.</v>
      </c>
      <c r="V239" s="412">
        <f t="shared" si="44"/>
        <v>0</v>
      </c>
      <c r="W239" s="873">
        <f>SUM(PROD!AT236:AT242)</f>
        <v>0</v>
      </c>
      <c r="X239" s="413">
        <f>IFERROR(W239/(AA240-AA238),0)</f>
        <v>0</v>
      </c>
      <c r="Y239" s="414" t="s">
        <v>262</v>
      </c>
      <c r="Z239" s="415">
        <f>IFERROR(SUMPRODUCT(V239:V241,W239:W241)/SUM(W239:W241),0)</f>
        <v>0</v>
      </c>
      <c r="AA239" s="416">
        <f>SUM(W239:W241)</f>
        <v>0</v>
      </c>
      <c r="AB239" s="497">
        <f>IF(AA240&gt;0,AA239/AA240,0)</f>
        <v>0</v>
      </c>
    </row>
    <row r="240" spans="1:28" ht="15.75" customHeight="1" x14ac:dyDescent="0.3">
      <c r="A240" s="2301"/>
      <c r="B240" s="438" t="str">
        <f>$B$9</f>
        <v>Vacunas y medicamentos</v>
      </c>
      <c r="C240" s="443">
        <f>C233</f>
        <v>0</v>
      </c>
      <c r="D240" s="387">
        <f>C240*12/52</f>
        <v>0</v>
      </c>
      <c r="E240" s="383">
        <f>IFERROR(D240/SUM(PROD!L236:L242),0)</f>
        <v>0</v>
      </c>
      <c r="F240" s="384">
        <f>IFERROR(E240/SUM(E235:E241,J235:J241,O235:O240),0)</f>
        <v>0</v>
      </c>
      <c r="G240" s="441" t="str">
        <f>$G$16</f>
        <v>Mantenimiento y Reparaciones</v>
      </c>
      <c r="H240" s="401">
        <f t="shared" si="42"/>
        <v>0</v>
      </c>
      <c r="I240" s="390">
        <f t="shared" si="40"/>
        <v>0</v>
      </c>
      <c r="J240" s="383">
        <f>IFERROR(I240/SUM(PROD!L236:L242),0)</f>
        <v>0</v>
      </c>
      <c r="K240" s="384">
        <f>IFERROR(J240/SUM(E235:E241,J235:J241,O235:O240),0)</f>
        <v>0</v>
      </c>
      <c r="L240" s="439">
        <f>$L$9</f>
        <v>0</v>
      </c>
      <c r="M240" s="401">
        <f t="shared" si="49"/>
        <v>0</v>
      </c>
      <c r="N240" s="404">
        <f>M240*0.230769230769231</f>
        <v>0</v>
      </c>
      <c r="O240" s="383">
        <f>IFERROR(N240/SUM(PROD!L236:L242),0)</f>
        <v>0</v>
      </c>
      <c r="P240" s="384">
        <f>IFERROR(O240/SUM(E235:E241,J235:J241,O235:O240),0)</f>
        <v>0</v>
      </c>
      <c r="Q240" s="491" t="str">
        <f>$Q$9</f>
        <v>C</v>
      </c>
      <c r="R240" s="392">
        <f t="shared" si="43"/>
        <v>0</v>
      </c>
      <c r="S240" s="870">
        <f>SUM(PROD!AR236:AR242)</f>
        <v>0</v>
      </c>
      <c r="T240" s="492">
        <f>IF(AA235&gt;0,S240/AA235,0)</f>
        <v>0</v>
      </c>
      <c r="U240" s="493" t="str">
        <f>$U$9</f>
        <v>Rev. Med</v>
      </c>
      <c r="V240" s="392">
        <f t="shared" si="44"/>
        <v>0</v>
      </c>
      <c r="W240" s="870">
        <f>SUM(PROD!AU236:AU242)</f>
        <v>0</v>
      </c>
      <c r="X240" s="498">
        <f>IFERROR(W240/(AA240-AA238),0)</f>
        <v>0</v>
      </c>
      <c r="Y240" s="2303" t="s">
        <v>325</v>
      </c>
      <c r="Z240" s="2305">
        <f>SUMPRODUCT(Z235:Z239,AB235:AB239)</f>
        <v>0</v>
      </c>
      <c r="AA240" s="2307">
        <f>SUM(AA235:AA238)</f>
        <v>0</v>
      </c>
      <c r="AB240" s="2308"/>
    </row>
    <row r="241" spans="1:28" ht="16.5" customHeight="1" thickBot="1" x14ac:dyDescent="0.35">
      <c r="A241" s="2302"/>
      <c r="B241" s="444" t="str">
        <f>$B$10</f>
        <v>Gastos de Personal</v>
      </c>
      <c r="C241" s="445">
        <f>C234</f>
        <v>0</v>
      </c>
      <c r="D241" s="421">
        <f>C241*12/52</f>
        <v>0</v>
      </c>
      <c r="E241" s="446">
        <f>IFERROR(D241/SUM(PROD!L236:L242),0)</f>
        <v>0</v>
      </c>
      <c r="F241" s="447">
        <f>IFERROR(E241/SUM(E235:E241,J235:J241,O235:O240),0)</f>
        <v>0</v>
      </c>
      <c r="G241" s="448" t="str">
        <f>$G$17</f>
        <v>Adecuación Instalaciones</v>
      </c>
      <c r="H241" s="445">
        <f t="shared" si="42"/>
        <v>0</v>
      </c>
      <c r="I241" s="426">
        <f t="shared" si="40"/>
        <v>0</v>
      </c>
      <c r="J241" s="446">
        <f>IFERROR(I241/SUM(PROD!L236:L242),0)</f>
        <v>0</v>
      </c>
      <c r="K241" s="447">
        <f>IFERROR(J241/SUM(E235:E241,J235:J241,O235:O240),0)</f>
        <v>0</v>
      </c>
      <c r="L241" s="2311" t="str">
        <f>$L$10</f>
        <v>TOTAL COSTO PRODUCCIÓN</v>
      </c>
      <c r="M241" s="2312"/>
      <c r="N241" s="427">
        <f>SUM(D235:D241,I235:I241,N235:N240)</f>
        <v>0</v>
      </c>
      <c r="O241" s="449">
        <f>IFERROR(N241/SUM(PROD!L236:L242),0)</f>
        <v>0</v>
      </c>
      <c r="P241" s="447">
        <f>IFERROR(O241/SUM(E235:E241,J235:J241,O235:O240),0)</f>
        <v>0</v>
      </c>
      <c r="Q241" s="429" t="str">
        <f>$Q$10</f>
        <v>D</v>
      </c>
      <c r="R241" s="499">
        <f t="shared" si="43"/>
        <v>0</v>
      </c>
      <c r="S241" s="871">
        <f>SUM(PROD!AS236:AS242)</f>
        <v>0</v>
      </c>
      <c r="T241" s="431">
        <f>IF(AA235&gt;0,S241/AA235,0)</f>
        <v>0</v>
      </c>
      <c r="U241" s="432" t="str">
        <f>$U$10</f>
        <v>Rev. Peq</v>
      </c>
      <c r="V241" s="499">
        <f t="shared" si="44"/>
        <v>0</v>
      </c>
      <c r="W241" s="871">
        <f>SUM(PROD!AV236:AV242)</f>
        <v>0</v>
      </c>
      <c r="X241" s="431">
        <f>IFERROR(W241/(AA240-AA238),0)</f>
        <v>0</v>
      </c>
      <c r="Y241" s="2304"/>
      <c r="Z241" s="2306"/>
      <c r="AA241" s="2309"/>
      <c r="AB241" s="2310"/>
    </row>
    <row r="242" spans="1:28" ht="16.5" customHeight="1" x14ac:dyDescent="0.3">
      <c r="A242" s="2300">
        <f>A235+1</f>
        <v>52</v>
      </c>
      <c r="B242" s="433" t="str">
        <f>$B$4</f>
        <v>ALIMENTO Kilos</v>
      </c>
      <c r="C242" s="435">
        <f>LOOKUP($A242,PROD!$A$5:$A$725,PROD!$AH$10:$AH$730)</f>
        <v>0</v>
      </c>
      <c r="D242" s="368">
        <f>C242*LOOKUP($A242,'Pr-Sem'!$A$6:$A$108,'Pr-Sem'!$N$6:$N$108)/(PROD!$A$1/1000)</f>
        <v>0</v>
      </c>
      <c r="E242" s="369">
        <f>IFERROR(D242/SUM(PROD!L243:L249),0)</f>
        <v>0</v>
      </c>
      <c r="F242" s="370">
        <f>IFERROR(E242/SUM(E242:E248,J242:J248,O242:O247),0)</f>
        <v>0</v>
      </c>
      <c r="G242" s="434" t="str">
        <f>$G$11</f>
        <v>Honorarios</v>
      </c>
      <c r="H242" s="435">
        <f t="shared" si="42"/>
        <v>0</v>
      </c>
      <c r="I242" s="372">
        <f t="shared" si="40"/>
        <v>0</v>
      </c>
      <c r="J242" s="369">
        <f>IFERROR(I242/SUM(PROD!L243:L249),0)</f>
        <v>0</v>
      </c>
      <c r="K242" s="370">
        <f>IFERROR(J242/SUM(E242:E248,J242:J248,O242:O247),0)</f>
        <v>0</v>
      </c>
      <c r="L242" s="436" t="str">
        <f>$L$4</f>
        <v>Gastos de Viaje</v>
      </c>
      <c r="M242" s="435">
        <f t="shared" ref="M242:M247" si="50">M235</f>
        <v>0</v>
      </c>
      <c r="N242" s="372">
        <f>M242*12/52</f>
        <v>0</v>
      </c>
      <c r="O242" s="369">
        <f>IFERROR(N242/SUM(PROD!L243:L249),0)</f>
        <v>0</v>
      </c>
      <c r="P242" s="370">
        <f>IFERROR(O242/SUM(E242:E248,J242:J248,O242:O247),0)</f>
        <v>0</v>
      </c>
      <c r="Q242" s="373" t="str">
        <f>$Q$4</f>
        <v>AAAA</v>
      </c>
      <c r="R242" s="374">
        <f t="shared" si="43"/>
        <v>0</v>
      </c>
      <c r="S242" s="869">
        <f>SUM(PROD!AM243:AM249)</f>
        <v>0</v>
      </c>
      <c r="T242" s="375">
        <f>IF(AA242&gt;0,S242/AA242,0)</f>
        <v>0</v>
      </c>
      <c r="U242" s="376" t="str">
        <f>$U$4</f>
        <v>Prob Color</v>
      </c>
      <c r="V242" s="374">
        <f t="shared" si="44"/>
        <v>0</v>
      </c>
      <c r="W242" s="869">
        <f>SUM(PROD!AW243:AW249)</f>
        <v>0</v>
      </c>
      <c r="X242" s="375">
        <f>IFERROR(W242/(AA247-AA245),0)</f>
        <v>0</v>
      </c>
      <c r="Y242" s="377" t="s">
        <v>323</v>
      </c>
      <c r="Z242" s="378">
        <f>SUMPRODUCT(R242:R248,T242:T248)</f>
        <v>0</v>
      </c>
      <c r="AA242" s="379">
        <f>SUM(S242:S248)</f>
        <v>0</v>
      </c>
      <c r="AB242" s="490">
        <f>IF(AA247&gt;0,AA242/AA247,0)</f>
        <v>0</v>
      </c>
    </row>
    <row r="243" spans="1:28" ht="15.75" customHeight="1" x14ac:dyDescent="0.3">
      <c r="A243" s="2301"/>
      <c r="B243" s="438" t="str">
        <f>$B$5</f>
        <v>Amortización de Aves</v>
      </c>
      <c r="C243" s="381">
        <f>IFERROR((C236-(D243/'Pr-Sem'!$O$2)),0)</f>
        <v>0</v>
      </c>
      <c r="D243" s="382">
        <f>SUM(PROD!L243:L249)*E243</f>
        <v>0</v>
      </c>
      <c r="E243" s="383">
        <f>IF(SUM(PROD!L243:L249)&gt;0,IFERROR(($C$1-$C$2)/LOOKUP($B$2,'Pr-Sem'!$A$6:$A$108,'Pr-Sem'!$L$6:$L$108)*(LOOKUP(INVENTARIOS!$A242,'Pr-Sem'!$A$6:$A$108,'Pr-Sem'!$L$6:$L$108)-LOOKUP(INVENTARIOS!$A242-1,'Pr-Sem'!$A$6:$A$108,'Pr-Sem'!$L$6:$L$108))/(LOOKUP(INVENTARIOS!$A242,'Pr-Sem'!$A$6:$A$108,'Pr-Sem'!$K$6:$K$108)-LOOKUP(INVENTARIOS!$A242-1,'Pr-Sem'!$A$6:$A$108,'Pr-Sem'!$K$6:$K$108)),0),0)</f>
        <v>0</v>
      </c>
      <c r="F243" s="384">
        <f>IFERROR(E243/SUM(E242:E248,J242:J248,O242:O247),0)</f>
        <v>0</v>
      </c>
      <c r="G243" s="439" t="str">
        <f>$G$12</f>
        <v>Impuestos</v>
      </c>
      <c r="H243" s="440">
        <f t="shared" si="42"/>
        <v>0</v>
      </c>
      <c r="I243" s="387">
        <f t="shared" si="40"/>
        <v>0</v>
      </c>
      <c r="J243" s="383">
        <f>IFERROR(I243/SUM(PROD!L243:L249),0)</f>
        <v>0</v>
      </c>
      <c r="K243" s="384">
        <f>IFERROR(J243/SUM(E242:E248,J242:J248,O242:O247),0)</f>
        <v>0</v>
      </c>
      <c r="L243" s="439" t="str">
        <f>$L$5</f>
        <v>Depreciaciones</v>
      </c>
      <c r="M243" s="401">
        <f t="shared" si="50"/>
        <v>0</v>
      </c>
      <c r="N243" s="390">
        <f>M243*12/52</f>
        <v>0</v>
      </c>
      <c r="O243" s="383">
        <f>IFERROR(N243/SUM(PROD!L243:L249),0)</f>
        <v>0</v>
      </c>
      <c r="P243" s="384">
        <f>IFERROR(O243/SUM(E242:E248,J242:J248,O242:O247),0)</f>
        <v>0</v>
      </c>
      <c r="Q243" s="491" t="str">
        <f>$Q$5</f>
        <v>AAA</v>
      </c>
      <c r="R243" s="392">
        <f t="shared" si="43"/>
        <v>0</v>
      </c>
      <c r="S243" s="870">
        <f>SUM(PROD!AN243:AN249)</f>
        <v>0</v>
      </c>
      <c r="T243" s="492">
        <f>IF(AA242&gt;0,S243/AA242,0)</f>
        <v>0</v>
      </c>
      <c r="U243" s="493" t="str">
        <f>$U$5</f>
        <v>Prob Cásc</v>
      </c>
      <c r="V243" s="392">
        <f t="shared" si="44"/>
        <v>0</v>
      </c>
      <c r="W243" s="870">
        <f>SUM(PROD!AX243:AX249)</f>
        <v>0</v>
      </c>
      <c r="X243" s="492">
        <f>IFERROR(W243/(AA247-AA245),0)</f>
        <v>0</v>
      </c>
      <c r="Y243" s="395" t="s">
        <v>324</v>
      </c>
      <c r="Z243" s="396">
        <f>IFERROR(SUMPRODUCT(V242:V245,W242:W245)/SUM(W242:W245),0)</f>
        <v>0</v>
      </c>
      <c r="AA243" s="397">
        <f>SUM(W242:W245)</f>
        <v>0</v>
      </c>
      <c r="AB243" s="494">
        <f>IF(AA247&gt;0,AA243/AA247,0)</f>
        <v>0</v>
      </c>
    </row>
    <row r="244" spans="1:28" ht="15.75" customHeight="1" x14ac:dyDescent="0.3">
      <c r="A244" s="2301"/>
      <c r="B244" s="399" t="str">
        <f>$B$6</f>
        <v>Bandeja</v>
      </c>
      <c r="C244" s="400">
        <f>C237</f>
        <v>0</v>
      </c>
      <c r="D244" s="387">
        <f>C244*SUM(INVENTARIOS!R242:R248)</f>
        <v>0</v>
      </c>
      <c r="E244" s="383">
        <f>IFERROR(D244/SUM(PROD!L243:L249),0)</f>
        <v>0</v>
      </c>
      <c r="F244" s="384">
        <f>IFERROR(E244/SUM(E242:E248,J242:J248,O242:O247),0)</f>
        <v>0</v>
      </c>
      <c r="G244" s="439" t="str">
        <f>$G$13</f>
        <v>Arrendamientos</v>
      </c>
      <c r="H244" s="401">
        <f t="shared" si="42"/>
        <v>0</v>
      </c>
      <c r="I244" s="390">
        <f t="shared" si="40"/>
        <v>0</v>
      </c>
      <c r="J244" s="383">
        <f>IFERROR(I244/SUM(PROD!L243:L249),0)</f>
        <v>0</v>
      </c>
      <c r="K244" s="384">
        <f>IFERROR(J244/SUM(E242:E248,J242:J248,O242:O247),0)</f>
        <v>0</v>
      </c>
      <c r="L244" s="439" t="str">
        <f>$L$6</f>
        <v>Diversos</v>
      </c>
      <c r="M244" s="401">
        <f t="shared" si="50"/>
        <v>0</v>
      </c>
      <c r="N244" s="390">
        <f>M244*12/52</f>
        <v>0</v>
      </c>
      <c r="O244" s="383">
        <f>IFERROR(N244/SUM(PROD!L243:L249),0)</f>
        <v>0</v>
      </c>
      <c r="P244" s="384">
        <f>IFERROR(O244/SUM(E242:E248,J242:J248,O242:O247),0)</f>
        <v>0</v>
      </c>
      <c r="Q244" s="491" t="str">
        <f>$Q$6</f>
        <v>AA</v>
      </c>
      <c r="R244" s="392">
        <f t="shared" si="43"/>
        <v>0</v>
      </c>
      <c r="S244" s="870">
        <f>SUM(PROD!AO243:AO249)</f>
        <v>0</v>
      </c>
      <c r="T244" s="492">
        <f>IF(AA242&gt;0,S244/AA242,0)</f>
        <v>0</v>
      </c>
      <c r="U244" s="493" t="str">
        <f>$U$6</f>
        <v>Vencido</v>
      </c>
      <c r="V244" s="392">
        <f t="shared" si="44"/>
        <v>0</v>
      </c>
      <c r="W244" s="870">
        <f>SUM(PROD!AY243:AY249)</f>
        <v>0</v>
      </c>
      <c r="X244" s="492">
        <f>IFERROR(W244/(AA247-AA245),0)</f>
        <v>0</v>
      </c>
      <c r="Y244" s="402" t="s">
        <v>391</v>
      </c>
      <c r="Z244" s="456">
        <v>0</v>
      </c>
      <c r="AA244" s="720"/>
      <c r="AB244" s="495">
        <f>IF(AA247&gt;0,AA244/AA247,0)</f>
        <v>0</v>
      </c>
    </row>
    <row r="245" spans="1:28" ht="15.75" customHeight="1" x14ac:dyDescent="0.3">
      <c r="A245" s="2301"/>
      <c r="B245" s="438" t="str">
        <f>$B$7</f>
        <v>Mortalidad Aves</v>
      </c>
      <c r="C245" s="401">
        <f>IF(A242&lt;=$B$2,C243+$C$2,0)</f>
        <v>0</v>
      </c>
      <c r="D245" s="390">
        <f>C245*SUM(PROD!D243:D249)</f>
        <v>0</v>
      </c>
      <c r="E245" s="383">
        <f>IFERROR(D245/SUM(PROD!L243:L249),0)</f>
        <v>0</v>
      </c>
      <c r="F245" s="384">
        <f>IFERROR(E245/SUM(E242:E248,J242:J248,O242:O247),0)</f>
        <v>0</v>
      </c>
      <c r="G245" s="439" t="str">
        <f>$G$14</f>
        <v>Servicios Públicos</v>
      </c>
      <c r="H245" s="401">
        <f t="shared" si="42"/>
        <v>0</v>
      </c>
      <c r="I245" s="390">
        <f t="shared" si="40"/>
        <v>0</v>
      </c>
      <c r="J245" s="383">
        <f>IFERROR(I245/SUM(PROD!L243:L249),0)</f>
        <v>0</v>
      </c>
      <c r="K245" s="384">
        <f>IFERROR(J245/SUM(E242:E248,J242:J248,O242:O247),0)</f>
        <v>0</v>
      </c>
      <c r="L245" s="441" t="str">
        <f>$L$7</f>
        <v>Administrativos</v>
      </c>
      <c r="M245" s="401">
        <f t="shared" si="50"/>
        <v>0</v>
      </c>
      <c r="N245" s="404">
        <f>M245*0.230769230769231</f>
        <v>0</v>
      </c>
      <c r="O245" s="383">
        <f>IFERROR(N245/SUM(PROD!L243:L249),0)</f>
        <v>0</v>
      </c>
      <c r="P245" s="384">
        <f>IFERROR(O245/SUM(E242:E248,J242:J248,O242:O247),0)</f>
        <v>0</v>
      </c>
      <c r="Q245" s="491" t="str">
        <f>$Q$7</f>
        <v>A</v>
      </c>
      <c r="R245" s="392">
        <f t="shared" si="43"/>
        <v>0</v>
      </c>
      <c r="S245" s="870">
        <f>SUM(PROD!AP243:AP249)</f>
        <v>0</v>
      </c>
      <c r="T245" s="492">
        <f>IF(AA242&gt;0,S245/AA242,0)</f>
        <v>0</v>
      </c>
      <c r="U245" s="405" t="str">
        <f>$U$7</f>
        <v>Roto</v>
      </c>
      <c r="V245" s="406">
        <f t="shared" si="44"/>
        <v>0</v>
      </c>
      <c r="W245" s="872">
        <f>SUM(PROD!AZ243:AZ249)</f>
        <v>0</v>
      </c>
      <c r="X245" s="407">
        <f>IFERROR(W245/(AA247-AA245),0)</f>
        <v>0</v>
      </c>
      <c r="Y245" s="408" t="s">
        <v>359</v>
      </c>
      <c r="Z245" s="442">
        <v>215</v>
      </c>
      <c r="AA245" s="410">
        <f>SUM(PROD!L243:L249)-SUM(W242:W248)-SUM(S242:S248)-AA244</f>
        <v>0</v>
      </c>
      <c r="AB245" s="496">
        <f>IF(AA247&gt;0,AA245/AA247,0)</f>
        <v>0</v>
      </c>
    </row>
    <row r="246" spans="1:28" ht="15.75" customHeight="1" x14ac:dyDescent="0.3">
      <c r="A246" s="2301"/>
      <c r="B246" s="399" t="str">
        <f>$B$8</f>
        <v>Materia Prima (Carb Ca, etc.)</v>
      </c>
      <c r="C246" s="440">
        <f>C239</f>
        <v>0</v>
      </c>
      <c r="D246" s="387">
        <f>C246*12/52</f>
        <v>0</v>
      </c>
      <c r="E246" s="383">
        <f>IFERROR(D246/SUM(PROD!L243:L249),0)</f>
        <v>0</v>
      </c>
      <c r="F246" s="384">
        <f>IFERROR(E246/SUM(E242:E248,J242:J248,O242:O247),0)</f>
        <v>0</v>
      </c>
      <c r="G246" s="441" t="str">
        <f>$G$15</f>
        <v>Gastos Legales</v>
      </c>
      <c r="H246" s="401">
        <f t="shared" si="42"/>
        <v>0</v>
      </c>
      <c r="I246" s="390">
        <f t="shared" si="40"/>
        <v>0</v>
      </c>
      <c r="J246" s="383">
        <f>IFERROR(I246/SUM(PROD!L243:L249),0)</f>
        <v>0</v>
      </c>
      <c r="K246" s="384">
        <f>IFERROR(J246/SUM(E242:E248,J242:J248,O242:O247),0)</f>
        <v>0</v>
      </c>
      <c r="L246" s="439" t="str">
        <f>$L$8</f>
        <v>Fletes</v>
      </c>
      <c r="M246" s="401">
        <f t="shared" si="50"/>
        <v>0</v>
      </c>
      <c r="N246" s="404">
        <f>M246*0.230769230769231</f>
        <v>0</v>
      </c>
      <c r="O246" s="383">
        <f>IFERROR(N246/SUM(PROD!L243:L249),0)</f>
        <v>0</v>
      </c>
      <c r="P246" s="384">
        <f>IFERROR(O246/SUM(E242:E248,J242:J248,O242:O247),0)</f>
        <v>0</v>
      </c>
      <c r="Q246" s="491" t="str">
        <f>$Q$8</f>
        <v>B</v>
      </c>
      <c r="R246" s="392">
        <f t="shared" si="43"/>
        <v>0</v>
      </c>
      <c r="S246" s="870">
        <f>SUM(PROD!AQ243:AQ249)</f>
        <v>0</v>
      </c>
      <c r="T246" s="492">
        <f>IF(AA242&gt;0,S246/AA242,0)</f>
        <v>0</v>
      </c>
      <c r="U246" s="395" t="str">
        <f>$U$8</f>
        <v>Rev. Gr.</v>
      </c>
      <c r="V246" s="412">
        <f t="shared" si="44"/>
        <v>0</v>
      </c>
      <c r="W246" s="873">
        <f>SUM(PROD!AT243:AT249)</f>
        <v>0</v>
      </c>
      <c r="X246" s="413">
        <f>IFERROR(W246/(AA247-AA245),0)</f>
        <v>0</v>
      </c>
      <c r="Y246" s="414" t="s">
        <v>262</v>
      </c>
      <c r="Z246" s="415">
        <f>IFERROR(SUMPRODUCT(V246:V248,W246:W248)/SUM(W246:W248),0)</f>
        <v>0</v>
      </c>
      <c r="AA246" s="416">
        <f>SUM(W246:W248)</f>
        <v>0</v>
      </c>
      <c r="AB246" s="497">
        <f>IF(AA247&gt;0,AA246/AA247,0)</f>
        <v>0</v>
      </c>
    </row>
    <row r="247" spans="1:28" ht="15.75" customHeight="1" x14ac:dyDescent="0.3">
      <c r="A247" s="2301"/>
      <c r="B247" s="438" t="str">
        <f>$B$9</f>
        <v>Vacunas y medicamentos</v>
      </c>
      <c r="C247" s="443">
        <f>C240</f>
        <v>0</v>
      </c>
      <c r="D247" s="387">
        <f>C247*12/52</f>
        <v>0</v>
      </c>
      <c r="E247" s="383">
        <f>IFERROR(D247/SUM(PROD!L243:L249),0)</f>
        <v>0</v>
      </c>
      <c r="F247" s="384">
        <f>IFERROR(E247/SUM(E242:E248,J242:J248,O242:O247),0)</f>
        <v>0</v>
      </c>
      <c r="G247" s="441" t="str">
        <f>$G$16</f>
        <v>Mantenimiento y Reparaciones</v>
      </c>
      <c r="H247" s="401">
        <f t="shared" si="42"/>
        <v>0</v>
      </c>
      <c r="I247" s="390">
        <f t="shared" si="40"/>
        <v>0</v>
      </c>
      <c r="J247" s="383">
        <f>IFERROR(I247/SUM(PROD!L243:L249),0)</f>
        <v>0</v>
      </c>
      <c r="K247" s="384">
        <f>IFERROR(J247/SUM(E242:E248,J242:J248,O242:O247),0)</f>
        <v>0</v>
      </c>
      <c r="L247" s="439">
        <f>$L$9</f>
        <v>0</v>
      </c>
      <c r="M247" s="401">
        <f t="shared" si="50"/>
        <v>0</v>
      </c>
      <c r="N247" s="404">
        <f>M247*0.230769230769231</f>
        <v>0</v>
      </c>
      <c r="O247" s="383">
        <f>IFERROR(N247/SUM(PROD!L243:L249),0)</f>
        <v>0</v>
      </c>
      <c r="P247" s="384">
        <f>IFERROR(O247/SUM(E242:E248,J242:J248,O242:O247),0)</f>
        <v>0</v>
      </c>
      <c r="Q247" s="491" t="str">
        <f>$Q$9</f>
        <v>C</v>
      </c>
      <c r="R247" s="392">
        <f t="shared" si="43"/>
        <v>0</v>
      </c>
      <c r="S247" s="870">
        <f>SUM(PROD!AR243:AR249)</f>
        <v>0</v>
      </c>
      <c r="T247" s="492">
        <f>IF(AA242&gt;0,S247/AA242,0)</f>
        <v>0</v>
      </c>
      <c r="U247" s="493" t="str">
        <f>$U$9</f>
        <v>Rev. Med</v>
      </c>
      <c r="V247" s="392">
        <f t="shared" si="44"/>
        <v>0</v>
      </c>
      <c r="W247" s="870">
        <f>SUM(PROD!AU243:AU249)</f>
        <v>0</v>
      </c>
      <c r="X247" s="498">
        <f>IFERROR(W247/(AA247-AA245),0)</f>
        <v>0</v>
      </c>
      <c r="Y247" s="2303" t="s">
        <v>325</v>
      </c>
      <c r="Z247" s="2305">
        <f>SUMPRODUCT(Z242:Z246,AB242:AB246)</f>
        <v>0</v>
      </c>
      <c r="AA247" s="2307">
        <f>SUM(AA242:AA245)</f>
        <v>0</v>
      </c>
      <c r="AB247" s="2308"/>
    </row>
    <row r="248" spans="1:28" ht="16.5" customHeight="1" thickBot="1" x14ac:dyDescent="0.35">
      <c r="A248" s="2302"/>
      <c r="B248" s="444" t="str">
        <f>$B$10</f>
        <v>Gastos de Personal</v>
      </c>
      <c r="C248" s="445">
        <f>C241</f>
        <v>0</v>
      </c>
      <c r="D248" s="421">
        <f>C248*12/52</f>
        <v>0</v>
      </c>
      <c r="E248" s="446">
        <f>IFERROR(D248/SUM(PROD!L243:L249),0)</f>
        <v>0</v>
      </c>
      <c r="F248" s="447">
        <f>IFERROR(E248/SUM(E242:E248,J242:J248,O242:O247),0)</f>
        <v>0</v>
      </c>
      <c r="G248" s="448" t="str">
        <f>$G$17</f>
        <v>Adecuación Instalaciones</v>
      </c>
      <c r="H248" s="445">
        <f t="shared" si="42"/>
        <v>0</v>
      </c>
      <c r="I248" s="426">
        <f t="shared" si="40"/>
        <v>0</v>
      </c>
      <c r="J248" s="446">
        <f>IFERROR(I248/SUM(PROD!L243:L249),0)</f>
        <v>0</v>
      </c>
      <c r="K248" s="447">
        <f>IFERROR(J248/SUM(E242:E248,J242:J248,O242:O247),0)</f>
        <v>0</v>
      </c>
      <c r="L248" s="2311" t="str">
        <f>$L$10</f>
        <v>TOTAL COSTO PRODUCCIÓN</v>
      </c>
      <c r="M248" s="2312"/>
      <c r="N248" s="427">
        <f>SUM(D242:D248,I242:I248,N242:N247)</f>
        <v>0</v>
      </c>
      <c r="O248" s="449">
        <f>IFERROR(N248/SUM(PROD!L243:L249),0)</f>
        <v>0</v>
      </c>
      <c r="P248" s="447">
        <f>IFERROR(O248/SUM(E242:E248,J242:J248,O242:O247),0)</f>
        <v>0</v>
      </c>
      <c r="Q248" s="429" t="str">
        <f>$Q$10</f>
        <v>D</v>
      </c>
      <c r="R248" s="499">
        <f t="shared" si="43"/>
        <v>0</v>
      </c>
      <c r="S248" s="871">
        <f>SUM(PROD!AS243:AS249)</f>
        <v>0</v>
      </c>
      <c r="T248" s="431">
        <f>IF(AA242&gt;0,S248/AA242,0)</f>
        <v>0</v>
      </c>
      <c r="U248" s="432" t="str">
        <f>$U$10</f>
        <v>Rev. Peq</v>
      </c>
      <c r="V248" s="499">
        <f t="shared" si="44"/>
        <v>0</v>
      </c>
      <c r="W248" s="871">
        <f>SUM(PROD!AV243:AV249)</f>
        <v>0</v>
      </c>
      <c r="X248" s="431">
        <f>IFERROR(W248/(AA247-AA245),0)</f>
        <v>0</v>
      </c>
      <c r="Y248" s="2304"/>
      <c r="Z248" s="2306"/>
      <c r="AA248" s="2309"/>
      <c r="AB248" s="2310"/>
    </row>
    <row r="249" spans="1:28" ht="16.5" customHeight="1" x14ac:dyDescent="0.3">
      <c r="A249" s="2300">
        <f>A242+1</f>
        <v>53</v>
      </c>
      <c r="B249" s="433" t="str">
        <f>$B$4</f>
        <v>ALIMENTO Kilos</v>
      </c>
      <c r="C249" s="435">
        <f>LOOKUP($A249,PROD!$A$5:$A$725,PROD!$AH$10:$AH$730)</f>
        <v>0</v>
      </c>
      <c r="D249" s="368">
        <f>C249*LOOKUP($A249,'Pr-Sem'!$A$6:$A$108,'Pr-Sem'!$N$6:$N$108)/(PROD!$A$1/1000)</f>
        <v>0</v>
      </c>
      <c r="E249" s="369">
        <f>IFERROR(D249/SUM(PROD!L250:L256),0)</f>
        <v>0</v>
      </c>
      <c r="F249" s="370">
        <f>IFERROR(E249/SUM(E249:E255,J249:J255,O249:O254),0)</f>
        <v>0</v>
      </c>
      <c r="G249" s="434" t="str">
        <f>$G$11</f>
        <v>Honorarios</v>
      </c>
      <c r="H249" s="435">
        <f t="shared" si="42"/>
        <v>0</v>
      </c>
      <c r="I249" s="372">
        <f t="shared" si="40"/>
        <v>0</v>
      </c>
      <c r="J249" s="369">
        <f>IFERROR(I249/SUM(PROD!L250:L256),0)</f>
        <v>0</v>
      </c>
      <c r="K249" s="370">
        <f>IFERROR(J249/SUM(E249:E255,J249:J255,O249:O254),0)</f>
        <v>0</v>
      </c>
      <c r="L249" s="436" t="str">
        <f>$L$4</f>
        <v>Gastos de Viaje</v>
      </c>
      <c r="M249" s="435">
        <f t="shared" ref="M249:M254" si="51">M242</f>
        <v>0</v>
      </c>
      <c r="N249" s="372">
        <f>M249*12/52</f>
        <v>0</v>
      </c>
      <c r="O249" s="369">
        <f>IFERROR(N249/SUM(PROD!L250:L256),0)</f>
        <v>0</v>
      </c>
      <c r="P249" s="370">
        <f>IFERROR(O249/SUM(E249:E255,J249:J255,O249:O254),0)</f>
        <v>0</v>
      </c>
      <c r="Q249" s="373" t="str">
        <f>$Q$4</f>
        <v>AAAA</v>
      </c>
      <c r="R249" s="374">
        <f t="shared" si="43"/>
        <v>0</v>
      </c>
      <c r="S249" s="869">
        <f>SUM(PROD!AM250:AM256)</f>
        <v>0</v>
      </c>
      <c r="T249" s="375">
        <f>IF(AA249&gt;0,S249/AA249,0)</f>
        <v>0</v>
      </c>
      <c r="U249" s="376" t="str">
        <f>$U$4</f>
        <v>Prob Color</v>
      </c>
      <c r="V249" s="374">
        <f t="shared" si="44"/>
        <v>0</v>
      </c>
      <c r="W249" s="869">
        <f>SUM(PROD!AW250:AW256)</f>
        <v>0</v>
      </c>
      <c r="X249" s="375">
        <f>IFERROR(W249/(AA254-AA252),0)</f>
        <v>0</v>
      </c>
      <c r="Y249" s="377" t="s">
        <v>323</v>
      </c>
      <c r="Z249" s="378">
        <f>SUMPRODUCT(R249:R255,T249:T255)</f>
        <v>0</v>
      </c>
      <c r="AA249" s="379">
        <f>SUM(S249:S255)</f>
        <v>0</v>
      </c>
      <c r="AB249" s="490">
        <f>IF(AA254&gt;0,AA249/AA254,0)</f>
        <v>0</v>
      </c>
    </row>
    <row r="250" spans="1:28" ht="15.75" customHeight="1" x14ac:dyDescent="0.3">
      <c r="A250" s="2301"/>
      <c r="B250" s="438" t="str">
        <f>$B$5</f>
        <v>Amortización de Aves</v>
      </c>
      <c r="C250" s="381">
        <f>IFERROR((C243-(D250/'Pr-Sem'!$O$2)),0)</f>
        <v>0</v>
      </c>
      <c r="D250" s="382">
        <f>SUM(PROD!L250:L256)*E250</f>
        <v>0</v>
      </c>
      <c r="E250" s="383">
        <f>IF(SUM(PROD!L250:L256)&gt;0,IFERROR(($C$1-$C$2)/LOOKUP($B$2,'Pr-Sem'!$A$6:$A$108,'Pr-Sem'!$L$6:$L$108)*(LOOKUP(INVENTARIOS!$A249,'Pr-Sem'!$A$6:$A$108,'Pr-Sem'!$L$6:$L$108)-LOOKUP(INVENTARIOS!$A249-1,'Pr-Sem'!$A$6:$A$108,'Pr-Sem'!$L$6:$L$108))/(LOOKUP(INVENTARIOS!$A249,'Pr-Sem'!$A$6:$A$108,'Pr-Sem'!$K$6:$K$108)-LOOKUP(INVENTARIOS!$A249-1,'Pr-Sem'!$A$6:$A$108,'Pr-Sem'!$K$6:$K$108)),0),0)</f>
        <v>0</v>
      </c>
      <c r="F250" s="384">
        <f>IFERROR(E250/SUM(E249:E255,J249:J255,O249:O254),0)</f>
        <v>0</v>
      </c>
      <c r="G250" s="439" t="str">
        <f>$G$12</f>
        <v>Impuestos</v>
      </c>
      <c r="H250" s="440">
        <f t="shared" si="42"/>
        <v>0</v>
      </c>
      <c r="I250" s="387">
        <f t="shared" si="40"/>
        <v>0</v>
      </c>
      <c r="J250" s="383">
        <f>IFERROR(I250/SUM(PROD!L250:L256),0)</f>
        <v>0</v>
      </c>
      <c r="K250" s="384">
        <f>IFERROR(J250/SUM(E249:E255,J249:J255,O249:O254),0)</f>
        <v>0</v>
      </c>
      <c r="L250" s="439" t="str">
        <f>$L$5</f>
        <v>Depreciaciones</v>
      </c>
      <c r="M250" s="401">
        <f t="shared" si="51"/>
        <v>0</v>
      </c>
      <c r="N250" s="390">
        <f>M250*12/52</f>
        <v>0</v>
      </c>
      <c r="O250" s="383">
        <f>IFERROR(N250/SUM(PROD!L250:L256),0)</f>
        <v>0</v>
      </c>
      <c r="P250" s="384">
        <f>IFERROR(O250/SUM(E249:E255,J249:J255,O249:O254),0)</f>
        <v>0</v>
      </c>
      <c r="Q250" s="491" t="str">
        <f>$Q$5</f>
        <v>AAA</v>
      </c>
      <c r="R250" s="392">
        <f t="shared" si="43"/>
        <v>0</v>
      </c>
      <c r="S250" s="870">
        <f>SUM(PROD!AN250:AN256)</f>
        <v>0</v>
      </c>
      <c r="T250" s="492">
        <f>IF(AA249&gt;0,S250/AA249,0)</f>
        <v>0</v>
      </c>
      <c r="U250" s="493" t="str">
        <f>$U$5</f>
        <v>Prob Cásc</v>
      </c>
      <c r="V250" s="392">
        <f t="shared" si="44"/>
        <v>0</v>
      </c>
      <c r="W250" s="870">
        <f>SUM(PROD!AX250:AX256)</f>
        <v>0</v>
      </c>
      <c r="X250" s="492">
        <f>IFERROR(W250/(AA254-AA252),0)</f>
        <v>0</v>
      </c>
      <c r="Y250" s="395" t="s">
        <v>324</v>
      </c>
      <c r="Z250" s="396">
        <f>IFERROR(SUMPRODUCT(V249:V252,W249:W252)/SUM(W249:W252),0)</f>
        <v>0</v>
      </c>
      <c r="AA250" s="397">
        <f>SUM(W249:W252)</f>
        <v>0</v>
      </c>
      <c r="AB250" s="494">
        <f>IF(AA254&gt;0,AA250/AA254,0)</f>
        <v>0</v>
      </c>
    </row>
    <row r="251" spans="1:28" ht="15.75" customHeight="1" x14ac:dyDescent="0.3">
      <c r="A251" s="2301"/>
      <c r="B251" s="399" t="str">
        <f>$B$6</f>
        <v>Bandeja</v>
      </c>
      <c r="C251" s="400">
        <f>C244</f>
        <v>0</v>
      </c>
      <c r="D251" s="387">
        <f>C251*SUM(INVENTARIOS!R249:R255)</f>
        <v>0</v>
      </c>
      <c r="E251" s="383">
        <f>IFERROR(D251/SUM(PROD!L250:L256),0)</f>
        <v>0</v>
      </c>
      <c r="F251" s="384">
        <f>IFERROR(E251/SUM(E249:E255,J249:J255,O249:O254),0)</f>
        <v>0</v>
      </c>
      <c r="G251" s="439" t="str">
        <f>$G$13</f>
        <v>Arrendamientos</v>
      </c>
      <c r="H251" s="401">
        <f t="shared" si="42"/>
        <v>0</v>
      </c>
      <c r="I251" s="390">
        <f t="shared" si="40"/>
        <v>0</v>
      </c>
      <c r="J251" s="383">
        <f>IFERROR(I251/SUM(PROD!L250:L256),0)</f>
        <v>0</v>
      </c>
      <c r="K251" s="384">
        <f>IFERROR(J251/SUM(E249:E255,J249:J255,O249:O254),0)</f>
        <v>0</v>
      </c>
      <c r="L251" s="439" t="str">
        <f>$L$6</f>
        <v>Diversos</v>
      </c>
      <c r="M251" s="401">
        <f t="shared" si="51"/>
        <v>0</v>
      </c>
      <c r="N251" s="390">
        <f>M251*12/52</f>
        <v>0</v>
      </c>
      <c r="O251" s="383">
        <f>IFERROR(N251/SUM(PROD!L250:L256),0)</f>
        <v>0</v>
      </c>
      <c r="P251" s="384">
        <f>IFERROR(O251/SUM(E249:E255,J249:J255,O249:O254),0)</f>
        <v>0</v>
      </c>
      <c r="Q251" s="491" t="str">
        <f>$Q$6</f>
        <v>AA</v>
      </c>
      <c r="R251" s="392">
        <f t="shared" si="43"/>
        <v>0</v>
      </c>
      <c r="S251" s="870">
        <f>SUM(PROD!AO250:AO256)</f>
        <v>0</v>
      </c>
      <c r="T251" s="492">
        <f>IF(AA249&gt;0,S251/AA249,0)</f>
        <v>0</v>
      </c>
      <c r="U251" s="493" t="str">
        <f>$U$6</f>
        <v>Vencido</v>
      </c>
      <c r="V251" s="392">
        <f t="shared" si="44"/>
        <v>0</v>
      </c>
      <c r="W251" s="870">
        <f>SUM(PROD!AY250:AY256)</f>
        <v>0</v>
      </c>
      <c r="X251" s="492">
        <f>IFERROR(W251/(AA254-AA252),0)</f>
        <v>0</v>
      </c>
      <c r="Y251" s="402" t="s">
        <v>391</v>
      </c>
      <c r="Z251" s="456">
        <v>0</v>
      </c>
      <c r="AA251" s="720"/>
      <c r="AB251" s="495">
        <f>IF(AA254&gt;0,AA251/AA254,0)</f>
        <v>0</v>
      </c>
    </row>
    <row r="252" spans="1:28" ht="15.75" customHeight="1" x14ac:dyDescent="0.3">
      <c r="A252" s="2301"/>
      <c r="B252" s="438" t="str">
        <f>$B$7</f>
        <v>Mortalidad Aves</v>
      </c>
      <c r="C252" s="401">
        <f>IF(A249&lt;=$B$2,C250+$C$2,0)</f>
        <v>0</v>
      </c>
      <c r="D252" s="390">
        <f>C252*SUM(PROD!D250:D256)</f>
        <v>0</v>
      </c>
      <c r="E252" s="383">
        <f>IFERROR(D252/SUM(PROD!L250:L256),0)</f>
        <v>0</v>
      </c>
      <c r="F252" s="384">
        <f>IFERROR(E252/SUM(E249:E255,J249:J255,O249:O254),0)</f>
        <v>0</v>
      </c>
      <c r="G252" s="439" t="str">
        <f>$G$14</f>
        <v>Servicios Públicos</v>
      </c>
      <c r="H252" s="401">
        <f t="shared" si="42"/>
        <v>0</v>
      </c>
      <c r="I252" s="390">
        <f t="shared" si="40"/>
        <v>0</v>
      </c>
      <c r="J252" s="383">
        <f>IFERROR(I252/SUM(PROD!L250:L256),0)</f>
        <v>0</v>
      </c>
      <c r="K252" s="384">
        <f>IFERROR(J252/SUM(E249:E255,J249:J255,O249:O254),0)</f>
        <v>0</v>
      </c>
      <c r="L252" s="441" t="str">
        <f>$L$7</f>
        <v>Administrativos</v>
      </c>
      <c r="M252" s="401">
        <f t="shared" si="51"/>
        <v>0</v>
      </c>
      <c r="N252" s="404">
        <f>M252*0.230769230769231</f>
        <v>0</v>
      </c>
      <c r="O252" s="383">
        <f>IFERROR(N252/SUM(PROD!L250:L256),0)</f>
        <v>0</v>
      </c>
      <c r="P252" s="384">
        <f>IFERROR(O252/SUM(E249:E255,J249:J255,O249:O254),0)</f>
        <v>0</v>
      </c>
      <c r="Q252" s="491" t="str">
        <f>$Q$7</f>
        <v>A</v>
      </c>
      <c r="R252" s="392">
        <f t="shared" si="43"/>
        <v>0</v>
      </c>
      <c r="S252" s="870">
        <f>SUM(PROD!AP250:AP256)</f>
        <v>0</v>
      </c>
      <c r="T252" s="492">
        <f>IF(AA249&gt;0,S252/AA249,0)</f>
        <v>0</v>
      </c>
      <c r="U252" s="405" t="str">
        <f>$U$7</f>
        <v>Roto</v>
      </c>
      <c r="V252" s="406">
        <f t="shared" si="44"/>
        <v>0</v>
      </c>
      <c r="W252" s="872">
        <f>SUM(PROD!AZ250:AZ256)</f>
        <v>0</v>
      </c>
      <c r="X252" s="407">
        <f>IFERROR(W252/(AA254-AA252),0)</f>
        <v>0</v>
      </c>
      <c r="Y252" s="408" t="s">
        <v>359</v>
      </c>
      <c r="Z252" s="442">
        <v>215</v>
      </c>
      <c r="AA252" s="410">
        <f>SUM(PROD!L250:L256)-SUM(W249:W255)-SUM(S249:S255)-AA251</f>
        <v>0</v>
      </c>
      <c r="AB252" s="496">
        <f>IF(AA254&gt;0,AA252/AA254,0)</f>
        <v>0</v>
      </c>
    </row>
    <row r="253" spans="1:28" ht="15.75" customHeight="1" x14ac:dyDescent="0.3">
      <c r="A253" s="2301"/>
      <c r="B253" s="399" t="str">
        <f>$B$8</f>
        <v>Materia Prima (Carb Ca, etc.)</v>
      </c>
      <c r="C253" s="440">
        <f>C246</f>
        <v>0</v>
      </c>
      <c r="D253" s="387">
        <f>C253*12/52</f>
        <v>0</v>
      </c>
      <c r="E253" s="383">
        <f>IFERROR(D253/SUM(PROD!L250:L256),0)</f>
        <v>0</v>
      </c>
      <c r="F253" s="384">
        <f>IFERROR(E253/SUM(E249:E255,J249:J255,O249:O254),0)</f>
        <v>0</v>
      </c>
      <c r="G253" s="441" t="str">
        <f>$G$15</f>
        <v>Gastos Legales</v>
      </c>
      <c r="H253" s="401">
        <f t="shared" si="42"/>
        <v>0</v>
      </c>
      <c r="I253" s="390">
        <f t="shared" si="40"/>
        <v>0</v>
      </c>
      <c r="J253" s="383">
        <f>IFERROR(I253/SUM(PROD!L250:L256),0)</f>
        <v>0</v>
      </c>
      <c r="K253" s="384">
        <f>IFERROR(J253/SUM(E249:E255,J249:J255,O249:O254),0)</f>
        <v>0</v>
      </c>
      <c r="L253" s="439" t="str">
        <f>$L$8</f>
        <v>Fletes</v>
      </c>
      <c r="M253" s="401">
        <f t="shared" si="51"/>
        <v>0</v>
      </c>
      <c r="N253" s="404">
        <f>M253*0.230769230769231</f>
        <v>0</v>
      </c>
      <c r="O253" s="383">
        <f>IFERROR(N253/SUM(PROD!L250:L256),0)</f>
        <v>0</v>
      </c>
      <c r="P253" s="384">
        <f>IFERROR(O253/SUM(E249:E255,J249:J255,O249:O254),0)</f>
        <v>0</v>
      </c>
      <c r="Q253" s="491" t="str">
        <f>$Q$8</f>
        <v>B</v>
      </c>
      <c r="R253" s="392">
        <f t="shared" si="43"/>
        <v>0</v>
      </c>
      <c r="S253" s="870">
        <f>SUM(PROD!AQ250:AQ256)</f>
        <v>0</v>
      </c>
      <c r="T253" s="492">
        <f>IF(AA249&gt;0,S253/AA249,0)</f>
        <v>0</v>
      </c>
      <c r="U253" s="395" t="str">
        <f>$U$8</f>
        <v>Rev. Gr.</v>
      </c>
      <c r="V253" s="412">
        <f t="shared" si="44"/>
        <v>0</v>
      </c>
      <c r="W253" s="873">
        <f>SUM(PROD!AT250:AT256)</f>
        <v>0</v>
      </c>
      <c r="X253" s="413">
        <f>IFERROR(W253/(AA254-AA252),0)</f>
        <v>0</v>
      </c>
      <c r="Y253" s="414" t="s">
        <v>262</v>
      </c>
      <c r="Z253" s="415">
        <f>IFERROR(SUMPRODUCT(V253:V255,W253:W255)/SUM(W253:W255),0)</f>
        <v>0</v>
      </c>
      <c r="AA253" s="416">
        <f>SUM(W253:W255)</f>
        <v>0</v>
      </c>
      <c r="AB253" s="497">
        <f>IF(AA254&gt;0,AA253/AA254,0)</f>
        <v>0</v>
      </c>
    </row>
    <row r="254" spans="1:28" ht="15.75" customHeight="1" x14ac:dyDescent="0.3">
      <c r="A254" s="2301"/>
      <c r="B254" s="438" t="str">
        <f>$B$9</f>
        <v>Vacunas y medicamentos</v>
      </c>
      <c r="C254" s="443">
        <f>C247</f>
        <v>0</v>
      </c>
      <c r="D254" s="387">
        <f>C254*12/52</f>
        <v>0</v>
      </c>
      <c r="E254" s="383">
        <f>IFERROR(D254/SUM(PROD!L250:L256),0)</f>
        <v>0</v>
      </c>
      <c r="F254" s="384">
        <f>IFERROR(E254/SUM(E249:E255,J249:J255,O249:O254),0)</f>
        <v>0</v>
      </c>
      <c r="G254" s="441" t="str">
        <f>$G$16</f>
        <v>Mantenimiento y Reparaciones</v>
      </c>
      <c r="H254" s="401">
        <f t="shared" si="42"/>
        <v>0</v>
      </c>
      <c r="I254" s="390">
        <f t="shared" si="40"/>
        <v>0</v>
      </c>
      <c r="J254" s="383">
        <f>IFERROR(I254/SUM(PROD!L250:L256),0)</f>
        <v>0</v>
      </c>
      <c r="K254" s="384">
        <f>IFERROR(J254/SUM(E249:E255,J249:J255,O249:O254),0)</f>
        <v>0</v>
      </c>
      <c r="L254" s="439">
        <f>$L$9</f>
        <v>0</v>
      </c>
      <c r="M254" s="401">
        <f t="shared" si="51"/>
        <v>0</v>
      </c>
      <c r="N254" s="404">
        <f>M254*0.230769230769231</f>
        <v>0</v>
      </c>
      <c r="O254" s="383">
        <f>IFERROR(N254/SUM(PROD!L250:L256),0)</f>
        <v>0</v>
      </c>
      <c r="P254" s="384">
        <f>IFERROR(O254/SUM(E249:E255,J249:J255,O249:O254),0)</f>
        <v>0</v>
      </c>
      <c r="Q254" s="491" t="str">
        <f>$Q$9</f>
        <v>C</v>
      </c>
      <c r="R254" s="392">
        <f t="shared" si="43"/>
        <v>0</v>
      </c>
      <c r="S254" s="870">
        <f>SUM(PROD!AR250:AR256)</f>
        <v>0</v>
      </c>
      <c r="T254" s="492">
        <f>IF(AA249&gt;0,S254/AA249,0)</f>
        <v>0</v>
      </c>
      <c r="U254" s="493" t="str">
        <f>$U$9</f>
        <v>Rev. Med</v>
      </c>
      <c r="V254" s="392">
        <f t="shared" si="44"/>
        <v>0</v>
      </c>
      <c r="W254" s="870">
        <f>SUM(PROD!AU250:AU256)</f>
        <v>0</v>
      </c>
      <c r="X254" s="498">
        <f>IFERROR(W254/(AA254-AA252),0)</f>
        <v>0</v>
      </c>
      <c r="Y254" s="2303" t="s">
        <v>325</v>
      </c>
      <c r="Z254" s="2305">
        <f>SUMPRODUCT(Z249:Z253,AB249:AB253)</f>
        <v>0</v>
      </c>
      <c r="AA254" s="2307">
        <f>SUM(AA249:AA252)</f>
        <v>0</v>
      </c>
      <c r="AB254" s="2308"/>
    </row>
    <row r="255" spans="1:28" ht="16.5" customHeight="1" thickBot="1" x14ac:dyDescent="0.35">
      <c r="A255" s="2302"/>
      <c r="B255" s="444" t="str">
        <f>$B$10</f>
        <v>Gastos de Personal</v>
      </c>
      <c r="C255" s="445">
        <f>C248</f>
        <v>0</v>
      </c>
      <c r="D255" s="421">
        <f>C255*12/52</f>
        <v>0</v>
      </c>
      <c r="E255" s="446">
        <f>IFERROR(D255/SUM(PROD!L250:L256),0)</f>
        <v>0</v>
      </c>
      <c r="F255" s="447">
        <f>IFERROR(E255/SUM(E249:E255,J249:J255,O249:O254),0)</f>
        <v>0</v>
      </c>
      <c r="G255" s="448" t="str">
        <f>$G$17</f>
        <v>Adecuación Instalaciones</v>
      </c>
      <c r="H255" s="445">
        <f t="shared" si="42"/>
        <v>0</v>
      </c>
      <c r="I255" s="426">
        <f t="shared" si="40"/>
        <v>0</v>
      </c>
      <c r="J255" s="446">
        <f>IFERROR(I255/SUM(PROD!L250:L256),0)</f>
        <v>0</v>
      </c>
      <c r="K255" s="447">
        <f>IFERROR(J255/SUM(E249:E255,J249:J255,O249:O254),0)</f>
        <v>0</v>
      </c>
      <c r="L255" s="2311" t="str">
        <f>$L$10</f>
        <v>TOTAL COSTO PRODUCCIÓN</v>
      </c>
      <c r="M255" s="2312"/>
      <c r="N255" s="427">
        <f>SUM(D249:D255,I249:I255,N249:N254)</f>
        <v>0</v>
      </c>
      <c r="O255" s="449">
        <f>IFERROR(N255/SUM(PROD!L250:L256),0)</f>
        <v>0</v>
      </c>
      <c r="P255" s="447">
        <f>IFERROR(O255/SUM(E249:E255,J249:J255,O249:O254),0)</f>
        <v>0</v>
      </c>
      <c r="Q255" s="429" t="str">
        <f>$Q$10</f>
        <v>D</v>
      </c>
      <c r="R255" s="499">
        <f t="shared" si="43"/>
        <v>0</v>
      </c>
      <c r="S255" s="871">
        <f>SUM(PROD!AS250:AS256)</f>
        <v>0</v>
      </c>
      <c r="T255" s="431">
        <f>IF(AA249&gt;0,S255/AA249,0)</f>
        <v>0</v>
      </c>
      <c r="U255" s="432" t="str">
        <f>$U$10</f>
        <v>Rev. Peq</v>
      </c>
      <c r="V255" s="499">
        <f t="shared" si="44"/>
        <v>0</v>
      </c>
      <c r="W255" s="871">
        <f>SUM(PROD!AV250:AV256)</f>
        <v>0</v>
      </c>
      <c r="X255" s="431">
        <f>IFERROR(W255/(AA254-AA252),0)</f>
        <v>0</v>
      </c>
      <c r="Y255" s="2304"/>
      <c r="Z255" s="2306"/>
      <c r="AA255" s="2309"/>
      <c r="AB255" s="2310"/>
    </row>
    <row r="256" spans="1:28" ht="16.5" customHeight="1" x14ac:dyDescent="0.3">
      <c r="A256" s="2300">
        <f>A249+1</f>
        <v>54</v>
      </c>
      <c r="B256" s="433" t="str">
        <f>$B$4</f>
        <v>ALIMENTO Kilos</v>
      </c>
      <c r="C256" s="435">
        <f>LOOKUP($A256,PROD!$A$5:$A$725,PROD!$AH$10:$AH$730)</f>
        <v>0</v>
      </c>
      <c r="D256" s="368">
        <f>C256*LOOKUP($A256,'Pr-Sem'!$A$6:$A$108,'Pr-Sem'!$N$6:$N$108)/(PROD!$A$1/1000)</f>
        <v>0</v>
      </c>
      <c r="E256" s="369">
        <f>IFERROR(D256/SUM(PROD!L257:L263),0)</f>
        <v>0</v>
      </c>
      <c r="F256" s="370">
        <f>IFERROR(E256/SUM(E256:E262,J256:J262,O256:O261),0)</f>
        <v>0</v>
      </c>
      <c r="G256" s="434" t="str">
        <f>$G$11</f>
        <v>Honorarios</v>
      </c>
      <c r="H256" s="435">
        <f t="shared" si="42"/>
        <v>0</v>
      </c>
      <c r="I256" s="372">
        <f t="shared" si="40"/>
        <v>0</v>
      </c>
      <c r="J256" s="369">
        <f>IFERROR(I256/SUM(PROD!L257:L263),0)</f>
        <v>0</v>
      </c>
      <c r="K256" s="370">
        <f>IFERROR(J256/SUM(E256:E262,J256:J262,O256:O261),0)</f>
        <v>0</v>
      </c>
      <c r="L256" s="436" t="str">
        <f>$L$4</f>
        <v>Gastos de Viaje</v>
      </c>
      <c r="M256" s="435">
        <f t="shared" ref="M256:M261" si="52">M249</f>
        <v>0</v>
      </c>
      <c r="N256" s="372">
        <f>M256*12/52</f>
        <v>0</v>
      </c>
      <c r="O256" s="369">
        <f>IFERROR(N256/SUM(PROD!L257:L263),0)</f>
        <v>0</v>
      </c>
      <c r="P256" s="370">
        <f>IFERROR(O256/SUM(E256:E262,J256:J262,O256:O261),0)</f>
        <v>0</v>
      </c>
      <c r="Q256" s="373" t="str">
        <f>$Q$4</f>
        <v>AAAA</v>
      </c>
      <c r="R256" s="374">
        <f t="shared" si="43"/>
        <v>0</v>
      </c>
      <c r="S256" s="869">
        <f>SUM(PROD!AM257:AM263)</f>
        <v>0</v>
      </c>
      <c r="T256" s="375">
        <f>IF(AA256&gt;0,S256/AA256,0)</f>
        <v>0</v>
      </c>
      <c r="U256" s="376" t="str">
        <f>$U$4</f>
        <v>Prob Color</v>
      </c>
      <c r="V256" s="374">
        <f t="shared" si="44"/>
        <v>0</v>
      </c>
      <c r="W256" s="869">
        <f>SUM(PROD!AW257:AW263)</f>
        <v>0</v>
      </c>
      <c r="X256" s="375">
        <f>IFERROR(W256/(AA261-AA259),0)</f>
        <v>0</v>
      </c>
      <c r="Y256" s="377" t="s">
        <v>323</v>
      </c>
      <c r="Z256" s="378">
        <f>SUMPRODUCT(R256:R262,T256:T262)</f>
        <v>0</v>
      </c>
      <c r="AA256" s="379">
        <f>SUM(S256:S262)</f>
        <v>0</v>
      </c>
      <c r="AB256" s="490">
        <f>IF(AA261&gt;0,AA256/AA261,0)</f>
        <v>0</v>
      </c>
    </row>
    <row r="257" spans="1:28" ht="15.75" customHeight="1" x14ac:dyDescent="0.3">
      <c r="A257" s="2301"/>
      <c r="B257" s="438" t="str">
        <f>$B$5</f>
        <v>Amortización de Aves</v>
      </c>
      <c r="C257" s="381">
        <f>IFERROR((C250-(D257/'Pr-Sem'!$O$2)),0)</f>
        <v>0</v>
      </c>
      <c r="D257" s="382">
        <f>SUM(PROD!L257:L263)*E257</f>
        <v>0</v>
      </c>
      <c r="E257" s="383">
        <f>IF(SUM(PROD!L257:L263)&gt;0,IFERROR(($C$1-$C$2)/LOOKUP($B$2,'Pr-Sem'!$A$6:$A$108,'Pr-Sem'!$L$6:$L$108)*(LOOKUP(INVENTARIOS!$A256,'Pr-Sem'!$A$6:$A$108,'Pr-Sem'!$L$6:$L$108)-LOOKUP(INVENTARIOS!$A256-1,'Pr-Sem'!$A$6:$A$108,'Pr-Sem'!$L$6:$L$108))/(LOOKUP(INVENTARIOS!$A256,'Pr-Sem'!$A$6:$A$108,'Pr-Sem'!$K$6:$K$108)-LOOKUP(INVENTARIOS!$A256-1,'Pr-Sem'!$A$6:$A$108,'Pr-Sem'!$K$6:$K$108)),0),0)</f>
        <v>0</v>
      </c>
      <c r="F257" s="384">
        <f>IFERROR(E257/SUM(E256:E262,J256:J262,O256:O261),0)</f>
        <v>0</v>
      </c>
      <c r="G257" s="439" t="str">
        <f>$G$12</f>
        <v>Impuestos</v>
      </c>
      <c r="H257" s="440">
        <f t="shared" si="42"/>
        <v>0</v>
      </c>
      <c r="I257" s="387">
        <f t="shared" si="40"/>
        <v>0</v>
      </c>
      <c r="J257" s="383">
        <f>IFERROR(I257/SUM(PROD!L257:L263),0)</f>
        <v>0</v>
      </c>
      <c r="K257" s="384">
        <f>IFERROR(J257/SUM(E256:E262,J256:J262,O256:O261),0)</f>
        <v>0</v>
      </c>
      <c r="L257" s="439" t="str">
        <f>$L$5</f>
        <v>Depreciaciones</v>
      </c>
      <c r="M257" s="401">
        <f t="shared" si="52"/>
        <v>0</v>
      </c>
      <c r="N257" s="390">
        <f>M257*12/52</f>
        <v>0</v>
      </c>
      <c r="O257" s="383">
        <f>IFERROR(N257/SUM(PROD!L257:L263),0)</f>
        <v>0</v>
      </c>
      <c r="P257" s="384">
        <f>IFERROR(O257/SUM(E256:E262,J256:J262,O256:O261),0)</f>
        <v>0</v>
      </c>
      <c r="Q257" s="491" t="str">
        <f>$Q$5</f>
        <v>AAA</v>
      </c>
      <c r="R257" s="392">
        <f t="shared" si="43"/>
        <v>0</v>
      </c>
      <c r="S257" s="870">
        <f>SUM(PROD!AN257:AN263)</f>
        <v>0</v>
      </c>
      <c r="T257" s="492">
        <f>IF(AA256&gt;0,S257/AA256,0)</f>
        <v>0</v>
      </c>
      <c r="U257" s="493" t="str">
        <f>$U$5</f>
        <v>Prob Cásc</v>
      </c>
      <c r="V257" s="392">
        <f t="shared" si="44"/>
        <v>0</v>
      </c>
      <c r="W257" s="870">
        <f>SUM(PROD!AX257:AX263)</f>
        <v>0</v>
      </c>
      <c r="X257" s="492">
        <f>IFERROR(W257/(AA261-AA259),0)</f>
        <v>0</v>
      </c>
      <c r="Y257" s="395" t="s">
        <v>324</v>
      </c>
      <c r="Z257" s="396">
        <f>IFERROR(SUMPRODUCT(V256:V259,W256:W259)/SUM(W256:W259),0)</f>
        <v>0</v>
      </c>
      <c r="AA257" s="397">
        <f>SUM(W256:W259)</f>
        <v>0</v>
      </c>
      <c r="AB257" s="494">
        <f>IF(AA261&gt;0,AA257/AA261,0)</f>
        <v>0</v>
      </c>
    </row>
    <row r="258" spans="1:28" ht="15.75" customHeight="1" x14ac:dyDescent="0.3">
      <c r="A258" s="2301"/>
      <c r="B258" s="399" t="str">
        <f>$B$6</f>
        <v>Bandeja</v>
      </c>
      <c r="C258" s="400">
        <f>C251</f>
        <v>0</v>
      </c>
      <c r="D258" s="387">
        <f>C258*SUM(INVENTARIOS!R256:R262)</f>
        <v>0</v>
      </c>
      <c r="E258" s="383">
        <f>IFERROR(D258/SUM(PROD!L257:L263),0)</f>
        <v>0</v>
      </c>
      <c r="F258" s="384">
        <f>IFERROR(E258/SUM(E256:E262,J256:J262,O256:O261),0)</f>
        <v>0</v>
      </c>
      <c r="G258" s="439" t="str">
        <f>$G$13</f>
        <v>Arrendamientos</v>
      </c>
      <c r="H258" s="401">
        <f t="shared" si="42"/>
        <v>0</v>
      </c>
      <c r="I258" s="390">
        <f t="shared" si="40"/>
        <v>0</v>
      </c>
      <c r="J258" s="383">
        <f>IFERROR(I258/SUM(PROD!L257:L263),0)</f>
        <v>0</v>
      </c>
      <c r="K258" s="384">
        <f>IFERROR(J258/SUM(E256:E262,J256:J262,O256:O261),0)</f>
        <v>0</v>
      </c>
      <c r="L258" s="439" t="str">
        <f>$L$6</f>
        <v>Diversos</v>
      </c>
      <c r="M258" s="401">
        <f t="shared" si="52"/>
        <v>0</v>
      </c>
      <c r="N258" s="390">
        <f>M258*12/52</f>
        <v>0</v>
      </c>
      <c r="O258" s="383">
        <f>IFERROR(N258/SUM(PROD!L257:L263),0)</f>
        <v>0</v>
      </c>
      <c r="P258" s="384">
        <f>IFERROR(O258/SUM(E256:E262,J256:J262,O256:O261),0)</f>
        <v>0</v>
      </c>
      <c r="Q258" s="491" t="str">
        <f>$Q$6</f>
        <v>AA</v>
      </c>
      <c r="R258" s="392">
        <f t="shared" si="43"/>
        <v>0</v>
      </c>
      <c r="S258" s="870">
        <f>SUM(PROD!AO257:AO263)</f>
        <v>0</v>
      </c>
      <c r="T258" s="492">
        <f>IF(AA256&gt;0,S258/AA256,0)</f>
        <v>0</v>
      </c>
      <c r="U258" s="493" t="str">
        <f>$U$6</f>
        <v>Vencido</v>
      </c>
      <c r="V258" s="392">
        <f t="shared" si="44"/>
        <v>0</v>
      </c>
      <c r="W258" s="870">
        <f>SUM(PROD!AY257:AY263)</f>
        <v>0</v>
      </c>
      <c r="X258" s="492">
        <f>IFERROR(W258/(AA261-AA259),0)</f>
        <v>0</v>
      </c>
      <c r="Y258" s="402" t="s">
        <v>391</v>
      </c>
      <c r="Z258" s="456">
        <v>0</v>
      </c>
      <c r="AA258" s="720"/>
      <c r="AB258" s="495">
        <f>IF(AA261&gt;0,AA258/AA261,0)</f>
        <v>0</v>
      </c>
    </row>
    <row r="259" spans="1:28" ht="15.75" customHeight="1" x14ac:dyDescent="0.3">
      <c r="A259" s="2301"/>
      <c r="B259" s="438" t="str">
        <f>$B$7</f>
        <v>Mortalidad Aves</v>
      </c>
      <c r="C259" s="401">
        <f>IF(A256&lt;=$B$2,C257+$C$2,0)</f>
        <v>0</v>
      </c>
      <c r="D259" s="390">
        <f>C259*SUM(PROD!D257:D263)</f>
        <v>0</v>
      </c>
      <c r="E259" s="383">
        <f>IFERROR(D259/SUM(PROD!L257:L263),0)</f>
        <v>0</v>
      </c>
      <c r="F259" s="384">
        <f>IFERROR(E259/SUM(E256:E262,J256:J262,O256:O261),0)</f>
        <v>0</v>
      </c>
      <c r="G259" s="439" t="str">
        <f>$G$14</f>
        <v>Servicios Públicos</v>
      </c>
      <c r="H259" s="401">
        <f t="shared" si="42"/>
        <v>0</v>
      </c>
      <c r="I259" s="390">
        <f t="shared" si="40"/>
        <v>0</v>
      </c>
      <c r="J259" s="383">
        <f>IFERROR(I259/SUM(PROD!L257:L263),0)</f>
        <v>0</v>
      </c>
      <c r="K259" s="384">
        <f>IFERROR(J259/SUM(E256:E262,J256:J262,O256:O261),0)</f>
        <v>0</v>
      </c>
      <c r="L259" s="441" t="str">
        <f>$L$7</f>
        <v>Administrativos</v>
      </c>
      <c r="M259" s="401">
        <f t="shared" si="52"/>
        <v>0</v>
      </c>
      <c r="N259" s="404">
        <f>M259*0.230769230769231</f>
        <v>0</v>
      </c>
      <c r="O259" s="383">
        <f>IFERROR(N259/SUM(PROD!L257:L263),0)</f>
        <v>0</v>
      </c>
      <c r="P259" s="384">
        <f>IFERROR(O259/SUM(E256:E262,J256:J262,O256:O261),0)</f>
        <v>0</v>
      </c>
      <c r="Q259" s="491" t="str">
        <f>$Q$7</f>
        <v>A</v>
      </c>
      <c r="R259" s="392">
        <f t="shared" si="43"/>
        <v>0</v>
      </c>
      <c r="S259" s="870">
        <f>SUM(PROD!AP257:AP263)</f>
        <v>0</v>
      </c>
      <c r="T259" s="492">
        <f>IF(AA256&gt;0,S259/AA256,0)</f>
        <v>0</v>
      </c>
      <c r="U259" s="405" t="str">
        <f>$U$7</f>
        <v>Roto</v>
      </c>
      <c r="V259" s="406">
        <f t="shared" si="44"/>
        <v>0</v>
      </c>
      <c r="W259" s="872">
        <f>SUM(PROD!AZ257:AZ263)</f>
        <v>0</v>
      </c>
      <c r="X259" s="407">
        <f>IFERROR(W259/(AA261-AA259),0)</f>
        <v>0</v>
      </c>
      <c r="Y259" s="408" t="s">
        <v>359</v>
      </c>
      <c r="Z259" s="442">
        <v>215</v>
      </c>
      <c r="AA259" s="410">
        <f>SUM(PROD!L257:L263)-SUM(W256:W262)-SUM(S256:S262)-AA258</f>
        <v>0</v>
      </c>
      <c r="AB259" s="496">
        <f>IF(AA261&gt;0,AA259/AA261,0)</f>
        <v>0</v>
      </c>
    </row>
    <row r="260" spans="1:28" ht="15.75" customHeight="1" x14ac:dyDescent="0.3">
      <c r="A260" s="2301"/>
      <c r="B260" s="399" t="str">
        <f>$B$8</f>
        <v>Materia Prima (Carb Ca, etc.)</v>
      </c>
      <c r="C260" s="440">
        <f>C253</f>
        <v>0</v>
      </c>
      <c r="D260" s="387">
        <f>C260*12/52</f>
        <v>0</v>
      </c>
      <c r="E260" s="383">
        <f>IFERROR(D260/SUM(PROD!L257:L263),0)</f>
        <v>0</v>
      </c>
      <c r="F260" s="384">
        <f>IFERROR(E260/SUM(E256:E262,J256:J262,O256:O261),0)</f>
        <v>0</v>
      </c>
      <c r="G260" s="441" t="str">
        <f>$G$15</f>
        <v>Gastos Legales</v>
      </c>
      <c r="H260" s="401">
        <f t="shared" si="42"/>
        <v>0</v>
      </c>
      <c r="I260" s="390">
        <f t="shared" ref="I260:I323" si="53">H260*12/52</f>
        <v>0</v>
      </c>
      <c r="J260" s="383">
        <f>IFERROR(I260/SUM(PROD!L257:L263),0)</f>
        <v>0</v>
      </c>
      <c r="K260" s="384">
        <f>IFERROR(J260/SUM(E256:E262,J256:J262,O256:O261),0)</f>
        <v>0</v>
      </c>
      <c r="L260" s="439" t="str">
        <f>$L$8</f>
        <v>Fletes</v>
      </c>
      <c r="M260" s="401">
        <f t="shared" si="52"/>
        <v>0</v>
      </c>
      <c r="N260" s="404">
        <f>M260*0.230769230769231</f>
        <v>0</v>
      </c>
      <c r="O260" s="383">
        <f>IFERROR(N260/SUM(PROD!L257:L263),0)</f>
        <v>0</v>
      </c>
      <c r="P260" s="384">
        <f>IFERROR(O260/SUM(E256:E262,J256:J262,O256:O261),0)</f>
        <v>0</v>
      </c>
      <c r="Q260" s="491" t="str">
        <f>$Q$8</f>
        <v>B</v>
      </c>
      <c r="R260" s="392">
        <f t="shared" si="43"/>
        <v>0</v>
      </c>
      <c r="S260" s="870">
        <f>SUM(PROD!AQ257:AQ263)</f>
        <v>0</v>
      </c>
      <c r="T260" s="492">
        <f>IF(AA256&gt;0,S260/AA256,0)</f>
        <v>0</v>
      </c>
      <c r="U260" s="395" t="str">
        <f>$U$8</f>
        <v>Rev. Gr.</v>
      </c>
      <c r="V260" s="412">
        <f t="shared" si="44"/>
        <v>0</v>
      </c>
      <c r="W260" s="873">
        <f>SUM(PROD!AT257:AT263)</f>
        <v>0</v>
      </c>
      <c r="X260" s="413">
        <f>IFERROR(W260/(AA261-AA259),0)</f>
        <v>0</v>
      </c>
      <c r="Y260" s="414" t="s">
        <v>262</v>
      </c>
      <c r="Z260" s="415">
        <f>IFERROR(SUMPRODUCT(V260:V262,W260:W262)/SUM(W260:W262),0)</f>
        <v>0</v>
      </c>
      <c r="AA260" s="416">
        <f>SUM(W260:W262)</f>
        <v>0</v>
      </c>
      <c r="AB260" s="497">
        <f>IF(AA261&gt;0,AA260/AA261,0)</f>
        <v>0</v>
      </c>
    </row>
    <row r="261" spans="1:28" ht="15.75" customHeight="1" x14ac:dyDescent="0.3">
      <c r="A261" s="2301"/>
      <c r="B261" s="438" t="str">
        <f>$B$9</f>
        <v>Vacunas y medicamentos</v>
      </c>
      <c r="C261" s="443">
        <f>C254</f>
        <v>0</v>
      </c>
      <c r="D261" s="387">
        <f>C261*12/52</f>
        <v>0</v>
      </c>
      <c r="E261" s="383">
        <f>IFERROR(D261/SUM(PROD!L257:L263),0)</f>
        <v>0</v>
      </c>
      <c r="F261" s="384">
        <f>IFERROR(E261/SUM(E256:E262,J256:J262,O256:O261),0)</f>
        <v>0</v>
      </c>
      <c r="G261" s="441" t="str">
        <f>$G$16</f>
        <v>Mantenimiento y Reparaciones</v>
      </c>
      <c r="H261" s="401">
        <f t="shared" si="42"/>
        <v>0</v>
      </c>
      <c r="I261" s="390">
        <f t="shared" si="53"/>
        <v>0</v>
      </c>
      <c r="J261" s="383">
        <f>IFERROR(I261/SUM(PROD!L257:L263),0)</f>
        <v>0</v>
      </c>
      <c r="K261" s="384">
        <f>IFERROR(J261/SUM(E256:E262,J256:J262,O256:O261),0)</f>
        <v>0</v>
      </c>
      <c r="L261" s="439">
        <f>$L$9</f>
        <v>0</v>
      </c>
      <c r="M261" s="401">
        <f t="shared" si="52"/>
        <v>0</v>
      </c>
      <c r="N261" s="404">
        <f>M261*0.230769230769231</f>
        <v>0</v>
      </c>
      <c r="O261" s="383">
        <f>IFERROR(N261/SUM(PROD!L257:L263),0)</f>
        <v>0</v>
      </c>
      <c r="P261" s="384">
        <f>IFERROR(O261/SUM(E256:E262,J256:J262,O256:O261),0)</f>
        <v>0</v>
      </c>
      <c r="Q261" s="491" t="str">
        <f>$Q$9</f>
        <v>C</v>
      </c>
      <c r="R261" s="392">
        <f t="shared" si="43"/>
        <v>0</v>
      </c>
      <c r="S261" s="870">
        <f>SUM(PROD!AR257:AR263)</f>
        <v>0</v>
      </c>
      <c r="T261" s="492">
        <f>IF(AA256&gt;0,S261/AA256,0)</f>
        <v>0</v>
      </c>
      <c r="U261" s="493" t="str">
        <f>$U$9</f>
        <v>Rev. Med</v>
      </c>
      <c r="V261" s="392">
        <f t="shared" si="44"/>
        <v>0</v>
      </c>
      <c r="W261" s="870">
        <f>SUM(PROD!AU257:AU263)</f>
        <v>0</v>
      </c>
      <c r="X261" s="498">
        <f>IFERROR(W261/(AA261-AA259),0)</f>
        <v>0</v>
      </c>
      <c r="Y261" s="2303" t="s">
        <v>325</v>
      </c>
      <c r="Z261" s="2305">
        <f>SUMPRODUCT(Z256:Z260,AB256:AB260)</f>
        <v>0</v>
      </c>
      <c r="AA261" s="2307">
        <f>SUM(AA256:AA259)</f>
        <v>0</v>
      </c>
      <c r="AB261" s="2308"/>
    </row>
    <row r="262" spans="1:28" ht="16.5" customHeight="1" thickBot="1" x14ac:dyDescent="0.35">
      <c r="A262" s="2302"/>
      <c r="B262" s="444" t="str">
        <f>$B$10</f>
        <v>Gastos de Personal</v>
      </c>
      <c r="C262" s="445">
        <f>C255</f>
        <v>0</v>
      </c>
      <c r="D262" s="421">
        <f>C262*12/52</f>
        <v>0</v>
      </c>
      <c r="E262" s="446">
        <f>IFERROR(D262/SUM(PROD!L257:L263),0)</f>
        <v>0</v>
      </c>
      <c r="F262" s="447">
        <f>IFERROR(E262/SUM(E256:E262,J256:J262,O256:O261),0)</f>
        <v>0</v>
      </c>
      <c r="G262" s="448" t="str">
        <f>$G$17</f>
        <v>Adecuación Instalaciones</v>
      </c>
      <c r="H262" s="445">
        <f t="shared" si="42"/>
        <v>0</v>
      </c>
      <c r="I262" s="426">
        <f t="shared" si="53"/>
        <v>0</v>
      </c>
      <c r="J262" s="446">
        <f>IFERROR(I262/SUM(PROD!L257:L263),0)</f>
        <v>0</v>
      </c>
      <c r="K262" s="447">
        <f>IFERROR(J262/SUM(E256:E262,J256:J262,O256:O261),0)</f>
        <v>0</v>
      </c>
      <c r="L262" s="2311" t="str">
        <f>$L$10</f>
        <v>TOTAL COSTO PRODUCCIÓN</v>
      </c>
      <c r="M262" s="2312"/>
      <c r="N262" s="427">
        <f>SUM(D256:D262,I256:I262,N256:N261)</f>
        <v>0</v>
      </c>
      <c r="O262" s="449">
        <f>IFERROR(N262/SUM(PROD!L257:L263),0)</f>
        <v>0</v>
      </c>
      <c r="P262" s="447">
        <f>IFERROR(O262/SUM(E256:E262,J256:J262,O256:O261),0)</f>
        <v>0</v>
      </c>
      <c r="Q262" s="429" t="str">
        <f>$Q$10</f>
        <v>D</v>
      </c>
      <c r="R262" s="499">
        <f t="shared" si="43"/>
        <v>0</v>
      </c>
      <c r="S262" s="871">
        <f>SUM(PROD!AS257:AS263)</f>
        <v>0</v>
      </c>
      <c r="T262" s="431">
        <f>IF(AA256&gt;0,S262/AA256,0)</f>
        <v>0</v>
      </c>
      <c r="U262" s="432" t="str">
        <f>$U$10</f>
        <v>Rev. Peq</v>
      </c>
      <c r="V262" s="499">
        <f t="shared" si="44"/>
        <v>0</v>
      </c>
      <c r="W262" s="871">
        <f>SUM(PROD!AV257:AV263)</f>
        <v>0</v>
      </c>
      <c r="X262" s="431">
        <f>IFERROR(W262/(AA261-AA259),0)</f>
        <v>0</v>
      </c>
      <c r="Y262" s="2304"/>
      <c r="Z262" s="2306"/>
      <c r="AA262" s="2309"/>
      <c r="AB262" s="2310"/>
    </row>
    <row r="263" spans="1:28" ht="16.5" customHeight="1" x14ac:dyDescent="0.3">
      <c r="A263" s="2300">
        <f>A256+1</f>
        <v>55</v>
      </c>
      <c r="B263" s="433" t="str">
        <f>$B$4</f>
        <v>ALIMENTO Kilos</v>
      </c>
      <c r="C263" s="435">
        <f>LOOKUP($A263,PROD!$A$5:$A$725,PROD!$AH$10:$AH$730)</f>
        <v>0</v>
      </c>
      <c r="D263" s="368">
        <f>C263*LOOKUP($A263,'Pr-Sem'!$A$6:$A$108,'Pr-Sem'!$N$6:$N$108)/(PROD!$A$1/1000)</f>
        <v>0</v>
      </c>
      <c r="E263" s="369">
        <f>IFERROR(D263/SUM(PROD!L264:L270),0)</f>
        <v>0</v>
      </c>
      <c r="F263" s="370">
        <f>IFERROR(E263/SUM(E263:E269,J263:J269,O263:O268),0)</f>
        <v>0</v>
      </c>
      <c r="G263" s="434" t="str">
        <f>$G$11</f>
        <v>Honorarios</v>
      </c>
      <c r="H263" s="435">
        <f t="shared" si="42"/>
        <v>0</v>
      </c>
      <c r="I263" s="372">
        <f t="shared" si="53"/>
        <v>0</v>
      </c>
      <c r="J263" s="369">
        <f>IFERROR(I263/SUM(PROD!L264:L270),0)</f>
        <v>0</v>
      </c>
      <c r="K263" s="370">
        <f>IFERROR(J263/SUM(E263:E269,J263:J269,O263:O268),0)</f>
        <v>0</v>
      </c>
      <c r="L263" s="436" t="str">
        <f>$L$4</f>
        <v>Gastos de Viaje</v>
      </c>
      <c r="M263" s="435">
        <f t="shared" ref="M263:M268" si="54">M256</f>
        <v>0</v>
      </c>
      <c r="N263" s="372">
        <f>M263*12/52</f>
        <v>0</v>
      </c>
      <c r="O263" s="369">
        <f>IFERROR(N263/SUM(PROD!L264:L270),0)</f>
        <v>0</v>
      </c>
      <c r="P263" s="370">
        <f>IFERROR(O263/SUM(E263:E269,J263:J269,O263:O268),0)</f>
        <v>0</v>
      </c>
      <c r="Q263" s="373" t="str">
        <f>$Q$4</f>
        <v>AAAA</v>
      </c>
      <c r="R263" s="374">
        <f t="shared" si="43"/>
        <v>0</v>
      </c>
      <c r="S263" s="869">
        <f>SUM(PROD!AM264:AM270)</f>
        <v>0</v>
      </c>
      <c r="T263" s="375">
        <f>IF(AA263&gt;0,S263/AA263,0)</f>
        <v>0</v>
      </c>
      <c r="U263" s="376" t="str">
        <f>$U$4</f>
        <v>Prob Color</v>
      </c>
      <c r="V263" s="374">
        <f t="shared" si="44"/>
        <v>0</v>
      </c>
      <c r="W263" s="869">
        <f>SUM(PROD!AW264:AW270)</f>
        <v>0</v>
      </c>
      <c r="X263" s="375">
        <f>IFERROR(W263/(AA268-AA266),0)</f>
        <v>0</v>
      </c>
      <c r="Y263" s="377" t="s">
        <v>323</v>
      </c>
      <c r="Z263" s="378">
        <f>SUMPRODUCT(R263:R269,T263:T269)</f>
        <v>0</v>
      </c>
      <c r="AA263" s="379">
        <f>SUM(S263:S269)</f>
        <v>0</v>
      </c>
      <c r="AB263" s="490">
        <f>IF(AA268&gt;0,AA263/AA268,0)</f>
        <v>0</v>
      </c>
    </row>
    <row r="264" spans="1:28" ht="15.75" customHeight="1" x14ac:dyDescent="0.3">
      <c r="A264" s="2301"/>
      <c r="B264" s="438" t="str">
        <f>$B$5</f>
        <v>Amortización de Aves</v>
      </c>
      <c r="C264" s="381">
        <f>IFERROR((C257-(D264/'Pr-Sem'!$O$2)),0)</f>
        <v>0</v>
      </c>
      <c r="D264" s="382">
        <f>SUM(PROD!L264:L270)*E264</f>
        <v>0</v>
      </c>
      <c r="E264" s="383">
        <f>IF(SUM(PROD!L264:L270)&gt;0,IFERROR(($C$1-$C$2)/LOOKUP($B$2,'Pr-Sem'!$A$6:$A$108,'Pr-Sem'!$L$6:$L$108)*(LOOKUP(INVENTARIOS!$A263,'Pr-Sem'!$A$6:$A$108,'Pr-Sem'!$L$6:$L$108)-LOOKUP(INVENTARIOS!$A263-1,'Pr-Sem'!$A$6:$A$108,'Pr-Sem'!$L$6:$L$108))/(LOOKUP(INVENTARIOS!$A263,'Pr-Sem'!$A$6:$A$108,'Pr-Sem'!$K$6:$K$108)-LOOKUP(INVENTARIOS!$A263-1,'Pr-Sem'!$A$6:$A$108,'Pr-Sem'!$K$6:$K$108)),0),0)</f>
        <v>0</v>
      </c>
      <c r="F264" s="384">
        <f>IFERROR(E264/SUM(E263:E269,J263:J269,O263:O268),0)</f>
        <v>0</v>
      </c>
      <c r="G264" s="439" t="str">
        <f>$G$12</f>
        <v>Impuestos</v>
      </c>
      <c r="H264" s="440">
        <f t="shared" si="42"/>
        <v>0</v>
      </c>
      <c r="I264" s="387">
        <f t="shared" si="53"/>
        <v>0</v>
      </c>
      <c r="J264" s="383">
        <f>IFERROR(I264/SUM(PROD!L264:L270),0)</f>
        <v>0</v>
      </c>
      <c r="K264" s="384">
        <f>IFERROR(J264/SUM(E263:E269,J263:J269,O263:O268),0)</f>
        <v>0</v>
      </c>
      <c r="L264" s="439" t="str">
        <f>$L$5</f>
        <v>Depreciaciones</v>
      </c>
      <c r="M264" s="401">
        <f t="shared" si="54"/>
        <v>0</v>
      </c>
      <c r="N264" s="390">
        <f>M264*12/52</f>
        <v>0</v>
      </c>
      <c r="O264" s="383">
        <f>IFERROR(N264/SUM(PROD!L264:L270),0)</f>
        <v>0</v>
      </c>
      <c r="P264" s="384">
        <f>IFERROR(O264/SUM(E263:E269,J263:J269,O263:O268),0)</f>
        <v>0</v>
      </c>
      <c r="Q264" s="491" t="str">
        <f>$Q$5</f>
        <v>AAA</v>
      </c>
      <c r="R264" s="392">
        <f t="shared" si="43"/>
        <v>0</v>
      </c>
      <c r="S264" s="870">
        <f>SUM(PROD!AN264:AN270)</f>
        <v>0</v>
      </c>
      <c r="T264" s="492">
        <f>IF(AA263&gt;0,S264/AA263,0)</f>
        <v>0</v>
      </c>
      <c r="U264" s="493" t="str">
        <f>$U$5</f>
        <v>Prob Cásc</v>
      </c>
      <c r="V264" s="392">
        <f t="shared" si="44"/>
        <v>0</v>
      </c>
      <c r="W264" s="870">
        <f>SUM(PROD!AX264:AX270)</f>
        <v>0</v>
      </c>
      <c r="X264" s="492">
        <f>IFERROR(W264/(AA268-AA266),0)</f>
        <v>0</v>
      </c>
      <c r="Y264" s="395" t="s">
        <v>324</v>
      </c>
      <c r="Z264" s="396">
        <f>IFERROR(SUMPRODUCT(V263:V266,W263:W266)/SUM(W263:W266),0)</f>
        <v>0</v>
      </c>
      <c r="AA264" s="397">
        <f>SUM(W263:W266)</f>
        <v>0</v>
      </c>
      <c r="AB264" s="494">
        <f>IF(AA268&gt;0,AA264/AA268,0)</f>
        <v>0</v>
      </c>
    </row>
    <row r="265" spans="1:28" ht="15.75" customHeight="1" x14ac:dyDescent="0.3">
      <c r="A265" s="2301"/>
      <c r="B265" s="399" t="str">
        <f>$B$6</f>
        <v>Bandeja</v>
      </c>
      <c r="C265" s="400">
        <f>C258</f>
        <v>0</v>
      </c>
      <c r="D265" s="387">
        <f>C265*SUM(INVENTARIOS!R263:R269)</f>
        <v>0</v>
      </c>
      <c r="E265" s="383">
        <f>IFERROR(D265/SUM(PROD!L264:L270),0)</f>
        <v>0</v>
      </c>
      <c r="F265" s="384">
        <f>IFERROR(E265/SUM(E263:E269,J263:J269,O263:O268),0)</f>
        <v>0</v>
      </c>
      <c r="G265" s="439" t="str">
        <f>$G$13</f>
        <v>Arrendamientos</v>
      </c>
      <c r="H265" s="401">
        <f t="shared" si="42"/>
        <v>0</v>
      </c>
      <c r="I265" s="390">
        <f t="shared" si="53"/>
        <v>0</v>
      </c>
      <c r="J265" s="383">
        <f>IFERROR(I265/SUM(PROD!L264:L270),0)</f>
        <v>0</v>
      </c>
      <c r="K265" s="384">
        <f>IFERROR(J265/SUM(E263:E269,J263:J269,O263:O268),0)</f>
        <v>0</v>
      </c>
      <c r="L265" s="439" t="str">
        <f>$L$6</f>
        <v>Diversos</v>
      </c>
      <c r="M265" s="401">
        <f t="shared" si="54"/>
        <v>0</v>
      </c>
      <c r="N265" s="390">
        <f>M265*12/52</f>
        <v>0</v>
      </c>
      <c r="O265" s="383">
        <f>IFERROR(N265/SUM(PROD!L264:L270),0)</f>
        <v>0</v>
      </c>
      <c r="P265" s="384">
        <f>IFERROR(O265/SUM(E263:E269,J263:J269,O263:O268),0)</f>
        <v>0</v>
      </c>
      <c r="Q265" s="491" t="str">
        <f>$Q$6</f>
        <v>AA</v>
      </c>
      <c r="R265" s="392">
        <f t="shared" si="43"/>
        <v>0</v>
      </c>
      <c r="S265" s="870">
        <f>SUM(PROD!AO264:AO270)</f>
        <v>0</v>
      </c>
      <c r="T265" s="492">
        <f>IF(AA263&gt;0,S265/AA263,0)</f>
        <v>0</v>
      </c>
      <c r="U265" s="493" t="str">
        <f>$U$6</f>
        <v>Vencido</v>
      </c>
      <c r="V265" s="392">
        <f t="shared" si="44"/>
        <v>0</v>
      </c>
      <c r="W265" s="870">
        <f>SUM(PROD!AY264:AY270)</f>
        <v>0</v>
      </c>
      <c r="X265" s="492">
        <f>IFERROR(W265/(AA268-AA266),0)</f>
        <v>0</v>
      </c>
      <c r="Y265" s="402" t="s">
        <v>391</v>
      </c>
      <c r="Z265" s="456">
        <v>0</v>
      </c>
      <c r="AA265" s="720"/>
      <c r="AB265" s="495">
        <f>IF(AA268&gt;0,AA265/AA268,0)</f>
        <v>0</v>
      </c>
    </row>
    <row r="266" spans="1:28" ht="15.75" customHeight="1" x14ac:dyDescent="0.3">
      <c r="A266" s="2301"/>
      <c r="B266" s="438" t="str">
        <f>$B$7</f>
        <v>Mortalidad Aves</v>
      </c>
      <c r="C266" s="401">
        <f>IF(A263&lt;=$B$2,C264+$C$2,0)</f>
        <v>0</v>
      </c>
      <c r="D266" s="390">
        <f>C266*SUM(PROD!D264:D270)</f>
        <v>0</v>
      </c>
      <c r="E266" s="383">
        <f>IFERROR(D266/SUM(PROD!L264:L270),0)</f>
        <v>0</v>
      </c>
      <c r="F266" s="384">
        <f>IFERROR(E266/SUM(E263:E269,J263:J269,O263:O268),0)</f>
        <v>0</v>
      </c>
      <c r="G266" s="439" t="str">
        <f>$G$14</f>
        <v>Servicios Públicos</v>
      </c>
      <c r="H266" s="401">
        <f t="shared" si="42"/>
        <v>0</v>
      </c>
      <c r="I266" s="390">
        <f t="shared" si="53"/>
        <v>0</v>
      </c>
      <c r="J266" s="383">
        <f>IFERROR(I266/SUM(PROD!L264:L270),0)</f>
        <v>0</v>
      </c>
      <c r="K266" s="384">
        <f>IFERROR(J266/SUM(E263:E269,J263:J269,O263:O268),0)</f>
        <v>0</v>
      </c>
      <c r="L266" s="441" t="str">
        <f>$L$7</f>
        <v>Administrativos</v>
      </c>
      <c r="M266" s="401">
        <f t="shared" si="54"/>
        <v>0</v>
      </c>
      <c r="N266" s="404">
        <f>M266*0.230769230769231</f>
        <v>0</v>
      </c>
      <c r="O266" s="383">
        <f>IFERROR(N266/SUM(PROD!L264:L270),0)</f>
        <v>0</v>
      </c>
      <c r="P266" s="384">
        <f>IFERROR(O266/SUM(E263:E269,J263:J269,O263:O268),0)</f>
        <v>0</v>
      </c>
      <c r="Q266" s="491" t="str">
        <f>$Q$7</f>
        <v>A</v>
      </c>
      <c r="R266" s="392">
        <f t="shared" si="43"/>
        <v>0</v>
      </c>
      <c r="S266" s="870">
        <f>SUM(PROD!AP264:AP270)</f>
        <v>0</v>
      </c>
      <c r="T266" s="492">
        <f>IF(AA263&gt;0,S266/AA263,0)</f>
        <v>0</v>
      </c>
      <c r="U266" s="405" t="str">
        <f>$U$7</f>
        <v>Roto</v>
      </c>
      <c r="V266" s="406">
        <f t="shared" si="44"/>
        <v>0</v>
      </c>
      <c r="W266" s="872">
        <f>SUM(PROD!AZ264:AZ270)</f>
        <v>0</v>
      </c>
      <c r="X266" s="407">
        <f>IFERROR(W266/(AA268-AA266),0)</f>
        <v>0</v>
      </c>
      <c r="Y266" s="408" t="s">
        <v>359</v>
      </c>
      <c r="Z266" s="442">
        <v>215</v>
      </c>
      <c r="AA266" s="410">
        <f>SUM(PROD!L264:L270)-SUM(W263:W269)-SUM(S263:S269)-AA265</f>
        <v>0</v>
      </c>
      <c r="AB266" s="496">
        <f>IF(AA268&gt;0,AA266/AA268,0)</f>
        <v>0</v>
      </c>
    </row>
    <row r="267" spans="1:28" ht="15.75" customHeight="1" x14ac:dyDescent="0.3">
      <c r="A267" s="2301"/>
      <c r="B267" s="399" t="str">
        <f>$B$8</f>
        <v>Materia Prima (Carb Ca, etc.)</v>
      </c>
      <c r="C267" s="440">
        <f>C260</f>
        <v>0</v>
      </c>
      <c r="D267" s="387">
        <f>C267*12/52</f>
        <v>0</v>
      </c>
      <c r="E267" s="383">
        <f>IFERROR(D267/SUM(PROD!L264:L270),0)</f>
        <v>0</v>
      </c>
      <c r="F267" s="384">
        <f>IFERROR(E267/SUM(E263:E269,J263:J269,O263:O268),0)</f>
        <v>0</v>
      </c>
      <c r="G267" s="441" t="str">
        <f>$G$15</f>
        <v>Gastos Legales</v>
      </c>
      <c r="H267" s="401">
        <f t="shared" ref="H267:H330" si="55">H260</f>
        <v>0</v>
      </c>
      <c r="I267" s="390">
        <f t="shared" si="53"/>
        <v>0</v>
      </c>
      <c r="J267" s="383">
        <f>IFERROR(I267/SUM(PROD!L264:L270),0)</f>
        <v>0</v>
      </c>
      <c r="K267" s="384">
        <f>IFERROR(J267/SUM(E263:E269,J263:J269,O263:O268),0)</f>
        <v>0</v>
      </c>
      <c r="L267" s="439" t="str">
        <f>$L$8</f>
        <v>Fletes</v>
      </c>
      <c r="M267" s="401">
        <f t="shared" si="54"/>
        <v>0</v>
      </c>
      <c r="N267" s="404">
        <f>M267*0.230769230769231</f>
        <v>0</v>
      </c>
      <c r="O267" s="383">
        <f>IFERROR(N267/SUM(PROD!L264:L270),0)</f>
        <v>0</v>
      </c>
      <c r="P267" s="384">
        <f>IFERROR(O267/SUM(E263:E269,J263:J269,O263:O268),0)</f>
        <v>0</v>
      </c>
      <c r="Q267" s="491" t="str">
        <f>$Q$8</f>
        <v>B</v>
      </c>
      <c r="R267" s="392">
        <f t="shared" ref="R267:R330" si="56">R260</f>
        <v>0</v>
      </c>
      <c r="S267" s="870">
        <f>SUM(PROD!AQ264:AQ270)</f>
        <v>0</v>
      </c>
      <c r="T267" s="492">
        <f>IF(AA263&gt;0,S267/AA263,0)</f>
        <v>0</v>
      </c>
      <c r="U267" s="395" t="str">
        <f>$U$8</f>
        <v>Rev. Gr.</v>
      </c>
      <c r="V267" s="412">
        <f t="shared" ref="V267:V330" si="57">V260</f>
        <v>0</v>
      </c>
      <c r="W267" s="873">
        <f>SUM(PROD!AT264:AT270)</f>
        <v>0</v>
      </c>
      <c r="X267" s="413">
        <f>IFERROR(W267/(AA268-AA266),0)</f>
        <v>0</v>
      </c>
      <c r="Y267" s="414" t="s">
        <v>262</v>
      </c>
      <c r="Z267" s="415">
        <f>IFERROR(SUMPRODUCT(V267:V269,W267:W269)/SUM(W267:W269),0)</f>
        <v>0</v>
      </c>
      <c r="AA267" s="416">
        <f>SUM(W267:W269)</f>
        <v>0</v>
      </c>
      <c r="AB267" s="497">
        <f>IF(AA268&gt;0,AA267/AA268,0)</f>
        <v>0</v>
      </c>
    </row>
    <row r="268" spans="1:28" ht="15.75" customHeight="1" x14ac:dyDescent="0.3">
      <c r="A268" s="2301"/>
      <c r="B268" s="438" t="str">
        <f>$B$9</f>
        <v>Vacunas y medicamentos</v>
      </c>
      <c r="C268" s="443">
        <f>C261</f>
        <v>0</v>
      </c>
      <c r="D268" s="387">
        <f>C268*12/52</f>
        <v>0</v>
      </c>
      <c r="E268" s="383">
        <f>IFERROR(D268/SUM(PROD!L264:L270),0)</f>
        <v>0</v>
      </c>
      <c r="F268" s="384">
        <f>IFERROR(E268/SUM(E263:E269,J263:J269,O263:O268),0)</f>
        <v>0</v>
      </c>
      <c r="G268" s="441" t="str">
        <f>$G$16</f>
        <v>Mantenimiento y Reparaciones</v>
      </c>
      <c r="H268" s="401">
        <f t="shared" si="55"/>
        <v>0</v>
      </c>
      <c r="I268" s="390">
        <f t="shared" si="53"/>
        <v>0</v>
      </c>
      <c r="J268" s="383">
        <f>IFERROR(I268/SUM(PROD!L264:L270),0)</f>
        <v>0</v>
      </c>
      <c r="K268" s="384">
        <f>IFERROR(J268/SUM(E263:E269,J263:J269,O263:O268),0)</f>
        <v>0</v>
      </c>
      <c r="L268" s="439">
        <f>$L$9</f>
        <v>0</v>
      </c>
      <c r="M268" s="401">
        <f t="shared" si="54"/>
        <v>0</v>
      </c>
      <c r="N268" s="404">
        <f>M268*0.230769230769231</f>
        <v>0</v>
      </c>
      <c r="O268" s="383">
        <f>IFERROR(N268/SUM(PROD!L264:L270),0)</f>
        <v>0</v>
      </c>
      <c r="P268" s="384">
        <f>IFERROR(O268/SUM(E263:E269,J263:J269,O263:O268),0)</f>
        <v>0</v>
      </c>
      <c r="Q268" s="491" t="str">
        <f>$Q$9</f>
        <v>C</v>
      </c>
      <c r="R268" s="392">
        <f t="shared" si="56"/>
        <v>0</v>
      </c>
      <c r="S268" s="870">
        <f>SUM(PROD!AR264:AR270)</f>
        <v>0</v>
      </c>
      <c r="T268" s="492">
        <f>IF(AA263&gt;0,S268/AA263,0)</f>
        <v>0</v>
      </c>
      <c r="U268" s="493" t="str">
        <f>$U$9</f>
        <v>Rev. Med</v>
      </c>
      <c r="V268" s="392">
        <f t="shared" si="57"/>
        <v>0</v>
      </c>
      <c r="W268" s="870">
        <f>SUM(PROD!AU264:AU270)</f>
        <v>0</v>
      </c>
      <c r="X268" s="498">
        <f>IFERROR(W268/(AA268-AA266),0)</f>
        <v>0</v>
      </c>
      <c r="Y268" s="2303" t="s">
        <v>325</v>
      </c>
      <c r="Z268" s="2305">
        <f>SUMPRODUCT(Z263:Z267,AB263:AB267)</f>
        <v>0</v>
      </c>
      <c r="AA268" s="2307">
        <f>SUM(AA263:AA266)</f>
        <v>0</v>
      </c>
      <c r="AB268" s="2308"/>
    </row>
    <row r="269" spans="1:28" ht="16.5" customHeight="1" thickBot="1" x14ac:dyDescent="0.35">
      <c r="A269" s="2302"/>
      <c r="B269" s="444" t="str">
        <f>$B$10</f>
        <v>Gastos de Personal</v>
      </c>
      <c r="C269" s="445">
        <f>C262</f>
        <v>0</v>
      </c>
      <c r="D269" s="421">
        <f>C269*12/52</f>
        <v>0</v>
      </c>
      <c r="E269" s="446">
        <f>IFERROR(D269/SUM(PROD!L264:L270),0)</f>
        <v>0</v>
      </c>
      <c r="F269" s="447">
        <f>IFERROR(E269/SUM(E263:E269,J263:J269,O263:O268),0)</f>
        <v>0</v>
      </c>
      <c r="G269" s="448" t="str">
        <f>$G$17</f>
        <v>Adecuación Instalaciones</v>
      </c>
      <c r="H269" s="445">
        <f t="shared" si="55"/>
        <v>0</v>
      </c>
      <c r="I269" s="426">
        <f t="shared" si="53"/>
        <v>0</v>
      </c>
      <c r="J269" s="446">
        <f>IFERROR(I269/SUM(PROD!L264:L270),0)</f>
        <v>0</v>
      </c>
      <c r="K269" s="447">
        <f>IFERROR(J269/SUM(E263:E269,J263:J269,O263:O268),0)</f>
        <v>0</v>
      </c>
      <c r="L269" s="2311" t="str">
        <f>$L$10</f>
        <v>TOTAL COSTO PRODUCCIÓN</v>
      </c>
      <c r="M269" s="2312"/>
      <c r="N269" s="427">
        <f>SUM(D263:D269,I263:I269,N263:N268)</f>
        <v>0</v>
      </c>
      <c r="O269" s="449">
        <f>IFERROR(N269/SUM(PROD!L264:L270),0)</f>
        <v>0</v>
      </c>
      <c r="P269" s="447">
        <f>IFERROR(O269/SUM(E263:E269,J263:J269,O263:O268),0)</f>
        <v>0</v>
      </c>
      <c r="Q269" s="429" t="str">
        <f>$Q$10</f>
        <v>D</v>
      </c>
      <c r="R269" s="499">
        <f t="shared" si="56"/>
        <v>0</v>
      </c>
      <c r="S269" s="871">
        <f>SUM(PROD!AS264:AS270)</f>
        <v>0</v>
      </c>
      <c r="T269" s="431">
        <f>IF(AA263&gt;0,S269/AA263,0)</f>
        <v>0</v>
      </c>
      <c r="U269" s="432" t="str">
        <f>$U$10</f>
        <v>Rev. Peq</v>
      </c>
      <c r="V269" s="499">
        <f t="shared" si="57"/>
        <v>0</v>
      </c>
      <c r="W269" s="871">
        <f>SUM(PROD!AV264:AV270)</f>
        <v>0</v>
      </c>
      <c r="X269" s="431">
        <f>IFERROR(W269/(AA268-AA266),0)</f>
        <v>0</v>
      </c>
      <c r="Y269" s="2304"/>
      <c r="Z269" s="2306"/>
      <c r="AA269" s="2309"/>
      <c r="AB269" s="2310"/>
    </row>
    <row r="270" spans="1:28" ht="16.5" customHeight="1" x14ac:dyDescent="0.3">
      <c r="A270" s="2300">
        <f>A263+1</f>
        <v>56</v>
      </c>
      <c r="B270" s="433" t="str">
        <f>$B$4</f>
        <v>ALIMENTO Kilos</v>
      </c>
      <c r="C270" s="435">
        <f>LOOKUP($A270,PROD!$A$5:$A$725,PROD!$AH$10:$AH$730)</f>
        <v>0</v>
      </c>
      <c r="D270" s="368">
        <f>C270*LOOKUP($A270,'Pr-Sem'!$A$6:$A$108,'Pr-Sem'!$N$6:$N$108)/(PROD!$A$1/1000)</f>
        <v>0</v>
      </c>
      <c r="E270" s="369">
        <f>IFERROR(D270/SUM(PROD!L271:L277),0)</f>
        <v>0</v>
      </c>
      <c r="F270" s="370">
        <f>IFERROR(E270/SUM(E270:E276,J270:J276,O270:O275),0)</f>
        <v>0</v>
      </c>
      <c r="G270" s="434" t="str">
        <f>$G$11</f>
        <v>Honorarios</v>
      </c>
      <c r="H270" s="435">
        <f t="shared" si="55"/>
        <v>0</v>
      </c>
      <c r="I270" s="372">
        <f t="shared" si="53"/>
        <v>0</v>
      </c>
      <c r="J270" s="369">
        <f>IFERROR(I270/SUM(PROD!L271:L277),0)</f>
        <v>0</v>
      </c>
      <c r="K270" s="370">
        <f>IFERROR(J270/SUM(E270:E276,J270:J276,O270:O275),0)</f>
        <v>0</v>
      </c>
      <c r="L270" s="436" t="str">
        <f>$L$4</f>
        <v>Gastos de Viaje</v>
      </c>
      <c r="M270" s="435">
        <f t="shared" ref="M270:M275" si="58">M263</f>
        <v>0</v>
      </c>
      <c r="N270" s="372">
        <f>M270*12/52</f>
        <v>0</v>
      </c>
      <c r="O270" s="369">
        <f>IFERROR(N270/SUM(PROD!L271:L277),0)</f>
        <v>0</v>
      </c>
      <c r="P270" s="370">
        <f>IFERROR(O270/SUM(E270:E276,J270:J276,O270:O275),0)</f>
        <v>0</v>
      </c>
      <c r="Q270" s="373" t="str">
        <f>$Q$4</f>
        <v>AAAA</v>
      </c>
      <c r="R270" s="374">
        <f t="shared" si="56"/>
        <v>0</v>
      </c>
      <c r="S270" s="869">
        <f>SUM(PROD!AM271:AM277)</f>
        <v>0</v>
      </c>
      <c r="T270" s="375">
        <f>IF(AA270&gt;0,S270/AA270,0)</f>
        <v>0</v>
      </c>
      <c r="U270" s="376" t="str">
        <f>$U$4</f>
        <v>Prob Color</v>
      </c>
      <c r="V270" s="374">
        <f t="shared" si="57"/>
        <v>0</v>
      </c>
      <c r="W270" s="869">
        <f>SUM(PROD!AW271:AW277)</f>
        <v>0</v>
      </c>
      <c r="X270" s="375">
        <f>IFERROR(W270/(AA275-AA273),0)</f>
        <v>0</v>
      </c>
      <c r="Y270" s="377" t="s">
        <v>323</v>
      </c>
      <c r="Z270" s="378">
        <f>SUMPRODUCT(R270:R276,T270:T276)</f>
        <v>0</v>
      </c>
      <c r="AA270" s="379">
        <f>SUM(S270:S276)</f>
        <v>0</v>
      </c>
      <c r="AB270" s="490">
        <f>IF(AA275&gt;0,AA270/AA275,0)</f>
        <v>0</v>
      </c>
    </row>
    <row r="271" spans="1:28" ht="15.75" customHeight="1" x14ac:dyDescent="0.3">
      <c r="A271" s="2301"/>
      <c r="B271" s="438" t="str">
        <f>$B$5</f>
        <v>Amortización de Aves</v>
      </c>
      <c r="C271" s="381">
        <f>IFERROR((C264-(D271/'Pr-Sem'!$O$2)),0)</f>
        <v>0</v>
      </c>
      <c r="D271" s="382">
        <f>SUM(PROD!L271:L277)*E271</f>
        <v>0</v>
      </c>
      <c r="E271" s="383">
        <f>IF(SUM(PROD!L271:L277)&gt;0,IFERROR(($C$1-$C$2)/LOOKUP($B$2,'Pr-Sem'!$A$6:$A$108,'Pr-Sem'!$L$6:$L$108)*(LOOKUP(INVENTARIOS!$A270,'Pr-Sem'!$A$6:$A$108,'Pr-Sem'!$L$6:$L$108)-LOOKUP(INVENTARIOS!$A270-1,'Pr-Sem'!$A$6:$A$108,'Pr-Sem'!$L$6:$L$108))/(LOOKUP(INVENTARIOS!$A270,'Pr-Sem'!$A$6:$A$108,'Pr-Sem'!$K$6:$K$108)-LOOKUP(INVENTARIOS!$A270-1,'Pr-Sem'!$A$6:$A$108,'Pr-Sem'!$K$6:$K$108)),0),0)</f>
        <v>0</v>
      </c>
      <c r="F271" s="384">
        <f>IFERROR(E271/SUM(E270:E276,J270:J276,O270:O275),0)</f>
        <v>0</v>
      </c>
      <c r="G271" s="439" t="str">
        <f>$G$12</f>
        <v>Impuestos</v>
      </c>
      <c r="H271" s="440">
        <f t="shared" si="55"/>
        <v>0</v>
      </c>
      <c r="I271" s="387">
        <f t="shared" si="53"/>
        <v>0</v>
      </c>
      <c r="J271" s="383">
        <f>IFERROR(I271/SUM(PROD!L271:L277),0)</f>
        <v>0</v>
      </c>
      <c r="K271" s="384">
        <f>IFERROR(J271/SUM(E270:E276,J270:J276,O270:O275),0)</f>
        <v>0</v>
      </c>
      <c r="L271" s="439" t="str">
        <f>$L$5</f>
        <v>Depreciaciones</v>
      </c>
      <c r="M271" s="401">
        <f t="shared" si="58"/>
        <v>0</v>
      </c>
      <c r="N271" s="390">
        <f>M271*12/52</f>
        <v>0</v>
      </c>
      <c r="O271" s="383">
        <f>IFERROR(N271/SUM(PROD!L271:L277),0)</f>
        <v>0</v>
      </c>
      <c r="P271" s="384">
        <f>IFERROR(O271/SUM(E270:E276,J270:J276,O270:O275),0)</f>
        <v>0</v>
      </c>
      <c r="Q271" s="491" t="str">
        <f>$Q$5</f>
        <v>AAA</v>
      </c>
      <c r="R271" s="392">
        <f t="shared" si="56"/>
        <v>0</v>
      </c>
      <c r="S271" s="870">
        <f>SUM(PROD!AN271:AN277)</f>
        <v>0</v>
      </c>
      <c r="T271" s="492">
        <f>IF(AA270&gt;0,S271/AA270,0)</f>
        <v>0</v>
      </c>
      <c r="U271" s="493" t="str">
        <f>$U$5</f>
        <v>Prob Cásc</v>
      </c>
      <c r="V271" s="392">
        <f t="shared" si="57"/>
        <v>0</v>
      </c>
      <c r="W271" s="870">
        <f>SUM(PROD!AX271:AX277)</f>
        <v>0</v>
      </c>
      <c r="X271" s="492">
        <f>IFERROR(W271/(AA275-AA273),0)</f>
        <v>0</v>
      </c>
      <c r="Y271" s="395" t="s">
        <v>324</v>
      </c>
      <c r="Z271" s="396">
        <f>IFERROR(SUMPRODUCT(V270:V273,W270:W273)/SUM(W270:W273),0)</f>
        <v>0</v>
      </c>
      <c r="AA271" s="397">
        <f>SUM(W270:W273)</f>
        <v>0</v>
      </c>
      <c r="AB271" s="494">
        <f>IF(AA275&gt;0,AA271/AA275,0)</f>
        <v>0</v>
      </c>
    </row>
    <row r="272" spans="1:28" ht="15.75" customHeight="1" x14ac:dyDescent="0.3">
      <c r="A272" s="2301"/>
      <c r="B272" s="399" t="str">
        <f>$B$6</f>
        <v>Bandeja</v>
      </c>
      <c r="C272" s="400">
        <f>C265</f>
        <v>0</v>
      </c>
      <c r="D272" s="387">
        <f>C272*SUM(INVENTARIOS!R270:R276)</f>
        <v>0</v>
      </c>
      <c r="E272" s="383">
        <f>IFERROR(D272/SUM(PROD!L271:L277),0)</f>
        <v>0</v>
      </c>
      <c r="F272" s="384">
        <f>IFERROR(E272/SUM(E270:E276,J270:J276,O270:O275),0)</f>
        <v>0</v>
      </c>
      <c r="G272" s="439" t="str">
        <f>$G$13</f>
        <v>Arrendamientos</v>
      </c>
      <c r="H272" s="401">
        <f t="shared" si="55"/>
        <v>0</v>
      </c>
      <c r="I272" s="390">
        <f t="shared" si="53"/>
        <v>0</v>
      </c>
      <c r="J272" s="383">
        <f>IFERROR(I272/SUM(PROD!L271:L277),0)</f>
        <v>0</v>
      </c>
      <c r="K272" s="384">
        <f>IFERROR(J272/SUM(E270:E276,J270:J276,O270:O275),0)</f>
        <v>0</v>
      </c>
      <c r="L272" s="439" t="str">
        <f>$L$6</f>
        <v>Diversos</v>
      </c>
      <c r="M272" s="401">
        <f t="shared" si="58"/>
        <v>0</v>
      </c>
      <c r="N272" s="390">
        <f>M272*12/52</f>
        <v>0</v>
      </c>
      <c r="O272" s="383">
        <f>IFERROR(N272/SUM(PROD!L271:L277),0)</f>
        <v>0</v>
      </c>
      <c r="P272" s="384">
        <f>IFERROR(O272/SUM(E270:E276,J270:J276,O270:O275),0)</f>
        <v>0</v>
      </c>
      <c r="Q272" s="491" t="str">
        <f>$Q$6</f>
        <v>AA</v>
      </c>
      <c r="R272" s="392">
        <f t="shared" si="56"/>
        <v>0</v>
      </c>
      <c r="S272" s="870">
        <f>SUM(PROD!AO271:AO277)</f>
        <v>0</v>
      </c>
      <c r="T272" s="492">
        <f>IF(AA270&gt;0,S272/AA270,0)</f>
        <v>0</v>
      </c>
      <c r="U272" s="493" t="str">
        <f>$U$6</f>
        <v>Vencido</v>
      </c>
      <c r="V272" s="392">
        <f t="shared" si="57"/>
        <v>0</v>
      </c>
      <c r="W272" s="870">
        <f>SUM(PROD!AY271:AY277)</f>
        <v>0</v>
      </c>
      <c r="X272" s="492">
        <f>IFERROR(W272/(AA275-AA273),0)</f>
        <v>0</v>
      </c>
      <c r="Y272" s="402" t="s">
        <v>391</v>
      </c>
      <c r="Z272" s="456">
        <v>0</v>
      </c>
      <c r="AA272" s="720"/>
      <c r="AB272" s="495">
        <f>IF(AA275&gt;0,AA272/AA275,0)</f>
        <v>0</v>
      </c>
    </row>
    <row r="273" spans="1:28" ht="15.75" customHeight="1" x14ac:dyDescent="0.3">
      <c r="A273" s="2301"/>
      <c r="B273" s="438" t="str">
        <f>$B$7</f>
        <v>Mortalidad Aves</v>
      </c>
      <c r="C273" s="401">
        <f>IF(A270&lt;=$B$2,C271+$C$2,0)</f>
        <v>0</v>
      </c>
      <c r="D273" s="390">
        <f>C273*SUM(PROD!D271:D277)</f>
        <v>0</v>
      </c>
      <c r="E273" s="383">
        <f>IFERROR(D273/SUM(PROD!L271:L277),0)</f>
        <v>0</v>
      </c>
      <c r="F273" s="384">
        <f>IFERROR(E273/SUM(E270:E276,J270:J276,O270:O275),0)</f>
        <v>0</v>
      </c>
      <c r="G273" s="439" t="str">
        <f>$G$14</f>
        <v>Servicios Públicos</v>
      </c>
      <c r="H273" s="401">
        <f t="shared" si="55"/>
        <v>0</v>
      </c>
      <c r="I273" s="390">
        <f t="shared" si="53"/>
        <v>0</v>
      </c>
      <c r="J273" s="383">
        <f>IFERROR(I273/SUM(PROD!L271:L277),0)</f>
        <v>0</v>
      </c>
      <c r="K273" s="384">
        <f>IFERROR(J273/SUM(E270:E276,J270:J276,O270:O275),0)</f>
        <v>0</v>
      </c>
      <c r="L273" s="441" t="str">
        <f>$L$7</f>
        <v>Administrativos</v>
      </c>
      <c r="M273" s="401">
        <f t="shared" si="58"/>
        <v>0</v>
      </c>
      <c r="N273" s="404">
        <f>M273*0.230769230769231</f>
        <v>0</v>
      </c>
      <c r="O273" s="383">
        <f>IFERROR(N273/SUM(PROD!L271:L277),0)</f>
        <v>0</v>
      </c>
      <c r="P273" s="384">
        <f>IFERROR(O273/SUM(E270:E276,J270:J276,O270:O275),0)</f>
        <v>0</v>
      </c>
      <c r="Q273" s="491" t="str">
        <f>$Q$7</f>
        <v>A</v>
      </c>
      <c r="R273" s="392">
        <f t="shared" si="56"/>
        <v>0</v>
      </c>
      <c r="S273" s="870">
        <f>SUM(PROD!AP271:AP277)</f>
        <v>0</v>
      </c>
      <c r="T273" s="492">
        <f>IF(AA270&gt;0,S273/AA270,0)</f>
        <v>0</v>
      </c>
      <c r="U273" s="405" t="str">
        <f>$U$7</f>
        <v>Roto</v>
      </c>
      <c r="V273" s="406">
        <f t="shared" si="57"/>
        <v>0</v>
      </c>
      <c r="W273" s="872">
        <f>SUM(PROD!AZ271:AZ277)</f>
        <v>0</v>
      </c>
      <c r="X273" s="407">
        <f>IFERROR(W273/(AA275-AA273),0)</f>
        <v>0</v>
      </c>
      <c r="Y273" s="408" t="s">
        <v>359</v>
      </c>
      <c r="Z273" s="442">
        <v>215</v>
      </c>
      <c r="AA273" s="410">
        <f>SUM(PROD!L271:L277)-SUM(W270:W276)-SUM(S270:S276)-AA272</f>
        <v>0</v>
      </c>
      <c r="AB273" s="496">
        <f>IF(AA275&gt;0,AA273/AA275,0)</f>
        <v>0</v>
      </c>
    </row>
    <row r="274" spans="1:28" ht="15.75" customHeight="1" x14ac:dyDescent="0.3">
      <c r="A274" s="2301"/>
      <c r="B274" s="399" t="str">
        <f>$B$8</f>
        <v>Materia Prima (Carb Ca, etc.)</v>
      </c>
      <c r="C274" s="440">
        <f>C267</f>
        <v>0</v>
      </c>
      <c r="D274" s="387">
        <f>C274*12/52</f>
        <v>0</v>
      </c>
      <c r="E274" s="383">
        <f>IFERROR(D274/SUM(PROD!L271:L277),0)</f>
        <v>0</v>
      </c>
      <c r="F274" s="384">
        <f>IFERROR(E274/SUM(E270:E276,J270:J276,O270:O275),0)</f>
        <v>0</v>
      </c>
      <c r="G274" s="441" t="str">
        <f>$G$15</f>
        <v>Gastos Legales</v>
      </c>
      <c r="H274" s="401">
        <f t="shared" si="55"/>
        <v>0</v>
      </c>
      <c r="I274" s="390">
        <f t="shared" si="53"/>
        <v>0</v>
      </c>
      <c r="J274" s="383">
        <f>IFERROR(I274/SUM(PROD!L271:L277),0)</f>
        <v>0</v>
      </c>
      <c r="K274" s="384">
        <f>IFERROR(J274/SUM(E270:E276,J270:J276,O270:O275),0)</f>
        <v>0</v>
      </c>
      <c r="L274" s="439" t="str">
        <f>$L$8</f>
        <v>Fletes</v>
      </c>
      <c r="M274" s="401">
        <f t="shared" si="58"/>
        <v>0</v>
      </c>
      <c r="N274" s="404">
        <f>M274*0.230769230769231</f>
        <v>0</v>
      </c>
      <c r="O274" s="383">
        <f>IFERROR(N274/SUM(PROD!L271:L277),0)</f>
        <v>0</v>
      </c>
      <c r="P274" s="384">
        <f>IFERROR(O274/SUM(E270:E276,J270:J276,O270:O275),0)</f>
        <v>0</v>
      </c>
      <c r="Q274" s="491" t="str">
        <f>$Q$8</f>
        <v>B</v>
      </c>
      <c r="R274" s="392">
        <f t="shared" si="56"/>
        <v>0</v>
      </c>
      <c r="S274" s="870">
        <f>SUM(PROD!AQ271:AQ277)</f>
        <v>0</v>
      </c>
      <c r="T274" s="492">
        <f>IF(AA270&gt;0,S274/AA270,0)</f>
        <v>0</v>
      </c>
      <c r="U274" s="395" t="str">
        <f>$U$8</f>
        <v>Rev. Gr.</v>
      </c>
      <c r="V274" s="412">
        <f t="shared" si="57"/>
        <v>0</v>
      </c>
      <c r="W274" s="873">
        <f>SUM(PROD!AT271:AT277)</f>
        <v>0</v>
      </c>
      <c r="X274" s="413">
        <f>IFERROR(W274/(AA275-AA273),0)</f>
        <v>0</v>
      </c>
      <c r="Y274" s="414" t="s">
        <v>262</v>
      </c>
      <c r="Z274" s="415">
        <f>IFERROR(SUMPRODUCT(V274:V276,W274:W276)/SUM(W274:W276),0)</f>
        <v>0</v>
      </c>
      <c r="AA274" s="416">
        <f>SUM(W274:W276)</f>
        <v>0</v>
      </c>
      <c r="AB274" s="497">
        <f>IF(AA275&gt;0,AA274/AA275,0)</f>
        <v>0</v>
      </c>
    </row>
    <row r="275" spans="1:28" ht="15.75" customHeight="1" x14ac:dyDescent="0.3">
      <c r="A275" s="2301"/>
      <c r="B275" s="438" t="str">
        <f>$B$9</f>
        <v>Vacunas y medicamentos</v>
      </c>
      <c r="C275" s="443">
        <f>C268</f>
        <v>0</v>
      </c>
      <c r="D275" s="387">
        <f>C275*12/52</f>
        <v>0</v>
      </c>
      <c r="E275" s="383">
        <f>IFERROR(D275/SUM(PROD!L271:L277),0)</f>
        <v>0</v>
      </c>
      <c r="F275" s="384">
        <f>IFERROR(E275/SUM(E270:E276,J270:J276,O270:O275),0)</f>
        <v>0</v>
      </c>
      <c r="G275" s="441" t="str">
        <f>$G$16</f>
        <v>Mantenimiento y Reparaciones</v>
      </c>
      <c r="H275" s="401">
        <f t="shared" si="55"/>
        <v>0</v>
      </c>
      <c r="I275" s="390">
        <f t="shared" si="53"/>
        <v>0</v>
      </c>
      <c r="J275" s="383">
        <f>IFERROR(I275/SUM(PROD!L271:L277),0)</f>
        <v>0</v>
      </c>
      <c r="K275" s="384">
        <f>IFERROR(J275/SUM(E270:E276,J270:J276,O270:O275),0)</f>
        <v>0</v>
      </c>
      <c r="L275" s="439">
        <f>$L$9</f>
        <v>0</v>
      </c>
      <c r="M275" s="401">
        <f t="shared" si="58"/>
        <v>0</v>
      </c>
      <c r="N275" s="404">
        <f>M275*0.230769230769231</f>
        <v>0</v>
      </c>
      <c r="O275" s="383">
        <f>IFERROR(N275/SUM(PROD!L271:L277),0)</f>
        <v>0</v>
      </c>
      <c r="P275" s="384">
        <f>IFERROR(O275/SUM(E270:E276,J270:J276,O270:O275),0)</f>
        <v>0</v>
      </c>
      <c r="Q275" s="491" t="str">
        <f>$Q$9</f>
        <v>C</v>
      </c>
      <c r="R275" s="392">
        <f t="shared" si="56"/>
        <v>0</v>
      </c>
      <c r="S275" s="870">
        <f>SUM(PROD!AR271:AR277)</f>
        <v>0</v>
      </c>
      <c r="T275" s="492">
        <f>IF(AA270&gt;0,S275/AA270,0)</f>
        <v>0</v>
      </c>
      <c r="U275" s="493" t="str">
        <f>$U$9</f>
        <v>Rev. Med</v>
      </c>
      <c r="V275" s="392">
        <f t="shared" si="57"/>
        <v>0</v>
      </c>
      <c r="W275" s="870">
        <f>SUM(PROD!AU271:AU277)</f>
        <v>0</v>
      </c>
      <c r="X275" s="498">
        <f>IFERROR(W275/(AA275-AA273),0)</f>
        <v>0</v>
      </c>
      <c r="Y275" s="2303" t="s">
        <v>325</v>
      </c>
      <c r="Z275" s="2305">
        <f>SUMPRODUCT(Z270:Z274,AB270:AB274)</f>
        <v>0</v>
      </c>
      <c r="AA275" s="2307">
        <f>SUM(AA270:AA273)</f>
        <v>0</v>
      </c>
      <c r="AB275" s="2308"/>
    </row>
    <row r="276" spans="1:28" ht="16.5" customHeight="1" thickBot="1" x14ac:dyDescent="0.35">
      <c r="A276" s="2302"/>
      <c r="B276" s="444" t="str">
        <f>$B$10</f>
        <v>Gastos de Personal</v>
      </c>
      <c r="C276" s="445">
        <f>C269</f>
        <v>0</v>
      </c>
      <c r="D276" s="421">
        <f>C276*12/52</f>
        <v>0</v>
      </c>
      <c r="E276" s="446">
        <f>IFERROR(D276/SUM(PROD!L271:L277),0)</f>
        <v>0</v>
      </c>
      <c r="F276" s="447">
        <f>IFERROR(E276/SUM(E270:E276,J270:J276,O270:O275),0)</f>
        <v>0</v>
      </c>
      <c r="G276" s="448" t="str">
        <f>$G$17</f>
        <v>Adecuación Instalaciones</v>
      </c>
      <c r="H276" s="445">
        <f t="shared" si="55"/>
        <v>0</v>
      </c>
      <c r="I276" s="426">
        <f t="shared" si="53"/>
        <v>0</v>
      </c>
      <c r="J276" s="446">
        <f>IFERROR(I276/SUM(PROD!L271:L277),0)</f>
        <v>0</v>
      </c>
      <c r="K276" s="447">
        <f>IFERROR(J276/SUM(E270:E276,J270:J276,O270:O275),0)</f>
        <v>0</v>
      </c>
      <c r="L276" s="2311" t="str">
        <f>$L$10</f>
        <v>TOTAL COSTO PRODUCCIÓN</v>
      </c>
      <c r="M276" s="2312"/>
      <c r="N276" s="427">
        <f>SUM(D270:D276,I270:I276,N270:N275)</f>
        <v>0</v>
      </c>
      <c r="O276" s="449">
        <f>IFERROR(N276/SUM(PROD!L271:L277),0)</f>
        <v>0</v>
      </c>
      <c r="P276" s="447">
        <f>IFERROR(O276/SUM(E270:E276,J270:J276,O270:O275),0)</f>
        <v>0</v>
      </c>
      <c r="Q276" s="429" t="str">
        <f>$Q$10</f>
        <v>D</v>
      </c>
      <c r="R276" s="499">
        <f t="shared" si="56"/>
        <v>0</v>
      </c>
      <c r="S276" s="871">
        <f>SUM(PROD!AS271:AS277)</f>
        <v>0</v>
      </c>
      <c r="T276" s="431">
        <f>IF(AA270&gt;0,S276/AA270,0)</f>
        <v>0</v>
      </c>
      <c r="U276" s="432" t="str">
        <f>$U$10</f>
        <v>Rev. Peq</v>
      </c>
      <c r="V276" s="499">
        <f t="shared" si="57"/>
        <v>0</v>
      </c>
      <c r="W276" s="871">
        <f>SUM(PROD!AV271:AV277)</f>
        <v>0</v>
      </c>
      <c r="X276" s="431">
        <f>IFERROR(W276/(AA275-AA273),0)</f>
        <v>0</v>
      </c>
      <c r="Y276" s="2304"/>
      <c r="Z276" s="2306"/>
      <c r="AA276" s="2309"/>
      <c r="AB276" s="2310"/>
    </row>
    <row r="277" spans="1:28" ht="16.5" customHeight="1" x14ac:dyDescent="0.3">
      <c r="A277" s="2300">
        <f>A270+1</f>
        <v>57</v>
      </c>
      <c r="B277" s="433" t="str">
        <f>$B$4</f>
        <v>ALIMENTO Kilos</v>
      </c>
      <c r="C277" s="435">
        <f>LOOKUP($A277,PROD!$A$5:$A$725,PROD!$AH$10:$AH$730)</f>
        <v>0</v>
      </c>
      <c r="D277" s="368">
        <f>C277*LOOKUP($A277,'Pr-Sem'!$A$6:$A$108,'Pr-Sem'!$N$6:$N$108)/(PROD!$A$1/1000)</f>
        <v>0</v>
      </c>
      <c r="E277" s="369">
        <f>IFERROR(D277/SUM(PROD!L278:L284),0)</f>
        <v>0</v>
      </c>
      <c r="F277" s="370">
        <f>IFERROR(E277/SUM(E277:E283,J277:J283,O277:O282),0)</f>
        <v>0</v>
      </c>
      <c r="G277" s="434" t="str">
        <f>$G$11</f>
        <v>Honorarios</v>
      </c>
      <c r="H277" s="435">
        <f t="shared" si="55"/>
        <v>0</v>
      </c>
      <c r="I277" s="372">
        <f t="shared" si="53"/>
        <v>0</v>
      </c>
      <c r="J277" s="369">
        <f>IFERROR(I277/SUM(PROD!L278:L284),0)</f>
        <v>0</v>
      </c>
      <c r="K277" s="370">
        <f>IFERROR(J277/SUM(E277:E283,J277:J283,O277:O282),0)</f>
        <v>0</v>
      </c>
      <c r="L277" s="436" t="str">
        <f>$L$4</f>
        <v>Gastos de Viaje</v>
      </c>
      <c r="M277" s="435">
        <f t="shared" ref="M277:M282" si="59">M270</f>
        <v>0</v>
      </c>
      <c r="N277" s="372">
        <f>M277*12/52</f>
        <v>0</v>
      </c>
      <c r="O277" s="369">
        <f>IFERROR(N277/SUM(PROD!L278:L284),0)</f>
        <v>0</v>
      </c>
      <c r="P277" s="370">
        <f>IFERROR(O277/SUM(E277:E283,J277:J283,O277:O282),0)</f>
        <v>0</v>
      </c>
      <c r="Q277" s="373" t="str">
        <f>$Q$4</f>
        <v>AAAA</v>
      </c>
      <c r="R277" s="374">
        <f t="shared" si="56"/>
        <v>0</v>
      </c>
      <c r="S277" s="869">
        <f>SUM(PROD!AM278:AM284)</f>
        <v>0</v>
      </c>
      <c r="T277" s="375">
        <f>IF(AA277&gt;0,S277/AA277,0)</f>
        <v>0</v>
      </c>
      <c r="U277" s="376" t="str">
        <f>$U$4</f>
        <v>Prob Color</v>
      </c>
      <c r="V277" s="374">
        <f t="shared" si="57"/>
        <v>0</v>
      </c>
      <c r="W277" s="869">
        <f>SUM(PROD!AW278:AW284)</f>
        <v>0</v>
      </c>
      <c r="X277" s="375">
        <f>IFERROR(W277/(AA282-AA280),0)</f>
        <v>0</v>
      </c>
      <c r="Y277" s="377" t="s">
        <v>323</v>
      </c>
      <c r="Z277" s="378">
        <f>SUMPRODUCT(R277:R283,T277:T283)</f>
        <v>0</v>
      </c>
      <c r="AA277" s="379">
        <f>SUM(S277:S283)</f>
        <v>0</v>
      </c>
      <c r="AB277" s="490">
        <f>IF(AA282&gt;0,AA277/AA282,0)</f>
        <v>0</v>
      </c>
    </row>
    <row r="278" spans="1:28" ht="15.75" customHeight="1" x14ac:dyDescent="0.3">
      <c r="A278" s="2301"/>
      <c r="B278" s="438" t="str">
        <f>$B$5</f>
        <v>Amortización de Aves</v>
      </c>
      <c r="C278" s="381">
        <f>IFERROR((C271-(D278/'Pr-Sem'!$O$2)),0)</f>
        <v>0</v>
      </c>
      <c r="D278" s="382">
        <f>SUM(PROD!L278:L284)*E278</f>
        <v>0</v>
      </c>
      <c r="E278" s="383">
        <f>IF(SUM(PROD!L278:L284)&gt;0,IFERROR(($C$1-$C$2)/LOOKUP($B$2,'Pr-Sem'!$A$6:$A$108,'Pr-Sem'!$L$6:$L$108)*(LOOKUP(INVENTARIOS!$A277,'Pr-Sem'!$A$6:$A$108,'Pr-Sem'!$L$6:$L$108)-LOOKUP(INVENTARIOS!$A277-1,'Pr-Sem'!$A$6:$A$108,'Pr-Sem'!$L$6:$L$108))/(LOOKUP(INVENTARIOS!$A277,'Pr-Sem'!$A$6:$A$108,'Pr-Sem'!$K$6:$K$108)-LOOKUP(INVENTARIOS!$A277-1,'Pr-Sem'!$A$6:$A$108,'Pr-Sem'!$K$6:$K$108)),0),0)</f>
        <v>0</v>
      </c>
      <c r="F278" s="384">
        <f>IFERROR(E278/SUM(E277:E283,J277:J283,O277:O282),0)</f>
        <v>0</v>
      </c>
      <c r="G278" s="439" t="str">
        <f>$G$12</f>
        <v>Impuestos</v>
      </c>
      <c r="H278" s="440">
        <f t="shared" si="55"/>
        <v>0</v>
      </c>
      <c r="I278" s="387">
        <f t="shared" si="53"/>
        <v>0</v>
      </c>
      <c r="J278" s="383">
        <f>IFERROR(I278/SUM(PROD!L278:L284),0)</f>
        <v>0</v>
      </c>
      <c r="K278" s="384">
        <f>IFERROR(J278/SUM(E277:E283,J277:J283,O277:O282),0)</f>
        <v>0</v>
      </c>
      <c r="L278" s="439" t="str">
        <f>$L$5</f>
        <v>Depreciaciones</v>
      </c>
      <c r="M278" s="401">
        <f t="shared" si="59"/>
        <v>0</v>
      </c>
      <c r="N278" s="390">
        <f>M278*12/52</f>
        <v>0</v>
      </c>
      <c r="O278" s="383">
        <f>IFERROR(N278/SUM(PROD!L278:L284),0)</f>
        <v>0</v>
      </c>
      <c r="P278" s="384">
        <f>IFERROR(O278/SUM(E277:E283,J277:J283,O277:O282),0)</f>
        <v>0</v>
      </c>
      <c r="Q278" s="491" t="str">
        <f>$Q$5</f>
        <v>AAA</v>
      </c>
      <c r="R278" s="392">
        <f t="shared" si="56"/>
        <v>0</v>
      </c>
      <c r="S278" s="870">
        <f>SUM(PROD!AN278:AN284)</f>
        <v>0</v>
      </c>
      <c r="T278" s="492">
        <f>IF(AA277&gt;0,S278/AA277,0)</f>
        <v>0</v>
      </c>
      <c r="U278" s="493" t="str">
        <f>$U$5</f>
        <v>Prob Cásc</v>
      </c>
      <c r="V278" s="392">
        <f t="shared" si="57"/>
        <v>0</v>
      </c>
      <c r="W278" s="870">
        <f>SUM(PROD!AX278:AX284)</f>
        <v>0</v>
      </c>
      <c r="X278" s="492">
        <f>IFERROR(W278/(AA282-AA280),0)</f>
        <v>0</v>
      </c>
      <c r="Y278" s="395" t="s">
        <v>324</v>
      </c>
      <c r="Z278" s="396">
        <f>IFERROR(SUMPRODUCT(V277:V280,W277:W280)/SUM(W277:W280),0)</f>
        <v>0</v>
      </c>
      <c r="AA278" s="397">
        <f>SUM(W277:W280)</f>
        <v>0</v>
      </c>
      <c r="AB278" s="494">
        <f>IF(AA282&gt;0,AA278/AA282,0)</f>
        <v>0</v>
      </c>
    </row>
    <row r="279" spans="1:28" ht="15.75" customHeight="1" x14ac:dyDescent="0.3">
      <c r="A279" s="2301"/>
      <c r="B279" s="399" t="str">
        <f>$B$6</f>
        <v>Bandeja</v>
      </c>
      <c r="C279" s="400">
        <f>C272</f>
        <v>0</v>
      </c>
      <c r="D279" s="387">
        <f>C279*SUM(INVENTARIOS!R277:R283)</f>
        <v>0</v>
      </c>
      <c r="E279" s="383">
        <f>IFERROR(D279/SUM(PROD!L278:L284),0)</f>
        <v>0</v>
      </c>
      <c r="F279" s="384">
        <f>IFERROR(E279/SUM(E277:E283,J277:J283,O277:O282),0)</f>
        <v>0</v>
      </c>
      <c r="G279" s="439" t="str">
        <f>$G$13</f>
        <v>Arrendamientos</v>
      </c>
      <c r="H279" s="401">
        <f t="shared" si="55"/>
        <v>0</v>
      </c>
      <c r="I279" s="390">
        <f t="shared" si="53"/>
        <v>0</v>
      </c>
      <c r="J279" s="383">
        <f>IFERROR(I279/SUM(PROD!L278:L284),0)</f>
        <v>0</v>
      </c>
      <c r="K279" s="384">
        <f>IFERROR(J279/SUM(E277:E283,J277:J283,O277:O282),0)</f>
        <v>0</v>
      </c>
      <c r="L279" s="439" t="str">
        <f>$L$6</f>
        <v>Diversos</v>
      </c>
      <c r="M279" s="401">
        <f t="shared" si="59"/>
        <v>0</v>
      </c>
      <c r="N279" s="390">
        <f>M279*12/52</f>
        <v>0</v>
      </c>
      <c r="O279" s="383">
        <f>IFERROR(N279/SUM(PROD!L278:L284),0)</f>
        <v>0</v>
      </c>
      <c r="P279" s="384">
        <f>IFERROR(O279/SUM(E277:E283,J277:J283,O277:O282),0)</f>
        <v>0</v>
      </c>
      <c r="Q279" s="491" t="str">
        <f>$Q$6</f>
        <v>AA</v>
      </c>
      <c r="R279" s="392">
        <f t="shared" si="56"/>
        <v>0</v>
      </c>
      <c r="S279" s="870">
        <f>SUM(PROD!AO278:AO284)</f>
        <v>0</v>
      </c>
      <c r="T279" s="492">
        <f>IF(AA277&gt;0,S279/AA277,0)</f>
        <v>0</v>
      </c>
      <c r="U279" s="493" t="str">
        <f>$U$6</f>
        <v>Vencido</v>
      </c>
      <c r="V279" s="392">
        <f t="shared" si="57"/>
        <v>0</v>
      </c>
      <c r="W279" s="870">
        <f>SUM(PROD!AY278:AY284)</f>
        <v>0</v>
      </c>
      <c r="X279" s="492">
        <f>IFERROR(W279/(AA282-AA280),0)</f>
        <v>0</v>
      </c>
      <c r="Y279" s="402" t="s">
        <v>391</v>
      </c>
      <c r="Z279" s="456">
        <v>0</v>
      </c>
      <c r="AA279" s="720"/>
      <c r="AB279" s="495">
        <f>IF(AA282&gt;0,AA279/AA282,0)</f>
        <v>0</v>
      </c>
    </row>
    <row r="280" spans="1:28" ht="15.75" customHeight="1" x14ac:dyDescent="0.3">
      <c r="A280" s="2301"/>
      <c r="B280" s="438" t="str">
        <f>$B$7</f>
        <v>Mortalidad Aves</v>
      </c>
      <c r="C280" s="401">
        <f>IF(A277&lt;=$B$2,C278+$C$2,0)</f>
        <v>0</v>
      </c>
      <c r="D280" s="390">
        <f>C280*SUM(PROD!D278:D284)</f>
        <v>0</v>
      </c>
      <c r="E280" s="383">
        <f>IFERROR(D280/SUM(PROD!L278:L284),0)</f>
        <v>0</v>
      </c>
      <c r="F280" s="384">
        <f>IFERROR(E280/SUM(E277:E283,J277:J283,O277:O282),0)</f>
        <v>0</v>
      </c>
      <c r="G280" s="439" t="str">
        <f>$G$14</f>
        <v>Servicios Públicos</v>
      </c>
      <c r="H280" s="401">
        <f t="shared" si="55"/>
        <v>0</v>
      </c>
      <c r="I280" s="390">
        <f t="shared" si="53"/>
        <v>0</v>
      </c>
      <c r="J280" s="383">
        <f>IFERROR(I280/SUM(PROD!L278:L284),0)</f>
        <v>0</v>
      </c>
      <c r="K280" s="384">
        <f>IFERROR(J280/SUM(E277:E283,J277:J283,O277:O282),0)</f>
        <v>0</v>
      </c>
      <c r="L280" s="441" t="str">
        <f>$L$7</f>
        <v>Administrativos</v>
      </c>
      <c r="M280" s="401">
        <f t="shared" si="59"/>
        <v>0</v>
      </c>
      <c r="N280" s="404">
        <f>M280*0.230769230769231</f>
        <v>0</v>
      </c>
      <c r="O280" s="383">
        <f>IFERROR(N280/SUM(PROD!L278:L284),0)</f>
        <v>0</v>
      </c>
      <c r="P280" s="384">
        <f>IFERROR(O280/SUM(E277:E283,J277:J283,O277:O282),0)</f>
        <v>0</v>
      </c>
      <c r="Q280" s="491" t="str">
        <f>$Q$7</f>
        <v>A</v>
      </c>
      <c r="R280" s="392">
        <f t="shared" si="56"/>
        <v>0</v>
      </c>
      <c r="S280" s="870">
        <f>SUM(PROD!AP278:AP284)</f>
        <v>0</v>
      </c>
      <c r="T280" s="492">
        <f>IF(AA277&gt;0,S280/AA277,0)</f>
        <v>0</v>
      </c>
      <c r="U280" s="405" t="str">
        <f>$U$7</f>
        <v>Roto</v>
      </c>
      <c r="V280" s="406">
        <f t="shared" si="57"/>
        <v>0</v>
      </c>
      <c r="W280" s="872">
        <f>SUM(PROD!AZ278:AZ284)</f>
        <v>0</v>
      </c>
      <c r="X280" s="407">
        <f>IFERROR(W280/(AA282-AA280),0)</f>
        <v>0</v>
      </c>
      <c r="Y280" s="408" t="s">
        <v>359</v>
      </c>
      <c r="Z280" s="442">
        <v>215</v>
      </c>
      <c r="AA280" s="410">
        <f>SUM(PROD!L278:L284)-SUM(W277:W283)-SUM(S277:S283)-AA279</f>
        <v>0</v>
      </c>
      <c r="AB280" s="496">
        <f>IF(AA282&gt;0,AA280/AA282,0)</f>
        <v>0</v>
      </c>
    </row>
    <row r="281" spans="1:28" ht="15.75" customHeight="1" x14ac:dyDescent="0.3">
      <c r="A281" s="2301"/>
      <c r="B281" s="399" t="str">
        <f>$B$8</f>
        <v>Materia Prima (Carb Ca, etc.)</v>
      </c>
      <c r="C281" s="440">
        <f>C274</f>
        <v>0</v>
      </c>
      <c r="D281" s="387">
        <f>C281*12/52</f>
        <v>0</v>
      </c>
      <c r="E281" s="383">
        <f>IFERROR(D281/SUM(PROD!L278:L284),0)</f>
        <v>0</v>
      </c>
      <c r="F281" s="384">
        <f>IFERROR(E281/SUM(E277:E283,J277:J283,O277:O282),0)</f>
        <v>0</v>
      </c>
      <c r="G281" s="441" t="str">
        <f>$G$15</f>
        <v>Gastos Legales</v>
      </c>
      <c r="H281" s="401">
        <f t="shared" si="55"/>
        <v>0</v>
      </c>
      <c r="I281" s="390">
        <f t="shared" si="53"/>
        <v>0</v>
      </c>
      <c r="J281" s="383">
        <f>IFERROR(I281/SUM(PROD!L278:L284),0)</f>
        <v>0</v>
      </c>
      <c r="K281" s="384">
        <f>IFERROR(J281/SUM(E277:E283,J277:J283,O277:O282),0)</f>
        <v>0</v>
      </c>
      <c r="L281" s="439" t="str">
        <f>$L$8</f>
        <v>Fletes</v>
      </c>
      <c r="M281" s="401">
        <f t="shared" si="59"/>
        <v>0</v>
      </c>
      <c r="N281" s="404">
        <f>M281*0.230769230769231</f>
        <v>0</v>
      </c>
      <c r="O281" s="383">
        <f>IFERROR(N281/SUM(PROD!L278:L284),0)</f>
        <v>0</v>
      </c>
      <c r="P281" s="384">
        <f>IFERROR(O281/SUM(E277:E283,J277:J283,O277:O282),0)</f>
        <v>0</v>
      </c>
      <c r="Q281" s="491" t="str">
        <f>$Q$8</f>
        <v>B</v>
      </c>
      <c r="R281" s="392">
        <f t="shared" si="56"/>
        <v>0</v>
      </c>
      <c r="S281" s="870">
        <f>SUM(PROD!AQ278:AQ284)</f>
        <v>0</v>
      </c>
      <c r="T281" s="492">
        <f>IF(AA277&gt;0,S281/AA277,0)</f>
        <v>0</v>
      </c>
      <c r="U281" s="395" t="str">
        <f>$U$8</f>
        <v>Rev. Gr.</v>
      </c>
      <c r="V281" s="412">
        <f t="shared" si="57"/>
        <v>0</v>
      </c>
      <c r="W281" s="873">
        <f>SUM(PROD!AT278:AT284)</f>
        <v>0</v>
      </c>
      <c r="X281" s="413">
        <f>IFERROR(W281/(AA282-AA280),0)</f>
        <v>0</v>
      </c>
      <c r="Y281" s="414" t="s">
        <v>262</v>
      </c>
      <c r="Z281" s="415">
        <f>IFERROR(SUMPRODUCT(V281:V283,W281:W283)/SUM(W281:W283),0)</f>
        <v>0</v>
      </c>
      <c r="AA281" s="416">
        <f>SUM(W281:W283)</f>
        <v>0</v>
      </c>
      <c r="AB281" s="497">
        <f>IF(AA282&gt;0,AA281/AA282,0)</f>
        <v>0</v>
      </c>
    </row>
    <row r="282" spans="1:28" ht="15.75" customHeight="1" x14ac:dyDescent="0.3">
      <c r="A282" s="2301"/>
      <c r="B282" s="438" t="str">
        <f>$B$9</f>
        <v>Vacunas y medicamentos</v>
      </c>
      <c r="C282" s="443">
        <f>C275</f>
        <v>0</v>
      </c>
      <c r="D282" s="387">
        <f>C282*12/52</f>
        <v>0</v>
      </c>
      <c r="E282" s="383">
        <f>IFERROR(D282/SUM(PROD!L278:L284),0)</f>
        <v>0</v>
      </c>
      <c r="F282" s="384">
        <f>IFERROR(E282/SUM(E277:E283,J277:J283,O277:O282),0)</f>
        <v>0</v>
      </c>
      <c r="G282" s="441" t="str">
        <f>$G$16</f>
        <v>Mantenimiento y Reparaciones</v>
      </c>
      <c r="H282" s="401">
        <f t="shared" si="55"/>
        <v>0</v>
      </c>
      <c r="I282" s="390">
        <f t="shared" si="53"/>
        <v>0</v>
      </c>
      <c r="J282" s="383">
        <f>IFERROR(I282/SUM(PROD!L278:L284),0)</f>
        <v>0</v>
      </c>
      <c r="K282" s="384">
        <f>IFERROR(J282/SUM(E277:E283,J277:J283,O277:O282),0)</f>
        <v>0</v>
      </c>
      <c r="L282" s="439">
        <f>$L$9</f>
        <v>0</v>
      </c>
      <c r="M282" s="401">
        <f t="shared" si="59"/>
        <v>0</v>
      </c>
      <c r="N282" s="404">
        <f>M282*0.230769230769231</f>
        <v>0</v>
      </c>
      <c r="O282" s="383">
        <f>IFERROR(N282/SUM(PROD!L278:L284),0)</f>
        <v>0</v>
      </c>
      <c r="P282" s="384">
        <f>IFERROR(O282/SUM(E277:E283,J277:J283,O277:O282),0)</f>
        <v>0</v>
      </c>
      <c r="Q282" s="491" t="str">
        <f>$Q$9</f>
        <v>C</v>
      </c>
      <c r="R282" s="392">
        <f t="shared" si="56"/>
        <v>0</v>
      </c>
      <c r="S282" s="870">
        <f>SUM(PROD!AR278:AR284)</f>
        <v>0</v>
      </c>
      <c r="T282" s="492">
        <f>IF(AA277&gt;0,S282/AA277,0)</f>
        <v>0</v>
      </c>
      <c r="U282" s="493" t="str">
        <f>$U$9</f>
        <v>Rev. Med</v>
      </c>
      <c r="V282" s="392">
        <f t="shared" si="57"/>
        <v>0</v>
      </c>
      <c r="W282" s="870">
        <f>SUM(PROD!AU278:AU284)</f>
        <v>0</v>
      </c>
      <c r="X282" s="498">
        <f>IFERROR(W282/(AA282-AA280),0)</f>
        <v>0</v>
      </c>
      <c r="Y282" s="2303" t="s">
        <v>325</v>
      </c>
      <c r="Z282" s="2305">
        <f>SUMPRODUCT(Z277:Z281,AB277:AB281)</f>
        <v>0</v>
      </c>
      <c r="AA282" s="2307">
        <f>SUM(AA277:AA280)</f>
        <v>0</v>
      </c>
      <c r="AB282" s="2308"/>
    </row>
    <row r="283" spans="1:28" ht="16.5" customHeight="1" thickBot="1" x14ac:dyDescent="0.35">
      <c r="A283" s="2302"/>
      <c r="B283" s="444" t="str">
        <f>$B$10</f>
        <v>Gastos de Personal</v>
      </c>
      <c r="C283" s="445">
        <f>C276</f>
        <v>0</v>
      </c>
      <c r="D283" s="421">
        <f>C283*12/52</f>
        <v>0</v>
      </c>
      <c r="E283" s="446">
        <f>IFERROR(D283/SUM(PROD!L278:L284),0)</f>
        <v>0</v>
      </c>
      <c r="F283" s="447">
        <f>IFERROR(E283/SUM(E277:E283,J277:J283,O277:O282),0)</f>
        <v>0</v>
      </c>
      <c r="G283" s="448" t="str">
        <f>$G$17</f>
        <v>Adecuación Instalaciones</v>
      </c>
      <c r="H283" s="445">
        <f t="shared" si="55"/>
        <v>0</v>
      </c>
      <c r="I283" s="426">
        <f t="shared" si="53"/>
        <v>0</v>
      </c>
      <c r="J283" s="446">
        <f>IFERROR(I283/SUM(PROD!L278:L284),0)</f>
        <v>0</v>
      </c>
      <c r="K283" s="447">
        <f>IFERROR(J283/SUM(E277:E283,J277:J283,O277:O282),0)</f>
        <v>0</v>
      </c>
      <c r="L283" s="2311" t="str">
        <f>$L$10</f>
        <v>TOTAL COSTO PRODUCCIÓN</v>
      </c>
      <c r="M283" s="2312"/>
      <c r="N283" s="427">
        <f>SUM(D277:D283,I277:I283,N277:N282)</f>
        <v>0</v>
      </c>
      <c r="O283" s="449">
        <f>IFERROR(N283/SUM(PROD!L278:L284),0)</f>
        <v>0</v>
      </c>
      <c r="P283" s="447">
        <f>IFERROR(O283/SUM(E277:E283,J277:J283,O277:O282),0)</f>
        <v>0</v>
      </c>
      <c r="Q283" s="429" t="str">
        <f>$Q$10</f>
        <v>D</v>
      </c>
      <c r="R283" s="499">
        <f t="shared" si="56"/>
        <v>0</v>
      </c>
      <c r="S283" s="871">
        <f>SUM(PROD!AS278:AS284)</f>
        <v>0</v>
      </c>
      <c r="T283" s="431">
        <f>IF(AA277&gt;0,S283/AA277,0)</f>
        <v>0</v>
      </c>
      <c r="U283" s="432" t="str">
        <f>$U$10</f>
        <v>Rev. Peq</v>
      </c>
      <c r="V283" s="499">
        <f t="shared" si="57"/>
        <v>0</v>
      </c>
      <c r="W283" s="871">
        <f>SUM(PROD!AV278:AV284)</f>
        <v>0</v>
      </c>
      <c r="X283" s="431">
        <f>IFERROR(W283/(AA282-AA280),0)</f>
        <v>0</v>
      </c>
      <c r="Y283" s="2304"/>
      <c r="Z283" s="2306"/>
      <c r="AA283" s="2309"/>
      <c r="AB283" s="2310"/>
    </row>
    <row r="284" spans="1:28" ht="16.5" customHeight="1" x14ac:dyDescent="0.3">
      <c r="A284" s="2300">
        <f>A277+1</f>
        <v>58</v>
      </c>
      <c r="B284" s="433" t="str">
        <f>$B$4</f>
        <v>ALIMENTO Kilos</v>
      </c>
      <c r="C284" s="435">
        <f>LOOKUP($A284,PROD!$A$5:$A$725,PROD!$AH$10:$AH$730)</f>
        <v>0</v>
      </c>
      <c r="D284" s="368">
        <f>C284*LOOKUP($A284,'Pr-Sem'!$A$6:$A$108,'Pr-Sem'!$N$6:$N$108)/(PROD!$A$1/1000)</f>
        <v>0</v>
      </c>
      <c r="E284" s="369">
        <f>IFERROR(D284/SUM(PROD!L285:L291),0)</f>
        <v>0</v>
      </c>
      <c r="F284" s="370">
        <f>IFERROR(E284/SUM(E284:E290,J284:J290,O284:O289),0)</f>
        <v>0</v>
      </c>
      <c r="G284" s="434" t="str">
        <f>$G$11</f>
        <v>Honorarios</v>
      </c>
      <c r="H284" s="435">
        <f t="shared" si="55"/>
        <v>0</v>
      </c>
      <c r="I284" s="372">
        <f t="shared" si="53"/>
        <v>0</v>
      </c>
      <c r="J284" s="369">
        <f>IFERROR(I284/SUM(PROD!L285:L291),0)</f>
        <v>0</v>
      </c>
      <c r="K284" s="370">
        <f>IFERROR(J284/SUM(E284:E290,J284:J290,O284:O289),0)</f>
        <v>0</v>
      </c>
      <c r="L284" s="436" t="str">
        <f>$L$4</f>
        <v>Gastos de Viaje</v>
      </c>
      <c r="M284" s="435">
        <f t="shared" ref="M284:M289" si="60">M277</f>
        <v>0</v>
      </c>
      <c r="N284" s="372">
        <f>M284*12/52</f>
        <v>0</v>
      </c>
      <c r="O284" s="369">
        <f>IFERROR(N284/SUM(PROD!L285:L291),0)</f>
        <v>0</v>
      </c>
      <c r="P284" s="370">
        <f>IFERROR(O284/SUM(E284:E290,J284:J290,O284:O289),0)</f>
        <v>0</v>
      </c>
      <c r="Q284" s="373" t="str">
        <f>$Q$4</f>
        <v>AAAA</v>
      </c>
      <c r="R284" s="374">
        <f t="shared" si="56"/>
        <v>0</v>
      </c>
      <c r="S284" s="869">
        <f>SUM(PROD!AM285:AM291)</f>
        <v>0</v>
      </c>
      <c r="T284" s="375">
        <f>IF(AA284&gt;0,S284/AA284,0)</f>
        <v>0</v>
      </c>
      <c r="U284" s="376" t="str">
        <f>$U$4</f>
        <v>Prob Color</v>
      </c>
      <c r="V284" s="374">
        <f t="shared" si="57"/>
        <v>0</v>
      </c>
      <c r="W284" s="869">
        <f>SUM(PROD!AW285:AW291)</f>
        <v>0</v>
      </c>
      <c r="X284" s="375">
        <f>IFERROR(W284/(AA289-AA287),0)</f>
        <v>0</v>
      </c>
      <c r="Y284" s="377" t="s">
        <v>323</v>
      </c>
      <c r="Z284" s="378">
        <f>SUMPRODUCT(R284:R290,T284:T290)</f>
        <v>0</v>
      </c>
      <c r="AA284" s="379">
        <f>SUM(S284:S290)</f>
        <v>0</v>
      </c>
      <c r="AB284" s="490">
        <f>IF(AA289&gt;0,AA284/AA289,0)</f>
        <v>0</v>
      </c>
    </row>
    <row r="285" spans="1:28" ht="15.75" customHeight="1" x14ac:dyDescent="0.3">
      <c r="A285" s="2301"/>
      <c r="B285" s="438" t="str">
        <f>$B$5</f>
        <v>Amortización de Aves</v>
      </c>
      <c r="C285" s="381">
        <f>IFERROR((C278-(D285/'Pr-Sem'!$O$2)),0)</f>
        <v>0</v>
      </c>
      <c r="D285" s="382">
        <f>SUM(PROD!L285:L291)*E285</f>
        <v>0</v>
      </c>
      <c r="E285" s="383">
        <f>IF(SUM(PROD!L285:L291)&gt;0,IFERROR(($C$1-$C$2)/LOOKUP($B$2,'Pr-Sem'!$A$6:$A$108,'Pr-Sem'!$L$6:$L$108)*(LOOKUP(INVENTARIOS!$A284,'Pr-Sem'!$A$6:$A$108,'Pr-Sem'!$L$6:$L$108)-LOOKUP(INVENTARIOS!$A284-1,'Pr-Sem'!$A$6:$A$108,'Pr-Sem'!$L$6:$L$108))/(LOOKUP(INVENTARIOS!$A284,'Pr-Sem'!$A$6:$A$108,'Pr-Sem'!$K$6:$K$108)-LOOKUP(INVENTARIOS!$A284-1,'Pr-Sem'!$A$6:$A$108,'Pr-Sem'!$K$6:$K$108)),0),0)</f>
        <v>0</v>
      </c>
      <c r="F285" s="384">
        <f>IFERROR(E285/SUM(E284:E290,J284:J290,O284:O289),0)</f>
        <v>0</v>
      </c>
      <c r="G285" s="439" t="str">
        <f>$G$12</f>
        <v>Impuestos</v>
      </c>
      <c r="H285" s="440">
        <f t="shared" si="55"/>
        <v>0</v>
      </c>
      <c r="I285" s="387">
        <f t="shared" si="53"/>
        <v>0</v>
      </c>
      <c r="J285" s="383">
        <f>IFERROR(I285/SUM(PROD!L285:L291),0)</f>
        <v>0</v>
      </c>
      <c r="K285" s="384">
        <f>IFERROR(J285/SUM(E284:E290,J284:J290,O284:O289),0)</f>
        <v>0</v>
      </c>
      <c r="L285" s="439" t="str">
        <f>$L$5</f>
        <v>Depreciaciones</v>
      </c>
      <c r="M285" s="401">
        <f t="shared" si="60"/>
        <v>0</v>
      </c>
      <c r="N285" s="390">
        <f>M285*12/52</f>
        <v>0</v>
      </c>
      <c r="O285" s="383">
        <f>IFERROR(N285/SUM(PROD!L285:L291),0)</f>
        <v>0</v>
      </c>
      <c r="P285" s="384">
        <f>IFERROR(O285/SUM(E284:E290,J284:J290,O284:O289),0)</f>
        <v>0</v>
      </c>
      <c r="Q285" s="491" t="str">
        <f>$Q$5</f>
        <v>AAA</v>
      </c>
      <c r="R285" s="392">
        <f t="shared" si="56"/>
        <v>0</v>
      </c>
      <c r="S285" s="870">
        <f>SUM(PROD!AN285:AN291)</f>
        <v>0</v>
      </c>
      <c r="T285" s="492">
        <f>IF(AA284&gt;0,S285/AA284,0)</f>
        <v>0</v>
      </c>
      <c r="U285" s="493" t="str">
        <f>$U$5</f>
        <v>Prob Cásc</v>
      </c>
      <c r="V285" s="392">
        <f t="shared" si="57"/>
        <v>0</v>
      </c>
      <c r="W285" s="870">
        <f>SUM(PROD!AX285:AX291)</f>
        <v>0</v>
      </c>
      <c r="X285" s="492">
        <f>IFERROR(W285/(AA289-AA287),0)</f>
        <v>0</v>
      </c>
      <c r="Y285" s="395" t="s">
        <v>324</v>
      </c>
      <c r="Z285" s="396">
        <f>IFERROR(SUMPRODUCT(V284:V287,W284:W287)/SUM(W284:W287),0)</f>
        <v>0</v>
      </c>
      <c r="AA285" s="397">
        <f>SUM(W284:W287)</f>
        <v>0</v>
      </c>
      <c r="AB285" s="494">
        <f>IF(AA289&gt;0,AA285/AA289,0)</f>
        <v>0</v>
      </c>
    </row>
    <row r="286" spans="1:28" ht="15.75" customHeight="1" x14ac:dyDescent="0.3">
      <c r="A286" s="2301"/>
      <c r="B286" s="399" t="str">
        <f>$B$6</f>
        <v>Bandeja</v>
      </c>
      <c r="C286" s="400">
        <f>C279</f>
        <v>0</v>
      </c>
      <c r="D286" s="387">
        <f>C286*SUM(INVENTARIOS!R284:R290)</f>
        <v>0</v>
      </c>
      <c r="E286" s="383">
        <f>IFERROR(D286/SUM(PROD!L285:L291),0)</f>
        <v>0</v>
      </c>
      <c r="F286" s="384">
        <f>IFERROR(E286/SUM(E284:E290,J284:J290,O284:O289),0)</f>
        <v>0</v>
      </c>
      <c r="G286" s="439" t="str">
        <f>$G$13</f>
        <v>Arrendamientos</v>
      </c>
      <c r="H286" s="401">
        <f t="shared" si="55"/>
        <v>0</v>
      </c>
      <c r="I286" s="390">
        <f t="shared" si="53"/>
        <v>0</v>
      </c>
      <c r="J286" s="383">
        <f>IFERROR(I286/SUM(PROD!L285:L291),0)</f>
        <v>0</v>
      </c>
      <c r="K286" s="384">
        <f>IFERROR(J286/SUM(E284:E290,J284:J290,O284:O289),0)</f>
        <v>0</v>
      </c>
      <c r="L286" s="439" t="str">
        <f>$L$6</f>
        <v>Diversos</v>
      </c>
      <c r="M286" s="401">
        <f t="shared" si="60"/>
        <v>0</v>
      </c>
      <c r="N286" s="390">
        <f>M286*12/52</f>
        <v>0</v>
      </c>
      <c r="O286" s="383">
        <f>IFERROR(N286/SUM(PROD!L285:L291),0)</f>
        <v>0</v>
      </c>
      <c r="P286" s="384">
        <f>IFERROR(O286/SUM(E284:E290,J284:J290,O284:O289),0)</f>
        <v>0</v>
      </c>
      <c r="Q286" s="491" t="str">
        <f>$Q$6</f>
        <v>AA</v>
      </c>
      <c r="R286" s="392">
        <f t="shared" si="56"/>
        <v>0</v>
      </c>
      <c r="S286" s="870">
        <f>SUM(PROD!AO285:AO291)</f>
        <v>0</v>
      </c>
      <c r="T286" s="492">
        <f>IF(AA284&gt;0,S286/AA284,0)</f>
        <v>0</v>
      </c>
      <c r="U286" s="493" t="str">
        <f>$U$6</f>
        <v>Vencido</v>
      </c>
      <c r="V286" s="392">
        <f t="shared" si="57"/>
        <v>0</v>
      </c>
      <c r="W286" s="870">
        <f>SUM(PROD!AY285:AY291)</f>
        <v>0</v>
      </c>
      <c r="X286" s="492">
        <f>IFERROR(W286/(AA289-AA287),0)</f>
        <v>0</v>
      </c>
      <c r="Y286" s="402" t="s">
        <v>391</v>
      </c>
      <c r="Z286" s="456">
        <v>0</v>
      </c>
      <c r="AA286" s="720"/>
      <c r="AB286" s="495">
        <f>IF(AA289&gt;0,AA286/AA289,0)</f>
        <v>0</v>
      </c>
    </row>
    <row r="287" spans="1:28" ht="15.75" customHeight="1" x14ac:dyDescent="0.3">
      <c r="A287" s="2301"/>
      <c r="B287" s="438" t="str">
        <f>$B$7</f>
        <v>Mortalidad Aves</v>
      </c>
      <c r="C287" s="401">
        <f>IF(A284&lt;=$B$2,C285+$C$2,0)</f>
        <v>0</v>
      </c>
      <c r="D287" s="390">
        <f>C287*SUM(PROD!D285:D291)</f>
        <v>0</v>
      </c>
      <c r="E287" s="383">
        <f>IFERROR(D287/SUM(PROD!L285:L291),0)</f>
        <v>0</v>
      </c>
      <c r="F287" s="384">
        <f>IFERROR(E287/SUM(E284:E290,J284:J290,O284:O289),0)</f>
        <v>0</v>
      </c>
      <c r="G287" s="439" t="str">
        <f>$G$14</f>
        <v>Servicios Públicos</v>
      </c>
      <c r="H287" s="401">
        <f t="shared" si="55"/>
        <v>0</v>
      </c>
      <c r="I287" s="390">
        <f t="shared" si="53"/>
        <v>0</v>
      </c>
      <c r="J287" s="383">
        <f>IFERROR(I287/SUM(PROD!L285:L291),0)</f>
        <v>0</v>
      </c>
      <c r="K287" s="384">
        <f>IFERROR(J287/SUM(E284:E290,J284:J290,O284:O289),0)</f>
        <v>0</v>
      </c>
      <c r="L287" s="441" t="str">
        <f>$L$7</f>
        <v>Administrativos</v>
      </c>
      <c r="M287" s="401">
        <f t="shared" si="60"/>
        <v>0</v>
      </c>
      <c r="N287" s="404">
        <f>M287*0.230769230769231</f>
        <v>0</v>
      </c>
      <c r="O287" s="383">
        <f>IFERROR(N287/SUM(PROD!L285:L291),0)</f>
        <v>0</v>
      </c>
      <c r="P287" s="384">
        <f>IFERROR(O287/SUM(E284:E290,J284:J290,O284:O289),0)</f>
        <v>0</v>
      </c>
      <c r="Q287" s="491" t="str">
        <f>$Q$7</f>
        <v>A</v>
      </c>
      <c r="R287" s="392">
        <f t="shared" si="56"/>
        <v>0</v>
      </c>
      <c r="S287" s="870">
        <f>SUM(PROD!AP285:AP291)</f>
        <v>0</v>
      </c>
      <c r="T287" s="492">
        <f>IF(AA284&gt;0,S287/AA284,0)</f>
        <v>0</v>
      </c>
      <c r="U287" s="405" t="str">
        <f>$U$7</f>
        <v>Roto</v>
      </c>
      <c r="V287" s="406">
        <f t="shared" si="57"/>
        <v>0</v>
      </c>
      <c r="W287" s="872">
        <f>SUM(PROD!AZ285:AZ291)</f>
        <v>0</v>
      </c>
      <c r="X287" s="407">
        <f>IFERROR(W287/(AA289-AA287),0)</f>
        <v>0</v>
      </c>
      <c r="Y287" s="408" t="s">
        <v>359</v>
      </c>
      <c r="Z287" s="442">
        <v>215</v>
      </c>
      <c r="AA287" s="410">
        <f>SUM(PROD!L285:L291)-SUM(W284:W290)-SUM(S284:S290)-AA286</f>
        <v>0</v>
      </c>
      <c r="AB287" s="496">
        <f>IF(AA289&gt;0,AA287/AA289,0)</f>
        <v>0</v>
      </c>
    </row>
    <row r="288" spans="1:28" ht="15.75" customHeight="1" x14ac:dyDescent="0.3">
      <c r="A288" s="2301"/>
      <c r="B288" s="399" t="str">
        <f>$B$8</f>
        <v>Materia Prima (Carb Ca, etc.)</v>
      </c>
      <c r="C288" s="440">
        <f>C281</f>
        <v>0</v>
      </c>
      <c r="D288" s="387">
        <f>C288*12/52</f>
        <v>0</v>
      </c>
      <c r="E288" s="383">
        <f>IFERROR(D288/SUM(PROD!L285:L291),0)</f>
        <v>0</v>
      </c>
      <c r="F288" s="384">
        <f>IFERROR(E288/SUM(E284:E290,J284:J290,O284:O289),0)</f>
        <v>0</v>
      </c>
      <c r="G288" s="441" t="str">
        <f>$G$15</f>
        <v>Gastos Legales</v>
      </c>
      <c r="H288" s="401">
        <f t="shared" si="55"/>
        <v>0</v>
      </c>
      <c r="I288" s="390">
        <f t="shared" si="53"/>
        <v>0</v>
      </c>
      <c r="J288" s="383">
        <f>IFERROR(I288/SUM(PROD!L285:L291),0)</f>
        <v>0</v>
      </c>
      <c r="K288" s="384">
        <f>IFERROR(J288/SUM(E284:E290,J284:J290,O284:O289),0)</f>
        <v>0</v>
      </c>
      <c r="L288" s="439" t="str">
        <f>$L$8</f>
        <v>Fletes</v>
      </c>
      <c r="M288" s="401">
        <f t="shared" si="60"/>
        <v>0</v>
      </c>
      <c r="N288" s="404">
        <f>M288*0.230769230769231</f>
        <v>0</v>
      </c>
      <c r="O288" s="383">
        <f>IFERROR(N288/SUM(PROD!L285:L291),0)</f>
        <v>0</v>
      </c>
      <c r="P288" s="384">
        <f>IFERROR(O288/SUM(E284:E290,J284:J290,O284:O289),0)</f>
        <v>0</v>
      </c>
      <c r="Q288" s="491" t="str">
        <f>$Q$8</f>
        <v>B</v>
      </c>
      <c r="R288" s="392">
        <f t="shared" si="56"/>
        <v>0</v>
      </c>
      <c r="S288" s="870">
        <f>SUM(PROD!AQ285:AQ291)</f>
        <v>0</v>
      </c>
      <c r="T288" s="492">
        <f>IF(AA284&gt;0,S288/AA284,0)</f>
        <v>0</v>
      </c>
      <c r="U288" s="395" t="str">
        <f>$U$8</f>
        <v>Rev. Gr.</v>
      </c>
      <c r="V288" s="412">
        <f t="shared" si="57"/>
        <v>0</v>
      </c>
      <c r="W288" s="873">
        <f>SUM(PROD!AT285:AT291)</f>
        <v>0</v>
      </c>
      <c r="X288" s="413">
        <f>IFERROR(W288/(AA289-AA287),0)</f>
        <v>0</v>
      </c>
      <c r="Y288" s="414" t="s">
        <v>262</v>
      </c>
      <c r="Z288" s="415">
        <f>IFERROR(SUMPRODUCT(V288:V290,W288:W290)/SUM(W288:W290),0)</f>
        <v>0</v>
      </c>
      <c r="AA288" s="416">
        <f>SUM(W288:W290)</f>
        <v>0</v>
      </c>
      <c r="AB288" s="497">
        <f>IF(AA289&gt;0,AA288/AA289,0)</f>
        <v>0</v>
      </c>
    </row>
    <row r="289" spans="1:28" ht="15.75" customHeight="1" x14ac:dyDescent="0.3">
      <c r="A289" s="2301"/>
      <c r="B289" s="438" t="str">
        <f>$B$9</f>
        <v>Vacunas y medicamentos</v>
      </c>
      <c r="C289" s="443">
        <f>C282</f>
        <v>0</v>
      </c>
      <c r="D289" s="387">
        <f>C289*12/52</f>
        <v>0</v>
      </c>
      <c r="E289" s="383">
        <f>IFERROR(D289/SUM(PROD!L285:L291),0)</f>
        <v>0</v>
      </c>
      <c r="F289" s="384">
        <f>IFERROR(E289/SUM(E284:E290,J284:J290,O284:O289),0)</f>
        <v>0</v>
      </c>
      <c r="G289" s="441" t="str">
        <f>$G$16</f>
        <v>Mantenimiento y Reparaciones</v>
      </c>
      <c r="H289" s="401">
        <f t="shared" si="55"/>
        <v>0</v>
      </c>
      <c r="I289" s="390">
        <f t="shared" si="53"/>
        <v>0</v>
      </c>
      <c r="J289" s="383">
        <f>IFERROR(I289/SUM(PROD!L285:L291),0)</f>
        <v>0</v>
      </c>
      <c r="K289" s="384">
        <f>IFERROR(J289/SUM(E284:E290,J284:J290,O284:O289),0)</f>
        <v>0</v>
      </c>
      <c r="L289" s="439">
        <f>$L$9</f>
        <v>0</v>
      </c>
      <c r="M289" s="401">
        <f t="shared" si="60"/>
        <v>0</v>
      </c>
      <c r="N289" s="404">
        <f>M289*0.230769230769231</f>
        <v>0</v>
      </c>
      <c r="O289" s="383">
        <f>IFERROR(N289/SUM(PROD!L285:L291),0)</f>
        <v>0</v>
      </c>
      <c r="P289" s="384">
        <f>IFERROR(O289/SUM(E284:E290,J284:J290,O284:O289),0)</f>
        <v>0</v>
      </c>
      <c r="Q289" s="491" t="str">
        <f>$Q$9</f>
        <v>C</v>
      </c>
      <c r="R289" s="392">
        <f t="shared" si="56"/>
        <v>0</v>
      </c>
      <c r="S289" s="870">
        <f>SUM(PROD!AR285:AR291)</f>
        <v>0</v>
      </c>
      <c r="T289" s="492">
        <f>IF(AA284&gt;0,S289/AA284,0)</f>
        <v>0</v>
      </c>
      <c r="U289" s="493" t="str">
        <f>$U$9</f>
        <v>Rev. Med</v>
      </c>
      <c r="V289" s="392">
        <f t="shared" si="57"/>
        <v>0</v>
      </c>
      <c r="W289" s="870">
        <f>SUM(PROD!AU285:AU291)</f>
        <v>0</v>
      </c>
      <c r="X289" s="498">
        <f>IFERROR(W289/(AA289-AA287),0)</f>
        <v>0</v>
      </c>
      <c r="Y289" s="2303" t="s">
        <v>325</v>
      </c>
      <c r="Z289" s="2305">
        <f>SUMPRODUCT(Z284:Z288,AB284:AB288)</f>
        <v>0</v>
      </c>
      <c r="AA289" s="2307">
        <f>SUM(AA284:AA287)</f>
        <v>0</v>
      </c>
      <c r="AB289" s="2308"/>
    </row>
    <row r="290" spans="1:28" ht="16.5" customHeight="1" thickBot="1" x14ac:dyDescent="0.35">
      <c r="A290" s="2302"/>
      <c r="B290" s="444" t="str">
        <f>$B$10</f>
        <v>Gastos de Personal</v>
      </c>
      <c r="C290" s="445">
        <f>C283</f>
        <v>0</v>
      </c>
      <c r="D290" s="421">
        <f>C290*12/52</f>
        <v>0</v>
      </c>
      <c r="E290" s="446">
        <f>IFERROR(D290/SUM(PROD!L285:L291),0)</f>
        <v>0</v>
      </c>
      <c r="F290" s="447">
        <f>IFERROR(E290/SUM(E284:E290,J284:J290,O284:O289),0)</f>
        <v>0</v>
      </c>
      <c r="G290" s="448" t="str">
        <f>$G$17</f>
        <v>Adecuación Instalaciones</v>
      </c>
      <c r="H290" s="445">
        <f t="shared" si="55"/>
        <v>0</v>
      </c>
      <c r="I290" s="426">
        <f t="shared" si="53"/>
        <v>0</v>
      </c>
      <c r="J290" s="446">
        <f>IFERROR(I290/SUM(PROD!L285:L291),0)</f>
        <v>0</v>
      </c>
      <c r="K290" s="447">
        <f>IFERROR(J290/SUM(E284:E290,J284:J290,O284:O289),0)</f>
        <v>0</v>
      </c>
      <c r="L290" s="2311" t="str">
        <f>$L$10</f>
        <v>TOTAL COSTO PRODUCCIÓN</v>
      </c>
      <c r="M290" s="2312"/>
      <c r="N290" s="427">
        <f>SUM(D284:D290,I284:I290,N284:N289)</f>
        <v>0</v>
      </c>
      <c r="O290" s="449">
        <f>IFERROR(N290/SUM(PROD!L285:L291),0)</f>
        <v>0</v>
      </c>
      <c r="P290" s="447">
        <f>IFERROR(O290/SUM(E284:E290,J284:J290,O284:O289),0)</f>
        <v>0</v>
      </c>
      <c r="Q290" s="429" t="str">
        <f>$Q$10</f>
        <v>D</v>
      </c>
      <c r="R290" s="499">
        <f t="shared" si="56"/>
        <v>0</v>
      </c>
      <c r="S290" s="871">
        <f>SUM(PROD!AS285:AS291)</f>
        <v>0</v>
      </c>
      <c r="T290" s="431">
        <f>IF(AA284&gt;0,S290/AA284,0)</f>
        <v>0</v>
      </c>
      <c r="U290" s="432" t="str">
        <f>$U$10</f>
        <v>Rev. Peq</v>
      </c>
      <c r="V290" s="499">
        <f t="shared" si="57"/>
        <v>0</v>
      </c>
      <c r="W290" s="871">
        <f>SUM(PROD!AV285:AV291)</f>
        <v>0</v>
      </c>
      <c r="X290" s="431">
        <f>IFERROR(W290/(AA289-AA287),0)</f>
        <v>0</v>
      </c>
      <c r="Y290" s="2304"/>
      <c r="Z290" s="2306"/>
      <c r="AA290" s="2309"/>
      <c r="AB290" s="2310"/>
    </row>
    <row r="291" spans="1:28" ht="16.5" customHeight="1" x14ac:dyDescent="0.3">
      <c r="A291" s="2300">
        <f>A284+1</f>
        <v>59</v>
      </c>
      <c r="B291" s="433" t="str">
        <f>$B$4</f>
        <v>ALIMENTO Kilos</v>
      </c>
      <c r="C291" s="435">
        <f>LOOKUP($A291,PROD!$A$5:$A$725,PROD!$AH$10:$AH$730)</f>
        <v>0</v>
      </c>
      <c r="D291" s="368">
        <f>C291*LOOKUP($A291,'Pr-Sem'!$A$6:$A$108,'Pr-Sem'!$N$6:$N$108)/(PROD!$A$1/1000)</f>
        <v>0</v>
      </c>
      <c r="E291" s="369">
        <f>IFERROR(D291/SUM(PROD!L292:L298),0)</f>
        <v>0</v>
      </c>
      <c r="F291" s="370">
        <f>IFERROR(E291/SUM(E291:E297,J291:J297,O291:O296),0)</f>
        <v>0</v>
      </c>
      <c r="G291" s="434" t="str">
        <f>$G$11</f>
        <v>Honorarios</v>
      </c>
      <c r="H291" s="435">
        <f t="shared" si="55"/>
        <v>0</v>
      </c>
      <c r="I291" s="372">
        <f t="shared" si="53"/>
        <v>0</v>
      </c>
      <c r="J291" s="369">
        <f>IFERROR(I291/SUM(PROD!L292:L298),0)</f>
        <v>0</v>
      </c>
      <c r="K291" s="370">
        <f>IFERROR(J291/SUM(E291:E297,J291:J297,O291:O296),0)</f>
        <v>0</v>
      </c>
      <c r="L291" s="436" t="str">
        <f>$L$4</f>
        <v>Gastos de Viaje</v>
      </c>
      <c r="M291" s="435">
        <f t="shared" ref="M291:M296" si="61">M284</f>
        <v>0</v>
      </c>
      <c r="N291" s="372">
        <f>M291*12/52</f>
        <v>0</v>
      </c>
      <c r="O291" s="369">
        <f>IFERROR(N291/SUM(PROD!L292:L298),0)</f>
        <v>0</v>
      </c>
      <c r="P291" s="370">
        <f>IFERROR(O291/SUM(E291:E297,J291:J297,O291:O296),0)</f>
        <v>0</v>
      </c>
      <c r="Q291" s="373" t="str">
        <f>$Q$4</f>
        <v>AAAA</v>
      </c>
      <c r="R291" s="374">
        <f t="shared" si="56"/>
        <v>0</v>
      </c>
      <c r="S291" s="869">
        <f>SUM(PROD!AM292:AM298)</f>
        <v>0</v>
      </c>
      <c r="T291" s="375">
        <f>IF(AA291&gt;0,S291/AA291,0)</f>
        <v>0</v>
      </c>
      <c r="U291" s="376" t="str">
        <f>$U$4</f>
        <v>Prob Color</v>
      </c>
      <c r="V291" s="374">
        <f t="shared" si="57"/>
        <v>0</v>
      </c>
      <c r="W291" s="869">
        <f>SUM(PROD!AW292:AW298)</f>
        <v>0</v>
      </c>
      <c r="X291" s="375">
        <f>IFERROR(W291/(AA296-AA294),0)</f>
        <v>0</v>
      </c>
      <c r="Y291" s="377" t="s">
        <v>323</v>
      </c>
      <c r="Z291" s="378">
        <f>SUMPRODUCT(R291:R297,T291:T297)</f>
        <v>0</v>
      </c>
      <c r="AA291" s="379">
        <f>SUM(S291:S297)</f>
        <v>0</v>
      </c>
      <c r="AB291" s="490">
        <f>IF(AA296&gt;0,AA291/AA296,0)</f>
        <v>0</v>
      </c>
    </row>
    <row r="292" spans="1:28" ht="15.75" customHeight="1" x14ac:dyDescent="0.3">
      <c r="A292" s="2301"/>
      <c r="B292" s="438" t="str">
        <f>$B$5</f>
        <v>Amortización de Aves</v>
      </c>
      <c r="C292" s="381">
        <f>IFERROR((C285-(D292/'Pr-Sem'!$O$2)),0)</f>
        <v>0</v>
      </c>
      <c r="D292" s="382">
        <f>SUM(PROD!L292:L298)*E292</f>
        <v>0</v>
      </c>
      <c r="E292" s="383">
        <f>IF(SUM(PROD!L292:L298)&gt;0,IFERROR(($C$1-$C$2)/LOOKUP($B$2,'Pr-Sem'!$A$6:$A$108,'Pr-Sem'!$L$6:$L$108)*(LOOKUP(INVENTARIOS!$A291,'Pr-Sem'!$A$6:$A$108,'Pr-Sem'!$L$6:$L$108)-LOOKUP(INVENTARIOS!$A291-1,'Pr-Sem'!$A$6:$A$108,'Pr-Sem'!$L$6:$L$108))/(LOOKUP(INVENTARIOS!$A291,'Pr-Sem'!$A$6:$A$108,'Pr-Sem'!$K$6:$K$108)-LOOKUP(INVENTARIOS!$A291-1,'Pr-Sem'!$A$6:$A$108,'Pr-Sem'!$K$6:$K$108)),0),0)</f>
        <v>0</v>
      </c>
      <c r="F292" s="384">
        <f>IFERROR(E292/SUM(E291:E297,J291:J297,O291:O296),0)</f>
        <v>0</v>
      </c>
      <c r="G292" s="439" t="str">
        <f>$G$12</f>
        <v>Impuestos</v>
      </c>
      <c r="H292" s="440">
        <f t="shared" si="55"/>
        <v>0</v>
      </c>
      <c r="I292" s="387">
        <f t="shared" si="53"/>
        <v>0</v>
      </c>
      <c r="J292" s="383">
        <f>IFERROR(I292/SUM(PROD!L292:L298),0)</f>
        <v>0</v>
      </c>
      <c r="K292" s="384">
        <f>IFERROR(J292/SUM(E291:E297,J291:J297,O291:O296),0)</f>
        <v>0</v>
      </c>
      <c r="L292" s="439" t="str">
        <f>$L$5</f>
        <v>Depreciaciones</v>
      </c>
      <c r="M292" s="401">
        <f t="shared" si="61"/>
        <v>0</v>
      </c>
      <c r="N292" s="390">
        <f>M292*12/52</f>
        <v>0</v>
      </c>
      <c r="O292" s="383">
        <f>IFERROR(N292/SUM(PROD!L292:L298),0)</f>
        <v>0</v>
      </c>
      <c r="P292" s="384">
        <f>IFERROR(O292/SUM(E291:E297,J291:J297,O291:O296),0)</f>
        <v>0</v>
      </c>
      <c r="Q292" s="491" t="str">
        <f>$Q$5</f>
        <v>AAA</v>
      </c>
      <c r="R292" s="392">
        <f t="shared" si="56"/>
        <v>0</v>
      </c>
      <c r="S292" s="870">
        <f>SUM(PROD!AN292:AN298)</f>
        <v>0</v>
      </c>
      <c r="T292" s="492">
        <f>IF(AA291&gt;0,S292/AA291,0)</f>
        <v>0</v>
      </c>
      <c r="U292" s="493" t="str">
        <f>$U$5</f>
        <v>Prob Cásc</v>
      </c>
      <c r="V292" s="392">
        <f t="shared" si="57"/>
        <v>0</v>
      </c>
      <c r="W292" s="870">
        <f>SUM(PROD!AX292:AX298)</f>
        <v>0</v>
      </c>
      <c r="X292" s="492">
        <f>IFERROR(W292/(AA296-AA294),0)</f>
        <v>0</v>
      </c>
      <c r="Y292" s="395" t="s">
        <v>324</v>
      </c>
      <c r="Z292" s="396">
        <f>IFERROR(SUMPRODUCT(V291:V294,W291:W294)/SUM(W291:W294),0)</f>
        <v>0</v>
      </c>
      <c r="AA292" s="397">
        <f>SUM(W291:W294)</f>
        <v>0</v>
      </c>
      <c r="AB292" s="494">
        <f>IF(AA296&gt;0,AA292/AA296,0)</f>
        <v>0</v>
      </c>
    </row>
    <row r="293" spans="1:28" ht="15.75" customHeight="1" x14ac:dyDescent="0.3">
      <c r="A293" s="2301"/>
      <c r="B293" s="399" t="str">
        <f>$B$6</f>
        <v>Bandeja</v>
      </c>
      <c r="C293" s="400">
        <f>C286</f>
        <v>0</v>
      </c>
      <c r="D293" s="387">
        <f>C293*SUM(INVENTARIOS!R291:R297)</f>
        <v>0</v>
      </c>
      <c r="E293" s="383">
        <f>IFERROR(D293/SUM(PROD!L292:L298),0)</f>
        <v>0</v>
      </c>
      <c r="F293" s="384">
        <f>IFERROR(E293/SUM(E291:E297,J291:J297,O291:O296),0)</f>
        <v>0</v>
      </c>
      <c r="G293" s="439" t="str">
        <f>$G$13</f>
        <v>Arrendamientos</v>
      </c>
      <c r="H293" s="401">
        <f t="shared" si="55"/>
        <v>0</v>
      </c>
      <c r="I293" s="390">
        <f t="shared" si="53"/>
        <v>0</v>
      </c>
      <c r="J293" s="383">
        <f>IFERROR(I293/SUM(PROD!L292:L298),0)</f>
        <v>0</v>
      </c>
      <c r="K293" s="384">
        <f>IFERROR(J293/SUM(E291:E297,J291:J297,O291:O296),0)</f>
        <v>0</v>
      </c>
      <c r="L293" s="439" t="str">
        <f>$L$6</f>
        <v>Diversos</v>
      </c>
      <c r="M293" s="401">
        <f t="shared" si="61"/>
        <v>0</v>
      </c>
      <c r="N293" s="390">
        <f>M293*12/52</f>
        <v>0</v>
      </c>
      <c r="O293" s="383">
        <f>IFERROR(N293/SUM(PROD!L292:L298),0)</f>
        <v>0</v>
      </c>
      <c r="P293" s="384">
        <f>IFERROR(O293/SUM(E291:E297,J291:J297,O291:O296),0)</f>
        <v>0</v>
      </c>
      <c r="Q293" s="491" t="str">
        <f>$Q$6</f>
        <v>AA</v>
      </c>
      <c r="R293" s="392">
        <f t="shared" si="56"/>
        <v>0</v>
      </c>
      <c r="S293" s="870">
        <f>SUM(PROD!AO292:AO298)</f>
        <v>0</v>
      </c>
      <c r="T293" s="492">
        <f>IF(AA291&gt;0,S293/AA291,0)</f>
        <v>0</v>
      </c>
      <c r="U293" s="493" t="str">
        <f>$U$6</f>
        <v>Vencido</v>
      </c>
      <c r="V293" s="392">
        <f t="shared" si="57"/>
        <v>0</v>
      </c>
      <c r="W293" s="870">
        <f>SUM(PROD!AY292:AY298)</f>
        <v>0</v>
      </c>
      <c r="X293" s="492">
        <f>IFERROR(W293/(AA296-AA294),0)</f>
        <v>0</v>
      </c>
      <c r="Y293" s="402" t="s">
        <v>391</v>
      </c>
      <c r="Z293" s="456">
        <v>0</v>
      </c>
      <c r="AA293" s="720"/>
      <c r="AB293" s="495">
        <f>IF(AA296&gt;0,AA293/AA296,0)</f>
        <v>0</v>
      </c>
    </row>
    <row r="294" spans="1:28" ht="15.75" customHeight="1" x14ac:dyDescent="0.3">
      <c r="A294" s="2301"/>
      <c r="B294" s="438" t="str">
        <f>$B$7</f>
        <v>Mortalidad Aves</v>
      </c>
      <c r="C294" s="401">
        <f>IF(A291&lt;=$B$2,C292+$C$2,0)</f>
        <v>0</v>
      </c>
      <c r="D294" s="390">
        <f>C294*SUM(PROD!D292:D298)</f>
        <v>0</v>
      </c>
      <c r="E294" s="383">
        <f>IFERROR(D294/SUM(PROD!L292:L298),0)</f>
        <v>0</v>
      </c>
      <c r="F294" s="384">
        <f>IFERROR(E294/SUM(E291:E297,J291:J297,O291:O296),0)</f>
        <v>0</v>
      </c>
      <c r="G294" s="439" t="str">
        <f>$G$14</f>
        <v>Servicios Públicos</v>
      </c>
      <c r="H294" s="401">
        <f t="shared" si="55"/>
        <v>0</v>
      </c>
      <c r="I294" s="390">
        <f t="shared" si="53"/>
        <v>0</v>
      </c>
      <c r="J294" s="383">
        <f>IFERROR(I294/SUM(PROD!L292:L298),0)</f>
        <v>0</v>
      </c>
      <c r="K294" s="384">
        <f>IFERROR(J294/SUM(E291:E297,J291:J297,O291:O296),0)</f>
        <v>0</v>
      </c>
      <c r="L294" s="441" t="str">
        <f>$L$7</f>
        <v>Administrativos</v>
      </c>
      <c r="M294" s="401">
        <f t="shared" si="61"/>
        <v>0</v>
      </c>
      <c r="N294" s="404">
        <f>M294*0.230769230769231</f>
        <v>0</v>
      </c>
      <c r="O294" s="383">
        <f>IFERROR(N294/SUM(PROD!L292:L298),0)</f>
        <v>0</v>
      </c>
      <c r="P294" s="384">
        <f>IFERROR(O294/SUM(E291:E297,J291:J297,O291:O296),0)</f>
        <v>0</v>
      </c>
      <c r="Q294" s="491" t="str">
        <f>$Q$7</f>
        <v>A</v>
      </c>
      <c r="R294" s="392">
        <f t="shared" si="56"/>
        <v>0</v>
      </c>
      <c r="S294" s="870">
        <f>SUM(PROD!AP292:AP298)</f>
        <v>0</v>
      </c>
      <c r="T294" s="492">
        <f>IF(AA291&gt;0,S294/AA291,0)</f>
        <v>0</v>
      </c>
      <c r="U294" s="405" t="str">
        <f>$U$7</f>
        <v>Roto</v>
      </c>
      <c r="V294" s="406">
        <f t="shared" si="57"/>
        <v>0</v>
      </c>
      <c r="W294" s="872">
        <f>SUM(PROD!AZ292:AZ298)</f>
        <v>0</v>
      </c>
      <c r="X294" s="407">
        <f>IFERROR(W294/(AA296-AA294),0)</f>
        <v>0</v>
      </c>
      <c r="Y294" s="408" t="s">
        <v>359</v>
      </c>
      <c r="Z294" s="442">
        <v>215</v>
      </c>
      <c r="AA294" s="410">
        <f>SUM(PROD!L292:L298)-SUM(W291:W297)-SUM(S291:S297)-AA293</f>
        <v>0</v>
      </c>
      <c r="AB294" s="496">
        <f>IF(AA296&gt;0,AA294/AA296,0)</f>
        <v>0</v>
      </c>
    </row>
    <row r="295" spans="1:28" ht="15.75" customHeight="1" x14ac:dyDescent="0.3">
      <c r="A295" s="2301"/>
      <c r="B295" s="399" t="str">
        <f>$B$8</f>
        <v>Materia Prima (Carb Ca, etc.)</v>
      </c>
      <c r="C295" s="440">
        <f>C288</f>
        <v>0</v>
      </c>
      <c r="D295" s="387">
        <f>C295*12/52</f>
        <v>0</v>
      </c>
      <c r="E295" s="383">
        <f>IFERROR(D295/SUM(PROD!L292:L298),0)</f>
        <v>0</v>
      </c>
      <c r="F295" s="384">
        <f>IFERROR(E295/SUM(E291:E297,J291:J297,O291:O296),0)</f>
        <v>0</v>
      </c>
      <c r="G295" s="441" t="str">
        <f>$G$15</f>
        <v>Gastos Legales</v>
      </c>
      <c r="H295" s="401">
        <f t="shared" si="55"/>
        <v>0</v>
      </c>
      <c r="I295" s="390">
        <f t="shared" si="53"/>
        <v>0</v>
      </c>
      <c r="J295" s="383">
        <f>IFERROR(I295/SUM(PROD!L292:L298),0)</f>
        <v>0</v>
      </c>
      <c r="K295" s="384">
        <f>IFERROR(J295/SUM(E291:E297,J291:J297,O291:O296),0)</f>
        <v>0</v>
      </c>
      <c r="L295" s="439" t="str">
        <f>$L$8</f>
        <v>Fletes</v>
      </c>
      <c r="M295" s="401">
        <f t="shared" si="61"/>
        <v>0</v>
      </c>
      <c r="N295" s="404">
        <f>M295*0.230769230769231</f>
        <v>0</v>
      </c>
      <c r="O295" s="383">
        <f>IFERROR(N295/SUM(PROD!L292:L298),0)</f>
        <v>0</v>
      </c>
      <c r="P295" s="384">
        <f>IFERROR(O295/SUM(E291:E297,J291:J297,O291:O296),0)</f>
        <v>0</v>
      </c>
      <c r="Q295" s="491" t="str">
        <f>$Q$8</f>
        <v>B</v>
      </c>
      <c r="R295" s="392">
        <f t="shared" si="56"/>
        <v>0</v>
      </c>
      <c r="S295" s="870">
        <f>SUM(PROD!AQ292:AQ298)</f>
        <v>0</v>
      </c>
      <c r="T295" s="492">
        <f>IF(AA291&gt;0,S295/AA291,0)</f>
        <v>0</v>
      </c>
      <c r="U295" s="395" t="str">
        <f>$U$8</f>
        <v>Rev. Gr.</v>
      </c>
      <c r="V295" s="412">
        <f t="shared" si="57"/>
        <v>0</v>
      </c>
      <c r="W295" s="873">
        <f>SUM(PROD!AT292:AT298)</f>
        <v>0</v>
      </c>
      <c r="X295" s="413">
        <f>IFERROR(W295/(AA296-AA294),0)</f>
        <v>0</v>
      </c>
      <c r="Y295" s="414" t="s">
        <v>262</v>
      </c>
      <c r="Z295" s="415">
        <f>IFERROR(SUMPRODUCT(V295:V297,W295:W297)/SUM(W295:W297),0)</f>
        <v>0</v>
      </c>
      <c r="AA295" s="416">
        <f>SUM(W295:W297)</f>
        <v>0</v>
      </c>
      <c r="AB295" s="497">
        <f>IF(AA296&gt;0,AA295/AA296,0)</f>
        <v>0</v>
      </c>
    </row>
    <row r="296" spans="1:28" ht="15.75" customHeight="1" x14ac:dyDescent="0.3">
      <c r="A296" s="2301"/>
      <c r="B296" s="438" t="str">
        <f>$B$9</f>
        <v>Vacunas y medicamentos</v>
      </c>
      <c r="C296" s="443">
        <f>C289</f>
        <v>0</v>
      </c>
      <c r="D296" s="387">
        <f>C296*12/52</f>
        <v>0</v>
      </c>
      <c r="E296" s="383">
        <f>IFERROR(D296/SUM(PROD!L292:L298),0)</f>
        <v>0</v>
      </c>
      <c r="F296" s="384">
        <f>IFERROR(E296/SUM(E291:E297,J291:J297,O291:O296),0)</f>
        <v>0</v>
      </c>
      <c r="G296" s="441" t="str">
        <f>$G$16</f>
        <v>Mantenimiento y Reparaciones</v>
      </c>
      <c r="H296" s="401">
        <f t="shared" si="55"/>
        <v>0</v>
      </c>
      <c r="I296" s="390">
        <f t="shared" si="53"/>
        <v>0</v>
      </c>
      <c r="J296" s="383">
        <f>IFERROR(I296/SUM(PROD!L292:L298),0)</f>
        <v>0</v>
      </c>
      <c r="K296" s="384">
        <f>IFERROR(J296/SUM(E291:E297,J291:J297,O291:O296),0)</f>
        <v>0</v>
      </c>
      <c r="L296" s="439">
        <f>$L$9</f>
        <v>0</v>
      </c>
      <c r="M296" s="401">
        <f t="shared" si="61"/>
        <v>0</v>
      </c>
      <c r="N296" s="404">
        <f>M296*0.230769230769231</f>
        <v>0</v>
      </c>
      <c r="O296" s="383">
        <f>IFERROR(N296/SUM(PROD!L292:L298),0)</f>
        <v>0</v>
      </c>
      <c r="P296" s="384">
        <f>IFERROR(O296/SUM(E291:E297,J291:J297,O291:O296),0)</f>
        <v>0</v>
      </c>
      <c r="Q296" s="491" t="str">
        <f>$Q$9</f>
        <v>C</v>
      </c>
      <c r="R296" s="392">
        <f t="shared" si="56"/>
        <v>0</v>
      </c>
      <c r="S296" s="870">
        <f>SUM(PROD!AR292:AR298)</f>
        <v>0</v>
      </c>
      <c r="T296" s="492">
        <f>IF(AA291&gt;0,S296/AA291,0)</f>
        <v>0</v>
      </c>
      <c r="U296" s="493" t="str">
        <f>$U$9</f>
        <v>Rev. Med</v>
      </c>
      <c r="V296" s="392">
        <f t="shared" si="57"/>
        <v>0</v>
      </c>
      <c r="W296" s="870">
        <f>SUM(PROD!AU292:AU298)</f>
        <v>0</v>
      </c>
      <c r="X296" s="498">
        <f>IFERROR(W296/(AA296-AA294),0)</f>
        <v>0</v>
      </c>
      <c r="Y296" s="2303" t="s">
        <v>325</v>
      </c>
      <c r="Z296" s="2305">
        <f>SUMPRODUCT(Z291:Z295,AB291:AB295)</f>
        <v>0</v>
      </c>
      <c r="AA296" s="2307">
        <f>SUM(AA291:AA294)</f>
        <v>0</v>
      </c>
      <c r="AB296" s="2308"/>
    </row>
    <row r="297" spans="1:28" ht="16.5" customHeight="1" thickBot="1" x14ac:dyDescent="0.35">
      <c r="A297" s="2302"/>
      <c r="B297" s="444" t="str">
        <f>$B$10</f>
        <v>Gastos de Personal</v>
      </c>
      <c r="C297" s="445">
        <f>C290</f>
        <v>0</v>
      </c>
      <c r="D297" s="421">
        <f>C297*12/52</f>
        <v>0</v>
      </c>
      <c r="E297" s="446">
        <f>IFERROR(D297/SUM(PROD!L292:L298),0)</f>
        <v>0</v>
      </c>
      <c r="F297" s="447">
        <f>IFERROR(E297/SUM(E291:E297,J291:J297,O291:O296),0)</f>
        <v>0</v>
      </c>
      <c r="G297" s="448" t="str">
        <f>$G$17</f>
        <v>Adecuación Instalaciones</v>
      </c>
      <c r="H297" s="445">
        <f t="shared" si="55"/>
        <v>0</v>
      </c>
      <c r="I297" s="426">
        <f t="shared" si="53"/>
        <v>0</v>
      </c>
      <c r="J297" s="446">
        <f>IFERROR(I297/SUM(PROD!L292:L298),0)</f>
        <v>0</v>
      </c>
      <c r="K297" s="447">
        <f>IFERROR(J297/SUM(E291:E297,J291:J297,O291:O296),0)</f>
        <v>0</v>
      </c>
      <c r="L297" s="2311" t="str">
        <f>$L$10</f>
        <v>TOTAL COSTO PRODUCCIÓN</v>
      </c>
      <c r="M297" s="2312"/>
      <c r="N297" s="427">
        <f>SUM(D291:D297,I291:I297,N291:N296)</f>
        <v>0</v>
      </c>
      <c r="O297" s="449">
        <f>IFERROR(N297/SUM(PROD!L292:L298),0)</f>
        <v>0</v>
      </c>
      <c r="P297" s="447">
        <f>IFERROR(O297/SUM(E291:E297,J291:J297,O291:O296),0)</f>
        <v>0</v>
      </c>
      <c r="Q297" s="429" t="str">
        <f>$Q$10</f>
        <v>D</v>
      </c>
      <c r="R297" s="499">
        <f t="shared" si="56"/>
        <v>0</v>
      </c>
      <c r="S297" s="871">
        <f>SUM(PROD!AS292:AS298)</f>
        <v>0</v>
      </c>
      <c r="T297" s="431">
        <f>IF(AA291&gt;0,S297/AA291,0)</f>
        <v>0</v>
      </c>
      <c r="U297" s="432" t="str">
        <f>$U$10</f>
        <v>Rev. Peq</v>
      </c>
      <c r="V297" s="499">
        <f t="shared" si="57"/>
        <v>0</v>
      </c>
      <c r="W297" s="871">
        <f>SUM(PROD!AV292:AV298)</f>
        <v>0</v>
      </c>
      <c r="X297" s="431">
        <f>IFERROR(W297/(AA296-AA294),0)</f>
        <v>0</v>
      </c>
      <c r="Y297" s="2304"/>
      <c r="Z297" s="2306"/>
      <c r="AA297" s="2309"/>
      <c r="AB297" s="2310"/>
    </row>
    <row r="298" spans="1:28" ht="16.5" customHeight="1" x14ac:dyDescent="0.3">
      <c r="A298" s="2300">
        <f>A291+1</f>
        <v>60</v>
      </c>
      <c r="B298" s="433" t="str">
        <f>$B$4</f>
        <v>ALIMENTO Kilos</v>
      </c>
      <c r="C298" s="435">
        <f>LOOKUP($A298,PROD!$A$5:$A$725,PROD!$AH$10:$AH$730)</f>
        <v>0</v>
      </c>
      <c r="D298" s="368">
        <f>C298*LOOKUP($A298,'Pr-Sem'!$A$6:$A$108,'Pr-Sem'!$N$6:$N$108)/(PROD!$A$1/1000)</f>
        <v>0</v>
      </c>
      <c r="E298" s="369">
        <f>IFERROR(D298/SUM(PROD!L299:L305),0)</f>
        <v>0</v>
      </c>
      <c r="F298" s="370">
        <f>IFERROR(E298/SUM(E298:E304,J298:J304,O298:O303),0)</f>
        <v>0</v>
      </c>
      <c r="G298" s="434" t="str">
        <f>$G$11</f>
        <v>Honorarios</v>
      </c>
      <c r="H298" s="435">
        <f t="shared" si="55"/>
        <v>0</v>
      </c>
      <c r="I298" s="372">
        <f t="shared" si="53"/>
        <v>0</v>
      </c>
      <c r="J298" s="369">
        <f>IFERROR(I298/SUM(PROD!L299:L305),0)</f>
        <v>0</v>
      </c>
      <c r="K298" s="370">
        <f>IFERROR(J298/SUM(E298:E304,J298:J304,O298:O303),0)</f>
        <v>0</v>
      </c>
      <c r="L298" s="436" t="str">
        <f>$L$4</f>
        <v>Gastos de Viaje</v>
      </c>
      <c r="M298" s="435">
        <f t="shared" ref="M298:M303" si="62">M291</f>
        <v>0</v>
      </c>
      <c r="N298" s="372">
        <f>M298*12/52</f>
        <v>0</v>
      </c>
      <c r="O298" s="369">
        <f>IFERROR(N298/SUM(PROD!L299:L305),0)</f>
        <v>0</v>
      </c>
      <c r="P298" s="370">
        <f>IFERROR(O298/SUM(E298:E304,J298:J304,O298:O303),0)</f>
        <v>0</v>
      </c>
      <c r="Q298" s="373" t="str">
        <f>$Q$4</f>
        <v>AAAA</v>
      </c>
      <c r="R298" s="374">
        <f t="shared" si="56"/>
        <v>0</v>
      </c>
      <c r="S298" s="869">
        <f>SUM(PROD!AM299:AM305)</f>
        <v>0</v>
      </c>
      <c r="T298" s="375">
        <f>IF(AA298&gt;0,S298/AA298,0)</f>
        <v>0</v>
      </c>
      <c r="U298" s="376" t="str">
        <f>$U$4</f>
        <v>Prob Color</v>
      </c>
      <c r="V298" s="374">
        <f t="shared" si="57"/>
        <v>0</v>
      </c>
      <c r="W298" s="869">
        <f>SUM(PROD!AW299:AW305)</f>
        <v>0</v>
      </c>
      <c r="X298" s="375">
        <f>IFERROR(W298/(AA303-AA301),0)</f>
        <v>0</v>
      </c>
      <c r="Y298" s="377" t="s">
        <v>323</v>
      </c>
      <c r="Z298" s="378">
        <f>SUMPRODUCT(R298:R304,T298:T304)</f>
        <v>0</v>
      </c>
      <c r="AA298" s="379">
        <f>SUM(S298:S304)</f>
        <v>0</v>
      </c>
      <c r="AB298" s="490">
        <f>IF(AA303&gt;0,AA298/AA303,0)</f>
        <v>0</v>
      </c>
    </row>
    <row r="299" spans="1:28" ht="15.75" customHeight="1" x14ac:dyDescent="0.3">
      <c r="A299" s="2301"/>
      <c r="B299" s="438" t="str">
        <f>$B$5</f>
        <v>Amortización de Aves</v>
      </c>
      <c r="C299" s="381">
        <f>IFERROR((C292-(D299/'Pr-Sem'!$O$2)),0)</f>
        <v>0</v>
      </c>
      <c r="D299" s="382">
        <f>SUM(PROD!L299:L305)*E299</f>
        <v>0</v>
      </c>
      <c r="E299" s="383">
        <f>IF(SUM(PROD!L299:L305)&gt;0,IFERROR(($C$1-$C$2)/LOOKUP($B$2,'Pr-Sem'!$A$6:$A$108,'Pr-Sem'!$L$6:$L$108)*(LOOKUP(INVENTARIOS!$A298,'Pr-Sem'!$A$6:$A$108,'Pr-Sem'!$L$6:$L$108)-LOOKUP(INVENTARIOS!$A298-1,'Pr-Sem'!$A$6:$A$108,'Pr-Sem'!$L$6:$L$108))/(LOOKUP(INVENTARIOS!$A298,'Pr-Sem'!$A$6:$A$108,'Pr-Sem'!$K$6:$K$108)-LOOKUP(INVENTARIOS!$A298-1,'Pr-Sem'!$A$6:$A$108,'Pr-Sem'!$K$6:$K$108)),0),0)</f>
        <v>0</v>
      </c>
      <c r="F299" s="384">
        <f>IFERROR(E299/SUM(E298:E304,J298:J304,O298:O303),0)</f>
        <v>0</v>
      </c>
      <c r="G299" s="439" t="str">
        <f>$G$12</f>
        <v>Impuestos</v>
      </c>
      <c r="H299" s="440">
        <f t="shared" si="55"/>
        <v>0</v>
      </c>
      <c r="I299" s="387">
        <f t="shared" si="53"/>
        <v>0</v>
      </c>
      <c r="J299" s="383">
        <f>IFERROR(I299/SUM(PROD!L299:L305),0)</f>
        <v>0</v>
      </c>
      <c r="K299" s="384">
        <f>IFERROR(J299/SUM(E298:E304,J298:J304,O298:O303),0)</f>
        <v>0</v>
      </c>
      <c r="L299" s="439" t="str">
        <f>$L$5</f>
        <v>Depreciaciones</v>
      </c>
      <c r="M299" s="401">
        <f t="shared" si="62"/>
        <v>0</v>
      </c>
      <c r="N299" s="390">
        <f>M299*12/52</f>
        <v>0</v>
      </c>
      <c r="O299" s="383">
        <f>IFERROR(N299/SUM(PROD!L299:L305),0)</f>
        <v>0</v>
      </c>
      <c r="P299" s="384">
        <f>IFERROR(O299/SUM(E298:E304,J298:J304,O298:O303),0)</f>
        <v>0</v>
      </c>
      <c r="Q299" s="491" t="str">
        <f>$Q$5</f>
        <v>AAA</v>
      </c>
      <c r="R299" s="392">
        <f t="shared" si="56"/>
        <v>0</v>
      </c>
      <c r="S299" s="870">
        <f>SUM(PROD!AN299:AN305)</f>
        <v>0</v>
      </c>
      <c r="T299" s="492">
        <f>IF(AA298&gt;0,S299/AA298,0)</f>
        <v>0</v>
      </c>
      <c r="U299" s="493" t="str">
        <f>$U$5</f>
        <v>Prob Cásc</v>
      </c>
      <c r="V299" s="392">
        <f t="shared" si="57"/>
        <v>0</v>
      </c>
      <c r="W299" s="870">
        <f>SUM(PROD!AX299:AX305)</f>
        <v>0</v>
      </c>
      <c r="X299" s="492">
        <f>IFERROR(W299/(AA303-AA301),0)</f>
        <v>0</v>
      </c>
      <c r="Y299" s="395" t="s">
        <v>324</v>
      </c>
      <c r="Z299" s="396">
        <f>IFERROR(SUMPRODUCT(V298:V301,W298:W301)/SUM(W298:W301),0)</f>
        <v>0</v>
      </c>
      <c r="AA299" s="397">
        <f>SUM(W298:W301)</f>
        <v>0</v>
      </c>
      <c r="AB299" s="494">
        <f>IF(AA303&gt;0,AA299/AA303,0)</f>
        <v>0</v>
      </c>
    </row>
    <row r="300" spans="1:28" ht="15.75" customHeight="1" x14ac:dyDescent="0.3">
      <c r="A300" s="2301"/>
      <c r="B300" s="399" t="str">
        <f>$B$6</f>
        <v>Bandeja</v>
      </c>
      <c r="C300" s="400">
        <f>C293</f>
        <v>0</v>
      </c>
      <c r="D300" s="387">
        <f>C300*SUM(INVENTARIOS!R298:R304)</f>
        <v>0</v>
      </c>
      <c r="E300" s="383">
        <f>IFERROR(D300/SUM(PROD!L299:L305),0)</f>
        <v>0</v>
      </c>
      <c r="F300" s="384">
        <f>IFERROR(E300/SUM(E298:E304,J298:J304,O298:O303),0)</f>
        <v>0</v>
      </c>
      <c r="G300" s="439" t="str">
        <f>$G$13</f>
        <v>Arrendamientos</v>
      </c>
      <c r="H300" s="401">
        <f t="shared" si="55"/>
        <v>0</v>
      </c>
      <c r="I300" s="390">
        <f t="shared" si="53"/>
        <v>0</v>
      </c>
      <c r="J300" s="383">
        <f>IFERROR(I300/SUM(PROD!L299:L305),0)</f>
        <v>0</v>
      </c>
      <c r="K300" s="384">
        <f>IFERROR(J300/SUM(E298:E304,J298:J304,O298:O303),0)</f>
        <v>0</v>
      </c>
      <c r="L300" s="439" t="str">
        <f>$L$6</f>
        <v>Diversos</v>
      </c>
      <c r="M300" s="401">
        <f t="shared" si="62"/>
        <v>0</v>
      </c>
      <c r="N300" s="390">
        <f>M300*12/52</f>
        <v>0</v>
      </c>
      <c r="O300" s="383">
        <f>IFERROR(N300/SUM(PROD!L299:L305),0)</f>
        <v>0</v>
      </c>
      <c r="P300" s="384">
        <f>IFERROR(O300/SUM(E298:E304,J298:J304,O298:O303),0)</f>
        <v>0</v>
      </c>
      <c r="Q300" s="491" t="str">
        <f>$Q$6</f>
        <v>AA</v>
      </c>
      <c r="R300" s="392">
        <f t="shared" si="56"/>
        <v>0</v>
      </c>
      <c r="S300" s="870">
        <f>SUM(PROD!AO299:AO305)</f>
        <v>0</v>
      </c>
      <c r="T300" s="492">
        <f>IF(AA298&gt;0,S300/AA298,0)</f>
        <v>0</v>
      </c>
      <c r="U300" s="493" t="str">
        <f>$U$6</f>
        <v>Vencido</v>
      </c>
      <c r="V300" s="392">
        <f t="shared" si="57"/>
        <v>0</v>
      </c>
      <c r="W300" s="870">
        <f>SUM(PROD!AY299:AY305)</f>
        <v>0</v>
      </c>
      <c r="X300" s="492">
        <f>IFERROR(W300/(AA303-AA301),0)</f>
        <v>0</v>
      </c>
      <c r="Y300" s="402" t="s">
        <v>391</v>
      </c>
      <c r="Z300" s="456">
        <v>0</v>
      </c>
      <c r="AA300" s="720"/>
      <c r="AB300" s="495">
        <f>IF(AA303&gt;0,AA300/AA303,0)</f>
        <v>0</v>
      </c>
    </row>
    <row r="301" spans="1:28" ht="15.75" customHeight="1" x14ac:dyDescent="0.3">
      <c r="A301" s="2301"/>
      <c r="B301" s="438" t="str">
        <f>$B$7</f>
        <v>Mortalidad Aves</v>
      </c>
      <c r="C301" s="401">
        <f>IF(A298&lt;=$B$2,C299+$C$2,0)</f>
        <v>0</v>
      </c>
      <c r="D301" s="390">
        <f>C301*SUM(PROD!D299:D305)</f>
        <v>0</v>
      </c>
      <c r="E301" s="383">
        <f>IFERROR(D301/SUM(PROD!L299:L305),0)</f>
        <v>0</v>
      </c>
      <c r="F301" s="384">
        <f>IFERROR(E301/SUM(E298:E304,J298:J304,O298:O303),0)</f>
        <v>0</v>
      </c>
      <c r="G301" s="439" t="str">
        <f>$G$14</f>
        <v>Servicios Públicos</v>
      </c>
      <c r="H301" s="401">
        <f t="shared" si="55"/>
        <v>0</v>
      </c>
      <c r="I301" s="390">
        <f t="shared" si="53"/>
        <v>0</v>
      </c>
      <c r="J301" s="383">
        <f>IFERROR(I301/SUM(PROD!L299:L305),0)</f>
        <v>0</v>
      </c>
      <c r="K301" s="384">
        <f>IFERROR(J301/SUM(E298:E304,J298:J304,O298:O303),0)</f>
        <v>0</v>
      </c>
      <c r="L301" s="441" t="str">
        <f>$L$7</f>
        <v>Administrativos</v>
      </c>
      <c r="M301" s="401">
        <f t="shared" si="62"/>
        <v>0</v>
      </c>
      <c r="N301" s="404">
        <f>M301*0.230769230769231</f>
        <v>0</v>
      </c>
      <c r="O301" s="383">
        <f>IFERROR(N301/SUM(PROD!L299:L305),0)</f>
        <v>0</v>
      </c>
      <c r="P301" s="384">
        <f>IFERROR(O301/SUM(E298:E304,J298:J304,O298:O303),0)</f>
        <v>0</v>
      </c>
      <c r="Q301" s="491" t="str">
        <f>$Q$7</f>
        <v>A</v>
      </c>
      <c r="R301" s="392">
        <f t="shared" si="56"/>
        <v>0</v>
      </c>
      <c r="S301" s="870">
        <f>SUM(PROD!AP299:AP305)</f>
        <v>0</v>
      </c>
      <c r="T301" s="492">
        <f>IF(AA298&gt;0,S301/AA298,0)</f>
        <v>0</v>
      </c>
      <c r="U301" s="405" t="str">
        <f>$U$7</f>
        <v>Roto</v>
      </c>
      <c r="V301" s="406">
        <f t="shared" si="57"/>
        <v>0</v>
      </c>
      <c r="W301" s="872">
        <f>SUM(PROD!AZ299:AZ305)</f>
        <v>0</v>
      </c>
      <c r="X301" s="407">
        <f>IFERROR(W301/(AA303-AA301),0)</f>
        <v>0</v>
      </c>
      <c r="Y301" s="408" t="s">
        <v>359</v>
      </c>
      <c r="Z301" s="442">
        <v>215</v>
      </c>
      <c r="AA301" s="410">
        <f>SUM(PROD!L299:L305)-SUM(W298:W304)-SUM(S298:S304)-AA300</f>
        <v>0</v>
      </c>
      <c r="AB301" s="496">
        <f>IF(AA303&gt;0,AA301/AA303,0)</f>
        <v>0</v>
      </c>
    </row>
    <row r="302" spans="1:28" ht="15.75" customHeight="1" x14ac:dyDescent="0.3">
      <c r="A302" s="2301"/>
      <c r="B302" s="399" t="str">
        <f>$B$8</f>
        <v>Materia Prima (Carb Ca, etc.)</v>
      </c>
      <c r="C302" s="440">
        <f>C295</f>
        <v>0</v>
      </c>
      <c r="D302" s="387">
        <f>C302*12/52</f>
        <v>0</v>
      </c>
      <c r="E302" s="383">
        <f>IFERROR(D302/SUM(PROD!L299:L305),0)</f>
        <v>0</v>
      </c>
      <c r="F302" s="384">
        <f>IFERROR(E302/SUM(E298:E304,J298:J304,O298:O303),0)</f>
        <v>0</v>
      </c>
      <c r="G302" s="441" t="str">
        <f>$G$15</f>
        <v>Gastos Legales</v>
      </c>
      <c r="H302" s="401">
        <f t="shared" si="55"/>
        <v>0</v>
      </c>
      <c r="I302" s="390">
        <f t="shared" si="53"/>
        <v>0</v>
      </c>
      <c r="J302" s="383">
        <f>IFERROR(I302/SUM(PROD!L299:L305),0)</f>
        <v>0</v>
      </c>
      <c r="K302" s="384">
        <f>IFERROR(J302/SUM(E298:E304,J298:J304,O298:O303),0)</f>
        <v>0</v>
      </c>
      <c r="L302" s="439" t="str">
        <f>$L$8</f>
        <v>Fletes</v>
      </c>
      <c r="M302" s="401">
        <f t="shared" si="62"/>
        <v>0</v>
      </c>
      <c r="N302" s="404">
        <f>M302*0.230769230769231</f>
        <v>0</v>
      </c>
      <c r="O302" s="383">
        <f>IFERROR(N302/SUM(PROD!L299:L305),0)</f>
        <v>0</v>
      </c>
      <c r="P302" s="384">
        <f>IFERROR(O302/SUM(E298:E304,J298:J304,O298:O303),0)</f>
        <v>0</v>
      </c>
      <c r="Q302" s="491" t="str">
        <f>$Q$8</f>
        <v>B</v>
      </c>
      <c r="R302" s="392">
        <f t="shared" si="56"/>
        <v>0</v>
      </c>
      <c r="S302" s="870">
        <f>SUM(PROD!AQ299:AQ305)</f>
        <v>0</v>
      </c>
      <c r="T302" s="492">
        <f>IF(AA298&gt;0,S302/AA298,0)</f>
        <v>0</v>
      </c>
      <c r="U302" s="395" t="str">
        <f>$U$8</f>
        <v>Rev. Gr.</v>
      </c>
      <c r="V302" s="412">
        <f t="shared" si="57"/>
        <v>0</v>
      </c>
      <c r="W302" s="873">
        <f>SUM(PROD!AT299:AT305)</f>
        <v>0</v>
      </c>
      <c r="X302" s="413">
        <f>IFERROR(W302/(AA303-AA301),0)</f>
        <v>0</v>
      </c>
      <c r="Y302" s="414" t="s">
        <v>262</v>
      </c>
      <c r="Z302" s="415">
        <f>IFERROR(SUMPRODUCT(V302:V304,W302:W304)/SUM(W302:W304),0)</f>
        <v>0</v>
      </c>
      <c r="AA302" s="416">
        <f>SUM(W302:W304)</f>
        <v>0</v>
      </c>
      <c r="AB302" s="497">
        <f>IF(AA303&gt;0,AA302/AA303,0)</f>
        <v>0</v>
      </c>
    </row>
    <row r="303" spans="1:28" ht="15.75" customHeight="1" x14ac:dyDescent="0.3">
      <c r="A303" s="2301"/>
      <c r="B303" s="438" t="str">
        <f>$B$9</f>
        <v>Vacunas y medicamentos</v>
      </c>
      <c r="C303" s="443">
        <f>C296</f>
        <v>0</v>
      </c>
      <c r="D303" s="387">
        <f>C303*12/52</f>
        <v>0</v>
      </c>
      <c r="E303" s="383">
        <f>IFERROR(D303/SUM(PROD!L299:L305),0)</f>
        <v>0</v>
      </c>
      <c r="F303" s="384">
        <f>IFERROR(E303/SUM(E298:E304,J298:J304,O298:O303),0)</f>
        <v>0</v>
      </c>
      <c r="G303" s="441" t="str">
        <f>$G$16</f>
        <v>Mantenimiento y Reparaciones</v>
      </c>
      <c r="H303" s="401">
        <f t="shared" si="55"/>
        <v>0</v>
      </c>
      <c r="I303" s="390">
        <f t="shared" si="53"/>
        <v>0</v>
      </c>
      <c r="J303" s="383">
        <f>IFERROR(I303/SUM(PROD!L299:L305),0)</f>
        <v>0</v>
      </c>
      <c r="K303" s="384">
        <f>IFERROR(J303/SUM(E298:E304,J298:J304,O298:O303),0)</f>
        <v>0</v>
      </c>
      <c r="L303" s="439">
        <f>$L$9</f>
        <v>0</v>
      </c>
      <c r="M303" s="401">
        <f t="shared" si="62"/>
        <v>0</v>
      </c>
      <c r="N303" s="404">
        <f>M303*0.230769230769231</f>
        <v>0</v>
      </c>
      <c r="O303" s="383">
        <f>IFERROR(N303/SUM(PROD!L299:L305),0)</f>
        <v>0</v>
      </c>
      <c r="P303" s="384">
        <f>IFERROR(O303/SUM(E298:E304,J298:J304,O298:O303),0)</f>
        <v>0</v>
      </c>
      <c r="Q303" s="491" t="str">
        <f>$Q$9</f>
        <v>C</v>
      </c>
      <c r="R303" s="392">
        <f t="shared" si="56"/>
        <v>0</v>
      </c>
      <c r="S303" s="870">
        <f>SUM(PROD!AR299:AR305)</f>
        <v>0</v>
      </c>
      <c r="T303" s="492">
        <f>IF(AA298&gt;0,S303/AA298,0)</f>
        <v>0</v>
      </c>
      <c r="U303" s="493" t="str">
        <f>$U$9</f>
        <v>Rev. Med</v>
      </c>
      <c r="V303" s="392">
        <f t="shared" si="57"/>
        <v>0</v>
      </c>
      <c r="W303" s="870">
        <f>SUM(PROD!AU299:AU305)</f>
        <v>0</v>
      </c>
      <c r="X303" s="498">
        <f>IFERROR(W303/(AA303-AA301),0)</f>
        <v>0</v>
      </c>
      <c r="Y303" s="2303" t="s">
        <v>325</v>
      </c>
      <c r="Z303" s="2305">
        <f>SUMPRODUCT(Z298:Z302,AB298:AB302)</f>
        <v>0</v>
      </c>
      <c r="AA303" s="2307">
        <f>SUM(AA298:AA301)</f>
        <v>0</v>
      </c>
      <c r="AB303" s="2308"/>
    </row>
    <row r="304" spans="1:28" ht="16.5" customHeight="1" thickBot="1" x14ac:dyDescent="0.35">
      <c r="A304" s="2302"/>
      <c r="B304" s="444" t="str">
        <f>$B$10</f>
        <v>Gastos de Personal</v>
      </c>
      <c r="C304" s="445">
        <f>C297</f>
        <v>0</v>
      </c>
      <c r="D304" s="421">
        <f>C304*12/52</f>
        <v>0</v>
      </c>
      <c r="E304" s="446">
        <f>IFERROR(D304/SUM(PROD!L299:L305),0)</f>
        <v>0</v>
      </c>
      <c r="F304" s="447">
        <f>IFERROR(E304/SUM(E298:E304,J298:J304,O298:O303),0)</f>
        <v>0</v>
      </c>
      <c r="G304" s="448" t="str">
        <f>$G$17</f>
        <v>Adecuación Instalaciones</v>
      </c>
      <c r="H304" s="445">
        <f t="shared" si="55"/>
        <v>0</v>
      </c>
      <c r="I304" s="426">
        <f t="shared" si="53"/>
        <v>0</v>
      </c>
      <c r="J304" s="446">
        <f>IFERROR(I304/SUM(PROD!L299:L305),0)</f>
        <v>0</v>
      </c>
      <c r="K304" s="447">
        <f>IFERROR(J304/SUM(E298:E304,J298:J304,O298:O303),0)</f>
        <v>0</v>
      </c>
      <c r="L304" s="2311" t="str">
        <f>$L$10</f>
        <v>TOTAL COSTO PRODUCCIÓN</v>
      </c>
      <c r="M304" s="2312"/>
      <c r="N304" s="427">
        <f>SUM(D298:D304,I298:I304,N298:N303)</f>
        <v>0</v>
      </c>
      <c r="O304" s="449">
        <f>IFERROR(N304/SUM(PROD!L299:L305),0)</f>
        <v>0</v>
      </c>
      <c r="P304" s="447">
        <f>IFERROR(O304/SUM(E298:E304,J298:J304,O298:O303),0)</f>
        <v>0</v>
      </c>
      <c r="Q304" s="429" t="str">
        <f>$Q$10</f>
        <v>D</v>
      </c>
      <c r="R304" s="499">
        <f t="shared" si="56"/>
        <v>0</v>
      </c>
      <c r="S304" s="871">
        <f>SUM(PROD!AS299:AS305)</f>
        <v>0</v>
      </c>
      <c r="T304" s="431">
        <f>IF(AA298&gt;0,S304/AA298,0)</f>
        <v>0</v>
      </c>
      <c r="U304" s="432" t="str">
        <f>$U$10</f>
        <v>Rev. Peq</v>
      </c>
      <c r="V304" s="499">
        <f t="shared" si="57"/>
        <v>0</v>
      </c>
      <c r="W304" s="871">
        <f>SUM(PROD!AV299:AV305)</f>
        <v>0</v>
      </c>
      <c r="X304" s="431">
        <f>IFERROR(W304/(AA303-AA301),0)</f>
        <v>0</v>
      </c>
      <c r="Y304" s="2304"/>
      <c r="Z304" s="2306"/>
      <c r="AA304" s="2309"/>
      <c r="AB304" s="2310"/>
    </row>
    <row r="305" spans="1:28" ht="16.5" customHeight="1" x14ac:dyDescent="0.3">
      <c r="A305" s="2300">
        <f>A298+1</f>
        <v>61</v>
      </c>
      <c r="B305" s="433" t="str">
        <f>$B$4</f>
        <v>ALIMENTO Kilos</v>
      </c>
      <c r="C305" s="435">
        <f>LOOKUP($A305,PROD!$A$5:$A$725,PROD!$AH$10:$AH$730)</f>
        <v>0</v>
      </c>
      <c r="D305" s="368">
        <f>C305*LOOKUP($A305,'Pr-Sem'!$A$6:$A$108,'Pr-Sem'!$N$6:$N$108)/(PROD!$A$1/1000)</f>
        <v>0</v>
      </c>
      <c r="E305" s="369">
        <f>IFERROR(D305/SUM(PROD!L306:L312),0)</f>
        <v>0</v>
      </c>
      <c r="F305" s="370">
        <f>IFERROR(E305/SUM(E305:E311,J305:J311,O305:O310),0)</f>
        <v>0</v>
      </c>
      <c r="G305" s="434" t="str">
        <f>$G$11</f>
        <v>Honorarios</v>
      </c>
      <c r="H305" s="435">
        <f t="shared" si="55"/>
        <v>0</v>
      </c>
      <c r="I305" s="372">
        <f t="shared" si="53"/>
        <v>0</v>
      </c>
      <c r="J305" s="369">
        <f>IFERROR(I305/SUM(PROD!L306:L312),0)</f>
        <v>0</v>
      </c>
      <c r="K305" s="370">
        <f>IFERROR(J305/SUM(E305:E311,J305:J311,O305:O310),0)</f>
        <v>0</v>
      </c>
      <c r="L305" s="436" t="str">
        <f>$L$4</f>
        <v>Gastos de Viaje</v>
      </c>
      <c r="M305" s="435">
        <f t="shared" ref="M305:M310" si="63">M298</f>
        <v>0</v>
      </c>
      <c r="N305" s="372">
        <f>M305*12/52</f>
        <v>0</v>
      </c>
      <c r="O305" s="369">
        <f>IFERROR(N305/SUM(PROD!L306:L312),0)</f>
        <v>0</v>
      </c>
      <c r="P305" s="370">
        <f>IFERROR(O305/SUM(E305:E311,J305:J311,O305:O310),0)</f>
        <v>0</v>
      </c>
      <c r="Q305" s="373" t="str">
        <f>$Q$4</f>
        <v>AAAA</v>
      </c>
      <c r="R305" s="374">
        <f t="shared" si="56"/>
        <v>0</v>
      </c>
      <c r="S305" s="869">
        <f>SUM(PROD!AM306:AM312)</f>
        <v>0</v>
      </c>
      <c r="T305" s="375">
        <f>IF(AA305&gt;0,S305/AA305,0)</f>
        <v>0</v>
      </c>
      <c r="U305" s="376" t="str">
        <f>$U$4</f>
        <v>Prob Color</v>
      </c>
      <c r="V305" s="374">
        <f t="shared" si="57"/>
        <v>0</v>
      </c>
      <c r="W305" s="869">
        <f>SUM(PROD!AW306:AW312)</f>
        <v>0</v>
      </c>
      <c r="X305" s="375">
        <f>IFERROR(W305/(AA310-AA308),0)</f>
        <v>0</v>
      </c>
      <c r="Y305" s="377" t="s">
        <v>323</v>
      </c>
      <c r="Z305" s="378">
        <f>SUMPRODUCT(R305:R311,T305:T311)</f>
        <v>0</v>
      </c>
      <c r="AA305" s="379">
        <f>SUM(S305:S311)</f>
        <v>0</v>
      </c>
      <c r="AB305" s="490">
        <f>IF(AA310&gt;0,AA305/AA310,0)</f>
        <v>0</v>
      </c>
    </row>
    <row r="306" spans="1:28" ht="15.75" customHeight="1" x14ac:dyDescent="0.3">
      <c r="A306" s="2301"/>
      <c r="B306" s="438" t="str">
        <f>$B$5</f>
        <v>Amortización de Aves</v>
      </c>
      <c r="C306" s="381">
        <f>IFERROR((C299-(D306/'Pr-Sem'!$O$2)),0)</f>
        <v>0</v>
      </c>
      <c r="D306" s="382">
        <f>SUM(PROD!L306:L312)*E306</f>
        <v>0</v>
      </c>
      <c r="E306" s="383">
        <f>IF(SUM(PROD!L306:L312)&gt;0,IFERROR(($C$1-$C$2)/LOOKUP($B$2,'Pr-Sem'!$A$6:$A$108,'Pr-Sem'!$L$6:$L$108)*(LOOKUP(INVENTARIOS!$A305,'Pr-Sem'!$A$6:$A$108,'Pr-Sem'!$L$6:$L$108)-LOOKUP(INVENTARIOS!$A305-1,'Pr-Sem'!$A$6:$A$108,'Pr-Sem'!$L$6:$L$108))/(LOOKUP(INVENTARIOS!$A305,'Pr-Sem'!$A$6:$A$108,'Pr-Sem'!$K$6:$K$108)-LOOKUP(INVENTARIOS!$A305-1,'Pr-Sem'!$A$6:$A$108,'Pr-Sem'!$K$6:$K$108)),0),0)</f>
        <v>0</v>
      </c>
      <c r="F306" s="384">
        <f>IFERROR(E306/SUM(E305:E311,J305:J311,O305:O310),0)</f>
        <v>0</v>
      </c>
      <c r="G306" s="439" t="str">
        <f>$G$12</f>
        <v>Impuestos</v>
      </c>
      <c r="H306" s="440">
        <f t="shared" si="55"/>
        <v>0</v>
      </c>
      <c r="I306" s="387">
        <f t="shared" si="53"/>
        <v>0</v>
      </c>
      <c r="J306" s="383">
        <f>IFERROR(I306/SUM(PROD!L306:L312),0)</f>
        <v>0</v>
      </c>
      <c r="K306" s="384">
        <f>IFERROR(J306/SUM(E305:E311,J305:J311,O305:O310),0)</f>
        <v>0</v>
      </c>
      <c r="L306" s="439" t="str">
        <f>$L$5</f>
        <v>Depreciaciones</v>
      </c>
      <c r="M306" s="401">
        <f t="shared" si="63"/>
        <v>0</v>
      </c>
      <c r="N306" s="390">
        <f>M306*12/52</f>
        <v>0</v>
      </c>
      <c r="O306" s="383">
        <f>IFERROR(N306/SUM(PROD!L306:L312),0)</f>
        <v>0</v>
      </c>
      <c r="P306" s="384">
        <f>IFERROR(O306/SUM(E305:E311,J305:J311,O305:O310),0)</f>
        <v>0</v>
      </c>
      <c r="Q306" s="491" t="str">
        <f>$Q$5</f>
        <v>AAA</v>
      </c>
      <c r="R306" s="392">
        <f t="shared" si="56"/>
        <v>0</v>
      </c>
      <c r="S306" s="870">
        <f>SUM(PROD!AN306:AN312)</f>
        <v>0</v>
      </c>
      <c r="T306" s="492">
        <f>IF(AA305&gt;0,S306/AA305,0)</f>
        <v>0</v>
      </c>
      <c r="U306" s="493" t="str">
        <f>$U$5</f>
        <v>Prob Cásc</v>
      </c>
      <c r="V306" s="392">
        <f t="shared" si="57"/>
        <v>0</v>
      </c>
      <c r="W306" s="870">
        <f>SUM(PROD!AX306:AX312)</f>
        <v>0</v>
      </c>
      <c r="X306" s="492">
        <f>IFERROR(W306/(AA310-AA308),0)</f>
        <v>0</v>
      </c>
      <c r="Y306" s="395" t="s">
        <v>324</v>
      </c>
      <c r="Z306" s="396">
        <f>IFERROR(SUMPRODUCT(V305:V308,W305:W308)/SUM(W305:W308),0)</f>
        <v>0</v>
      </c>
      <c r="AA306" s="397">
        <f>SUM(W305:W308)</f>
        <v>0</v>
      </c>
      <c r="AB306" s="494">
        <f>IF(AA310&gt;0,AA306/AA310,0)</f>
        <v>0</v>
      </c>
    </row>
    <row r="307" spans="1:28" ht="15.75" customHeight="1" x14ac:dyDescent="0.3">
      <c r="A307" s="2301"/>
      <c r="B307" s="399" t="str">
        <f>$B$6</f>
        <v>Bandeja</v>
      </c>
      <c r="C307" s="400">
        <f>C300</f>
        <v>0</v>
      </c>
      <c r="D307" s="387">
        <f>C307*SUM(INVENTARIOS!R305:R311)</f>
        <v>0</v>
      </c>
      <c r="E307" s="383">
        <f>IFERROR(D307/SUM(PROD!L306:L312),0)</f>
        <v>0</v>
      </c>
      <c r="F307" s="384">
        <f>IFERROR(E307/SUM(E305:E311,J305:J311,O305:O310),0)</f>
        <v>0</v>
      </c>
      <c r="G307" s="439" t="str">
        <f>$G$13</f>
        <v>Arrendamientos</v>
      </c>
      <c r="H307" s="401">
        <f t="shared" si="55"/>
        <v>0</v>
      </c>
      <c r="I307" s="390">
        <f t="shared" si="53"/>
        <v>0</v>
      </c>
      <c r="J307" s="383">
        <f>IFERROR(I307/SUM(PROD!L306:L312),0)</f>
        <v>0</v>
      </c>
      <c r="K307" s="384">
        <f>IFERROR(J307/SUM(E305:E311,J305:J311,O305:O310),0)</f>
        <v>0</v>
      </c>
      <c r="L307" s="439" t="str">
        <f>$L$6</f>
        <v>Diversos</v>
      </c>
      <c r="M307" s="401">
        <f t="shared" si="63"/>
        <v>0</v>
      </c>
      <c r="N307" s="390">
        <f>M307*12/52</f>
        <v>0</v>
      </c>
      <c r="O307" s="383">
        <f>IFERROR(N307/SUM(PROD!L306:L312),0)</f>
        <v>0</v>
      </c>
      <c r="P307" s="384">
        <f>IFERROR(O307/SUM(E305:E311,J305:J311,O305:O310),0)</f>
        <v>0</v>
      </c>
      <c r="Q307" s="491" t="str">
        <f>$Q$6</f>
        <v>AA</v>
      </c>
      <c r="R307" s="392">
        <f t="shared" si="56"/>
        <v>0</v>
      </c>
      <c r="S307" s="870">
        <f>SUM(PROD!AO306:AO312)</f>
        <v>0</v>
      </c>
      <c r="T307" s="492">
        <f>IF(AA305&gt;0,S307/AA305,0)</f>
        <v>0</v>
      </c>
      <c r="U307" s="493" t="str">
        <f>$U$6</f>
        <v>Vencido</v>
      </c>
      <c r="V307" s="392">
        <f t="shared" si="57"/>
        <v>0</v>
      </c>
      <c r="W307" s="870">
        <f>SUM(PROD!AY306:AY312)</f>
        <v>0</v>
      </c>
      <c r="X307" s="492">
        <f>IFERROR(W307/(AA310-AA308),0)</f>
        <v>0</v>
      </c>
      <c r="Y307" s="402" t="s">
        <v>391</v>
      </c>
      <c r="Z307" s="456">
        <v>0</v>
      </c>
      <c r="AA307" s="720"/>
      <c r="AB307" s="495">
        <f>IF(AA310&gt;0,AA307/AA310,0)</f>
        <v>0</v>
      </c>
    </row>
    <row r="308" spans="1:28" ht="15.75" customHeight="1" x14ac:dyDescent="0.3">
      <c r="A308" s="2301"/>
      <c r="B308" s="438" t="str">
        <f>$B$7</f>
        <v>Mortalidad Aves</v>
      </c>
      <c r="C308" s="401">
        <f>IF(A305&lt;=$B$2,C306+$C$2,0)</f>
        <v>0</v>
      </c>
      <c r="D308" s="390">
        <f>C308*SUM(PROD!D306:D312)</f>
        <v>0</v>
      </c>
      <c r="E308" s="383">
        <f>IFERROR(D308/SUM(PROD!L306:L312),0)</f>
        <v>0</v>
      </c>
      <c r="F308" s="384">
        <f>IFERROR(E308/SUM(E305:E311,J305:J311,O305:O310),0)</f>
        <v>0</v>
      </c>
      <c r="G308" s="439" t="str">
        <f>$G$14</f>
        <v>Servicios Públicos</v>
      </c>
      <c r="H308" s="401">
        <f t="shared" si="55"/>
        <v>0</v>
      </c>
      <c r="I308" s="390">
        <f t="shared" si="53"/>
        <v>0</v>
      </c>
      <c r="J308" s="383">
        <f>IFERROR(I308/SUM(PROD!L306:L312),0)</f>
        <v>0</v>
      </c>
      <c r="K308" s="384">
        <f>IFERROR(J308/SUM(E305:E311,J305:J311,O305:O310),0)</f>
        <v>0</v>
      </c>
      <c r="L308" s="441" t="str">
        <f>$L$7</f>
        <v>Administrativos</v>
      </c>
      <c r="M308" s="401">
        <f t="shared" si="63"/>
        <v>0</v>
      </c>
      <c r="N308" s="404">
        <f>M308*0.230769230769231</f>
        <v>0</v>
      </c>
      <c r="O308" s="383">
        <f>IFERROR(N308/SUM(PROD!L306:L312),0)</f>
        <v>0</v>
      </c>
      <c r="P308" s="384">
        <f>IFERROR(O308/SUM(E305:E311,J305:J311,O305:O310),0)</f>
        <v>0</v>
      </c>
      <c r="Q308" s="491" t="str">
        <f>$Q$7</f>
        <v>A</v>
      </c>
      <c r="R308" s="392">
        <f t="shared" si="56"/>
        <v>0</v>
      </c>
      <c r="S308" s="870">
        <f>SUM(PROD!AP306:AP312)</f>
        <v>0</v>
      </c>
      <c r="T308" s="492">
        <f>IF(AA305&gt;0,S308/AA305,0)</f>
        <v>0</v>
      </c>
      <c r="U308" s="405" t="str">
        <f>$U$7</f>
        <v>Roto</v>
      </c>
      <c r="V308" s="406">
        <f t="shared" si="57"/>
        <v>0</v>
      </c>
      <c r="W308" s="872">
        <f>SUM(PROD!AZ306:AZ312)</f>
        <v>0</v>
      </c>
      <c r="X308" s="407">
        <f>IFERROR(W308/(AA310-AA308),0)</f>
        <v>0</v>
      </c>
      <c r="Y308" s="408" t="s">
        <v>359</v>
      </c>
      <c r="Z308" s="442">
        <v>215</v>
      </c>
      <c r="AA308" s="410">
        <f>SUM(PROD!L306:L312)-SUM(W305:W311)-SUM(S305:S311)-AA307</f>
        <v>0</v>
      </c>
      <c r="AB308" s="496">
        <f>IF(AA310&gt;0,AA308/AA310,0)</f>
        <v>0</v>
      </c>
    </row>
    <row r="309" spans="1:28" ht="15.75" customHeight="1" x14ac:dyDescent="0.3">
      <c r="A309" s="2301"/>
      <c r="B309" s="399" t="str">
        <f>$B$8</f>
        <v>Materia Prima (Carb Ca, etc.)</v>
      </c>
      <c r="C309" s="440">
        <f>C302</f>
        <v>0</v>
      </c>
      <c r="D309" s="387">
        <f>C309*12/52</f>
        <v>0</v>
      </c>
      <c r="E309" s="383">
        <f>IFERROR(D309/SUM(PROD!L306:L312),0)</f>
        <v>0</v>
      </c>
      <c r="F309" s="384">
        <f>IFERROR(E309/SUM(E305:E311,J305:J311,O305:O310),0)</f>
        <v>0</v>
      </c>
      <c r="G309" s="441" t="str">
        <f>$G$15</f>
        <v>Gastos Legales</v>
      </c>
      <c r="H309" s="401">
        <f t="shared" si="55"/>
        <v>0</v>
      </c>
      <c r="I309" s="390">
        <f t="shared" si="53"/>
        <v>0</v>
      </c>
      <c r="J309" s="383">
        <f>IFERROR(I309/SUM(PROD!L306:L312),0)</f>
        <v>0</v>
      </c>
      <c r="K309" s="384">
        <f>IFERROR(J309/SUM(E305:E311,J305:J311,O305:O310),0)</f>
        <v>0</v>
      </c>
      <c r="L309" s="439" t="str">
        <f>$L$8</f>
        <v>Fletes</v>
      </c>
      <c r="M309" s="401">
        <f t="shared" si="63"/>
        <v>0</v>
      </c>
      <c r="N309" s="404">
        <f>M309*0.230769230769231</f>
        <v>0</v>
      </c>
      <c r="O309" s="383">
        <f>IFERROR(N309/SUM(PROD!L306:L312),0)</f>
        <v>0</v>
      </c>
      <c r="P309" s="384">
        <f>IFERROR(O309/SUM(E305:E311,J305:J311,O305:O310),0)</f>
        <v>0</v>
      </c>
      <c r="Q309" s="491" t="str">
        <f>$Q$8</f>
        <v>B</v>
      </c>
      <c r="R309" s="392">
        <f t="shared" si="56"/>
        <v>0</v>
      </c>
      <c r="S309" s="870">
        <f>SUM(PROD!AQ306:AQ312)</f>
        <v>0</v>
      </c>
      <c r="T309" s="492">
        <f>IF(AA305&gt;0,S309/AA305,0)</f>
        <v>0</v>
      </c>
      <c r="U309" s="395" t="str">
        <f>$U$8</f>
        <v>Rev. Gr.</v>
      </c>
      <c r="V309" s="412">
        <f t="shared" si="57"/>
        <v>0</v>
      </c>
      <c r="W309" s="873">
        <f>SUM(PROD!AT306:AT312)</f>
        <v>0</v>
      </c>
      <c r="X309" s="413">
        <f>IFERROR(W309/(AA310-AA308),0)</f>
        <v>0</v>
      </c>
      <c r="Y309" s="414" t="s">
        <v>262</v>
      </c>
      <c r="Z309" s="415">
        <f>IFERROR(SUMPRODUCT(V309:V311,W309:W311)/SUM(W309:W311),0)</f>
        <v>0</v>
      </c>
      <c r="AA309" s="416">
        <f>SUM(W309:W311)</f>
        <v>0</v>
      </c>
      <c r="AB309" s="497">
        <f>IF(AA310&gt;0,AA309/AA310,0)</f>
        <v>0</v>
      </c>
    </row>
    <row r="310" spans="1:28" ht="15.75" customHeight="1" x14ac:dyDescent="0.3">
      <c r="A310" s="2301"/>
      <c r="B310" s="438" t="str">
        <f>$B$9</f>
        <v>Vacunas y medicamentos</v>
      </c>
      <c r="C310" s="443">
        <f>C303</f>
        <v>0</v>
      </c>
      <c r="D310" s="387">
        <f>C310*12/52</f>
        <v>0</v>
      </c>
      <c r="E310" s="383">
        <f>IFERROR(D310/SUM(PROD!L306:L312),0)</f>
        <v>0</v>
      </c>
      <c r="F310" s="384">
        <f>IFERROR(E310/SUM(E305:E311,J305:J311,O305:O310),0)</f>
        <v>0</v>
      </c>
      <c r="G310" s="441" t="str">
        <f>$G$16</f>
        <v>Mantenimiento y Reparaciones</v>
      </c>
      <c r="H310" s="401">
        <f t="shared" si="55"/>
        <v>0</v>
      </c>
      <c r="I310" s="390">
        <f t="shared" si="53"/>
        <v>0</v>
      </c>
      <c r="J310" s="383">
        <f>IFERROR(I310/SUM(PROD!L306:L312),0)</f>
        <v>0</v>
      </c>
      <c r="K310" s="384">
        <f>IFERROR(J310/SUM(E305:E311,J305:J311,O305:O310),0)</f>
        <v>0</v>
      </c>
      <c r="L310" s="439">
        <f>$L$9</f>
        <v>0</v>
      </c>
      <c r="M310" s="401">
        <f t="shared" si="63"/>
        <v>0</v>
      </c>
      <c r="N310" s="404">
        <f>M310*0.230769230769231</f>
        <v>0</v>
      </c>
      <c r="O310" s="383">
        <f>IFERROR(N310/SUM(PROD!L306:L312),0)</f>
        <v>0</v>
      </c>
      <c r="P310" s="384">
        <f>IFERROR(O310/SUM(E305:E311,J305:J311,O305:O310),0)</f>
        <v>0</v>
      </c>
      <c r="Q310" s="491" t="str">
        <f>$Q$9</f>
        <v>C</v>
      </c>
      <c r="R310" s="392">
        <f t="shared" si="56"/>
        <v>0</v>
      </c>
      <c r="S310" s="870">
        <f>SUM(PROD!AR306:AR312)</f>
        <v>0</v>
      </c>
      <c r="T310" s="492">
        <f>IF(AA305&gt;0,S310/AA305,0)</f>
        <v>0</v>
      </c>
      <c r="U310" s="493" t="str">
        <f>$U$9</f>
        <v>Rev. Med</v>
      </c>
      <c r="V310" s="392">
        <f t="shared" si="57"/>
        <v>0</v>
      </c>
      <c r="W310" s="870">
        <f>SUM(PROD!AU306:AU312)</f>
        <v>0</v>
      </c>
      <c r="X310" s="498">
        <f>IFERROR(W310/(AA310-AA308),0)</f>
        <v>0</v>
      </c>
      <c r="Y310" s="2303" t="s">
        <v>325</v>
      </c>
      <c r="Z310" s="2305">
        <f>SUMPRODUCT(Z305:Z309,AB305:AB309)</f>
        <v>0</v>
      </c>
      <c r="AA310" s="2307">
        <f>SUM(AA305:AA308)</f>
        <v>0</v>
      </c>
      <c r="AB310" s="2308"/>
    </row>
    <row r="311" spans="1:28" ht="16.5" customHeight="1" thickBot="1" x14ac:dyDescent="0.35">
      <c r="A311" s="2302"/>
      <c r="B311" s="444" t="str">
        <f>$B$10</f>
        <v>Gastos de Personal</v>
      </c>
      <c r="C311" s="445">
        <f>C304</f>
        <v>0</v>
      </c>
      <c r="D311" s="421">
        <f>C311*12/52</f>
        <v>0</v>
      </c>
      <c r="E311" s="446">
        <f>IFERROR(D311/SUM(PROD!L306:L312),0)</f>
        <v>0</v>
      </c>
      <c r="F311" s="447">
        <f>IFERROR(E311/SUM(E305:E311,J305:J311,O305:O310),0)</f>
        <v>0</v>
      </c>
      <c r="G311" s="448" t="str">
        <f>$G$17</f>
        <v>Adecuación Instalaciones</v>
      </c>
      <c r="H311" s="445">
        <f t="shared" si="55"/>
        <v>0</v>
      </c>
      <c r="I311" s="426">
        <f t="shared" si="53"/>
        <v>0</v>
      </c>
      <c r="J311" s="446">
        <f>IFERROR(I311/SUM(PROD!L306:L312),0)</f>
        <v>0</v>
      </c>
      <c r="K311" s="447">
        <f>IFERROR(J311/SUM(E305:E311,J305:J311,O305:O310),0)</f>
        <v>0</v>
      </c>
      <c r="L311" s="2311" t="str">
        <f>$L$10</f>
        <v>TOTAL COSTO PRODUCCIÓN</v>
      </c>
      <c r="M311" s="2312"/>
      <c r="N311" s="427">
        <f>SUM(D305:D311,I305:I311,N305:N310)</f>
        <v>0</v>
      </c>
      <c r="O311" s="449">
        <f>IFERROR(N311/SUM(PROD!L306:L312),0)</f>
        <v>0</v>
      </c>
      <c r="P311" s="447">
        <f>IFERROR(O311/SUM(E305:E311,J305:J311,O305:O310),0)</f>
        <v>0</v>
      </c>
      <c r="Q311" s="429" t="str">
        <f>$Q$10</f>
        <v>D</v>
      </c>
      <c r="R311" s="499">
        <f t="shared" si="56"/>
        <v>0</v>
      </c>
      <c r="S311" s="871">
        <f>SUM(PROD!AS306:AS312)</f>
        <v>0</v>
      </c>
      <c r="T311" s="431">
        <f>IF(AA305&gt;0,S311/AA305,0)</f>
        <v>0</v>
      </c>
      <c r="U311" s="432" t="str">
        <f>$U$10</f>
        <v>Rev. Peq</v>
      </c>
      <c r="V311" s="499">
        <f t="shared" si="57"/>
        <v>0</v>
      </c>
      <c r="W311" s="871">
        <f>SUM(PROD!AV306:AV312)</f>
        <v>0</v>
      </c>
      <c r="X311" s="431">
        <f>IFERROR(W311/(AA310-AA308),0)</f>
        <v>0</v>
      </c>
      <c r="Y311" s="2304"/>
      <c r="Z311" s="2306"/>
      <c r="AA311" s="2309"/>
      <c r="AB311" s="2310"/>
    </row>
    <row r="312" spans="1:28" ht="16.5" customHeight="1" x14ac:dyDescent="0.3">
      <c r="A312" s="2300">
        <f>A305+1</f>
        <v>62</v>
      </c>
      <c r="B312" s="433" t="str">
        <f>$B$4</f>
        <v>ALIMENTO Kilos</v>
      </c>
      <c r="C312" s="435">
        <f>LOOKUP($A312,PROD!$A$5:$A$725,PROD!$AH$10:$AH$730)</f>
        <v>0</v>
      </c>
      <c r="D312" s="368">
        <f>C312*LOOKUP($A312,'Pr-Sem'!$A$6:$A$108,'Pr-Sem'!$N$6:$N$108)/(PROD!$A$1/1000)</f>
        <v>0</v>
      </c>
      <c r="E312" s="369">
        <f>IFERROR(D312/SUM(PROD!L313:L319),0)</f>
        <v>0</v>
      </c>
      <c r="F312" s="370">
        <f>IFERROR(E312/SUM(E312:E318,J312:J318,O312:O317),0)</f>
        <v>0</v>
      </c>
      <c r="G312" s="434" t="str">
        <f>$G$11</f>
        <v>Honorarios</v>
      </c>
      <c r="H312" s="435">
        <f t="shared" si="55"/>
        <v>0</v>
      </c>
      <c r="I312" s="372">
        <f t="shared" si="53"/>
        <v>0</v>
      </c>
      <c r="J312" s="369">
        <f>IFERROR(I312/SUM(PROD!L313:L319),0)</f>
        <v>0</v>
      </c>
      <c r="K312" s="370">
        <f>IFERROR(J312/SUM(E312:E318,J312:J318,O312:O317),0)</f>
        <v>0</v>
      </c>
      <c r="L312" s="436" t="str">
        <f>$L$4</f>
        <v>Gastos de Viaje</v>
      </c>
      <c r="M312" s="435">
        <f t="shared" ref="M312:M317" si="64">M305</f>
        <v>0</v>
      </c>
      <c r="N312" s="372">
        <f>M312*12/52</f>
        <v>0</v>
      </c>
      <c r="O312" s="369">
        <f>IFERROR(N312/SUM(PROD!L313:L319),0)</f>
        <v>0</v>
      </c>
      <c r="P312" s="370">
        <f>IFERROR(O312/SUM(E312:E318,J312:J318,O312:O317),0)</f>
        <v>0</v>
      </c>
      <c r="Q312" s="373" t="str">
        <f>$Q$4</f>
        <v>AAAA</v>
      </c>
      <c r="R312" s="374">
        <f t="shared" si="56"/>
        <v>0</v>
      </c>
      <c r="S312" s="869">
        <f>SUM(PROD!AM313:AM319)</f>
        <v>0</v>
      </c>
      <c r="T312" s="375">
        <f>IF(AA312&gt;0,S312/AA312,0)</f>
        <v>0</v>
      </c>
      <c r="U312" s="376" t="str">
        <f>$U$4</f>
        <v>Prob Color</v>
      </c>
      <c r="V312" s="374">
        <f t="shared" si="57"/>
        <v>0</v>
      </c>
      <c r="W312" s="869">
        <f>SUM(PROD!AW313:AW319)</f>
        <v>0</v>
      </c>
      <c r="X312" s="375">
        <f>IFERROR(W312/(AA317-AA315),0)</f>
        <v>0</v>
      </c>
      <c r="Y312" s="377" t="s">
        <v>323</v>
      </c>
      <c r="Z312" s="378">
        <f>SUMPRODUCT(R312:R318,T312:T318)</f>
        <v>0</v>
      </c>
      <c r="AA312" s="379">
        <f>SUM(S312:S318)</f>
        <v>0</v>
      </c>
      <c r="AB312" s="490">
        <f>IF(AA317&gt;0,AA312/AA317,0)</f>
        <v>0</v>
      </c>
    </row>
    <row r="313" spans="1:28" ht="15.75" customHeight="1" x14ac:dyDescent="0.3">
      <c r="A313" s="2301"/>
      <c r="B313" s="438" t="str">
        <f>$B$5</f>
        <v>Amortización de Aves</v>
      </c>
      <c r="C313" s="381">
        <f>IFERROR((C306-(D313/'Pr-Sem'!$O$2)),0)</f>
        <v>0</v>
      </c>
      <c r="D313" s="382">
        <f>SUM(PROD!L313:L319)*E313</f>
        <v>0</v>
      </c>
      <c r="E313" s="383">
        <f>IF(SUM(PROD!L313:L319)&gt;0,IFERROR(($C$1-$C$2)/LOOKUP($B$2,'Pr-Sem'!$A$6:$A$108,'Pr-Sem'!$L$6:$L$108)*(LOOKUP(INVENTARIOS!$A312,'Pr-Sem'!$A$6:$A$108,'Pr-Sem'!$L$6:$L$108)-LOOKUP(INVENTARIOS!$A312-1,'Pr-Sem'!$A$6:$A$108,'Pr-Sem'!$L$6:$L$108))/(LOOKUP(INVENTARIOS!$A312,'Pr-Sem'!$A$6:$A$108,'Pr-Sem'!$K$6:$K$108)-LOOKUP(INVENTARIOS!$A312-1,'Pr-Sem'!$A$6:$A$108,'Pr-Sem'!$K$6:$K$108)),0),0)</f>
        <v>0</v>
      </c>
      <c r="F313" s="384">
        <f>IFERROR(E313/SUM(E312:E318,J312:J318,O312:O317),0)</f>
        <v>0</v>
      </c>
      <c r="G313" s="439" t="str">
        <f>$G$12</f>
        <v>Impuestos</v>
      </c>
      <c r="H313" s="440">
        <f t="shared" si="55"/>
        <v>0</v>
      </c>
      <c r="I313" s="387">
        <f t="shared" si="53"/>
        <v>0</v>
      </c>
      <c r="J313" s="383">
        <f>IFERROR(I313/SUM(PROD!L313:L319),0)</f>
        <v>0</v>
      </c>
      <c r="K313" s="384">
        <f>IFERROR(J313/SUM(E312:E318,J312:J318,O312:O317),0)</f>
        <v>0</v>
      </c>
      <c r="L313" s="439" t="str">
        <f>$L$5</f>
        <v>Depreciaciones</v>
      </c>
      <c r="M313" s="401">
        <f t="shared" si="64"/>
        <v>0</v>
      </c>
      <c r="N313" s="390">
        <f>M313*12/52</f>
        <v>0</v>
      </c>
      <c r="O313" s="383">
        <f>IFERROR(N313/SUM(PROD!L313:L319),0)</f>
        <v>0</v>
      </c>
      <c r="P313" s="384">
        <f>IFERROR(O313/SUM(E312:E318,J312:J318,O312:O317),0)</f>
        <v>0</v>
      </c>
      <c r="Q313" s="491" t="str">
        <f>$Q$5</f>
        <v>AAA</v>
      </c>
      <c r="R313" s="392">
        <f t="shared" si="56"/>
        <v>0</v>
      </c>
      <c r="S313" s="870">
        <f>SUM(PROD!AN313:AN319)</f>
        <v>0</v>
      </c>
      <c r="T313" s="492">
        <f>IF(AA312&gt;0,S313/AA312,0)</f>
        <v>0</v>
      </c>
      <c r="U313" s="493" t="str">
        <f>$U$5</f>
        <v>Prob Cásc</v>
      </c>
      <c r="V313" s="392">
        <f t="shared" si="57"/>
        <v>0</v>
      </c>
      <c r="W313" s="870">
        <f>SUM(PROD!AX313:AX319)</f>
        <v>0</v>
      </c>
      <c r="X313" s="492">
        <f>IFERROR(W313/(AA317-AA315),0)</f>
        <v>0</v>
      </c>
      <c r="Y313" s="395" t="s">
        <v>324</v>
      </c>
      <c r="Z313" s="396">
        <f>IFERROR(SUMPRODUCT(V312:V315,W312:W315)/SUM(W312:W315),0)</f>
        <v>0</v>
      </c>
      <c r="AA313" s="397">
        <f>SUM(W312:W315)</f>
        <v>0</v>
      </c>
      <c r="AB313" s="494">
        <f>IF(AA317&gt;0,AA313/AA317,0)</f>
        <v>0</v>
      </c>
    </row>
    <row r="314" spans="1:28" ht="15.75" customHeight="1" x14ac:dyDescent="0.3">
      <c r="A314" s="2301"/>
      <c r="B314" s="399" t="str">
        <f>$B$6</f>
        <v>Bandeja</v>
      </c>
      <c r="C314" s="400">
        <f>C307</f>
        <v>0</v>
      </c>
      <c r="D314" s="387">
        <f>C314*SUM(INVENTARIOS!R312:R318)</f>
        <v>0</v>
      </c>
      <c r="E314" s="383">
        <f>IFERROR(D314/SUM(PROD!L313:L319),0)</f>
        <v>0</v>
      </c>
      <c r="F314" s="384">
        <f>IFERROR(E314/SUM(E312:E318,J312:J318,O312:O317),0)</f>
        <v>0</v>
      </c>
      <c r="G314" s="439" t="str">
        <f>$G$13</f>
        <v>Arrendamientos</v>
      </c>
      <c r="H314" s="401">
        <f t="shared" si="55"/>
        <v>0</v>
      </c>
      <c r="I314" s="390">
        <f t="shared" si="53"/>
        <v>0</v>
      </c>
      <c r="J314" s="383">
        <f>IFERROR(I314/SUM(PROD!L313:L319),0)</f>
        <v>0</v>
      </c>
      <c r="K314" s="384">
        <f>IFERROR(J314/SUM(E312:E318,J312:J318,O312:O317),0)</f>
        <v>0</v>
      </c>
      <c r="L314" s="439" t="str">
        <f>$L$6</f>
        <v>Diversos</v>
      </c>
      <c r="M314" s="401">
        <f t="shared" si="64"/>
        <v>0</v>
      </c>
      <c r="N314" s="390">
        <f>M314*12/52</f>
        <v>0</v>
      </c>
      <c r="O314" s="383">
        <f>IFERROR(N314/SUM(PROD!L313:L319),0)</f>
        <v>0</v>
      </c>
      <c r="P314" s="384">
        <f>IFERROR(O314/SUM(E312:E318,J312:J318,O312:O317),0)</f>
        <v>0</v>
      </c>
      <c r="Q314" s="491" t="str">
        <f>$Q$6</f>
        <v>AA</v>
      </c>
      <c r="R314" s="392">
        <f t="shared" si="56"/>
        <v>0</v>
      </c>
      <c r="S314" s="870">
        <f>SUM(PROD!AO313:AO319)</f>
        <v>0</v>
      </c>
      <c r="T314" s="492">
        <f>IF(AA312&gt;0,S314/AA312,0)</f>
        <v>0</v>
      </c>
      <c r="U314" s="493" t="str">
        <f>$U$6</f>
        <v>Vencido</v>
      </c>
      <c r="V314" s="392">
        <f t="shared" si="57"/>
        <v>0</v>
      </c>
      <c r="W314" s="870">
        <f>SUM(PROD!AY313:AY319)</f>
        <v>0</v>
      </c>
      <c r="X314" s="492">
        <f>IFERROR(W314/(AA317-AA315),0)</f>
        <v>0</v>
      </c>
      <c r="Y314" s="402" t="s">
        <v>391</v>
      </c>
      <c r="Z314" s="456">
        <v>0</v>
      </c>
      <c r="AA314" s="720"/>
      <c r="AB314" s="495">
        <f>IF(AA317&gt;0,AA314/AA317,0)</f>
        <v>0</v>
      </c>
    </row>
    <row r="315" spans="1:28" ht="15.75" customHeight="1" x14ac:dyDescent="0.3">
      <c r="A315" s="2301"/>
      <c r="B315" s="438" t="str">
        <f>$B$7</f>
        <v>Mortalidad Aves</v>
      </c>
      <c r="C315" s="401">
        <f>IF(A312&lt;=$B$2,C313+$C$2,0)</f>
        <v>0</v>
      </c>
      <c r="D315" s="390">
        <f>C315*SUM(PROD!D313:D319)</f>
        <v>0</v>
      </c>
      <c r="E315" s="383">
        <f>IFERROR(D315/SUM(PROD!L313:L319),0)</f>
        <v>0</v>
      </c>
      <c r="F315" s="384">
        <f>IFERROR(E315/SUM(E312:E318,J312:J318,O312:O317),0)</f>
        <v>0</v>
      </c>
      <c r="G315" s="439" t="str">
        <f>$G$14</f>
        <v>Servicios Públicos</v>
      </c>
      <c r="H315" s="401">
        <f t="shared" si="55"/>
        <v>0</v>
      </c>
      <c r="I315" s="390">
        <f t="shared" si="53"/>
        <v>0</v>
      </c>
      <c r="J315" s="383">
        <f>IFERROR(I315/SUM(PROD!L313:L319),0)</f>
        <v>0</v>
      </c>
      <c r="K315" s="384">
        <f>IFERROR(J315/SUM(E312:E318,J312:J318,O312:O317),0)</f>
        <v>0</v>
      </c>
      <c r="L315" s="441" t="str">
        <f>$L$7</f>
        <v>Administrativos</v>
      </c>
      <c r="M315" s="401">
        <f t="shared" si="64"/>
        <v>0</v>
      </c>
      <c r="N315" s="404">
        <f>M315*0.230769230769231</f>
        <v>0</v>
      </c>
      <c r="O315" s="383">
        <f>IFERROR(N315/SUM(PROD!L313:L319),0)</f>
        <v>0</v>
      </c>
      <c r="P315" s="384">
        <f>IFERROR(O315/SUM(E312:E318,J312:J318,O312:O317),0)</f>
        <v>0</v>
      </c>
      <c r="Q315" s="491" t="str">
        <f>$Q$7</f>
        <v>A</v>
      </c>
      <c r="R315" s="392">
        <f t="shared" si="56"/>
        <v>0</v>
      </c>
      <c r="S315" s="870">
        <f>SUM(PROD!AP313:AP319)</f>
        <v>0</v>
      </c>
      <c r="T315" s="492">
        <f>IF(AA312&gt;0,S315/AA312,0)</f>
        <v>0</v>
      </c>
      <c r="U315" s="405" t="str">
        <f>$U$7</f>
        <v>Roto</v>
      </c>
      <c r="V315" s="406">
        <f t="shared" si="57"/>
        <v>0</v>
      </c>
      <c r="W315" s="872">
        <f>SUM(PROD!AZ313:AZ319)</f>
        <v>0</v>
      </c>
      <c r="X315" s="407">
        <f>IFERROR(W315/(AA317-AA315),0)</f>
        <v>0</v>
      </c>
      <c r="Y315" s="408" t="s">
        <v>359</v>
      </c>
      <c r="Z315" s="442">
        <v>215</v>
      </c>
      <c r="AA315" s="410">
        <f>SUM(PROD!L313:L319)-SUM(W312:W318)-SUM(S312:S318)-AA314</f>
        <v>0</v>
      </c>
      <c r="AB315" s="496">
        <f>IF(AA317&gt;0,AA315/AA317,0)</f>
        <v>0</v>
      </c>
    </row>
    <row r="316" spans="1:28" ht="15.75" customHeight="1" x14ac:dyDescent="0.3">
      <c r="A316" s="2301"/>
      <c r="B316" s="399" t="str">
        <f>$B$8</f>
        <v>Materia Prima (Carb Ca, etc.)</v>
      </c>
      <c r="C316" s="440">
        <f>C309</f>
        <v>0</v>
      </c>
      <c r="D316" s="387">
        <f>C316*12/52</f>
        <v>0</v>
      </c>
      <c r="E316" s="383">
        <f>IFERROR(D316/SUM(PROD!L313:L319),0)</f>
        <v>0</v>
      </c>
      <c r="F316" s="384">
        <f>IFERROR(E316/SUM(E312:E318,J312:J318,O312:O317),0)</f>
        <v>0</v>
      </c>
      <c r="G316" s="441" t="str">
        <f>$G$15</f>
        <v>Gastos Legales</v>
      </c>
      <c r="H316" s="401">
        <f t="shared" si="55"/>
        <v>0</v>
      </c>
      <c r="I316" s="390">
        <f t="shared" si="53"/>
        <v>0</v>
      </c>
      <c r="J316" s="383">
        <f>IFERROR(I316/SUM(PROD!L313:L319),0)</f>
        <v>0</v>
      </c>
      <c r="K316" s="384">
        <f>IFERROR(J316/SUM(E312:E318,J312:J318,O312:O317),0)</f>
        <v>0</v>
      </c>
      <c r="L316" s="439" t="str">
        <f>$L$8</f>
        <v>Fletes</v>
      </c>
      <c r="M316" s="401">
        <f t="shared" si="64"/>
        <v>0</v>
      </c>
      <c r="N316" s="404">
        <f>M316*0.230769230769231</f>
        <v>0</v>
      </c>
      <c r="O316" s="383">
        <f>IFERROR(N316/SUM(PROD!L313:L319),0)</f>
        <v>0</v>
      </c>
      <c r="P316" s="384">
        <f>IFERROR(O316/SUM(E312:E318,J312:J318,O312:O317),0)</f>
        <v>0</v>
      </c>
      <c r="Q316" s="491" t="str">
        <f>$Q$8</f>
        <v>B</v>
      </c>
      <c r="R316" s="392">
        <f t="shared" si="56"/>
        <v>0</v>
      </c>
      <c r="S316" s="870">
        <f>SUM(PROD!AQ313:AQ319)</f>
        <v>0</v>
      </c>
      <c r="T316" s="492">
        <f>IF(AA312&gt;0,S316/AA312,0)</f>
        <v>0</v>
      </c>
      <c r="U316" s="395" t="str">
        <f>$U$8</f>
        <v>Rev. Gr.</v>
      </c>
      <c r="V316" s="412">
        <f t="shared" si="57"/>
        <v>0</v>
      </c>
      <c r="W316" s="873">
        <f>SUM(PROD!AT313:AT319)</f>
        <v>0</v>
      </c>
      <c r="X316" s="413">
        <f>IFERROR(W316/(AA317-AA315),0)</f>
        <v>0</v>
      </c>
      <c r="Y316" s="414" t="s">
        <v>262</v>
      </c>
      <c r="Z316" s="415">
        <f>IFERROR(SUMPRODUCT(V316:V318,W316:W318)/SUM(W316:W318),0)</f>
        <v>0</v>
      </c>
      <c r="AA316" s="416">
        <f>SUM(W316:W318)</f>
        <v>0</v>
      </c>
      <c r="AB316" s="497">
        <f>IF(AA317&gt;0,AA316/AA317,0)</f>
        <v>0</v>
      </c>
    </row>
    <row r="317" spans="1:28" ht="15.75" customHeight="1" x14ac:dyDescent="0.3">
      <c r="A317" s="2301"/>
      <c r="B317" s="438" t="str">
        <f>$B$9</f>
        <v>Vacunas y medicamentos</v>
      </c>
      <c r="C317" s="443">
        <f>C310</f>
        <v>0</v>
      </c>
      <c r="D317" s="387">
        <f>C317*12/52</f>
        <v>0</v>
      </c>
      <c r="E317" s="383">
        <f>IFERROR(D317/SUM(PROD!L313:L319),0)</f>
        <v>0</v>
      </c>
      <c r="F317" s="384">
        <f>IFERROR(E317/SUM(E312:E318,J312:J318,O312:O317),0)</f>
        <v>0</v>
      </c>
      <c r="G317" s="441" t="str">
        <f>$G$16</f>
        <v>Mantenimiento y Reparaciones</v>
      </c>
      <c r="H317" s="401">
        <f t="shared" si="55"/>
        <v>0</v>
      </c>
      <c r="I317" s="390">
        <f t="shared" si="53"/>
        <v>0</v>
      </c>
      <c r="J317" s="383">
        <f>IFERROR(I317/SUM(PROD!L313:L319),0)</f>
        <v>0</v>
      </c>
      <c r="K317" s="384">
        <f>IFERROR(J317/SUM(E312:E318,J312:J318,O312:O317),0)</f>
        <v>0</v>
      </c>
      <c r="L317" s="439">
        <f>$L$9</f>
        <v>0</v>
      </c>
      <c r="M317" s="401">
        <f t="shared" si="64"/>
        <v>0</v>
      </c>
      <c r="N317" s="404">
        <f>M317*0.230769230769231</f>
        <v>0</v>
      </c>
      <c r="O317" s="383">
        <f>IFERROR(N317/SUM(PROD!L313:L319),0)</f>
        <v>0</v>
      </c>
      <c r="P317" s="384">
        <f>IFERROR(O317/SUM(E312:E318,J312:J318,O312:O317),0)</f>
        <v>0</v>
      </c>
      <c r="Q317" s="491" t="str">
        <f>$Q$9</f>
        <v>C</v>
      </c>
      <c r="R317" s="392">
        <f t="shared" si="56"/>
        <v>0</v>
      </c>
      <c r="S317" s="870">
        <f>SUM(PROD!AR313:AR319)</f>
        <v>0</v>
      </c>
      <c r="T317" s="492">
        <f>IF(AA312&gt;0,S317/AA312,0)</f>
        <v>0</v>
      </c>
      <c r="U317" s="493" t="str">
        <f>$U$9</f>
        <v>Rev. Med</v>
      </c>
      <c r="V317" s="392">
        <f t="shared" si="57"/>
        <v>0</v>
      </c>
      <c r="W317" s="870">
        <f>SUM(PROD!AU313:AU319)</f>
        <v>0</v>
      </c>
      <c r="X317" s="498">
        <f>IFERROR(W317/(AA317-AA315),0)</f>
        <v>0</v>
      </c>
      <c r="Y317" s="2303" t="s">
        <v>325</v>
      </c>
      <c r="Z317" s="2305">
        <f>SUMPRODUCT(Z312:Z316,AB312:AB316)</f>
        <v>0</v>
      </c>
      <c r="AA317" s="2307">
        <f>SUM(AA312:AA315)</f>
        <v>0</v>
      </c>
      <c r="AB317" s="2308"/>
    </row>
    <row r="318" spans="1:28" ht="16.5" customHeight="1" thickBot="1" x14ac:dyDescent="0.35">
      <c r="A318" s="2302"/>
      <c r="B318" s="444" t="str">
        <f>$B$10</f>
        <v>Gastos de Personal</v>
      </c>
      <c r="C318" s="445">
        <f>C311</f>
        <v>0</v>
      </c>
      <c r="D318" s="421">
        <f>C318*12/52</f>
        <v>0</v>
      </c>
      <c r="E318" s="446">
        <f>IFERROR(D318/SUM(PROD!L313:L319),0)</f>
        <v>0</v>
      </c>
      <c r="F318" s="447">
        <f>IFERROR(E318/SUM(E312:E318,J312:J318,O312:O317),0)</f>
        <v>0</v>
      </c>
      <c r="G318" s="448" t="str">
        <f>$G$17</f>
        <v>Adecuación Instalaciones</v>
      </c>
      <c r="H318" s="445">
        <f t="shared" si="55"/>
        <v>0</v>
      </c>
      <c r="I318" s="426">
        <f t="shared" si="53"/>
        <v>0</v>
      </c>
      <c r="J318" s="446">
        <f>IFERROR(I318/SUM(PROD!L313:L319),0)</f>
        <v>0</v>
      </c>
      <c r="K318" s="447">
        <f>IFERROR(J318/SUM(E312:E318,J312:J318,O312:O317),0)</f>
        <v>0</v>
      </c>
      <c r="L318" s="2311" t="str">
        <f>$L$10</f>
        <v>TOTAL COSTO PRODUCCIÓN</v>
      </c>
      <c r="M318" s="2312"/>
      <c r="N318" s="427">
        <f>SUM(D312:D318,I312:I318,N312:N317)</f>
        <v>0</v>
      </c>
      <c r="O318" s="449">
        <f>IFERROR(N318/SUM(PROD!L313:L319),0)</f>
        <v>0</v>
      </c>
      <c r="P318" s="447">
        <f>IFERROR(O318/SUM(E312:E318,J312:J318,O312:O317),0)</f>
        <v>0</v>
      </c>
      <c r="Q318" s="429" t="str">
        <f>$Q$10</f>
        <v>D</v>
      </c>
      <c r="R318" s="499">
        <f t="shared" si="56"/>
        <v>0</v>
      </c>
      <c r="S318" s="871">
        <f>SUM(PROD!AS313:AS319)</f>
        <v>0</v>
      </c>
      <c r="T318" s="431">
        <f>IF(AA312&gt;0,S318/AA312,0)</f>
        <v>0</v>
      </c>
      <c r="U318" s="432" t="str">
        <f>$U$10</f>
        <v>Rev. Peq</v>
      </c>
      <c r="V318" s="499">
        <f t="shared" si="57"/>
        <v>0</v>
      </c>
      <c r="W318" s="871">
        <f>SUM(PROD!AV313:AV319)</f>
        <v>0</v>
      </c>
      <c r="X318" s="431">
        <f>IFERROR(W318/(AA317-AA315),0)</f>
        <v>0</v>
      </c>
      <c r="Y318" s="2304"/>
      <c r="Z318" s="2306"/>
      <c r="AA318" s="2309"/>
      <c r="AB318" s="2310"/>
    </row>
    <row r="319" spans="1:28" ht="16.5" customHeight="1" x14ac:dyDescent="0.3">
      <c r="A319" s="2300">
        <f>A312+1</f>
        <v>63</v>
      </c>
      <c r="B319" s="433" t="str">
        <f>$B$4</f>
        <v>ALIMENTO Kilos</v>
      </c>
      <c r="C319" s="435">
        <f>LOOKUP($A319,PROD!$A$5:$A$725,PROD!$AH$10:$AH$730)</f>
        <v>0</v>
      </c>
      <c r="D319" s="368">
        <f>C319*LOOKUP($A319,'Pr-Sem'!$A$6:$A$108,'Pr-Sem'!$N$6:$N$108)/(PROD!$A$1/1000)</f>
        <v>0</v>
      </c>
      <c r="E319" s="369">
        <f>IFERROR(D319/SUM(PROD!L320:L326),0)</f>
        <v>0</v>
      </c>
      <c r="F319" s="370">
        <f>IFERROR(E319/SUM(E319:E325,J319:J325,O319:O324),0)</f>
        <v>0</v>
      </c>
      <c r="G319" s="434" t="str">
        <f>$G$11</f>
        <v>Honorarios</v>
      </c>
      <c r="H319" s="435">
        <f t="shared" si="55"/>
        <v>0</v>
      </c>
      <c r="I319" s="372">
        <f t="shared" si="53"/>
        <v>0</v>
      </c>
      <c r="J319" s="369">
        <f>IFERROR(I319/SUM(PROD!L320:L326),0)</f>
        <v>0</v>
      </c>
      <c r="K319" s="370">
        <f>IFERROR(J319/SUM(E319:E325,J319:J325,O319:O324),0)</f>
        <v>0</v>
      </c>
      <c r="L319" s="436" t="str">
        <f>$L$4</f>
        <v>Gastos de Viaje</v>
      </c>
      <c r="M319" s="435">
        <f t="shared" ref="M319:M324" si="65">M312</f>
        <v>0</v>
      </c>
      <c r="N319" s="372">
        <f>M319*12/52</f>
        <v>0</v>
      </c>
      <c r="O319" s="369">
        <f>IFERROR(N319/SUM(PROD!L320:L326),0)</f>
        <v>0</v>
      </c>
      <c r="P319" s="370">
        <f>IFERROR(O319/SUM(E319:E325,J319:J325,O319:O324),0)</f>
        <v>0</v>
      </c>
      <c r="Q319" s="373" t="str">
        <f>$Q$4</f>
        <v>AAAA</v>
      </c>
      <c r="R319" s="374">
        <f t="shared" si="56"/>
        <v>0</v>
      </c>
      <c r="S319" s="869">
        <f>SUM(PROD!AM320:AM326)</f>
        <v>0</v>
      </c>
      <c r="T319" s="375">
        <f>IF(AA319&gt;0,S319/AA319,0)</f>
        <v>0</v>
      </c>
      <c r="U319" s="376" t="str">
        <f>$U$4</f>
        <v>Prob Color</v>
      </c>
      <c r="V319" s="374">
        <f t="shared" si="57"/>
        <v>0</v>
      </c>
      <c r="W319" s="869">
        <f>SUM(PROD!AW320:AW326)</f>
        <v>0</v>
      </c>
      <c r="X319" s="375">
        <f>IFERROR(W319/(AA324-AA322),0)</f>
        <v>0</v>
      </c>
      <c r="Y319" s="377" t="s">
        <v>323</v>
      </c>
      <c r="Z319" s="378">
        <f>SUMPRODUCT(R319:R325,T319:T325)</f>
        <v>0</v>
      </c>
      <c r="AA319" s="379">
        <f>SUM(S319:S325)</f>
        <v>0</v>
      </c>
      <c r="AB319" s="490">
        <f>IF(AA324&gt;0,AA319/AA324,0)</f>
        <v>0</v>
      </c>
    </row>
    <row r="320" spans="1:28" ht="15.75" customHeight="1" x14ac:dyDescent="0.3">
      <c r="A320" s="2301"/>
      <c r="B320" s="438" t="str">
        <f>$B$5</f>
        <v>Amortización de Aves</v>
      </c>
      <c r="C320" s="381">
        <f>IFERROR((C313-(D320/'Pr-Sem'!$O$2)),0)</f>
        <v>0</v>
      </c>
      <c r="D320" s="382">
        <f>SUM(PROD!L320:L326)*E320</f>
        <v>0</v>
      </c>
      <c r="E320" s="383">
        <f>IF(SUM(PROD!L320:L326)&gt;0,IFERROR(($C$1-$C$2)/LOOKUP($B$2,'Pr-Sem'!$A$6:$A$108,'Pr-Sem'!$L$6:$L$108)*(LOOKUP(INVENTARIOS!$A319,'Pr-Sem'!$A$6:$A$108,'Pr-Sem'!$L$6:$L$108)-LOOKUP(INVENTARIOS!$A319-1,'Pr-Sem'!$A$6:$A$108,'Pr-Sem'!$L$6:$L$108))/(LOOKUP(INVENTARIOS!$A319,'Pr-Sem'!$A$6:$A$108,'Pr-Sem'!$K$6:$K$108)-LOOKUP(INVENTARIOS!$A319-1,'Pr-Sem'!$A$6:$A$108,'Pr-Sem'!$K$6:$K$108)),0),0)</f>
        <v>0</v>
      </c>
      <c r="F320" s="384">
        <f>IFERROR(E320/SUM(E319:E325,J319:J325,O319:O324),0)</f>
        <v>0</v>
      </c>
      <c r="G320" s="439" t="str">
        <f>$G$12</f>
        <v>Impuestos</v>
      </c>
      <c r="H320" s="440">
        <f t="shared" si="55"/>
        <v>0</v>
      </c>
      <c r="I320" s="387">
        <f t="shared" si="53"/>
        <v>0</v>
      </c>
      <c r="J320" s="383">
        <f>IFERROR(I320/SUM(PROD!L320:L326),0)</f>
        <v>0</v>
      </c>
      <c r="K320" s="384">
        <f>IFERROR(J320/SUM(E319:E325,J319:J325,O319:O324),0)</f>
        <v>0</v>
      </c>
      <c r="L320" s="439" t="str">
        <f>$L$5</f>
        <v>Depreciaciones</v>
      </c>
      <c r="M320" s="401">
        <f t="shared" si="65"/>
        <v>0</v>
      </c>
      <c r="N320" s="390">
        <f>M320*12/52</f>
        <v>0</v>
      </c>
      <c r="O320" s="383">
        <f>IFERROR(N320/SUM(PROD!L320:L326),0)</f>
        <v>0</v>
      </c>
      <c r="P320" s="384">
        <f>IFERROR(O320/SUM(E319:E325,J319:J325,O319:O324),0)</f>
        <v>0</v>
      </c>
      <c r="Q320" s="491" t="str">
        <f>$Q$5</f>
        <v>AAA</v>
      </c>
      <c r="R320" s="392">
        <f t="shared" si="56"/>
        <v>0</v>
      </c>
      <c r="S320" s="870">
        <f>SUM(PROD!AN320:AN326)</f>
        <v>0</v>
      </c>
      <c r="T320" s="492">
        <f>IF(AA319&gt;0,S320/AA319,0)</f>
        <v>0</v>
      </c>
      <c r="U320" s="493" t="str">
        <f>$U$5</f>
        <v>Prob Cásc</v>
      </c>
      <c r="V320" s="392">
        <f t="shared" si="57"/>
        <v>0</v>
      </c>
      <c r="W320" s="870">
        <f>SUM(PROD!AX320:AX326)</f>
        <v>0</v>
      </c>
      <c r="X320" s="492">
        <f>IFERROR(W320/(AA324-AA322),0)</f>
        <v>0</v>
      </c>
      <c r="Y320" s="395" t="s">
        <v>324</v>
      </c>
      <c r="Z320" s="396">
        <f>IFERROR(SUMPRODUCT(V319:V322,W319:W322)/SUM(W319:W322),0)</f>
        <v>0</v>
      </c>
      <c r="AA320" s="397">
        <f>SUM(W319:W322)</f>
        <v>0</v>
      </c>
      <c r="AB320" s="494">
        <f>IF(AA324&gt;0,AA320/AA324,0)</f>
        <v>0</v>
      </c>
    </row>
    <row r="321" spans="1:28" ht="15.75" customHeight="1" x14ac:dyDescent="0.3">
      <c r="A321" s="2301"/>
      <c r="B321" s="399" t="str">
        <f>$B$6</f>
        <v>Bandeja</v>
      </c>
      <c r="C321" s="400">
        <f>C314</f>
        <v>0</v>
      </c>
      <c r="D321" s="387">
        <f>C321*SUM(INVENTARIOS!R319:R325)</f>
        <v>0</v>
      </c>
      <c r="E321" s="383">
        <f>IFERROR(D321/SUM(PROD!L320:L326),0)</f>
        <v>0</v>
      </c>
      <c r="F321" s="384">
        <f>IFERROR(E321/SUM(E319:E325,J319:J325,O319:O324),0)</f>
        <v>0</v>
      </c>
      <c r="G321" s="439" t="str">
        <f>$G$13</f>
        <v>Arrendamientos</v>
      </c>
      <c r="H321" s="401">
        <f t="shared" si="55"/>
        <v>0</v>
      </c>
      <c r="I321" s="390">
        <f t="shared" si="53"/>
        <v>0</v>
      </c>
      <c r="J321" s="383">
        <f>IFERROR(I321/SUM(PROD!L320:L326),0)</f>
        <v>0</v>
      </c>
      <c r="K321" s="384">
        <f>IFERROR(J321/SUM(E319:E325,J319:J325,O319:O324),0)</f>
        <v>0</v>
      </c>
      <c r="L321" s="439" t="str">
        <f>$L$6</f>
        <v>Diversos</v>
      </c>
      <c r="M321" s="401">
        <f t="shared" si="65"/>
        <v>0</v>
      </c>
      <c r="N321" s="390">
        <f>M321*12/52</f>
        <v>0</v>
      </c>
      <c r="O321" s="383">
        <f>IFERROR(N321/SUM(PROD!L320:L326),0)</f>
        <v>0</v>
      </c>
      <c r="P321" s="384">
        <f>IFERROR(O321/SUM(E319:E325,J319:J325,O319:O324),0)</f>
        <v>0</v>
      </c>
      <c r="Q321" s="491" t="str">
        <f>$Q$6</f>
        <v>AA</v>
      </c>
      <c r="R321" s="392">
        <f t="shared" si="56"/>
        <v>0</v>
      </c>
      <c r="S321" s="870">
        <f>SUM(PROD!AO320:AO326)</f>
        <v>0</v>
      </c>
      <c r="T321" s="492">
        <f>IF(AA319&gt;0,S321/AA319,0)</f>
        <v>0</v>
      </c>
      <c r="U321" s="493" t="str">
        <f>$U$6</f>
        <v>Vencido</v>
      </c>
      <c r="V321" s="392">
        <f t="shared" si="57"/>
        <v>0</v>
      </c>
      <c r="W321" s="870">
        <f>SUM(PROD!AY320:AY326)</f>
        <v>0</v>
      </c>
      <c r="X321" s="492">
        <f>IFERROR(W321/(AA324-AA322),0)</f>
        <v>0</v>
      </c>
      <c r="Y321" s="402" t="s">
        <v>391</v>
      </c>
      <c r="Z321" s="456">
        <v>0</v>
      </c>
      <c r="AA321" s="720"/>
      <c r="AB321" s="495">
        <f>IF(AA324&gt;0,AA321/AA324,0)</f>
        <v>0</v>
      </c>
    </row>
    <row r="322" spans="1:28" ht="15.75" customHeight="1" x14ac:dyDescent="0.3">
      <c r="A322" s="2301"/>
      <c r="B322" s="438" t="str">
        <f>$B$7</f>
        <v>Mortalidad Aves</v>
      </c>
      <c r="C322" s="401">
        <f>IF(A319&lt;=$B$2,C320+$C$2,0)</f>
        <v>0</v>
      </c>
      <c r="D322" s="390">
        <f>C322*SUM(PROD!D320:D326)</f>
        <v>0</v>
      </c>
      <c r="E322" s="383">
        <f>IFERROR(D322/SUM(PROD!L320:L326),0)</f>
        <v>0</v>
      </c>
      <c r="F322" s="384">
        <f>IFERROR(E322/SUM(E319:E325,J319:J325,O319:O324),0)</f>
        <v>0</v>
      </c>
      <c r="G322" s="439" t="str">
        <f>$G$14</f>
        <v>Servicios Públicos</v>
      </c>
      <c r="H322" s="401">
        <f t="shared" si="55"/>
        <v>0</v>
      </c>
      <c r="I322" s="390">
        <f t="shared" si="53"/>
        <v>0</v>
      </c>
      <c r="J322" s="383">
        <f>IFERROR(I322/SUM(PROD!L320:L326),0)</f>
        <v>0</v>
      </c>
      <c r="K322" s="384">
        <f>IFERROR(J322/SUM(E319:E325,J319:J325,O319:O324),0)</f>
        <v>0</v>
      </c>
      <c r="L322" s="441" t="str">
        <f>$L$7</f>
        <v>Administrativos</v>
      </c>
      <c r="M322" s="401">
        <f t="shared" si="65"/>
        <v>0</v>
      </c>
      <c r="N322" s="404">
        <f>M322*0.230769230769231</f>
        <v>0</v>
      </c>
      <c r="O322" s="383">
        <f>IFERROR(N322/SUM(PROD!L320:L326),0)</f>
        <v>0</v>
      </c>
      <c r="P322" s="384">
        <f>IFERROR(O322/SUM(E319:E325,J319:J325,O319:O324),0)</f>
        <v>0</v>
      </c>
      <c r="Q322" s="491" t="str">
        <f>$Q$7</f>
        <v>A</v>
      </c>
      <c r="R322" s="392">
        <f t="shared" si="56"/>
        <v>0</v>
      </c>
      <c r="S322" s="870">
        <f>SUM(PROD!AP320:AP326)</f>
        <v>0</v>
      </c>
      <c r="T322" s="492">
        <f>IF(AA319&gt;0,S322/AA319,0)</f>
        <v>0</v>
      </c>
      <c r="U322" s="405" t="str">
        <f>$U$7</f>
        <v>Roto</v>
      </c>
      <c r="V322" s="406">
        <f t="shared" si="57"/>
        <v>0</v>
      </c>
      <c r="W322" s="872">
        <f>SUM(PROD!AZ320:AZ326)</f>
        <v>0</v>
      </c>
      <c r="X322" s="407">
        <f>IFERROR(W322/(AA324-AA322),0)</f>
        <v>0</v>
      </c>
      <c r="Y322" s="408" t="s">
        <v>359</v>
      </c>
      <c r="Z322" s="442">
        <v>215</v>
      </c>
      <c r="AA322" s="410">
        <f>SUM(PROD!L320:L326)-SUM(W319:W325)-SUM(S319:S325)-AA321</f>
        <v>0</v>
      </c>
      <c r="AB322" s="496">
        <f>IF(AA324&gt;0,AA322/AA324,0)</f>
        <v>0</v>
      </c>
    </row>
    <row r="323" spans="1:28" ht="15.75" customHeight="1" x14ac:dyDescent="0.3">
      <c r="A323" s="2301"/>
      <c r="B323" s="399" t="str">
        <f>$B$8</f>
        <v>Materia Prima (Carb Ca, etc.)</v>
      </c>
      <c r="C323" s="440">
        <f>C316</f>
        <v>0</v>
      </c>
      <c r="D323" s="387">
        <f>C323*12/52</f>
        <v>0</v>
      </c>
      <c r="E323" s="383">
        <f>IFERROR(D323/SUM(PROD!L320:L326),0)</f>
        <v>0</v>
      </c>
      <c r="F323" s="384">
        <f>IFERROR(E323/SUM(E319:E325,J319:J325,O319:O324),0)</f>
        <v>0</v>
      </c>
      <c r="G323" s="441" t="str">
        <f>$G$15</f>
        <v>Gastos Legales</v>
      </c>
      <c r="H323" s="401">
        <f t="shared" si="55"/>
        <v>0</v>
      </c>
      <c r="I323" s="390">
        <f t="shared" si="53"/>
        <v>0</v>
      </c>
      <c r="J323" s="383">
        <f>IFERROR(I323/SUM(PROD!L320:L326),0)</f>
        <v>0</v>
      </c>
      <c r="K323" s="384">
        <f>IFERROR(J323/SUM(E319:E325,J319:J325,O319:O324),0)</f>
        <v>0</v>
      </c>
      <c r="L323" s="439" t="str">
        <f>$L$8</f>
        <v>Fletes</v>
      </c>
      <c r="M323" s="401">
        <f t="shared" si="65"/>
        <v>0</v>
      </c>
      <c r="N323" s="404">
        <f>M323*0.230769230769231</f>
        <v>0</v>
      </c>
      <c r="O323" s="383">
        <f>IFERROR(N323/SUM(PROD!L320:L326),0)</f>
        <v>0</v>
      </c>
      <c r="P323" s="384">
        <f>IFERROR(O323/SUM(E319:E325,J319:J325,O319:O324),0)</f>
        <v>0</v>
      </c>
      <c r="Q323" s="491" t="str">
        <f>$Q$8</f>
        <v>B</v>
      </c>
      <c r="R323" s="392">
        <f t="shared" si="56"/>
        <v>0</v>
      </c>
      <c r="S323" s="870">
        <f>SUM(PROD!AQ320:AQ326)</f>
        <v>0</v>
      </c>
      <c r="T323" s="492">
        <f>IF(AA319&gt;0,S323/AA319,0)</f>
        <v>0</v>
      </c>
      <c r="U323" s="395" t="str">
        <f>$U$8</f>
        <v>Rev. Gr.</v>
      </c>
      <c r="V323" s="412">
        <f t="shared" si="57"/>
        <v>0</v>
      </c>
      <c r="W323" s="873">
        <f>SUM(PROD!AT320:AT326)</f>
        <v>0</v>
      </c>
      <c r="X323" s="413">
        <f>IFERROR(W323/(AA324-AA322),0)</f>
        <v>0</v>
      </c>
      <c r="Y323" s="414" t="s">
        <v>262</v>
      </c>
      <c r="Z323" s="415">
        <f>IFERROR(SUMPRODUCT(V323:V325,W323:W325)/SUM(W323:W325),0)</f>
        <v>0</v>
      </c>
      <c r="AA323" s="416">
        <f>SUM(W323:W325)</f>
        <v>0</v>
      </c>
      <c r="AB323" s="497">
        <f>IF(AA324&gt;0,AA323/AA324,0)</f>
        <v>0</v>
      </c>
    </row>
    <row r="324" spans="1:28" ht="15.75" customHeight="1" x14ac:dyDescent="0.3">
      <c r="A324" s="2301"/>
      <c r="B324" s="438" t="str">
        <f>$B$9</f>
        <v>Vacunas y medicamentos</v>
      </c>
      <c r="C324" s="443">
        <f>C317</f>
        <v>0</v>
      </c>
      <c r="D324" s="387">
        <f>C324*12/52</f>
        <v>0</v>
      </c>
      <c r="E324" s="383">
        <f>IFERROR(D324/SUM(PROD!L320:L326),0)</f>
        <v>0</v>
      </c>
      <c r="F324" s="384">
        <f>IFERROR(E324/SUM(E319:E325,J319:J325,O319:O324),0)</f>
        <v>0</v>
      </c>
      <c r="G324" s="441" t="str">
        <f>$G$16</f>
        <v>Mantenimiento y Reparaciones</v>
      </c>
      <c r="H324" s="401">
        <f t="shared" si="55"/>
        <v>0</v>
      </c>
      <c r="I324" s="390">
        <f t="shared" ref="I324:I387" si="66">H324*12/52</f>
        <v>0</v>
      </c>
      <c r="J324" s="383">
        <f>IFERROR(I324/SUM(PROD!L320:L326),0)</f>
        <v>0</v>
      </c>
      <c r="K324" s="384">
        <f>IFERROR(J324/SUM(E319:E325,J319:J325,O319:O324),0)</f>
        <v>0</v>
      </c>
      <c r="L324" s="439">
        <f>$L$9</f>
        <v>0</v>
      </c>
      <c r="M324" s="401">
        <f t="shared" si="65"/>
        <v>0</v>
      </c>
      <c r="N324" s="404">
        <f>M324*0.230769230769231</f>
        <v>0</v>
      </c>
      <c r="O324" s="383">
        <f>IFERROR(N324/SUM(PROD!L320:L326),0)</f>
        <v>0</v>
      </c>
      <c r="P324" s="384">
        <f>IFERROR(O324/SUM(E319:E325,J319:J325,O319:O324),0)</f>
        <v>0</v>
      </c>
      <c r="Q324" s="491" t="str">
        <f>$Q$9</f>
        <v>C</v>
      </c>
      <c r="R324" s="392">
        <f t="shared" si="56"/>
        <v>0</v>
      </c>
      <c r="S324" s="870">
        <f>SUM(PROD!AR320:AR326)</f>
        <v>0</v>
      </c>
      <c r="T324" s="492">
        <f>IF(AA319&gt;0,S324/AA319,0)</f>
        <v>0</v>
      </c>
      <c r="U324" s="493" t="str">
        <f>$U$9</f>
        <v>Rev. Med</v>
      </c>
      <c r="V324" s="392">
        <f t="shared" si="57"/>
        <v>0</v>
      </c>
      <c r="W324" s="870">
        <f>SUM(PROD!AU320:AU326)</f>
        <v>0</v>
      </c>
      <c r="X324" s="498">
        <f>IFERROR(W324/(AA324-AA322),0)</f>
        <v>0</v>
      </c>
      <c r="Y324" s="2303" t="s">
        <v>325</v>
      </c>
      <c r="Z324" s="2305">
        <f>SUMPRODUCT(Z319:Z323,AB319:AB323)</f>
        <v>0</v>
      </c>
      <c r="AA324" s="2307">
        <f>SUM(AA319:AA322)</f>
        <v>0</v>
      </c>
      <c r="AB324" s="2308"/>
    </row>
    <row r="325" spans="1:28" ht="16.5" customHeight="1" thickBot="1" x14ac:dyDescent="0.35">
      <c r="A325" s="2302"/>
      <c r="B325" s="444" t="str">
        <f>$B$10</f>
        <v>Gastos de Personal</v>
      </c>
      <c r="C325" s="445">
        <f>C318</f>
        <v>0</v>
      </c>
      <c r="D325" s="421">
        <f>C325*12/52</f>
        <v>0</v>
      </c>
      <c r="E325" s="446">
        <f>IFERROR(D325/SUM(PROD!L320:L326),0)</f>
        <v>0</v>
      </c>
      <c r="F325" s="447">
        <f>IFERROR(E325/SUM(E319:E325,J319:J325,O319:O324),0)</f>
        <v>0</v>
      </c>
      <c r="G325" s="448" t="str">
        <f>$G$17</f>
        <v>Adecuación Instalaciones</v>
      </c>
      <c r="H325" s="445">
        <f t="shared" si="55"/>
        <v>0</v>
      </c>
      <c r="I325" s="426">
        <f t="shared" si="66"/>
        <v>0</v>
      </c>
      <c r="J325" s="446">
        <f>IFERROR(I325/SUM(PROD!L320:L326),0)</f>
        <v>0</v>
      </c>
      <c r="K325" s="447">
        <f>IFERROR(J325/SUM(E319:E325,J319:J325,O319:O324),0)</f>
        <v>0</v>
      </c>
      <c r="L325" s="2311" t="str">
        <f>$L$10</f>
        <v>TOTAL COSTO PRODUCCIÓN</v>
      </c>
      <c r="M325" s="2312"/>
      <c r="N325" s="427">
        <f>SUM(D319:D325,I319:I325,N319:N324)</f>
        <v>0</v>
      </c>
      <c r="O325" s="449">
        <f>IFERROR(N325/SUM(PROD!L320:L326),0)</f>
        <v>0</v>
      </c>
      <c r="P325" s="447">
        <f>IFERROR(O325/SUM(E319:E325,J319:J325,O319:O324),0)</f>
        <v>0</v>
      </c>
      <c r="Q325" s="429" t="str">
        <f>$Q$10</f>
        <v>D</v>
      </c>
      <c r="R325" s="499">
        <f t="shared" si="56"/>
        <v>0</v>
      </c>
      <c r="S325" s="871">
        <f>SUM(PROD!AS320:AS326)</f>
        <v>0</v>
      </c>
      <c r="T325" s="431">
        <f>IF(AA319&gt;0,S325/AA319,0)</f>
        <v>0</v>
      </c>
      <c r="U325" s="432" t="str">
        <f>$U$10</f>
        <v>Rev. Peq</v>
      </c>
      <c r="V325" s="499">
        <f t="shared" si="57"/>
        <v>0</v>
      </c>
      <c r="W325" s="871">
        <f>SUM(PROD!AV320:AV326)</f>
        <v>0</v>
      </c>
      <c r="X325" s="431">
        <f>IFERROR(W325/(AA324-AA322),0)</f>
        <v>0</v>
      </c>
      <c r="Y325" s="2304"/>
      <c r="Z325" s="2306"/>
      <c r="AA325" s="2309"/>
      <c r="AB325" s="2310"/>
    </row>
    <row r="326" spans="1:28" ht="16.5" customHeight="1" x14ac:dyDescent="0.3">
      <c r="A326" s="2300">
        <f>A319+1</f>
        <v>64</v>
      </c>
      <c r="B326" s="433" t="str">
        <f>$B$4</f>
        <v>ALIMENTO Kilos</v>
      </c>
      <c r="C326" s="435">
        <f>LOOKUP($A326,PROD!$A$5:$A$725,PROD!$AH$10:$AH$730)</f>
        <v>0</v>
      </c>
      <c r="D326" s="368">
        <f>C326*LOOKUP($A326,'Pr-Sem'!$A$6:$A$108,'Pr-Sem'!$N$6:$N$108)/(PROD!$A$1/1000)</f>
        <v>0</v>
      </c>
      <c r="E326" s="369">
        <f>IFERROR(D326/SUM(PROD!L327:L333),0)</f>
        <v>0</v>
      </c>
      <c r="F326" s="370">
        <f>IFERROR(E326/SUM(E326:E332,J326:J332,O326:O331),0)</f>
        <v>0</v>
      </c>
      <c r="G326" s="434" t="str">
        <f>$G$11</f>
        <v>Honorarios</v>
      </c>
      <c r="H326" s="435">
        <f t="shared" si="55"/>
        <v>0</v>
      </c>
      <c r="I326" s="372">
        <f t="shared" si="66"/>
        <v>0</v>
      </c>
      <c r="J326" s="369">
        <f>IFERROR(I326/SUM(PROD!L327:L333),0)</f>
        <v>0</v>
      </c>
      <c r="K326" s="370">
        <f>IFERROR(J326/SUM(E326:E332,J326:J332,O326:O331),0)</f>
        <v>0</v>
      </c>
      <c r="L326" s="436" t="str">
        <f>$L$4</f>
        <v>Gastos de Viaje</v>
      </c>
      <c r="M326" s="435">
        <f t="shared" ref="M326:M331" si="67">M319</f>
        <v>0</v>
      </c>
      <c r="N326" s="372">
        <f>M326*12/52</f>
        <v>0</v>
      </c>
      <c r="O326" s="369">
        <f>IFERROR(N326/SUM(PROD!L327:L333),0)</f>
        <v>0</v>
      </c>
      <c r="P326" s="370">
        <f>IFERROR(O326/SUM(E326:E332,J326:J332,O326:O331),0)</f>
        <v>0</v>
      </c>
      <c r="Q326" s="373" t="str">
        <f>$Q$4</f>
        <v>AAAA</v>
      </c>
      <c r="R326" s="374">
        <f t="shared" si="56"/>
        <v>0</v>
      </c>
      <c r="S326" s="869">
        <f>SUM(PROD!AM327:AM333)</f>
        <v>0</v>
      </c>
      <c r="T326" s="375">
        <f>IF(AA326&gt;0,S326/AA326,0)</f>
        <v>0</v>
      </c>
      <c r="U326" s="376" t="str">
        <f>$U$4</f>
        <v>Prob Color</v>
      </c>
      <c r="V326" s="374">
        <f t="shared" si="57"/>
        <v>0</v>
      </c>
      <c r="W326" s="869">
        <f>SUM(PROD!AW327:AW333)</f>
        <v>0</v>
      </c>
      <c r="X326" s="375">
        <f>IFERROR(W326/(AA331-AA329),0)</f>
        <v>0</v>
      </c>
      <c r="Y326" s="377" t="s">
        <v>323</v>
      </c>
      <c r="Z326" s="378">
        <f>SUMPRODUCT(R326:R332,T326:T332)</f>
        <v>0</v>
      </c>
      <c r="AA326" s="379">
        <f>SUM(S326:S332)</f>
        <v>0</v>
      </c>
      <c r="AB326" s="490">
        <f>IF(AA331&gt;0,AA326/AA331,0)</f>
        <v>0</v>
      </c>
    </row>
    <row r="327" spans="1:28" ht="15.75" customHeight="1" x14ac:dyDescent="0.3">
      <c r="A327" s="2301"/>
      <c r="B327" s="438" t="str">
        <f>$B$5</f>
        <v>Amortización de Aves</v>
      </c>
      <c r="C327" s="381">
        <f>IFERROR((C320-(D327/'Pr-Sem'!$O$2)),0)</f>
        <v>0</v>
      </c>
      <c r="D327" s="382">
        <f>SUM(PROD!L327:L333)*E327</f>
        <v>0</v>
      </c>
      <c r="E327" s="383">
        <f>IF(SUM(PROD!L327:L333)&gt;0,IFERROR(($C$1-$C$2)/LOOKUP($B$2,'Pr-Sem'!$A$6:$A$108,'Pr-Sem'!$L$6:$L$108)*(LOOKUP(INVENTARIOS!$A326,'Pr-Sem'!$A$6:$A$108,'Pr-Sem'!$L$6:$L$108)-LOOKUP(INVENTARIOS!$A326-1,'Pr-Sem'!$A$6:$A$108,'Pr-Sem'!$L$6:$L$108))/(LOOKUP(INVENTARIOS!$A326,'Pr-Sem'!$A$6:$A$108,'Pr-Sem'!$K$6:$K$108)-LOOKUP(INVENTARIOS!$A326-1,'Pr-Sem'!$A$6:$A$108,'Pr-Sem'!$K$6:$K$108)),0),0)</f>
        <v>0</v>
      </c>
      <c r="F327" s="384">
        <f>IFERROR(E327/SUM(E326:E332,J326:J332,O326:O331),0)</f>
        <v>0</v>
      </c>
      <c r="G327" s="439" t="str">
        <f>$G$12</f>
        <v>Impuestos</v>
      </c>
      <c r="H327" s="440">
        <f t="shared" si="55"/>
        <v>0</v>
      </c>
      <c r="I327" s="387">
        <f t="shared" si="66"/>
        <v>0</v>
      </c>
      <c r="J327" s="383">
        <f>IFERROR(I327/SUM(PROD!L327:L333),0)</f>
        <v>0</v>
      </c>
      <c r="K327" s="384">
        <f>IFERROR(J327/SUM(E326:E332,J326:J332,O326:O331),0)</f>
        <v>0</v>
      </c>
      <c r="L327" s="439" t="str">
        <f>$L$5</f>
        <v>Depreciaciones</v>
      </c>
      <c r="M327" s="401">
        <f t="shared" si="67"/>
        <v>0</v>
      </c>
      <c r="N327" s="390">
        <f>M327*12/52</f>
        <v>0</v>
      </c>
      <c r="O327" s="383">
        <f>IFERROR(N327/SUM(PROD!L327:L333),0)</f>
        <v>0</v>
      </c>
      <c r="P327" s="384">
        <f>IFERROR(O327/SUM(E326:E332,J326:J332,O326:O331),0)</f>
        <v>0</v>
      </c>
      <c r="Q327" s="491" t="str">
        <f>$Q$5</f>
        <v>AAA</v>
      </c>
      <c r="R327" s="392">
        <f t="shared" si="56"/>
        <v>0</v>
      </c>
      <c r="S327" s="870">
        <f>SUM(PROD!AN327:AN333)</f>
        <v>0</v>
      </c>
      <c r="T327" s="492">
        <f>IF(AA326&gt;0,S327/AA326,0)</f>
        <v>0</v>
      </c>
      <c r="U327" s="493" t="str">
        <f>$U$5</f>
        <v>Prob Cásc</v>
      </c>
      <c r="V327" s="392">
        <f t="shared" si="57"/>
        <v>0</v>
      </c>
      <c r="W327" s="870">
        <f>SUM(PROD!AX327:AX333)</f>
        <v>0</v>
      </c>
      <c r="X327" s="492">
        <f>IFERROR(W327/(AA331-AA329),0)</f>
        <v>0</v>
      </c>
      <c r="Y327" s="395" t="s">
        <v>324</v>
      </c>
      <c r="Z327" s="396">
        <f>IFERROR(SUMPRODUCT(V326:V329,W326:W329)/SUM(W326:W329),0)</f>
        <v>0</v>
      </c>
      <c r="AA327" s="397">
        <f>SUM(W326:W329)</f>
        <v>0</v>
      </c>
      <c r="AB327" s="494">
        <f>IF(AA331&gt;0,AA327/AA331,0)</f>
        <v>0</v>
      </c>
    </row>
    <row r="328" spans="1:28" ht="15.75" customHeight="1" x14ac:dyDescent="0.3">
      <c r="A328" s="2301"/>
      <c r="B328" s="399" t="str">
        <f>$B$6</f>
        <v>Bandeja</v>
      </c>
      <c r="C328" s="400">
        <f>C321</f>
        <v>0</v>
      </c>
      <c r="D328" s="387">
        <f>C328*SUM(INVENTARIOS!R326:R332)</f>
        <v>0</v>
      </c>
      <c r="E328" s="383">
        <f>IFERROR(D328/SUM(PROD!L327:L333),0)</f>
        <v>0</v>
      </c>
      <c r="F328" s="384">
        <f>IFERROR(E328/SUM(E326:E332,J326:J332,O326:O331),0)</f>
        <v>0</v>
      </c>
      <c r="G328" s="439" t="str">
        <f>$G$13</f>
        <v>Arrendamientos</v>
      </c>
      <c r="H328" s="401">
        <f t="shared" si="55"/>
        <v>0</v>
      </c>
      <c r="I328" s="390">
        <f t="shared" si="66"/>
        <v>0</v>
      </c>
      <c r="J328" s="383">
        <f>IFERROR(I328/SUM(PROD!L327:L333),0)</f>
        <v>0</v>
      </c>
      <c r="K328" s="384">
        <f>IFERROR(J328/SUM(E326:E332,J326:J332,O326:O331),0)</f>
        <v>0</v>
      </c>
      <c r="L328" s="439" t="str">
        <f>$L$6</f>
        <v>Diversos</v>
      </c>
      <c r="M328" s="401">
        <f t="shared" si="67"/>
        <v>0</v>
      </c>
      <c r="N328" s="390">
        <f>M328*12/52</f>
        <v>0</v>
      </c>
      <c r="O328" s="383">
        <f>IFERROR(N328/SUM(PROD!L327:L333),0)</f>
        <v>0</v>
      </c>
      <c r="P328" s="384">
        <f>IFERROR(O328/SUM(E326:E332,J326:J332,O326:O331),0)</f>
        <v>0</v>
      </c>
      <c r="Q328" s="491" t="str">
        <f>$Q$6</f>
        <v>AA</v>
      </c>
      <c r="R328" s="392">
        <f t="shared" si="56"/>
        <v>0</v>
      </c>
      <c r="S328" s="870">
        <f>SUM(PROD!AO327:AO333)</f>
        <v>0</v>
      </c>
      <c r="T328" s="492">
        <f>IF(AA326&gt;0,S328/AA326,0)</f>
        <v>0</v>
      </c>
      <c r="U328" s="493" t="str">
        <f>$U$6</f>
        <v>Vencido</v>
      </c>
      <c r="V328" s="392">
        <f t="shared" si="57"/>
        <v>0</v>
      </c>
      <c r="W328" s="870">
        <f>SUM(PROD!AY327:AY333)</f>
        <v>0</v>
      </c>
      <c r="X328" s="492">
        <f>IFERROR(W328/(AA331-AA329),0)</f>
        <v>0</v>
      </c>
      <c r="Y328" s="402" t="s">
        <v>391</v>
      </c>
      <c r="Z328" s="456">
        <v>0</v>
      </c>
      <c r="AA328" s="720"/>
      <c r="AB328" s="495">
        <f>IF(AA331&gt;0,AA328/AA331,0)</f>
        <v>0</v>
      </c>
    </row>
    <row r="329" spans="1:28" ht="15.75" customHeight="1" x14ac:dyDescent="0.3">
      <c r="A329" s="2301"/>
      <c r="B329" s="438" t="str">
        <f>$B$7</f>
        <v>Mortalidad Aves</v>
      </c>
      <c r="C329" s="401">
        <f>IF(A326&lt;=$B$2,C327+$C$2,0)</f>
        <v>0</v>
      </c>
      <c r="D329" s="390">
        <f>C329*SUM(PROD!D327:D333)</f>
        <v>0</v>
      </c>
      <c r="E329" s="383">
        <f>IFERROR(D329/SUM(PROD!L327:L333),0)</f>
        <v>0</v>
      </c>
      <c r="F329" s="384">
        <f>IFERROR(E329/SUM(E326:E332,J326:J332,O326:O331),0)</f>
        <v>0</v>
      </c>
      <c r="G329" s="439" t="str">
        <f>$G$14</f>
        <v>Servicios Públicos</v>
      </c>
      <c r="H329" s="401">
        <f t="shared" si="55"/>
        <v>0</v>
      </c>
      <c r="I329" s="390">
        <f t="shared" si="66"/>
        <v>0</v>
      </c>
      <c r="J329" s="383">
        <f>IFERROR(I329/SUM(PROD!L327:L333),0)</f>
        <v>0</v>
      </c>
      <c r="K329" s="384">
        <f>IFERROR(J329/SUM(E326:E332,J326:J332,O326:O331),0)</f>
        <v>0</v>
      </c>
      <c r="L329" s="441" t="str">
        <f>$L$7</f>
        <v>Administrativos</v>
      </c>
      <c r="M329" s="401">
        <f t="shared" si="67"/>
        <v>0</v>
      </c>
      <c r="N329" s="404">
        <f>M329*0.230769230769231</f>
        <v>0</v>
      </c>
      <c r="O329" s="383">
        <f>IFERROR(N329/SUM(PROD!L327:L333),0)</f>
        <v>0</v>
      </c>
      <c r="P329" s="384">
        <f>IFERROR(O329/SUM(E326:E332,J326:J332,O326:O331),0)</f>
        <v>0</v>
      </c>
      <c r="Q329" s="491" t="str">
        <f>$Q$7</f>
        <v>A</v>
      </c>
      <c r="R329" s="392">
        <f t="shared" si="56"/>
        <v>0</v>
      </c>
      <c r="S329" s="870">
        <f>SUM(PROD!AP327:AP333)</f>
        <v>0</v>
      </c>
      <c r="T329" s="492">
        <f>IF(AA326&gt;0,S329/AA326,0)</f>
        <v>0</v>
      </c>
      <c r="U329" s="405" t="str">
        <f>$U$7</f>
        <v>Roto</v>
      </c>
      <c r="V329" s="406">
        <f t="shared" si="57"/>
        <v>0</v>
      </c>
      <c r="W329" s="872">
        <f>SUM(PROD!AZ327:AZ333)</f>
        <v>0</v>
      </c>
      <c r="X329" s="407">
        <f>IFERROR(W329/(AA331-AA329),0)</f>
        <v>0</v>
      </c>
      <c r="Y329" s="408" t="s">
        <v>359</v>
      </c>
      <c r="Z329" s="442">
        <v>215</v>
      </c>
      <c r="AA329" s="410">
        <f>SUM(PROD!L327:L333)-SUM(W326:W332)-SUM(S326:S332)-AA328</f>
        <v>0</v>
      </c>
      <c r="AB329" s="496">
        <f>IF(AA331&gt;0,AA329/AA331,0)</f>
        <v>0</v>
      </c>
    </row>
    <row r="330" spans="1:28" ht="15.75" customHeight="1" x14ac:dyDescent="0.3">
      <c r="A330" s="2301"/>
      <c r="B330" s="399" t="str">
        <f>$B$8</f>
        <v>Materia Prima (Carb Ca, etc.)</v>
      </c>
      <c r="C330" s="440">
        <f>C323</f>
        <v>0</v>
      </c>
      <c r="D330" s="387">
        <f>C330*12/52</f>
        <v>0</v>
      </c>
      <c r="E330" s="383">
        <f>IFERROR(D330/SUM(PROD!L327:L333),0)</f>
        <v>0</v>
      </c>
      <c r="F330" s="384">
        <f>IFERROR(E330/SUM(E326:E332,J326:J332,O326:O331),0)</f>
        <v>0</v>
      </c>
      <c r="G330" s="441" t="str">
        <f>$G$15</f>
        <v>Gastos Legales</v>
      </c>
      <c r="H330" s="401">
        <f t="shared" si="55"/>
        <v>0</v>
      </c>
      <c r="I330" s="390">
        <f t="shared" si="66"/>
        <v>0</v>
      </c>
      <c r="J330" s="383">
        <f>IFERROR(I330/SUM(PROD!L327:L333),0)</f>
        <v>0</v>
      </c>
      <c r="K330" s="384">
        <f>IFERROR(J330/SUM(E326:E332,J326:J332,O326:O331),0)</f>
        <v>0</v>
      </c>
      <c r="L330" s="439" t="str">
        <f>$L$8</f>
        <v>Fletes</v>
      </c>
      <c r="M330" s="401">
        <f t="shared" si="67"/>
        <v>0</v>
      </c>
      <c r="N330" s="404">
        <f>M330*0.230769230769231</f>
        <v>0</v>
      </c>
      <c r="O330" s="383">
        <f>IFERROR(N330/SUM(PROD!L327:L333),0)</f>
        <v>0</v>
      </c>
      <c r="P330" s="384">
        <f>IFERROR(O330/SUM(E326:E332,J326:J332,O326:O331),0)</f>
        <v>0</v>
      </c>
      <c r="Q330" s="491" t="str">
        <f>$Q$8</f>
        <v>B</v>
      </c>
      <c r="R330" s="392">
        <f t="shared" si="56"/>
        <v>0</v>
      </c>
      <c r="S330" s="870">
        <f>SUM(PROD!AQ327:AQ333)</f>
        <v>0</v>
      </c>
      <c r="T330" s="492">
        <f>IF(AA326&gt;0,S330/AA326,0)</f>
        <v>0</v>
      </c>
      <c r="U330" s="395" t="str">
        <f>$U$8</f>
        <v>Rev. Gr.</v>
      </c>
      <c r="V330" s="412">
        <f t="shared" si="57"/>
        <v>0</v>
      </c>
      <c r="W330" s="873">
        <f>SUM(PROD!AT327:AT333)</f>
        <v>0</v>
      </c>
      <c r="X330" s="413">
        <f>IFERROR(W330/(AA331-AA329),0)</f>
        <v>0</v>
      </c>
      <c r="Y330" s="414" t="s">
        <v>262</v>
      </c>
      <c r="Z330" s="415">
        <f>IFERROR(SUMPRODUCT(V330:V332,W330:W332)/SUM(W330:W332),0)</f>
        <v>0</v>
      </c>
      <c r="AA330" s="416">
        <f>SUM(W330:W332)</f>
        <v>0</v>
      </c>
      <c r="AB330" s="497">
        <f>IF(AA331&gt;0,AA330/AA331,0)</f>
        <v>0</v>
      </c>
    </row>
    <row r="331" spans="1:28" ht="15.75" customHeight="1" x14ac:dyDescent="0.3">
      <c r="A331" s="2301"/>
      <c r="B331" s="438" t="str">
        <f>$B$9</f>
        <v>Vacunas y medicamentos</v>
      </c>
      <c r="C331" s="443">
        <f>C324</f>
        <v>0</v>
      </c>
      <c r="D331" s="387">
        <f>C331*12/52</f>
        <v>0</v>
      </c>
      <c r="E331" s="383">
        <f>IFERROR(D331/SUM(PROD!L327:L333),0)</f>
        <v>0</v>
      </c>
      <c r="F331" s="384">
        <f>IFERROR(E331/SUM(E326:E332,J326:J332,O326:O331),0)</f>
        <v>0</v>
      </c>
      <c r="G331" s="441" t="str">
        <f>$G$16</f>
        <v>Mantenimiento y Reparaciones</v>
      </c>
      <c r="H331" s="401">
        <f t="shared" ref="H331:H394" si="68">H324</f>
        <v>0</v>
      </c>
      <c r="I331" s="390">
        <f t="shared" si="66"/>
        <v>0</v>
      </c>
      <c r="J331" s="383">
        <f>IFERROR(I331/SUM(PROD!L327:L333),0)</f>
        <v>0</v>
      </c>
      <c r="K331" s="384">
        <f>IFERROR(J331/SUM(E326:E332,J326:J332,O326:O331),0)</f>
        <v>0</v>
      </c>
      <c r="L331" s="439">
        <f>$L$9</f>
        <v>0</v>
      </c>
      <c r="M331" s="401">
        <f t="shared" si="67"/>
        <v>0</v>
      </c>
      <c r="N331" s="404">
        <f>M331*0.230769230769231</f>
        <v>0</v>
      </c>
      <c r="O331" s="383">
        <f>IFERROR(N331/SUM(PROD!L327:L333),0)</f>
        <v>0</v>
      </c>
      <c r="P331" s="384">
        <f>IFERROR(O331/SUM(E326:E332,J326:J332,O326:O331),0)</f>
        <v>0</v>
      </c>
      <c r="Q331" s="491" t="str">
        <f>$Q$9</f>
        <v>C</v>
      </c>
      <c r="R331" s="392">
        <f t="shared" ref="R331:R394" si="69">R324</f>
        <v>0</v>
      </c>
      <c r="S331" s="870">
        <f>SUM(PROD!AR327:AR333)</f>
        <v>0</v>
      </c>
      <c r="T331" s="492">
        <f>IF(AA326&gt;0,S331/AA326,0)</f>
        <v>0</v>
      </c>
      <c r="U331" s="493" t="str">
        <f>$U$9</f>
        <v>Rev. Med</v>
      </c>
      <c r="V331" s="392">
        <f t="shared" ref="V331:V394" si="70">V324</f>
        <v>0</v>
      </c>
      <c r="W331" s="870">
        <f>SUM(PROD!AU327:AU333)</f>
        <v>0</v>
      </c>
      <c r="X331" s="498">
        <f>IFERROR(W331/(AA331-AA329),0)</f>
        <v>0</v>
      </c>
      <c r="Y331" s="2303" t="s">
        <v>325</v>
      </c>
      <c r="Z331" s="2305">
        <f>SUMPRODUCT(Z326:Z330,AB326:AB330)</f>
        <v>0</v>
      </c>
      <c r="AA331" s="2307">
        <f>SUM(AA326:AA329)</f>
        <v>0</v>
      </c>
      <c r="AB331" s="2308"/>
    </row>
    <row r="332" spans="1:28" ht="16.5" customHeight="1" thickBot="1" x14ac:dyDescent="0.35">
      <c r="A332" s="2302"/>
      <c r="B332" s="444" t="str">
        <f>$B$10</f>
        <v>Gastos de Personal</v>
      </c>
      <c r="C332" s="445">
        <f>C325</f>
        <v>0</v>
      </c>
      <c r="D332" s="421">
        <f>C332*12/52</f>
        <v>0</v>
      </c>
      <c r="E332" s="446">
        <f>IFERROR(D332/SUM(PROD!L327:L333),0)</f>
        <v>0</v>
      </c>
      <c r="F332" s="447">
        <f>IFERROR(E332/SUM(E326:E332,J326:J332,O326:O331),0)</f>
        <v>0</v>
      </c>
      <c r="G332" s="448" t="str">
        <f>$G$17</f>
        <v>Adecuación Instalaciones</v>
      </c>
      <c r="H332" s="445">
        <f t="shared" si="68"/>
        <v>0</v>
      </c>
      <c r="I332" s="426">
        <f t="shared" si="66"/>
        <v>0</v>
      </c>
      <c r="J332" s="446">
        <f>IFERROR(I332/SUM(PROD!L327:L333),0)</f>
        <v>0</v>
      </c>
      <c r="K332" s="447">
        <f>IFERROR(J332/SUM(E326:E332,J326:J332,O326:O331),0)</f>
        <v>0</v>
      </c>
      <c r="L332" s="2311" t="str">
        <f>$L$10</f>
        <v>TOTAL COSTO PRODUCCIÓN</v>
      </c>
      <c r="M332" s="2312"/>
      <c r="N332" s="427">
        <f>SUM(D326:D332,I326:I332,N326:N331)</f>
        <v>0</v>
      </c>
      <c r="O332" s="449">
        <f>IFERROR(N332/SUM(PROD!L327:L333),0)</f>
        <v>0</v>
      </c>
      <c r="P332" s="447">
        <f>IFERROR(O332/SUM(E326:E332,J326:J332,O326:O331),0)</f>
        <v>0</v>
      </c>
      <c r="Q332" s="429" t="str">
        <f>$Q$10</f>
        <v>D</v>
      </c>
      <c r="R332" s="499">
        <f t="shared" si="69"/>
        <v>0</v>
      </c>
      <c r="S332" s="871">
        <f>SUM(PROD!AS327:AS333)</f>
        <v>0</v>
      </c>
      <c r="T332" s="431">
        <f>IF(AA326&gt;0,S332/AA326,0)</f>
        <v>0</v>
      </c>
      <c r="U332" s="432" t="str">
        <f>$U$10</f>
        <v>Rev. Peq</v>
      </c>
      <c r="V332" s="499">
        <f t="shared" si="70"/>
        <v>0</v>
      </c>
      <c r="W332" s="871">
        <f>SUM(PROD!AV327:AV333)</f>
        <v>0</v>
      </c>
      <c r="X332" s="431">
        <f>IFERROR(W332/(AA331-AA329),0)</f>
        <v>0</v>
      </c>
      <c r="Y332" s="2304"/>
      <c r="Z332" s="2306"/>
      <c r="AA332" s="2309"/>
      <c r="AB332" s="2310"/>
    </row>
    <row r="333" spans="1:28" ht="16.5" customHeight="1" x14ac:dyDescent="0.3">
      <c r="A333" s="2300">
        <f>A326+1</f>
        <v>65</v>
      </c>
      <c r="B333" s="433" t="str">
        <f>$B$4</f>
        <v>ALIMENTO Kilos</v>
      </c>
      <c r="C333" s="435">
        <f>LOOKUP($A333,PROD!$A$5:$A$725,PROD!$AH$10:$AH$730)</f>
        <v>0</v>
      </c>
      <c r="D333" s="368">
        <f>C333*LOOKUP($A333,'Pr-Sem'!$A$6:$A$108,'Pr-Sem'!$N$6:$N$108)/(PROD!$A$1/1000)</f>
        <v>0</v>
      </c>
      <c r="E333" s="369">
        <f>IFERROR(D333/SUM(PROD!L334:L340),0)</f>
        <v>0</v>
      </c>
      <c r="F333" s="370">
        <f>IFERROR(E333/SUM(E333:E339,J333:J339,O333:O338),0)</f>
        <v>0</v>
      </c>
      <c r="G333" s="434" t="str">
        <f>$G$11</f>
        <v>Honorarios</v>
      </c>
      <c r="H333" s="435">
        <f t="shared" si="68"/>
        <v>0</v>
      </c>
      <c r="I333" s="372">
        <f t="shared" si="66"/>
        <v>0</v>
      </c>
      <c r="J333" s="369">
        <f>IFERROR(I333/SUM(PROD!L334:L340),0)</f>
        <v>0</v>
      </c>
      <c r="K333" s="370">
        <f>IFERROR(J333/SUM(E333:E339,J333:J339,O333:O338),0)</f>
        <v>0</v>
      </c>
      <c r="L333" s="436" t="str">
        <f>$L$4</f>
        <v>Gastos de Viaje</v>
      </c>
      <c r="M333" s="435">
        <f t="shared" ref="M333:M338" si="71">M326</f>
        <v>0</v>
      </c>
      <c r="N333" s="372">
        <f>M333*12/52</f>
        <v>0</v>
      </c>
      <c r="O333" s="369">
        <f>IFERROR(N333/SUM(PROD!L334:L340),0)</f>
        <v>0</v>
      </c>
      <c r="P333" s="370">
        <f>IFERROR(O333/SUM(E333:E339,J333:J339,O333:O338),0)</f>
        <v>0</v>
      </c>
      <c r="Q333" s="373" t="str">
        <f>$Q$4</f>
        <v>AAAA</v>
      </c>
      <c r="R333" s="374">
        <f t="shared" si="69"/>
        <v>0</v>
      </c>
      <c r="S333" s="869">
        <f>SUM(PROD!AM334:AM340)</f>
        <v>0</v>
      </c>
      <c r="T333" s="375">
        <f>IF(AA333&gt;0,S333/AA333,0)</f>
        <v>0</v>
      </c>
      <c r="U333" s="376" t="str">
        <f>$U$4</f>
        <v>Prob Color</v>
      </c>
      <c r="V333" s="374">
        <f t="shared" si="70"/>
        <v>0</v>
      </c>
      <c r="W333" s="869">
        <f>SUM(PROD!AW334:AW340)</f>
        <v>0</v>
      </c>
      <c r="X333" s="375">
        <f>IFERROR(W333/(AA338-AA336),0)</f>
        <v>0</v>
      </c>
      <c r="Y333" s="377" t="s">
        <v>323</v>
      </c>
      <c r="Z333" s="378">
        <f>SUMPRODUCT(R333:R339,T333:T339)</f>
        <v>0</v>
      </c>
      <c r="AA333" s="379">
        <f>SUM(S333:S339)</f>
        <v>0</v>
      </c>
      <c r="AB333" s="490">
        <f>IF(AA338&gt;0,AA333/AA338,0)</f>
        <v>0</v>
      </c>
    </row>
    <row r="334" spans="1:28" ht="15.75" customHeight="1" x14ac:dyDescent="0.3">
      <c r="A334" s="2301"/>
      <c r="B334" s="438" t="str">
        <f>$B$5</f>
        <v>Amortización de Aves</v>
      </c>
      <c r="C334" s="381">
        <f>IFERROR((C327-(D334/'Pr-Sem'!$O$2)),0)</f>
        <v>0</v>
      </c>
      <c r="D334" s="382">
        <f>SUM(PROD!L334:L340)*E334</f>
        <v>0</v>
      </c>
      <c r="E334" s="383">
        <f>IF(SUM(PROD!L334:L340)&gt;0,IFERROR(($C$1-$C$2)/LOOKUP($B$2,'Pr-Sem'!$A$6:$A$108,'Pr-Sem'!$L$6:$L$108)*(LOOKUP(INVENTARIOS!$A333,'Pr-Sem'!$A$6:$A$108,'Pr-Sem'!$L$6:$L$108)-LOOKUP(INVENTARIOS!$A333-1,'Pr-Sem'!$A$6:$A$108,'Pr-Sem'!$L$6:$L$108))/(LOOKUP(INVENTARIOS!$A333,'Pr-Sem'!$A$6:$A$108,'Pr-Sem'!$K$6:$K$108)-LOOKUP(INVENTARIOS!$A333-1,'Pr-Sem'!$A$6:$A$108,'Pr-Sem'!$K$6:$K$108)),0),0)</f>
        <v>0</v>
      </c>
      <c r="F334" s="384">
        <f>IFERROR(E334/SUM(E333:E339,J333:J339,O333:O338),0)</f>
        <v>0</v>
      </c>
      <c r="G334" s="439" t="str">
        <f>$G$12</f>
        <v>Impuestos</v>
      </c>
      <c r="H334" s="440">
        <f t="shared" si="68"/>
        <v>0</v>
      </c>
      <c r="I334" s="387">
        <f t="shared" si="66"/>
        <v>0</v>
      </c>
      <c r="J334" s="383">
        <f>IFERROR(I334/SUM(PROD!L334:L340),0)</f>
        <v>0</v>
      </c>
      <c r="K334" s="384">
        <f>IFERROR(J334/SUM(E333:E339,J333:J339,O333:O338),0)</f>
        <v>0</v>
      </c>
      <c r="L334" s="439" t="str">
        <f>$L$5</f>
        <v>Depreciaciones</v>
      </c>
      <c r="M334" s="401">
        <f t="shared" si="71"/>
        <v>0</v>
      </c>
      <c r="N334" s="390">
        <f>M334*12/52</f>
        <v>0</v>
      </c>
      <c r="O334" s="383">
        <f>IFERROR(N334/SUM(PROD!L334:L340),0)</f>
        <v>0</v>
      </c>
      <c r="P334" s="384">
        <f>IFERROR(O334/SUM(E333:E339,J333:J339,O333:O338),0)</f>
        <v>0</v>
      </c>
      <c r="Q334" s="491" t="str">
        <f>$Q$5</f>
        <v>AAA</v>
      </c>
      <c r="R334" s="392">
        <f t="shared" si="69"/>
        <v>0</v>
      </c>
      <c r="S334" s="870">
        <f>SUM(PROD!AN334:AN340)</f>
        <v>0</v>
      </c>
      <c r="T334" s="492">
        <f>IF(AA333&gt;0,S334/AA333,0)</f>
        <v>0</v>
      </c>
      <c r="U334" s="493" t="str">
        <f>$U$5</f>
        <v>Prob Cásc</v>
      </c>
      <c r="V334" s="392">
        <f t="shared" si="70"/>
        <v>0</v>
      </c>
      <c r="W334" s="870">
        <f>SUM(PROD!AX334:AX340)</f>
        <v>0</v>
      </c>
      <c r="X334" s="492">
        <f>IFERROR(W334/(AA338-AA336),0)</f>
        <v>0</v>
      </c>
      <c r="Y334" s="395" t="s">
        <v>324</v>
      </c>
      <c r="Z334" s="396">
        <f>IFERROR(SUMPRODUCT(V333:V336,W333:W336)/SUM(W333:W336),0)</f>
        <v>0</v>
      </c>
      <c r="AA334" s="397">
        <f>SUM(W333:W336)</f>
        <v>0</v>
      </c>
      <c r="AB334" s="494">
        <f>IF(AA338&gt;0,AA334/AA338,0)</f>
        <v>0</v>
      </c>
    </row>
    <row r="335" spans="1:28" ht="15.75" customHeight="1" x14ac:dyDescent="0.3">
      <c r="A335" s="2301"/>
      <c r="B335" s="399" t="str">
        <f>$B$6</f>
        <v>Bandeja</v>
      </c>
      <c r="C335" s="400">
        <f>C328</f>
        <v>0</v>
      </c>
      <c r="D335" s="387">
        <f>C335*SUM(INVENTARIOS!R333:R339)</f>
        <v>0</v>
      </c>
      <c r="E335" s="383">
        <f>IFERROR(D335/SUM(PROD!L334:L340),0)</f>
        <v>0</v>
      </c>
      <c r="F335" s="384">
        <f>IFERROR(E335/SUM(E333:E339,J333:J339,O333:O338),0)</f>
        <v>0</v>
      </c>
      <c r="G335" s="439" t="str">
        <f>$G$13</f>
        <v>Arrendamientos</v>
      </c>
      <c r="H335" s="401">
        <f t="shared" si="68"/>
        <v>0</v>
      </c>
      <c r="I335" s="390">
        <f t="shared" si="66"/>
        <v>0</v>
      </c>
      <c r="J335" s="383">
        <f>IFERROR(I335/SUM(PROD!L334:L340),0)</f>
        <v>0</v>
      </c>
      <c r="K335" s="384">
        <f>IFERROR(J335/SUM(E333:E339,J333:J339,O333:O338),0)</f>
        <v>0</v>
      </c>
      <c r="L335" s="439" t="str">
        <f>$L$6</f>
        <v>Diversos</v>
      </c>
      <c r="M335" s="401">
        <f t="shared" si="71"/>
        <v>0</v>
      </c>
      <c r="N335" s="390">
        <f>M335*12/52</f>
        <v>0</v>
      </c>
      <c r="O335" s="383">
        <f>IFERROR(N335/SUM(PROD!L334:L340),0)</f>
        <v>0</v>
      </c>
      <c r="P335" s="384">
        <f>IFERROR(O335/SUM(E333:E339,J333:J339,O333:O338),0)</f>
        <v>0</v>
      </c>
      <c r="Q335" s="491" t="str">
        <f>$Q$6</f>
        <v>AA</v>
      </c>
      <c r="R335" s="392">
        <f t="shared" si="69"/>
        <v>0</v>
      </c>
      <c r="S335" s="870">
        <f>SUM(PROD!AO334:AO340)</f>
        <v>0</v>
      </c>
      <c r="T335" s="492">
        <f>IF(AA333&gt;0,S335/AA333,0)</f>
        <v>0</v>
      </c>
      <c r="U335" s="493" t="str">
        <f>$U$6</f>
        <v>Vencido</v>
      </c>
      <c r="V335" s="392">
        <f t="shared" si="70"/>
        <v>0</v>
      </c>
      <c r="W335" s="870">
        <f>SUM(PROD!AY334:AY340)</f>
        <v>0</v>
      </c>
      <c r="X335" s="492">
        <f>IFERROR(W335/(AA338-AA336),0)</f>
        <v>0</v>
      </c>
      <c r="Y335" s="402" t="s">
        <v>391</v>
      </c>
      <c r="Z335" s="456">
        <v>0</v>
      </c>
      <c r="AA335" s="720"/>
      <c r="AB335" s="495">
        <f>IF(AA338&gt;0,AA335/AA338,0)</f>
        <v>0</v>
      </c>
    </row>
    <row r="336" spans="1:28" ht="15.75" customHeight="1" x14ac:dyDescent="0.3">
      <c r="A336" s="2301"/>
      <c r="B336" s="438" t="str">
        <f>$B$7</f>
        <v>Mortalidad Aves</v>
      </c>
      <c r="C336" s="401">
        <f>IF(A333&lt;=$B$2,C334+$C$2,0)</f>
        <v>0</v>
      </c>
      <c r="D336" s="390">
        <f>C336*SUM(PROD!D334:D340)</f>
        <v>0</v>
      </c>
      <c r="E336" s="383">
        <f>IFERROR(D336/SUM(PROD!L334:L340),0)</f>
        <v>0</v>
      </c>
      <c r="F336" s="384">
        <f>IFERROR(E336/SUM(E333:E339,J333:J339,O333:O338),0)</f>
        <v>0</v>
      </c>
      <c r="G336" s="439" t="str">
        <f>$G$14</f>
        <v>Servicios Públicos</v>
      </c>
      <c r="H336" s="401">
        <f t="shared" si="68"/>
        <v>0</v>
      </c>
      <c r="I336" s="390">
        <f t="shared" si="66"/>
        <v>0</v>
      </c>
      <c r="J336" s="383">
        <f>IFERROR(I336/SUM(PROD!L334:L340),0)</f>
        <v>0</v>
      </c>
      <c r="K336" s="384">
        <f>IFERROR(J336/SUM(E333:E339,J333:J339,O333:O338),0)</f>
        <v>0</v>
      </c>
      <c r="L336" s="441" t="str">
        <f>$L$7</f>
        <v>Administrativos</v>
      </c>
      <c r="M336" s="401">
        <f t="shared" si="71"/>
        <v>0</v>
      </c>
      <c r="N336" s="404">
        <f>M336*0.230769230769231</f>
        <v>0</v>
      </c>
      <c r="O336" s="383">
        <f>IFERROR(N336/SUM(PROD!L334:L340),0)</f>
        <v>0</v>
      </c>
      <c r="P336" s="384">
        <f>IFERROR(O336/SUM(E333:E339,J333:J339,O333:O338),0)</f>
        <v>0</v>
      </c>
      <c r="Q336" s="491" t="str">
        <f>$Q$7</f>
        <v>A</v>
      </c>
      <c r="R336" s="392">
        <f t="shared" si="69"/>
        <v>0</v>
      </c>
      <c r="S336" s="870">
        <f>SUM(PROD!AP334:AP340)</f>
        <v>0</v>
      </c>
      <c r="T336" s="492">
        <f>IF(AA333&gt;0,S336/AA333,0)</f>
        <v>0</v>
      </c>
      <c r="U336" s="405" t="str">
        <f>$U$7</f>
        <v>Roto</v>
      </c>
      <c r="V336" s="406">
        <f t="shared" si="70"/>
        <v>0</v>
      </c>
      <c r="W336" s="872">
        <f>SUM(PROD!AZ334:AZ340)</f>
        <v>0</v>
      </c>
      <c r="X336" s="407">
        <f>IFERROR(W336/(AA338-AA336),0)</f>
        <v>0</v>
      </c>
      <c r="Y336" s="408" t="s">
        <v>359</v>
      </c>
      <c r="Z336" s="442">
        <v>215</v>
      </c>
      <c r="AA336" s="410">
        <f>SUM(PROD!L334:L340)-SUM(W333:W339)-SUM(S333:S339)-AA335</f>
        <v>0</v>
      </c>
      <c r="AB336" s="496">
        <f>IF(AA338&gt;0,AA336/AA338,0)</f>
        <v>0</v>
      </c>
    </row>
    <row r="337" spans="1:28" ht="15.75" customHeight="1" x14ac:dyDescent="0.3">
      <c r="A337" s="2301"/>
      <c r="B337" s="399" t="str">
        <f>$B$8</f>
        <v>Materia Prima (Carb Ca, etc.)</v>
      </c>
      <c r="C337" s="440">
        <f>C330</f>
        <v>0</v>
      </c>
      <c r="D337" s="387">
        <f>C337*12/52</f>
        <v>0</v>
      </c>
      <c r="E337" s="383">
        <f>IFERROR(D337/SUM(PROD!L334:L340),0)</f>
        <v>0</v>
      </c>
      <c r="F337" s="384">
        <f>IFERROR(E337/SUM(E333:E339,J333:J339,O333:O338),0)</f>
        <v>0</v>
      </c>
      <c r="G337" s="441" t="str">
        <f>$G$15</f>
        <v>Gastos Legales</v>
      </c>
      <c r="H337" s="401">
        <f t="shared" si="68"/>
        <v>0</v>
      </c>
      <c r="I337" s="390">
        <f t="shared" si="66"/>
        <v>0</v>
      </c>
      <c r="J337" s="383">
        <f>IFERROR(I337/SUM(PROD!L334:L340),0)</f>
        <v>0</v>
      </c>
      <c r="K337" s="384">
        <f>IFERROR(J337/SUM(E333:E339,J333:J339,O333:O338),0)</f>
        <v>0</v>
      </c>
      <c r="L337" s="439" t="str">
        <f>$L$8</f>
        <v>Fletes</v>
      </c>
      <c r="M337" s="401">
        <f t="shared" si="71"/>
        <v>0</v>
      </c>
      <c r="N337" s="404">
        <f>M337*0.230769230769231</f>
        <v>0</v>
      </c>
      <c r="O337" s="383">
        <f>IFERROR(N337/SUM(PROD!L334:L340),0)</f>
        <v>0</v>
      </c>
      <c r="P337" s="384">
        <f>IFERROR(O337/SUM(E333:E339,J333:J339,O333:O338),0)</f>
        <v>0</v>
      </c>
      <c r="Q337" s="491" t="str">
        <f>$Q$8</f>
        <v>B</v>
      </c>
      <c r="R337" s="392">
        <f t="shared" si="69"/>
        <v>0</v>
      </c>
      <c r="S337" s="870">
        <f>SUM(PROD!AQ334:AQ340)</f>
        <v>0</v>
      </c>
      <c r="T337" s="492">
        <f>IF(AA333&gt;0,S337/AA333,0)</f>
        <v>0</v>
      </c>
      <c r="U337" s="395" t="str">
        <f>$U$8</f>
        <v>Rev. Gr.</v>
      </c>
      <c r="V337" s="412">
        <f t="shared" si="70"/>
        <v>0</v>
      </c>
      <c r="W337" s="873">
        <f>SUM(PROD!AT334:AT340)</f>
        <v>0</v>
      </c>
      <c r="X337" s="413">
        <f>IFERROR(W337/(AA338-AA336),0)</f>
        <v>0</v>
      </c>
      <c r="Y337" s="414" t="s">
        <v>262</v>
      </c>
      <c r="Z337" s="415">
        <f>IFERROR(SUMPRODUCT(V337:V339,W337:W339)/SUM(W337:W339),0)</f>
        <v>0</v>
      </c>
      <c r="AA337" s="416">
        <f>SUM(W337:W339)</f>
        <v>0</v>
      </c>
      <c r="AB337" s="497">
        <f>IF(AA338&gt;0,AA337/AA338,0)</f>
        <v>0</v>
      </c>
    </row>
    <row r="338" spans="1:28" ht="15.75" customHeight="1" x14ac:dyDescent="0.3">
      <c r="A338" s="2301"/>
      <c r="B338" s="438" t="str">
        <f>$B$9</f>
        <v>Vacunas y medicamentos</v>
      </c>
      <c r="C338" s="443">
        <f>C331</f>
        <v>0</v>
      </c>
      <c r="D338" s="387">
        <f>C338*12/52</f>
        <v>0</v>
      </c>
      <c r="E338" s="383">
        <f>IFERROR(D338/SUM(PROD!L334:L340),0)</f>
        <v>0</v>
      </c>
      <c r="F338" s="384">
        <f>IFERROR(E338/SUM(E333:E339,J333:J339,O333:O338),0)</f>
        <v>0</v>
      </c>
      <c r="G338" s="441" t="str">
        <f>$G$16</f>
        <v>Mantenimiento y Reparaciones</v>
      </c>
      <c r="H338" s="401">
        <f t="shared" si="68"/>
        <v>0</v>
      </c>
      <c r="I338" s="390">
        <f t="shared" si="66"/>
        <v>0</v>
      </c>
      <c r="J338" s="383">
        <f>IFERROR(I338/SUM(PROD!L334:L340),0)</f>
        <v>0</v>
      </c>
      <c r="K338" s="384">
        <f>IFERROR(J338/SUM(E333:E339,J333:J339,O333:O338),0)</f>
        <v>0</v>
      </c>
      <c r="L338" s="439">
        <f>$L$9</f>
        <v>0</v>
      </c>
      <c r="M338" s="401">
        <f t="shared" si="71"/>
        <v>0</v>
      </c>
      <c r="N338" s="404">
        <f>M338*0.230769230769231</f>
        <v>0</v>
      </c>
      <c r="O338" s="383">
        <f>IFERROR(N338/SUM(PROD!L334:L340),0)</f>
        <v>0</v>
      </c>
      <c r="P338" s="384">
        <f>IFERROR(O338/SUM(E333:E339,J333:J339,O333:O338),0)</f>
        <v>0</v>
      </c>
      <c r="Q338" s="491" t="str">
        <f>$Q$9</f>
        <v>C</v>
      </c>
      <c r="R338" s="392">
        <f t="shared" si="69"/>
        <v>0</v>
      </c>
      <c r="S338" s="870">
        <f>SUM(PROD!AR334:AR340)</f>
        <v>0</v>
      </c>
      <c r="T338" s="492">
        <f>IF(AA333&gt;0,S338/AA333,0)</f>
        <v>0</v>
      </c>
      <c r="U338" s="493" t="str">
        <f>$U$9</f>
        <v>Rev. Med</v>
      </c>
      <c r="V338" s="392">
        <f t="shared" si="70"/>
        <v>0</v>
      </c>
      <c r="W338" s="870">
        <f>SUM(PROD!AU334:AU340)</f>
        <v>0</v>
      </c>
      <c r="X338" s="498">
        <f>IFERROR(W338/(AA338-AA336),0)</f>
        <v>0</v>
      </c>
      <c r="Y338" s="2303" t="s">
        <v>325</v>
      </c>
      <c r="Z338" s="2305">
        <f>SUMPRODUCT(Z333:Z337,AB333:AB337)</f>
        <v>0</v>
      </c>
      <c r="AA338" s="2307">
        <f>SUM(AA333:AA336)</f>
        <v>0</v>
      </c>
      <c r="AB338" s="2308"/>
    </row>
    <row r="339" spans="1:28" ht="16.5" customHeight="1" thickBot="1" x14ac:dyDescent="0.35">
      <c r="A339" s="2302"/>
      <c r="B339" s="444" t="str">
        <f>$B$10</f>
        <v>Gastos de Personal</v>
      </c>
      <c r="C339" s="445">
        <f>C332</f>
        <v>0</v>
      </c>
      <c r="D339" s="421">
        <f>C339*12/52</f>
        <v>0</v>
      </c>
      <c r="E339" s="446">
        <f>IFERROR(D339/SUM(PROD!L334:L340),0)</f>
        <v>0</v>
      </c>
      <c r="F339" s="447">
        <f>IFERROR(E339/SUM(E333:E339,J333:J339,O333:O338),0)</f>
        <v>0</v>
      </c>
      <c r="G339" s="448" t="str">
        <f>$G$17</f>
        <v>Adecuación Instalaciones</v>
      </c>
      <c r="H339" s="445">
        <f t="shared" si="68"/>
        <v>0</v>
      </c>
      <c r="I339" s="426">
        <f t="shared" si="66"/>
        <v>0</v>
      </c>
      <c r="J339" s="446">
        <f>IFERROR(I339/SUM(PROD!L334:L340),0)</f>
        <v>0</v>
      </c>
      <c r="K339" s="447">
        <f>IFERROR(J339/SUM(E333:E339,J333:J339,O333:O338),0)</f>
        <v>0</v>
      </c>
      <c r="L339" s="2311" t="str">
        <f>$L$10</f>
        <v>TOTAL COSTO PRODUCCIÓN</v>
      </c>
      <c r="M339" s="2312"/>
      <c r="N339" s="427">
        <f>SUM(D333:D339,I333:I339,N333:N338)</f>
        <v>0</v>
      </c>
      <c r="O339" s="449">
        <f>IFERROR(N339/SUM(PROD!L334:L340),0)</f>
        <v>0</v>
      </c>
      <c r="P339" s="447">
        <f>IFERROR(O339/SUM(E333:E339,J333:J339,O333:O338),0)</f>
        <v>0</v>
      </c>
      <c r="Q339" s="429" t="str">
        <f>$Q$10</f>
        <v>D</v>
      </c>
      <c r="R339" s="499">
        <f t="shared" si="69"/>
        <v>0</v>
      </c>
      <c r="S339" s="871">
        <f>SUM(PROD!AS334:AS340)</f>
        <v>0</v>
      </c>
      <c r="T339" s="431">
        <f>IF(AA333&gt;0,S339/AA333,0)</f>
        <v>0</v>
      </c>
      <c r="U339" s="432" t="str">
        <f>$U$10</f>
        <v>Rev. Peq</v>
      </c>
      <c r="V339" s="499">
        <f t="shared" si="70"/>
        <v>0</v>
      </c>
      <c r="W339" s="871">
        <f>SUM(PROD!AV334:AV340)</f>
        <v>0</v>
      </c>
      <c r="X339" s="431">
        <f>IFERROR(W339/(AA338-AA336),0)</f>
        <v>0</v>
      </c>
      <c r="Y339" s="2304"/>
      <c r="Z339" s="2306"/>
      <c r="AA339" s="2309"/>
      <c r="AB339" s="2310"/>
    </row>
    <row r="340" spans="1:28" ht="16.5" customHeight="1" x14ac:dyDescent="0.3">
      <c r="A340" s="2300">
        <f>A333+1</f>
        <v>66</v>
      </c>
      <c r="B340" s="433" t="str">
        <f>$B$4</f>
        <v>ALIMENTO Kilos</v>
      </c>
      <c r="C340" s="435">
        <f>LOOKUP($A340,PROD!$A$5:$A$725,PROD!$AH$10:$AH$730)</f>
        <v>0</v>
      </c>
      <c r="D340" s="368">
        <f>C340*LOOKUP($A340,'Pr-Sem'!$A$6:$A$108,'Pr-Sem'!$N$6:$N$108)/(PROD!$A$1/1000)</f>
        <v>0</v>
      </c>
      <c r="E340" s="369">
        <f>IFERROR(D340/SUM(PROD!L341:L347),0)</f>
        <v>0</v>
      </c>
      <c r="F340" s="370">
        <f>IFERROR(E340/SUM(E340:E346,J340:J346,O340:O345),0)</f>
        <v>0</v>
      </c>
      <c r="G340" s="434" t="str">
        <f>$G$11</f>
        <v>Honorarios</v>
      </c>
      <c r="H340" s="435">
        <f t="shared" si="68"/>
        <v>0</v>
      </c>
      <c r="I340" s="372">
        <f t="shared" si="66"/>
        <v>0</v>
      </c>
      <c r="J340" s="369">
        <f>IFERROR(I340/SUM(PROD!L341:L347),0)</f>
        <v>0</v>
      </c>
      <c r="K340" s="370">
        <f>IFERROR(J340/SUM(E340:E346,J340:J346,O340:O345),0)</f>
        <v>0</v>
      </c>
      <c r="L340" s="436" t="str">
        <f>$L$4</f>
        <v>Gastos de Viaje</v>
      </c>
      <c r="M340" s="435">
        <f t="shared" ref="M340:M345" si="72">M333</f>
        <v>0</v>
      </c>
      <c r="N340" s="372">
        <f>M340*12/52</f>
        <v>0</v>
      </c>
      <c r="O340" s="369">
        <f>IFERROR(N340/SUM(PROD!L341:L347),0)</f>
        <v>0</v>
      </c>
      <c r="P340" s="370">
        <f>IFERROR(O340/SUM(E340:E346,J340:J346,O340:O345),0)</f>
        <v>0</v>
      </c>
      <c r="Q340" s="373" t="str">
        <f>$Q$4</f>
        <v>AAAA</v>
      </c>
      <c r="R340" s="374">
        <f t="shared" si="69"/>
        <v>0</v>
      </c>
      <c r="S340" s="869">
        <f>SUM(PROD!AM341:AM347)</f>
        <v>0</v>
      </c>
      <c r="T340" s="375">
        <f>IF(AA340&gt;0,S340/AA340,0)</f>
        <v>0</v>
      </c>
      <c r="U340" s="376" t="str">
        <f>$U$4</f>
        <v>Prob Color</v>
      </c>
      <c r="V340" s="374">
        <f t="shared" si="70"/>
        <v>0</v>
      </c>
      <c r="W340" s="869">
        <f>SUM(PROD!AW341:AW347)</f>
        <v>0</v>
      </c>
      <c r="X340" s="375">
        <f>IFERROR(W340/(AA345-AA343),0)</f>
        <v>0</v>
      </c>
      <c r="Y340" s="377" t="s">
        <v>323</v>
      </c>
      <c r="Z340" s="378">
        <f>SUMPRODUCT(R340:R346,T340:T346)</f>
        <v>0</v>
      </c>
      <c r="AA340" s="379">
        <f>SUM(S340:S346)</f>
        <v>0</v>
      </c>
      <c r="AB340" s="490">
        <f>IF(AA345&gt;0,AA340/AA345,0)</f>
        <v>0</v>
      </c>
    </row>
    <row r="341" spans="1:28" ht="15.75" customHeight="1" x14ac:dyDescent="0.3">
      <c r="A341" s="2301"/>
      <c r="B341" s="438" t="str">
        <f>$B$5</f>
        <v>Amortización de Aves</v>
      </c>
      <c r="C341" s="381">
        <f>IFERROR((C334-(D341/'Pr-Sem'!$O$2)),0)</f>
        <v>0</v>
      </c>
      <c r="D341" s="382">
        <f>SUM(PROD!L341:L347)*E341</f>
        <v>0</v>
      </c>
      <c r="E341" s="383">
        <f>IF(SUM(PROD!L341:L347)&gt;0,IFERROR(($C$1-$C$2)/LOOKUP($B$2,'Pr-Sem'!$A$6:$A$108,'Pr-Sem'!$L$6:$L$108)*(LOOKUP(INVENTARIOS!$A340,'Pr-Sem'!$A$6:$A$108,'Pr-Sem'!$L$6:$L$108)-LOOKUP(INVENTARIOS!$A340-1,'Pr-Sem'!$A$6:$A$108,'Pr-Sem'!$L$6:$L$108))/(LOOKUP(INVENTARIOS!$A340,'Pr-Sem'!$A$6:$A$108,'Pr-Sem'!$K$6:$K$108)-LOOKUP(INVENTARIOS!$A340-1,'Pr-Sem'!$A$6:$A$108,'Pr-Sem'!$K$6:$K$108)),0),0)</f>
        <v>0</v>
      </c>
      <c r="F341" s="384">
        <f>IFERROR(E341/SUM(E340:E346,J340:J346,O340:O345),0)</f>
        <v>0</v>
      </c>
      <c r="G341" s="439" t="str">
        <f>$G$12</f>
        <v>Impuestos</v>
      </c>
      <c r="H341" s="440">
        <f t="shared" si="68"/>
        <v>0</v>
      </c>
      <c r="I341" s="387">
        <f t="shared" si="66"/>
        <v>0</v>
      </c>
      <c r="J341" s="383">
        <f>IFERROR(I341/SUM(PROD!L341:L347),0)</f>
        <v>0</v>
      </c>
      <c r="K341" s="384">
        <f>IFERROR(J341/SUM(E340:E346,J340:J346,O340:O345),0)</f>
        <v>0</v>
      </c>
      <c r="L341" s="439" t="str">
        <f>$L$5</f>
        <v>Depreciaciones</v>
      </c>
      <c r="M341" s="401">
        <f t="shared" si="72"/>
        <v>0</v>
      </c>
      <c r="N341" s="390">
        <f>M341*12/52</f>
        <v>0</v>
      </c>
      <c r="O341" s="383">
        <f>IFERROR(N341/SUM(PROD!L341:L347),0)</f>
        <v>0</v>
      </c>
      <c r="P341" s="384">
        <f>IFERROR(O341/SUM(E340:E346,J340:J346,O340:O345),0)</f>
        <v>0</v>
      </c>
      <c r="Q341" s="491" t="str">
        <f>$Q$5</f>
        <v>AAA</v>
      </c>
      <c r="R341" s="392">
        <f t="shared" si="69"/>
        <v>0</v>
      </c>
      <c r="S341" s="870">
        <f>SUM(PROD!AN341:AN347)</f>
        <v>0</v>
      </c>
      <c r="T341" s="492">
        <f>IF(AA340&gt;0,S341/AA340,0)</f>
        <v>0</v>
      </c>
      <c r="U341" s="493" t="str">
        <f>$U$5</f>
        <v>Prob Cásc</v>
      </c>
      <c r="V341" s="392">
        <f t="shared" si="70"/>
        <v>0</v>
      </c>
      <c r="W341" s="870">
        <f>SUM(PROD!AX341:AX347)</f>
        <v>0</v>
      </c>
      <c r="X341" s="492">
        <f>IFERROR(W341/(AA345-AA343),0)</f>
        <v>0</v>
      </c>
      <c r="Y341" s="395" t="s">
        <v>324</v>
      </c>
      <c r="Z341" s="396">
        <f>IFERROR(SUMPRODUCT(V340:V343,W340:W343)/SUM(W340:W343),0)</f>
        <v>0</v>
      </c>
      <c r="AA341" s="397">
        <f>SUM(W340:W343)</f>
        <v>0</v>
      </c>
      <c r="AB341" s="494">
        <f>IF(AA345&gt;0,AA341/AA345,0)</f>
        <v>0</v>
      </c>
    </row>
    <row r="342" spans="1:28" ht="15.75" customHeight="1" x14ac:dyDescent="0.3">
      <c r="A342" s="2301"/>
      <c r="B342" s="399" t="str">
        <f>$B$6</f>
        <v>Bandeja</v>
      </c>
      <c r="C342" s="400">
        <f>C335</f>
        <v>0</v>
      </c>
      <c r="D342" s="387">
        <f>C342*SUM(INVENTARIOS!R340:R346)</f>
        <v>0</v>
      </c>
      <c r="E342" s="383">
        <f>IFERROR(D342/SUM(PROD!L341:L347),0)</f>
        <v>0</v>
      </c>
      <c r="F342" s="384">
        <f>IFERROR(E342/SUM(E340:E346,J340:J346,O340:O345),0)</f>
        <v>0</v>
      </c>
      <c r="G342" s="439" t="str">
        <f>$G$13</f>
        <v>Arrendamientos</v>
      </c>
      <c r="H342" s="401">
        <f t="shared" si="68"/>
        <v>0</v>
      </c>
      <c r="I342" s="390">
        <f t="shared" si="66"/>
        <v>0</v>
      </c>
      <c r="J342" s="383">
        <f>IFERROR(I342/SUM(PROD!L341:L347),0)</f>
        <v>0</v>
      </c>
      <c r="K342" s="384">
        <f>IFERROR(J342/SUM(E340:E346,J340:J346,O340:O345),0)</f>
        <v>0</v>
      </c>
      <c r="L342" s="439" t="str">
        <f>$L$6</f>
        <v>Diversos</v>
      </c>
      <c r="M342" s="401">
        <f t="shared" si="72"/>
        <v>0</v>
      </c>
      <c r="N342" s="390">
        <f>M342*12/52</f>
        <v>0</v>
      </c>
      <c r="O342" s="383">
        <f>IFERROR(N342/SUM(PROD!L341:L347),0)</f>
        <v>0</v>
      </c>
      <c r="P342" s="384">
        <f>IFERROR(O342/SUM(E340:E346,J340:J346,O340:O345),0)</f>
        <v>0</v>
      </c>
      <c r="Q342" s="491" t="str">
        <f>$Q$6</f>
        <v>AA</v>
      </c>
      <c r="R342" s="392">
        <f t="shared" si="69"/>
        <v>0</v>
      </c>
      <c r="S342" s="870">
        <f>SUM(PROD!AO341:AO347)</f>
        <v>0</v>
      </c>
      <c r="T342" s="492">
        <f>IF(AA340&gt;0,S342/AA340,0)</f>
        <v>0</v>
      </c>
      <c r="U342" s="493" t="str">
        <f>$U$6</f>
        <v>Vencido</v>
      </c>
      <c r="V342" s="392">
        <f t="shared" si="70"/>
        <v>0</v>
      </c>
      <c r="W342" s="870">
        <f>SUM(PROD!AY341:AY347)</f>
        <v>0</v>
      </c>
      <c r="X342" s="492">
        <f>IFERROR(W342/(AA345-AA343),0)</f>
        <v>0</v>
      </c>
      <c r="Y342" s="402" t="s">
        <v>391</v>
      </c>
      <c r="Z342" s="456">
        <v>0</v>
      </c>
      <c r="AA342" s="720"/>
      <c r="AB342" s="495">
        <f>IF(AA345&gt;0,AA342/AA345,0)</f>
        <v>0</v>
      </c>
    </row>
    <row r="343" spans="1:28" ht="15.75" customHeight="1" x14ac:dyDescent="0.3">
      <c r="A343" s="2301"/>
      <c r="B343" s="438" t="str">
        <f>$B$7</f>
        <v>Mortalidad Aves</v>
      </c>
      <c r="C343" s="401">
        <f>IF(A340&lt;=$B$2,C341+$C$2,0)</f>
        <v>0</v>
      </c>
      <c r="D343" s="390">
        <f>C343*SUM(PROD!D341:D347)</f>
        <v>0</v>
      </c>
      <c r="E343" s="383">
        <f>IFERROR(D343/SUM(PROD!L341:L347),0)</f>
        <v>0</v>
      </c>
      <c r="F343" s="384">
        <f>IFERROR(E343/SUM(E340:E346,J340:J346,O340:O345),0)</f>
        <v>0</v>
      </c>
      <c r="G343" s="439" t="str">
        <f>$G$14</f>
        <v>Servicios Públicos</v>
      </c>
      <c r="H343" s="401">
        <f t="shared" si="68"/>
        <v>0</v>
      </c>
      <c r="I343" s="390">
        <f t="shared" si="66"/>
        <v>0</v>
      </c>
      <c r="J343" s="383">
        <f>IFERROR(I343/SUM(PROD!L341:L347),0)</f>
        <v>0</v>
      </c>
      <c r="K343" s="384">
        <f>IFERROR(J343/SUM(E340:E346,J340:J346,O340:O345),0)</f>
        <v>0</v>
      </c>
      <c r="L343" s="441" t="str">
        <f>$L$7</f>
        <v>Administrativos</v>
      </c>
      <c r="M343" s="401">
        <f t="shared" si="72"/>
        <v>0</v>
      </c>
      <c r="N343" s="404">
        <f>M343*0.230769230769231</f>
        <v>0</v>
      </c>
      <c r="O343" s="383">
        <f>IFERROR(N343/SUM(PROD!L341:L347),0)</f>
        <v>0</v>
      </c>
      <c r="P343" s="384">
        <f>IFERROR(O343/SUM(E340:E346,J340:J346,O340:O345),0)</f>
        <v>0</v>
      </c>
      <c r="Q343" s="491" t="str">
        <f>$Q$7</f>
        <v>A</v>
      </c>
      <c r="R343" s="392">
        <f t="shared" si="69"/>
        <v>0</v>
      </c>
      <c r="S343" s="870">
        <f>SUM(PROD!AP341:AP347)</f>
        <v>0</v>
      </c>
      <c r="T343" s="492">
        <f>IF(AA340&gt;0,S343/AA340,0)</f>
        <v>0</v>
      </c>
      <c r="U343" s="405" t="str">
        <f>$U$7</f>
        <v>Roto</v>
      </c>
      <c r="V343" s="406">
        <f t="shared" si="70"/>
        <v>0</v>
      </c>
      <c r="W343" s="872">
        <f>SUM(PROD!AZ341:AZ347)</f>
        <v>0</v>
      </c>
      <c r="X343" s="407">
        <f>IFERROR(W343/(AA345-AA343),0)</f>
        <v>0</v>
      </c>
      <c r="Y343" s="408" t="s">
        <v>359</v>
      </c>
      <c r="Z343" s="442">
        <v>215</v>
      </c>
      <c r="AA343" s="410">
        <f>SUM(PROD!L341:L347)-SUM(W340:W346)-SUM(S340:S346)-AA342</f>
        <v>0</v>
      </c>
      <c r="AB343" s="496">
        <f>IF(AA345&gt;0,AA343/AA345,0)</f>
        <v>0</v>
      </c>
    </row>
    <row r="344" spans="1:28" ht="15.75" customHeight="1" x14ac:dyDescent="0.3">
      <c r="A344" s="2301"/>
      <c r="B344" s="399" t="str">
        <f>$B$8</f>
        <v>Materia Prima (Carb Ca, etc.)</v>
      </c>
      <c r="C344" s="440">
        <f>C337</f>
        <v>0</v>
      </c>
      <c r="D344" s="387">
        <f>C344*12/52</f>
        <v>0</v>
      </c>
      <c r="E344" s="383">
        <f>IFERROR(D344/SUM(PROD!L341:L347),0)</f>
        <v>0</v>
      </c>
      <c r="F344" s="384">
        <f>IFERROR(E344/SUM(E340:E346,J340:J346,O340:O345),0)</f>
        <v>0</v>
      </c>
      <c r="G344" s="441" t="str">
        <f>$G$15</f>
        <v>Gastos Legales</v>
      </c>
      <c r="H344" s="401">
        <f t="shared" si="68"/>
        <v>0</v>
      </c>
      <c r="I344" s="390">
        <f t="shared" si="66"/>
        <v>0</v>
      </c>
      <c r="J344" s="383">
        <f>IFERROR(I344/SUM(PROD!L341:L347),0)</f>
        <v>0</v>
      </c>
      <c r="K344" s="384">
        <f>IFERROR(J344/SUM(E340:E346,J340:J346,O340:O345),0)</f>
        <v>0</v>
      </c>
      <c r="L344" s="439" t="str">
        <f>$L$8</f>
        <v>Fletes</v>
      </c>
      <c r="M344" s="401">
        <f t="shared" si="72"/>
        <v>0</v>
      </c>
      <c r="N344" s="404">
        <f>M344*0.230769230769231</f>
        <v>0</v>
      </c>
      <c r="O344" s="383">
        <f>IFERROR(N344/SUM(PROD!L341:L347),0)</f>
        <v>0</v>
      </c>
      <c r="P344" s="384">
        <f>IFERROR(O344/SUM(E340:E346,J340:J346,O340:O345),0)</f>
        <v>0</v>
      </c>
      <c r="Q344" s="491" t="str">
        <f>$Q$8</f>
        <v>B</v>
      </c>
      <c r="R344" s="392">
        <f t="shared" si="69"/>
        <v>0</v>
      </c>
      <c r="S344" s="870">
        <f>SUM(PROD!AQ341:AQ347)</f>
        <v>0</v>
      </c>
      <c r="T344" s="492">
        <f>IF(AA340&gt;0,S344/AA340,0)</f>
        <v>0</v>
      </c>
      <c r="U344" s="395" t="str">
        <f>$U$8</f>
        <v>Rev. Gr.</v>
      </c>
      <c r="V344" s="412">
        <f t="shared" si="70"/>
        <v>0</v>
      </c>
      <c r="W344" s="873">
        <f>SUM(PROD!AT341:AT347)</f>
        <v>0</v>
      </c>
      <c r="X344" s="413">
        <f>IFERROR(W344/(AA345-AA343),0)</f>
        <v>0</v>
      </c>
      <c r="Y344" s="414" t="s">
        <v>262</v>
      </c>
      <c r="Z344" s="415">
        <f>IFERROR(SUMPRODUCT(V344:V346,W344:W346)/SUM(W344:W346),0)</f>
        <v>0</v>
      </c>
      <c r="AA344" s="416">
        <f>SUM(W344:W346)</f>
        <v>0</v>
      </c>
      <c r="AB344" s="497">
        <f>IF(AA345&gt;0,AA344/AA345,0)</f>
        <v>0</v>
      </c>
    </row>
    <row r="345" spans="1:28" ht="15.75" customHeight="1" x14ac:dyDescent="0.3">
      <c r="A345" s="2301"/>
      <c r="B345" s="438" t="str">
        <f>$B$9</f>
        <v>Vacunas y medicamentos</v>
      </c>
      <c r="C345" s="443">
        <f>C338</f>
        <v>0</v>
      </c>
      <c r="D345" s="387">
        <f>C345*12/52</f>
        <v>0</v>
      </c>
      <c r="E345" s="383">
        <f>IFERROR(D345/SUM(PROD!L341:L347),0)</f>
        <v>0</v>
      </c>
      <c r="F345" s="384">
        <f>IFERROR(E345/SUM(E340:E346,J340:J346,O340:O345),0)</f>
        <v>0</v>
      </c>
      <c r="G345" s="441" t="str">
        <f>$G$16</f>
        <v>Mantenimiento y Reparaciones</v>
      </c>
      <c r="H345" s="401">
        <f t="shared" si="68"/>
        <v>0</v>
      </c>
      <c r="I345" s="390">
        <f t="shared" si="66"/>
        <v>0</v>
      </c>
      <c r="J345" s="383">
        <f>IFERROR(I345/SUM(PROD!L341:L347),0)</f>
        <v>0</v>
      </c>
      <c r="K345" s="384">
        <f>IFERROR(J345/SUM(E340:E346,J340:J346,O340:O345),0)</f>
        <v>0</v>
      </c>
      <c r="L345" s="439">
        <f>$L$9</f>
        <v>0</v>
      </c>
      <c r="M345" s="401">
        <f t="shared" si="72"/>
        <v>0</v>
      </c>
      <c r="N345" s="404">
        <f>M345*0.230769230769231</f>
        <v>0</v>
      </c>
      <c r="O345" s="383">
        <f>IFERROR(N345/SUM(PROD!L341:L347),0)</f>
        <v>0</v>
      </c>
      <c r="P345" s="384">
        <f>IFERROR(O345/SUM(E340:E346,J340:J346,O340:O345),0)</f>
        <v>0</v>
      </c>
      <c r="Q345" s="491" t="str">
        <f>$Q$9</f>
        <v>C</v>
      </c>
      <c r="R345" s="392">
        <f t="shared" si="69"/>
        <v>0</v>
      </c>
      <c r="S345" s="870">
        <f>SUM(PROD!AR341:AR347)</f>
        <v>0</v>
      </c>
      <c r="T345" s="492">
        <f>IF(AA340&gt;0,S345/AA340,0)</f>
        <v>0</v>
      </c>
      <c r="U345" s="493" t="str">
        <f>$U$9</f>
        <v>Rev. Med</v>
      </c>
      <c r="V345" s="392">
        <f t="shared" si="70"/>
        <v>0</v>
      </c>
      <c r="W345" s="870">
        <f>SUM(PROD!AU341:AU347)</f>
        <v>0</v>
      </c>
      <c r="X345" s="498">
        <f>IFERROR(W345/(AA345-AA343),0)</f>
        <v>0</v>
      </c>
      <c r="Y345" s="2303" t="s">
        <v>325</v>
      </c>
      <c r="Z345" s="2305">
        <f>SUMPRODUCT(Z340:Z344,AB340:AB344)</f>
        <v>0</v>
      </c>
      <c r="AA345" s="2307">
        <f>SUM(AA340:AA343)</f>
        <v>0</v>
      </c>
      <c r="AB345" s="2308"/>
    </row>
    <row r="346" spans="1:28" ht="16.5" customHeight="1" thickBot="1" x14ac:dyDescent="0.35">
      <c r="A346" s="2302"/>
      <c r="B346" s="444" t="str">
        <f>$B$10</f>
        <v>Gastos de Personal</v>
      </c>
      <c r="C346" s="445">
        <f>C339</f>
        <v>0</v>
      </c>
      <c r="D346" s="421">
        <f>C346*12/52</f>
        <v>0</v>
      </c>
      <c r="E346" s="446">
        <f>IFERROR(D346/SUM(PROD!L341:L347),0)</f>
        <v>0</v>
      </c>
      <c r="F346" s="447">
        <f>IFERROR(E346/SUM(E340:E346,J340:J346,O340:O345),0)</f>
        <v>0</v>
      </c>
      <c r="G346" s="448" t="str">
        <f>$G$17</f>
        <v>Adecuación Instalaciones</v>
      </c>
      <c r="H346" s="445">
        <f t="shared" si="68"/>
        <v>0</v>
      </c>
      <c r="I346" s="426">
        <f t="shared" si="66"/>
        <v>0</v>
      </c>
      <c r="J346" s="446">
        <f>IFERROR(I346/SUM(PROD!L341:L347),0)</f>
        <v>0</v>
      </c>
      <c r="K346" s="447">
        <f>IFERROR(J346/SUM(E340:E346,J340:J346,O340:O345),0)</f>
        <v>0</v>
      </c>
      <c r="L346" s="2311" t="str">
        <f>$L$10</f>
        <v>TOTAL COSTO PRODUCCIÓN</v>
      </c>
      <c r="M346" s="2312"/>
      <c r="N346" s="427">
        <f>SUM(D340:D346,I340:I346,N340:N345)</f>
        <v>0</v>
      </c>
      <c r="O346" s="449">
        <f>IFERROR(N346/SUM(PROD!L341:L347),0)</f>
        <v>0</v>
      </c>
      <c r="P346" s="447">
        <f>IFERROR(O346/SUM(E340:E346,J340:J346,O340:O345),0)</f>
        <v>0</v>
      </c>
      <c r="Q346" s="429" t="str">
        <f>$Q$10</f>
        <v>D</v>
      </c>
      <c r="R346" s="499">
        <f t="shared" si="69"/>
        <v>0</v>
      </c>
      <c r="S346" s="871">
        <f>SUM(PROD!AS341:AS347)</f>
        <v>0</v>
      </c>
      <c r="T346" s="431">
        <f>IF(AA340&gt;0,S346/AA340,0)</f>
        <v>0</v>
      </c>
      <c r="U346" s="432" t="str">
        <f>$U$10</f>
        <v>Rev. Peq</v>
      </c>
      <c r="V346" s="499">
        <f t="shared" si="70"/>
        <v>0</v>
      </c>
      <c r="W346" s="871">
        <f>SUM(PROD!AV341:AV347)</f>
        <v>0</v>
      </c>
      <c r="X346" s="431">
        <f>IFERROR(W346/(AA345-AA343),0)</f>
        <v>0</v>
      </c>
      <c r="Y346" s="2304"/>
      <c r="Z346" s="2306"/>
      <c r="AA346" s="2309"/>
      <c r="AB346" s="2310"/>
    </row>
    <row r="347" spans="1:28" ht="16.5" customHeight="1" x14ac:dyDescent="0.3">
      <c r="A347" s="2300">
        <f>A340+1</f>
        <v>67</v>
      </c>
      <c r="B347" s="433" t="str">
        <f>$B$4</f>
        <v>ALIMENTO Kilos</v>
      </c>
      <c r="C347" s="435">
        <f>LOOKUP($A347,PROD!$A$5:$A$725,PROD!$AH$10:$AH$730)</f>
        <v>0</v>
      </c>
      <c r="D347" s="368">
        <f>C347*LOOKUP($A347,'Pr-Sem'!$A$6:$A$108,'Pr-Sem'!$N$6:$N$108)/(PROD!$A$1/1000)</f>
        <v>0</v>
      </c>
      <c r="E347" s="369">
        <f>IFERROR(D347/SUM(PROD!L348:L354),0)</f>
        <v>0</v>
      </c>
      <c r="F347" s="370">
        <f>IFERROR(E347/SUM(E347:E353,J347:J353,O347:O352),0)</f>
        <v>0</v>
      </c>
      <c r="G347" s="434" t="str">
        <f>$G$11</f>
        <v>Honorarios</v>
      </c>
      <c r="H347" s="435">
        <f t="shared" si="68"/>
        <v>0</v>
      </c>
      <c r="I347" s="372">
        <f t="shared" si="66"/>
        <v>0</v>
      </c>
      <c r="J347" s="369">
        <f>IFERROR(I347/SUM(PROD!L348:L354),0)</f>
        <v>0</v>
      </c>
      <c r="K347" s="370">
        <f>IFERROR(J347/SUM(E347:E353,J347:J353,O347:O352),0)</f>
        <v>0</v>
      </c>
      <c r="L347" s="436" t="str">
        <f>$L$4</f>
        <v>Gastos de Viaje</v>
      </c>
      <c r="M347" s="435">
        <f t="shared" ref="M347:M352" si="73">M340</f>
        <v>0</v>
      </c>
      <c r="N347" s="372">
        <f>M347*12/52</f>
        <v>0</v>
      </c>
      <c r="O347" s="369">
        <f>IFERROR(N347/SUM(PROD!L348:L354),0)</f>
        <v>0</v>
      </c>
      <c r="P347" s="370">
        <f>IFERROR(O347/SUM(E347:E353,J347:J353,O347:O352),0)</f>
        <v>0</v>
      </c>
      <c r="Q347" s="373" t="str">
        <f>$Q$4</f>
        <v>AAAA</v>
      </c>
      <c r="R347" s="374">
        <f t="shared" si="69"/>
        <v>0</v>
      </c>
      <c r="S347" s="869">
        <f>SUM(PROD!AM348:AM354)</f>
        <v>0</v>
      </c>
      <c r="T347" s="375">
        <f>IF(AA347&gt;0,S347/AA347,0)</f>
        <v>0</v>
      </c>
      <c r="U347" s="376" t="str">
        <f>$U$4</f>
        <v>Prob Color</v>
      </c>
      <c r="V347" s="374">
        <f t="shared" si="70"/>
        <v>0</v>
      </c>
      <c r="W347" s="869">
        <f>SUM(PROD!AW348:AW354)</f>
        <v>0</v>
      </c>
      <c r="X347" s="375">
        <f>IFERROR(W347/(AA352-AA350),0)</f>
        <v>0</v>
      </c>
      <c r="Y347" s="377" t="s">
        <v>323</v>
      </c>
      <c r="Z347" s="378">
        <f>SUMPRODUCT(R347:R353,T347:T353)</f>
        <v>0</v>
      </c>
      <c r="AA347" s="379">
        <f>SUM(S347:S353)</f>
        <v>0</v>
      </c>
      <c r="AB347" s="490">
        <f>IF(AA352&gt;0,AA347/AA352,0)</f>
        <v>0</v>
      </c>
    </row>
    <row r="348" spans="1:28" ht="15.75" customHeight="1" x14ac:dyDescent="0.3">
      <c r="A348" s="2301"/>
      <c r="B348" s="438" t="str">
        <f>$B$5</f>
        <v>Amortización de Aves</v>
      </c>
      <c r="C348" s="381">
        <f>IFERROR((C341-(D348/'Pr-Sem'!$O$2)),0)</f>
        <v>0</v>
      </c>
      <c r="D348" s="382">
        <f>SUM(PROD!L348:L354)*E348</f>
        <v>0</v>
      </c>
      <c r="E348" s="383">
        <f>IF(SUM(PROD!L348:L354)&gt;0,IFERROR(($C$1-$C$2)/LOOKUP($B$2,'Pr-Sem'!$A$6:$A$108,'Pr-Sem'!$L$6:$L$108)*(LOOKUP(INVENTARIOS!$A347,'Pr-Sem'!$A$6:$A$108,'Pr-Sem'!$L$6:$L$108)-LOOKUP(INVENTARIOS!$A347-1,'Pr-Sem'!$A$6:$A$108,'Pr-Sem'!$L$6:$L$108))/(LOOKUP(INVENTARIOS!$A347,'Pr-Sem'!$A$6:$A$108,'Pr-Sem'!$K$6:$K$108)-LOOKUP(INVENTARIOS!$A347-1,'Pr-Sem'!$A$6:$A$108,'Pr-Sem'!$K$6:$K$108)),0),0)</f>
        <v>0</v>
      </c>
      <c r="F348" s="384">
        <f>IFERROR(E348/SUM(E347:E353,J347:J353,O347:O352),0)</f>
        <v>0</v>
      </c>
      <c r="G348" s="439" t="str">
        <f>$G$12</f>
        <v>Impuestos</v>
      </c>
      <c r="H348" s="440">
        <f t="shared" si="68"/>
        <v>0</v>
      </c>
      <c r="I348" s="387">
        <f t="shared" si="66"/>
        <v>0</v>
      </c>
      <c r="J348" s="383">
        <f>IFERROR(I348/SUM(PROD!L348:L354),0)</f>
        <v>0</v>
      </c>
      <c r="K348" s="384">
        <f>IFERROR(J348/SUM(E347:E353,J347:J353,O347:O352),0)</f>
        <v>0</v>
      </c>
      <c r="L348" s="439" t="str">
        <f>$L$5</f>
        <v>Depreciaciones</v>
      </c>
      <c r="M348" s="401">
        <f t="shared" si="73"/>
        <v>0</v>
      </c>
      <c r="N348" s="390">
        <f>M348*12/52</f>
        <v>0</v>
      </c>
      <c r="O348" s="383">
        <f>IFERROR(N348/SUM(PROD!L348:L354),0)</f>
        <v>0</v>
      </c>
      <c r="P348" s="384">
        <f>IFERROR(O348/SUM(E347:E353,J347:J353,O347:O352),0)</f>
        <v>0</v>
      </c>
      <c r="Q348" s="491" t="str">
        <f>$Q$5</f>
        <v>AAA</v>
      </c>
      <c r="R348" s="392">
        <f t="shared" si="69"/>
        <v>0</v>
      </c>
      <c r="S348" s="870">
        <f>SUM(PROD!AN348:AN354)</f>
        <v>0</v>
      </c>
      <c r="T348" s="492">
        <f>IF(AA347&gt;0,S348/AA347,0)</f>
        <v>0</v>
      </c>
      <c r="U348" s="493" t="str">
        <f>$U$5</f>
        <v>Prob Cásc</v>
      </c>
      <c r="V348" s="392">
        <f t="shared" si="70"/>
        <v>0</v>
      </c>
      <c r="W348" s="870">
        <f>SUM(PROD!AX348:AX354)</f>
        <v>0</v>
      </c>
      <c r="X348" s="492">
        <f>IFERROR(W348/(AA352-AA350),0)</f>
        <v>0</v>
      </c>
      <c r="Y348" s="395" t="s">
        <v>324</v>
      </c>
      <c r="Z348" s="396">
        <f>IFERROR(SUMPRODUCT(V347:V350,W347:W350)/SUM(W347:W350),0)</f>
        <v>0</v>
      </c>
      <c r="AA348" s="397">
        <f>SUM(W347:W350)</f>
        <v>0</v>
      </c>
      <c r="AB348" s="494">
        <f>IF(AA352&gt;0,AA348/AA352,0)</f>
        <v>0</v>
      </c>
    </row>
    <row r="349" spans="1:28" ht="15.75" customHeight="1" x14ac:dyDescent="0.3">
      <c r="A349" s="2301"/>
      <c r="B349" s="399" t="str">
        <f>$B$6</f>
        <v>Bandeja</v>
      </c>
      <c r="C349" s="400">
        <f>C342</f>
        <v>0</v>
      </c>
      <c r="D349" s="387">
        <f>C349*SUM(INVENTARIOS!R347:R353)</f>
        <v>0</v>
      </c>
      <c r="E349" s="383">
        <f>IFERROR(D349/SUM(PROD!L348:L354),0)</f>
        <v>0</v>
      </c>
      <c r="F349" s="384">
        <f>IFERROR(E349/SUM(E347:E353,J347:J353,O347:O352),0)</f>
        <v>0</v>
      </c>
      <c r="G349" s="439" t="str">
        <f>$G$13</f>
        <v>Arrendamientos</v>
      </c>
      <c r="H349" s="401">
        <f t="shared" si="68"/>
        <v>0</v>
      </c>
      <c r="I349" s="390">
        <f t="shared" si="66"/>
        <v>0</v>
      </c>
      <c r="J349" s="383">
        <f>IFERROR(I349/SUM(PROD!L348:L354),0)</f>
        <v>0</v>
      </c>
      <c r="K349" s="384">
        <f>IFERROR(J349/SUM(E347:E353,J347:J353,O347:O352),0)</f>
        <v>0</v>
      </c>
      <c r="L349" s="439" t="str">
        <f>$L$6</f>
        <v>Diversos</v>
      </c>
      <c r="M349" s="401">
        <f t="shared" si="73"/>
        <v>0</v>
      </c>
      <c r="N349" s="390">
        <f>M349*12/52</f>
        <v>0</v>
      </c>
      <c r="O349" s="383">
        <f>IFERROR(N349/SUM(PROD!L348:L354),0)</f>
        <v>0</v>
      </c>
      <c r="P349" s="384">
        <f>IFERROR(O349/SUM(E347:E353,J347:J353,O347:O352),0)</f>
        <v>0</v>
      </c>
      <c r="Q349" s="491" t="str">
        <f>$Q$6</f>
        <v>AA</v>
      </c>
      <c r="R349" s="392">
        <f t="shared" si="69"/>
        <v>0</v>
      </c>
      <c r="S349" s="870">
        <f>SUM(PROD!AO348:AO354)</f>
        <v>0</v>
      </c>
      <c r="T349" s="492">
        <f>IF(AA347&gt;0,S349/AA347,0)</f>
        <v>0</v>
      </c>
      <c r="U349" s="493" t="str">
        <f>$U$6</f>
        <v>Vencido</v>
      </c>
      <c r="V349" s="392">
        <f t="shared" si="70"/>
        <v>0</v>
      </c>
      <c r="W349" s="870">
        <f>SUM(PROD!AY348:AY354)</f>
        <v>0</v>
      </c>
      <c r="X349" s="492">
        <f>IFERROR(W349/(AA352-AA350),0)</f>
        <v>0</v>
      </c>
      <c r="Y349" s="402" t="s">
        <v>391</v>
      </c>
      <c r="Z349" s="456">
        <v>0</v>
      </c>
      <c r="AA349" s="720"/>
      <c r="AB349" s="495">
        <f>IF(AA352&gt;0,AA349/AA352,0)</f>
        <v>0</v>
      </c>
    </row>
    <row r="350" spans="1:28" ht="15.75" customHeight="1" x14ac:dyDescent="0.3">
      <c r="A350" s="2301"/>
      <c r="B350" s="438" t="str">
        <f>$B$7</f>
        <v>Mortalidad Aves</v>
      </c>
      <c r="C350" s="401">
        <f>IF(A347&lt;=$B$2,C348+$C$2,0)</f>
        <v>0</v>
      </c>
      <c r="D350" s="390">
        <f>C350*SUM(PROD!D348:D354)</f>
        <v>0</v>
      </c>
      <c r="E350" s="383">
        <f>IFERROR(D350/SUM(PROD!L348:L354),0)</f>
        <v>0</v>
      </c>
      <c r="F350" s="384">
        <f>IFERROR(E350/SUM(E347:E353,J347:J353,O347:O352),0)</f>
        <v>0</v>
      </c>
      <c r="G350" s="439" t="str">
        <f>$G$14</f>
        <v>Servicios Públicos</v>
      </c>
      <c r="H350" s="401">
        <f t="shared" si="68"/>
        <v>0</v>
      </c>
      <c r="I350" s="390">
        <f t="shared" si="66"/>
        <v>0</v>
      </c>
      <c r="J350" s="383">
        <f>IFERROR(I350/SUM(PROD!L348:L354),0)</f>
        <v>0</v>
      </c>
      <c r="K350" s="384">
        <f>IFERROR(J350/SUM(E347:E353,J347:J353,O347:O352),0)</f>
        <v>0</v>
      </c>
      <c r="L350" s="441" t="str">
        <f>$L$7</f>
        <v>Administrativos</v>
      </c>
      <c r="M350" s="401">
        <f t="shared" si="73"/>
        <v>0</v>
      </c>
      <c r="N350" s="404">
        <f>M350*0.230769230769231</f>
        <v>0</v>
      </c>
      <c r="O350" s="383">
        <f>IFERROR(N350/SUM(PROD!L348:L354),0)</f>
        <v>0</v>
      </c>
      <c r="P350" s="384">
        <f>IFERROR(O350/SUM(E347:E353,J347:J353,O347:O352),0)</f>
        <v>0</v>
      </c>
      <c r="Q350" s="491" t="str">
        <f>$Q$7</f>
        <v>A</v>
      </c>
      <c r="R350" s="392">
        <f t="shared" si="69"/>
        <v>0</v>
      </c>
      <c r="S350" s="870">
        <f>SUM(PROD!AP348:AP354)</f>
        <v>0</v>
      </c>
      <c r="T350" s="492">
        <f>IF(AA347&gt;0,S350/AA347,0)</f>
        <v>0</v>
      </c>
      <c r="U350" s="405" t="str">
        <f>$U$7</f>
        <v>Roto</v>
      </c>
      <c r="V350" s="406">
        <f t="shared" si="70"/>
        <v>0</v>
      </c>
      <c r="W350" s="872">
        <f>SUM(PROD!AZ348:AZ354)</f>
        <v>0</v>
      </c>
      <c r="X350" s="407">
        <f>IFERROR(W350/(AA352-AA350),0)</f>
        <v>0</v>
      </c>
      <c r="Y350" s="408" t="s">
        <v>359</v>
      </c>
      <c r="Z350" s="442">
        <v>215</v>
      </c>
      <c r="AA350" s="410">
        <f>SUM(PROD!L348:L354)-SUM(W347:W353)-SUM(S347:S353)-AA349</f>
        <v>0</v>
      </c>
      <c r="AB350" s="496">
        <f>IF(AA352&gt;0,AA350/AA352,0)</f>
        <v>0</v>
      </c>
    </row>
    <row r="351" spans="1:28" ht="15.75" customHeight="1" x14ac:dyDescent="0.3">
      <c r="A351" s="2301"/>
      <c r="B351" s="399" t="str">
        <f>$B$8</f>
        <v>Materia Prima (Carb Ca, etc.)</v>
      </c>
      <c r="C351" s="440">
        <f>C344</f>
        <v>0</v>
      </c>
      <c r="D351" s="387">
        <f>C351*12/52</f>
        <v>0</v>
      </c>
      <c r="E351" s="383">
        <f>IFERROR(D351/SUM(PROD!L348:L354),0)</f>
        <v>0</v>
      </c>
      <c r="F351" s="384">
        <f>IFERROR(E351/SUM(E347:E353,J347:J353,O347:O352),0)</f>
        <v>0</v>
      </c>
      <c r="G351" s="441" t="str">
        <f>$G$15</f>
        <v>Gastos Legales</v>
      </c>
      <c r="H351" s="401">
        <f t="shared" si="68"/>
        <v>0</v>
      </c>
      <c r="I351" s="390">
        <f t="shared" si="66"/>
        <v>0</v>
      </c>
      <c r="J351" s="383">
        <f>IFERROR(I351/SUM(PROD!L348:L354),0)</f>
        <v>0</v>
      </c>
      <c r="K351" s="384">
        <f>IFERROR(J351/SUM(E347:E353,J347:J353,O347:O352),0)</f>
        <v>0</v>
      </c>
      <c r="L351" s="439" t="str">
        <f>$L$8</f>
        <v>Fletes</v>
      </c>
      <c r="M351" s="401">
        <f t="shared" si="73"/>
        <v>0</v>
      </c>
      <c r="N351" s="404">
        <f>M351*0.230769230769231</f>
        <v>0</v>
      </c>
      <c r="O351" s="383">
        <f>IFERROR(N351/SUM(PROD!L348:L354),0)</f>
        <v>0</v>
      </c>
      <c r="P351" s="384">
        <f>IFERROR(O351/SUM(E347:E353,J347:J353,O347:O352),0)</f>
        <v>0</v>
      </c>
      <c r="Q351" s="491" t="str">
        <f>$Q$8</f>
        <v>B</v>
      </c>
      <c r="R351" s="392">
        <f t="shared" si="69"/>
        <v>0</v>
      </c>
      <c r="S351" s="870">
        <f>SUM(PROD!AQ348:AQ354)</f>
        <v>0</v>
      </c>
      <c r="T351" s="492">
        <f>IF(AA347&gt;0,S351/AA347,0)</f>
        <v>0</v>
      </c>
      <c r="U351" s="395" t="str">
        <f>$U$8</f>
        <v>Rev. Gr.</v>
      </c>
      <c r="V351" s="412">
        <f t="shared" si="70"/>
        <v>0</v>
      </c>
      <c r="W351" s="873">
        <f>SUM(PROD!AT348:AT354)</f>
        <v>0</v>
      </c>
      <c r="X351" s="413">
        <f>IFERROR(W351/(AA352-AA350),0)</f>
        <v>0</v>
      </c>
      <c r="Y351" s="414" t="s">
        <v>262</v>
      </c>
      <c r="Z351" s="415">
        <f>IFERROR(SUMPRODUCT(V351:V353,W351:W353)/SUM(W351:W353),0)</f>
        <v>0</v>
      </c>
      <c r="AA351" s="416">
        <f>SUM(W351:W353)</f>
        <v>0</v>
      </c>
      <c r="AB351" s="497">
        <f>IF(AA352&gt;0,AA351/AA352,0)</f>
        <v>0</v>
      </c>
    </row>
    <row r="352" spans="1:28" ht="15.75" customHeight="1" x14ac:dyDescent="0.3">
      <c r="A352" s="2301"/>
      <c r="B352" s="438" t="str">
        <f>$B$9</f>
        <v>Vacunas y medicamentos</v>
      </c>
      <c r="C352" s="443">
        <f>C345</f>
        <v>0</v>
      </c>
      <c r="D352" s="387">
        <f>C352*12/52</f>
        <v>0</v>
      </c>
      <c r="E352" s="383">
        <f>IFERROR(D352/SUM(PROD!L348:L354),0)</f>
        <v>0</v>
      </c>
      <c r="F352" s="384">
        <f>IFERROR(E352/SUM(E347:E353,J347:J353,O347:O352),0)</f>
        <v>0</v>
      </c>
      <c r="G352" s="441" t="str">
        <f>$G$16</f>
        <v>Mantenimiento y Reparaciones</v>
      </c>
      <c r="H352" s="401">
        <f t="shared" si="68"/>
        <v>0</v>
      </c>
      <c r="I352" s="390">
        <f t="shared" si="66"/>
        <v>0</v>
      </c>
      <c r="J352" s="383">
        <f>IFERROR(I352/SUM(PROD!L348:L354),0)</f>
        <v>0</v>
      </c>
      <c r="K352" s="384">
        <f>IFERROR(J352/SUM(E347:E353,J347:J353,O347:O352),0)</f>
        <v>0</v>
      </c>
      <c r="L352" s="439">
        <f>$L$9</f>
        <v>0</v>
      </c>
      <c r="M352" s="401">
        <f t="shared" si="73"/>
        <v>0</v>
      </c>
      <c r="N352" s="404">
        <f>M352*0.230769230769231</f>
        <v>0</v>
      </c>
      <c r="O352" s="383">
        <f>IFERROR(N352/SUM(PROD!L348:L354),0)</f>
        <v>0</v>
      </c>
      <c r="P352" s="384">
        <f>IFERROR(O352/SUM(E347:E353,J347:J353,O347:O352),0)</f>
        <v>0</v>
      </c>
      <c r="Q352" s="491" t="str">
        <f>$Q$9</f>
        <v>C</v>
      </c>
      <c r="R352" s="392">
        <f t="shared" si="69"/>
        <v>0</v>
      </c>
      <c r="S352" s="870">
        <f>SUM(PROD!AR348:AR354)</f>
        <v>0</v>
      </c>
      <c r="T352" s="492">
        <f>IF(AA347&gt;0,S352/AA347,0)</f>
        <v>0</v>
      </c>
      <c r="U352" s="493" t="str">
        <f>$U$9</f>
        <v>Rev. Med</v>
      </c>
      <c r="V352" s="392">
        <f t="shared" si="70"/>
        <v>0</v>
      </c>
      <c r="W352" s="870">
        <f>SUM(PROD!AU348:AU354)</f>
        <v>0</v>
      </c>
      <c r="X352" s="498">
        <f>IFERROR(W352/(AA352-AA350),0)</f>
        <v>0</v>
      </c>
      <c r="Y352" s="2303" t="s">
        <v>325</v>
      </c>
      <c r="Z352" s="2305">
        <f>SUMPRODUCT(Z347:Z351,AB347:AB351)</f>
        <v>0</v>
      </c>
      <c r="AA352" s="2307">
        <f>SUM(AA347:AA350)</f>
        <v>0</v>
      </c>
      <c r="AB352" s="2308"/>
    </row>
    <row r="353" spans="1:28" ht="16.5" customHeight="1" thickBot="1" x14ac:dyDescent="0.35">
      <c r="A353" s="2302"/>
      <c r="B353" s="444" t="str">
        <f>$B$10</f>
        <v>Gastos de Personal</v>
      </c>
      <c r="C353" s="445">
        <f>C346</f>
        <v>0</v>
      </c>
      <c r="D353" s="421">
        <f>C353*12/52</f>
        <v>0</v>
      </c>
      <c r="E353" s="446">
        <f>IFERROR(D353/SUM(PROD!L348:L354),0)</f>
        <v>0</v>
      </c>
      <c r="F353" s="447">
        <f>IFERROR(E353/SUM(E347:E353,J347:J353,O347:O352),0)</f>
        <v>0</v>
      </c>
      <c r="G353" s="448" t="str">
        <f>$G$17</f>
        <v>Adecuación Instalaciones</v>
      </c>
      <c r="H353" s="445">
        <f t="shared" si="68"/>
        <v>0</v>
      </c>
      <c r="I353" s="426">
        <f t="shared" si="66"/>
        <v>0</v>
      </c>
      <c r="J353" s="446">
        <f>IFERROR(I353/SUM(PROD!L348:L354),0)</f>
        <v>0</v>
      </c>
      <c r="K353" s="447">
        <f>IFERROR(J353/SUM(E347:E353,J347:J353,O347:O352),0)</f>
        <v>0</v>
      </c>
      <c r="L353" s="2311" t="str">
        <f>$L$10</f>
        <v>TOTAL COSTO PRODUCCIÓN</v>
      </c>
      <c r="M353" s="2312"/>
      <c r="N353" s="427">
        <f>SUM(D347:D353,I347:I353,N347:N352)</f>
        <v>0</v>
      </c>
      <c r="O353" s="449">
        <f>IFERROR(N353/SUM(PROD!L348:L354),0)</f>
        <v>0</v>
      </c>
      <c r="P353" s="447">
        <f>IFERROR(O353/SUM(E347:E353,J347:J353,O347:O352),0)</f>
        <v>0</v>
      </c>
      <c r="Q353" s="429" t="str">
        <f>$Q$10</f>
        <v>D</v>
      </c>
      <c r="R353" s="499">
        <f t="shared" si="69"/>
        <v>0</v>
      </c>
      <c r="S353" s="871">
        <f>SUM(PROD!AS348:AS354)</f>
        <v>0</v>
      </c>
      <c r="T353" s="431">
        <f>IF(AA347&gt;0,S353/AA347,0)</f>
        <v>0</v>
      </c>
      <c r="U353" s="432" t="str">
        <f>$U$10</f>
        <v>Rev. Peq</v>
      </c>
      <c r="V353" s="499">
        <f t="shared" si="70"/>
        <v>0</v>
      </c>
      <c r="W353" s="871">
        <f>SUM(PROD!AV348:AV354)</f>
        <v>0</v>
      </c>
      <c r="X353" s="431">
        <f>IFERROR(W353/(AA352-AA350),0)</f>
        <v>0</v>
      </c>
      <c r="Y353" s="2304"/>
      <c r="Z353" s="2306"/>
      <c r="AA353" s="2309"/>
      <c r="AB353" s="2310"/>
    </row>
    <row r="354" spans="1:28" ht="16.5" customHeight="1" x14ac:dyDescent="0.3">
      <c r="A354" s="2300">
        <f>A347+1</f>
        <v>68</v>
      </c>
      <c r="B354" s="433" t="str">
        <f>$B$4</f>
        <v>ALIMENTO Kilos</v>
      </c>
      <c r="C354" s="435">
        <f>LOOKUP($A354,PROD!$A$5:$A$725,PROD!$AH$10:$AH$730)</f>
        <v>0</v>
      </c>
      <c r="D354" s="368">
        <f>C354*LOOKUP($A354,'Pr-Sem'!$A$6:$A$108,'Pr-Sem'!$N$6:$N$108)/(PROD!$A$1/1000)</f>
        <v>0</v>
      </c>
      <c r="E354" s="369">
        <f>IFERROR(D354/SUM(PROD!L355:L361),0)</f>
        <v>0</v>
      </c>
      <c r="F354" s="370">
        <f>IFERROR(E354/SUM(E354:E360,J354:J360,O354:O359),0)</f>
        <v>0</v>
      </c>
      <c r="G354" s="434" t="str">
        <f>$G$11</f>
        <v>Honorarios</v>
      </c>
      <c r="H354" s="435">
        <f t="shared" si="68"/>
        <v>0</v>
      </c>
      <c r="I354" s="372">
        <f t="shared" si="66"/>
        <v>0</v>
      </c>
      <c r="J354" s="369">
        <f>IFERROR(I354/SUM(PROD!L355:L361),0)</f>
        <v>0</v>
      </c>
      <c r="K354" s="370">
        <f>IFERROR(J354/SUM(E354:E360,J354:J360,O354:O359),0)</f>
        <v>0</v>
      </c>
      <c r="L354" s="436" t="str">
        <f>$L$4</f>
        <v>Gastos de Viaje</v>
      </c>
      <c r="M354" s="435">
        <f t="shared" ref="M354:M359" si="74">M347</f>
        <v>0</v>
      </c>
      <c r="N354" s="372">
        <f>M354*12/52</f>
        <v>0</v>
      </c>
      <c r="O354" s="369">
        <f>IFERROR(N354/SUM(PROD!L355:L361),0)</f>
        <v>0</v>
      </c>
      <c r="P354" s="370">
        <f>IFERROR(O354/SUM(E354:E360,J354:J360,O354:O359),0)</f>
        <v>0</v>
      </c>
      <c r="Q354" s="373" t="str">
        <f>$Q$4</f>
        <v>AAAA</v>
      </c>
      <c r="R354" s="374">
        <f t="shared" si="69"/>
        <v>0</v>
      </c>
      <c r="S354" s="869">
        <f>SUM(PROD!AM355:AM361)</f>
        <v>0</v>
      </c>
      <c r="T354" s="375">
        <f>IF(AA354&gt;0,S354/AA354,0)</f>
        <v>0</v>
      </c>
      <c r="U354" s="376" t="str">
        <f>$U$4</f>
        <v>Prob Color</v>
      </c>
      <c r="V354" s="374">
        <f t="shared" si="70"/>
        <v>0</v>
      </c>
      <c r="W354" s="869">
        <f>SUM(PROD!AW355:AW361)</f>
        <v>0</v>
      </c>
      <c r="X354" s="375">
        <f>IFERROR(W354/(AA359-AA357),0)</f>
        <v>0</v>
      </c>
      <c r="Y354" s="377" t="s">
        <v>323</v>
      </c>
      <c r="Z354" s="378">
        <f>SUMPRODUCT(R354:R360,T354:T360)</f>
        <v>0</v>
      </c>
      <c r="AA354" s="379">
        <f>SUM(S354:S360)</f>
        <v>0</v>
      </c>
      <c r="AB354" s="490">
        <f>IF(AA359&gt;0,AA354/AA359,0)</f>
        <v>0</v>
      </c>
    </row>
    <row r="355" spans="1:28" ht="15.75" customHeight="1" x14ac:dyDescent="0.3">
      <c r="A355" s="2301"/>
      <c r="B355" s="438" t="str">
        <f>$B$5</f>
        <v>Amortización de Aves</v>
      </c>
      <c r="C355" s="381">
        <f>IFERROR((C348-(D355/'Pr-Sem'!$O$2)),0)</f>
        <v>0</v>
      </c>
      <c r="D355" s="382">
        <f>SUM(PROD!L355:L361)*E355</f>
        <v>0</v>
      </c>
      <c r="E355" s="383">
        <f>IF(SUM(PROD!L355:L361)&gt;0,IFERROR(($C$1-$C$2)/LOOKUP($B$2,'Pr-Sem'!$A$6:$A$108,'Pr-Sem'!$L$6:$L$108)*(LOOKUP(INVENTARIOS!$A354,'Pr-Sem'!$A$6:$A$108,'Pr-Sem'!$L$6:$L$108)-LOOKUP(INVENTARIOS!$A354-1,'Pr-Sem'!$A$6:$A$108,'Pr-Sem'!$L$6:$L$108))/(LOOKUP(INVENTARIOS!$A354,'Pr-Sem'!$A$6:$A$108,'Pr-Sem'!$K$6:$K$108)-LOOKUP(INVENTARIOS!$A354-1,'Pr-Sem'!$A$6:$A$108,'Pr-Sem'!$K$6:$K$108)),0),0)</f>
        <v>0</v>
      </c>
      <c r="F355" s="384">
        <f>IFERROR(E355/SUM(E354:E360,J354:J360,O354:O359),0)</f>
        <v>0</v>
      </c>
      <c r="G355" s="439" t="str">
        <f>$G$12</f>
        <v>Impuestos</v>
      </c>
      <c r="H355" s="440">
        <f t="shared" si="68"/>
        <v>0</v>
      </c>
      <c r="I355" s="387">
        <f t="shared" si="66"/>
        <v>0</v>
      </c>
      <c r="J355" s="383">
        <f>IFERROR(I355/SUM(PROD!L355:L361),0)</f>
        <v>0</v>
      </c>
      <c r="K355" s="384">
        <f>IFERROR(J355/SUM(E354:E360,J354:J360,O354:O359),0)</f>
        <v>0</v>
      </c>
      <c r="L355" s="439" t="str">
        <f>$L$5</f>
        <v>Depreciaciones</v>
      </c>
      <c r="M355" s="401">
        <f t="shared" si="74"/>
        <v>0</v>
      </c>
      <c r="N355" s="390">
        <f>M355*12/52</f>
        <v>0</v>
      </c>
      <c r="O355" s="383">
        <f>IFERROR(N355/SUM(PROD!L355:L361),0)</f>
        <v>0</v>
      </c>
      <c r="P355" s="384">
        <f>IFERROR(O355/SUM(E354:E360,J354:J360,O354:O359),0)</f>
        <v>0</v>
      </c>
      <c r="Q355" s="491" t="str">
        <f>$Q$5</f>
        <v>AAA</v>
      </c>
      <c r="R355" s="392">
        <f t="shared" si="69"/>
        <v>0</v>
      </c>
      <c r="S355" s="870">
        <f>SUM(PROD!AN355:AN361)</f>
        <v>0</v>
      </c>
      <c r="T355" s="492">
        <f>IF(AA354&gt;0,S355/AA354,0)</f>
        <v>0</v>
      </c>
      <c r="U355" s="493" t="str">
        <f>$U$5</f>
        <v>Prob Cásc</v>
      </c>
      <c r="V355" s="392">
        <f t="shared" si="70"/>
        <v>0</v>
      </c>
      <c r="W355" s="870">
        <f>SUM(PROD!AX355:AX361)</f>
        <v>0</v>
      </c>
      <c r="X355" s="492">
        <f>IFERROR(W355/(AA359-AA357),0)</f>
        <v>0</v>
      </c>
      <c r="Y355" s="395" t="s">
        <v>324</v>
      </c>
      <c r="Z355" s="396">
        <f>IFERROR(SUMPRODUCT(V354:V357,W354:W357)/SUM(W354:W357),0)</f>
        <v>0</v>
      </c>
      <c r="AA355" s="397">
        <f>SUM(W354:W357)</f>
        <v>0</v>
      </c>
      <c r="AB355" s="494">
        <f>IF(AA359&gt;0,AA355/AA359,0)</f>
        <v>0</v>
      </c>
    </row>
    <row r="356" spans="1:28" ht="15.75" customHeight="1" x14ac:dyDescent="0.3">
      <c r="A356" s="2301"/>
      <c r="B356" s="399" t="str">
        <f>$B$6</f>
        <v>Bandeja</v>
      </c>
      <c r="C356" s="400">
        <f>C349</f>
        <v>0</v>
      </c>
      <c r="D356" s="387">
        <f>C356*SUM(INVENTARIOS!R354:R360)</f>
        <v>0</v>
      </c>
      <c r="E356" s="383">
        <f>IFERROR(D356/SUM(PROD!L355:L361),0)</f>
        <v>0</v>
      </c>
      <c r="F356" s="384">
        <f>IFERROR(E356/SUM(E354:E360,J354:J360,O354:O359),0)</f>
        <v>0</v>
      </c>
      <c r="G356" s="439" t="str">
        <f>$G$13</f>
        <v>Arrendamientos</v>
      </c>
      <c r="H356" s="401">
        <f t="shared" si="68"/>
        <v>0</v>
      </c>
      <c r="I356" s="390">
        <f t="shared" si="66"/>
        <v>0</v>
      </c>
      <c r="J356" s="383">
        <f>IFERROR(I356/SUM(PROD!L355:L361),0)</f>
        <v>0</v>
      </c>
      <c r="K356" s="384">
        <f>IFERROR(J356/SUM(E354:E360,J354:J360,O354:O359),0)</f>
        <v>0</v>
      </c>
      <c r="L356" s="439" t="str">
        <f>$L$6</f>
        <v>Diversos</v>
      </c>
      <c r="M356" s="401">
        <f t="shared" si="74"/>
        <v>0</v>
      </c>
      <c r="N356" s="390">
        <f>M356*12/52</f>
        <v>0</v>
      </c>
      <c r="O356" s="383">
        <f>IFERROR(N356/SUM(PROD!L355:L361),0)</f>
        <v>0</v>
      </c>
      <c r="P356" s="384">
        <f>IFERROR(O356/SUM(E354:E360,J354:J360,O354:O359),0)</f>
        <v>0</v>
      </c>
      <c r="Q356" s="491" t="str">
        <f>$Q$6</f>
        <v>AA</v>
      </c>
      <c r="R356" s="392">
        <f t="shared" si="69"/>
        <v>0</v>
      </c>
      <c r="S356" s="870">
        <f>SUM(PROD!AO355:AO361)</f>
        <v>0</v>
      </c>
      <c r="T356" s="492">
        <f>IF(AA354&gt;0,S356/AA354,0)</f>
        <v>0</v>
      </c>
      <c r="U356" s="493" t="str">
        <f>$U$6</f>
        <v>Vencido</v>
      </c>
      <c r="V356" s="392">
        <f t="shared" si="70"/>
        <v>0</v>
      </c>
      <c r="W356" s="870">
        <f>SUM(PROD!AY355:AY361)</f>
        <v>0</v>
      </c>
      <c r="X356" s="492">
        <f>IFERROR(W356/(AA359-AA357),0)</f>
        <v>0</v>
      </c>
      <c r="Y356" s="402" t="s">
        <v>391</v>
      </c>
      <c r="Z356" s="456">
        <v>0</v>
      </c>
      <c r="AA356" s="720"/>
      <c r="AB356" s="495">
        <f>IF(AA359&gt;0,AA356/AA359,0)</f>
        <v>0</v>
      </c>
    </row>
    <row r="357" spans="1:28" ht="15.75" customHeight="1" x14ac:dyDescent="0.3">
      <c r="A357" s="2301"/>
      <c r="B357" s="438" t="str">
        <f>$B$7</f>
        <v>Mortalidad Aves</v>
      </c>
      <c r="C357" s="401">
        <f>IF(A354&lt;=$B$2,C355+$C$2,0)</f>
        <v>0</v>
      </c>
      <c r="D357" s="390">
        <f>C357*SUM(PROD!D355:D361)</f>
        <v>0</v>
      </c>
      <c r="E357" s="383">
        <f>IFERROR(D357/SUM(PROD!L355:L361),0)</f>
        <v>0</v>
      </c>
      <c r="F357" s="384">
        <f>IFERROR(E357/SUM(E354:E360,J354:J360,O354:O359),0)</f>
        <v>0</v>
      </c>
      <c r="G357" s="439" t="str">
        <f>$G$14</f>
        <v>Servicios Públicos</v>
      </c>
      <c r="H357" s="401">
        <f t="shared" si="68"/>
        <v>0</v>
      </c>
      <c r="I357" s="390">
        <f t="shared" si="66"/>
        <v>0</v>
      </c>
      <c r="J357" s="383">
        <f>IFERROR(I357/SUM(PROD!L355:L361),0)</f>
        <v>0</v>
      </c>
      <c r="K357" s="384">
        <f>IFERROR(J357/SUM(E354:E360,J354:J360,O354:O359),0)</f>
        <v>0</v>
      </c>
      <c r="L357" s="441" t="str">
        <f>$L$7</f>
        <v>Administrativos</v>
      </c>
      <c r="M357" s="401">
        <f t="shared" si="74"/>
        <v>0</v>
      </c>
      <c r="N357" s="404">
        <f>M357*0.230769230769231</f>
        <v>0</v>
      </c>
      <c r="O357" s="383">
        <f>IFERROR(N357/SUM(PROD!L355:L361),0)</f>
        <v>0</v>
      </c>
      <c r="P357" s="384">
        <f>IFERROR(O357/SUM(E354:E360,J354:J360,O354:O359),0)</f>
        <v>0</v>
      </c>
      <c r="Q357" s="491" t="str">
        <f>$Q$7</f>
        <v>A</v>
      </c>
      <c r="R357" s="392">
        <f t="shared" si="69"/>
        <v>0</v>
      </c>
      <c r="S357" s="870">
        <f>SUM(PROD!AP355:AP361)</f>
        <v>0</v>
      </c>
      <c r="T357" s="492">
        <f>IF(AA354&gt;0,S357/AA354,0)</f>
        <v>0</v>
      </c>
      <c r="U357" s="405" t="str">
        <f>$U$7</f>
        <v>Roto</v>
      </c>
      <c r="V357" s="406">
        <f t="shared" si="70"/>
        <v>0</v>
      </c>
      <c r="W357" s="872">
        <f>SUM(PROD!AZ355:AZ361)</f>
        <v>0</v>
      </c>
      <c r="X357" s="407">
        <f>IFERROR(W357/(AA359-AA357),0)</f>
        <v>0</v>
      </c>
      <c r="Y357" s="408" t="s">
        <v>359</v>
      </c>
      <c r="Z357" s="442">
        <v>215</v>
      </c>
      <c r="AA357" s="410">
        <f>SUM(PROD!L355:L361)-SUM(W354:W360)-SUM(S354:S360)-AA356</f>
        <v>0</v>
      </c>
      <c r="AB357" s="496">
        <f>IF(AA359&gt;0,AA357/AA359,0)</f>
        <v>0</v>
      </c>
    </row>
    <row r="358" spans="1:28" ht="15.75" customHeight="1" x14ac:dyDescent="0.3">
      <c r="A358" s="2301"/>
      <c r="B358" s="399" t="str">
        <f>$B$8</f>
        <v>Materia Prima (Carb Ca, etc.)</v>
      </c>
      <c r="C358" s="440">
        <f>C351</f>
        <v>0</v>
      </c>
      <c r="D358" s="387">
        <f>C358*12/52</f>
        <v>0</v>
      </c>
      <c r="E358" s="383">
        <f>IFERROR(D358/SUM(PROD!L355:L361),0)</f>
        <v>0</v>
      </c>
      <c r="F358" s="384">
        <f>IFERROR(E358/SUM(E354:E360,J354:J360,O354:O359),0)</f>
        <v>0</v>
      </c>
      <c r="G358" s="441" t="str">
        <f>$G$15</f>
        <v>Gastos Legales</v>
      </c>
      <c r="H358" s="401">
        <f t="shared" si="68"/>
        <v>0</v>
      </c>
      <c r="I358" s="390">
        <f t="shared" si="66"/>
        <v>0</v>
      </c>
      <c r="J358" s="383">
        <f>IFERROR(I358/SUM(PROD!L355:L361),0)</f>
        <v>0</v>
      </c>
      <c r="K358" s="384">
        <f>IFERROR(J358/SUM(E354:E360,J354:J360,O354:O359),0)</f>
        <v>0</v>
      </c>
      <c r="L358" s="439" t="str">
        <f>$L$8</f>
        <v>Fletes</v>
      </c>
      <c r="M358" s="401">
        <f t="shared" si="74"/>
        <v>0</v>
      </c>
      <c r="N358" s="404">
        <f>M358*0.230769230769231</f>
        <v>0</v>
      </c>
      <c r="O358" s="383">
        <f>IFERROR(N358/SUM(PROD!L355:L361),0)</f>
        <v>0</v>
      </c>
      <c r="P358" s="384">
        <f>IFERROR(O358/SUM(E354:E360,J354:J360,O354:O359),0)</f>
        <v>0</v>
      </c>
      <c r="Q358" s="491" t="str">
        <f>$Q$8</f>
        <v>B</v>
      </c>
      <c r="R358" s="392">
        <f t="shared" si="69"/>
        <v>0</v>
      </c>
      <c r="S358" s="870">
        <f>SUM(PROD!AQ355:AQ361)</f>
        <v>0</v>
      </c>
      <c r="T358" s="492">
        <f>IF(AA354&gt;0,S358/AA354,0)</f>
        <v>0</v>
      </c>
      <c r="U358" s="395" t="str">
        <f>$U$8</f>
        <v>Rev. Gr.</v>
      </c>
      <c r="V358" s="412">
        <f t="shared" si="70"/>
        <v>0</v>
      </c>
      <c r="W358" s="873">
        <f>SUM(PROD!AT355:AT361)</f>
        <v>0</v>
      </c>
      <c r="X358" s="413">
        <f>IFERROR(W358/(AA359-AA357),0)</f>
        <v>0</v>
      </c>
      <c r="Y358" s="414" t="s">
        <v>262</v>
      </c>
      <c r="Z358" s="415">
        <f>IFERROR(SUMPRODUCT(V358:V360,W358:W360)/SUM(W358:W360),0)</f>
        <v>0</v>
      </c>
      <c r="AA358" s="416">
        <f>SUM(W358:W360)</f>
        <v>0</v>
      </c>
      <c r="AB358" s="497">
        <f>IF(AA359&gt;0,AA358/AA359,0)</f>
        <v>0</v>
      </c>
    </row>
    <row r="359" spans="1:28" ht="15.75" customHeight="1" x14ac:dyDescent="0.3">
      <c r="A359" s="2301"/>
      <c r="B359" s="438" t="str">
        <f>$B$9</f>
        <v>Vacunas y medicamentos</v>
      </c>
      <c r="C359" s="443">
        <f>C352</f>
        <v>0</v>
      </c>
      <c r="D359" s="387">
        <f>C359*12/52</f>
        <v>0</v>
      </c>
      <c r="E359" s="383">
        <f>IFERROR(D359/SUM(PROD!L355:L361),0)</f>
        <v>0</v>
      </c>
      <c r="F359" s="384">
        <f>IFERROR(E359/SUM(E354:E360,J354:J360,O354:O359),0)</f>
        <v>0</v>
      </c>
      <c r="G359" s="441" t="str">
        <f>$G$16</f>
        <v>Mantenimiento y Reparaciones</v>
      </c>
      <c r="H359" s="401">
        <f t="shared" si="68"/>
        <v>0</v>
      </c>
      <c r="I359" s="390">
        <f t="shared" si="66"/>
        <v>0</v>
      </c>
      <c r="J359" s="383">
        <f>IFERROR(I359/SUM(PROD!L355:L361),0)</f>
        <v>0</v>
      </c>
      <c r="K359" s="384">
        <f>IFERROR(J359/SUM(E354:E360,J354:J360,O354:O359),0)</f>
        <v>0</v>
      </c>
      <c r="L359" s="439">
        <f>$L$9</f>
        <v>0</v>
      </c>
      <c r="M359" s="401">
        <f t="shared" si="74"/>
        <v>0</v>
      </c>
      <c r="N359" s="404">
        <f>M359*0.230769230769231</f>
        <v>0</v>
      </c>
      <c r="O359" s="383">
        <f>IFERROR(N359/SUM(PROD!L355:L361),0)</f>
        <v>0</v>
      </c>
      <c r="P359" s="384">
        <f>IFERROR(O359/SUM(E354:E360,J354:J360,O354:O359),0)</f>
        <v>0</v>
      </c>
      <c r="Q359" s="491" t="str">
        <f>$Q$9</f>
        <v>C</v>
      </c>
      <c r="R359" s="392">
        <f t="shared" si="69"/>
        <v>0</v>
      </c>
      <c r="S359" s="870">
        <f>SUM(PROD!AR355:AR361)</f>
        <v>0</v>
      </c>
      <c r="T359" s="492">
        <f>IF(AA354&gt;0,S359/AA354,0)</f>
        <v>0</v>
      </c>
      <c r="U359" s="493" t="str">
        <f>$U$9</f>
        <v>Rev. Med</v>
      </c>
      <c r="V359" s="392">
        <f t="shared" si="70"/>
        <v>0</v>
      </c>
      <c r="W359" s="870">
        <f>SUM(PROD!AU355:AU361)</f>
        <v>0</v>
      </c>
      <c r="X359" s="498">
        <f>IFERROR(W359/(AA359-AA357),0)</f>
        <v>0</v>
      </c>
      <c r="Y359" s="2303" t="s">
        <v>325</v>
      </c>
      <c r="Z359" s="2305">
        <f>SUMPRODUCT(Z354:Z358,AB354:AB358)</f>
        <v>0</v>
      </c>
      <c r="AA359" s="2307">
        <f>SUM(AA354:AA357)</f>
        <v>0</v>
      </c>
      <c r="AB359" s="2308"/>
    </row>
    <row r="360" spans="1:28" ht="16.5" customHeight="1" thickBot="1" x14ac:dyDescent="0.35">
      <c r="A360" s="2302"/>
      <c r="B360" s="444" t="str">
        <f>$B$10</f>
        <v>Gastos de Personal</v>
      </c>
      <c r="C360" s="445">
        <f>C353</f>
        <v>0</v>
      </c>
      <c r="D360" s="421">
        <f>C360*12/52</f>
        <v>0</v>
      </c>
      <c r="E360" s="446">
        <f>IFERROR(D360/SUM(PROD!L355:L361),0)</f>
        <v>0</v>
      </c>
      <c r="F360" s="447">
        <f>IFERROR(E360/SUM(E354:E360,J354:J360,O354:O359),0)</f>
        <v>0</v>
      </c>
      <c r="G360" s="448" t="str">
        <f>$G$17</f>
        <v>Adecuación Instalaciones</v>
      </c>
      <c r="H360" s="445">
        <f t="shared" si="68"/>
        <v>0</v>
      </c>
      <c r="I360" s="426">
        <f t="shared" si="66"/>
        <v>0</v>
      </c>
      <c r="J360" s="446">
        <f>IFERROR(I360/SUM(PROD!L355:L361),0)</f>
        <v>0</v>
      </c>
      <c r="K360" s="447">
        <f>IFERROR(J360/SUM(E354:E360,J354:J360,O354:O359),0)</f>
        <v>0</v>
      </c>
      <c r="L360" s="2311" t="str">
        <f>$L$10</f>
        <v>TOTAL COSTO PRODUCCIÓN</v>
      </c>
      <c r="M360" s="2312"/>
      <c r="N360" s="427">
        <f>SUM(D354:D360,I354:I360,N354:N359)</f>
        <v>0</v>
      </c>
      <c r="O360" s="449">
        <f>IFERROR(N360/SUM(PROD!L355:L361),0)</f>
        <v>0</v>
      </c>
      <c r="P360" s="447">
        <f>IFERROR(O360/SUM(E354:E360,J354:J360,O354:O359),0)</f>
        <v>0</v>
      </c>
      <c r="Q360" s="429" t="str">
        <f>$Q$10</f>
        <v>D</v>
      </c>
      <c r="R360" s="499">
        <f t="shared" si="69"/>
        <v>0</v>
      </c>
      <c r="S360" s="871">
        <f>SUM(PROD!AS355:AS361)</f>
        <v>0</v>
      </c>
      <c r="T360" s="431">
        <f>IF(AA354&gt;0,S360/AA354,0)</f>
        <v>0</v>
      </c>
      <c r="U360" s="432" t="str">
        <f>$U$10</f>
        <v>Rev. Peq</v>
      </c>
      <c r="V360" s="499">
        <f t="shared" si="70"/>
        <v>0</v>
      </c>
      <c r="W360" s="871">
        <f>SUM(PROD!AV355:AV361)</f>
        <v>0</v>
      </c>
      <c r="X360" s="431">
        <f>IFERROR(W360/(AA359-AA357),0)</f>
        <v>0</v>
      </c>
      <c r="Y360" s="2304"/>
      <c r="Z360" s="2306"/>
      <c r="AA360" s="2309"/>
      <c r="AB360" s="2310"/>
    </row>
    <row r="361" spans="1:28" ht="16.5" customHeight="1" x14ac:dyDescent="0.3">
      <c r="A361" s="2300">
        <f>A354+1</f>
        <v>69</v>
      </c>
      <c r="B361" s="433" t="str">
        <f>$B$4</f>
        <v>ALIMENTO Kilos</v>
      </c>
      <c r="C361" s="435">
        <f>LOOKUP($A361,PROD!$A$5:$A$725,PROD!$AH$10:$AH$730)</f>
        <v>0</v>
      </c>
      <c r="D361" s="368">
        <f>C361*LOOKUP($A361,'Pr-Sem'!$A$6:$A$108,'Pr-Sem'!$N$6:$N$108)/(PROD!$A$1/1000)</f>
        <v>0</v>
      </c>
      <c r="E361" s="369">
        <f>IFERROR(D361/SUM(PROD!L362:L368),0)</f>
        <v>0</v>
      </c>
      <c r="F361" s="370">
        <f>IFERROR(E361/SUM(E361:E367,J361:J367,O361:O366),0)</f>
        <v>0</v>
      </c>
      <c r="G361" s="434" t="str">
        <f>$G$11</f>
        <v>Honorarios</v>
      </c>
      <c r="H361" s="435">
        <f t="shared" si="68"/>
        <v>0</v>
      </c>
      <c r="I361" s="372">
        <f t="shared" si="66"/>
        <v>0</v>
      </c>
      <c r="J361" s="369">
        <f>IFERROR(I361/SUM(PROD!L362:L368),0)</f>
        <v>0</v>
      </c>
      <c r="K361" s="370">
        <f>IFERROR(J361/SUM(E361:E367,J361:J367,O361:O366),0)</f>
        <v>0</v>
      </c>
      <c r="L361" s="436" t="str">
        <f>$L$4</f>
        <v>Gastos de Viaje</v>
      </c>
      <c r="M361" s="435">
        <f t="shared" ref="M361:M366" si="75">M354</f>
        <v>0</v>
      </c>
      <c r="N361" s="372">
        <f>M361*12/52</f>
        <v>0</v>
      </c>
      <c r="O361" s="369">
        <f>IFERROR(N361/SUM(PROD!L362:L368),0)</f>
        <v>0</v>
      </c>
      <c r="P361" s="370">
        <f>IFERROR(O361/SUM(E361:E367,J361:J367,O361:O366),0)</f>
        <v>0</v>
      </c>
      <c r="Q361" s="373" t="str">
        <f>$Q$4</f>
        <v>AAAA</v>
      </c>
      <c r="R361" s="374">
        <f t="shared" si="69"/>
        <v>0</v>
      </c>
      <c r="S361" s="869">
        <f>SUM(PROD!AM362:AM368)</f>
        <v>0</v>
      </c>
      <c r="T361" s="375">
        <f>IF(AA361&gt;0,S361/AA361,0)</f>
        <v>0</v>
      </c>
      <c r="U361" s="376" t="str">
        <f>$U$4</f>
        <v>Prob Color</v>
      </c>
      <c r="V361" s="374">
        <f t="shared" si="70"/>
        <v>0</v>
      </c>
      <c r="W361" s="869">
        <f>SUM(PROD!AW362:AW368)</f>
        <v>0</v>
      </c>
      <c r="X361" s="375">
        <f>IFERROR(W361/(AA366-AA364),0)</f>
        <v>0</v>
      </c>
      <c r="Y361" s="377" t="s">
        <v>323</v>
      </c>
      <c r="Z361" s="378">
        <f>SUMPRODUCT(R361:R367,T361:T367)</f>
        <v>0</v>
      </c>
      <c r="AA361" s="379">
        <f>SUM(S361:S367)</f>
        <v>0</v>
      </c>
      <c r="AB361" s="490">
        <f>IF(AA366&gt;0,AA361/AA366,0)</f>
        <v>0</v>
      </c>
    </row>
    <row r="362" spans="1:28" ht="15.75" customHeight="1" x14ac:dyDescent="0.3">
      <c r="A362" s="2301"/>
      <c r="B362" s="438" t="str">
        <f>$B$5</f>
        <v>Amortización de Aves</v>
      </c>
      <c r="C362" s="381">
        <f>IFERROR((C355-(D362/'Pr-Sem'!$O$2)),0)</f>
        <v>0</v>
      </c>
      <c r="D362" s="382">
        <f>SUM(PROD!L362:L368)*E362</f>
        <v>0</v>
      </c>
      <c r="E362" s="383">
        <f>IF(SUM(PROD!L362:L368)&gt;0,IFERROR(($C$1-$C$2)/LOOKUP($B$2,'Pr-Sem'!$A$6:$A$108,'Pr-Sem'!$L$6:$L$108)*(LOOKUP(INVENTARIOS!$A361,'Pr-Sem'!$A$6:$A$108,'Pr-Sem'!$L$6:$L$108)-LOOKUP(INVENTARIOS!$A361-1,'Pr-Sem'!$A$6:$A$108,'Pr-Sem'!$L$6:$L$108))/(LOOKUP(INVENTARIOS!$A361,'Pr-Sem'!$A$6:$A$108,'Pr-Sem'!$K$6:$K$108)-LOOKUP(INVENTARIOS!$A361-1,'Pr-Sem'!$A$6:$A$108,'Pr-Sem'!$K$6:$K$108)),0),0)</f>
        <v>0</v>
      </c>
      <c r="F362" s="384">
        <f>IFERROR(E362/SUM(E361:E367,J361:J367,O361:O366),0)</f>
        <v>0</v>
      </c>
      <c r="G362" s="439" t="str">
        <f>$G$12</f>
        <v>Impuestos</v>
      </c>
      <c r="H362" s="440">
        <f t="shared" si="68"/>
        <v>0</v>
      </c>
      <c r="I362" s="387">
        <f t="shared" si="66"/>
        <v>0</v>
      </c>
      <c r="J362" s="383">
        <f>IFERROR(I362/SUM(PROD!L362:L368),0)</f>
        <v>0</v>
      </c>
      <c r="K362" s="384">
        <f>IFERROR(J362/SUM(E361:E367,J361:J367,O361:O366),0)</f>
        <v>0</v>
      </c>
      <c r="L362" s="439" t="str">
        <f>$L$5</f>
        <v>Depreciaciones</v>
      </c>
      <c r="M362" s="401">
        <f t="shared" si="75"/>
        <v>0</v>
      </c>
      <c r="N362" s="390">
        <f>M362*12/52</f>
        <v>0</v>
      </c>
      <c r="O362" s="383">
        <f>IFERROR(N362/SUM(PROD!L362:L368),0)</f>
        <v>0</v>
      </c>
      <c r="P362" s="384">
        <f>IFERROR(O362/SUM(E361:E367,J361:J367,O361:O366),0)</f>
        <v>0</v>
      </c>
      <c r="Q362" s="491" t="str">
        <f>$Q$5</f>
        <v>AAA</v>
      </c>
      <c r="R362" s="392">
        <f t="shared" si="69"/>
        <v>0</v>
      </c>
      <c r="S362" s="870">
        <f>SUM(PROD!AN362:AN368)</f>
        <v>0</v>
      </c>
      <c r="T362" s="492">
        <f>IF(AA361&gt;0,S362/AA361,0)</f>
        <v>0</v>
      </c>
      <c r="U362" s="493" t="str">
        <f>$U$5</f>
        <v>Prob Cásc</v>
      </c>
      <c r="V362" s="392">
        <f t="shared" si="70"/>
        <v>0</v>
      </c>
      <c r="W362" s="870">
        <f>SUM(PROD!AX362:AX368)</f>
        <v>0</v>
      </c>
      <c r="X362" s="492">
        <f>IFERROR(W362/(AA366-AA364),0)</f>
        <v>0</v>
      </c>
      <c r="Y362" s="395" t="s">
        <v>324</v>
      </c>
      <c r="Z362" s="396">
        <f>IFERROR(SUMPRODUCT(V361:V364,W361:W364)/SUM(W361:W364),0)</f>
        <v>0</v>
      </c>
      <c r="AA362" s="397">
        <f>SUM(W361:W364)</f>
        <v>0</v>
      </c>
      <c r="AB362" s="494">
        <f>IF(AA366&gt;0,AA362/AA366,0)</f>
        <v>0</v>
      </c>
    </row>
    <row r="363" spans="1:28" ht="15.75" customHeight="1" x14ac:dyDescent="0.3">
      <c r="A363" s="2301"/>
      <c r="B363" s="399" t="str">
        <f>$B$6</f>
        <v>Bandeja</v>
      </c>
      <c r="C363" s="400">
        <f>C356</f>
        <v>0</v>
      </c>
      <c r="D363" s="387">
        <f>C363*SUM(INVENTARIOS!R361:R367)</f>
        <v>0</v>
      </c>
      <c r="E363" s="383">
        <f>IFERROR(D363/SUM(PROD!L362:L368),0)</f>
        <v>0</v>
      </c>
      <c r="F363" s="384">
        <f>IFERROR(E363/SUM(E361:E367,J361:J367,O361:O366),0)</f>
        <v>0</v>
      </c>
      <c r="G363" s="439" t="str">
        <f>$G$13</f>
        <v>Arrendamientos</v>
      </c>
      <c r="H363" s="401">
        <f t="shared" si="68"/>
        <v>0</v>
      </c>
      <c r="I363" s="390">
        <f t="shared" si="66"/>
        <v>0</v>
      </c>
      <c r="J363" s="383">
        <f>IFERROR(I363/SUM(PROD!L362:L368),0)</f>
        <v>0</v>
      </c>
      <c r="K363" s="384">
        <f>IFERROR(J363/SUM(E361:E367,J361:J367,O361:O366),0)</f>
        <v>0</v>
      </c>
      <c r="L363" s="439" t="str">
        <f>$L$6</f>
        <v>Diversos</v>
      </c>
      <c r="M363" s="401">
        <f t="shared" si="75"/>
        <v>0</v>
      </c>
      <c r="N363" s="390">
        <f>M363*12/52</f>
        <v>0</v>
      </c>
      <c r="O363" s="383">
        <f>IFERROR(N363/SUM(PROD!L362:L368),0)</f>
        <v>0</v>
      </c>
      <c r="P363" s="384">
        <f>IFERROR(O363/SUM(E361:E367,J361:J367,O361:O366),0)</f>
        <v>0</v>
      </c>
      <c r="Q363" s="491" t="str">
        <f>$Q$6</f>
        <v>AA</v>
      </c>
      <c r="R363" s="392">
        <f t="shared" si="69"/>
        <v>0</v>
      </c>
      <c r="S363" s="870">
        <f>SUM(PROD!AO362:AO368)</f>
        <v>0</v>
      </c>
      <c r="T363" s="492">
        <f>IF(AA361&gt;0,S363/AA361,0)</f>
        <v>0</v>
      </c>
      <c r="U363" s="493" t="str">
        <f>$U$6</f>
        <v>Vencido</v>
      </c>
      <c r="V363" s="392">
        <f t="shared" si="70"/>
        <v>0</v>
      </c>
      <c r="W363" s="870">
        <f>SUM(PROD!AY362:AY368)</f>
        <v>0</v>
      </c>
      <c r="X363" s="492">
        <f>IFERROR(W363/(AA366-AA364),0)</f>
        <v>0</v>
      </c>
      <c r="Y363" s="402" t="s">
        <v>391</v>
      </c>
      <c r="Z363" s="456">
        <v>0</v>
      </c>
      <c r="AA363" s="720"/>
      <c r="AB363" s="495">
        <f>IF(AA366&gt;0,AA363/AA366,0)</f>
        <v>0</v>
      </c>
    </row>
    <row r="364" spans="1:28" ht="15.75" customHeight="1" x14ac:dyDescent="0.3">
      <c r="A364" s="2301"/>
      <c r="B364" s="438" t="str">
        <f>$B$7</f>
        <v>Mortalidad Aves</v>
      </c>
      <c r="C364" s="401">
        <f>IF(A361&lt;=$B$2,C362+$C$2,0)</f>
        <v>0</v>
      </c>
      <c r="D364" s="390">
        <f>C364*SUM(PROD!D362:D368)</f>
        <v>0</v>
      </c>
      <c r="E364" s="383">
        <f>IFERROR(D364/SUM(PROD!L362:L368),0)</f>
        <v>0</v>
      </c>
      <c r="F364" s="384">
        <f>IFERROR(E364/SUM(E361:E367,J361:J367,O361:O366),0)</f>
        <v>0</v>
      </c>
      <c r="G364" s="439" t="str">
        <f>$G$14</f>
        <v>Servicios Públicos</v>
      </c>
      <c r="H364" s="401">
        <f t="shared" si="68"/>
        <v>0</v>
      </c>
      <c r="I364" s="390">
        <f t="shared" si="66"/>
        <v>0</v>
      </c>
      <c r="J364" s="383">
        <f>IFERROR(I364/SUM(PROD!L362:L368),0)</f>
        <v>0</v>
      </c>
      <c r="K364" s="384">
        <f>IFERROR(J364/SUM(E361:E367,J361:J367,O361:O366),0)</f>
        <v>0</v>
      </c>
      <c r="L364" s="441" t="str">
        <f>$L$7</f>
        <v>Administrativos</v>
      </c>
      <c r="M364" s="401">
        <f t="shared" si="75"/>
        <v>0</v>
      </c>
      <c r="N364" s="404">
        <f>M364*0.230769230769231</f>
        <v>0</v>
      </c>
      <c r="O364" s="383">
        <f>IFERROR(N364/SUM(PROD!L362:L368),0)</f>
        <v>0</v>
      </c>
      <c r="P364" s="384">
        <f>IFERROR(O364/SUM(E361:E367,J361:J367,O361:O366),0)</f>
        <v>0</v>
      </c>
      <c r="Q364" s="491" t="str">
        <f>$Q$7</f>
        <v>A</v>
      </c>
      <c r="R364" s="392">
        <f t="shared" si="69"/>
        <v>0</v>
      </c>
      <c r="S364" s="870">
        <f>SUM(PROD!AP362:AP368)</f>
        <v>0</v>
      </c>
      <c r="T364" s="492">
        <f>IF(AA361&gt;0,S364/AA361,0)</f>
        <v>0</v>
      </c>
      <c r="U364" s="405" t="str">
        <f>$U$7</f>
        <v>Roto</v>
      </c>
      <c r="V364" s="406">
        <f t="shared" si="70"/>
        <v>0</v>
      </c>
      <c r="W364" s="872">
        <f>SUM(PROD!AZ362:AZ368)</f>
        <v>0</v>
      </c>
      <c r="X364" s="407">
        <f>IFERROR(W364/(AA366-AA364),0)</f>
        <v>0</v>
      </c>
      <c r="Y364" s="408" t="s">
        <v>359</v>
      </c>
      <c r="Z364" s="442">
        <v>215</v>
      </c>
      <c r="AA364" s="410">
        <f>SUM(PROD!L362:L368)-SUM(W361:W367)-SUM(S361:S367)-AA363</f>
        <v>0</v>
      </c>
      <c r="AB364" s="496">
        <f>IF(AA366&gt;0,AA364/AA366,0)</f>
        <v>0</v>
      </c>
    </row>
    <row r="365" spans="1:28" ht="15.75" customHeight="1" x14ac:dyDescent="0.3">
      <c r="A365" s="2301"/>
      <c r="B365" s="399" t="str">
        <f>$B$8</f>
        <v>Materia Prima (Carb Ca, etc.)</v>
      </c>
      <c r="C365" s="440">
        <f>C358</f>
        <v>0</v>
      </c>
      <c r="D365" s="387">
        <f>C365*12/52</f>
        <v>0</v>
      </c>
      <c r="E365" s="383">
        <f>IFERROR(D365/SUM(PROD!L362:L368),0)</f>
        <v>0</v>
      </c>
      <c r="F365" s="384">
        <f>IFERROR(E365/SUM(E361:E367,J361:J367,O361:O366),0)</f>
        <v>0</v>
      </c>
      <c r="G365" s="441" t="str">
        <f>$G$15</f>
        <v>Gastos Legales</v>
      </c>
      <c r="H365" s="401">
        <f t="shared" si="68"/>
        <v>0</v>
      </c>
      <c r="I365" s="390">
        <f t="shared" si="66"/>
        <v>0</v>
      </c>
      <c r="J365" s="383">
        <f>IFERROR(I365/SUM(PROD!L362:L368),0)</f>
        <v>0</v>
      </c>
      <c r="K365" s="384">
        <f>IFERROR(J365/SUM(E361:E367,J361:J367,O361:O366),0)</f>
        <v>0</v>
      </c>
      <c r="L365" s="439" t="str">
        <f>$L$8</f>
        <v>Fletes</v>
      </c>
      <c r="M365" s="401">
        <f t="shared" si="75"/>
        <v>0</v>
      </c>
      <c r="N365" s="404">
        <f>M365*0.230769230769231</f>
        <v>0</v>
      </c>
      <c r="O365" s="383">
        <f>IFERROR(N365/SUM(PROD!L362:L368),0)</f>
        <v>0</v>
      </c>
      <c r="P365" s="384">
        <f>IFERROR(O365/SUM(E361:E367,J361:J367,O361:O366),0)</f>
        <v>0</v>
      </c>
      <c r="Q365" s="491" t="str">
        <f>$Q$8</f>
        <v>B</v>
      </c>
      <c r="R365" s="392">
        <f t="shared" si="69"/>
        <v>0</v>
      </c>
      <c r="S365" s="870">
        <f>SUM(PROD!AQ362:AQ368)</f>
        <v>0</v>
      </c>
      <c r="T365" s="492">
        <f>IF(AA361&gt;0,S365/AA361,0)</f>
        <v>0</v>
      </c>
      <c r="U365" s="395" t="str">
        <f>$U$8</f>
        <v>Rev. Gr.</v>
      </c>
      <c r="V365" s="412">
        <f t="shared" si="70"/>
        <v>0</v>
      </c>
      <c r="W365" s="873">
        <f>SUM(PROD!AT362:AT368)</f>
        <v>0</v>
      </c>
      <c r="X365" s="413">
        <f>IFERROR(W365/(AA366-AA364),0)</f>
        <v>0</v>
      </c>
      <c r="Y365" s="414" t="s">
        <v>262</v>
      </c>
      <c r="Z365" s="415">
        <f>IFERROR(SUMPRODUCT(V365:V367,W365:W367)/SUM(W365:W367),0)</f>
        <v>0</v>
      </c>
      <c r="AA365" s="416">
        <f>SUM(W365:W367)</f>
        <v>0</v>
      </c>
      <c r="AB365" s="497">
        <f>IF(AA366&gt;0,AA365/AA366,0)</f>
        <v>0</v>
      </c>
    </row>
    <row r="366" spans="1:28" ht="15.75" customHeight="1" x14ac:dyDescent="0.3">
      <c r="A366" s="2301"/>
      <c r="B366" s="438" t="str">
        <f>$B$9</f>
        <v>Vacunas y medicamentos</v>
      </c>
      <c r="C366" s="443">
        <f>C359</f>
        <v>0</v>
      </c>
      <c r="D366" s="387">
        <f>C366*12/52</f>
        <v>0</v>
      </c>
      <c r="E366" s="383">
        <f>IFERROR(D366/SUM(PROD!L362:L368),0)</f>
        <v>0</v>
      </c>
      <c r="F366" s="384">
        <f>IFERROR(E366/SUM(E361:E367,J361:J367,O361:O366),0)</f>
        <v>0</v>
      </c>
      <c r="G366" s="441" t="str">
        <f>$G$16</f>
        <v>Mantenimiento y Reparaciones</v>
      </c>
      <c r="H366" s="401">
        <f t="shared" si="68"/>
        <v>0</v>
      </c>
      <c r="I366" s="390">
        <f t="shared" si="66"/>
        <v>0</v>
      </c>
      <c r="J366" s="383">
        <f>IFERROR(I366/SUM(PROD!L362:L368),0)</f>
        <v>0</v>
      </c>
      <c r="K366" s="384">
        <f>IFERROR(J366/SUM(E361:E367,J361:J367,O361:O366),0)</f>
        <v>0</v>
      </c>
      <c r="L366" s="439">
        <f>$L$9</f>
        <v>0</v>
      </c>
      <c r="M366" s="401">
        <f t="shared" si="75"/>
        <v>0</v>
      </c>
      <c r="N366" s="404">
        <f>M366*0.230769230769231</f>
        <v>0</v>
      </c>
      <c r="O366" s="383">
        <f>IFERROR(N366/SUM(PROD!L362:L368),0)</f>
        <v>0</v>
      </c>
      <c r="P366" s="384">
        <f>IFERROR(O366/SUM(E361:E367,J361:J367,O361:O366),0)</f>
        <v>0</v>
      </c>
      <c r="Q366" s="491" t="str">
        <f>$Q$9</f>
        <v>C</v>
      </c>
      <c r="R366" s="392">
        <f t="shared" si="69"/>
        <v>0</v>
      </c>
      <c r="S366" s="870">
        <f>SUM(PROD!AR362:AR368)</f>
        <v>0</v>
      </c>
      <c r="T366" s="492">
        <f>IF(AA361&gt;0,S366/AA361,0)</f>
        <v>0</v>
      </c>
      <c r="U366" s="493" t="str">
        <f>$U$9</f>
        <v>Rev. Med</v>
      </c>
      <c r="V366" s="392">
        <f t="shared" si="70"/>
        <v>0</v>
      </c>
      <c r="W366" s="870">
        <f>SUM(PROD!AU362:AU368)</f>
        <v>0</v>
      </c>
      <c r="X366" s="498">
        <f>IFERROR(W366/(AA366-AA364),0)</f>
        <v>0</v>
      </c>
      <c r="Y366" s="2303" t="s">
        <v>325</v>
      </c>
      <c r="Z366" s="2305">
        <f>SUMPRODUCT(Z361:Z365,AB361:AB365)</f>
        <v>0</v>
      </c>
      <c r="AA366" s="2307">
        <f>SUM(AA361:AA364)</f>
        <v>0</v>
      </c>
      <c r="AB366" s="2308"/>
    </row>
    <row r="367" spans="1:28" ht="16.5" customHeight="1" thickBot="1" x14ac:dyDescent="0.35">
      <c r="A367" s="2302"/>
      <c r="B367" s="444" t="str">
        <f>$B$10</f>
        <v>Gastos de Personal</v>
      </c>
      <c r="C367" s="445">
        <f>C360</f>
        <v>0</v>
      </c>
      <c r="D367" s="421">
        <f>C367*12/52</f>
        <v>0</v>
      </c>
      <c r="E367" s="446">
        <f>IFERROR(D367/SUM(PROD!L362:L368),0)</f>
        <v>0</v>
      </c>
      <c r="F367" s="447">
        <f>IFERROR(E367/SUM(E361:E367,J361:J367,O361:O366),0)</f>
        <v>0</v>
      </c>
      <c r="G367" s="448" t="str">
        <f>$G$17</f>
        <v>Adecuación Instalaciones</v>
      </c>
      <c r="H367" s="445">
        <f t="shared" si="68"/>
        <v>0</v>
      </c>
      <c r="I367" s="426">
        <f t="shared" si="66"/>
        <v>0</v>
      </c>
      <c r="J367" s="446">
        <f>IFERROR(I367/SUM(PROD!L362:L368),0)</f>
        <v>0</v>
      </c>
      <c r="K367" s="447">
        <f>IFERROR(J367/SUM(E361:E367,J361:J367,O361:O366),0)</f>
        <v>0</v>
      </c>
      <c r="L367" s="2311" t="str">
        <f>$L$10</f>
        <v>TOTAL COSTO PRODUCCIÓN</v>
      </c>
      <c r="M367" s="2312"/>
      <c r="N367" s="427">
        <f>SUM(D361:D367,I361:I367,N361:N366)</f>
        <v>0</v>
      </c>
      <c r="O367" s="449">
        <f>IFERROR(N367/SUM(PROD!L362:L368),0)</f>
        <v>0</v>
      </c>
      <c r="P367" s="447">
        <f>IFERROR(O367/SUM(E361:E367,J361:J367,O361:O366),0)</f>
        <v>0</v>
      </c>
      <c r="Q367" s="429" t="str">
        <f>$Q$10</f>
        <v>D</v>
      </c>
      <c r="R367" s="499">
        <f t="shared" si="69"/>
        <v>0</v>
      </c>
      <c r="S367" s="871">
        <f>SUM(PROD!AS362:AS368)</f>
        <v>0</v>
      </c>
      <c r="T367" s="431">
        <f>IF(AA361&gt;0,S367/AA361,0)</f>
        <v>0</v>
      </c>
      <c r="U367" s="432" t="str">
        <f>$U$10</f>
        <v>Rev. Peq</v>
      </c>
      <c r="V367" s="499">
        <f t="shared" si="70"/>
        <v>0</v>
      </c>
      <c r="W367" s="871">
        <f>SUM(PROD!AV362:AV368)</f>
        <v>0</v>
      </c>
      <c r="X367" s="431">
        <f>IFERROR(W367/(AA366-AA364),0)</f>
        <v>0</v>
      </c>
      <c r="Y367" s="2304"/>
      <c r="Z367" s="2306"/>
      <c r="AA367" s="2309"/>
      <c r="AB367" s="2310"/>
    </row>
    <row r="368" spans="1:28" ht="16.5" customHeight="1" x14ac:dyDescent="0.3">
      <c r="A368" s="2300">
        <f>A361+1</f>
        <v>70</v>
      </c>
      <c r="B368" s="433" t="str">
        <f>$B$4</f>
        <v>ALIMENTO Kilos</v>
      </c>
      <c r="C368" s="435">
        <f>LOOKUP($A368,PROD!$A$5:$A$725,PROD!$AH$10:$AH$730)</f>
        <v>0</v>
      </c>
      <c r="D368" s="368">
        <f>C368*LOOKUP($A368,'Pr-Sem'!$A$6:$A$108,'Pr-Sem'!$N$6:$N$108)/(PROD!$A$1/1000)</f>
        <v>0</v>
      </c>
      <c r="E368" s="369">
        <f>IFERROR(D368/SUM(PROD!L369:L375),0)</f>
        <v>0</v>
      </c>
      <c r="F368" s="370">
        <f>IFERROR(E368/SUM(E368:E374,J368:J374,O368:O373),0)</f>
        <v>0</v>
      </c>
      <c r="G368" s="434" t="str">
        <f>$G$11</f>
        <v>Honorarios</v>
      </c>
      <c r="H368" s="435">
        <f t="shared" si="68"/>
        <v>0</v>
      </c>
      <c r="I368" s="372">
        <f t="shared" si="66"/>
        <v>0</v>
      </c>
      <c r="J368" s="369">
        <f>IFERROR(I368/SUM(PROD!L369:L375),0)</f>
        <v>0</v>
      </c>
      <c r="K368" s="370">
        <f>IFERROR(J368/SUM(E368:E374,J368:J374,O368:O373),0)</f>
        <v>0</v>
      </c>
      <c r="L368" s="436" t="str">
        <f>$L$4</f>
        <v>Gastos de Viaje</v>
      </c>
      <c r="M368" s="435">
        <f t="shared" ref="M368:M373" si="76">M361</f>
        <v>0</v>
      </c>
      <c r="N368" s="372">
        <f>M368*12/52</f>
        <v>0</v>
      </c>
      <c r="O368" s="369">
        <f>IFERROR(N368/SUM(PROD!L369:L375),0)</f>
        <v>0</v>
      </c>
      <c r="P368" s="370">
        <f>IFERROR(O368/SUM(E368:E374,J368:J374,O368:O373),0)</f>
        <v>0</v>
      </c>
      <c r="Q368" s="373" t="str">
        <f>$Q$4</f>
        <v>AAAA</v>
      </c>
      <c r="R368" s="374">
        <f t="shared" si="69"/>
        <v>0</v>
      </c>
      <c r="S368" s="869">
        <f>SUM(PROD!AM369:AM375)</f>
        <v>0</v>
      </c>
      <c r="T368" s="375">
        <f>IF(AA368&gt;0,S368/AA368,0)</f>
        <v>0</v>
      </c>
      <c r="U368" s="376" t="str">
        <f>$U$4</f>
        <v>Prob Color</v>
      </c>
      <c r="V368" s="374">
        <f t="shared" si="70"/>
        <v>0</v>
      </c>
      <c r="W368" s="869">
        <f>SUM(PROD!AW369:AW375)</f>
        <v>0</v>
      </c>
      <c r="X368" s="375">
        <f>IFERROR(W368/(AA373-AA371),0)</f>
        <v>0</v>
      </c>
      <c r="Y368" s="377" t="s">
        <v>323</v>
      </c>
      <c r="Z368" s="378">
        <f>SUMPRODUCT(R368:R374,T368:T374)</f>
        <v>0</v>
      </c>
      <c r="AA368" s="379">
        <f>SUM(S368:S374)</f>
        <v>0</v>
      </c>
      <c r="AB368" s="490">
        <f>IF(AA373&gt;0,AA368/AA373,0)</f>
        <v>0</v>
      </c>
    </row>
    <row r="369" spans="1:28" ht="15.75" customHeight="1" x14ac:dyDescent="0.3">
      <c r="A369" s="2301"/>
      <c r="B369" s="438" t="str">
        <f>$B$5</f>
        <v>Amortización de Aves</v>
      </c>
      <c r="C369" s="381">
        <f>IFERROR((C362-(D369/'Pr-Sem'!$O$2)),0)</f>
        <v>0</v>
      </c>
      <c r="D369" s="382">
        <f>SUM(PROD!L369:L375)*E369</f>
        <v>0</v>
      </c>
      <c r="E369" s="383">
        <f>IF(SUM(PROD!L369:L375)&gt;0,IFERROR(($C$1-$C$2)/LOOKUP($B$2,'Pr-Sem'!$A$6:$A$108,'Pr-Sem'!$L$6:$L$108)*(LOOKUP(INVENTARIOS!$A368,'Pr-Sem'!$A$6:$A$108,'Pr-Sem'!$L$6:$L$108)-LOOKUP(INVENTARIOS!$A368-1,'Pr-Sem'!$A$6:$A$108,'Pr-Sem'!$L$6:$L$108))/(LOOKUP(INVENTARIOS!$A368,'Pr-Sem'!$A$6:$A$108,'Pr-Sem'!$K$6:$K$108)-LOOKUP(INVENTARIOS!$A368-1,'Pr-Sem'!$A$6:$A$108,'Pr-Sem'!$K$6:$K$108)),0),0)</f>
        <v>0</v>
      </c>
      <c r="F369" s="384">
        <f>IFERROR(E369/SUM(E368:E374,J368:J374,O368:O373),0)</f>
        <v>0</v>
      </c>
      <c r="G369" s="439" t="str">
        <f>$G$12</f>
        <v>Impuestos</v>
      </c>
      <c r="H369" s="440">
        <f t="shared" si="68"/>
        <v>0</v>
      </c>
      <c r="I369" s="387">
        <f t="shared" si="66"/>
        <v>0</v>
      </c>
      <c r="J369" s="383">
        <f>IFERROR(I369/SUM(PROD!L369:L375),0)</f>
        <v>0</v>
      </c>
      <c r="K369" s="384">
        <f>IFERROR(J369/SUM(E368:E374,J368:J374,O368:O373),0)</f>
        <v>0</v>
      </c>
      <c r="L369" s="439" t="str">
        <f>$L$5</f>
        <v>Depreciaciones</v>
      </c>
      <c r="M369" s="401">
        <f t="shared" si="76"/>
        <v>0</v>
      </c>
      <c r="N369" s="390">
        <f>M369*12/52</f>
        <v>0</v>
      </c>
      <c r="O369" s="383">
        <f>IFERROR(N369/SUM(PROD!L369:L375),0)</f>
        <v>0</v>
      </c>
      <c r="P369" s="384">
        <f>IFERROR(O369/SUM(E368:E374,J368:J374,O368:O373),0)</f>
        <v>0</v>
      </c>
      <c r="Q369" s="491" t="str">
        <f>$Q$5</f>
        <v>AAA</v>
      </c>
      <c r="R369" s="392">
        <f t="shared" si="69"/>
        <v>0</v>
      </c>
      <c r="S369" s="870">
        <f>SUM(PROD!AN369:AN375)</f>
        <v>0</v>
      </c>
      <c r="T369" s="492">
        <f>IF(AA368&gt;0,S369/AA368,0)</f>
        <v>0</v>
      </c>
      <c r="U369" s="493" t="str">
        <f>$U$5</f>
        <v>Prob Cásc</v>
      </c>
      <c r="V369" s="392">
        <f t="shared" si="70"/>
        <v>0</v>
      </c>
      <c r="W369" s="870">
        <f>SUM(PROD!AX369:AX375)</f>
        <v>0</v>
      </c>
      <c r="X369" s="492">
        <f>IFERROR(W369/(AA373-AA371),0)</f>
        <v>0</v>
      </c>
      <c r="Y369" s="395" t="s">
        <v>324</v>
      </c>
      <c r="Z369" s="396">
        <f>IFERROR(SUMPRODUCT(V368:V371,W368:W371)/SUM(W368:W371),0)</f>
        <v>0</v>
      </c>
      <c r="AA369" s="397">
        <f>SUM(W368:W371)</f>
        <v>0</v>
      </c>
      <c r="AB369" s="494">
        <f>IF(AA373&gt;0,AA369/AA373,0)</f>
        <v>0</v>
      </c>
    </row>
    <row r="370" spans="1:28" ht="15.75" customHeight="1" x14ac:dyDescent="0.3">
      <c r="A370" s="2301"/>
      <c r="B370" s="399" t="str">
        <f>$B$6</f>
        <v>Bandeja</v>
      </c>
      <c r="C370" s="400">
        <f>C363</f>
        <v>0</v>
      </c>
      <c r="D370" s="387">
        <f>C370*SUM(INVENTARIOS!R368:R374)</f>
        <v>0</v>
      </c>
      <c r="E370" s="383">
        <f>IFERROR(D370/SUM(PROD!L369:L375),0)</f>
        <v>0</v>
      </c>
      <c r="F370" s="384">
        <f>IFERROR(E370/SUM(E368:E374,J368:J374,O368:O373),0)</f>
        <v>0</v>
      </c>
      <c r="G370" s="439" t="str">
        <f>$G$13</f>
        <v>Arrendamientos</v>
      </c>
      <c r="H370" s="401">
        <f t="shared" si="68"/>
        <v>0</v>
      </c>
      <c r="I370" s="390">
        <f t="shared" si="66"/>
        <v>0</v>
      </c>
      <c r="J370" s="383">
        <f>IFERROR(I370/SUM(PROD!L369:L375),0)</f>
        <v>0</v>
      </c>
      <c r="K370" s="384">
        <f>IFERROR(J370/SUM(E368:E374,J368:J374,O368:O373),0)</f>
        <v>0</v>
      </c>
      <c r="L370" s="439" t="str">
        <f>$L$6</f>
        <v>Diversos</v>
      </c>
      <c r="M370" s="401">
        <f t="shared" si="76"/>
        <v>0</v>
      </c>
      <c r="N370" s="390">
        <f>M370*12/52</f>
        <v>0</v>
      </c>
      <c r="O370" s="383">
        <f>IFERROR(N370/SUM(PROD!L369:L375),0)</f>
        <v>0</v>
      </c>
      <c r="P370" s="384">
        <f>IFERROR(O370/SUM(E368:E374,J368:J374,O368:O373),0)</f>
        <v>0</v>
      </c>
      <c r="Q370" s="491" t="str">
        <f>$Q$6</f>
        <v>AA</v>
      </c>
      <c r="R370" s="392">
        <f t="shared" si="69"/>
        <v>0</v>
      </c>
      <c r="S370" s="870">
        <f>SUM(PROD!AO369:AO375)</f>
        <v>0</v>
      </c>
      <c r="T370" s="492">
        <f>IF(AA368&gt;0,S370/AA368,0)</f>
        <v>0</v>
      </c>
      <c r="U370" s="493" t="str">
        <f>$U$6</f>
        <v>Vencido</v>
      </c>
      <c r="V370" s="392">
        <f t="shared" si="70"/>
        <v>0</v>
      </c>
      <c r="W370" s="870">
        <f>SUM(PROD!AY369:AY375)</f>
        <v>0</v>
      </c>
      <c r="X370" s="492">
        <f>IFERROR(W370/(AA373-AA371),0)</f>
        <v>0</v>
      </c>
      <c r="Y370" s="402" t="s">
        <v>391</v>
      </c>
      <c r="Z370" s="456">
        <v>0</v>
      </c>
      <c r="AA370" s="720"/>
      <c r="AB370" s="495">
        <f>IF(AA373&gt;0,AA370/AA373,0)</f>
        <v>0</v>
      </c>
    </row>
    <row r="371" spans="1:28" ht="15.75" customHeight="1" x14ac:dyDescent="0.3">
      <c r="A371" s="2301"/>
      <c r="B371" s="438" t="str">
        <f>$B$7</f>
        <v>Mortalidad Aves</v>
      </c>
      <c r="C371" s="401">
        <f>IF(A368&lt;=$B$2,C369+$C$2,0)</f>
        <v>0</v>
      </c>
      <c r="D371" s="390">
        <f>C371*SUM(PROD!D369:D375)</f>
        <v>0</v>
      </c>
      <c r="E371" s="383">
        <f>IFERROR(D371/SUM(PROD!L369:L375),0)</f>
        <v>0</v>
      </c>
      <c r="F371" s="384">
        <f>IFERROR(E371/SUM(E368:E374,J368:J374,O368:O373),0)</f>
        <v>0</v>
      </c>
      <c r="G371" s="439" t="str">
        <f>$G$14</f>
        <v>Servicios Públicos</v>
      </c>
      <c r="H371" s="401">
        <f t="shared" si="68"/>
        <v>0</v>
      </c>
      <c r="I371" s="390">
        <f t="shared" si="66"/>
        <v>0</v>
      </c>
      <c r="J371" s="383">
        <f>IFERROR(I371/SUM(PROD!L369:L375),0)</f>
        <v>0</v>
      </c>
      <c r="K371" s="384">
        <f>IFERROR(J371/SUM(E368:E374,J368:J374,O368:O373),0)</f>
        <v>0</v>
      </c>
      <c r="L371" s="441" t="str">
        <f>$L$7</f>
        <v>Administrativos</v>
      </c>
      <c r="M371" s="401">
        <f t="shared" si="76"/>
        <v>0</v>
      </c>
      <c r="N371" s="404">
        <f>M371*0.230769230769231</f>
        <v>0</v>
      </c>
      <c r="O371" s="383">
        <f>IFERROR(N371/SUM(PROD!L369:L375),0)</f>
        <v>0</v>
      </c>
      <c r="P371" s="384">
        <f>IFERROR(O371/SUM(E368:E374,J368:J374,O368:O373),0)</f>
        <v>0</v>
      </c>
      <c r="Q371" s="491" t="str">
        <f>$Q$7</f>
        <v>A</v>
      </c>
      <c r="R371" s="392">
        <f t="shared" si="69"/>
        <v>0</v>
      </c>
      <c r="S371" s="870">
        <f>SUM(PROD!AP369:AP375)</f>
        <v>0</v>
      </c>
      <c r="T371" s="492">
        <f>IF(AA368&gt;0,S371/AA368,0)</f>
        <v>0</v>
      </c>
      <c r="U371" s="405" t="str">
        <f>$U$7</f>
        <v>Roto</v>
      </c>
      <c r="V371" s="406">
        <f t="shared" si="70"/>
        <v>0</v>
      </c>
      <c r="W371" s="872">
        <f>SUM(PROD!AZ369:AZ375)</f>
        <v>0</v>
      </c>
      <c r="X371" s="407">
        <f>IFERROR(W371/(AA373-AA371),0)</f>
        <v>0</v>
      </c>
      <c r="Y371" s="408" t="s">
        <v>359</v>
      </c>
      <c r="Z371" s="442">
        <v>215</v>
      </c>
      <c r="AA371" s="410">
        <f>SUM(PROD!L369:L375)-SUM(W368:W374)-SUM(S368:S374)-AA370</f>
        <v>0</v>
      </c>
      <c r="AB371" s="496">
        <f>IF(AA373&gt;0,AA371/AA373,0)</f>
        <v>0</v>
      </c>
    </row>
    <row r="372" spans="1:28" ht="15.75" customHeight="1" x14ac:dyDescent="0.3">
      <c r="A372" s="2301"/>
      <c r="B372" s="399" t="str">
        <f>$B$8</f>
        <v>Materia Prima (Carb Ca, etc.)</v>
      </c>
      <c r="C372" s="440">
        <f>C365</f>
        <v>0</v>
      </c>
      <c r="D372" s="387">
        <f>C372*12/52</f>
        <v>0</v>
      </c>
      <c r="E372" s="383">
        <f>IFERROR(D372/SUM(PROD!L369:L375),0)</f>
        <v>0</v>
      </c>
      <c r="F372" s="384">
        <f>IFERROR(E372/SUM(E368:E374,J368:J374,O368:O373),0)</f>
        <v>0</v>
      </c>
      <c r="G372" s="441" t="str">
        <f>$G$15</f>
        <v>Gastos Legales</v>
      </c>
      <c r="H372" s="401">
        <f t="shared" si="68"/>
        <v>0</v>
      </c>
      <c r="I372" s="390">
        <f t="shared" si="66"/>
        <v>0</v>
      </c>
      <c r="J372" s="383">
        <f>IFERROR(I372/SUM(PROD!L369:L375),0)</f>
        <v>0</v>
      </c>
      <c r="K372" s="384">
        <f>IFERROR(J372/SUM(E368:E374,J368:J374,O368:O373),0)</f>
        <v>0</v>
      </c>
      <c r="L372" s="439" t="str">
        <f>$L$8</f>
        <v>Fletes</v>
      </c>
      <c r="M372" s="401">
        <f t="shared" si="76"/>
        <v>0</v>
      </c>
      <c r="N372" s="404">
        <f>M372*0.230769230769231</f>
        <v>0</v>
      </c>
      <c r="O372" s="383">
        <f>IFERROR(N372/SUM(PROD!L369:L375),0)</f>
        <v>0</v>
      </c>
      <c r="P372" s="384">
        <f>IFERROR(O372/SUM(E368:E374,J368:J374,O368:O373),0)</f>
        <v>0</v>
      </c>
      <c r="Q372" s="491" t="str">
        <f>$Q$8</f>
        <v>B</v>
      </c>
      <c r="R372" s="392">
        <f t="shared" si="69"/>
        <v>0</v>
      </c>
      <c r="S372" s="870">
        <f>SUM(PROD!AQ369:AQ375)</f>
        <v>0</v>
      </c>
      <c r="T372" s="492">
        <f>IF(AA368&gt;0,S372/AA368,0)</f>
        <v>0</v>
      </c>
      <c r="U372" s="395" t="str">
        <f>$U$8</f>
        <v>Rev. Gr.</v>
      </c>
      <c r="V372" s="412">
        <f t="shared" si="70"/>
        <v>0</v>
      </c>
      <c r="W372" s="873">
        <f>SUM(PROD!AT369:AT375)</f>
        <v>0</v>
      </c>
      <c r="X372" s="413">
        <f>IFERROR(W372/(AA373-AA371),0)</f>
        <v>0</v>
      </c>
      <c r="Y372" s="414" t="s">
        <v>262</v>
      </c>
      <c r="Z372" s="415">
        <f>IFERROR(SUMPRODUCT(V372:V374,W372:W374)/SUM(W372:W374),0)</f>
        <v>0</v>
      </c>
      <c r="AA372" s="416">
        <f>SUM(W372:W374)</f>
        <v>0</v>
      </c>
      <c r="AB372" s="497">
        <f>IF(AA373&gt;0,AA372/AA373,0)</f>
        <v>0</v>
      </c>
    </row>
    <row r="373" spans="1:28" ht="15.75" customHeight="1" x14ac:dyDescent="0.3">
      <c r="A373" s="2301"/>
      <c r="B373" s="438" t="str">
        <f>$B$9</f>
        <v>Vacunas y medicamentos</v>
      </c>
      <c r="C373" s="443">
        <f>C366</f>
        <v>0</v>
      </c>
      <c r="D373" s="387">
        <f>C373*12/52</f>
        <v>0</v>
      </c>
      <c r="E373" s="383">
        <f>IFERROR(D373/SUM(PROD!L369:L375),0)</f>
        <v>0</v>
      </c>
      <c r="F373" s="384">
        <f>IFERROR(E373/SUM(E368:E374,J368:J374,O368:O373),0)</f>
        <v>0</v>
      </c>
      <c r="G373" s="441" t="str">
        <f>$G$16</f>
        <v>Mantenimiento y Reparaciones</v>
      </c>
      <c r="H373" s="401">
        <f t="shared" si="68"/>
        <v>0</v>
      </c>
      <c r="I373" s="390">
        <f t="shared" si="66"/>
        <v>0</v>
      </c>
      <c r="J373" s="383">
        <f>IFERROR(I373/SUM(PROD!L369:L375),0)</f>
        <v>0</v>
      </c>
      <c r="K373" s="384">
        <f>IFERROR(J373/SUM(E368:E374,J368:J374,O368:O373),0)</f>
        <v>0</v>
      </c>
      <c r="L373" s="439">
        <f>$L$9</f>
        <v>0</v>
      </c>
      <c r="M373" s="401">
        <f t="shared" si="76"/>
        <v>0</v>
      </c>
      <c r="N373" s="404">
        <f>M373*0.230769230769231</f>
        <v>0</v>
      </c>
      <c r="O373" s="383">
        <f>IFERROR(N373/SUM(PROD!L369:L375),0)</f>
        <v>0</v>
      </c>
      <c r="P373" s="384">
        <f>IFERROR(O373/SUM(E368:E374,J368:J374,O368:O373),0)</f>
        <v>0</v>
      </c>
      <c r="Q373" s="491" t="str">
        <f>$Q$9</f>
        <v>C</v>
      </c>
      <c r="R373" s="392">
        <f t="shared" si="69"/>
        <v>0</v>
      </c>
      <c r="S373" s="870">
        <f>SUM(PROD!AR369:AR375)</f>
        <v>0</v>
      </c>
      <c r="T373" s="492">
        <f>IF(AA368&gt;0,S373/AA368,0)</f>
        <v>0</v>
      </c>
      <c r="U373" s="493" t="str">
        <f>$U$9</f>
        <v>Rev. Med</v>
      </c>
      <c r="V373" s="392">
        <f t="shared" si="70"/>
        <v>0</v>
      </c>
      <c r="W373" s="870">
        <f>SUM(PROD!AU369:AU375)</f>
        <v>0</v>
      </c>
      <c r="X373" s="498">
        <f>IFERROR(W373/(AA373-AA371),0)</f>
        <v>0</v>
      </c>
      <c r="Y373" s="2303" t="s">
        <v>325</v>
      </c>
      <c r="Z373" s="2305">
        <f>SUMPRODUCT(Z368:Z372,AB368:AB372)</f>
        <v>0</v>
      </c>
      <c r="AA373" s="2307">
        <f>SUM(AA368:AA371)</f>
        <v>0</v>
      </c>
      <c r="AB373" s="2308"/>
    </row>
    <row r="374" spans="1:28" ht="16.5" customHeight="1" thickBot="1" x14ac:dyDescent="0.35">
      <c r="A374" s="2302"/>
      <c r="B374" s="444" t="str">
        <f>$B$10</f>
        <v>Gastos de Personal</v>
      </c>
      <c r="C374" s="445">
        <f>C367</f>
        <v>0</v>
      </c>
      <c r="D374" s="421">
        <f>C374*12/52</f>
        <v>0</v>
      </c>
      <c r="E374" s="446">
        <f>IFERROR(D374/SUM(PROD!L369:L375),0)</f>
        <v>0</v>
      </c>
      <c r="F374" s="447">
        <f>IFERROR(E374/SUM(E368:E374,J368:J374,O368:O373),0)</f>
        <v>0</v>
      </c>
      <c r="G374" s="448" t="str">
        <f>$G$17</f>
        <v>Adecuación Instalaciones</v>
      </c>
      <c r="H374" s="445">
        <f t="shared" si="68"/>
        <v>0</v>
      </c>
      <c r="I374" s="426">
        <f t="shared" si="66"/>
        <v>0</v>
      </c>
      <c r="J374" s="446">
        <f>IFERROR(I374/SUM(PROD!L369:L375),0)</f>
        <v>0</v>
      </c>
      <c r="K374" s="447">
        <f>IFERROR(J374/SUM(E368:E374,J368:J374,O368:O373),0)</f>
        <v>0</v>
      </c>
      <c r="L374" s="2311" t="str">
        <f>$L$10</f>
        <v>TOTAL COSTO PRODUCCIÓN</v>
      </c>
      <c r="M374" s="2312"/>
      <c r="N374" s="427">
        <f>SUM(D368:D374,I368:I374,N368:N373)</f>
        <v>0</v>
      </c>
      <c r="O374" s="449">
        <f>IFERROR(N374/SUM(PROD!L369:L375),0)</f>
        <v>0</v>
      </c>
      <c r="P374" s="447">
        <f>IFERROR(O374/SUM(E368:E374,J368:J374,O368:O373),0)</f>
        <v>0</v>
      </c>
      <c r="Q374" s="429" t="str">
        <f>$Q$10</f>
        <v>D</v>
      </c>
      <c r="R374" s="499">
        <f t="shared" si="69"/>
        <v>0</v>
      </c>
      <c r="S374" s="871">
        <f>SUM(PROD!AS369:AS375)</f>
        <v>0</v>
      </c>
      <c r="T374" s="431">
        <f>IF(AA368&gt;0,S374/AA368,0)</f>
        <v>0</v>
      </c>
      <c r="U374" s="432" t="str">
        <f>$U$10</f>
        <v>Rev. Peq</v>
      </c>
      <c r="V374" s="499">
        <f t="shared" si="70"/>
        <v>0</v>
      </c>
      <c r="W374" s="871">
        <f>SUM(PROD!AV369:AV375)</f>
        <v>0</v>
      </c>
      <c r="X374" s="431">
        <f>IFERROR(W374/(AA373-AA371),0)</f>
        <v>0</v>
      </c>
      <c r="Y374" s="2304"/>
      <c r="Z374" s="2306"/>
      <c r="AA374" s="2309"/>
      <c r="AB374" s="2310"/>
    </row>
    <row r="375" spans="1:28" ht="16.5" customHeight="1" x14ac:dyDescent="0.3">
      <c r="A375" s="2300">
        <f>A368+1</f>
        <v>71</v>
      </c>
      <c r="B375" s="433" t="str">
        <f>$B$4</f>
        <v>ALIMENTO Kilos</v>
      </c>
      <c r="C375" s="435">
        <f>LOOKUP($A375,PROD!$A$5:$A$725,PROD!$AH$10:$AH$730)</f>
        <v>0</v>
      </c>
      <c r="D375" s="368">
        <f>C375*LOOKUP($A375,'Pr-Sem'!$A$6:$A$108,'Pr-Sem'!$N$6:$N$108)/(PROD!$A$1/1000)</f>
        <v>0</v>
      </c>
      <c r="E375" s="369">
        <f>IFERROR(D375/SUM(PROD!L376:L382),0)</f>
        <v>0</v>
      </c>
      <c r="F375" s="370">
        <f>IFERROR(E375/SUM(E375:E381,J375:J381,O375:O380),0)</f>
        <v>0</v>
      </c>
      <c r="G375" s="434" t="str">
        <f>$G$11</f>
        <v>Honorarios</v>
      </c>
      <c r="H375" s="435">
        <f t="shared" si="68"/>
        <v>0</v>
      </c>
      <c r="I375" s="372">
        <f t="shared" si="66"/>
        <v>0</v>
      </c>
      <c r="J375" s="369">
        <f>IFERROR(I375/SUM(PROD!L376:L382),0)</f>
        <v>0</v>
      </c>
      <c r="K375" s="370">
        <f>IFERROR(J375/SUM(E375:E381,J375:J381,O375:O380),0)</f>
        <v>0</v>
      </c>
      <c r="L375" s="436" t="str">
        <f>$L$4</f>
        <v>Gastos de Viaje</v>
      </c>
      <c r="M375" s="435">
        <f t="shared" ref="M375:M380" si="77">M368</f>
        <v>0</v>
      </c>
      <c r="N375" s="372">
        <f>M375*12/52</f>
        <v>0</v>
      </c>
      <c r="O375" s="369">
        <f>IFERROR(N375/SUM(PROD!L376:L382),0)</f>
        <v>0</v>
      </c>
      <c r="P375" s="370">
        <f>IFERROR(O375/SUM(E375:E381,J375:J381,O375:O380),0)</f>
        <v>0</v>
      </c>
      <c r="Q375" s="373" t="str">
        <f>$Q$4</f>
        <v>AAAA</v>
      </c>
      <c r="R375" s="374">
        <f t="shared" si="69"/>
        <v>0</v>
      </c>
      <c r="S375" s="869">
        <f>SUM(PROD!AM376:AM382)</f>
        <v>0</v>
      </c>
      <c r="T375" s="375">
        <f>IF(AA375&gt;0,S375/AA375,0)</f>
        <v>0</v>
      </c>
      <c r="U375" s="376" t="str">
        <f>$U$4</f>
        <v>Prob Color</v>
      </c>
      <c r="V375" s="374">
        <f t="shared" si="70"/>
        <v>0</v>
      </c>
      <c r="W375" s="869">
        <f>SUM(PROD!AW376:AW382)</f>
        <v>0</v>
      </c>
      <c r="X375" s="375">
        <f>IFERROR(W375/(AA380-AA378),0)</f>
        <v>0</v>
      </c>
      <c r="Y375" s="377" t="s">
        <v>323</v>
      </c>
      <c r="Z375" s="378">
        <f>SUMPRODUCT(R375:R381,T375:T381)</f>
        <v>0</v>
      </c>
      <c r="AA375" s="379">
        <f>SUM(S375:S381)</f>
        <v>0</v>
      </c>
      <c r="AB375" s="490">
        <f>IF(AA380&gt;0,AA375/AA380,0)</f>
        <v>0</v>
      </c>
    </row>
    <row r="376" spans="1:28" ht="15.75" customHeight="1" x14ac:dyDescent="0.3">
      <c r="A376" s="2301"/>
      <c r="B376" s="438" t="str">
        <f>$B$5</f>
        <v>Amortización de Aves</v>
      </c>
      <c r="C376" s="381">
        <f>IFERROR((C369-(D376/'Pr-Sem'!$O$2)),0)</f>
        <v>0</v>
      </c>
      <c r="D376" s="382">
        <f>SUM(PROD!L376:L382)*E376</f>
        <v>0</v>
      </c>
      <c r="E376" s="383">
        <f>IF(SUM(PROD!L376:L382)&gt;0,IFERROR(($C$1-$C$2)/LOOKUP($B$2,'Pr-Sem'!$A$6:$A$108,'Pr-Sem'!$L$6:$L$108)*(LOOKUP(INVENTARIOS!$A375,'Pr-Sem'!$A$6:$A$108,'Pr-Sem'!$L$6:$L$108)-LOOKUP(INVENTARIOS!$A375-1,'Pr-Sem'!$A$6:$A$108,'Pr-Sem'!$L$6:$L$108))/(LOOKUP(INVENTARIOS!$A375,'Pr-Sem'!$A$6:$A$108,'Pr-Sem'!$K$6:$K$108)-LOOKUP(INVENTARIOS!$A375-1,'Pr-Sem'!$A$6:$A$108,'Pr-Sem'!$K$6:$K$108)),0),0)</f>
        <v>0</v>
      </c>
      <c r="F376" s="384">
        <f>IFERROR(E376/SUM(E375:E381,J375:J381,O375:O380),0)</f>
        <v>0</v>
      </c>
      <c r="G376" s="439" t="str">
        <f>$G$12</f>
        <v>Impuestos</v>
      </c>
      <c r="H376" s="440">
        <f t="shared" si="68"/>
        <v>0</v>
      </c>
      <c r="I376" s="387">
        <f t="shared" si="66"/>
        <v>0</v>
      </c>
      <c r="J376" s="383">
        <f>IFERROR(I376/SUM(PROD!L376:L382),0)</f>
        <v>0</v>
      </c>
      <c r="K376" s="384">
        <f>IFERROR(J376/SUM(E375:E381,J375:J381,O375:O380),0)</f>
        <v>0</v>
      </c>
      <c r="L376" s="439" t="str">
        <f>$L$5</f>
        <v>Depreciaciones</v>
      </c>
      <c r="M376" s="401">
        <f t="shared" si="77"/>
        <v>0</v>
      </c>
      <c r="N376" s="390">
        <f>M376*12/52</f>
        <v>0</v>
      </c>
      <c r="O376" s="383">
        <f>IFERROR(N376/SUM(PROD!L376:L382),0)</f>
        <v>0</v>
      </c>
      <c r="P376" s="384">
        <f>IFERROR(O376/SUM(E375:E381,J375:J381,O375:O380),0)</f>
        <v>0</v>
      </c>
      <c r="Q376" s="491" t="str">
        <f>$Q$5</f>
        <v>AAA</v>
      </c>
      <c r="R376" s="392">
        <f t="shared" si="69"/>
        <v>0</v>
      </c>
      <c r="S376" s="870">
        <f>SUM(PROD!AN376:AN382)</f>
        <v>0</v>
      </c>
      <c r="T376" s="492">
        <f>IF(AA375&gt;0,S376/AA375,0)</f>
        <v>0</v>
      </c>
      <c r="U376" s="493" t="str">
        <f>$U$5</f>
        <v>Prob Cásc</v>
      </c>
      <c r="V376" s="392">
        <f t="shared" si="70"/>
        <v>0</v>
      </c>
      <c r="W376" s="870">
        <f>SUM(PROD!AX376:AX382)</f>
        <v>0</v>
      </c>
      <c r="X376" s="492">
        <f>IFERROR(W376/(AA380-AA378),0)</f>
        <v>0</v>
      </c>
      <c r="Y376" s="395" t="s">
        <v>324</v>
      </c>
      <c r="Z376" s="396">
        <f>IFERROR(SUMPRODUCT(V375:V378,W375:W378)/SUM(W375:W378),0)</f>
        <v>0</v>
      </c>
      <c r="AA376" s="397">
        <f>SUM(W375:W378)</f>
        <v>0</v>
      </c>
      <c r="AB376" s="494">
        <f>IF(AA380&gt;0,AA376/AA380,0)</f>
        <v>0</v>
      </c>
    </row>
    <row r="377" spans="1:28" ht="15.75" customHeight="1" x14ac:dyDescent="0.3">
      <c r="A377" s="2301"/>
      <c r="B377" s="399" t="str">
        <f>$B$6</f>
        <v>Bandeja</v>
      </c>
      <c r="C377" s="400">
        <f>C370</f>
        <v>0</v>
      </c>
      <c r="D377" s="387">
        <f>C377*SUM(INVENTARIOS!R375:R381)</f>
        <v>0</v>
      </c>
      <c r="E377" s="383">
        <f>IFERROR(D377/SUM(PROD!L376:L382),0)</f>
        <v>0</v>
      </c>
      <c r="F377" s="384">
        <f>IFERROR(E377/SUM(E375:E381,J375:J381,O375:O380),0)</f>
        <v>0</v>
      </c>
      <c r="G377" s="439" t="str">
        <f>$G$13</f>
        <v>Arrendamientos</v>
      </c>
      <c r="H377" s="401">
        <f t="shared" si="68"/>
        <v>0</v>
      </c>
      <c r="I377" s="390">
        <f t="shared" si="66"/>
        <v>0</v>
      </c>
      <c r="J377" s="383">
        <f>IFERROR(I377/SUM(PROD!L376:L382),0)</f>
        <v>0</v>
      </c>
      <c r="K377" s="384">
        <f>IFERROR(J377/SUM(E375:E381,J375:J381,O375:O380),0)</f>
        <v>0</v>
      </c>
      <c r="L377" s="439" t="str">
        <f>$L$6</f>
        <v>Diversos</v>
      </c>
      <c r="M377" s="401">
        <f t="shared" si="77"/>
        <v>0</v>
      </c>
      <c r="N377" s="390">
        <f>M377*12/52</f>
        <v>0</v>
      </c>
      <c r="O377" s="383">
        <f>IFERROR(N377/SUM(PROD!L376:L382),0)</f>
        <v>0</v>
      </c>
      <c r="P377" s="384">
        <f>IFERROR(O377/SUM(E375:E381,J375:J381,O375:O380),0)</f>
        <v>0</v>
      </c>
      <c r="Q377" s="491" t="str">
        <f>$Q$6</f>
        <v>AA</v>
      </c>
      <c r="R377" s="392">
        <f t="shared" si="69"/>
        <v>0</v>
      </c>
      <c r="S377" s="870">
        <f>SUM(PROD!AO376:AO382)</f>
        <v>0</v>
      </c>
      <c r="T377" s="492">
        <f>IF(AA375&gt;0,S377/AA375,0)</f>
        <v>0</v>
      </c>
      <c r="U377" s="493" t="str">
        <f>$U$6</f>
        <v>Vencido</v>
      </c>
      <c r="V377" s="392">
        <f t="shared" si="70"/>
        <v>0</v>
      </c>
      <c r="W377" s="870">
        <f>SUM(PROD!AY376:AY382)</f>
        <v>0</v>
      </c>
      <c r="X377" s="492">
        <f>IFERROR(W377/(AA380-AA378),0)</f>
        <v>0</v>
      </c>
      <c r="Y377" s="402" t="s">
        <v>391</v>
      </c>
      <c r="Z377" s="456">
        <v>0</v>
      </c>
      <c r="AA377" s="720"/>
      <c r="AB377" s="495">
        <f>IF(AA380&gt;0,AA377/AA380,0)</f>
        <v>0</v>
      </c>
    </row>
    <row r="378" spans="1:28" ht="15.75" customHeight="1" x14ac:dyDescent="0.3">
      <c r="A378" s="2301"/>
      <c r="B378" s="438" t="str">
        <f>$B$7</f>
        <v>Mortalidad Aves</v>
      </c>
      <c r="C378" s="401">
        <f>IF(A375&lt;=$B$2,C376+$C$2,0)</f>
        <v>0</v>
      </c>
      <c r="D378" s="390">
        <f>C378*SUM(PROD!D376:D382)</f>
        <v>0</v>
      </c>
      <c r="E378" s="383">
        <f>IFERROR(D378/SUM(PROD!L376:L382),0)</f>
        <v>0</v>
      </c>
      <c r="F378" s="384">
        <f>IFERROR(E378/SUM(E375:E381,J375:J381,O375:O380),0)</f>
        <v>0</v>
      </c>
      <c r="G378" s="439" t="str">
        <f>$G$14</f>
        <v>Servicios Públicos</v>
      </c>
      <c r="H378" s="401">
        <f t="shared" si="68"/>
        <v>0</v>
      </c>
      <c r="I378" s="390">
        <f t="shared" si="66"/>
        <v>0</v>
      </c>
      <c r="J378" s="383">
        <f>IFERROR(I378/SUM(PROD!L376:L382),0)</f>
        <v>0</v>
      </c>
      <c r="K378" s="384">
        <f>IFERROR(J378/SUM(E375:E381,J375:J381,O375:O380),0)</f>
        <v>0</v>
      </c>
      <c r="L378" s="441" t="str">
        <f>$L$7</f>
        <v>Administrativos</v>
      </c>
      <c r="M378" s="401">
        <f t="shared" si="77"/>
        <v>0</v>
      </c>
      <c r="N378" s="404">
        <f>M378*0.230769230769231</f>
        <v>0</v>
      </c>
      <c r="O378" s="383">
        <f>IFERROR(N378/SUM(PROD!L376:L382),0)</f>
        <v>0</v>
      </c>
      <c r="P378" s="384">
        <f>IFERROR(O378/SUM(E375:E381,J375:J381,O375:O380),0)</f>
        <v>0</v>
      </c>
      <c r="Q378" s="491" t="str">
        <f>$Q$7</f>
        <v>A</v>
      </c>
      <c r="R378" s="392">
        <f t="shared" si="69"/>
        <v>0</v>
      </c>
      <c r="S378" s="870">
        <f>SUM(PROD!AP376:AP382)</f>
        <v>0</v>
      </c>
      <c r="T378" s="492">
        <f>IF(AA375&gt;0,S378/AA375,0)</f>
        <v>0</v>
      </c>
      <c r="U378" s="405" t="str">
        <f>$U$7</f>
        <v>Roto</v>
      </c>
      <c r="V378" s="406">
        <f t="shared" si="70"/>
        <v>0</v>
      </c>
      <c r="W378" s="872">
        <f>SUM(PROD!AZ376:AZ382)</f>
        <v>0</v>
      </c>
      <c r="X378" s="407">
        <f>IFERROR(W378/(AA380-AA378),0)</f>
        <v>0</v>
      </c>
      <c r="Y378" s="408" t="s">
        <v>359</v>
      </c>
      <c r="Z378" s="442">
        <v>215</v>
      </c>
      <c r="AA378" s="410">
        <f>SUM(PROD!L376:L382)-SUM(W375:W381)-SUM(S375:S381)-AA377</f>
        <v>0</v>
      </c>
      <c r="AB378" s="496">
        <f>IF(AA380&gt;0,AA378/AA380,0)</f>
        <v>0</v>
      </c>
    </row>
    <row r="379" spans="1:28" ht="15.75" customHeight="1" x14ac:dyDescent="0.3">
      <c r="A379" s="2301"/>
      <c r="B379" s="399" t="str">
        <f>$B$8</f>
        <v>Materia Prima (Carb Ca, etc.)</v>
      </c>
      <c r="C379" s="440">
        <f>C372</f>
        <v>0</v>
      </c>
      <c r="D379" s="387">
        <f>C379*12/52</f>
        <v>0</v>
      </c>
      <c r="E379" s="383">
        <f>IFERROR(D379/SUM(PROD!L376:L382),0)</f>
        <v>0</v>
      </c>
      <c r="F379" s="384">
        <f>IFERROR(E379/SUM(E375:E381,J375:J381,O375:O380),0)</f>
        <v>0</v>
      </c>
      <c r="G379" s="441" t="str">
        <f>$G$15</f>
        <v>Gastos Legales</v>
      </c>
      <c r="H379" s="401">
        <f t="shared" si="68"/>
        <v>0</v>
      </c>
      <c r="I379" s="390">
        <f t="shared" si="66"/>
        <v>0</v>
      </c>
      <c r="J379" s="383">
        <f>IFERROR(I379/SUM(PROD!L376:L382),0)</f>
        <v>0</v>
      </c>
      <c r="K379" s="384">
        <f>IFERROR(J379/SUM(E375:E381,J375:J381,O375:O380),0)</f>
        <v>0</v>
      </c>
      <c r="L379" s="439" t="str">
        <f>$L$8</f>
        <v>Fletes</v>
      </c>
      <c r="M379" s="401">
        <f t="shared" si="77"/>
        <v>0</v>
      </c>
      <c r="N379" s="404">
        <f>M379*0.230769230769231</f>
        <v>0</v>
      </c>
      <c r="O379" s="383">
        <f>IFERROR(N379/SUM(PROD!L376:L382),0)</f>
        <v>0</v>
      </c>
      <c r="P379" s="384">
        <f>IFERROR(O379/SUM(E375:E381,J375:J381,O375:O380),0)</f>
        <v>0</v>
      </c>
      <c r="Q379" s="491" t="str">
        <f>$Q$8</f>
        <v>B</v>
      </c>
      <c r="R379" s="392">
        <f t="shared" si="69"/>
        <v>0</v>
      </c>
      <c r="S379" s="870">
        <f>SUM(PROD!AQ376:AQ382)</f>
        <v>0</v>
      </c>
      <c r="T379" s="492">
        <f>IF(AA375&gt;0,S379/AA375,0)</f>
        <v>0</v>
      </c>
      <c r="U379" s="395" t="str">
        <f>$U$8</f>
        <v>Rev. Gr.</v>
      </c>
      <c r="V379" s="412">
        <f t="shared" si="70"/>
        <v>0</v>
      </c>
      <c r="W379" s="873">
        <f>SUM(PROD!AT376:AT382)</f>
        <v>0</v>
      </c>
      <c r="X379" s="413">
        <f>IFERROR(W379/(AA380-AA378),0)</f>
        <v>0</v>
      </c>
      <c r="Y379" s="414" t="s">
        <v>262</v>
      </c>
      <c r="Z379" s="415">
        <f>IFERROR(SUMPRODUCT(V379:V381,W379:W381)/SUM(W379:W381),0)</f>
        <v>0</v>
      </c>
      <c r="AA379" s="416">
        <f>SUM(W379:W381)</f>
        <v>0</v>
      </c>
      <c r="AB379" s="497">
        <f>IF(AA380&gt;0,AA379/AA380,0)</f>
        <v>0</v>
      </c>
    </row>
    <row r="380" spans="1:28" ht="15.75" customHeight="1" x14ac:dyDescent="0.3">
      <c r="A380" s="2301"/>
      <c r="B380" s="438" t="str">
        <f>$B$9</f>
        <v>Vacunas y medicamentos</v>
      </c>
      <c r="C380" s="443">
        <f>C373</f>
        <v>0</v>
      </c>
      <c r="D380" s="387">
        <f>C380*12/52</f>
        <v>0</v>
      </c>
      <c r="E380" s="383">
        <f>IFERROR(D380/SUM(PROD!L376:L382),0)</f>
        <v>0</v>
      </c>
      <c r="F380" s="384">
        <f>IFERROR(E380/SUM(E375:E381,J375:J381,O375:O380),0)</f>
        <v>0</v>
      </c>
      <c r="G380" s="441" t="str">
        <f>$G$16</f>
        <v>Mantenimiento y Reparaciones</v>
      </c>
      <c r="H380" s="401">
        <f t="shared" si="68"/>
        <v>0</v>
      </c>
      <c r="I380" s="390">
        <f t="shared" si="66"/>
        <v>0</v>
      </c>
      <c r="J380" s="383">
        <f>IFERROR(I380/SUM(PROD!L376:L382),0)</f>
        <v>0</v>
      </c>
      <c r="K380" s="384">
        <f>IFERROR(J380/SUM(E375:E381,J375:J381,O375:O380),0)</f>
        <v>0</v>
      </c>
      <c r="L380" s="439">
        <f>$L$9</f>
        <v>0</v>
      </c>
      <c r="M380" s="401">
        <f t="shared" si="77"/>
        <v>0</v>
      </c>
      <c r="N380" s="404">
        <f>M380*0.230769230769231</f>
        <v>0</v>
      </c>
      <c r="O380" s="383">
        <f>IFERROR(N380/SUM(PROD!L376:L382),0)</f>
        <v>0</v>
      </c>
      <c r="P380" s="384">
        <f>IFERROR(O380/SUM(E375:E381,J375:J381,O375:O380),0)</f>
        <v>0</v>
      </c>
      <c r="Q380" s="491" t="str">
        <f>$Q$9</f>
        <v>C</v>
      </c>
      <c r="R380" s="392">
        <f t="shared" si="69"/>
        <v>0</v>
      </c>
      <c r="S380" s="870">
        <f>SUM(PROD!AR376:AR382)</f>
        <v>0</v>
      </c>
      <c r="T380" s="492">
        <f>IF(AA375&gt;0,S380/AA375,0)</f>
        <v>0</v>
      </c>
      <c r="U380" s="493" t="str">
        <f>$U$9</f>
        <v>Rev. Med</v>
      </c>
      <c r="V380" s="392">
        <f t="shared" si="70"/>
        <v>0</v>
      </c>
      <c r="W380" s="870">
        <f>SUM(PROD!AU376:AU382)</f>
        <v>0</v>
      </c>
      <c r="X380" s="498">
        <f>IFERROR(W380/(AA380-AA378),0)</f>
        <v>0</v>
      </c>
      <c r="Y380" s="2303" t="s">
        <v>325</v>
      </c>
      <c r="Z380" s="2305">
        <f>SUMPRODUCT(Z375:Z379,AB375:AB379)</f>
        <v>0</v>
      </c>
      <c r="AA380" s="2307">
        <f>SUM(AA375:AA378)</f>
        <v>0</v>
      </c>
      <c r="AB380" s="2308"/>
    </row>
    <row r="381" spans="1:28" ht="16.5" customHeight="1" thickBot="1" x14ac:dyDescent="0.35">
      <c r="A381" s="2302"/>
      <c r="B381" s="444" t="str">
        <f>$B$10</f>
        <v>Gastos de Personal</v>
      </c>
      <c r="C381" s="445">
        <f>C374</f>
        <v>0</v>
      </c>
      <c r="D381" s="421">
        <f>C381*12/52</f>
        <v>0</v>
      </c>
      <c r="E381" s="446">
        <f>IFERROR(D381/SUM(PROD!L376:L382),0)</f>
        <v>0</v>
      </c>
      <c r="F381" s="447">
        <f>IFERROR(E381/SUM(E375:E381,J375:J381,O375:O380),0)</f>
        <v>0</v>
      </c>
      <c r="G381" s="448" t="str">
        <f>$G$17</f>
        <v>Adecuación Instalaciones</v>
      </c>
      <c r="H381" s="445">
        <f t="shared" si="68"/>
        <v>0</v>
      </c>
      <c r="I381" s="426">
        <f t="shared" si="66"/>
        <v>0</v>
      </c>
      <c r="J381" s="446">
        <f>IFERROR(I381/SUM(PROD!L376:L382),0)</f>
        <v>0</v>
      </c>
      <c r="K381" s="447">
        <f>IFERROR(J381/SUM(E375:E381,J375:J381,O375:O380),0)</f>
        <v>0</v>
      </c>
      <c r="L381" s="2311" t="str">
        <f>$L$10</f>
        <v>TOTAL COSTO PRODUCCIÓN</v>
      </c>
      <c r="M381" s="2312"/>
      <c r="N381" s="427">
        <f>SUM(D375:D381,I375:I381,N375:N380)</f>
        <v>0</v>
      </c>
      <c r="O381" s="449">
        <f>IFERROR(N381/SUM(PROD!L376:L382),0)</f>
        <v>0</v>
      </c>
      <c r="P381" s="447">
        <f>IFERROR(O381/SUM(E375:E381,J375:J381,O375:O380),0)</f>
        <v>0</v>
      </c>
      <c r="Q381" s="429" t="str">
        <f>$Q$10</f>
        <v>D</v>
      </c>
      <c r="R381" s="499">
        <f t="shared" si="69"/>
        <v>0</v>
      </c>
      <c r="S381" s="871">
        <f>SUM(PROD!AS376:AS382)</f>
        <v>0</v>
      </c>
      <c r="T381" s="431">
        <f>IF(AA375&gt;0,S381/AA375,0)</f>
        <v>0</v>
      </c>
      <c r="U381" s="432" t="str">
        <f>$U$10</f>
        <v>Rev. Peq</v>
      </c>
      <c r="V381" s="499">
        <f t="shared" si="70"/>
        <v>0</v>
      </c>
      <c r="W381" s="871">
        <f>SUM(PROD!AV376:AV382)</f>
        <v>0</v>
      </c>
      <c r="X381" s="431">
        <f>IFERROR(W381/(AA380-AA378),0)</f>
        <v>0</v>
      </c>
      <c r="Y381" s="2304"/>
      <c r="Z381" s="2306"/>
      <c r="AA381" s="2309"/>
      <c r="AB381" s="2310"/>
    </row>
    <row r="382" spans="1:28" ht="16.5" customHeight="1" x14ac:dyDescent="0.3">
      <c r="A382" s="2300">
        <f>A375+1</f>
        <v>72</v>
      </c>
      <c r="B382" s="433" t="str">
        <f>$B$4</f>
        <v>ALIMENTO Kilos</v>
      </c>
      <c r="C382" s="435">
        <f>LOOKUP($A382,PROD!$A$5:$A$725,PROD!$AH$10:$AH$730)</f>
        <v>0</v>
      </c>
      <c r="D382" s="368">
        <f>C382*LOOKUP($A382,'Pr-Sem'!$A$6:$A$108,'Pr-Sem'!$N$6:$N$108)/(PROD!$A$1/1000)</f>
        <v>0</v>
      </c>
      <c r="E382" s="369">
        <f>IFERROR(D382/SUM(PROD!L383:L389),0)</f>
        <v>0</v>
      </c>
      <c r="F382" s="370">
        <f>IFERROR(E382/SUM(E382:E388,J382:J388,O382:O387),0)</f>
        <v>0</v>
      </c>
      <c r="G382" s="434" t="str">
        <f>$G$11</f>
        <v>Honorarios</v>
      </c>
      <c r="H382" s="435">
        <f t="shared" si="68"/>
        <v>0</v>
      </c>
      <c r="I382" s="372">
        <f t="shared" si="66"/>
        <v>0</v>
      </c>
      <c r="J382" s="369">
        <f>IFERROR(I382/SUM(PROD!L383:L389),0)</f>
        <v>0</v>
      </c>
      <c r="K382" s="370">
        <f>IFERROR(J382/SUM(E382:E388,J382:J388,O382:O387),0)</f>
        <v>0</v>
      </c>
      <c r="L382" s="436" t="str">
        <f>$L$4</f>
        <v>Gastos de Viaje</v>
      </c>
      <c r="M382" s="435">
        <f t="shared" ref="M382:M387" si="78">M375</f>
        <v>0</v>
      </c>
      <c r="N382" s="372">
        <f>M382*12/52</f>
        <v>0</v>
      </c>
      <c r="O382" s="369">
        <f>IFERROR(N382/SUM(PROD!L383:L389),0)</f>
        <v>0</v>
      </c>
      <c r="P382" s="370">
        <f>IFERROR(O382/SUM(E382:E388,J382:J388,O382:O387),0)</f>
        <v>0</v>
      </c>
      <c r="Q382" s="373" t="str">
        <f>$Q$4</f>
        <v>AAAA</v>
      </c>
      <c r="R382" s="374">
        <f t="shared" si="69"/>
        <v>0</v>
      </c>
      <c r="S382" s="869">
        <f>SUM(PROD!AM383:AM389)</f>
        <v>0</v>
      </c>
      <c r="T382" s="375">
        <f>IF(AA382&gt;0,S382/AA382,0)</f>
        <v>0</v>
      </c>
      <c r="U382" s="376" t="str">
        <f>$U$4</f>
        <v>Prob Color</v>
      </c>
      <c r="V382" s="374">
        <f t="shared" si="70"/>
        <v>0</v>
      </c>
      <c r="W382" s="869">
        <f>SUM(PROD!AW383:AW389)</f>
        <v>0</v>
      </c>
      <c r="X382" s="375">
        <f>IFERROR(W382/(AA387-AA385),0)</f>
        <v>0</v>
      </c>
      <c r="Y382" s="377" t="s">
        <v>323</v>
      </c>
      <c r="Z382" s="378">
        <f>SUMPRODUCT(R382:R388,T382:T388)</f>
        <v>0</v>
      </c>
      <c r="AA382" s="379">
        <f>SUM(S382:S388)</f>
        <v>0</v>
      </c>
      <c r="AB382" s="490">
        <f>IF(AA387&gt;0,AA382/AA387,0)</f>
        <v>0</v>
      </c>
    </row>
    <row r="383" spans="1:28" ht="15.75" customHeight="1" x14ac:dyDescent="0.3">
      <c r="A383" s="2301"/>
      <c r="B383" s="438" t="str">
        <f>$B$5</f>
        <v>Amortización de Aves</v>
      </c>
      <c r="C383" s="381">
        <f>IFERROR((C376-(D383/'Pr-Sem'!$O$2)),0)</f>
        <v>0</v>
      </c>
      <c r="D383" s="382">
        <f>SUM(PROD!L383:L389)*E383</f>
        <v>0</v>
      </c>
      <c r="E383" s="383">
        <f>IF(SUM(PROD!L383:L389)&gt;0,IFERROR(($C$1-$C$2)/LOOKUP($B$2,'Pr-Sem'!$A$6:$A$108,'Pr-Sem'!$L$6:$L$108)*(LOOKUP(INVENTARIOS!$A382,'Pr-Sem'!$A$6:$A$108,'Pr-Sem'!$L$6:$L$108)-LOOKUP(INVENTARIOS!$A382-1,'Pr-Sem'!$A$6:$A$108,'Pr-Sem'!$L$6:$L$108))/(LOOKUP(INVENTARIOS!$A382,'Pr-Sem'!$A$6:$A$108,'Pr-Sem'!$K$6:$K$108)-LOOKUP(INVENTARIOS!$A382-1,'Pr-Sem'!$A$6:$A$108,'Pr-Sem'!$K$6:$K$108)),0),0)</f>
        <v>0</v>
      </c>
      <c r="F383" s="384">
        <f>IFERROR(E383/SUM(E382:E388,J382:J388,O382:O387),0)</f>
        <v>0</v>
      </c>
      <c r="G383" s="439" t="str">
        <f>$G$12</f>
        <v>Impuestos</v>
      </c>
      <c r="H383" s="440">
        <f t="shared" si="68"/>
        <v>0</v>
      </c>
      <c r="I383" s="387">
        <f t="shared" si="66"/>
        <v>0</v>
      </c>
      <c r="J383" s="383">
        <f>IFERROR(I383/SUM(PROD!L383:L389),0)</f>
        <v>0</v>
      </c>
      <c r="K383" s="384">
        <f>IFERROR(J383/SUM(E382:E388,J382:J388,O382:O387),0)</f>
        <v>0</v>
      </c>
      <c r="L383" s="439" t="str">
        <f>$L$5</f>
        <v>Depreciaciones</v>
      </c>
      <c r="M383" s="401">
        <f t="shared" si="78"/>
        <v>0</v>
      </c>
      <c r="N383" s="390">
        <f>M383*12/52</f>
        <v>0</v>
      </c>
      <c r="O383" s="383">
        <f>IFERROR(N383/SUM(PROD!L383:L389),0)</f>
        <v>0</v>
      </c>
      <c r="P383" s="384">
        <f>IFERROR(O383/SUM(E382:E388,J382:J388,O382:O387),0)</f>
        <v>0</v>
      </c>
      <c r="Q383" s="491" t="str">
        <f>$Q$5</f>
        <v>AAA</v>
      </c>
      <c r="R383" s="392">
        <f t="shared" si="69"/>
        <v>0</v>
      </c>
      <c r="S383" s="870">
        <f>SUM(PROD!AN383:AN389)</f>
        <v>0</v>
      </c>
      <c r="T383" s="492">
        <f>IF(AA382&gt;0,S383/AA382,0)</f>
        <v>0</v>
      </c>
      <c r="U383" s="493" t="str">
        <f>$U$5</f>
        <v>Prob Cásc</v>
      </c>
      <c r="V383" s="392">
        <f t="shared" si="70"/>
        <v>0</v>
      </c>
      <c r="W383" s="870">
        <f>SUM(PROD!AX383:AX389)</f>
        <v>0</v>
      </c>
      <c r="X383" s="492">
        <f>IFERROR(W383/(AA387-AA385),0)</f>
        <v>0</v>
      </c>
      <c r="Y383" s="395" t="s">
        <v>324</v>
      </c>
      <c r="Z383" s="396">
        <f>IFERROR(SUMPRODUCT(V382:V385,W382:W385)/SUM(W382:W385),0)</f>
        <v>0</v>
      </c>
      <c r="AA383" s="397">
        <f>SUM(W382:W385)</f>
        <v>0</v>
      </c>
      <c r="AB383" s="494">
        <f>IF(AA387&gt;0,AA383/AA387,0)</f>
        <v>0</v>
      </c>
    </row>
    <row r="384" spans="1:28" ht="15.75" customHeight="1" x14ac:dyDescent="0.3">
      <c r="A384" s="2301"/>
      <c r="B384" s="399" t="str">
        <f>$B$6</f>
        <v>Bandeja</v>
      </c>
      <c r="C384" s="400">
        <f>C377</f>
        <v>0</v>
      </c>
      <c r="D384" s="387">
        <f>C384*SUM(INVENTARIOS!R382:R388)</f>
        <v>0</v>
      </c>
      <c r="E384" s="383">
        <f>IFERROR(D384/SUM(PROD!L383:L389),0)</f>
        <v>0</v>
      </c>
      <c r="F384" s="384">
        <f>IFERROR(E384/SUM(E382:E388,J382:J388,O382:O387),0)</f>
        <v>0</v>
      </c>
      <c r="G384" s="439" t="str">
        <f>$G$13</f>
        <v>Arrendamientos</v>
      </c>
      <c r="H384" s="401">
        <f t="shared" si="68"/>
        <v>0</v>
      </c>
      <c r="I384" s="390">
        <f t="shared" si="66"/>
        <v>0</v>
      </c>
      <c r="J384" s="383">
        <f>IFERROR(I384/SUM(PROD!L383:L389),0)</f>
        <v>0</v>
      </c>
      <c r="K384" s="384">
        <f>IFERROR(J384/SUM(E382:E388,J382:J388,O382:O387),0)</f>
        <v>0</v>
      </c>
      <c r="L384" s="439" t="str">
        <f>$L$6</f>
        <v>Diversos</v>
      </c>
      <c r="M384" s="401">
        <f t="shared" si="78"/>
        <v>0</v>
      </c>
      <c r="N384" s="390">
        <f>M384*12/52</f>
        <v>0</v>
      </c>
      <c r="O384" s="383">
        <f>IFERROR(N384/SUM(PROD!L383:L389),0)</f>
        <v>0</v>
      </c>
      <c r="P384" s="384">
        <f>IFERROR(O384/SUM(E382:E388,J382:J388,O382:O387),0)</f>
        <v>0</v>
      </c>
      <c r="Q384" s="491" t="str">
        <f>$Q$6</f>
        <v>AA</v>
      </c>
      <c r="R384" s="392">
        <f t="shared" si="69"/>
        <v>0</v>
      </c>
      <c r="S384" s="870">
        <f>SUM(PROD!AO383:AO389)</f>
        <v>0</v>
      </c>
      <c r="T384" s="492">
        <f>IF(AA382&gt;0,S384/AA382,0)</f>
        <v>0</v>
      </c>
      <c r="U384" s="493" t="str">
        <f>$U$6</f>
        <v>Vencido</v>
      </c>
      <c r="V384" s="392">
        <f t="shared" si="70"/>
        <v>0</v>
      </c>
      <c r="W384" s="870">
        <f>SUM(PROD!AY383:AY389)</f>
        <v>0</v>
      </c>
      <c r="X384" s="492">
        <f>IFERROR(W384/(AA387-AA385),0)</f>
        <v>0</v>
      </c>
      <c r="Y384" s="402" t="s">
        <v>391</v>
      </c>
      <c r="Z384" s="456">
        <v>0</v>
      </c>
      <c r="AA384" s="720"/>
      <c r="AB384" s="495">
        <f>IF(AA387&gt;0,AA384/AA387,0)</f>
        <v>0</v>
      </c>
    </row>
    <row r="385" spans="1:28" ht="15.75" customHeight="1" x14ac:dyDescent="0.3">
      <c r="A385" s="2301"/>
      <c r="B385" s="438" t="str">
        <f>$B$7</f>
        <v>Mortalidad Aves</v>
      </c>
      <c r="C385" s="401">
        <f>IF(A382&lt;=$B$2,C383+$C$2,0)</f>
        <v>0</v>
      </c>
      <c r="D385" s="390">
        <f>C385*SUM(PROD!D383:D389)</f>
        <v>0</v>
      </c>
      <c r="E385" s="383">
        <f>IFERROR(D385/SUM(PROD!L383:L389),0)</f>
        <v>0</v>
      </c>
      <c r="F385" s="384">
        <f>IFERROR(E385/SUM(E382:E388,J382:J388,O382:O387),0)</f>
        <v>0</v>
      </c>
      <c r="G385" s="439" t="str">
        <f>$G$14</f>
        <v>Servicios Públicos</v>
      </c>
      <c r="H385" s="401">
        <f t="shared" si="68"/>
        <v>0</v>
      </c>
      <c r="I385" s="390">
        <f t="shared" si="66"/>
        <v>0</v>
      </c>
      <c r="J385" s="383">
        <f>IFERROR(I385/SUM(PROD!L383:L389),0)</f>
        <v>0</v>
      </c>
      <c r="K385" s="384">
        <f>IFERROR(J385/SUM(E382:E388,J382:J388,O382:O387),0)</f>
        <v>0</v>
      </c>
      <c r="L385" s="441" t="str">
        <f>$L$7</f>
        <v>Administrativos</v>
      </c>
      <c r="M385" s="401">
        <f t="shared" si="78"/>
        <v>0</v>
      </c>
      <c r="N385" s="404">
        <f>M385*0.230769230769231</f>
        <v>0</v>
      </c>
      <c r="O385" s="383">
        <f>IFERROR(N385/SUM(PROD!L383:L389),0)</f>
        <v>0</v>
      </c>
      <c r="P385" s="384">
        <f>IFERROR(O385/SUM(E382:E388,J382:J388,O382:O387),0)</f>
        <v>0</v>
      </c>
      <c r="Q385" s="491" t="str">
        <f>$Q$7</f>
        <v>A</v>
      </c>
      <c r="R385" s="392">
        <f t="shared" si="69"/>
        <v>0</v>
      </c>
      <c r="S385" s="870">
        <f>SUM(PROD!AP383:AP389)</f>
        <v>0</v>
      </c>
      <c r="T385" s="492">
        <f>IF(AA382&gt;0,S385/AA382,0)</f>
        <v>0</v>
      </c>
      <c r="U385" s="405" t="str">
        <f>$U$7</f>
        <v>Roto</v>
      </c>
      <c r="V385" s="406">
        <f t="shared" si="70"/>
        <v>0</v>
      </c>
      <c r="W385" s="872">
        <f>SUM(PROD!AZ383:AZ389)</f>
        <v>0</v>
      </c>
      <c r="X385" s="407">
        <f>IFERROR(W385/(AA387-AA385),0)</f>
        <v>0</v>
      </c>
      <c r="Y385" s="408" t="s">
        <v>359</v>
      </c>
      <c r="Z385" s="442">
        <v>215</v>
      </c>
      <c r="AA385" s="410">
        <f>SUM(PROD!L383:L389)-SUM(W382:W388)-SUM(S382:S388)-AA384</f>
        <v>0</v>
      </c>
      <c r="AB385" s="496">
        <f>IF(AA387&gt;0,AA385/AA387,0)</f>
        <v>0</v>
      </c>
    </row>
    <row r="386" spans="1:28" ht="15.75" customHeight="1" x14ac:dyDescent="0.3">
      <c r="A386" s="2301"/>
      <c r="B386" s="399" t="str">
        <f>$B$8</f>
        <v>Materia Prima (Carb Ca, etc.)</v>
      </c>
      <c r="C386" s="440">
        <f>C379</f>
        <v>0</v>
      </c>
      <c r="D386" s="387">
        <f>C386*12/52</f>
        <v>0</v>
      </c>
      <c r="E386" s="383">
        <f>IFERROR(D386/SUM(PROD!L383:L389),0)</f>
        <v>0</v>
      </c>
      <c r="F386" s="384">
        <f>IFERROR(E386/SUM(E382:E388,J382:J388,O382:O387),0)</f>
        <v>0</v>
      </c>
      <c r="G386" s="441" t="str">
        <f>$G$15</f>
        <v>Gastos Legales</v>
      </c>
      <c r="H386" s="401">
        <f t="shared" si="68"/>
        <v>0</v>
      </c>
      <c r="I386" s="390">
        <f t="shared" si="66"/>
        <v>0</v>
      </c>
      <c r="J386" s="383">
        <f>IFERROR(I386/SUM(PROD!L383:L389),0)</f>
        <v>0</v>
      </c>
      <c r="K386" s="384">
        <f>IFERROR(J386/SUM(E382:E388,J382:J388,O382:O387),0)</f>
        <v>0</v>
      </c>
      <c r="L386" s="439" t="str">
        <f>$L$8</f>
        <v>Fletes</v>
      </c>
      <c r="M386" s="401">
        <f t="shared" si="78"/>
        <v>0</v>
      </c>
      <c r="N386" s="404">
        <f>M386*0.230769230769231</f>
        <v>0</v>
      </c>
      <c r="O386" s="383">
        <f>IFERROR(N386/SUM(PROD!L383:L389),0)</f>
        <v>0</v>
      </c>
      <c r="P386" s="384">
        <f>IFERROR(O386/SUM(E382:E388,J382:J388,O382:O387),0)</f>
        <v>0</v>
      </c>
      <c r="Q386" s="491" t="str">
        <f>$Q$8</f>
        <v>B</v>
      </c>
      <c r="R386" s="392">
        <f t="shared" si="69"/>
        <v>0</v>
      </c>
      <c r="S386" s="870">
        <f>SUM(PROD!AQ383:AQ389)</f>
        <v>0</v>
      </c>
      <c r="T386" s="492">
        <f>IF(AA382&gt;0,S386/AA382,0)</f>
        <v>0</v>
      </c>
      <c r="U386" s="395" t="str">
        <f>$U$8</f>
        <v>Rev. Gr.</v>
      </c>
      <c r="V386" s="412">
        <f t="shared" si="70"/>
        <v>0</v>
      </c>
      <c r="W386" s="873">
        <f>SUM(PROD!AT383:AT389)</f>
        <v>0</v>
      </c>
      <c r="X386" s="413">
        <f>IFERROR(W386/(AA387-AA385),0)</f>
        <v>0</v>
      </c>
      <c r="Y386" s="414" t="s">
        <v>262</v>
      </c>
      <c r="Z386" s="415">
        <f>IFERROR(SUMPRODUCT(V386:V388,W386:W388)/SUM(W386:W388),0)</f>
        <v>0</v>
      </c>
      <c r="AA386" s="416">
        <f>SUM(W386:W388)</f>
        <v>0</v>
      </c>
      <c r="AB386" s="497">
        <f>IF(AA387&gt;0,AA386/AA387,0)</f>
        <v>0</v>
      </c>
    </row>
    <row r="387" spans="1:28" ht="15.75" customHeight="1" x14ac:dyDescent="0.3">
      <c r="A387" s="2301"/>
      <c r="B387" s="438" t="str">
        <f>$B$9</f>
        <v>Vacunas y medicamentos</v>
      </c>
      <c r="C387" s="443">
        <f>C380</f>
        <v>0</v>
      </c>
      <c r="D387" s="387">
        <f>C387*12/52</f>
        <v>0</v>
      </c>
      <c r="E387" s="383">
        <f>IFERROR(D387/SUM(PROD!L383:L389),0)</f>
        <v>0</v>
      </c>
      <c r="F387" s="384">
        <f>IFERROR(E387/SUM(E382:E388,J382:J388,O382:O387),0)</f>
        <v>0</v>
      </c>
      <c r="G387" s="441" t="str">
        <f>$G$16</f>
        <v>Mantenimiento y Reparaciones</v>
      </c>
      <c r="H387" s="401">
        <f t="shared" si="68"/>
        <v>0</v>
      </c>
      <c r="I387" s="390">
        <f t="shared" si="66"/>
        <v>0</v>
      </c>
      <c r="J387" s="383">
        <f>IFERROR(I387/SUM(PROD!L383:L389),0)</f>
        <v>0</v>
      </c>
      <c r="K387" s="384">
        <f>IFERROR(J387/SUM(E382:E388,J382:J388,O382:O387),0)</f>
        <v>0</v>
      </c>
      <c r="L387" s="439">
        <f>$L$9</f>
        <v>0</v>
      </c>
      <c r="M387" s="401">
        <f t="shared" si="78"/>
        <v>0</v>
      </c>
      <c r="N387" s="404">
        <f>M387*0.230769230769231</f>
        <v>0</v>
      </c>
      <c r="O387" s="383">
        <f>IFERROR(N387/SUM(PROD!L383:L389),0)</f>
        <v>0</v>
      </c>
      <c r="P387" s="384">
        <f>IFERROR(O387/SUM(E382:E388,J382:J388,O382:O387),0)</f>
        <v>0</v>
      </c>
      <c r="Q387" s="491" t="str">
        <f>$Q$9</f>
        <v>C</v>
      </c>
      <c r="R387" s="392">
        <f t="shared" si="69"/>
        <v>0</v>
      </c>
      <c r="S387" s="870">
        <f>SUM(PROD!AR383:AR389)</f>
        <v>0</v>
      </c>
      <c r="T387" s="492">
        <f>IF(AA382&gt;0,S387/AA382,0)</f>
        <v>0</v>
      </c>
      <c r="U387" s="493" t="str">
        <f>$U$9</f>
        <v>Rev. Med</v>
      </c>
      <c r="V387" s="392">
        <f t="shared" si="70"/>
        <v>0</v>
      </c>
      <c r="W387" s="870">
        <f>SUM(PROD!AU383:AU389)</f>
        <v>0</v>
      </c>
      <c r="X387" s="498">
        <f>IFERROR(W387/(AA387-AA385),0)</f>
        <v>0</v>
      </c>
      <c r="Y387" s="2303" t="s">
        <v>325</v>
      </c>
      <c r="Z387" s="2305">
        <f>SUMPRODUCT(Z382:Z386,AB382:AB386)</f>
        <v>0</v>
      </c>
      <c r="AA387" s="2307">
        <f>SUM(AA382:AA385)</f>
        <v>0</v>
      </c>
      <c r="AB387" s="2308"/>
    </row>
    <row r="388" spans="1:28" ht="16.5" customHeight="1" thickBot="1" x14ac:dyDescent="0.35">
      <c r="A388" s="2302"/>
      <c r="B388" s="444" t="str">
        <f>$B$10</f>
        <v>Gastos de Personal</v>
      </c>
      <c r="C388" s="445">
        <f>C381</f>
        <v>0</v>
      </c>
      <c r="D388" s="421">
        <f>C388*12/52</f>
        <v>0</v>
      </c>
      <c r="E388" s="446">
        <f>IFERROR(D388/SUM(PROD!L383:L389),0)</f>
        <v>0</v>
      </c>
      <c r="F388" s="447">
        <f>IFERROR(E388/SUM(E382:E388,J382:J388,O382:O387),0)</f>
        <v>0</v>
      </c>
      <c r="G388" s="448" t="str">
        <f>$G$17</f>
        <v>Adecuación Instalaciones</v>
      </c>
      <c r="H388" s="445">
        <f t="shared" si="68"/>
        <v>0</v>
      </c>
      <c r="I388" s="426">
        <f t="shared" ref="I388:I451" si="79">H388*12/52</f>
        <v>0</v>
      </c>
      <c r="J388" s="446">
        <f>IFERROR(I388/SUM(PROD!L383:L389),0)</f>
        <v>0</v>
      </c>
      <c r="K388" s="447">
        <f>IFERROR(J388/SUM(E382:E388,J382:J388,O382:O387),0)</f>
        <v>0</v>
      </c>
      <c r="L388" s="2311" t="str">
        <f>$L$10</f>
        <v>TOTAL COSTO PRODUCCIÓN</v>
      </c>
      <c r="M388" s="2312"/>
      <c r="N388" s="427">
        <f>SUM(D382:D388,I382:I388,N382:N387)</f>
        <v>0</v>
      </c>
      <c r="O388" s="449">
        <f>IFERROR(N388/SUM(PROD!L383:L389),0)</f>
        <v>0</v>
      </c>
      <c r="P388" s="447">
        <f>IFERROR(O388/SUM(E382:E388,J382:J388,O382:O387),0)</f>
        <v>0</v>
      </c>
      <c r="Q388" s="429" t="str">
        <f>$Q$10</f>
        <v>D</v>
      </c>
      <c r="R388" s="499">
        <f t="shared" si="69"/>
        <v>0</v>
      </c>
      <c r="S388" s="871">
        <f>SUM(PROD!AS383:AS389)</f>
        <v>0</v>
      </c>
      <c r="T388" s="431">
        <f>IF(AA382&gt;0,S388/AA382,0)</f>
        <v>0</v>
      </c>
      <c r="U388" s="432" t="str">
        <f>$U$10</f>
        <v>Rev. Peq</v>
      </c>
      <c r="V388" s="499">
        <f t="shared" si="70"/>
        <v>0</v>
      </c>
      <c r="W388" s="871">
        <f>SUM(PROD!AV383:AV389)</f>
        <v>0</v>
      </c>
      <c r="X388" s="431">
        <f>IFERROR(W388/(AA387-AA385),0)</f>
        <v>0</v>
      </c>
      <c r="Y388" s="2304"/>
      <c r="Z388" s="2306"/>
      <c r="AA388" s="2309"/>
      <c r="AB388" s="2310"/>
    </row>
    <row r="389" spans="1:28" ht="16.5" customHeight="1" x14ac:dyDescent="0.3">
      <c r="A389" s="2300">
        <f>A382+1</f>
        <v>73</v>
      </c>
      <c r="B389" s="433" t="str">
        <f>$B$4</f>
        <v>ALIMENTO Kilos</v>
      </c>
      <c r="C389" s="435">
        <f>LOOKUP($A389,PROD!$A$5:$A$725,PROD!$AH$10:$AH$730)</f>
        <v>0</v>
      </c>
      <c r="D389" s="368">
        <f>C389*LOOKUP($A389,'Pr-Sem'!$A$6:$A$108,'Pr-Sem'!$N$6:$N$108)/(PROD!$A$1/1000)</f>
        <v>0</v>
      </c>
      <c r="E389" s="369">
        <f>IFERROR(D389/SUM(PROD!L390:L396),0)</f>
        <v>0</v>
      </c>
      <c r="F389" s="370">
        <f>IFERROR(E389/SUM(E389:E395,J389:J395,O389:O394),0)</f>
        <v>0</v>
      </c>
      <c r="G389" s="434" t="str">
        <f>$G$11</f>
        <v>Honorarios</v>
      </c>
      <c r="H389" s="435">
        <f t="shared" si="68"/>
        <v>0</v>
      </c>
      <c r="I389" s="372">
        <f t="shared" si="79"/>
        <v>0</v>
      </c>
      <c r="J389" s="369">
        <f>IFERROR(I389/SUM(PROD!L390:L396),0)</f>
        <v>0</v>
      </c>
      <c r="K389" s="370">
        <f>IFERROR(J389/SUM(E389:E395,J389:J395,O389:O394),0)</f>
        <v>0</v>
      </c>
      <c r="L389" s="436" t="str">
        <f>$L$4</f>
        <v>Gastos de Viaje</v>
      </c>
      <c r="M389" s="435">
        <f t="shared" ref="M389:M394" si="80">M382</f>
        <v>0</v>
      </c>
      <c r="N389" s="372">
        <f>M389*12/52</f>
        <v>0</v>
      </c>
      <c r="O389" s="369">
        <f>IFERROR(N389/SUM(PROD!L390:L396),0)</f>
        <v>0</v>
      </c>
      <c r="P389" s="370">
        <f>IFERROR(O389/SUM(E389:E395,J389:J395,O389:O394),0)</f>
        <v>0</v>
      </c>
      <c r="Q389" s="373" t="str">
        <f>$Q$4</f>
        <v>AAAA</v>
      </c>
      <c r="R389" s="374">
        <f t="shared" si="69"/>
        <v>0</v>
      </c>
      <c r="S389" s="869">
        <f>SUM(PROD!AM390:AM396)</f>
        <v>0</v>
      </c>
      <c r="T389" s="375">
        <f>IF(AA389&gt;0,S389/AA389,0)</f>
        <v>0</v>
      </c>
      <c r="U389" s="376" t="str">
        <f>$U$4</f>
        <v>Prob Color</v>
      </c>
      <c r="V389" s="374">
        <f t="shared" si="70"/>
        <v>0</v>
      </c>
      <c r="W389" s="869">
        <f>SUM(PROD!AW390:AW396)</f>
        <v>0</v>
      </c>
      <c r="X389" s="375">
        <f>IFERROR(W389/(AA394-AA392),0)</f>
        <v>0</v>
      </c>
      <c r="Y389" s="377" t="s">
        <v>323</v>
      </c>
      <c r="Z389" s="378">
        <f>SUMPRODUCT(R389:R395,T389:T395)</f>
        <v>0</v>
      </c>
      <c r="AA389" s="379">
        <f>SUM(S389:S395)</f>
        <v>0</v>
      </c>
      <c r="AB389" s="490">
        <f>IF(AA394&gt;0,AA389/AA394,0)</f>
        <v>0</v>
      </c>
    </row>
    <row r="390" spans="1:28" ht="15.75" customHeight="1" x14ac:dyDescent="0.3">
      <c r="A390" s="2301"/>
      <c r="B390" s="438" t="str">
        <f>$B$5</f>
        <v>Amortización de Aves</v>
      </c>
      <c r="C390" s="381">
        <f>IFERROR((C383-(D390/'Pr-Sem'!$O$2)),0)</f>
        <v>0</v>
      </c>
      <c r="D390" s="382">
        <f>SUM(PROD!L390:L396)*E390</f>
        <v>0</v>
      </c>
      <c r="E390" s="383">
        <f>IF(SUM(PROD!L390:L396)&gt;0,IFERROR(($C$1-$C$2)/LOOKUP($B$2,'Pr-Sem'!$A$6:$A$108,'Pr-Sem'!$L$6:$L$108)*(LOOKUP(INVENTARIOS!$A389,'Pr-Sem'!$A$6:$A$108,'Pr-Sem'!$L$6:$L$108)-LOOKUP(INVENTARIOS!$A389-1,'Pr-Sem'!$A$6:$A$108,'Pr-Sem'!$L$6:$L$108))/(LOOKUP(INVENTARIOS!$A389,'Pr-Sem'!$A$6:$A$108,'Pr-Sem'!$K$6:$K$108)-LOOKUP(INVENTARIOS!$A389-1,'Pr-Sem'!$A$6:$A$108,'Pr-Sem'!$K$6:$K$108)),0),0)</f>
        <v>0</v>
      </c>
      <c r="F390" s="384">
        <f>IFERROR(E390/SUM(E389:E395,J389:J395,O389:O394),0)</f>
        <v>0</v>
      </c>
      <c r="G390" s="439" t="str">
        <f>$G$12</f>
        <v>Impuestos</v>
      </c>
      <c r="H390" s="440">
        <f t="shared" si="68"/>
        <v>0</v>
      </c>
      <c r="I390" s="387">
        <f t="shared" si="79"/>
        <v>0</v>
      </c>
      <c r="J390" s="383">
        <f>IFERROR(I390/SUM(PROD!L390:L396),0)</f>
        <v>0</v>
      </c>
      <c r="K390" s="384">
        <f>IFERROR(J390/SUM(E389:E395,J389:J395,O389:O394),0)</f>
        <v>0</v>
      </c>
      <c r="L390" s="439" t="str">
        <f>$L$5</f>
        <v>Depreciaciones</v>
      </c>
      <c r="M390" s="401">
        <f t="shared" si="80"/>
        <v>0</v>
      </c>
      <c r="N390" s="390">
        <f>M390*12/52</f>
        <v>0</v>
      </c>
      <c r="O390" s="383">
        <f>IFERROR(N390/SUM(PROD!L390:L396),0)</f>
        <v>0</v>
      </c>
      <c r="P390" s="384">
        <f>IFERROR(O390/SUM(E389:E395,J389:J395,O389:O394),0)</f>
        <v>0</v>
      </c>
      <c r="Q390" s="491" t="str">
        <f>$Q$5</f>
        <v>AAA</v>
      </c>
      <c r="R390" s="392">
        <f t="shared" si="69"/>
        <v>0</v>
      </c>
      <c r="S390" s="870">
        <f>SUM(PROD!AN390:AN396)</f>
        <v>0</v>
      </c>
      <c r="T390" s="492">
        <f>IF(AA389&gt;0,S390/AA389,0)</f>
        <v>0</v>
      </c>
      <c r="U390" s="493" t="str">
        <f>$U$5</f>
        <v>Prob Cásc</v>
      </c>
      <c r="V390" s="392">
        <f t="shared" si="70"/>
        <v>0</v>
      </c>
      <c r="W390" s="870">
        <f>SUM(PROD!AX390:AX396)</f>
        <v>0</v>
      </c>
      <c r="X390" s="492">
        <f>IFERROR(W390/(AA394-AA392),0)</f>
        <v>0</v>
      </c>
      <c r="Y390" s="395" t="s">
        <v>324</v>
      </c>
      <c r="Z390" s="396">
        <f>IFERROR(SUMPRODUCT(V389:V392,W389:W392)/SUM(W389:W392),0)</f>
        <v>0</v>
      </c>
      <c r="AA390" s="397">
        <f>SUM(W389:W392)</f>
        <v>0</v>
      </c>
      <c r="AB390" s="494">
        <f>IF(AA394&gt;0,AA390/AA394,0)</f>
        <v>0</v>
      </c>
    </row>
    <row r="391" spans="1:28" ht="15.75" customHeight="1" x14ac:dyDescent="0.3">
      <c r="A391" s="2301"/>
      <c r="B391" s="399" t="str">
        <f>$B$6</f>
        <v>Bandeja</v>
      </c>
      <c r="C391" s="400">
        <f>C384</f>
        <v>0</v>
      </c>
      <c r="D391" s="387">
        <f>C391*SUM(INVENTARIOS!R389:R395)</f>
        <v>0</v>
      </c>
      <c r="E391" s="383">
        <f>IFERROR(D391/SUM(PROD!L390:L396),0)</f>
        <v>0</v>
      </c>
      <c r="F391" s="384">
        <f>IFERROR(E391/SUM(E389:E395,J389:J395,O389:O394),0)</f>
        <v>0</v>
      </c>
      <c r="G391" s="439" t="str">
        <f>$G$13</f>
        <v>Arrendamientos</v>
      </c>
      <c r="H391" s="401">
        <f t="shared" si="68"/>
        <v>0</v>
      </c>
      <c r="I391" s="390">
        <f t="shared" si="79"/>
        <v>0</v>
      </c>
      <c r="J391" s="383">
        <f>IFERROR(I391/SUM(PROD!L390:L396),0)</f>
        <v>0</v>
      </c>
      <c r="K391" s="384">
        <f>IFERROR(J391/SUM(E389:E395,J389:J395,O389:O394),0)</f>
        <v>0</v>
      </c>
      <c r="L391" s="439" t="str">
        <f>$L$6</f>
        <v>Diversos</v>
      </c>
      <c r="M391" s="401">
        <f t="shared" si="80"/>
        <v>0</v>
      </c>
      <c r="N391" s="390">
        <f>M391*12/52</f>
        <v>0</v>
      </c>
      <c r="O391" s="383">
        <f>IFERROR(N391/SUM(PROD!L390:L396),0)</f>
        <v>0</v>
      </c>
      <c r="P391" s="384">
        <f>IFERROR(O391/SUM(E389:E395,J389:J395,O389:O394),0)</f>
        <v>0</v>
      </c>
      <c r="Q391" s="491" t="str">
        <f>$Q$6</f>
        <v>AA</v>
      </c>
      <c r="R391" s="392">
        <f t="shared" si="69"/>
        <v>0</v>
      </c>
      <c r="S391" s="870">
        <f>SUM(PROD!AO390:AO396)</f>
        <v>0</v>
      </c>
      <c r="T391" s="492">
        <f>IF(AA389&gt;0,S391/AA389,0)</f>
        <v>0</v>
      </c>
      <c r="U391" s="493" t="str">
        <f>$U$6</f>
        <v>Vencido</v>
      </c>
      <c r="V391" s="392">
        <f t="shared" si="70"/>
        <v>0</v>
      </c>
      <c r="W391" s="870">
        <f>SUM(PROD!AY390:AY396)</f>
        <v>0</v>
      </c>
      <c r="X391" s="492">
        <f>IFERROR(W391/(AA394-AA392),0)</f>
        <v>0</v>
      </c>
      <c r="Y391" s="402" t="s">
        <v>391</v>
      </c>
      <c r="Z391" s="456">
        <v>0</v>
      </c>
      <c r="AA391" s="720"/>
      <c r="AB391" s="495">
        <f>IF(AA394&gt;0,AA391/AA394,0)</f>
        <v>0</v>
      </c>
    </row>
    <row r="392" spans="1:28" ht="15.75" customHeight="1" x14ac:dyDescent="0.3">
      <c r="A392" s="2301"/>
      <c r="B392" s="438" t="str">
        <f>$B$7</f>
        <v>Mortalidad Aves</v>
      </c>
      <c r="C392" s="401">
        <f>IF(A389&lt;=$B$2,C390+$C$2,0)</f>
        <v>0</v>
      </c>
      <c r="D392" s="390">
        <f>C392*SUM(PROD!D390:D396)</f>
        <v>0</v>
      </c>
      <c r="E392" s="383">
        <f>IFERROR(D392/SUM(PROD!L390:L396),0)</f>
        <v>0</v>
      </c>
      <c r="F392" s="384">
        <f>IFERROR(E392/SUM(E389:E395,J389:J395,O389:O394),0)</f>
        <v>0</v>
      </c>
      <c r="G392" s="439" t="str">
        <f>$G$14</f>
        <v>Servicios Públicos</v>
      </c>
      <c r="H392" s="401">
        <f t="shared" si="68"/>
        <v>0</v>
      </c>
      <c r="I392" s="390">
        <f t="shared" si="79"/>
        <v>0</v>
      </c>
      <c r="J392" s="383">
        <f>IFERROR(I392/SUM(PROD!L390:L396),0)</f>
        <v>0</v>
      </c>
      <c r="K392" s="384">
        <f>IFERROR(J392/SUM(E389:E395,J389:J395,O389:O394),0)</f>
        <v>0</v>
      </c>
      <c r="L392" s="441" t="str">
        <f>$L$7</f>
        <v>Administrativos</v>
      </c>
      <c r="M392" s="401">
        <f t="shared" si="80"/>
        <v>0</v>
      </c>
      <c r="N392" s="404">
        <f>M392*0.230769230769231</f>
        <v>0</v>
      </c>
      <c r="O392" s="383">
        <f>IFERROR(N392/SUM(PROD!L390:L396),0)</f>
        <v>0</v>
      </c>
      <c r="P392" s="384">
        <f>IFERROR(O392/SUM(E389:E395,J389:J395,O389:O394),0)</f>
        <v>0</v>
      </c>
      <c r="Q392" s="491" t="str">
        <f>$Q$7</f>
        <v>A</v>
      </c>
      <c r="R392" s="392">
        <f t="shared" si="69"/>
        <v>0</v>
      </c>
      <c r="S392" s="870">
        <f>SUM(PROD!AP390:AP396)</f>
        <v>0</v>
      </c>
      <c r="T392" s="492">
        <f>IF(AA389&gt;0,S392/AA389,0)</f>
        <v>0</v>
      </c>
      <c r="U392" s="405" t="str">
        <f>$U$7</f>
        <v>Roto</v>
      </c>
      <c r="V392" s="406">
        <f t="shared" si="70"/>
        <v>0</v>
      </c>
      <c r="W392" s="872">
        <f>SUM(PROD!AZ390:AZ396)</f>
        <v>0</v>
      </c>
      <c r="X392" s="407">
        <f>IFERROR(W392/(AA394-AA392),0)</f>
        <v>0</v>
      </c>
      <c r="Y392" s="408" t="s">
        <v>359</v>
      </c>
      <c r="Z392" s="442">
        <v>215</v>
      </c>
      <c r="AA392" s="410">
        <f>SUM(PROD!L390:L396)-SUM(W389:W395)-SUM(S389:S395)-AA391</f>
        <v>0</v>
      </c>
      <c r="AB392" s="496">
        <f>IF(AA394&gt;0,AA392/AA394,0)</f>
        <v>0</v>
      </c>
    </row>
    <row r="393" spans="1:28" ht="15.75" customHeight="1" x14ac:dyDescent="0.3">
      <c r="A393" s="2301"/>
      <c r="B393" s="399" t="str">
        <f>$B$8</f>
        <v>Materia Prima (Carb Ca, etc.)</v>
      </c>
      <c r="C393" s="440">
        <f>C386</f>
        <v>0</v>
      </c>
      <c r="D393" s="387">
        <f>C393*12/52</f>
        <v>0</v>
      </c>
      <c r="E393" s="383">
        <f>IFERROR(D393/SUM(PROD!L390:L396),0)</f>
        <v>0</v>
      </c>
      <c r="F393" s="384">
        <f>IFERROR(E393/SUM(E389:E395,J389:J395,O389:O394),0)</f>
        <v>0</v>
      </c>
      <c r="G393" s="441" t="str">
        <f>$G$15</f>
        <v>Gastos Legales</v>
      </c>
      <c r="H393" s="401">
        <f t="shared" si="68"/>
        <v>0</v>
      </c>
      <c r="I393" s="390">
        <f t="shared" si="79"/>
        <v>0</v>
      </c>
      <c r="J393" s="383">
        <f>IFERROR(I393/SUM(PROD!L390:L396),0)</f>
        <v>0</v>
      </c>
      <c r="K393" s="384">
        <f>IFERROR(J393/SUM(E389:E395,J389:J395,O389:O394),0)</f>
        <v>0</v>
      </c>
      <c r="L393" s="439" t="str">
        <f>$L$8</f>
        <v>Fletes</v>
      </c>
      <c r="M393" s="401">
        <f t="shared" si="80"/>
        <v>0</v>
      </c>
      <c r="N393" s="404">
        <f>M393*0.230769230769231</f>
        <v>0</v>
      </c>
      <c r="O393" s="383">
        <f>IFERROR(N393/SUM(PROD!L390:L396),0)</f>
        <v>0</v>
      </c>
      <c r="P393" s="384">
        <f>IFERROR(O393/SUM(E389:E395,J389:J395,O389:O394),0)</f>
        <v>0</v>
      </c>
      <c r="Q393" s="491" t="str">
        <f>$Q$8</f>
        <v>B</v>
      </c>
      <c r="R393" s="392">
        <f t="shared" si="69"/>
        <v>0</v>
      </c>
      <c r="S393" s="870">
        <f>SUM(PROD!AQ390:AQ396)</f>
        <v>0</v>
      </c>
      <c r="T393" s="492">
        <f>IF(AA389&gt;0,S393/AA389,0)</f>
        <v>0</v>
      </c>
      <c r="U393" s="395" t="str">
        <f>$U$8</f>
        <v>Rev. Gr.</v>
      </c>
      <c r="V393" s="412">
        <f t="shared" si="70"/>
        <v>0</v>
      </c>
      <c r="W393" s="873">
        <f>SUM(PROD!AT390:AT396)</f>
        <v>0</v>
      </c>
      <c r="X393" s="413">
        <f>IFERROR(W393/(AA394-AA392),0)</f>
        <v>0</v>
      </c>
      <c r="Y393" s="414" t="s">
        <v>262</v>
      </c>
      <c r="Z393" s="415">
        <f>IFERROR(SUMPRODUCT(V393:V395,W393:W395)/SUM(W393:W395),0)</f>
        <v>0</v>
      </c>
      <c r="AA393" s="416">
        <f>SUM(W393:W395)</f>
        <v>0</v>
      </c>
      <c r="AB393" s="497">
        <f>IF(AA394&gt;0,AA393/AA394,0)</f>
        <v>0</v>
      </c>
    </row>
    <row r="394" spans="1:28" ht="15.75" customHeight="1" x14ac:dyDescent="0.3">
      <c r="A394" s="2301"/>
      <c r="B394" s="438" t="str">
        <f>$B$9</f>
        <v>Vacunas y medicamentos</v>
      </c>
      <c r="C394" s="443">
        <f>C387</f>
        <v>0</v>
      </c>
      <c r="D394" s="387">
        <f>C394*12/52</f>
        <v>0</v>
      </c>
      <c r="E394" s="383">
        <f>IFERROR(D394/SUM(PROD!L390:L396),0)</f>
        <v>0</v>
      </c>
      <c r="F394" s="384">
        <f>IFERROR(E394/SUM(E389:E395,J389:J395,O389:O394),0)</f>
        <v>0</v>
      </c>
      <c r="G394" s="441" t="str">
        <f>$G$16</f>
        <v>Mantenimiento y Reparaciones</v>
      </c>
      <c r="H394" s="401">
        <f t="shared" si="68"/>
        <v>0</v>
      </c>
      <c r="I394" s="390">
        <f t="shared" si="79"/>
        <v>0</v>
      </c>
      <c r="J394" s="383">
        <f>IFERROR(I394/SUM(PROD!L390:L396),0)</f>
        <v>0</v>
      </c>
      <c r="K394" s="384">
        <f>IFERROR(J394/SUM(E389:E395,J389:J395,O389:O394),0)</f>
        <v>0</v>
      </c>
      <c r="L394" s="439">
        <f>$L$9</f>
        <v>0</v>
      </c>
      <c r="M394" s="401">
        <f t="shared" si="80"/>
        <v>0</v>
      </c>
      <c r="N394" s="404">
        <f>M394*0.230769230769231</f>
        <v>0</v>
      </c>
      <c r="O394" s="383">
        <f>IFERROR(N394/SUM(PROD!L390:L396),0)</f>
        <v>0</v>
      </c>
      <c r="P394" s="384">
        <f>IFERROR(O394/SUM(E389:E395,J389:J395,O389:O394),0)</f>
        <v>0</v>
      </c>
      <c r="Q394" s="491" t="str">
        <f>$Q$9</f>
        <v>C</v>
      </c>
      <c r="R394" s="392">
        <f t="shared" si="69"/>
        <v>0</v>
      </c>
      <c r="S394" s="870">
        <f>SUM(PROD!AR390:AR396)</f>
        <v>0</v>
      </c>
      <c r="T394" s="492">
        <f>IF(AA389&gt;0,S394/AA389,0)</f>
        <v>0</v>
      </c>
      <c r="U394" s="493" t="str">
        <f>$U$9</f>
        <v>Rev. Med</v>
      </c>
      <c r="V394" s="392">
        <f t="shared" si="70"/>
        <v>0</v>
      </c>
      <c r="W394" s="870">
        <f>SUM(PROD!AU390:AU396)</f>
        <v>0</v>
      </c>
      <c r="X394" s="498">
        <f>IFERROR(W394/(AA394-AA392),0)</f>
        <v>0</v>
      </c>
      <c r="Y394" s="2303" t="s">
        <v>325</v>
      </c>
      <c r="Z394" s="2305">
        <f>SUMPRODUCT(Z389:Z393,AB389:AB393)</f>
        <v>0</v>
      </c>
      <c r="AA394" s="2307">
        <f>SUM(AA389:AA392)</f>
        <v>0</v>
      </c>
      <c r="AB394" s="2308"/>
    </row>
    <row r="395" spans="1:28" ht="16.5" customHeight="1" thickBot="1" x14ac:dyDescent="0.35">
      <c r="A395" s="2302"/>
      <c r="B395" s="444" t="str">
        <f>$B$10</f>
        <v>Gastos de Personal</v>
      </c>
      <c r="C395" s="445">
        <f>C388</f>
        <v>0</v>
      </c>
      <c r="D395" s="421">
        <f>C395*12/52</f>
        <v>0</v>
      </c>
      <c r="E395" s="446">
        <f>IFERROR(D395/SUM(PROD!L390:L396),0)</f>
        <v>0</v>
      </c>
      <c r="F395" s="447">
        <f>IFERROR(E395/SUM(E389:E395,J389:J395,O389:O394),0)</f>
        <v>0</v>
      </c>
      <c r="G395" s="448" t="str">
        <f>$G$17</f>
        <v>Adecuación Instalaciones</v>
      </c>
      <c r="H395" s="445">
        <f t="shared" ref="H395:H456" si="81">H388</f>
        <v>0</v>
      </c>
      <c r="I395" s="426">
        <f t="shared" si="79"/>
        <v>0</v>
      </c>
      <c r="J395" s="446">
        <f>IFERROR(I395/SUM(PROD!L390:L396),0)</f>
        <v>0</v>
      </c>
      <c r="K395" s="447">
        <f>IFERROR(J395/SUM(E389:E395,J389:J395,O389:O394),0)</f>
        <v>0</v>
      </c>
      <c r="L395" s="2311" t="str">
        <f>$L$10</f>
        <v>TOTAL COSTO PRODUCCIÓN</v>
      </c>
      <c r="M395" s="2312"/>
      <c r="N395" s="427">
        <f>SUM(D389:D395,I389:I395,N389:N394)</f>
        <v>0</v>
      </c>
      <c r="O395" s="449">
        <f>IFERROR(N395/SUM(PROD!L390:L396),0)</f>
        <v>0</v>
      </c>
      <c r="P395" s="447">
        <f>IFERROR(O395/SUM(E389:E395,J389:J395,O389:O394),0)</f>
        <v>0</v>
      </c>
      <c r="Q395" s="429" t="str">
        <f>$Q$10</f>
        <v>D</v>
      </c>
      <c r="R395" s="499">
        <f t="shared" ref="R395:R458" si="82">R388</f>
        <v>0</v>
      </c>
      <c r="S395" s="871">
        <f>SUM(PROD!AS390:AS396)</f>
        <v>0</v>
      </c>
      <c r="T395" s="431">
        <f>IF(AA389&gt;0,S395/AA389,0)</f>
        <v>0</v>
      </c>
      <c r="U395" s="432" t="str">
        <f>$U$10</f>
        <v>Rev. Peq</v>
      </c>
      <c r="V395" s="499">
        <f t="shared" ref="V395:V458" si="83">V388</f>
        <v>0</v>
      </c>
      <c r="W395" s="871">
        <f>SUM(PROD!AV390:AV396)</f>
        <v>0</v>
      </c>
      <c r="X395" s="431">
        <f>IFERROR(W395/(AA394-AA392),0)</f>
        <v>0</v>
      </c>
      <c r="Y395" s="2304"/>
      <c r="Z395" s="2306"/>
      <c r="AA395" s="2309"/>
      <c r="AB395" s="2310"/>
    </row>
    <row r="396" spans="1:28" ht="16.5" customHeight="1" x14ac:dyDescent="0.3">
      <c r="A396" s="2300">
        <f>A389+1</f>
        <v>74</v>
      </c>
      <c r="B396" s="433" t="str">
        <f>$B$4</f>
        <v>ALIMENTO Kilos</v>
      </c>
      <c r="C396" s="435">
        <f>LOOKUP($A396,PROD!$A$5:$A$725,PROD!$AH$10:$AH$730)</f>
        <v>0</v>
      </c>
      <c r="D396" s="368">
        <f>C396*LOOKUP($A396,'Pr-Sem'!$A$6:$A$108,'Pr-Sem'!$N$6:$N$108)/(PROD!$A$1/1000)</f>
        <v>0</v>
      </c>
      <c r="E396" s="369">
        <f>IFERROR(D396/SUM(PROD!L397:L403),0)</f>
        <v>0</v>
      </c>
      <c r="F396" s="370">
        <f>IFERROR(E396/SUM(E396:E402,J396:J402,O396:O401),0)</f>
        <v>0</v>
      </c>
      <c r="G396" s="434" t="str">
        <f>$G$11</f>
        <v>Honorarios</v>
      </c>
      <c r="H396" s="435">
        <f t="shared" si="81"/>
        <v>0</v>
      </c>
      <c r="I396" s="372">
        <f t="shared" si="79"/>
        <v>0</v>
      </c>
      <c r="J396" s="369">
        <f>IFERROR(I396/SUM(PROD!L397:L403),0)</f>
        <v>0</v>
      </c>
      <c r="K396" s="370">
        <f>IFERROR(J396/SUM(E396:E402,J396:J402,O396:O401),0)</f>
        <v>0</v>
      </c>
      <c r="L396" s="436" t="str">
        <f>$L$4</f>
        <v>Gastos de Viaje</v>
      </c>
      <c r="M396" s="435">
        <f t="shared" ref="M396:M401" si="84">M389</f>
        <v>0</v>
      </c>
      <c r="N396" s="372">
        <f>M396*12/52</f>
        <v>0</v>
      </c>
      <c r="O396" s="369">
        <f>IFERROR(N396/SUM(PROD!L397:L403),0)</f>
        <v>0</v>
      </c>
      <c r="P396" s="370">
        <f>IFERROR(O396/SUM(E396:E402,J396:J402,O396:O401),0)</f>
        <v>0</v>
      </c>
      <c r="Q396" s="373" t="str">
        <f>$Q$4</f>
        <v>AAAA</v>
      </c>
      <c r="R396" s="374">
        <f t="shared" si="82"/>
        <v>0</v>
      </c>
      <c r="S396" s="869">
        <f>SUM(PROD!AM397:AM403)</f>
        <v>0</v>
      </c>
      <c r="T396" s="375">
        <f>IF(AA396&gt;0,S396/AA396,0)</f>
        <v>0</v>
      </c>
      <c r="U396" s="376" t="str">
        <f>$U$4</f>
        <v>Prob Color</v>
      </c>
      <c r="V396" s="374">
        <f t="shared" si="83"/>
        <v>0</v>
      </c>
      <c r="W396" s="869">
        <f>SUM(PROD!AW397:AW403)</f>
        <v>0</v>
      </c>
      <c r="X396" s="375">
        <f>IFERROR(W396/(AA401-AA399),0)</f>
        <v>0</v>
      </c>
      <c r="Y396" s="377" t="s">
        <v>323</v>
      </c>
      <c r="Z396" s="378">
        <f>SUMPRODUCT(R396:R402,T396:T402)</f>
        <v>0</v>
      </c>
      <c r="AA396" s="379">
        <f>SUM(S396:S402)</f>
        <v>0</v>
      </c>
      <c r="AB396" s="490">
        <f>IF(AA401&gt;0,AA396/AA401,0)</f>
        <v>0</v>
      </c>
    </row>
    <row r="397" spans="1:28" ht="15.75" customHeight="1" x14ac:dyDescent="0.3">
      <c r="A397" s="2301"/>
      <c r="B397" s="438" t="str">
        <f>$B$5</f>
        <v>Amortización de Aves</v>
      </c>
      <c r="C397" s="381">
        <f>IFERROR((C390-(D397/'Pr-Sem'!$O$2)),0)</f>
        <v>0</v>
      </c>
      <c r="D397" s="382">
        <f>SUM(PROD!L397:L403)*E397</f>
        <v>0</v>
      </c>
      <c r="E397" s="383">
        <f>IF(SUM(PROD!L397:L403)&gt;0,IFERROR(($C$1-$C$2)/LOOKUP($B$2,'Pr-Sem'!$A$6:$A$108,'Pr-Sem'!$L$6:$L$108)*(LOOKUP(INVENTARIOS!$A396,'Pr-Sem'!$A$6:$A$108,'Pr-Sem'!$L$6:$L$108)-LOOKUP(INVENTARIOS!$A396-1,'Pr-Sem'!$A$6:$A$108,'Pr-Sem'!$L$6:$L$108))/(LOOKUP(INVENTARIOS!$A396,'Pr-Sem'!$A$6:$A$108,'Pr-Sem'!$K$6:$K$108)-LOOKUP(INVENTARIOS!$A396-1,'Pr-Sem'!$A$6:$A$108,'Pr-Sem'!$K$6:$K$108)),0),0)</f>
        <v>0</v>
      </c>
      <c r="F397" s="384">
        <f>IFERROR(E397/SUM(E396:E402,J396:J402,O396:O401),0)</f>
        <v>0</v>
      </c>
      <c r="G397" s="439" t="str">
        <f>$G$12</f>
        <v>Impuestos</v>
      </c>
      <c r="H397" s="440">
        <f t="shared" si="81"/>
        <v>0</v>
      </c>
      <c r="I397" s="387">
        <f t="shared" si="79"/>
        <v>0</v>
      </c>
      <c r="J397" s="383">
        <f>IFERROR(I397/SUM(PROD!L397:L403),0)</f>
        <v>0</v>
      </c>
      <c r="K397" s="384">
        <f>IFERROR(J397/SUM(E396:E402,J396:J402,O396:O401),0)</f>
        <v>0</v>
      </c>
      <c r="L397" s="439" t="str">
        <f>$L$5</f>
        <v>Depreciaciones</v>
      </c>
      <c r="M397" s="401">
        <f t="shared" si="84"/>
        <v>0</v>
      </c>
      <c r="N397" s="390">
        <f>M397*12/52</f>
        <v>0</v>
      </c>
      <c r="O397" s="383">
        <f>IFERROR(N397/SUM(PROD!L397:L403),0)</f>
        <v>0</v>
      </c>
      <c r="P397" s="384">
        <f>IFERROR(O397/SUM(E396:E402,J396:J402,O396:O401),0)</f>
        <v>0</v>
      </c>
      <c r="Q397" s="491" t="str">
        <f>$Q$5</f>
        <v>AAA</v>
      </c>
      <c r="R397" s="392">
        <f t="shared" si="82"/>
        <v>0</v>
      </c>
      <c r="S397" s="870">
        <f>SUM(PROD!AN397:AN403)</f>
        <v>0</v>
      </c>
      <c r="T397" s="492">
        <f>IF(AA396&gt;0,S397/AA396,0)</f>
        <v>0</v>
      </c>
      <c r="U397" s="493" t="str">
        <f>$U$5</f>
        <v>Prob Cásc</v>
      </c>
      <c r="V397" s="392">
        <f t="shared" si="83"/>
        <v>0</v>
      </c>
      <c r="W397" s="870">
        <f>SUM(PROD!AX397:AX403)</f>
        <v>0</v>
      </c>
      <c r="X397" s="492">
        <f>IFERROR(W397/(AA401-AA399),0)</f>
        <v>0</v>
      </c>
      <c r="Y397" s="395" t="s">
        <v>324</v>
      </c>
      <c r="Z397" s="396">
        <f>IFERROR(SUMPRODUCT(V396:V399,W396:W399)/SUM(W396:W399),0)</f>
        <v>0</v>
      </c>
      <c r="AA397" s="397">
        <f>SUM(W396:W399)</f>
        <v>0</v>
      </c>
      <c r="AB397" s="494">
        <f>IF(AA401&gt;0,AA397/AA401,0)</f>
        <v>0</v>
      </c>
    </row>
    <row r="398" spans="1:28" ht="15.75" customHeight="1" x14ac:dyDescent="0.3">
      <c r="A398" s="2301"/>
      <c r="B398" s="399" t="str">
        <f>$B$6</f>
        <v>Bandeja</v>
      </c>
      <c r="C398" s="400">
        <f>C391</f>
        <v>0</v>
      </c>
      <c r="D398" s="387">
        <f>C398*SUM(INVENTARIOS!R396:R402)</f>
        <v>0</v>
      </c>
      <c r="E398" s="383">
        <f>IFERROR(D398/SUM(PROD!L397:L403),0)</f>
        <v>0</v>
      </c>
      <c r="F398" s="384">
        <f>IFERROR(E398/SUM(E396:E402,J396:J402,O396:O401),0)</f>
        <v>0</v>
      </c>
      <c r="G398" s="439" t="str">
        <f>$G$13</f>
        <v>Arrendamientos</v>
      </c>
      <c r="H398" s="401">
        <f t="shared" si="81"/>
        <v>0</v>
      </c>
      <c r="I398" s="390">
        <f t="shared" si="79"/>
        <v>0</v>
      </c>
      <c r="J398" s="383">
        <f>IFERROR(I398/SUM(PROD!L397:L403),0)</f>
        <v>0</v>
      </c>
      <c r="K398" s="384">
        <f>IFERROR(J398/SUM(E396:E402,J396:J402,O396:O401),0)</f>
        <v>0</v>
      </c>
      <c r="L398" s="439" t="str">
        <f>$L$6</f>
        <v>Diversos</v>
      </c>
      <c r="M398" s="401">
        <f t="shared" si="84"/>
        <v>0</v>
      </c>
      <c r="N398" s="390">
        <f>M398*12/52</f>
        <v>0</v>
      </c>
      <c r="O398" s="383">
        <f>IFERROR(N398/SUM(PROD!L397:L403),0)</f>
        <v>0</v>
      </c>
      <c r="P398" s="384">
        <f>IFERROR(O398/SUM(E396:E402,J396:J402,O396:O401),0)</f>
        <v>0</v>
      </c>
      <c r="Q398" s="491" t="str">
        <f>$Q$6</f>
        <v>AA</v>
      </c>
      <c r="R398" s="392">
        <f t="shared" si="82"/>
        <v>0</v>
      </c>
      <c r="S398" s="870">
        <f>SUM(PROD!AO397:AO403)</f>
        <v>0</v>
      </c>
      <c r="T398" s="492">
        <f>IF(AA396&gt;0,S398/AA396,0)</f>
        <v>0</v>
      </c>
      <c r="U398" s="493" t="str">
        <f>$U$6</f>
        <v>Vencido</v>
      </c>
      <c r="V398" s="392">
        <f t="shared" si="83"/>
        <v>0</v>
      </c>
      <c r="W398" s="870">
        <f>SUM(PROD!AY397:AY403)</f>
        <v>0</v>
      </c>
      <c r="X398" s="492">
        <f>IFERROR(W398/(AA401-AA399),0)</f>
        <v>0</v>
      </c>
      <c r="Y398" s="402" t="s">
        <v>391</v>
      </c>
      <c r="Z398" s="456">
        <v>0</v>
      </c>
      <c r="AA398" s="720"/>
      <c r="AB398" s="495">
        <f>IF(AA401&gt;0,AA398/AA401,0)</f>
        <v>0</v>
      </c>
    </row>
    <row r="399" spans="1:28" ht="15.75" customHeight="1" x14ac:dyDescent="0.3">
      <c r="A399" s="2301"/>
      <c r="B399" s="438" t="str">
        <f>$B$7</f>
        <v>Mortalidad Aves</v>
      </c>
      <c r="C399" s="401">
        <f>IF(A396&lt;=$B$2,C397+$C$2,0)</f>
        <v>0</v>
      </c>
      <c r="D399" s="390">
        <f>C399*SUM(PROD!D397:D403)</f>
        <v>0</v>
      </c>
      <c r="E399" s="383">
        <f>IFERROR(D399/SUM(PROD!L397:L403),0)</f>
        <v>0</v>
      </c>
      <c r="F399" s="384">
        <f>IFERROR(E399/SUM(E396:E402,J396:J402,O396:O401),0)</f>
        <v>0</v>
      </c>
      <c r="G399" s="439" t="str">
        <f>$G$14</f>
        <v>Servicios Públicos</v>
      </c>
      <c r="H399" s="401">
        <f t="shared" si="81"/>
        <v>0</v>
      </c>
      <c r="I399" s="390">
        <f t="shared" si="79"/>
        <v>0</v>
      </c>
      <c r="J399" s="383">
        <f>IFERROR(I399/SUM(PROD!L397:L403),0)</f>
        <v>0</v>
      </c>
      <c r="K399" s="384">
        <f>IFERROR(J399/SUM(E396:E402,J396:J402,O396:O401),0)</f>
        <v>0</v>
      </c>
      <c r="L399" s="441" t="str">
        <f>$L$7</f>
        <v>Administrativos</v>
      </c>
      <c r="M399" s="401">
        <f t="shared" si="84"/>
        <v>0</v>
      </c>
      <c r="N399" s="404">
        <f>M399*0.230769230769231</f>
        <v>0</v>
      </c>
      <c r="O399" s="383">
        <f>IFERROR(N399/SUM(PROD!L397:L403),0)</f>
        <v>0</v>
      </c>
      <c r="P399" s="384">
        <f>IFERROR(O399/SUM(E396:E402,J396:J402,O396:O401),0)</f>
        <v>0</v>
      </c>
      <c r="Q399" s="491" t="str">
        <f>$Q$7</f>
        <v>A</v>
      </c>
      <c r="R399" s="392">
        <f t="shared" si="82"/>
        <v>0</v>
      </c>
      <c r="S399" s="870">
        <f>SUM(PROD!AP397:AP403)</f>
        <v>0</v>
      </c>
      <c r="T399" s="492">
        <f>IF(AA396&gt;0,S399/AA396,0)</f>
        <v>0</v>
      </c>
      <c r="U399" s="405" t="str">
        <f>$U$7</f>
        <v>Roto</v>
      </c>
      <c r="V399" s="406">
        <f t="shared" si="83"/>
        <v>0</v>
      </c>
      <c r="W399" s="872">
        <f>SUM(PROD!AZ397:AZ403)</f>
        <v>0</v>
      </c>
      <c r="X399" s="407">
        <f>IFERROR(W399/(AA401-AA399),0)</f>
        <v>0</v>
      </c>
      <c r="Y399" s="408" t="s">
        <v>359</v>
      </c>
      <c r="Z399" s="442">
        <v>215</v>
      </c>
      <c r="AA399" s="410">
        <f>SUM(PROD!L397:L403)-SUM(W396:W402)-SUM(S396:S402)-AA398</f>
        <v>0</v>
      </c>
      <c r="AB399" s="496">
        <f>IF(AA401&gt;0,AA399/AA401,0)</f>
        <v>0</v>
      </c>
    </row>
    <row r="400" spans="1:28" ht="15.75" customHeight="1" x14ac:dyDescent="0.3">
      <c r="A400" s="2301"/>
      <c r="B400" s="399" t="str">
        <f>$B$8</f>
        <v>Materia Prima (Carb Ca, etc.)</v>
      </c>
      <c r="C400" s="440">
        <f>C393</f>
        <v>0</v>
      </c>
      <c r="D400" s="387">
        <f>C400*12/52</f>
        <v>0</v>
      </c>
      <c r="E400" s="383">
        <f>IFERROR(D400/SUM(PROD!L397:L403),0)</f>
        <v>0</v>
      </c>
      <c r="F400" s="384">
        <f>IFERROR(E400/SUM(E396:E402,J396:J402,O396:O401),0)</f>
        <v>0</v>
      </c>
      <c r="G400" s="441" t="str">
        <f>$G$15</f>
        <v>Gastos Legales</v>
      </c>
      <c r="H400" s="401">
        <f t="shared" si="81"/>
        <v>0</v>
      </c>
      <c r="I400" s="390">
        <f t="shared" si="79"/>
        <v>0</v>
      </c>
      <c r="J400" s="383">
        <f>IFERROR(I400/SUM(PROD!L397:L403),0)</f>
        <v>0</v>
      </c>
      <c r="K400" s="384">
        <f>IFERROR(J400/SUM(E396:E402,J396:J402,O396:O401),0)</f>
        <v>0</v>
      </c>
      <c r="L400" s="439" t="str">
        <f>$L$8</f>
        <v>Fletes</v>
      </c>
      <c r="M400" s="401">
        <f t="shared" si="84"/>
        <v>0</v>
      </c>
      <c r="N400" s="404">
        <f>M400*0.230769230769231</f>
        <v>0</v>
      </c>
      <c r="O400" s="383">
        <f>IFERROR(N400/SUM(PROD!L397:L403),0)</f>
        <v>0</v>
      </c>
      <c r="P400" s="384">
        <f>IFERROR(O400/SUM(E396:E402,J396:J402,O396:O401),0)</f>
        <v>0</v>
      </c>
      <c r="Q400" s="491" t="str">
        <f>$Q$8</f>
        <v>B</v>
      </c>
      <c r="R400" s="392">
        <f t="shared" si="82"/>
        <v>0</v>
      </c>
      <c r="S400" s="870">
        <f>SUM(PROD!AQ397:AQ403)</f>
        <v>0</v>
      </c>
      <c r="T400" s="492">
        <f>IF(AA396&gt;0,S400/AA396,0)</f>
        <v>0</v>
      </c>
      <c r="U400" s="395" t="str">
        <f>$U$8</f>
        <v>Rev. Gr.</v>
      </c>
      <c r="V400" s="412">
        <f t="shared" si="83"/>
        <v>0</v>
      </c>
      <c r="W400" s="873">
        <f>SUM(PROD!AT397:AT403)</f>
        <v>0</v>
      </c>
      <c r="X400" s="413">
        <f>IFERROR(W400/(AA401-AA399),0)</f>
        <v>0</v>
      </c>
      <c r="Y400" s="414" t="s">
        <v>262</v>
      </c>
      <c r="Z400" s="415">
        <f>IFERROR(SUMPRODUCT(V400:V402,W400:W402)/SUM(W400:W402),0)</f>
        <v>0</v>
      </c>
      <c r="AA400" s="416">
        <f>SUM(W400:W402)</f>
        <v>0</v>
      </c>
      <c r="AB400" s="497">
        <f>IF(AA401&gt;0,AA400/AA401,0)</f>
        <v>0</v>
      </c>
    </row>
    <row r="401" spans="1:28" ht="15.75" customHeight="1" x14ac:dyDescent="0.3">
      <c r="A401" s="2301"/>
      <c r="B401" s="438" t="str">
        <f>$B$9</f>
        <v>Vacunas y medicamentos</v>
      </c>
      <c r="C401" s="443">
        <f>C394</f>
        <v>0</v>
      </c>
      <c r="D401" s="387">
        <f>C401*12/52</f>
        <v>0</v>
      </c>
      <c r="E401" s="383">
        <f>IFERROR(D401/SUM(PROD!L397:L403),0)</f>
        <v>0</v>
      </c>
      <c r="F401" s="384">
        <f>IFERROR(E401/SUM(E396:E402,J396:J402,O396:O401),0)</f>
        <v>0</v>
      </c>
      <c r="G401" s="441" t="str">
        <f>$G$16</f>
        <v>Mantenimiento y Reparaciones</v>
      </c>
      <c r="H401" s="401">
        <f t="shared" si="81"/>
        <v>0</v>
      </c>
      <c r="I401" s="390">
        <f t="shared" si="79"/>
        <v>0</v>
      </c>
      <c r="J401" s="383">
        <f>IFERROR(I401/SUM(PROD!L397:L403),0)</f>
        <v>0</v>
      </c>
      <c r="K401" s="384">
        <f>IFERROR(J401/SUM(E396:E402,J396:J402,O396:O401),0)</f>
        <v>0</v>
      </c>
      <c r="L401" s="439">
        <f>$L$9</f>
        <v>0</v>
      </c>
      <c r="M401" s="401">
        <f t="shared" si="84"/>
        <v>0</v>
      </c>
      <c r="N401" s="404">
        <f>M401*0.230769230769231</f>
        <v>0</v>
      </c>
      <c r="O401" s="383">
        <f>IFERROR(N401/SUM(PROD!L397:L403),0)</f>
        <v>0</v>
      </c>
      <c r="P401" s="384">
        <f>IFERROR(O401/SUM(E396:E402,J396:J402,O396:O401),0)</f>
        <v>0</v>
      </c>
      <c r="Q401" s="491" t="str">
        <f>$Q$9</f>
        <v>C</v>
      </c>
      <c r="R401" s="392">
        <f t="shared" si="82"/>
        <v>0</v>
      </c>
      <c r="S401" s="870">
        <f>SUM(PROD!AR397:AR403)</f>
        <v>0</v>
      </c>
      <c r="T401" s="492">
        <f>IF(AA396&gt;0,S401/AA396,0)</f>
        <v>0</v>
      </c>
      <c r="U401" s="493" t="str">
        <f>$U$9</f>
        <v>Rev. Med</v>
      </c>
      <c r="V401" s="392">
        <f t="shared" si="83"/>
        <v>0</v>
      </c>
      <c r="W401" s="870">
        <f>SUM(PROD!AU397:AU403)</f>
        <v>0</v>
      </c>
      <c r="X401" s="498">
        <f>IFERROR(W401/(AA401-AA399),0)</f>
        <v>0</v>
      </c>
      <c r="Y401" s="2303" t="s">
        <v>325</v>
      </c>
      <c r="Z401" s="2305">
        <f>SUMPRODUCT(Z396:Z400,AB396:AB400)</f>
        <v>0</v>
      </c>
      <c r="AA401" s="2307">
        <f>SUM(AA396:AA399)</f>
        <v>0</v>
      </c>
      <c r="AB401" s="2308"/>
    </row>
    <row r="402" spans="1:28" ht="16.5" customHeight="1" thickBot="1" x14ac:dyDescent="0.35">
      <c r="A402" s="2302"/>
      <c r="B402" s="444" t="str">
        <f>$B$10</f>
        <v>Gastos de Personal</v>
      </c>
      <c r="C402" s="445">
        <f>C395</f>
        <v>0</v>
      </c>
      <c r="D402" s="421">
        <f>C402*12/52</f>
        <v>0</v>
      </c>
      <c r="E402" s="446">
        <f>IFERROR(D402/SUM(PROD!L397:L403),0)</f>
        <v>0</v>
      </c>
      <c r="F402" s="447">
        <f>IFERROR(E402/SUM(E396:E402,J396:J402,O396:O401),0)</f>
        <v>0</v>
      </c>
      <c r="G402" s="448" t="str">
        <f>$G$17</f>
        <v>Adecuación Instalaciones</v>
      </c>
      <c r="H402" s="445">
        <f t="shared" si="81"/>
        <v>0</v>
      </c>
      <c r="I402" s="426">
        <f t="shared" si="79"/>
        <v>0</v>
      </c>
      <c r="J402" s="446">
        <f>IFERROR(I402/SUM(PROD!L397:L403),0)</f>
        <v>0</v>
      </c>
      <c r="K402" s="447">
        <f>IFERROR(J402/SUM(E396:E402,J396:J402,O396:O401),0)</f>
        <v>0</v>
      </c>
      <c r="L402" s="2311" t="str">
        <f>$L$10</f>
        <v>TOTAL COSTO PRODUCCIÓN</v>
      </c>
      <c r="M402" s="2312"/>
      <c r="N402" s="427">
        <f>SUM(D396:D402,I396:I402,N396:N401)</f>
        <v>0</v>
      </c>
      <c r="O402" s="449">
        <f>IFERROR(N402/SUM(PROD!L397:L403),0)</f>
        <v>0</v>
      </c>
      <c r="P402" s="447">
        <f>IFERROR(O402/SUM(E396:E402,J396:J402,O396:O401),0)</f>
        <v>0</v>
      </c>
      <c r="Q402" s="429" t="str">
        <f>$Q$10</f>
        <v>D</v>
      </c>
      <c r="R402" s="499">
        <f t="shared" si="82"/>
        <v>0</v>
      </c>
      <c r="S402" s="871">
        <f>SUM(PROD!AS397:AS403)</f>
        <v>0</v>
      </c>
      <c r="T402" s="431">
        <f>IF(AA396&gt;0,S402/AA396,0)</f>
        <v>0</v>
      </c>
      <c r="U402" s="432" t="str">
        <f>$U$10</f>
        <v>Rev. Peq</v>
      </c>
      <c r="V402" s="499">
        <f t="shared" si="83"/>
        <v>0</v>
      </c>
      <c r="W402" s="871">
        <f>SUM(PROD!AV397:AV403)</f>
        <v>0</v>
      </c>
      <c r="X402" s="431">
        <f>IFERROR(W402/(AA401-AA399),0)</f>
        <v>0</v>
      </c>
      <c r="Y402" s="2304"/>
      <c r="Z402" s="2306"/>
      <c r="AA402" s="2309"/>
      <c r="AB402" s="2310"/>
    </row>
    <row r="403" spans="1:28" ht="16.5" customHeight="1" x14ac:dyDescent="0.3">
      <c r="A403" s="2300">
        <f>A396+1</f>
        <v>75</v>
      </c>
      <c r="B403" s="433" t="str">
        <f>$B$4</f>
        <v>ALIMENTO Kilos</v>
      </c>
      <c r="C403" s="435">
        <f>LOOKUP($A403,PROD!$A$5:$A$725,PROD!$AH$10:$AH$730)</f>
        <v>0</v>
      </c>
      <c r="D403" s="368">
        <f>C403*LOOKUP($A403,'Pr-Sem'!$A$6:$A$108,'Pr-Sem'!$N$6:$N$108)/(PROD!$A$1/1000)</f>
        <v>0</v>
      </c>
      <c r="E403" s="369">
        <f>IFERROR(D403/SUM(PROD!L404:L410),0)</f>
        <v>0</v>
      </c>
      <c r="F403" s="370">
        <f>IFERROR(E403/SUM(E403:E409,J403:J409,O403:O408),0)</f>
        <v>0</v>
      </c>
      <c r="G403" s="434" t="str">
        <f>$G$11</f>
        <v>Honorarios</v>
      </c>
      <c r="H403" s="435">
        <f t="shared" si="81"/>
        <v>0</v>
      </c>
      <c r="I403" s="372">
        <f t="shared" si="79"/>
        <v>0</v>
      </c>
      <c r="J403" s="369">
        <f>IFERROR(I403/SUM(PROD!L404:L410),0)</f>
        <v>0</v>
      </c>
      <c r="K403" s="370">
        <f>IFERROR(J403/SUM(E403:E409,J403:J409,O403:O408),0)</f>
        <v>0</v>
      </c>
      <c r="L403" s="436" t="str">
        <f>$L$4</f>
        <v>Gastos de Viaje</v>
      </c>
      <c r="M403" s="435">
        <f t="shared" ref="M403:M408" si="85">M396</f>
        <v>0</v>
      </c>
      <c r="N403" s="372">
        <f>M403*12/52</f>
        <v>0</v>
      </c>
      <c r="O403" s="369">
        <f>IFERROR(N403/SUM(PROD!L404:L410),0)</f>
        <v>0</v>
      </c>
      <c r="P403" s="370">
        <f>IFERROR(O403/SUM(E403:E409,J403:J409,O403:O408),0)</f>
        <v>0</v>
      </c>
      <c r="Q403" s="373" t="str">
        <f>$Q$4</f>
        <v>AAAA</v>
      </c>
      <c r="R403" s="374">
        <f t="shared" si="82"/>
        <v>0</v>
      </c>
      <c r="S403" s="869">
        <f>SUM(PROD!AM404:AM410)</f>
        <v>0</v>
      </c>
      <c r="T403" s="375">
        <f>IF(AA403&gt;0,S403/AA403,0)</f>
        <v>0</v>
      </c>
      <c r="U403" s="376" t="str">
        <f>$U$4</f>
        <v>Prob Color</v>
      </c>
      <c r="V403" s="374">
        <f t="shared" si="83"/>
        <v>0</v>
      </c>
      <c r="W403" s="869">
        <f>SUM(PROD!AW404:AW410)</f>
        <v>0</v>
      </c>
      <c r="X403" s="375">
        <f>IFERROR(W403/(AA408-AA406),0)</f>
        <v>0</v>
      </c>
      <c r="Y403" s="377" t="s">
        <v>323</v>
      </c>
      <c r="Z403" s="378">
        <f>SUMPRODUCT(R403:R409,T403:T409)</f>
        <v>0</v>
      </c>
      <c r="AA403" s="379">
        <f>SUM(S403:S409)</f>
        <v>0</v>
      </c>
      <c r="AB403" s="490">
        <f>IF(AA408&gt;0,AA403/AA408,0)</f>
        <v>0</v>
      </c>
    </row>
    <row r="404" spans="1:28" ht="15.75" customHeight="1" x14ac:dyDescent="0.3">
      <c r="A404" s="2301"/>
      <c r="B404" s="438" t="str">
        <f>$B$5</f>
        <v>Amortización de Aves</v>
      </c>
      <c r="C404" s="381">
        <f>IFERROR((C397-(D404/'Pr-Sem'!$O$2)),0)</f>
        <v>0</v>
      </c>
      <c r="D404" s="382">
        <f>SUM(PROD!L404:L410)*E404</f>
        <v>0</v>
      </c>
      <c r="E404" s="383">
        <f>IF(SUM(PROD!L404:L410)&gt;0,IFERROR(($C$1-$C$2)/LOOKUP($B$2,'Pr-Sem'!$A$6:$A$108,'Pr-Sem'!$L$6:$L$108)*(LOOKUP(INVENTARIOS!$A403,'Pr-Sem'!$A$6:$A$108,'Pr-Sem'!$L$6:$L$108)-LOOKUP(INVENTARIOS!$A403-1,'Pr-Sem'!$A$6:$A$108,'Pr-Sem'!$L$6:$L$108))/(LOOKUP(INVENTARIOS!$A403,'Pr-Sem'!$A$6:$A$108,'Pr-Sem'!$K$6:$K$108)-LOOKUP(INVENTARIOS!$A403-1,'Pr-Sem'!$A$6:$A$108,'Pr-Sem'!$K$6:$K$108)),0),0)</f>
        <v>0</v>
      </c>
      <c r="F404" s="384">
        <f>IFERROR(E404/SUM(E403:E409,J403:J409,O403:O408),0)</f>
        <v>0</v>
      </c>
      <c r="G404" s="439" t="str">
        <f>$G$12</f>
        <v>Impuestos</v>
      </c>
      <c r="H404" s="440">
        <f t="shared" si="81"/>
        <v>0</v>
      </c>
      <c r="I404" s="387">
        <f t="shared" si="79"/>
        <v>0</v>
      </c>
      <c r="J404" s="383">
        <f>IFERROR(I404/SUM(PROD!L404:L410),0)</f>
        <v>0</v>
      </c>
      <c r="K404" s="384">
        <f>IFERROR(J404/SUM(E403:E409,J403:J409,O403:O408),0)</f>
        <v>0</v>
      </c>
      <c r="L404" s="439" t="str">
        <f>$L$5</f>
        <v>Depreciaciones</v>
      </c>
      <c r="M404" s="401">
        <f t="shared" si="85"/>
        <v>0</v>
      </c>
      <c r="N404" s="390">
        <f>M404*12/52</f>
        <v>0</v>
      </c>
      <c r="O404" s="383">
        <f>IFERROR(N404/SUM(PROD!L404:L410),0)</f>
        <v>0</v>
      </c>
      <c r="P404" s="384">
        <f>IFERROR(O404/SUM(E403:E409,J403:J409,O403:O408),0)</f>
        <v>0</v>
      </c>
      <c r="Q404" s="491" t="str">
        <f>$Q$5</f>
        <v>AAA</v>
      </c>
      <c r="R404" s="392">
        <f t="shared" si="82"/>
        <v>0</v>
      </c>
      <c r="S404" s="870">
        <f>SUM(PROD!AN404:AN410)</f>
        <v>0</v>
      </c>
      <c r="T404" s="492">
        <f>IF(AA403&gt;0,S404/AA403,0)</f>
        <v>0</v>
      </c>
      <c r="U404" s="493" t="str">
        <f>$U$5</f>
        <v>Prob Cásc</v>
      </c>
      <c r="V404" s="392">
        <f t="shared" si="83"/>
        <v>0</v>
      </c>
      <c r="W404" s="870">
        <f>SUM(PROD!AX404:AX410)</f>
        <v>0</v>
      </c>
      <c r="X404" s="492">
        <f>IFERROR(W404/(AA408-AA406),0)</f>
        <v>0</v>
      </c>
      <c r="Y404" s="395" t="s">
        <v>324</v>
      </c>
      <c r="Z404" s="396">
        <f>IFERROR(SUMPRODUCT(V403:V406,W403:W406)/SUM(W403:W406),0)</f>
        <v>0</v>
      </c>
      <c r="AA404" s="397">
        <f>SUM(W403:W406)</f>
        <v>0</v>
      </c>
      <c r="AB404" s="494">
        <f>IF(AA408&gt;0,AA404/AA408,0)</f>
        <v>0</v>
      </c>
    </row>
    <row r="405" spans="1:28" ht="15.75" customHeight="1" x14ac:dyDescent="0.3">
      <c r="A405" s="2301"/>
      <c r="B405" s="399" t="str">
        <f>$B$6</f>
        <v>Bandeja</v>
      </c>
      <c r="C405" s="400">
        <f>C398</f>
        <v>0</v>
      </c>
      <c r="D405" s="387">
        <f>C405*SUM(INVENTARIOS!R403:R409)</f>
        <v>0</v>
      </c>
      <c r="E405" s="383">
        <f>IFERROR(D405/SUM(PROD!L404:L410),0)</f>
        <v>0</v>
      </c>
      <c r="F405" s="384">
        <f>IFERROR(E405/SUM(E403:E409,J403:J409,O403:O408),0)</f>
        <v>0</v>
      </c>
      <c r="G405" s="439" t="str">
        <f>$G$13</f>
        <v>Arrendamientos</v>
      </c>
      <c r="H405" s="401">
        <f t="shared" si="81"/>
        <v>0</v>
      </c>
      <c r="I405" s="390">
        <f t="shared" si="79"/>
        <v>0</v>
      </c>
      <c r="J405" s="383">
        <f>IFERROR(I405/SUM(PROD!L404:L410),0)</f>
        <v>0</v>
      </c>
      <c r="K405" s="384">
        <f>IFERROR(J405/SUM(E403:E409,J403:J409,O403:O408),0)</f>
        <v>0</v>
      </c>
      <c r="L405" s="439" t="str">
        <f>$L$6</f>
        <v>Diversos</v>
      </c>
      <c r="M405" s="401">
        <f t="shared" si="85"/>
        <v>0</v>
      </c>
      <c r="N405" s="390">
        <f>M405*12/52</f>
        <v>0</v>
      </c>
      <c r="O405" s="383">
        <f>IFERROR(N405/SUM(PROD!L404:L410),0)</f>
        <v>0</v>
      </c>
      <c r="P405" s="384">
        <f>IFERROR(O405/SUM(E403:E409,J403:J409,O403:O408),0)</f>
        <v>0</v>
      </c>
      <c r="Q405" s="491" t="str">
        <f>$Q$6</f>
        <v>AA</v>
      </c>
      <c r="R405" s="392">
        <f t="shared" si="82"/>
        <v>0</v>
      </c>
      <c r="S405" s="870">
        <f>SUM(PROD!AO404:AO410)</f>
        <v>0</v>
      </c>
      <c r="T405" s="492">
        <f>IF(AA403&gt;0,S405/AA403,0)</f>
        <v>0</v>
      </c>
      <c r="U405" s="493" t="str">
        <f>$U$6</f>
        <v>Vencido</v>
      </c>
      <c r="V405" s="392">
        <f t="shared" si="83"/>
        <v>0</v>
      </c>
      <c r="W405" s="870">
        <f>SUM(PROD!AY404:AY410)</f>
        <v>0</v>
      </c>
      <c r="X405" s="492">
        <f>IFERROR(W405/(AA408-AA406),0)</f>
        <v>0</v>
      </c>
      <c r="Y405" s="402" t="s">
        <v>391</v>
      </c>
      <c r="Z405" s="456">
        <v>0</v>
      </c>
      <c r="AA405" s="720"/>
      <c r="AB405" s="495">
        <f>IF(AA408&gt;0,AA405/AA408,0)</f>
        <v>0</v>
      </c>
    </row>
    <row r="406" spans="1:28" ht="15.75" customHeight="1" x14ac:dyDescent="0.3">
      <c r="A406" s="2301"/>
      <c r="B406" s="438" t="str">
        <f>$B$7</f>
        <v>Mortalidad Aves</v>
      </c>
      <c r="C406" s="401">
        <f>IF(A403&lt;=$B$2,C404+$C$2,0)</f>
        <v>0</v>
      </c>
      <c r="D406" s="390">
        <f>C406*SUM(PROD!D404:D410)</f>
        <v>0</v>
      </c>
      <c r="E406" s="383">
        <f>IFERROR(D406/SUM(PROD!L404:L410),0)</f>
        <v>0</v>
      </c>
      <c r="F406" s="384">
        <f>IFERROR(E406/SUM(E403:E409,J403:J409,O403:O408),0)</f>
        <v>0</v>
      </c>
      <c r="G406" s="439" t="str">
        <f>$G$14</f>
        <v>Servicios Públicos</v>
      </c>
      <c r="H406" s="401">
        <f t="shared" si="81"/>
        <v>0</v>
      </c>
      <c r="I406" s="390">
        <f t="shared" si="79"/>
        <v>0</v>
      </c>
      <c r="J406" s="383">
        <f>IFERROR(I406/SUM(PROD!L404:L410),0)</f>
        <v>0</v>
      </c>
      <c r="K406" s="384">
        <f>IFERROR(J406/SUM(E403:E409,J403:J409,O403:O408),0)</f>
        <v>0</v>
      </c>
      <c r="L406" s="441" t="str">
        <f>$L$7</f>
        <v>Administrativos</v>
      </c>
      <c r="M406" s="401">
        <f t="shared" si="85"/>
        <v>0</v>
      </c>
      <c r="N406" s="404">
        <f>M406*0.230769230769231</f>
        <v>0</v>
      </c>
      <c r="O406" s="383">
        <f>IFERROR(N406/SUM(PROD!L404:L410),0)</f>
        <v>0</v>
      </c>
      <c r="P406" s="384">
        <f>IFERROR(O406/SUM(E403:E409,J403:J409,O403:O408),0)</f>
        <v>0</v>
      </c>
      <c r="Q406" s="491" t="str">
        <f>$Q$7</f>
        <v>A</v>
      </c>
      <c r="R406" s="392">
        <f t="shared" si="82"/>
        <v>0</v>
      </c>
      <c r="S406" s="870">
        <f>SUM(PROD!AP404:AP410)</f>
        <v>0</v>
      </c>
      <c r="T406" s="492">
        <f>IF(AA403&gt;0,S406/AA403,0)</f>
        <v>0</v>
      </c>
      <c r="U406" s="405" t="str">
        <f>$U$7</f>
        <v>Roto</v>
      </c>
      <c r="V406" s="406">
        <f t="shared" si="83"/>
        <v>0</v>
      </c>
      <c r="W406" s="872">
        <f>SUM(PROD!AZ404:AZ410)</f>
        <v>0</v>
      </c>
      <c r="X406" s="407">
        <f>IFERROR(W406/(AA408-AA406),0)</f>
        <v>0</v>
      </c>
      <c r="Y406" s="408" t="s">
        <v>359</v>
      </c>
      <c r="Z406" s="442">
        <v>215</v>
      </c>
      <c r="AA406" s="410">
        <f>SUM(PROD!L404:L410)-SUM(W403:W409)-SUM(S403:S409)-AA405</f>
        <v>0</v>
      </c>
      <c r="AB406" s="496">
        <f>IF(AA408&gt;0,AA406/AA408,0)</f>
        <v>0</v>
      </c>
    </row>
    <row r="407" spans="1:28" ht="15.75" customHeight="1" x14ac:dyDescent="0.3">
      <c r="A407" s="2301"/>
      <c r="B407" s="399" t="str">
        <f>$B$8</f>
        <v>Materia Prima (Carb Ca, etc.)</v>
      </c>
      <c r="C407" s="440">
        <f>C400</f>
        <v>0</v>
      </c>
      <c r="D407" s="387">
        <f>C407*12/52</f>
        <v>0</v>
      </c>
      <c r="E407" s="383">
        <f>IFERROR(D407/SUM(PROD!L404:L410),0)</f>
        <v>0</v>
      </c>
      <c r="F407" s="384">
        <f>IFERROR(E407/SUM(E403:E409,J403:J409,O403:O408),0)</f>
        <v>0</v>
      </c>
      <c r="G407" s="441" t="str">
        <f>$G$15</f>
        <v>Gastos Legales</v>
      </c>
      <c r="H407" s="401">
        <f t="shared" si="81"/>
        <v>0</v>
      </c>
      <c r="I407" s="390">
        <f t="shared" si="79"/>
        <v>0</v>
      </c>
      <c r="J407" s="383">
        <f>IFERROR(I407/SUM(PROD!L404:L410),0)</f>
        <v>0</v>
      </c>
      <c r="K407" s="384">
        <f>IFERROR(J407/SUM(E403:E409,J403:J409,O403:O408),0)</f>
        <v>0</v>
      </c>
      <c r="L407" s="439" t="str">
        <f>$L$8</f>
        <v>Fletes</v>
      </c>
      <c r="M407" s="401">
        <f t="shared" si="85"/>
        <v>0</v>
      </c>
      <c r="N407" s="404">
        <f>M407*0.230769230769231</f>
        <v>0</v>
      </c>
      <c r="O407" s="383">
        <f>IFERROR(N407/SUM(PROD!L404:L410),0)</f>
        <v>0</v>
      </c>
      <c r="P407" s="384">
        <f>IFERROR(O407/SUM(E403:E409,J403:J409,O403:O408),0)</f>
        <v>0</v>
      </c>
      <c r="Q407" s="491" t="str">
        <f>$Q$8</f>
        <v>B</v>
      </c>
      <c r="R407" s="392">
        <f t="shared" si="82"/>
        <v>0</v>
      </c>
      <c r="S407" s="870">
        <f>SUM(PROD!AQ404:AQ410)</f>
        <v>0</v>
      </c>
      <c r="T407" s="492">
        <f>IF(AA403&gt;0,S407/AA403,0)</f>
        <v>0</v>
      </c>
      <c r="U407" s="395" t="str">
        <f>$U$8</f>
        <v>Rev. Gr.</v>
      </c>
      <c r="V407" s="412">
        <f t="shared" si="83"/>
        <v>0</v>
      </c>
      <c r="W407" s="873">
        <f>SUM(PROD!AT404:AT410)</f>
        <v>0</v>
      </c>
      <c r="X407" s="413">
        <f>IFERROR(W407/(AA408-AA406),0)</f>
        <v>0</v>
      </c>
      <c r="Y407" s="414" t="s">
        <v>262</v>
      </c>
      <c r="Z407" s="415">
        <f>IFERROR(SUMPRODUCT(V407:V409,W407:W409)/SUM(W407:W409),0)</f>
        <v>0</v>
      </c>
      <c r="AA407" s="416">
        <f>SUM(W407:W409)</f>
        <v>0</v>
      </c>
      <c r="AB407" s="497">
        <f>IF(AA408&gt;0,AA407/AA408,0)</f>
        <v>0</v>
      </c>
    </row>
    <row r="408" spans="1:28" ht="15.75" customHeight="1" x14ac:dyDescent="0.3">
      <c r="A408" s="2301"/>
      <c r="B408" s="438" t="str">
        <f>$B$9</f>
        <v>Vacunas y medicamentos</v>
      </c>
      <c r="C408" s="443">
        <f>C401</f>
        <v>0</v>
      </c>
      <c r="D408" s="387">
        <f>C408*12/52</f>
        <v>0</v>
      </c>
      <c r="E408" s="383">
        <f>IFERROR(D408/SUM(PROD!L404:L410),0)</f>
        <v>0</v>
      </c>
      <c r="F408" s="384">
        <f>IFERROR(E408/SUM(E403:E409,J403:J409,O403:O408),0)</f>
        <v>0</v>
      </c>
      <c r="G408" s="441" t="str">
        <f>$G$16</f>
        <v>Mantenimiento y Reparaciones</v>
      </c>
      <c r="H408" s="401">
        <f t="shared" si="81"/>
        <v>0</v>
      </c>
      <c r="I408" s="390">
        <f t="shared" si="79"/>
        <v>0</v>
      </c>
      <c r="J408" s="383">
        <f>IFERROR(I408/SUM(PROD!L404:L410),0)</f>
        <v>0</v>
      </c>
      <c r="K408" s="384">
        <f>IFERROR(J408/SUM(E403:E409,J403:J409,O403:O408),0)</f>
        <v>0</v>
      </c>
      <c r="L408" s="439">
        <f>$L$9</f>
        <v>0</v>
      </c>
      <c r="M408" s="401">
        <f t="shared" si="85"/>
        <v>0</v>
      </c>
      <c r="N408" s="404">
        <f>M408*0.230769230769231</f>
        <v>0</v>
      </c>
      <c r="O408" s="383">
        <f>IFERROR(N408/SUM(PROD!L404:L410),0)</f>
        <v>0</v>
      </c>
      <c r="P408" s="384">
        <f>IFERROR(O408/SUM(E403:E409,J403:J409,O403:O408),0)</f>
        <v>0</v>
      </c>
      <c r="Q408" s="491" t="str">
        <f>$Q$9</f>
        <v>C</v>
      </c>
      <c r="R408" s="392">
        <f t="shared" si="82"/>
        <v>0</v>
      </c>
      <c r="S408" s="870">
        <f>SUM(PROD!AR404:AR410)</f>
        <v>0</v>
      </c>
      <c r="T408" s="492">
        <f>IF(AA403&gt;0,S408/AA403,0)</f>
        <v>0</v>
      </c>
      <c r="U408" s="493" t="str">
        <f>$U$9</f>
        <v>Rev. Med</v>
      </c>
      <c r="V408" s="392">
        <f t="shared" si="83"/>
        <v>0</v>
      </c>
      <c r="W408" s="870">
        <f>SUM(PROD!AU404:AU410)</f>
        <v>0</v>
      </c>
      <c r="X408" s="498">
        <f>IFERROR(W408/(AA408-AA406),0)</f>
        <v>0</v>
      </c>
      <c r="Y408" s="2303" t="s">
        <v>325</v>
      </c>
      <c r="Z408" s="2305">
        <f>SUMPRODUCT(Z403:Z407,AB403:AB407)</f>
        <v>0</v>
      </c>
      <c r="AA408" s="2307">
        <f>SUM(AA403:AA406)</f>
        <v>0</v>
      </c>
      <c r="AB408" s="2308"/>
    </row>
    <row r="409" spans="1:28" ht="16.5" customHeight="1" thickBot="1" x14ac:dyDescent="0.35">
      <c r="A409" s="2302"/>
      <c r="B409" s="444" t="str">
        <f>$B$10</f>
        <v>Gastos de Personal</v>
      </c>
      <c r="C409" s="445">
        <f>C402</f>
        <v>0</v>
      </c>
      <c r="D409" s="421">
        <f>C409*12/52</f>
        <v>0</v>
      </c>
      <c r="E409" s="446">
        <f>IFERROR(D409/SUM(PROD!L404:L410),0)</f>
        <v>0</v>
      </c>
      <c r="F409" s="447">
        <f>IFERROR(E409/SUM(E403:E409,J403:J409,O403:O408),0)</f>
        <v>0</v>
      </c>
      <c r="G409" s="448" t="str">
        <f>$G$17</f>
        <v>Adecuación Instalaciones</v>
      </c>
      <c r="H409" s="445">
        <f t="shared" si="81"/>
        <v>0</v>
      </c>
      <c r="I409" s="426">
        <f t="shared" si="79"/>
        <v>0</v>
      </c>
      <c r="J409" s="446">
        <f>IFERROR(I409/SUM(PROD!L404:L410),0)</f>
        <v>0</v>
      </c>
      <c r="K409" s="447">
        <f>IFERROR(J409/SUM(E403:E409,J403:J409,O403:O408),0)</f>
        <v>0</v>
      </c>
      <c r="L409" s="2311" t="str">
        <f>$L$10</f>
        <v>TOTAL COSTO PRODUCCIÓN</v>
      </c>
      <c r="M409" s="2312"/>
      <c r="N409" s="427">
        <f>SUM(D403:D409,I403:I409,N403:N408)</f>
        <v>0</v>
      </c>
      <c r="O409" s="449">
        <f>IFERROR(N409/SUM(PROD!L404:L410),0)</f>
        <v>0</v>
      </c>
      <c r="P409" s="447">
        <f>IFERROR(O409/SUM(E403:E409,J403:J409,O403:O408),0)</f>
        <v>0</v>
      </c>
      <c r="Q409" s="429" t="str">
        <f>$Q$10</f>
        <v>D</v>
      </c>
      <c r="R409" s="499">
        <f t="shared" si="82"/>
        <v>0</v>
      </c>
      <c r="S409" s="871">
        <f>SUM(PROD!AS404:AS410)</f>
        <v>0</v>
      </c>
      <c r="T409" s="431">
        <f>IF(AA403&gt;0,S409/AA403,0)</f>
        <v>0</v>
      </c>
      <c r="U409" s="432" t="str">
        <f>$U$10</f>
        <v>Rev. Peq</v>
      </c>
      <c r="V409" s="499">
        <f t="shared" si="83"/>
        <v>0</v>
      </c>
      <c r="W409" s="871">
        <f>SUM(PROD!AV404:AV410)</f>
        <v>0</v>
      </c>
      <c r="X409" s="431">
        <f>IFERROR(W409/(AA408-AA406),0)</f>
        <v>0</v>
      </c>
      <c r="Y409" s="2304"/>
      <c r="Z409" s="2306"/>
      <c r="AA409" s="2309"/>
      <c r="AB409" s="2310"/>
    </row>
    <row r="410" spans="1:28" ht="16.5" customHeight="1" x14ac:dyDescent="0.3">
      <c r="A410" s="2300">
        <f>A403+1</f>
        <v>76</v>
      </c>
      <c r="B410" s="433" t="str">
        <f>$B$4</f>
        <v>ALIMENTO Kilos</v>
      </c>
      <c r="C410" s="435">
        <f>LOOKUP($A410,PROD!$A$5:$A$725,PROD!$AH$10:$AH$730)</f>
        <v>0</v>
      </c>
      <c r="D410" s="368">
        <f>C410*LOOKUP($A410,'Pr-Sem'!$A$6:$A$108,'Pr-Sem'!$N$6:$N$108)/(PROD!$A$1/1000)</f>
        <v>0</v>
      </c>
      <c r="E410" s="369">
        <f>IFERROR(D410/SUM(PROD!L411:L417),0)</f>
        <v>0</v>
      </c>
      <c r="F410" s="370">
        <f>IFERROR(E410/SUM(E410:E416,J410:J416,O410:O415),0)</f>
        <v>0</v>
      </c>
      <c r="G410" s="434" t="str">
        <f>$G$11</f>
        <v>Honorarios</v>
      </c>
      <c r="H410" s="435">
        <f t="shared" si="81"/>
        <v>0</v>
      </c>
      <c r="I410" s="372">
        <f t="shared" si="79"/>
        <v>0</v>
      </c>
      <c r="J410" s="369">
        <f>IFERROR(I410/SUM(PROD!L411:L417),0)</f>
        <v>0</v>
      </c>
      <c r="K410" s="370">
        <f>IFERROR(J410/SUM(E410:E416,J410:J416,O410:O415),0)</f>
        <v>0</v>
      </c>
      <c r="L410" s="436" t="str">
        <f>$L$4</f>
        <v>Gastos de Viaje</v>
      </c>
      <c r="M410" s="435">
        <f t="shared" ref="M410:M415" si="86">M403</f>
        <v>0</v>
      </c>
      <c r="N410" s="372">
        <f>M410*12/52</f>
        <v>0</v>
      </c>
      <c r="O410" s="369">
        <f>IFERROR(N410/SUM(PROD!L411:L417),0)</f>
        <v>0</v>
      </c>
      <c r="P410" s="370">
        <f>IFERROR(O410/SUM(E410:E416,J410:J416,O410:O415),0)</f>
        <v>0</v>
      </c>
      <c r="Q410" s="373" t="str">
        <f>$Q$4</f>
        <v>AAAA</v>
      </c>
      <c r="R410" s="374">
        <f t="shared" si="82"/>
        <v>0</v>
      </c>
      <c r="S410" s="869">
        <f>SUM(PROD!AM411:AM417)</f>
        <v>0</v>
      </c>
      <c r="T410" s="375">
        <f>IF(AA410&gt;0,S410/AA410,0)</f>
        <v>0</v>
      </c>
      <c r="U410" s="376" t="str">
        <f>$U$4</f>
        <v>Prob Color</v>
      </c>
      <c r="V410" s="374">
        <f t="shared" si="83"/>
        <v>0</v>
      </c>
      <c r="W410" s="869">
        <f>SUM(PROD!AW411:AW417)</f>
        <v>0</v>
      </c>
      <c r="X410" s="375">
        <f>IFERROR(W410/(AA415-AA413),0)</f>
        <v>0</v>
      </c>
      <c r="Y410" s="377" t="s">
        <v>323</v>
      </c>
      <c r="Z410" s="378">
        <f>SUMPRODUCT(R410:R416,T410:T416)</f>
        <v>0</v>
      </c>
      <c r="AA410" s="379">
        <f>SUM(S410:S416)</f>
        <v>0</v>
      </c>
      <c r="AB410" s="490">
        <f>IF(AA415&gt;0,AA410/AA415,0)</f>
        <v>0</v>
      </c>
    </row>
    <row r="411" spans="1:28" ht="15.75" customHeight="1" x14ac:dyDescent="0.3">
      <c r="A411" s="2301"/>
      <c r="B411" s="438" t="str">
        <f>$B$5</f>
        <v>Amortización de Aves</v>
      </c>
      <c r="C411" s="381">
        <f>IFERROR((C404-(D411/'Pr-Sem'!$O$2)),0)</f>
        <v>0</v>
      </c>
      <c r="D411" s="382">
        <f>SUM(PROD!L411:L417)*E411</f>
        <v>0</v>
      </c>
      <c r="E411" s="383">
        <f>IF(SUM(PROD!L411:L417)&gt;0,IFERROR(($C$1-$C$2)/LOOKUP($B$2,'Pr-Sem'!$A$6:$A$108,'Pr-Sem'!$L$6:$L$108)*(LOOKUP(INVENTARIOS!$A410,'Pr-Sem'!$A$6:$A$108,'Pr-Sem'!$L$6:$L$108)-LOOKUP(INVENTARIOS!$A410-1,'Pr-Sem'!$A$6:$A$108,'Pr-Sem'!$L$6:$L$108))/(LOOKUP(INVENTARIOS!$A410,'Pr-Sem'!$A$6:$A$108,'Pr-Sem'!$K$6:$K$108)-LOOKUP(INVENTARIOS!$A410-1,'Pr-Sem'!$A$6:$A$108,'Pr-Sem'!$K$6:$K$108)),0),0)</f>
        <v>0</v>
      </c>
      <c r="F411" s="384">
        <f>IFERROR(E411/SUM(E410:E416,J410:J416,O410:O415),0)</f>
        <v>0</v>
      </c>
      <c r="G411" s="439" t="str">
        <f>$G$12</f>
        <v>Impuestos</v>
      </c>
      <c r="H411" s="440">
        <f t="shared" si="81"/>
        <v>0</v>
      </c>
      <c r="I411" s="387">
        <f t="shared" si="79"/>
        <v>0</v>
      </c>
      <c r="J411" s="383">
        <f>IFERROR(I411/SUM(PROD!L411:L417),0)</f>
        <v>0</v>
      </c>
      <c r="K411" s="384">
        <f>IFERROR(J411/SUM(E410:E416,J410:J416,O410:O415),0)</f>
        <v>0</v>
      </c>
      <c r="L411" s="439" t="str">
        <f>$L$5</f>
        <v>Depreciaciones</v>
      </c>
      <c r="M411" s="401">
        <f t="shared" si="86"/>
        <v>0</v>
      </c>
      <c r="N411" s="390">
        <f>M411*12/52</f>
        <v>0</v>
      </c>
      <c r="O411" s="383">
        <f>IFERROR(N411/SUM(PROD!L411:L417),0)</f>
        <v>0</v>
      </c>
      <c r="P411" s="384">
        <f>IFERROR(O411/SUM(E410:E416,J410:J416,O410:O415),0)</f>
        <v>0</v>
      </c>
      <c r="Q411" s="491" t="str">
        <f>$Q$5</f>
        <v>AAA</v>
      </c>
      <c r="R411" s="392">
        <f t="shared" si="82"/>
        <v>0</v>
      </c>
      <c r="S411" s="870">
        <f>SUM(PROD!AN411:AN417)</f>
        <v>0</v>
      </c>
      <c r="T411" s="492">
        <f>IF(AA410&gt;0,S411/AA410,0)</f>
        <v>0</v>
      </c>
      <c r="U411" s="493" t="str">
        <f>$U$5</f>
        <v>Prob Cásc</v>
      </c>
      <c r="V411" s="392">
        <f t="shared" si="83"/>
        <v>0</v>
      </c>
      <c r="W411" s="870">
        <f>SUM(PROD!AX411:AX417)</f>
        <v>0</v>
      </c>
      <c r="X411" s="492">
        <f>IFERROR(W411/(AA415-AA413),0)</f>
        <v>0</v>
      </c>
      <c r="Y411" s="395" t="s">
        <v>324</v>
      </c>
      <c r="Z411" s="396">
        <f>IFERROR(SUMPRODUCT(V410:V413,W410:W413)/SUM(W410:W413),0)</f>
        <v>0</v>
      </c>
      <c r="AA411" s="397">
        <f>SUM(W410:W413)</f>
        <v>0</v>
      </c>
      <c r="AB411" s="494">
        <f>IF(AA415&gt;0,AA411/AA415,0)</f>
        <v>0</v>
      </c>
    </row>
    <row r="412" spans="1:28" ht="15.75" customHeight="1" x14ac:dyDescent="0.3">
      <c r="A412" s="2301"/>
      <c r="B412" s="399" t="str">
        <f>$B$6</f>
        <v>Bandeja</v>
      </c>
      <c r="C412" s="400">
        <f>C405</f>
        <v>0</v>
      </c>
      <c r="D412" s="387">
        <f>C412*SUM(INVENTARIOS!R410:R416)</f>
        <v>0</v>
      </c>
      <c r="E412" s="383">
        <f>IFERROR(D412/SUM(PROD!L411:L417),0)</f>
        <v>0</v>
      </c>
      <c r="F412" s="384">
        <f>IFERROR(E412/SUM(E410:E416,J410:J416,O410:O415),0)</f>
        <v>0</v>
      </c>
      <c r="G412" s="439" t="str">
        <f>$G$13</f>
        <v>Arrendamientos</v>
      </c>
      <c r="H412" s="401">
        <f t="shared" si="81"/>
        <v>0</v>
      </c>
      <c r="I412" s="390">
        <f t="shared" si="79"/>
        <v>0</v>
      </c>
      <c r="J412" s="383">
        <f>IFERROR(I412/SUM(PROD!L411:L417),0)</f>
        <v>0</v>
      </c>
      <c r="K412" s="384">
        <f>IFERROR(J412/SUM(E410:E416,J410:J416,O410:O415),0)</f>
        <v>0</v>
      </c>
      <c r="L412" s="439" t="str">
        <f>$L$6</f>
        <v>Diversos</v>
      </c>
      <c r="M412" s="401">
        <f t="shared" si="86"/>
        <v>0</v>
      </c>
      <c r="N412" s="390">
        <f>M412*12/52</f>
        <v>0</v>
      </c>
      <c r="O412" s="383">
        <f>IFERROR(N412/SUM(PROD!L411:L417),0)</f>
        <v>0</v>
      </c>
      <c r="P412" s="384">
        <f>IFERROR(O412/SUM(E410:E416,J410:J416,O410:O415),0)</f>
        <v>0</v>
      </c>
      <c r="Q412" s="491" t="str">
        <f>$Q$6</f>
        <v>AA</v>
      </c>
      <c r="R412" s="392">
        <f t="shared" si="82"/>
        <v>0</v>
      </c>
      <c r="S412" s="870">
        <f>SUM(PROD!AO411:AO417)</f>
        <v>0</v>
      </c>
      <c r="T412" s="492">
        <f>IF(AA410&gt;0,S412/AA410,0)</f>
        <v>0</v>
      </c>
      <c r="U412" s="493" t="str">
        <f>$U$6</f>
        <v>Vencido</v>
      </c>
      <c r="V412" s="392">
        <f t="shared" si="83"/>
        <v>0</v>
      </c>
      <c r="W412" s="870">
        <f>SUM(PROD!AY411:AY417)</f>
        <v>0</v>
      </c>
      <c r="X412" s="492">
        <f>IFERROR(W412/(AA415-AA413),0)</f>
        <v>0</v>
      </c>
      <c r="Y412" s="402" t="s">
        <v>391</v>
      </c>
      <c r="Z412" s="456">
        <v>0</v>
      </c>
      <c r="AA412" s="720"/>
      <c r="AB412" s="495">
        <f>IF(AA415&gt;0,AA412/AA415,0)</f>
        <v>0</v>
      </c>
    </row>
    <row r="413" spans="1:28" ht="15.75" customHeight="1" x14ac:dyDescent="0.3">
      <c r="A413" s="2301"/>
      <c r="B413" s="438" t="str">
        <f>$B$7</f>
        <v>Mortalidad Aves</v>
      </c>
      <c r="C413" s="401">
        <f>IF(A410&lt;=$B$2,C411+$C$2,0)</f>
        <v>0</v>
      </c>
      <c r="D413" s="390">
        <f>C413*SUM(PROD!D411:D417)</f>
        <v>0</v>
      </c>
      <c r="E413" s="383">
        <f>IFERROR(D413/SUM(PROD!L411:L417),0)</f>
        <v>0</v>
      </c>
      <c r="F413" s="384">
        <f>IFERROR(E413/SUM(E410:E416,J410:J416,O410:O415),0)</f>
        <v>0</v>
      </c>
      <c r="G413" s="439" t="str">
        <f>$G$14</f>
        <v>Servicios Públicos</v>
      </c>
      <c r="H413" s="401">
        <f t="shared" si="81"/>
        <v>0</v>
      </c>
      <c r="I413" s="390">
        <f t="shared" si="79"/>
        <v>0</v>
      </c>
      <c r="J413" s="383">
        <f>IFERROR(I413/SUM(PROD!L411:L417),0)</f>
        <v>0</v>
      </c>
      <c r="K413" s="384">
        <f>IFERROR(J413/SUM(E410:E416,J410:J416,O410:O415),0)</f>
        <v>0</v>
      </c>
      <c r="L413" s="441" t="str">
        <f>$L$7</f>
        <v>Administrativos</v>
      </c>
      <c r="M413" s="401">
        <f t="shared" si="86"/>
        <v>0</v>
      </c>
      <c r="N413" s="404">
        <f>M413*0.230769230769231</f>
        <v>0</v>
      </c>
      <c r="O413" s="383">
        <f>IFERROR(N413/SUM(PROD!L411:L417),0)</f>
        <v>0</v>
      </c>
      <c r="P413" s="384">
        <f>IFERROR(O413/SUM(E410:E416,J410:J416,O410:O415),0)</f>
        <v>0</v>
      </c>
      <c r="Q413" s="491" t="str">
        <f>$Q$7</f>
        <v>A</v>
      </c>
      <c r="R413" s="392">
        <f t="shared" si="82"/>
        <v>0</v>
      </c>
      <c r="S413" s="870">
        <f>SUM(PROD!AP411:AP417)</f>
        <v>0</v>
      </c>
      <c r="T413" s="492">
        <f>IF(AA410&gt;0,S413/AA410,0)</f>
        <v>0</v>
      </c>
      <c r="U413" s="405" t="str">
        <f>$U$7</f>
        <v>Roto</v>
      </c>
      <c r="V413" s="406">
        <f t="shared" si="83"/>
        <v>0</v>
      </c>
      <c r="W413" s="872">
        <f>SUM(PROD!AZ411:AZ417)</f>
        <v>0</v>
      </c>
      <c r="X413" s="407">
        <f>IFERROR(W413/(AA415-AA413),0)</f>
        <v>0</v>
      </c>
      <c r="Y413" s="408" t="s">
        <v>359</v>
      </c>
      <c r="Z413" s="442">
        <v>215</v>
      </c>
      <c r="AA413" s="410">
        <f>SUM(PROD!L411:L417)-SUM(W410:W416)-SUM(S410:S416)-AA412</f>
        <v>0</v>
      </c>
      <c r="AB413" s="496">
        <f>IF(AA415&gt;0,AA413/AA415,0)</f>
        <v>0</v>
      </c>
    </row>
    <row r="414" spans="1:28" ht="15.75" customHeight="1" x14ac:dyDescent="0.3">
      <c r="A414" s="2301"/>
      <c r="B414" s="399" t="str">
        <f>$B$8</f>
        <v>Materia Prima (Carb Ca, etc.)</v>
      </c>
      <c r="C414" s="440">
        <f>C407</f>
        <v>0</v>
      </c>
      <c r="D414" s="387">
        <f>C414*12/52</f>
        <v>0</v>
      </c>
      <c r="E414" s="383">
        <f>IFERROR(D414/SUM(PROD!L411:L417),0)</f>
        <v>0</v>
      </c>
      <c r="F414" s="384">
        <f>IFERROR(E414/SUM(E410:E416,J410:J416,O410:O415),0)</f>
        <v>0</v>
      </c>
      <c r="G414" s="441" t="str">
        <f>$G$15</f>
        <v>Gastos Legales</v>
      </c>
      <c r="H414" s="401">
        <f t="shared" si="81"/>
        <v>0</v>
      </c>
      <c r="I414" s="390">
        <f t="shared" si="79"/>
        <v>0</v>
      </c>
      <c r="J414" s="383">
        <f>IFERROR(I414/SUM(PROD!L411:L417),0)</f>
        <v>0</v>
      </c>
      <c r="K414" s="384">
        <f>IFERROR(J414/SUM(E410:E416,J410:J416,O410:O415),0)</f>
        <v>0</v>
      </c>
      <c r="L414" s="439" t="str">
        <f>$L$8</f>
        <v>Fletes</v>
      </c>
      <c r="M414" s="401">
        <f t="shared" si="86"/>
        <v>0</v>
      </c>
      <c r="N414" s="404">
        <f>M414*0.230769230769231</f>
        <v>0</v>
      </c>
      <c r="O414" s="383">
        <f>IFERROR(N414/SUM(PROD!L411:L417),0)</f>
        <v>0</v>
      </c>
      <c r="P414" s="384">
        <f>IFERROR(O414/SUM(E410:E416,J410:J416,O410:O415),0)</f>
        <v>0</v>
      </c>
      <c r="Q414" s="491" t="str">
        <f>$Q$8</f>
        <v>B</v>
      </c>
      <c r="R414" s="392">
        <f t="shared" si="82"/>
        <v>0</v>
      </c>
      <c r="S414" s="870">
        <f>SUM(PROD!AQ411:AQ417)</f>
        <v>0</v>
      </c>
      <c r="T414" s="492">
        <f>IF(AA410&gt;0,S414/AA410,0)</f>
        <v>0</v>
      </c>
      <c r="U414" s="395" t="str">
        <f>$U$8</f>
        <v>Rev. Gr.</v>
      </c>
      <c r="V414" s="412">
        <f t="shared" si="83"/>
        <v>0</v>
      </c>
      <c r="W414" s="873">
        <f>SUM(PROD!AT411:AT417)</f>
        <v>0</v>
      </c>
      <c r="X414" s="413">
        <f>IFERROR(W414/(AA415-AA413),0)</f>
        <v>0</v>
      </c>
      <c r="Y414" s="414" t="s">
        <v>262</v>
      </c>
      <c r="Z414" s="415">
        <f>IFERROR(SUMPRODUCT(V414:V416,W414:W416)/SUM(W414:W416),0)</f>
        <v>0</v>
      </c>
      <c r="AA414" s="416">
        <f>SUM(W414:W416)</f>
        <v>0</v>
      </c>
      <c r="AB414" s="497">
        <f>IF(AA415&gt;0,AA414/AA415,0)</f>
        <v>0</v>
      </c>
    </row>
    <row r="415" spans="1:28" ht="15.75" customHeight="1" x14ac:dyDescent="0.3">
      <c r="A415" s="2301"/>
      <c r="B415" s="438" t="str">
        <f>$B$9</f>
        <v>Vacunas y medicamentos</v>
      </c>
      <c r="C415" s="443">
        <f>C408</f>
        <v>0</v>
      </c>
      <c r="D415" s="387">
        <f>C415*12/52</f>
        <v>0</v>
      </c>
      <c r="E415" s="383">
        <f>IFERROR(D415/SUM(PROD!L411:L417),0)</f>
        <v>0</v>
      </c>
      <c r="F415" s="384">
        <f>IFERROR(E415/SUM(E410:E416,J410:J416,O410:O415),0)</f>
        <v>0</v>
      </c>
      <c r="G415" s="441" t="str">
        <f>$G$16</f>
        <v>Mantenimiento y Reparaciones</v>
      </c>
      <c r="H415" s="401">
        <f t="shared" si="81"/>
        <v>0</v>
      </c>
      <c r="I415" s="390">
        <f t="shared" si="79"/>
        <v>0</v>
      </c>
      <c r="J415" s="383">
        <f>IFERROR(I415/SUM(PROD!L411:L417),0)</f>
        <v>0</v>
      </c>
      <c r="K415" s="384">
        <f>IFERROR(J415/SUM(E410:E416,J410:J416,O410:O415),0)</f>
        <v>0</v>
      </c>
      <c r="L415" s="439">
        <f>$L$9</f>
        <v>0</v>
      </c>
      <c r="M415" s="401">
        <f t="shared" si="86"/>
        <v>0</v>
      </c>
      <c r="N415" s="404">
        <f>M415*0.230769230769231</f>
        <v>0</v>
      </c>
      <c r="O415" s="383">
        <f>IFERROR(N415/SUM(PROD!L411:L417),0)</f>
        <v>0</v>
      </c>
      <c r="P415" s="384">
        <f>IFERROR(O415/SUM(E410:E416,J410:J416,O410:O415),0)</f>
        <v>0</v>
      </c>
      <c r="Q415" s="491" t="str">
        <f>$Q$9</f>
        <v>C</v>
      </c>
      <c r="R415" s="392">
        <f t="shared" si="82"/>
        <v>0</v>
      </c>
      <c r="S415" s="870">
        <f>SUM(PROD!AR411:AR417)</f>
        <v>0</v>
      </c>
      <c r="T415" s="492">
        <f>IF(AA410&gt;0,S415/AA410,0)</f>
        <v>0</v>
      </c>
      <c r="U415" s="493" t="str">
        <f>$U$9</f>
        <v>Rev. Med</v>
      </c>
      <c r="V415" s="392">
        <f t="shared" si="83"/>
        <v>0</v>
      </c>
      <c r="W415" s="870">
        <f>SUM(PROD!AU411:AU417)</f>
        <v>0</v>
      </c>
      <c r="X415" s="498">
        <f>IFERROR(W415/(AA415-AA413),0)</f>
        <v>0</v>
      </c>
      <c r="Y415" s="2303" t="s">
        <v>325</v>
      </c>
      <c r="Z415" s="2305">
        <f>SUMPRODUCT(Z410:Z414,AB410:AB414)</f>
        <v>0</v>
      </c>
      <c r="AA415" s="2307">
        <f>SUM(AA410:AA413)</f>
        <v>0</v>
      </c>
      <c r="AB415" s="2308"/>
    </row>
    <row r="416" spans="1:28" ht="16.5" customHeight="1" thickBot="1" x14ac:dyDescent="0.35">
      <c r="A416" s="2302"/>
      <c r="B416" s="444" t="str">
        <f>$B$10</f>
        <v>Gastos de Personal</v>
      </c>
      <c r="C416" s="445">
        <f>C409</f>
        <v>0</v>
      </c>
      <c r="D416" s="421">
        <f>C416*12/52</f>
        <v>0</v>
      </c>
      <c r="E416" s="446">
        <f>IFERROR(D416/SUM(PROD!L411:L417),0)</f>
        <v>0</v>
      </c>
      <c r="F416" s="447">
        <f>IFERROR(E416/SUM(E410:E416,J410:J416,O410:O415),0)</f>
        <v>0</v>
      </c>
      <c r="G416" s="448" t="str">
        <f>$G$17</f>
        <v>Adecuación Instalaciones</v>
      </c>
      <c r="H416" s="445">
        <f t="shared" si="81"/>
        <v>0</v>
      </c>
      <c r="I416" s="426">
        <f t="shared" si="79"/>
        <v>0</v>
      </c>
      <c r="J416" s="446">
        <f>IFERROR(I416/SUM(PROD!L411:L417),0)</f>
        <v>0</v>
      </c>
      <c r="K416" s="447">
        <f>IFERROR(J416/SUM(E410:E416,J410:J416,O410:O415),0)</f>
        <v>0</v>
      </c>
      <c r="L416" s="2311" t="str">
        <f>$L$10</f>
        <v>TOTAL COSTO PRODUCCIÓN</v>
      </c>
      <c r="M416" s="2312"/>
      <c r="N416" s="427">
        <f>SUM(D410:D416,I410:I416,N410:N415)</f>
        <v>0</v>
      </c>
      <c r="O416" s="449">
        <f>IFERROR(N416/SUM(PROD!L411:L417),0)</f>
        <v>0</v>
      </c>
      <c r="P416" s="447">
        <f>IFERROR(O416/SUM(E410:E416,J410:J416,O410:O415),0)</f>
        <v>0</v>
      </c>
      <c r="Q416" s="429" t="str">
        <f>$Q$10</f>
        <v>D</v>
      </c>
      <c r="R416" s="499">
        <f t="shared" si="82"/>
        <v>0</v>
      </c>
      <c r="S416" s="871">
        <f>SUM(PROD!AS411:AS417)</f>
        <v>0</v>
      </c>
      <c r="T416" s="431">
        <f>IF(AA410&gt;0,S416/AA410,0)</f>
        <v>0</v>
      </c>
      <c r="U416" s="432" t="str">
        <f>$U$10</f>
        <v>Rev. Peq</v>
      </c>
      <c r="V416" s="499">
        <f t="shared" si="83"/>
        <v>0</v>
      </c>
      <c r="W416" s="871">
        <f>SUM(PROD!AV411:AV417)</f>
        <v>0</v>
      </c>
      <c r="X416" s="431">
        <f>IFERROR(W416/(AA415-AA413),0)</f>
        <v>0</v>
      </c>
      <c r="Y416" s="2304"/>
      <c r="Z416" s="2306"/>
      <c r="AA416" s="2309"/>
      <c r="AB416" s="2310"/>
    </row>
    <row r="417" spans="1:28" ht="16.5" customHeight="1" x14ac:dyDescent="0.3">
      <c r="A417" s="2300">
        <f>A410+1</f>
        <v>77</v>
      </c>
      <c r="B417" s="433" t="str">
        <f>$B$4</f>
        <v>ALIMENTO Kilos</v>
      </c>
      <c r="C417" s="435">
        <f>LOOKUP($A417,PROD!$A$5:$A$725,PROD!$AH$10:$AH$730)</f>
        <v>0</v>
      </c>
      <c r="D417" s="368">
        <f>C417*LOOKUP($A417,'Pr-Sem'!$A$6:$A$108,'Pr-Sem'!$N$6:$N$108)/(PROD!$A$1/1000)</f>
        <v>0</v>
      </c>
      <c r="E417" s="369">
        <f>IFERROR(D417/SUM(PROD!L418:L424),0)</f>
        <v>0</v>
      </c>
      <c r="F417" s="370">
        <f>IFERROR(E417/SUM(E417:E423,J417:J423,O417:O422),0)</f>
        <v>0</v>
      </c>
      <c r="G417" s="434" t="str">
        <f>$G$11</f>
        <v>Honorarios</v>
      </c>
      <c r="H417" s="435">
        <f t="shared" si="81"/>
        <v>0</v>
      </c>
      <c r="I417" s="372">
        <f t="shared" si="79"/>
        <v>0</v>
      </c>
      <c r="J417" s="369">
        <f>IFERROR(I417/SUM(PROD!L418:L424),0)</f>
        <v>0</v>
      </c>
      <c r="K417" s="370">
        <f>IFERROR(J417/SUM(E417:E423,J417:J423,O417:O422),0)</f>
        <v>0</v>
      </c>
      <c r="L417" s="436" t="str">
        <f>$L$4</f>
        <v>Gastos de Viaje</v>
      </c>
      <c r="M417" s="435">
        <f t="shared" ref="M417:M422" si="87">M410</f>
        <v>0</v>
      </c>
      <c r="N417" s="372">
        <f>M417*12/52</f>
        <v>0</v>
      </c>
      <c r="O417" s="369">
        <f>IFERROR(N417/SUM(PROD!L418:L424),0)</f>
        <v>0</v>
      </c>
      <c r="P417" s="370">
        <f>IFERROR(O417/SUM(E417:E423,J417:J423,O417:O422),0)</f>
        <v>0</v>
      </c>
      <c r="Q417" s="373" t="str">
        <f>$Q$4</f>
        <v>AAAA</v>
      </c>
      <c r="R417" s="374">
        <f t="shared" si="82"/>
        <v>0</v>
      </c>
      <c r="S417" s="869">
        <f>SUM(PROD!AM418:AM424)</f>
        <v>0</v>
      </c>
      <c r="T417" s="375">
        <f>IF(AA417&gt;0,S417/AA417,0)</f>
        <v>0</v>
      </c>
      <c r="U417" s="376" t="str">
        <f>$U$4</f>
        <v>Prob Color</v>
      </c>
      <c r="V417" s="374">
        <f t="shared" si="83"/>
        <v>0</v>
      </c>
      <c r="W417" s="869">
        <f>SUM(PROD!AW418:AW424)</f>
        <v>0</v>
      </c>
      <c r="X417" s="375">
        <f>IFERROR(W417/(AA422-AA420),0)</f>
        <v>0</v>
      </c>
      <c r="Y417" s="377" t="s">
        <v>323</v>
      </c>
      <c r="Z417" s="378">
        <f>SUMPRODUCT(R417:R423,T417:T423)</f>
        <v>0</v>
      </c>
      <c r="AA417" s="379">
        <f>SUM(S417:S423)</f>
        <v>0</v>
      </c>
      <c r="AB417" s="490">
        <f>IF(AA422&gt;0,AA417/AA422,0)</f>
        <v>0</v>
      </c>
    </row>
    <row r="418" spans="1:28" ht="15.75" customHeight="1" x14ac:dyDescent="0.3">
      <c r="A418" s="2301"/>
      <c r="B418" s="438" t="str">
        <f>$B$5</f>
        <v>Amortización de Aves</v>
      </c>
      <c r="C418" s="381">
        <f>IFERROR((C411-(D418/'Pr-Sem'!$O$2)),0)</f>
        <v>0</v>
      </c>
      <c r="D418" s="382">
        <f>SUM(PROD!L418:L424)*E418</f>
        <v>0</v>
      </c>
      <c r="E418" s="383">
        <f>IF(SUM(PROD!L418:L424)&gt;0,IFERROR(($C$1-$C$2)/LOOKUP($B$2,'Pr-Sem'!$A$6:$A$108,'Pr-Sem'!$L$6:$L$108)*(LOOKUP(INVENTARIOS!$A417,'Pr-Sem'!$A$6:$A$108,'Pr-Sem'!$L$6:$L$108)-LOOKUP(INVENTARIOS!$A417-1,'Pr-Sem'!$A$6:$A$108,'Pr-Sem'!$L$6:$L$108))/(LOOKUP(INVENTARIOS!$A417,'Pr-Sem'!$A$6:$A$108,'Pr-Sem'!$K$6:$K$108)-LOOKUP(INVENTARIOS!$A417-1,'Pr-Sem'!$A$6:$A$108,'Pr-Sem'!$K$6:$K$108)),0),0)</f>
        <v>0</v>
      </c>
      <c r="F418" s="384">
        <f>IFERROR(E418/SUM(E417:E423,J417:J423,O417:O422),0)</f>
        <v>0</v>
      </c>
      <c r="G418" s="439" t="str">
        <f>$G$12</f>
        <v>Impuestos</v>
      </c>
      <c r="H418" s="440">
        <f t="shared" si="81"/>
        <v>0</v>
      </c>
      <c r="I418" s="387">
        <f t="shared" si="79"/>
        <v>0</v>
      </c>
      <c r="J418" s="383">
        <f>IFERROR(I418/SUM(PROD!L418:L424),0)</f>
        <v>0</v>
      </c>
      <c r="K418" s="384">
        <f>IFERROR(J418/SUM(E417:E423,J417:J423,O417:O422),0)</f>
        <v>0</v>
      </c>
      <c r="L418" s="439" t="str">
        <f>$L$5</f>
        <v>Depreciaciones</v>
      </c>
      <c r="M418" s="401">
        <f t="shared" si="87"/>
        <v>0</v>
      </c>
      <c r="N418" s="390">
        <f>M418*12/52</f>
        <v>0</v>
      </c>
      <c r="O418" s="383">
        <f>IFERROR(N418/SUM(PROD!L418:L424),0)</f>
        <v>0</v>
      </c>
      <c r="P418" s="384">
        <f>IFERROR(O418/SUM(E417:E423,J417:J423,O417:O422),0)</f>
        <v>0</v>
      </c>
      <c r="Q418" s="491" t="str">
        <f>$Q$5</f>
        <v>AAA</v>
      </c>
      <c r="R418" s="392">
        <f t="shared" si="82"/>
        <v>0</v>
      </c>
      <c r="S418" s="870">
        <f>SUM(PROD!AN418:AN424)</f>
        <v>0</v>
      </c>
      <c r="T418" s="492">
        <f>IF(AA417&gt;0,S418/AA417,0)</f>
        <v>0</v>
      </c>
      <c r="U418" s="493" t="str">
        <f>$U$5</f>
        <v>Prob Cásc</v>
      </c>
      <c r="V418" s="392">
        <f t="shared" si="83"/>
        <v>0</v>
      </c>
      <c r="W418" s="870">
        <f>SUM(PROD!AX418:AX424)</f>
        <v>0</v>
      </c>
      <c r="X418" s="492">
        <f>IFERROR(W418/(AA422-AA420),0)</f>
        <v>0</v>
      </c>
      <c r="Y418" s="395" t="s">
        <v>324</v>
      </c>
      <c r="Z418" s="396">
        <f>IFERROR(SUMPRODUCT(V417:V420,W417:W420)/SUM(W417:W420),0)</f>
        <v>0</v>
      </c>
      <c r="AA418" s="397">
        <f>SUM(W417:W420)</f>
        <v>0</v>
      </c>
      <c r="AB418" s="494">
        <f>IF(AA422&gt;0,AA418/AA422,0)</f>
        <v>0</v>
      </c>
    </row>
    <row r="419" spans="1:28" ht="15.75" customHeight="1" x14ac:dyDescent="0.3">
      <c r="A419" s="2301"/>
      <c r="B419" s="399" t="str">
        <f>$B$6</f>
        <v>Bandeja</v>
      </c>
      <c r="C419" s="400">
        <f>C412</f>
        <v>0</v>
      </c>
      <c r="D419" s="387">
        <f>C419*SUM(INVENTARIOS!R417:R423)</f>
        <v>0</v>
      </c>
      <c r="E419" s="383">
        <f>IFERROR(D419/SUM(PROD!L418:L424),0)</f>
        <v>0</v>
      </c>
      <c r="F419" s="384">
        <f>IFERROR(E419/SUM(E417:E423,J417:J423,O417:O422),0)</f>
        <v>0</v>
      </c>
      <c r="G419" s="439" t="str">
        <f>$G$13</f>
        <v>Arrendamientos</v>
      </c>
      <c r="H419" s="401">
        <f t="shared" si="81"/>
        <v>0</v>
      </c>
      <c r="I419" s="390">
        <f t="shared" si="79"/>
        <v>0</v>
      </c>
      <c r="J419" s="383">
        <f>IFERROR(I419/SUM(PROD!L418:L424),0)</f>
        <v>0</v>
      </c>
      <c r="K419" s="384">
        <f>IFERROR(J419/SUM(E417:E423,J417:J423,O417:O422),0)</f>
        <v>0</v>
      </c>
      <c r="L419" s="439" t="str">
        <f>$L$6</f>
        <v>Diversos</v>
      </c>
      <c r="M419" s="401">
        <f t="shared" si="87"/>
        <v>0</v>
      </c>
      <c r="N419" s="390">
        <f>M419*12/52</f>
        <v>0</v>
      </c>
      <c r="O419" s="383">
        <f>IFERROR(N419/SUM(PROD!L418:L424),0)</f>
        <v>0</v>
      </c>
      <c r="P419" s="384">
        <f>IFERROR(O419/SUM(E417:E423,J417:J423,O417:O422),0)</f>
        <v>0</v>
      </c>
      <c r="Q419" s="491" t="str">
        <f>$Q$6</f>
        <v>AA</v>
      </c>
      <c r="R419" s="392">
        <f t="shared" si="82"/>
        <v>0</v>
      </c>
      <c r="S419" s="870">
        <f>SUM(PROD!AO418:AO424)</f>
        <v>0</v>
      </c>
      <c r="T419" s="492">
        <f>IF(AA417&gt;0,S419/AA417,0)</f>
        <v>0</v>
      </c>
      <c r="U419" s="493" t="str">
        <f>$U$6</f>
        <v>Vencido</v>
      </c>
      <c r="V419" s="392">
        <f t="shared" si="83"/>
        <v>0</v>
      </c>
      <c r="W419" s="870">
        <f>SUM(PROD!AY418:AY424)</f>
        <v>0</v>
      </c>
      <c r="X419" s="492">
        <f>IFERROR(W419/(AA422-AA420),0)</f>
        <v>0</v>
      </c>
      <c r="Y419" s="402" t="s">
        <v>391</v>
      </c>
      <c r="Z419" s="456">
        <v>0</v>
      </c>
      <c r="AA419" s="720"/>
      <c r="AB419" s="495">
        <f>IF(AA422&gt;0,AA419/AA422,0)</f>
        <v>0</v>
      </c>
    </row>
    <row r="420" spans="1:28" ht="15.75" customHeight="1" x14ac:dyDescent="0.3">
      <c r="A420" s="2301"/>
      <c r="B420" s="438" t="str">
        <f>$B$7</f>
        <v>Mortalidad Aves</v>
      </c>
      <c r="C420" s="401">
        <f>IF(A417&lt;=$B$2,C418+$C$2,0)</f>
        <v>0</v>
      </c>
      <c r="D420" s="390">
        <f>C420*SUM(PROD!D418:D424)</f>
        <v>0</v>
      </c>
      <c r="E420" s="383">
        <f>IFERROR(D420/SUM(PROD!L418:L424),0)</f>
        <v>0</v>
      </c>
      <c r="F420" s="384">
        <f>IFERROR(E420/SUM(E417:E423,J417:J423,O417:O422),0)</f>
        <v>0</v>
      </c>
      <c r="G420" s="439" t="str">
        <f>$G$14</f>
        <v>Servicios Públicos</v>
      </c>
      <c r="H420" s="401">
        <f t="shared" si="81"/>
        <v>0</v>
      </c>
      <c r="I420" s="390">
        <f t="shared" si="79"/>
        <v>0</v>
      </c>
      <c r="J420" s="383">
        <f>IFERROR(I420/SUM(PROD!L418:L424),0)</f>
        <v>0</v>
      </c>
      <c r="K420" s="384">
        <f>IFERROR(J420/SUM(E417:E423,J417:J423,O417:O422),0)</f>
        <v>0</v>
      </c>
      <c r="L420" s="441" t="str">
        <f>$L$7</f>
        <v>Administrativos</v>
      </c>
      <c r="M420" s="401">
        <f t="shared" si="87"/>
        <v>0</v>
      </c>
      <c r="N420" s="404">
        <f>M420*0.230769230769231</f>
        <v>0</v>
      </c>
      <c r="O420" s="383">
        <f>IFERROR(N420/SUM(PROD!L418:L424),0)</f>
        <v>0</v>
      </c>
      <c r="P420" s="384">
        <f>IFERROR(O420/SUM(E417:E423,J417:J423,O417:O422),0)</f>
        <v>0</v>
      </c>
      <c r="Q420" s="491" t="str">
        <f>$Q$7</f>
        <v>A</v>
      </c>
      <c r="R420" s="392">
        <f t="shared" si="82"/>
        <v>0</v>
      </c>
      <c r="S420" s="870">
        <f>SUM(PROD!AP418:AP424)</f>
        <v>0</v>
      </c>
      <c r="T420" s="492">
        <f>IF(AA417&gt;0,S420/AA417,0)</f>
        <v>0</v>
      </c>
      <c r="U420" s="405" t="str">
        <f>$U$7</f>
        <v>Roto</v>
      </c>
      <c r="V420" s="406">
        <f t="shared" si="83"/>
        <v>0</v>
      </c>
      <c r="W420" s="872">
        <f>SUM(PROD!AZ418:AZ424)</f>
        <v>0</v>
      </c>
      <c r="X420" s="407">
        <f>IFERROR(W420/(AA422-AA420),0)</f>
        <v>0</v>
      </c>
      <c r="Y420" s="408" t="s">
        <v>359</v>
      </c>
      <c r="Z420" s="442">
        <v>215</v>
      </c>
      <c r="AA420" s="410">
        <f>SUM(PROD!L418:L424)-SUM(W417:W423)-SUM(S417:S423)-AA419</f>
        <v>0</v>
      </c>
      <c r="AB420" s="496">
        <f>IF(AA422&gt;0,AA420/AA422,0)</f>
        <v>0</v>
      </c>
    </row>
    <row r="421" spans="1:28" ht="15.75" customHeight="1" x14ac:dyDescent="0.3">
      <c r="A421" s="2301"/>
      <c r="B421" s="399" t="str">
        <f>$B$8</f>
        <v>Materia Prima (Carb Ca, etc.)</v>
      </c>
      <c r="C421" s="440">
        <f>C414</f>
        <v>0</v>
      </c>
      <c r="D421" s="387">
        <f>C421*12/52</f>
        <v>0</v>
      </c>
      <c r="E421" s="383">
        <f>IFERROR(D421/SUM(PROD!L418:L424),0)</f>
        <v>0</v>
      </c>
      <c r="F421" s="384">
        <f>IFERROR(E421/SUM(E417:E423,J417:J423,O417:O422),0)</f>
        <v>0</v>
      </c>
      <c r="G421" s="441" t="str">
        <f>$G$15</f>
        <v>Gastos Legales</v>
      </c>
      <c r="H421" s="401">
        <f t="shared" si="81"/>
        <v>0</v>
      </c>
      <c r="I421" s="390">
        <f t="shared" si="79"/>
        <v>0</v>
      </c>
      <c r="J421" s="383">
        <f>IFERROR(I421/SUM(PROD!L418:L424),0)</f>
        <v>0</v>
      </c>
      <c r="K421" s="384">
        <f>IFERROR(J421/SUM(E417:E423,J417:J423,O417:O422),0)</f>
        <v>0</v>
      </c>
      <c r="L421" s="439" t="str">
        <f>$L$8</f>
        <v>Fletes</v>
      </c>
      <c r="M421" s="401">
        <f t="shared" si="87"/>
        <v>0</v>
      </c>
      <c r="N421" s="404">
        <f>M421*0.230769230769231</f>
        <v>0</v>
      </c>
      <c r="O421" s="383">
        <f>IFERROR(N421/SUM(PROD!L418:L424),0)</f>
        <v>0</v>
      </c>
      <c r="P421" s="384">
        <f>IFERROR(O421/SUM(E417:E423,J417:J423,O417:O422),0)</f>
        <v>0</v>
      </c>
      <c r="Q421" s="491" t="str">
        <f>$Q$8</f>
        <v>B</v>
      </c>
      <c r="R421" s="392">
        <f t="shared" si="82"/>
        <v>0</v>
      </c>
      <c r="S421" s="870">
        <f>SUM(PROD!AQ418:AQ424)</f>
        <v>0</v>
      </c>
      <c r="T421" s="492">
        <f>IF(AA417&gt;0,S421/AA417,0)</f>
        <v>0</v>
      </c>
      <c r="U421" s="395" t="str">
        <f>$U$8</f>
        <v>Rev. Gr.</v>
      </c>
      <c r="V421" s="412">
        <f t="shared" si="83"/>
        <v>0</v>
      </c>
      <c r="W421" s="873">
        <f>SUM(PROD!AT418:AT424)</f>
        <v>0</v>
      </c>
      <c r="X421" s="413">
        <f>IFERROR(W421/(AA422-AA420),0)</f>
        <v>0</v>
      </c>
      <c r="Y421" s="414" t="s">
        <v>262</v>
      </c>
      <c r="Z421" s="415">
        <f>IFERROR(SUMPRODUCT(V421:V423,W421:W423)/SUM(W421:W423),0)</f>
        <v>0</v>
      </c>
      <c r="AA421" s="416">
        <f>SUM(W421:W423)</f>
        <v>0</v>
      </c>
      <c r="AB421" s="497">
        <f>IF(AA422&gt;0,AA421/AA422,0)</f>
        <v>0</v>
      </c>
    </row>
    <row r="422" spans="1:28" ht="15.75" customHeight="1" x14ac:dyDescent="0.3">
      <c r="A422" s="2301"/>
      <c r="B422" s="438" t="str">
        <f>$B$9</f>
        <v>Vacunas y medicamentos</v>
      </c>
      <c r="C422" s="443">
        <f>C415</f>
        <v>0</v>
      </c>
      <c r="D422" s="387">
        <f>C422*12/52</f>
        <v>0</v>
      </c>
      <c r="E422" s="383">
        <f>IFERROR(D422/SUM(PROD!L418:L424),0)</f>
        <v>0</v>
      </c>
      <c r="F422" s="384">
        <f>IFERROR(E422/SUM(E417:E423,J417:J423,O417:O422),0)</f>
        <v>0</v>
      </c>
      <c r="G422" s="441" t="str">
        <f>$G$16</f>
        <v>Mantenimiento y Reparaciones</v>
      </c>
      <c r="H422" s="401">
        <f t="shared" si="81"/>
        <v>0</v>
      </c>
      <c r="I422" s="390">
        <f t="shared" si="79"/>
        <v>0</v>
      </c>
      <c r="J422" s="383">
        <f>IFERROR(I422/SUM(PROD!L418:L424),0)</f>
        <v>0</v>
      </c>
      <c r="K422" s="384">
        <f>IFERROR(J422/SUM(E417:E423,J417:J423,O417:O422),0)</f>
        <v>0</v>
      </c>
      <c r="L422" s="439">
        <f>$L$9</f>
        <v>0</v>
      </c>
      <c r="M422" s="401">
        <f t="shared" si="87"/>
        <v>0</v>
      </c>
      <c r="N422" s="404">
        <f>M422*0.230769230769231</f>
        <v>0</v>
      </c>
      <c r="O422" s="383">
        <f>IFERROR(N422/SUM(PROD!L418:L424),0)</f>
        <v>0</v>
      </c>
      <c r="P422" s="384">
        <f>IFERROR(O422/SUM(E417:E423,J417:J423,O417:O422),0)</f>
        <v>0</v>
      </c>
      <c r="Q422" s="491" t="str">
        <f>$Q$9</f>
        <v>C</v>
      </c>
      <c r="R422" s="392">
        <f t="shared" si="82"/>
        <v>0</v>
      </c>
      <c r="S422" s="870">
        <f>SUM(PROD!AR418:AR424)</f>
        <v>0</v>
      </c>
      <c r="T422" s="492">
        <f>IF(AA417&gt;0,S422/AA417,0)</f>
        <v>0</v>
      </c>
      <c r="U422" s="493" t="str">
        <f>$U$9</f>
        <v>Rev. Med</v>
      </c>
      <c r="V422" s="392">
        <f t="shared" si="83"/>
        <v>0</v>
      </c>
      <c r="W422" s="870">
        <f>SUM(PROD!AU418:AU424)</f>
        <v>0</v>
      </c>
      <c r="X422" s="498">
        <f>IFERROR(W422/(AA422-AA420),0)</f>
        <v>0</v>
      </c>
      <c r="Y422" s="2303" t="s">
        <v>325</v>
      </c>
      <c r="Z422" s="2305">
        <f>SUMPRODUCT(Z417:Z421,AB417:AB421)</f>
        <v>0</v>
      </c>
      <c r="AA422" s="2307">
        <f>SUM(AA417:AA420)</f>
        <v>0</v>
      </c>
      <c r="AB422" s="2308"/>
    </row>
    <row r="423" spans="1:28" ht="16.5" customHeight="1" thickBot="1" x14ac:dyDescent="0.35">
      <c r="A423" s="2302"/>
      <c r="B423" s="444" t="str">
        <f>$B$10</f>
        <v>Gastos de Personal</v>
      </c>
      <c r="C423" s="445">
        <f>C416</f>
        <v>0</v>
      </c>
      <c r="D423" s="421">
        <f>C423*12/52</f>
        <v>0</v>
      </c>
      <c r="E423" s="446">
        <f>IFERROR(D423/SUM(PROD!L418:L424),0)</f>
        <v>0</v>
      </c>
      <c r="F423" s="447">
        <f>IFERROR(E423/SUM(E417:E423,J417:J423,O417:O422),0)</f>
        <v>0</v>
      </c>
      <c r="G423" s="448" t="str">
        <f>$G$17</f>
        <v>Adecuación Instalaciones</v>
      </c>
      <c r="H423" s="445">
        <f t="shared" si="81"/>
        <v>0</v>
      </c>
      <c r="I423" s="426">
        <f t="shared" si="79"/>
        <v>0</v>
      </c>
      <c r="J423" s="446">
        <f>IFERROR(I423/SUM(PROD!L418:L424),0)</f>
        <v>0</v>
      </c>
      <c r="K423" s="447">
        <f>IFERROR(J423/SUM(E417:E423,J417:J423,O417:O422),0)</f>
        <v>0</v>
      </c>
      <c r="L423" s="2311" t="str">
        <f>$L$10</f>
        <v>TOTAL COSTO PRODUCCIÓN</v>
      </c>
      <c r="M423" s="2312"/>
      <c r="N423" s="427">
        <f>SUM(D417:D423,I417:I423,N417:N422)</f>
        <v>0</v>
      </c>
      <c r="O423" s="449">
        <f>IFERROR(N423/SUM(PROD!L418:L424),0)</f>
        <v>0</v>
      </c>
      <c r="P423" s="447">
        <f>IFERROR(O423/SUM(E417:E423,J417:J423,O417:O422),0)</f>
        <v>0</v>
      </c>
      <c r="Q423" s="429" t="str">
        <f>$Q$10</f>
        <v>D</v>
      </c>
      <c r="R423" s="499">
        <f t="shared" si="82"/>
        <v>0</v>
      </c>
      <c r="S423" s="871">
        <f>SUM(PROD!AS418:AS424)</f>
        <v>0</v>
      </c>
      <c r="T423" s="431">
        <f>IF(AA417&gt;0,S423/AA417,0)</f>
        <v>0</v>
      </c>
      <c r="U423" s="432" t="str">
        <f>$U$10</f>
        <v>Rev. Peq</v>
      </c>
      <c r="V423" s="499">
        <f t="shared" si="83"/>
        <v>0</v>
      </c>
      <c r="W423" s="871">
        <f>SUM(PROD!AV418:AV424)</f>
        <v>0</v>
      </c>
      <c r="X423" s="431">
        <f>IFERROR(W423/(AA422-AA420),0)</f>
        <v>0</v>
      </c>
      <c r="Y423" s="2304"/>
      <c r="Z423" s="2306"/>
      <c r="AA423" s="2309"/>
      <c r="AB423" s="2310"/>
    </row>
    <row r="424" spans="1:28" ht="16.5" customHeight="1" x14ac:dyDescent="0.3">
      <c r="A424" s="2300">
        <f>A417+1</f>
        <v>78</v>
      </c>
      <c r="B424" s="433" t="str">
        <f>$B$4</f>
        <v>ALIMENTO Kilos</v>
      </c>
      <c r="C424" s="435">
        <f>LOOKUP($A424,PROD!$A$5:$A$725,PROD!$AH$10:$AH$730)</f>
        <v>0</v>
      </c>
      <c r="D424" s="368">
        <f>C424*LOOKUP($A424,'Pr-Sem'!$A$6:$A$108,'Pr-Sem'!$N$6:$N$108)/(PROD!$A$1/1000)</f>
        <v>0</v>
      </c>
      <c r="E424" s="369">
        <f>IFERROR(D424/SUM(PROD!L425:L431),0)</f>
        <v>0</v>
      </c>
      <c r="F424" s="370">
        <f>IFERROR(E424/SUM(E424:E430,J424:J430,O424:O429),0)</f>
        <v>0</v>
      </c>
      <c r="G424" s="434" t="str">
        <f>$G$11</f>
        <v>Honorarios</v>
      </c>
      <c r="H424" s="435">
        <f t="shared" si="81"/>
        <v>0</v>
      </c>
      <c r="I424" s="372">
        <f t="shared" si="79"/>
        <v>0</v>
      </c>
      <c r="J424" s="369">
        <f>IFERROR(I424/SUM(PROD!L425:L431),0)</f>
        <v>0</v>
      </c>
      <c r="K424" s="370">
        <f>IFERROR(J424/SUM(E424:E430,J424:J430,O424:O429),0)</f>
        <v>0</v>
      </c>
      <c r="L424" s="436" t="str">
        <f>$L$4</f>
        <v>Gastos de Viaje</v>
      </c>
      <c r="M424" s="435">
        <f t="shared" ref="M424:M429" si="88">M417</f>
        <v>0</v>
      </c>
      <c r="N424" s="372">
        <f>M424*12/52</f>
        <v>0</v>
      </c>
      <c r="O424" s="369">
        <f>IFERROR(N424/SUM(PROD!L425:L431),0)</f>
        <v>0</v>
      </c>
      <c r="P424" s="370">
        <f>IFERROR(O424/SUM(E424:E430,J424:J430,O424:O429),0)</f>
        <v>0</v>
      </c>
      <c r="Q424" s="373" t="str">
        <f>$Q$4</f>
        <v>AAAA</v>
      </c>
      <c r="R424" s="374">
        <f t="shared" si="82"/>
        <v>0</v>
      </c>
      <c r="S424" s="869">
        <f>SUM(PROD!AM425:AM431)</f>
        <v>0</v>
      </c>
      <c r="T424" s="375">
        <f>IF(AA424&gt;0,S424/AA424,0)</f>
        <v>0</v>
      </c>
      <c r="U424" s="376" t="str">
        <f>$U$4</f>
        <v>Prob Color</v>
      </c>
      <c r="V424" s="374">
        <f t="shared" si="83"/>
        <v>0</v>
      </c>
      <c r="W424" s="869">
        <f>SUM(PROD!AW425:AW431)</f>
        <v>0</v>
      </c>
      <c r="X424" s="375">
        <f>IFERROR(W424/(AA429-AA427),0)</f>
        <v>0</v>
      </c>
      <c r="Y424" s="377" t="s">
        <v>323</v>
      </c>
      <c r="Z424" s="378">
        <f>SUMPRODUCT(R424:R430,T424:T430)</f>
        <v>0</v>
      </c>
      <c r="AA424" s="379">
        <f>SUM(S424:S430)</f>
        <v>0</v>
      </c>
      <c r="AB424" s="490">
        <f>IF(AA429&gt;0,AA424/AA429,0)</f>
        <v>0</v>
      </c>
    </row>
    <row r="425" spans="1:28" ht="15.75" customHeight="1" x14ac:dyDescent="0.3">
      <c r="A425" s="2301"/>
      <c r="B425" s="438" t="str">
        <f>$B$5</f>
        <v>Amortización de Aves</v>
      </c>
      <c r="C425" s="381">
        <f>IFERROR((C418-(D425/'Pr-Sem'!$O$2)),0)</f>
        <v>0</v>
      </c>
      <c r="D425" s="382">
        <f>SUM(PROD!L425:L431)*E425</f>
        <v>0</v>
      </c>
      <c r="E425" s="383">
        <f>IF(SUM(PROD!L425:L431)&gt;0,IFERROR(($C$1-$C$2)/LOOKUP($B$2,'Pr-Sem'!$A$6:$A$108,'Pr-Sem'!$L$6:$L$108)*(LOOKUP(INVENTARIOS!$A424,'Pr-Sem'!$A$6:$A$108,'Pr-Sem'!$L$6:$L$108)-LOOKUP(INVENTARIOS!$A424-1,'Pr-Sem'!$A$6:$A$108,'Pr-Sem'!$L$6:$L$108))/(LOOKUP(INVENTARIOS!$A424,'Pr-Sem'!$A$6:$A$108,'Pr-Sem'!$K$6:$K$108)-LOOKUP(INVENTARIOS!$A424-1,'Pr-Sem'!$A$6:$A$108,'Pr-Sem'!$K$6:$K$108)),0),0)</f>
        <v>0</v>
      </c>
      <c r="F425" s="384">
        <f>IFERROR(E425/SUM(E424:E430,J424:J430,O424:O429),0)</f>
        <v>0</v>
      </c>
      <c r="G425" s="439" t="str">
        <f>$G$12</f>
        <v>Impuestos</v>
      </c>
      <c r="H425" s="440">
        <f t="shared" si="81"/>
        <v>0</v>
      </c>
      <c r="I425" s="387">
        <f t="shared" si="79"/>
        <v>0</v>
      </c>
      <c r="J425" s="383">
        <f>IFERROR(I425/SUM(PROD!L425:L431),0)</f>
        <v>0</v>
      </c>
      <c r="K425" s="384">
        <f>IFERROR(J425/SUM(E424:E430,J424:J430,O424:O429),0)</f>
        <v>0</v>
      </c>
      <c r="L425" s="439" t="str">
        <f>$L$5</f>
        <v>Depreciaciones</v>
      </c>
      <c r="M425" s="401">
        <f t="shared" si="88"/>
        <v>0</v>
      </c>
      <c r="N425" s="390">
        <f>M425*12/52</f>
        <v>0</v>
      </c>
      <c r="O425" s="383">
        <f>IFERROR(N425/SUM(PROD!L425:L431),0)</f>
        <v>0</v>
      </c>
      <c r="P425" s="384">
        <f>IFERROR(O425/SUM(E424:E430,J424:J430,O424:O429),0)</f>
        <v>0</v>
      </c>
      <c r="Q425" s="491" t="str">
        <f>$Q$5</f>
        <v>AAA</v>
      </c>
      <c r="R425" s="392">
        <f t="shared" si="82"/>
        <v>0</v>
      </c>
      <c r="S425" s="870">
        <f>SUM(PROD!AN425:AN431)</f>
        <v>0</v>
      </c>
      <c r="T425" s="492">
        <f>IF(AA424&gt;0,S425/AA424,0)</f>
        <v>0</v>
      </c>
      <c r="U425" s="493" t="str">
        <f>$U$5</f>
        <v>Prob Cásc</v>
      </c>
      <c r="V425" s="392">
        <f t="shared" si="83"/>
        <v>0</v>
      </c>
      <c r="W425" s="870">
        <f>SUM(PROD!AX425:AX431)</f>
        <v>0</v>
      </c>
      <c r="X425" s="492">
        <f>IFERROR(W425/(AA429-AA427),0)</f>
        <v>0</v>
      </c>
      <c r="Y425" s="395" t="s">
        <v>324</v>
      </c>
      <c r="Z425" s="396">
        <f>IFERROR(SUMPRODUCT(V424:V427,W424:W427)/SUM(W424:W427),0)</f>
        <v>0</v>
      </c>
      <c r="AA425" s="397">
        <f>SUM(W424:W427)</f>
        <v>0</v>
      </c>
      <c r="AB425" s="494">
        <f>IF(AA429&gt;0,AA425/AA429,0)</f>
        <v>0</v>
      </c>
    </row>
    <row r="426" spans="1:28" ht="15.75" customHeight="1" x14ac:dyDescent="0.3">
      <c r="A426" s="2301"/>
      <c r="B426" s="399" t="str">
        <f>$B$6</f>
        <v>Bandeja</v>
      </c>
      <c r="C426" s="400">
        <f>C419</f>
        <v>0</v>
      </c>
      <c r="D426" s="387">
        <f>C426*SUM(INVENTARIOS!R424:R430)</f>
        <v>0</v>
      </c>
      <c r="E426" s="383">
        <f>IFERROR(D426/SUM(PROD!L425:L431),0)</f>
        <v>0</v>
      </c>
      <c r="F426" s="384">
        <f>IFERROR(E426/SUM(E424:E430,J424:J430,O424:O429),0)</f>
        <v>0</v>
      </c>
      <c r="G426" s="439" t="str">
        <f>$G$13</f>
        <v>Arrendamientos</v>
      </c>
      <c r="H426" s="401">
        <f t="shared" si="81"/>
        <v>0</v>
      </c>
      <c r="I426" s="390">
        <f t="shared" si="79"/>
        <v>0</v>
      </c>
      <c r="J426" s="383">
        <f>IFERROR(I426/SUM(PROD!L425:L431),0)</f>
        <v>0</v>
      </c>
      <c r="K426" s="384">
        <f>IFERROR(J426/SUM(E424:E430,J424:J430,O424:O429),0)</f>
        <v>0</v>
      </c>
      <c r="L426" s="439" t="str">
        <f>$L$6</f>
        <v>Diversos</v>
      </c>
      <c r="M426" s="401">
        <f t="shared" si="88"/>
        <v>0</v>
      </c>
      <c r="N426" s="390">
        <f>M426*12/52</f>
        <v>0</v>
      </c>
      <c r="O426" s="383">
        <f>IFERROR(N426/SUM(PROD!L425:L431),0)</f>
        <v>0</v>
      </c>
      <c r="P426" s="384">
        <f>IFERROR(O426/SUM(E424:E430,J424:J430,O424:O429),0)</f>
        <v>0</v>
      </c>
      <c r="Q426" s="491" t="str">
        <f>$Q$6</f>
        <v>AA</v>
      </c>
      <c r="R426" s="392">
        <f t="shared" si="82"/>
        <v>0</v>
      </c>
      <c r="S426" s="870">
        <f>SUM(PROD!AO425:AO431)</f>
        <v>0</v>
      </c>
      <c r="T426" s="492">
        <f>IF(AA424&gt;0,S426/AA424,0)</f>
        <v>0</v>
      </c>
      <c r="U426" s="493" t="str">
        <f>$U$6</f>
        <v>Vencido</v>
      </c>
      <c r="V426" s="392">
        <f t="shared" si="83"/>
        <v>0</v>
      </c>
      <c r="W426" s="870">
        <f>SUM(PROD!AY425:AY431)</f>
        <v>0</v>
      </c>
      <c r="X426" s="492">
        <f>IFERROR(W426/(AA429-AA427),0)</f>
        <v>0</v>
      </c>
      <c r="Y426" s="402" t="s">
        <v>391</v>
      </c>
      <c r="Z426" s="456">
        <v>0</v>
      </c>
      <c r="AA426" s="720"/>
      <c r="AB426" s="495">
        <f>IF(AA429&gt;0,AA426/AA429,0)</f>
        <v>0</v>
      </c>
    </row>
    <row r="427" spans="1:28" ht="15.75" customHeight="1" x14ac:dyDescent="0.3">
      <c r="A427" s="2301"/>
      <c r="B427" s="438" t="str">
        <f>$B$7</f>
        <v>Mortalidad Aves</v>
      </c>
      <c r="C427" s="401">
        <f>IF(A424&lt;=$B$2,C425+$C$2,0)</f>
        <v>0</v>
      </c>
      <c r="D427" s="390">
        <f>C427*SUM(PROD!D425:D431)</f>
        <v>0</v>
      </c>
      <c r="E427" s="383">
        <f>IFERROR(D427/SUM(PROD!L425:L431),0)</f>
        <v>0</v>
      </c>
      <c r="F427" s="384">
        <f>IFERROR(E427/SUM(E424:E430,J424:J430,O424:O429),0)</f>
        <v>0</v>
      </c>
      <c r="G427" s="439" t="str">
        <f>$G$14</f>
        <v>Servicios Públicos</v>
      </c>
      <c r="H427" s="401">
        <f t="shared" si="81"/>
        <v>0</v>
      </c>
      <c r="I427" s="390">
        <f t="shared" si="79"/>
        <v>0</v>
      </c>
      <c r="J427" s="383">
        <f>IFERROR(I427/SUM(PROD!L425:L431),0)</f>
        <v>0</v>
      </c>
      <c r="K427" s="384">
        <f>IFERROR(J427/SUM(E424:E430,J424:J430,O424:O429),0)</f>
        <v>0</v>
      </c>
      <c r="L427" s="441" t="str">
        <f>$L$7</f>
        <v>Administrativos</v>
      </c>
      <c r="M427" s="401">
        <f t="shared" si="88"/>
        <v>0</v>
      </c>
      <c r="N427" s="404">
        <f>M427*0.230769230769231</f>
        <v>0</v>
      </c>
      <c r="O427" s="383">
        <f>IFERROR(N427/SUM(PROD!L425:L431),0)</f>
        <v>0</v>
      </c>
      <c r="P427" s="384">
        <f>IFERROR(O427/SUM(E424:E430,J424:J430,O424:O429),0)</f>
        <v>0</v>
      </c>
      <c r="Q427" s="491" t="str">
        <f>$Q$7</f>
        <v>A</v>
      </c>
      <c r="R427" s="392">
        <f t="shared" si="82"/>
        <v>0</v>
      </c>
      <c r="S427" s="870">
        <f>SUM(PROD!AP425:AP431)</f>
        <v>0</v>
      </c>
      <c r="T427" s="492">
        <f>IF(AA424&gt;0,S427/AA424,0)</f>
        <v>0</v>
      </c>
      <c r="U427" s="405" t="str">
        <f>$U$7</f>
        <v>Roto</v>
      </c>
      <c r="V427" s="406">
        <f t="shared" si="83"/>
        <v>0</v>
      </c>
      <c r="W427" s="872">
        <f>SUM(PROD!AZ425:AZ431)</f>
        <v>0</v>
      </c>
      <c r="X427" s="407">
        <f>IFERROR(W427/(AA429-AA427),0)</f>
        <v>0</v>
      </c>
      <c r="Y427" s="408" t="s">
        <v>359</v>
      </c>
      <c r="Z427" s="442">
        <v>215</v>
      </c>
      <c r="AA427" s="410">
        <f>SUM(PROD!L425:L431)-SUM(W424:W430)-SUM(S424:S430)-AA426</f>
        <v>0</v>
      </c>
      <c r="AB427" s="496">
        <f>IF(AA429&gt;0,AA427/AA429,0)</f>
        <v>0</v>
      </c>
    </row>
    <row r="428" spans="1:28" ht="15.75" customHeight="1" x14ac:dyDescent="0.3">
      <c r="A428" s="2301"/>
      <c r="B428" s="399" t="str">
        <f>$B$8</f>
        <v>Materia Prima (Carb Ca, etc.)</v>
      </c>
      <c r="C428" s="440">
        <f>C421</f>
        <v>0</v>
      </c>
      <c r="D428" s="387">
        <f>C428*12/52</f>
        <v>0</v>
      </c>
      <c r="E428" s="383">
        <f>IFERROR(D428/SUM(PROD!L425:L431),0)</f>
        <v>0</v>
      </c>
      <c r="F428" s="384">
        <f>IFERROR(E428/SUM(E424:E430,J424:J430,O424:O429),0)</f>
        <v>0</v>
      </c>
      <c r="G428" s="441" t="str">
        <f>$G$15</f>
        <v>Gastos Legales</v>
      </c>
      <c r="H428" s="401">
        <f t="shared" si="81"/>
        <v>0</v>
      </c>
      <c r="I428" s="390">
        <f t="shared" si="79"/>
        <v>0</v>
      </c>
      <c r="J428" s="383">
        <f>IFERROR(I428/SUM(PROD!L425:L431),0)</f>
        <v>0</v>
      </c>
      <c r="K428" s="384">
        <f>IFERROR(J428/SUM(E424:E430,J424:J430,O424:O429),0)</f>
        <v>0</v>
      </c>
      <c r="L428" s="439" t="str">
        <f>$L$8</f>
        <v>Fletes</v>
      </c>
      <c r="M428" s="401">
        <f t="shared" si="88"/>
        <v>0</v>
      </c>
      <c r="N428" s="404">
        <f>M428*0.230769230769231</f>
        <v>0</v>
      </c>
      <c r="O428" s="383">
        <f>IFERROR(N428/SUM(PROD!L425:L431),0)</f>
        <v>0</v>
      </c>
      <c r="P428" s="384">
        <f>IFERROR(O428/SUM(E424:E430,J424:J430,O424:O429),0)</f>
        <v>0</v>
      </c>
      <c r="Q428" s="491" t="str">
        <f>$Q$8</f>
        <v>B</v>
      </c>
      <c r="R428" s="392">
        <f t="shared" si="82"/>
        <v>0</v>
      </c>
      <c r="S428" s="870">
        <f>SUM(PROD!AQ425:AQ431)</f>
        <v>0</v>
      </c>
      <c r="T428" s="492">
        <f>IF(AA424&gt;0,S428/AA424,0)</f>
        <v>0</v>
      </c>
      <c r="U428" s="395" t="str">
        <f>$U$8</f>
        <v>Rev. Gr.</v>
      </c>
      <c r="V428" s="412">
        <f t="shared" si="83"/>
        <v>0</v>
      </c>
      <c r="W428" s="873">
        <f>SUM(PROD!AT425:AT431)</f>
        <v>0</v>
      </c>
      <c r="X428" s="413">
        <f>IFERROR(W428/(AA429-AA427),0)</f>
        <v>0</v>
      </c>
      <c r="Y428" s="414" t="s">
        <v>262</v>
      </c>
      <c r="Z428" s="415">
        <f>IFERROR(SUMPRODUCT(V428:V430,W428:W430)/SUM(W428:W430),0)</f>
        <v>0</v>
      </c>
      <c r="AA428" s="416">
        <f>SUM(W428:W430)</f>
        <v>0</v>
      </c>
      <c r="AB428" s="497">
        <f>IF(AA429&gt;0,AA428/AA429,0)</f>
        <v>0</v>
      </c>
    </row>
    <row r="429" spans="1:28" ht="15.75" customHeight="1" x14ac:dyDescent="0.3">
      <c r="A429" s="2301"/>
      <c r="B429" s="438" t="str">
        <f>$B$9</f>
        <v>Vacunas y medicamentos</v>
      </c>
      <c r="C429" s="443">
        <f>C422</f>
        <v>0</v>
      </c>
      <c r="D429" s="387">
        <f>C429*12/52</f>
        <v>0</v>
      </c>
      <c r="E429" s="383">
        <f>IFERROR(D429/SUM(PROD!L425:L431),0)</f>
        <v>0</v>
      </c>
      <c r="F429" s="384">
        <f>IFERROR(E429/SUM(E424:E430,J424:J430,O424:O429),0)</f>
        <v>0</v>
      </c>
      <c r="G429" s="441" t="str">
        <f>$G$16</f>
        <v>Mantenimiento y Reparaciones</v>
      </c>
      <c r="H429" s="401">
        <f t="shared" si="81"/>
        <v>0</v>
      </c>
      <c r="I429" s="390">
        <f t="shared" si="79"/>
        <v>0</v>
      </c>
      <c r="J429" s="383">
        <f>IFERROR(I429/SUM(PROD!L425:L431),0)</f>
        <v>0</v>
      </c>
      <c r="K429" s="384">
        <f>IFERROR(J429/SUM(E424:E430,J424:J430,O424:O429),0)</f>
        <v>0</v>
      </c>
      <c r="L429" s="439">
        <f>$L$9</f>
        <v>0</v>
      </c>
      <c r="M429" s="401">
        <f t="shared" si="88"/>
        <v>0</v>
      </c>
      <c r="N429" s="404">
        <f>M429*0.230769230769231</f>
        <v>0</v>
      </c>
      <c r="O429" s="383">
        <f>IFERROR(N429/SUM(PROD!L425:L431),0)</f>
        <v>0</v>
      </c>
      <c r="P429" s="384">
        <f>IFERROR(O429/SUM(E424:E430,J424:J430,O424:O429),0)</f>
        <v>0</v>
      </c>
      <c r="Q429" s="491" t="str">
        <f>$Q$9</f>
        <v>C</v>
      </c>
      <c r="R429" s="392">
        <f t="shared" si="82"/>
        <v>0</v>
      </c>
      <c r="S429" s="870">
        <f>SUM(PROD!AR425:AR431)</f>
        <v>0</v>
      </c>
      <c r="T429" s="492">
        <f>IF(AA424&gt;0,S429/AA424,0)</f>
        <v>0</v>
      </c>
      <c r="U429" s="493" t="str">
        <f>$U$9</f>
        <v>Rev. Med</v>
      </c>
      <c r="V429" s="392">
        <f t="shared" si="83"/>
        <v>0</v>
      </c>
      <c r="W429" s="870">
        <f>SUM(PROD!AU425:AU431)</f>
        <v>0</v>
      </c>
      <c r="X429" s="498">
        <f>IFERROR(W429/(AA429-AA427),0)</f>
        <v>0</v>
      </c>
      <c r="Y429" s="2303" t="s">
        <v>325</v>
      </c>
      <c r="Z429" s="2305">
        <f>SUMPRODUCT(Z424:Z428,AB424:AB428)</f>
        <v>0</v>
      </c>
      <c r="AA429" s="2307">
        <f>SUM(AA424:AA427)</f>
        <v>0</v>
      </c>
      <c r="AB429" s="2308"/>
    </row>
    <row r="430" spans="1:28" ht="16.5" customHeight="1" thickBot="1" x14ac:dyDescent="0.35">
      <c r="A430" s="2302"/>
      <c r="B430" s="444" t="str">
        <f>$B$10</f>
        <v>Gastos de Personal</v>
      </c>
      <c r="C430" s="445">
        <f>C423</f>
        <v>0</v>
      </c>
      <c r="D430" s="421">
        <f>C430*12/52</f>
        <v>0</v>
      </c>
      <c r="E430" s="446">
        <f>IFERROR(D430/SUM(PROD!L425:L431),0)</f>
        <v>0</v>
      </c>
      <c r="F430" s="447">
        <f>IFERROR(E430/SUM(E424:E430,J424:J430,O424:O429),0)</f>
        <v>0</v>
      </c>
      <c r="G430" s="448" t="str">
        <f>$G$17</f>
        <v>Adecuación Instalaciones</v>
      </c>
      <c r="H430" s="445">
        <f t="shared" si="81"/>
        <v>0</v>
      </c>
      <c r="I430" s="426">
        <f t="shared" si="79"/>
        <v>0</v>
      </c>
      <c r="J430" s="446">
        <f>IFERROR(I430/SUM(PROD!L425:L431),0)</f>
        <v>0</v>
      </c>
      <c r="K430" s="447">
        <f>IFERROR(J430/SUM(E424:E430,J424:J430,O424:O429),0)</f>
        <v>0</v>
      </c>
      <c r="L430" s="2311" t="str">
        <f>$L$10</f>
        <v>TOTAL COSTO PRODUCCIÓN</v>
      </c>
      <c r="M430" s="2312"/>
      <c r="N430" s="427">
        <f>SUM(D424:D430,I424:I430,N424:N429)</f>
        <v>0</v>
      </c>
      <c r="O430" s="449">
        <f>IFERROR(N430/SUM(PROD!L425:L431),0)</f>
        <v>0</v>
      </c>
      <c r="P430" s="447">
        <f>IFERROR(O430/SUM(E424:E430,J424:J430,O424:O429),0)</f>
        <v>0</v>
      </c>
      <c r="Q430" s="429" t="str">
        <f>$Q$10</f>
        <v>D</v>
      </c>
      <c r="R430" s="499">
        <f t="shared" si="82"/>
        <v>0</v>
      </c>
      <c r="S430" s="871">
        <f>SUM(PROD!AS425:AS431)</f>
        <v>0</v>
      </c>
      <c r="T430" s="431">
        <f>IF(AA424&gt;0,S430/AA424,0)</f>
        <v>0</v>
      </c>
      <c r="U430" s="432" t="str">
        <f>$U$10</f>
        <v>Rev. Peq</v>
      </c>
      <c r="V430" s="499">
        <f t="shared" si="83"/>
        <v>0</v>
      </c>
      <c r="W430" s="871">
        <f>SUM(PROD!AV425:AV431)</f>
        <v>0</v>
      </c>
      <c r="X430" s="431">
        <f>IFERROR(W430/(AA429-AA427),0)</f>
        <v>0</v>
      </c>
      <c r="Y430" s="2304"/>
      <c r="Z430" s="2306"/>
      <c r="AA430" s="2309"/>
      <c r="AB430" s="2310"/>
    </row>
    <row r="431" spans="1:28" ht="16.5" customHeight="1" x14ac:dyDescent="0.3">
      <c r="A431" s="2300">
        <f>A424+1</f>
        <v>79</v>
      </c>
      <c r="B431" s="433" t="str">
        <f>$B$4</f>
        <v>ALIMENTO Kilos</v>
      </c>
      <c r="C431" s="435">
        <f>LOOKUP($A431,PROD!$A$5:$A$725,PROD!$AH$10:$AH$730)</f>
        <v>0</v>
      </c>
      <c r="D431" s="368">
        <f>C431*LOOKUP($A431,'Pr-Sem'!$A$6:$A$108,'Pr-Sem'!$N$6:$N$108)/(PROD!$A$1/1000)</f>
        <v>0</v>
      </c>
      <c r="E431" s="369">
        <f>IFERROR(D431/SUM(PROD!L432:L438),0)</f>
        <v>0</v>
      </c>
      <c r="F431" s="370">
        <f>IFERROR(E431/SUM(E431:E437,J431:J437,O431:O436),0)</f>
        <v>0</v>
      </c>
      <c r="G431" s="434" t="str">
        <f>$G$11</f>
        <v>Honorarios</v>
      </c>
      <c r="H431" s="435">
        <f t="shared" si="81"/>
        <v>0</v>
      </c>
      <c r="I431" s="372">
        <f t="shared" si="79"/>
        <v>0</v>
      </c>
      <c r="J431" s="369">
        <f>IFERROR(I431/SUM(PROD!L432:L438),0)</f>
        <v>0</v>
      </c>
      <c r="K431" s="370">
        <f>IFERROR(J431/SUM(E431:E437,J431:J437,O431:O436),0)</f>
        <v>0</v>
      </c>
      <c r="L431" s="436" t="str">
        <f>$L$4</f>
        <v>Gastos de Viaje</v>
      </c>
      <c r="M431" s="435">
        <f t="shared" ref="M431:M436" si="89">M424</f>
        <v>0</v>
      </c>
      <c r="N431" s="372">
        <f>M431*12/52</f>
        <v>0</v>
      </c>
      <c r="O431" s="369">
        <f>IFERROR(N431/SUM(PROD!L432:L438),0)</f>
        <v>0</v>
      </c>
      <c r="P431" s="370">
        <f>IFERROR(O431/SUM(E431:E437,J431:J437,O431:O436),0)</f>
        <v>0</v>
      </c>
      <c r="Q431" s="373" t="str">
        <f>$Q$4</f>
        <v>AAAA</v>
      </c>
      <c r="R431" s="374">
        <f t="shared" si="82"/>
        <v>0</v>
      </c>
      <c r="S431" s="869">
        <f>SUM(PROD!AM432:AM438)</f>
        <v>0</v>
      </c>
      <c r="T431" s="375">
        <f>IF(AA431&gt;0,S431/AA431,0)</f>
        <v>0</v>
      </c>
      <c r="U431" s="376" t="str">
        <f>$U$4</f>
        <v>Prob Color</v>
      </c>
      <c r="V431" s="374">
        <f t="shared" si="83"/>
        <v>0</v>
      </c>
      <c r="W431" s="869">
        <f>SUM(PROD!AW432:AW438)</f>
        <v>0</v>
      </c>
      <c r="X431" s="375">
        <f>IFERROR(W431/(AA436-AA434),0)</f>
        <v>0</v>
      </c>
      <c r="Y431" s="377" t="s">
        <v>323</v>
      </c>
      <c r="Z431" s="378">
        <f>SUMPRODUCT(R431:R437,T431:T437)</f>
        <v>0</v>
      </c>
      <c r="AA431" s="379">
        <f>SUM(S431:S437)</f>
        <v>0</v>
      </c>
      <c r="AB431" s="490">
        <f>IF(AA436&gt;0,AA431/AA436,0)</f>
        <v>0</v>
      </c>
    </row>
    <row r="432" spans="1:28" ht="15.75" customHeight="1" x14ac:dyDescent="0.3">
      <c r="A432" s="2301"/>
      <c r="B432" s="438" t="str">
        <f>$B$5</f>
        <v>Amortización de Aves</v>
      </c>
      <c r="C432" s="381">
        <f>IFERROR((C425-(D432/'Pr-Sem'!$O$2)),0)</f>
        <v>0</v>
      </c>
      <c r="D432" s="382">
        <f>SUM(PROD!L432:L438)*E432</f>
        <v>0</v>
      </c>
      <c r="E432" s="383">
        <f>IF(SUM(PROD!L432:L438)&gt;0,IFERROR(($C$1-$C$2)/LOOKUP($B$2,'Pr-Sem'!$A$6:$A$108,'Pr-Sem'!$L$6:$L$108)*(LOOKUP(INVENTARIOS!$A431,'Pr-Sem'!$A$6:$A$108,'Pr-Sem'!$L$6:$L$108)-LOOKUP(INVENTARIOS!$A431-1,'Pr-Sem'!$A$6:$A$108,'Pr-Sem'!$L$6:$L$108))/(LOOKUP(INVENTARIOS!$A431,'Pr-Sem'!$A$6:$A$108,'Pr-Sem'!$K$6:$K$108)-LOOKUP(INVENTARIOS!$A431-1,'Pr-Sem'!$A$6:$A$108,'Pr-Sem'!$K$6:$K$108)),0),0)</f>
        <v>0</v>
      </c>
      <c r="F432" s="384">
        <f>IFERROR(E432/SUM(E431:E437,J431:J437,O431:O436),0)</f>
        <v>0</v>
      </c>
      <c r="G432" s="439" t="str">
        <f>$G$12</f>
        <v>Impuestos</v>
      </c>
      <c r="H432" s="440">
        <f t="shared" si="81"/>
        <v>0</v>
      </c>
      <c r="I432" s="387">
        <f t="shared" si="79"/>
        <v>0</v>
      </c>
      <c r="J432" s="383">
        <f>IFERROR(I432/SUM(PROD!L432:L438),0)</f>
        <v>0</v>
      </c>
      <c r="K432" s="384">
        <f>IFERROR(J432/SUM(E431:E437,J431:J437,O431:O436),0)</f>
        <v>0</v>
      </c>
      <c r="L432" s="439" t="str">
        <f>$L$5</f>
        <v>Depreciaciones</v>
      </c>
      <c r="M432" s="401">
        <f t="shared" si="89"/>
        <v>0</v>
      </c>
      <c r="N432" s="390">
        <f>M432*12/52</f>
        <v>0</v>
      </c>
      <c r="O432" s="383">
        <f>IFERROR(N432/SUM(PROD!L432:L438),0)</f>
        <v>0</v>
      </c>
      <c r="P432" s="384">
        <f>IFERROR(O432/SUM(E431:E437,J431:J437,O431:O436),0)</f>
        <v>0</v>
      </c>
      <c r="Q432" s="491" t="str">
        <f>$Q$5</f>
        <v>AAA</v>
      </c>
      <c r="R432" s="392">
        <f t="shared" si="82"/>
        <v>0</v>
      </c>
      <c r="S432" s="870">
        <f>SUM(PROD!AN432:AN438)</f>
        <v>0</v>
      </c>
      <c r="T432" s="492">
        <f>IF(AA431&gt;0,S432/AA431,0)</f>
        <v>0</v>
      </c>
      <c r="U432" s="493" t="str">
        <f>$U$5</f>
        <v>Prob Cásc</v>
      </c>
      <c r="V432" s="392">
        <f t="shared" si="83"/>
        <v>0</v>
      </c>
      <c r="W432" s="870">
        <f>SUM(PROD!AX432:AX438)</f>
        <v>0</v>
      </c>
      <c r="X432" s="492">
        <f>IFERROR(W432/(AA436-AA434),0)</f>
        <v>0</v>
      </c>
      <c r="Y432" s="395" t="s">
        <v>324</v>
      </c>
      <c r="Z432" s="396">
        <f>IFERROR(SUMPRODUCT(V431:V434,W431:W434)/SUM(W431:W434),0)</f>
        <v>0</v>
      </c>
      <c r="AA432" s="397">
        <f>SUM(W431:W434)</f>
        <v>0</v>
      </c>
      <c r="AB432" s="494">
        <f>IF(AA436&gt;0,AA432/AA436,0)</f>
        <v>0</v>
      </c>
    </row>
    <row r="433" spans="1:28" ht="15.75" customHeight="1" x14ac:dyDescent="0.3">
      <c r="A433" s="2301"/>
      <c r="B433" s="399" t="str">
        <f>$B$6</f>
        <v>Bandeja</v>
      </c>
      <c r="C433" s="400">
        <f>C426</f>
        <v>0</v>
      </c>
      <c r="D433" s="387">
        <f>C433*SUM(INVENTARIOS!R431:R437)</f>
        <v>0</v>
      </c>
      <c r="E433" s="383">
        <f>IFERROR(D433/SUM(PROD!L432:L438),0)</f>
        <v>0</v>
      </c>
      <c r="F433" s="384">
        <f>IFERROR(E433/SUM(E431:E437,J431:J437,O431:O436),0)</f>
        <v>0</v>
      </c>
      <c r="G433" s="439" t="str">
        <f>$G$13</f>
        <v>Arrendamientos</v>
      </c>
      <c r="H433" s="401">
        <f t="shared" si="81"/>
        <v>0</v>
      </c>
      <c r="I433" s="390">
        <f t="shared" si="79"/>
        <v>0</v>
      </c>
      <c r="J433" s="383">
        <f>IFERROR(I433/SUM(PROD!L432:L438),0)</f>
        <v>0</v>
      </c>
      <c r="K433" s="384">
        <f>IFERROR(J433/SUM(E431:E437,J431:J437,O431:O436),0)</f>
        <v>0</v>
      </c>
      <c r="L433" s="439" t="str">
        <f>$L$6</f>
        <v>Diversos</v>
      </c>
      <c r="M433" s="401">
        <f t="shared" si="89"/>
        <v>0</v>
      </c>
      <c r="N433" s="390">
        <f>M433*12/52</f>
        <v>0</v>
      </c>
      <c r="O433" s="383">
        <f>IFERROR(N433/SUM(PROD!L432:L438),0)</f>
        <v>0</v>
      </c>
      <c r="P433" s="384">
        <f>IFERROR(O433/SUM(E431:E437,J431:J437,O431:O436),0)</f>
        <v>0</v>
      </c>
      <c r="Q433" s="491" t="str">
        <f>$Q$6</f>
        <v>AA</v>
      </c>
      <c r="R433" s="392">
        <f t="shared" si="82"/>
        <v>0</v>
      </c>
      <c r="S433" s="870">
        <f>SUM(PROD!AO432:AO438)</f>
        <v>0</v>
      </c>
      <c r="T433" s="492">
        <f>IF(AA431&gt;0,S433/AA431,0)</f>
        <v>0</v>
      </c>
      <c r="U433" s="493" t="str">
        <f>$U$6</f>
        <v>Vencido</v>
      </c>
      <c r="V433" s="392">
        <f t="shared" si="83"/>
        <v>0</v>
      </c>
      <c r="W433" s="870">
        <f>SUM(PROD!AY432:AY438)</f>
        <v>0</v>
      </c>
      <c r="X433" s="492">
        <f>IFERROR(W433/(AA436-AA434),0)</f>
        <v>0</v>
      </c>
      <c r="Y433" s="402" t="s">
        <v>391</v>
      </c>
      <c r="Z433" s="456">
        <v>0</v>
      </c>
      <c r="AA433" s="720"/>
      <c r="AB433" s="495">
        <f>IF(AA436&gt;0,AA433/AA436,0)</f>
        <v>0</v>
      </c>
    </row>
    <row r="434" spans="1:28" ht="15.75" customHeight="1" x14ac:dyDescent="0.3">
      <c r="A434" s="2301"/>
      <c r="B434" s="438" t="str">
        <f>$B$7</f>
        <v>Mortalidad Aves</v>
      </c>
      <c r="C434" s="401">
        <f>IF(A431&lt;=$B$2,C432+$C$2,0)</f>
        <v>0</v>
      </c>
      <c r="D434" s="390">
        <f>C434*SUM(PROD!D432:D438)</f>
        <v>0</v>
      </c>
      <c r="E434" s="383">
        <f>IFERROR(D434/SUM(PROD!L432:L438),0)</f>
        <v>0</v>
      </c>
      <c r="F434" s="384">
        <f>IFERROR(E434/SUM(E431:E437,J431:J437,O431:O436),0)</f>
        <v>0</v>
      </c>
      <c r="G434" s="439" t="str">
        <f>$G$14</f>
        <v>Servicios Públicos</v>
      </c>
      <c r="H434" s="401">
        <f t="shared" si="81"/>
        <v>0</v>
      </c>
      <c r="I434" s="390">
        <f t="shared" si="79"/>
        <v>0</v>
      </c>
      <c r="J434" s="383">
        <f>IFERROR(I434/SUM(PROD!L432:L438),0)</f>
        <v>0</v>
      </c>
      <c r="K434" s="384">
        <f>IFERROR(J434/SUM(E431:E437,J431:J437,O431:O436),0)</f>
        <v>0</v>
      </c>
      <c r="L434" s="441" t="str">
        <f>$L$7</f>
        <v>Administrativos</v>
      </c>
      <c r="M434" s="401">
        <f t="shared" si="89"/>
        <v>0</v>
      </c>
      <c r="N434" s="404">
        <f>M434*0.230769230769231</f>
        <v>0</v>
      </c>
      <c r="O434" s="383">
        <f>IFERROR(N434/SUM(PROD!L432:L438),0)</f>
        <v>0</v>
      </c>
      <c r="P434" s="384">
        <f>IFERROR(O434/SUM(E431:E437,J431:J437,O431:O436),0)</f>
        <v>0</v>
      </c>
      <c r="Q434" s="491" t="str">
        <f>$Q$7</f>
        <v>A</v>
      </c>
      <c r="R434" s="392">
        <f t="shared" si="82"/>
        <v>0</v>
      </c>
      <c r="S434" s="870">
        <f>SUM(PROD!AP432:AP438)</f>
        <v>0</v>
      </c>
      <c r="T434" s="492">
        <f>IF(AA431&gt;0,S434/AA431,0)</f>
        <v>0</v>
      </c>
      <c r="U434" s="405" t="str">
        <f>$U$7</f>
        <v>Roto</v>
      </c>
      <c r="V434" s="406">
        <f t="shared" si="83"/>
        <v>0</v>
      </c>
      <c r="W434" s="872">
        <f>SUM(PROD!AZ432:AZ438)</f>
        <v>0</v>
      </c>
      <c r="X434" s="407">
        <f>IFERROR(W434/(AA436-AA434),0)</f>
        <v>0</v>
      </c>
      <c r="Y434" s="408" t="s">
        <v>359</v>
      </c>
      <c r="Z434" s="442">
        <v>215</v>
      </c>
      <c r="AA434" s="410">
        <f>SUM(PROD!L432:L438)-SUM(W431:W437)-SUM(S431:S437)-AA433</f>
        <v>0</v>
      </c>
      <c r="AB434" s="496">
        <f>IF(AA436&gt;0,AA434/AA436,0)</f>
        <v>0</v>
      </c>
    </row>
    <row r="435" spans="1:28" ht="15.75" customHeight="1" x14ac:dyDescent="0.3">
      <c r="A435" s="2301"/>
      <c r="B435" s="399" t="str">
        <f>$B$8</f>
        <v>Materia Prima (Carb Ca, etc.)</v>
      </c>
      <c r="C435" s="440">
        <f>C428</f>
        <v>0</v>
      </c>
      <c r="D435" s="387">
        <f>C435*12/52</f>
        <v>0</v>
      </c>
      <c r="E435" s="383">
        <f>IFERROR(D435/SUM(PROD!L432:L438),0)</f>
        <v>0</v>
      </c>
      <c r="F435" s="384">
        <f>IFERROR(E435/SUM(E431:E437,J431:J437,O431:O436),0)</f>
        <v>0</v>
      </c>
      <c r="G435" s="441" t="str">
        <f>$G$15</f>
        <v>Gastos Legales</v>
      </c>
      <c r="H435" s="401">
        <f t="shared" si="81"/>
        <v>0</v>
      </c>
      <c r="I435" s="390">
        <f t="shared" si="79"/>
        <v>0</v>
      </c>
      <c r="J435" s="383">
        <f>IFERROR(I435/SUM(PROD!L432:L438),0)</f>
        <v>0</v>
      </c>
      <c r="K435" s="384">
        <f>IFERROR(J435/SUM(E431:E437,J431:J437,O431:O436),0)</f>
        <v>0</v>
      </c>
      <c r="L435" s="439" t="str">
        <f>$L$8</f>
        <v>Fletes</v>
      </c>
      <c r="M435" s="401">
        <f t="shared" si="89"/>
        <v>0</v>
      </c>
      <c r="N435" s="404">
        <f>M435*0.230769230769231</f>
        <v>0</v>
      </c>
      <c r="O435" s="383">
        <f>IFERROR(N435/SUM(PROD!L432:L438),0)</f>
        <v>0</v>
      </c>
      <c r="P435" s="384">
        <f>IFERROR(O435/SUM(E431:E437,J431:J437,O431:O436),0)</f>
        <v>0</v>
      </c>
      <c r="Q435" s="491" t="str">
        <f>$Q$8</f>
        <v>B</v>
      </c>
      <c r="R435" s="392">
        <f t="shared" si="82"/>
        <v>0</v>
      </c>
      <c r="S435" s="870">
        <f>SUM(PROD!AQ432:AQ438)</f>
        <v>0</v>
      </c>
      <c r="T435" s="492">
        <f>IF(AA431&gt;0,S435/AA431,0)</f>
        <v>0</v>
      </c>
      <c r="U435" s="395" t="str">
        <f>$U$8</f>
        <v>Rev. Gr.</v>
      </c>
      <c r="V435" s="412">
        <f t="shared" si="83"/>
        <v>0</v>
      </c>
      <c r="W435" s="873">
        <f>SUM(PROD!AT432:AT438)</f>
        <v>0</v>
      </c>
      <c r="X435" s="413">
        <f>IFERROR(W435/(AA436-AA434),0)</f>
        <v>0</v>
      </c>
      <c r="Y435" s="414" t="s">
        <v>262</v>
      </c>
      <c r="Z435" s="415">
        <f>IFERROR(SUMPRODUCT(V435:V437,W435:W437)/SUM(W435:W437),0)</f>
        <v>0</v>
      </c>
      <c r="AA435" s="416">
        <f>SUM(W435:W437)</f>
        <v>0</v>
      </c>
      <c r="AB435" s="497">
        <f>IF(AA436&gt;0,AA435/AA436,0)</f>
        <v>0</v>
      </c>
    </row>
    <row r="436" spans="1:28" ht="15.75" customHeight="1" x14ac:dyDescent="0.3">
      <c r="A436" s="2301"/>
      <c r="B436" s="438" t="str">
        <f>$B$9</f>
        <v>Vacunas y medicamentos</v>
      </c>
      <c r="C436" s="443">
        <f>C429</f>
        <v>0</v>
      </c>
      <c r="D436" s="387">
        <f>C436*12/52</f>
        <v>0</v>
      </c>
      <c r="E436" s="383">
        <f>IFERROR(D436/SUM(PROD!L432:L438),0)</f>
        <v>0</v>
      </c>
      <c r="F436" s="384">
        <f>IFERROR(E436/SUM(E431:E437,J431:J437,O431:O436),0)</f>
        <v>0</v>
      </c>
      <c r="G436" s="441" t="str">
        <f>$G$16</f>
        <v>Mantenimiento y Reparaciones</v>
      </c>
      <c r="H436" s="401">
        <f t="shared" si="81"/>
        <v>0</v>
      </c>
      <c r="I436" s="390">
        <f t="shared" si="79"/>
        <v>0</v>
      </c>
      <c r="J436" s="383">
        <f>IFERROR(I436/SUM(PROD!L432:L438),0)</f>
        <v>0</v>
      </c>
      <c r="K436" s="384">
        <f>IFERROR(J436/SUM(E431:E437,J431:J437,O431:O436),0)</f>
        <v>0</v>
      </c>
      <c r="L436" s="439">
        <f>$L$9</f>
        <v>0</v>
      </c>
      <c r="M436" s="401">
        <f t="shared" si="89"/>
        <v>0</v>
      </c>
      <c r="N436" s="404">
        <f>M436*0.230769230769231</f>
        <v>0</v>
      </c>
      <c r="O436" s="383">
        <f>IFERROR(N436/SUM(PROD!L432:L438),0)</f>
        <v>0</v>
      </c>
      <c r="P436" s="384">
        <f>IFERROR(O436/SUM(E431:E437,J431:J437,O431:O436),0)</f>
        <v>0</v>
      </c>
      <c r="Q436" s="491" t="str">
        <f>$Q$9</f>
        <v>C</v>
      </c>
      <c r="R436" s="392">
        <f t="shared" si="82"/>
        <v>0</v>
      </c>
      <c r="S436" s="870">
        <f>SUM(PROD!AR432:AR438)</f>
        <v>0</v>
      </c>
      <c r="T436" s="492">
        <f>IF(AA431&gt;0,S436/AA431,0)</f>
        <v>0</v>
      </c>
      <c r="U436" s="493" t="str">
        <f>$U$9</f>
        <v>Rev. Med</v>
      </c>
      <c r="V436" s="392">
        <f t="shared" si="83"/>
        <v>0</v>
      </c>
      <c r="W436" s="870">
        <f>SUM(PROD!AU432:AU438)</f>
        <v>0</v>
      </c>
      <c r="X436" s="498">
        <f>IFERROR(W436/(AA436-AA434),0)</f>
        <v>0</v>
      </c>
      <c r="Y436" s="2303" t="s">
        <v>325</v>
      </c>
      <c r="Z436" s="2305">
        <f>SUMPRODUCT(Z431:Z435,AB431:AB435)</f>
        <v>0</v>
      </c>
      <c r="AA436" s="2307">
        <f>SUM(AA431:AA434)</f>
        <v>0</v>
      </c>
      <c r="AB436" s="2308"/>
    </row>
    <row r="437" spans="1:28" ht="16.5" customHeight="1" thickBot="1" x14ac:dyDescent="0.35">
      <c r="A437" s="2302"/>
      <c r="B437" s="444" t="str">
        <f>$B$10</f>
        <v>Gastos de Personal</v>
      </c>
      <c r="C437" s="445">
        <f>C430</f>
        <v>0</v>
      </c>
      <c r="D437" s="421">
        <f>C437*12/52</f>
        <v>0</v>
      </c>
      <c r="E437" s="446">
        <f>IFERROR(D437/SUM(PROD!L432:L438),0)</f>
        <v>0</v>
      </c>
      <c r="F437" s="447">
        <f>IFERROR(E437/SUM(E431:E437,J431:J437,O431:O436),0)</f>
        <v>0</v>
      </c>
      <c r="G437" s="448" t="str">
        <f>$G$17</f>
        <v>Adecuación Instalaciones</v>
      </c>
      <c r="H437" s="445">
        <f t="shared" si="81"/>
        <v>0</v>
      </c>
      <c r="I437" s="426">
        <f t="shared" si="79"/>
        <v>0</v>
      </c>
      <c r="J437" s="446">
        <f>IFERROR(I437/SUM(PROD!L432:L438),0)</f>
        <v>0</v>
      </c>
      <c r="K437" s="447">
        <f>IFERROR(J437/SUM(E431:E437,J431:J437,O431:O436),0)</f>
        <v>0</v>
      </c>
      <c r="L437" s="2311" t="str">
        <f>$L$10</f>
        <v>TOTAL COSTO PRODUCCIÓN</v>
      </c>
      <c r="M437" s="2312"/>
      <c r="N437" s="427">
        <f>SUM(D431:D437,I431:I437,N431:N436)</f>
        <v>0</v>
      </c>
      <c r="O437" s="449">
        <f>IFERROR(N437/SUM(PROD!L432:L438),0)</f>
        <v>0</v>
      </c>
      <c r="P437" s="447">
        <f>IFERROR(O437/SUM(E431:E437,J431:J437,O431:O436),0)</f>
        <v>0</v>
      </c>
      <c r="Q437" s="429" t="str">
        <f>$Q$10</f>
        <v>D</v>
      </c>
      <c r="R437" s="499">
        <f t="shared" si="82"/>
        <v>0</v>
      </c>
      <c r="S437" s="871">
        <f>SUM(PROD!AS432:AS438)</f>
        <v>0</v>
      </c>
      <c r="T437" s="431">
        <f>IF(AA431&gt;0,S437/AA431,0)</f>
        <v>0</v>
      </c>
      <c r="U437" s="432" t="str">
        <f>$U$10</f>
        <v>Rev. Peq</v>
      </c>
      <c r="V437" s="499">
        <f t="shared" si="83"/>
        <v>0</v>
      </c>
      <c r="W437" s="871">
        <f>SUM(PROD!AV432:AV438)</f>
        <v>0</v>
      </c>
      <c r="X437" s="431">
        <f>IFERROR(W437/(AA436-AA434),0)</f>
        <v>0</v>
      </c>
      <c r="Y437" s="2304"/>
      <c r="Z437" s="2306"/>
      <c r="AA437" s="2309"/>
      <c r="AB437" s="2310"/>
    </row>
    <row r="438" spans="1:28" ht="16.5" customHeight="1" x14ac:dyDescent="0.3">
      <c r="A438" s="2300">
        <f>A431+1</f>
        <v>80</v>
      </c>
      <c r="B438" s="433" t="str">
        <f>$B$4</f>
        <v>ALIMENTO Kilos</v>
      </c>
      <c r="C438" s="435">
        <f>LOOKUP($A438,PROD!$A$5:$A$725,PROD!$AH$10:$AH$730)</f>
        <v>0</v>
      </c>
      <c r="D438" s="368">
        <f>C438*LOOKUP($A438,'Pr-Sem'!$A$6:$A$108,'Pr-Sem'!$N$6:$N$108)/(PROD!$A$1/1000)</f>
        <v>0</v>
      </c>
      <c r="E438" s="369">
        <f>IFERROR(D438/SUM(PROD!L439:L445),0)</f>
        <v>0</v>
      </c>
      <c r="F438" s="370">
        <f>IFERROR(E438/SUM(E438:E444,J438:J444,O438:O443),0)</f>
        <v>0</v>
      </c>
      <c r="G438" s="434" t="str">
        <f>$G$11</f>
        <v>Honorarios</v>
      </c>
      <c r="H438" s="435">
        <f t="shared" si="81"/>
        <v>0</v>
      </c>
      <c r="I438" s="372">
        <f t="shared" si="79"/>
        <v>0</v>
      </c>
      <c r="J438" s="369">
        <f>IFERROR(I438/SUM(PROD!L439:L445),0)</f>
        <v>0</v>
      </c>
      <c r="K438" s="370">
        <f>IFERROR(J438/SUM(E438:E444,J438:J444,O438:O443),0)</f>
        <v>0</v>
      </c>
      <c r="L438" s="436" t="str">
        <f>$L$4</f>
        <v>Gastos de Viaje</v>
      </c>
      <c r="M438" s="435">
        <f t="shared" ref="M438:M443" si="90">M431</f>
        <v>0</v>
      </c>
      <c r="N438" s="372">
        <f>M438*12/52</f>
        <v>0</v>
      </c>
      <c r="O438" s="369">
        <f>IFERROR(N438/SUM(PROD!L439:L445),0)</f>
        <v>0</v>
      </c>
      <c r="P438" s="370">
        <f>IFERROR(O438/SUM(E438:E444,J438:J444,O438:O443),0)</f>
        <v>0</v>
      </c>
      <c r="Q438" s="373" t="str">
        <f>$Q$4</f>
        <v>AAAA</v>
      </c>
      <c r="R438" s="374">
        <f t="shared" si="82"/>
        <v>0</v>
      </c>
      <c r="S438" s="869">
        <f>SUM(PROD!AM439:AM445)</f>
        <v>0</v>
      </c>
      <c r="T438" s="375">
        <f>IF(AA438&gt;0,S438/AA438,0)</f>
        <v>0</v>
      </c>
      <c r="U438" s="376" t="str">
        <f>$U$4</f>
        <v>Prob Color</v>
      </c>
      <c r="V438" s="374">
        <f t="shared" si="83"/>
        <v>0</v>
      </c>
      <c r="W438" s="869">
        <f>SUM(PROD!AW439:AW445)</f>
        <v>0</v>
      </c>
      <c r="X438" s="375">
        <f>IFERROR(W438/(AA443-AA441),0)</f>
        <v>0</v>
      </c>
      <c r="Y438" s="377" t="s">
        <v>323</v>
      </c>
      <c r="Z438" s="378">
        <f>SUMPRODUCT(R438:R444,T438:T444)</f>
        <v>0</v>
      </c>
      <c r="AA438" s="379">
        <f>SUM(S438:S444)</f>
        <v>0</v>
      </c>
      <c r="AB438" s="490">
        <f>IF(AA443&gt;0,AA438/AA443,0)</f>
        <v>0</v>
      </c>
    </row>
    <row r="439" spans="1:28" ht="15.75" customHeight="1" x14ac:dyDescent="0.3">
      <c r="A439" s="2301"/>
      <c r="B439" s="438" t="str">
        <f>$B$5</f>
        <v>Amortización de Aves</v>
      </c>
      <c r="C439" s="381">
        <f>IFERROR((C432-(D439/'Pr-Sem'!$O$2)),0)</f>
        <v>0</v>
      </c>
      <c r="D439" s="382">
        <f>SUM(PROD!L439:L445)*E439</f>
        <v>0</v>
      </c>
      <c r="E439" s="383">
        <f>IF(SUM(PROD!L439:L445)&gt;0,IFERROR(($C$1-$C$2)/LOOKUP($B$2,'Pr-Sem'!$A$6:$A$108,'Pr-Sem'!$L$6:$L$108)*(LOOKUP(INVENTARIOS!$A438,'Pr-Sem'!$A$6:$A$108,'Pr-Sem'!$L$6:$L$108)-LOOKUP(INVENTARIOS!$A438-1,'Pr-Sem'!$A$6:$A$108,'Pr-Sem'!$L$6:$L$108))/(LOOKUP(INVENTARIOS!$A438,'Pr-Sem'!$A$6:$A$108,'Pr-Sem'!$K$6:$K$108)-LOOKUP(INVENTARIOS!$A438-1,'Pr-Sem'!$A$6:$A$108,'Pr-Sem'!$K$6:$K$108)),0),0)</f>
        <v>0</v>
      </c>
      <c r="F439" s="384">
        <f>IFERROR(E439/SUM(E438:E444,J438:J444,O438:O443),0)</f>
        <v>0</v>
      </c>
      <c r="G439" s="439" t="str">
        <f>$G$12</f>
        <v>Impuestos</v>
      </c>
      <c r="H439" s="440">
        <f t="shared" si="81"/>
        <v>0</v>
      </c>
      <c r="I439" s="387">
        <f t="shared" si="79"/>
        <v>0</v>
      </c>
      <c r="J439" s="383">
        <f>IFERROR(I439/SUM(PROD!L439:L445),0)</f>
        <v>0</v>
      </c>
      <c r="K439" s="384">
        <f>IFERROR(J439/SUM(E438:E444,J438:J444,O438:O443),0)</f>
        <v>0</v>
      </c>
      <c r="L439" s="439" t="str">
        <f>$L$5</f>
        <v>Depreciaciones</v>
      </c>
      <c r="M439" s="401">
        <f t="shared" si="90"/>
        <v>0</v>
      </c>
      <c r="N439" s="390">
        <f>M439*12/52</f>
        <v>0</v>
      </c>
      <c r="O439" s="383">
        <f>IFERROR(N439/SUM(PROD!L439:L445),0)</f>
        <v>0</v>
      </c>
      <c r="P439" s="384">
        <f>IFERROR(O439/SUM(E438:E444,J438:J444,O438:O443),0)</f>
        <v>0</v>
      </c>
      <c r="Q439" s="491" t="str">
        <f>$Q$5</f>
        <v>AAA</v>
      </c>
      <c r="R439" s="392">
        <f t="shared" si="82"/>
        <v>0</v>
      </c>
      <c r="S439" s="870">
        <f>SUM(PROD!AN439:AN445)</f>
        <v>0</v>
      </c>
      <c r="T439" s="492">
        <f>IF(AA438&gt;0,S439/AA438,0)</f>
        <v>0</v>
      </c>
      <c r="U439" s="493" t="str">
        <f>$U$5</f>
        <v>Prob Cásc</v>
      </c>
      <c r="V439" s="392">
        <f t="shared" si="83"/>
        <v>0</v>
      </c>
      <c r="W439" s="870">
        <f>SUM(PROD!AX439:AX445)</f>
        <v>0</v>
      </c>
      <c r="X439" s="492">
        <f>IFERROR(W439/(AA443-AA441),0)</f>
        <v>0</v>
      </c>
      <c r="Y439" s="395" t="s">
        <v>324</v>
      </c>
      <c r="Z439" s="396">
        <f>IFERROR(SUMPRODUCT(V438:V441,W438:W441)/SUM(W438:W441),0)</f>
        <v>0</v>
      </c>
      <c r="AA439" s="397">
        <f>SUM(W438:W441)</f>
        <v>0</v>
      </c>
      <c r="AB439" s="494">
        <f>IF(AA443&gt;0,AA439/AA443,0)</f>
        <v>0</v>
      </c>
    </row>
    <row r="440" spans="1:28" ht="15.75" customHeight="1" x14ac:dyDescent="0.3">
      <c r="A440" s="2301"/>
      <c r="B440" s="399" t="str">
        <f>$B$6</f>
        <v>Bandeja</v>
      </c>
      <c r="C440" s="400">
        <f>C433</f>
        <v>0</v>
      </c>
      <c r="D440" s="387">
        <f>C440*SUM(INVENTARIOS!R438:R444)</f>
        <v>0</v>
      </c>
      <c r="E440" s="383">
        <f>IFERROR(D440/SUM(PROD!L439:L445),0)</f>
        <v>0</v>
      </c>
      <c r="F440" s="384">
        <f>IFERROR(E440/SUM(E438:E444,J438:J444,O438:O443),0)</f>
        <v>0</v>
      </c>
      <c r="G440" s="439" t="str">
        <f>$G$13</f>
        <v>Arrendamientos</v>
      </c>
      <c r="H440" s="401">
        <f t="shared" si="81"/>
        <v>0</v>
      </c>
      <c r="I440" s="390">
        <f t="shared" si="79"/>
        <v>0</v>
      </c>
      <c r="J440" s="383">
        <f>IFERROR(I440/SUM(PROD!L439:L445),0)</f>
        <v>0</v>
      </c>
      <c r="K440" s="384">
        <f>IFERROR(J440/SUM(E438:E444,J438:J444,O438:O443),0)</f>
        <v>0</v>
      </c>
      <c r="L440" s="439" t="str">
        <f>$L$6</f>
        <v>Diversos</v>
      </c>
      <c r="M440" s="401">
        <f t="shared" si="90"/>
        <v>0</v>
      </c>
      <c r="N440" s="390">
        <f>M440*12/52</f>
        <v>0</v>
      </c>
      <c r="O440" s="383">
        <f>IFERROR(N440/SUM(PROD!L439:L445),0)</f>
        <v>0</v>
      </c>
      <c r="P440" s="384">
        <f>IFERROR(O440/SUM(E438:E444,J438:J444,O438:O443),0)</f>
        <v>0</v>
      </c>
      <c r="Q440" s="491" t="str">
        <f>$Q$6</f>
        <v>AA</v>
      </c>
      <c r="R440" s="392">
        <f t="shared" si="82"/>
        <v>0</v>
      </c>
      <c r="S440" s="870">
        <f>SUM(PROD!AO439:AO445)</f>
        <v>0</v>
      </c>
      <c r="T440" s="492">
        <f>IF(AA438&gt;0,S440/AA438,0)</f>
        <v>0</v>
      </c>
      <c r="U440" s="493" t="str">
        <f>$U$6</f>
        <v>Vencido</v>
      </c>
      <c r="V440" s="392">
        <f t="shared" si="83"/>
        <v>0</v>
      </c>
      <c r="W440" s="870">
        <f>SUM(PROD!AY439:AY445)</f>
        <v>0</v>
      </c>
      <c r="X440" s="492">
        <f>IFERROR(W440/(AA443-AA441),0)</f>
        <v>0</v>
      </c>
      <c r="Y440" s="402" t="s">
        <v>391</v>
      </c>
      <c r="Z440" s="456">
        <v>0</v>
      </c>
      <c r="AA440" s="720"/>
      <c r="AB440" s="495">
        <f>IF(AA443&gt;0,AA440/AA443,0)</f>
        <v>0</v>
      </c>
    </row>
    <row r="441" spans="1:28" ht="15.75" customHeight="1" x14ac:dyDescent="0.3">
      <c r="A441" s="2301"/>
      <c r="B441" s="438" t="str">
        <f>$B$7</f>
        <v>Mortalidad Aves</v>
      </c>
      <c r="C441" s="401">
        <f>IF(A438&lt;=$B$2,C439+$C$2,0)</f>
        <v>0</v>
      </c>
      <c r="D441" s="390">
        <f>C441*SUM(PROD!D439:D445)</f>
        <v>0</v>
      </c>
      <c r="E441" s="383">
        <f>IFERROR(D441/SUM(PROD!L439:L445),0)</f>
        <v>0</v>
      </c>
      <c r="F441" s="384">
        <f>IFERROR(E441/SUM(E438:E444,J438:J444,O438:O443),0)</f>
        <v>0</v>
      </c>
      <c r="G441" s="439" t="str">
        <f>$G$14</f>
        <v>Servicios Públicos</v>
      </c>
      <c r="H441" s="401">
        <f t="shared" si="81"/>
        <v>0</v>
      </c>
      <c r="I441" s="390">
        <f t="shared" si="79"/>
        <v>0</v>
      </c>
      <c r="J441" s="383">
        <f>IFERROR(I441/SUM(PROD!L439:L445),0)</f>
        <v>0</v>
      </c>
      <c r="K441" s="384">
        <f>IFERROR(J441/SUM(E438:E444,J438:J444,O438:O443),0)</f>
        <v>0</v>
      </c>
      <c r="L441" s="441" t="str">
        <f>$L$7</f>
        <v>Administrativos</v>
      </c>
      <c r="M441" s="401">
        <f t="shared" si="90"/>
        <v>0</v>
      </c>
      <c r="N441" s="404">
        <f>M441*0.230769230769231</f>
        <v>0</v>
      </c>
      <c r="O441" s="383">
        <f>IFERROR(N441/SUM(PROD!L439:L445),0)</f>
        <v>0</v>
      </c>
      <c r="P441" s="384">
        <f>IFERROR(O441/SUM(E438:E444,J438:J444,O438:O443),0)</f>
        <v>0</v>
      </c>
      <c r="Q441" s="491" t="str">
        <f>$Q$7</f>
        <v>A</v>
      </c>
      <c r="R441" s="392">
        <f t="shared" si="82"/>
        <v>0</v>
      </c>
      <c r="S441" s="870">
        <f>SUM(PROD!AP439:AP445)</f>
        <v>0</v>
      </c>
      <c r="T441" s="492">
        <f>IF(AA438&gt;0,S441/AA438,0)</f>
        <v>0</v>
      </c>
      <c r="U441" s="405" t="str">
        <f>$U$7</f>
        <v>Roto</v>
      </c>
      <c r="V441" s="406">
        <f t="shared" si="83"/>
        <v>0</v>
      </c>
      <c r="W441" s="872">
        <f>SUM(PROD!AZ439:AZ445)</f>
        <v>0</v>
      </c>
      <c r="X441" s="407">
        <f>IFERROR(W441/(AA443-AA441),0)</f>
        <v>0</v>
      </c>
      <c r="Y441" s="408" t="s">
        <v>359</v>
      </c>
      <c r="Z441" s="442">
        <v>215</v>
      </c>
      <c r="AA441" s="410">
        <f>SUM(PROD!L439:L445)-SUM(W438:W444)-SUM(S438:S444)-AA440</f>
        <v>0</v>
      </c>
      <c r="AB441" s="496">
        <f>IF(AA443&gt;0,AA441/AA443,0)</f>
        <v>0</v>
      </c>
    </row>
    <row r="442" spans="1:28" ht="15.75" customHeight="1" x14ac:dyDescent="0.3">
      <c r="A442" s="2301"/>
      <c r="B442" s="399" t="str">
        <f>$B$8</f>
        <v>Materia Prima (Carb Ca, etc.)</v>
      </c>
      <c r="C442" s="440">
        <f>C435</f>
        <v>0</v>
      </c>
      <c r="D442" s="387">
        <f>C442*12/52</f>
        <v>0</v>
      </c>
      <c r="E442" s="383">
        <f>IFERROR(D442/SUM(PROD!L439:L445),0)</f>
        <v>0</v>
      </c>
      <c r="F442" s="384">
        <f>IFERROR(E442/SUM(E438:E444,J438:J444,O438:O443),0)</f>
        <v>0</v>
      </c>
      <c r="G442" s="441" t="str">
        <f>$G$15</f>
        <v>Gastos Legales</v>
      </c>
      <c r="H442" s="401">
        <f t="shared" si="81"/>
        <v>0</v>
      </c>
      <c r="I442" s="390">
        <f t="shared" si="79"/>
        <v>0</v>
      </c>
      <c r="J442" s="383">
        <f>IFERROR(I442/SUM(PROD!L439:L445),0)</f>
        <v>0</v>
      </c>
      <c r="K442" s="384">
        <f>IFERROR(J442/SUM(E438:E444,J438:J444,O438:O443),0)</f>
        <v>0</v>
      </c>
      <c r="L442" s="439" t="str">
        <f>$L$8</f>
        <v>Fletes</v>
      </c>
      <c r="M442" s="401">
        <f t="shared" si="90"/>
        <v>0</v>
      </c>
      <c r="N442" s="404">
        <f>M442*0.230769230769231</f>
        <v>0</v>
      </c>
      <c r="O442" s="383">
        <f>IFERROR(N442/SUM(PROD!L439:L445),0)</f>
        <v>0</v>
      </c>
      <c r="P442" s="384">
        <f>IFERROR(O442/SUM(E438:E444,J438:J444,O438:O443),0)</f>
        <v>0</v>
      </c>
      <c r="Q442" s="491" t="str">
        <f>$Q$8</f>
        <v>B</v>
      </c>
      <c r="R442" s="392">
        <f t="shared" si="82"/>
        <v>0</v>
      </c>
      <c r="S442" s="870">
        <f>SUM(PROD!AQ439:AQ445)</f>
        <v>0</v>
      </c>
      <c r="T442" s="492">
        <f>IF(AA438&gt;0,S442/AA438,0)</f>
        <v>0</v>
      </c>
      <c r="U442" s="395" t="str">
        <f>$U$8</f>
        <v>Rev. Gr.</v>
      </c>
      <c r="V442" s="412">
        <f t="shared" si="83"/>
        <v>0</v>
      </c>
      <c r="W442" s="873">
        <f>SUM(PROD!AT439:AT445)</f>
        <v>0</v>
      </c>
      <c r="X442" s="413">
        <f>IFERROR(W442/(AA443-AA441),0)</f>
        <v>0</v>
      </c>
      <c r="Y442" s="414" t="s">
        <v>262</v>
      </c>
      <c r="Z442" s="415">
        <f>IFERROR(SUMPRODUCT(V442:V444,W442:W444)/SUM(W442:W444),0)</f>
        <v>0</v>
      </c>
      <c r="AA442" s="416">
        <f>SUM(W442:W444)</f>
        <v>0</v>
      </c>
      <c r="AB442" s="497">
        <f>IF(AA443&gt;0,AA442/AA443,0)</f>
        <v>0</v>
      </c>
    </row>
    <row r="443" spans="1:28" ht="15.75" customHeight="1" x14ac:dyDescent="0.3">
      <c r="A443" s="2301"/>
      <c r="B443" s="438" t="str">
        <f>$B$9</f>
        <v>Vacunas y medicamentos</v>
      </c>
      <c r="C443" s="443">
        <f>C436</f>
        <v>0</v>
      </c>
      <c r="D443" s="387">
        <f>C443*12/52</f>
        <v>0</v>
      </c>
      <c r="E443" s="383">
        <f>IFERROR(D443/SUM(PROD!L439:L445),0)</f>
        <v>0</v>
      </c>
      <c r="F443" s="384">
        <f>IFERROR(E443/SUM(E438:E444,J438:J444,O438:O443),0)</f>
        <v>0</v>
      </c>
      <c r="G443" s="441" t="str">
        <f>$G$16</f>
        <v>Mantenimiento y Reparaciones</v>
      </c>
      <c r="H443" s="401">
        <f t="shared" si="81"/>
        <v>0</v>
      </c>
      <c r="I443" s="390">
        <f t="shared" si="79"/>
        <v>0</v>
      </c>
      <c r="J443" s="383">
        <f>IFERROR(I443/SUM(PROD!L439:L445),0)</f>
        <v>0</v>
      </c>
      <c r="K443" s="384">
        <f>IFERROR(J443/SUM(E438:E444,J438:J444,O438:O443),0)</f>
        <v>0</v>
      </c>
      <c r="L443" s="439">
        <f>$L$9</f>
        <v>0</v>
      </c>
      <c r="M443" s="401">
        <f t="shared" si="90"/>
        <v>0</v>
      </c>
      <c r="N443" s="404">
        <f>M443*0.230769230769231</f>
        <v>0</v>
      </c>
      <c r="O443" s="383">
        <f>IFERROR(N443/SUM(PROD!L439:L445),0)</f>
        <v>0</v>
      </c>
      <c r="P443" s="384">
        <f>IFERROR(O443/SUM(E438:E444,J438:J444,O438:O443),0)</f>
        <v>0</v>
      </c>
      <c r="Q443" s="491" t="str">
        <f>$Q$9</f>
        <v>C</v>
      </c>
      <c r="R443" s="392">
        <f t="shared" si="82"/>
        <v>0</v>
      </c>
      <c r="S443" s="870">
        <f>SUM(PROD!AR439:AR445)</f>
        <v>0</v>
      </c>
      <c r="T443" s="492">
        <f>IF(AA438&gt;0,S443/AA438,0)</f>
        <v>0</v>
      </c>
      <c r="U443" s="493" t="str">
        <f>$U$9</f>
        <v>Rev. Med</v>
      </c>
      <c r="V443" s="392">
        <f t="shared" si="83"/>
        <v>0</v>
      </c>
      <c r="W443" s="870">
        <f>SUM(PROD!AU439:AU445)</f>
        <v>0</v>
      </c>
      <c r="X443" s="498">
        <f>IFERROR(W443/(AA443-AA441),0)</f>
        <v>0</v>
      </c>
      <c r="Y443" s="2303" t="s">
        <v>325</v>
      </c>
      <c r="Z443" s="2305">
        <f>SUMPRODUCT(Z438:Z442,AB438:AB442)</f>
        <v>0</v>
      </c>
      <c r="AA443" s="2307">
        <f>SUM(AA438:AA441)</f>
        <v>0</v>
      </c>
      <c r="AB443" s="2308"/>
    </row>
    <row r="444" spans="1:28" ht="16.5" customHeight="1" thickBot="1" x14ac:dyDescent="0.35">
      <c r="A444" s="2302"/>
      <c r="B444" s="444" t="str">
        <f>$B$10</f>
        <v>Gastos de Personal</v>
      </c>
      <c r="C444" s="445">
        <f>C437</f>
        <v>0</v>
      </c>
      <c r="D444" s="421">
        <f>C444*12/52</f>
        <v>0</v>
      </c>
      <c r="E444" s="446">
        <f>IFERROR(D444/SUM(PROD!L439:L445),0)</f>
        <v>0</v>
      </c>
      <c r="F444" s="447">
        <f>IFERROR(E444/SUM(E438:E444,J438:J444,O438:O443),0)</f>
        <v>0</v>
      </c>
      <c r="G444" s="448" t="str">
        <f>$G$17</f>
        <v>Adecuación Instalaciones</v>
      </c>
      <c r="H444" s="445">
        <f t="shared" si="81"/>
        <v>0</v>
      </c>
      <c r="I444" s="426">
        <f t="shared" si="79"/>
        <v>0</v>
      </c>
      <c r="J444" s="446">
        <f>IFERROR(I444/SUM(PROD!L439:L445),0)</f>
        <v>0</v>
      </c>
      <c r="K444" s="447">
        <f>IFERROR(J444/SUM(E438:E444,J438:J444,O438:O443),0)</f>
        <v>0</v>
      </c>
      <c r="L444" s="2311" t="str">
        <f>$L$10</f>
        <v>TOTAL COSTO PRODUCCIÓN</v>
      </c>
      <c r="M444" s="2312"/>
      <c r="N444" s="427">
        <f>SUM(D438:D444,I438:I444,N438:N443)</f>
        <v>0</v>
      </c>
      <c r="O444" s="449">
        <f>IFERROR(N444/SUM(PROD!L439:L445),0)</f>
        <v>0</v>
      </c>
      <c r="P444" s="447">
        <f>IFERROR(O444/SUM(E438:E444,J438:J444,O438:O443),0)</f>
        <v>0</v>
      </c>
      <c r="Q444" s="429" t="str">
        <f>$Q$10</f>
        <v>D</v>
      </c>
      <c r="R444" s="499">
        <f t="shared" si="82"/>
        <v>0</v>
      </c>
      <c r="S444" s="871">
        <f>SUM(PROD!AS439:AS445)</f>
        <v>0</v>
      </c>
      <c r="T444" s="431">
        <f>IF(AA438&gt;0,S444/AA438,0)</f>
        <v>0</v>
      </c>
      <c r="U444" s="432" t="str">
        <f>$U$10</f>
        <v>Rev. Peq</v>
      </c>
      <c r="V444" s="499">
        <f t="shared" si="83"/>
        <v>0</v>
      </c>
      <c r="W444" s="871">
        <f>SUM(PROD!AV439:AV445)</f>
        <v>0</v>
      </c>
      <c r="X444" s="431">
        <f>IFERROR(W444/(AA443-AA441),0)</f>
        <v>0</v>
      </c>
      <c r="Y444" s="2304"/>
      <c r="Z444" s="2306"/>
      <c r="AA444" s="2309"/>
      <c r="AB444" s="2310"/>
    </row>
    <row r="445" spans="1:28" ht="16.5" customHeight="1" x14ac:dyDescent="0.3">
      <c r="A445" s="2300">
        <f>A438+1</f>
        <v>81</v>
      </c>
      <c r="B445" s="433" t="str">
        <f>$B$4</f>
        <v>ALIMENTO Kilos</v>
      </c>
      <c r="C445" s="435">
        <f>LOOKUP($A445,PROD!$A$5:$A$725,PROD!$AH$10:$AH$730)</f>
        <v>0</v>
      </c>
      <c r="D445" s="368">
        <f>C445*LOOKUP($A445,'Pr-Sem'!$A$6:$A$108,'Pr-Sem'!$N$6:$N$108)/(PROD!$A$1/1000)</f>
        <v>0</v>
      </c>
      <c r="E445" s="369">
        <f>IFERROR(D445/SUM(PROD!L446:L452),0)</f>
        <v>0</v>
      </c>
      <c r="F445" s="370">
        <f>IFERROR(E445/SUM(E445:E451,J445:J451,O445:O450),0)</f>
        <v>0</v>
      </c>
      <c r="G445" s="434" t="str">
        <f>$G$11</f>
        <v>Honorarios</v>
      </c>
      <c r="H445" s="435">
        <f t="shared" si="81"/>
        <v>0</v>
      </c>
      <c r="I445" s="372">
        <f t="shared" si="79"/>
        <v>0</v>
      </c>
      <c r="J445" s="369">
        <f>IFERROR(I445/SUM(PROD!L446:L452),0)</f>
        <v>0</v>
      </c>
      <c r="K445" s="370">
        <f>IFERROR(J445/SUM(E445:E451,J445:J451,O445:O450),0)</f>
        <v>0</v>
      </c>
      <c r="L445" s="436" t="str">
        <f>$L$4</f>
        <v>Gastos de Viaje</v>
      </c>
      <c r="M445" s="435">
        <f t="shared" ref="M445:M450" si="91">M438</f>
        <v>0</v>
      </c>
      <c r="N445" s="372">
        <f>M445*12/52</f>
        <v>0</v>
      </c>
      <c r="O445" s="369">
        <f>IFERROR(N445/SUM(PROD!L446:L452),0)</f>
        <v>0</v>
      </c>
      <c r="P445" s="370">
        <f>IFERROR(O445/SUM(E445:E451,J445:J451,O445:O450),0)</f>
        <v>0</v>
      </c>
      <c r="Q445" s="373" t="str">
        <f>$Q$4</f>
        <v>AAAA</v>
      </c>
      <c r="R445" s="374">
        <f t="shared" si="82"/>
        <v>0</v>
      </c>
      <c r="S445" s="869">
        <f>SUM(PROD!AM446:AM452)</f>
        <v>0</v>
      </c>
      <c r="T445" s="375">
        <f>IF(AA445&gt;0,S445/AA445,0)</f>
        <v>0</v>
      </c>
      <c r="U445" s="376" t="str">
        <f>$U$4</f>
        <v>Prob Color</v>
      </c>
      <c r="V445" s="374">
        <f t="shared" si="83"/>
        <v>0</v>
      </c>
      <c r="W445" s="869">
        <f>SUM(PROD!AW446:AW452)</f>
        <v>0</v>
      </c>
      <c r="X445" s="375">
        <f>IFERROR(W445/(AA450-AA448),0)</f>
        <v>0</v>
      </c>
      <c r="Y445" s="377" t="s">
        <v>323</v>
      </c>
      <c r="Z445" s="378">
        <f>SUMPRODUCT(R445:R451,T445:T451)</f>
        <v>0</v>
      </c>
      <c r="AA445" s="379">
        <f>SUM(S445:S451)</f>
        <v>0</v>
      </c>
      <c r="AB445" s="490">
        <f>IF(AA450&gt;0,AA445/AA450,0)</f>
        <v>0</v>
      </c>
    </row>
    <row r="446" spans="1:28" ht="15.75" customHeight="1" x14ac:dyDescent="0.3">
      <c r="A446" s="2301"/>
      <c r="B446" s="438" t="str">
        <f>$B$5</f>
        <v>Amortización de Aves</v>
      </c>
      <c r="C446" s="381">
        <f>IFERROR((C439-(D446/'Pr-Sem'!$O$2)),0)</f>
        <v>0</v>
      </c>
      <c r="D446" s="382">
        <f>SUM(PROD!L446:L452)*E446</f>
        <v>0</v>
      </c>
      <c r="E446" s="383">
        <f>IF(SUM(PROD!L446:L452)&gt;0,IFERROR(($C$1-$C$2)/LOOKUP($B$2,'Pr-Sem'!$A$6:$A$108,'Pr-Sem'!$L$6:$L$108)*(LOOKUP(INVENTARIOS!$A445,'Pr-Sem'!$A$6:$A$108,'Pr-Sem'!$L$6:$L$108)-LOOKUP(INVENTARIOS!$A445-1,'Pr-Sem'!$A$6:$A$108,'Pr-Sem'!$L$6:$L$108))/(LOOKUP(INVENTARIOS!$A445,'Pr-Sem'!$A$6:$A$108,'Pr-Sem'!$K$6:$K$108)-LOOKUP(INVENTARIOS!$A445-1,'Pr-Sem'!$A$6:$A$108,'Pr-Sem'!$K$6:$K$108)),0),0)</f>
        <v>0</v>
      </c>
      <c r="F446" s="384">
        <f>IFERROR(E446/SUM(E445:E451,J445:J451,O445:O450),0)</f>
        <v>0</v>
      </c>
      <c r="G446" s="439" t="str">
        <f>$G$12</f>
        <v>Impuestos</v>
      </c>
      <c r="H446" s="440">
        <f t="shared" si="81"/>
        <v>0</v>
      </c>
      <c r="I446" s="387">
        <f t="shared" si="79"/>
        <v>0</v>
      </c>
      <c r="J446" s="383">
        <f>IFERROR(I446/SUM(PROD!L446:L452),0)</f>
        <v>0</v>
      </c>
      <c r="K446" s="384">
        <f>IFERROR(J446/SUM(E445:E451,J445:J451,O445:O450),0)</f>
        <v>0</v>
      </c>
      <c r="L446" s="439" t="str">
        <f>$L$5</f>
        <v>Depreciaciones</v>
      </c>
      <c r="M446" s="401">
        <f t="shared" si="91"/>
        <v>0</v>
      </c>
      <c r="N446" s="390">
        <f>M446*12/52</f>
        <v>0</v>
      </c>
      <c r="O446" s="383">
        <f>IFERROR(N446/SUM(PROD!L446:L452),0)</f>
        <v>0</v>
      </c>
      <c r="P446" s="384">
        <f>IFERROR(O446/SUM(E445:E451,J445:J451,O445:O450),0)</f>
        <v>0</v>
      </c>
      <c r="Q446" s="491" t="str">
        <f>$Q$5</f>
        <v>AAA</v>
      </c>
      <c r="R446" s="392">
        <f t="shared" si="82"/>
        <v>0</v>
      </c>
      <c r="S446" s="870">
        <f>SUM(PROD!AN446:AN452)</f>
        <v>0</v>
      </c>
      <c r="T446" s="492">
        <f>IF(AA445&gt;0,S446/AA445,0)</f>
        <v>0</v>
      </c>
      <c r="U446" s="493" t="str">
        <f>$U$5</f>
        <v>Prob Cásc</v>
      </c>
      <c r="V446" s="392">
        <f t="shared" si="83"/>
        <v>0</v>
      </c>
      <c r="W446" s="870">
        <f>SUM(PROD!AX446:AX452)</f>
        <v>0</v>
      </c>
      <c r="X446" s="492">
        <f>IFERROR(W446/(AA450-AA448),0)</f>
        <v>0</v>
      </c>
      <c r="Y446" s="395" t="s">
        <v>324</v>
      </c>
      <c r="Z446" s="396">
        <f>IFERROR(SUMPRODUCT(V445:V448,W445:W448)/SUM(W445:W448),0)</f>
        <v>0</v>
      </c>
      <c r="AA446" s="397">
        <f>SUM(W445:W448)</f>
        <v>0</v>
      </c>
      <c r="AB446" s="494">
        <f>IF(AA450&gt;0,AA446/AA450,0)</f>
        <v>0</v>
      </c>
    </row>
    <row r="447" spans="1:28" ht="15.75" customHeight="1" x14ac:dyDescent="0.3">
      <c r="A447" s="2301"/>
      <c r="B447" s="399" t="str">
        <f>$B$6</f>
        <v>Bandeja</v>
      </c>
      <c r="C447" s="400">
        <f>C440</f>
        <v>0</v>
      </c>
      <c r="D447" s="387">
        <f>C447*SUM(INVENTARIOS!R445:R451)</f>
        <v>0</v>
      </c>
      <c r="E447" s="383">
        <f>IFERROR(D447/SUM(PROD!L446:L452),0)</f>
        <v>0</v>
      </c>
      <c r="F447" s="384">
        <f>IFERROR(E447/SUM(E445:E451,J445:J451,O445:O450),0)</f>
        <v>0</v>
      </c>
      <c r="G447" s="439" t="str">
        <f>$G$13</f>
        <v>Arrendamientos</v>
      </c>
      <c r="H447" s="401">
        <f t="shared" si="81"/>
        <v>0</v>
      </c>
      <c r="I447" s="390">
        <f t="shared" si="79"/>
        <v>0</v>
      </c>
      <c r="J447" s="383">
        <f>IFERROR(I447/SUM(PROD!L446:L452),0)</f>
        <v>0</v>
      </c>
      <c r="K447" s="384">
        <f>IFERROR(J447/SUM(E445:E451,J445:J451,O445:O450),0)</f>
        <v>0</v>
      </c>
      <c r="L447" s="439" t="str">
        <f>$L$6</f>
        <v>Diversos</v>
      </c>
      <c r="M447" s="401">
        <f t="shared" si="91"/>
        <v>0</v>
      </c>
      <c r="N447" s="390">
        <f>M447*12/52</f>
        <v>0</v>
      </c>
      <c r="O447" s="383">
        <f>IFERROR(N447/SUM(PROD!L446:L452),0)</f>
        <v>0</v>
      </c>
      <c r="P447" s="384">
        <f>IFERROR(O447/SUM(E445:E451,J445:J451,O445:O450),0)</f>
        <v>0</v>
      </c>
      <c r="Q447" s="491" t="str">
        <f>$Q$6</f>
        <v>AA</v>
      </c>
      <c r="R447" s="392">
        <f t="shared" si="82"/>
        <v>0</v>
      </c>
      <c r="S447" s="870">
        <f>SUM(PROD!AO446:AO452)</f>
        <v>0</v>
      </c>
      <c r="T447" s="492">
        <f>IF(AA445&gt;0,S447/AA445,0)</f>
        <v>0</v>
      </c>
      <c r="U447" s="493" t="str">
        <f>$U$6</f>
        <v>Vencido</v>
      </c>
      <c r="V447" s="392">
        <f t="shared" si="83"/>
        <v>0</v>
      </c>
      <c r="W447" s="870">
        <f>SUM(PROD!AY446:AY452)</f>
        <v>0</v>
      </c>
      <c r="X447" s="492">
        <f>IFERROR(W447/(AA450-AA448),0)</f>
        <v>0</v>
      </c>
      <c r="Y447" s="402" t="s">
        <v>391</v>
      </c>
      <c r="Z447" s="456">
        <v>0</v>
      </c>
      <c r="AA447" s="720"/>
      <c r="AB447" s="495">
        <f>IF(AA450&gt;0,AA447/AA450,0)</f>
        <v>0</v>
      </c>
    </row>
    <row r="448" spans="1:28" ht="15.75" customHeight="1" x14ac:dyDescent="0.3">
      <c r="A448" s="2301"/>
      <c r="B448" s="438" t="str">
        <f>$B$7</f>
        <v>Mortalidad Aves</v>
      </c>
      <c r="C448" s="401">
        <f>IF(A445&lt;=$B$2,C446+$C$2,0)</f>
        <v>0</v>
      </c>
      <c r="D448" s="390">
        <f>C448*SUM(PROD!D446:D452)</f>
        <v>0</v>
      </c>
      <c r="E448" s="383">
        <f>IFERROR(D448/SUM(PROD!L446:L452),0)</f>
        <v>0</v>
      </c>
      <c r="F448" s="384">
        <f>IFERROR(E448/SUM(E445:E451,J445:J451,O445:O450),0)</f>
        <v>0</v>
      </c>
      <c r="G448" s="439" t="str">
        <f>$G$14</f>
        <v>Servicios Públicos</v>
      </c>
      <c r="H448" s="401">
        <f t="shared" si="81"/>
        <v>0</v>
      </c>
      <c r="I448" s="390">
        <f t="shared" si="79"/>
        <v>0</v>
      </c>
      <c r="J448" s="383">
        <f>IFERROR(I448/SUM(PROD!L446:L452),0)</f>
        <v>0</v>
      </c>
      <c r="K448" s="384">
        <f>IFERROR(J448/SUM(E445:E451,J445:J451,O445:O450),0)</f>
        <v>0</v>
      </c>
      <c r="L448" s="441" t="str">
        <f>$L$7</f>
        <v>Administrativos</v>
      </c>
      <c r="M448" s="401">
        <f t="shared" si="91"/>
        <v>0</v>
      </c>
      <c r="N448" s="404">
        <f>M448*0.230769230769231</f>
        <v>0</v>
      </c>
      <c r="O448" s="383">
        <f>IFERROR(N448/SUM(PROD!L446:L452),0)</f>
        <v>0</v>
      </c>
      <c r="P448" s="384">
        <f>IFERROR(O448/SUM(E445:E451,J445:J451,O445:O450),0)</f>
        <v>0</v>
      </c>
      <c r="Q448" s="491" t="str">
        <f>$Q$7</f>
        <v>A</v>
      </c>
      <c r="R448" s="392">
        <f t="shared" si="82"/>
        <v>0</v>
      </c>
      <c r="S448" s="870">
        <f>SUM(PROD!AP446:AP452)</f>
        <v>0</v>
      </c>
      <c r="T448" s="492">
        <f>IF(AA445&gt;0,S448/AA445,0)</f>
        <v>0</v>
      </c>
      <c r="U448" s="405" t="str">
        <f>$U$7</f>
        <v>Roto</v>
      </c>
      <c r="V448" s="406">
        <f t="shared" si="83"/>
        <v>0</v>
      </c>
      <c r="W448" s="872">
        <f>SUM(PROD!AZ446:AZ452)</f>
        <v>0</v>
      </c>
      <c r="X448" s="407">
        <f>IFERROR(W448/(AA450-AA448),0)</f>
        <v>0</v>
      </c>
      <c r="Y448" s="408" t="s">
        <v>359</v>
      </c>
      <c r="Z448" s="442">
        <v>215</v>
      </c>
      <c r="AA448" s="410">
        <f>SUM(PROD!L446:L452)-SUM(W445:W451)-SUM(S445:S451)-AA447</f>
        <v>0</v>
      </c>
      <c r="AB448" s="496">
        <f>IF(AA450&gt;0,AA448/AA450,0)</f>
        <v>0</v>
      </c>
    </row>
    <row r="449" spans="1:28" ht="15.75" customHeight="1" x14ac:dyDescent="0.3">
      <c r="A449" s="2301"/>
      <c r="B449" s="399" t="str">
        <f>$B$8</f>
        <v>Materia Prima (Carb Ca, etc.)</v>
      </c>
      <c r="C449" s="440">
        <v>100000</v>
      </c>
      <c r="D449" s="387">
        <f>C449*12/52</f>
        <v>23076.923076923078</v>
      </c>
      <c r="E449" s="383">
        <f>IFERROR(D449/SUM(PROD!L446:L452),0)</f>
        <v>0</v>
      </c>
      <c r="F449" s="384">
        <f>IFERROR(E449/SUM(E445:E451,J445:J451,O445:O450),0)</f>
        <v>0</v>
      </c>
      <c r="G449" s="441" t="str">
        <f>$G$15</f>
        <v>Gastos Legales</v>
      </c>
      <c r="H449" s="401">
        <f t="shared" si="81"/>
        <v>0</v>
      </c>
      <c r="I449" s="390">
        <f t="shared" si="79"/>
        <v>0</v>
      </c>
      <c r="J449" s="383">
        <f>IFERROR(I449/SUM(PROD!L446:L452),0)</f>
        <v>0</v>
      </c>
      <c r="K449" s="384">
        <f>IFERROR(J449/SUM(E445:E451,J445:J451,O445:O450),0)</f>
        <v>0</v>
      </c>
      <c r="L449" s="439" t="str">
        <f>$L$8</f>
        <v>Fletes</v>
      </c>
      <c r="M449" s="401">
        <v>2000000</v>
      </c>
      <c r="N449" s="404">
        <f>M449*0.230769230769231</f>
        <v>461538.46153846203</v>
      </c>
      <c r="O449" s="383">
        <f>IFERROR(N449/SUM(PROD!L446:L452),0)</f>
        <v>0</v>
      </c>
      <c r="P449" s="384">
        <f>IFERROR(O449/SUM(E445:E451,J445:J451,O445:O450),0)</f>
        <v>0</v>
      </c>
      <c r="Q449" s="491" t="str">
        <f>$Q$8</f>
        <v>B</v>
      </c>
      <c r="R449" s="392">
        <f t="shared" si="82"/>
        <v>0</v>
      </c>
      <c r="S449" s="870">
        <f>SUM(PROD!AQ446:AQ452)</f>
        <v>0</v>
      </c>
      <c r="T449" s="492">
        <f>IF(AA445&gt;0,S449/AA445,0)</f>
        <v>0</v>
      </c>
      <c r="U449" s="395" t="str">
        <f>$U$8</f>
        <v>Rev. Gr.</v>
      </c>
      <c r="V449" s="412">
        <f t="shared" si="83"/>
        <v>0</v>
      </c>
      <c r="W449" s="873">
        <f>SUM(PROD!AT446:AT452)</f>
        <v>0</v>
      </c>
      <c r="X449" s="413">
        <f>IFERROR(W449/(AA450-AA448),0)</f>
        <v>0</v>
      </c>
      <c r="Y449" s="414" t="s">
        <v>262</v>
      </c>
      <c r="Z449" s="415">
        <f>IFERROR(SUMPRODUCT(V449:V451,W449:W451)/SUM(W449:W451),0)</f>
        <v>0</v>
      </c>
      <c r="AA449" s="416">
        <f>SUM(W449:W451)</f>
        <v>0</v>
      </c>
      <c r="AB449" s="497">
        <f>IF(AA450&gt;0,AA449/AA450,0)</f>
        <v>0</v>
      </c>
    </row>
    <row r="450" spans="1:28" ht="15.75" customHeight="1" x14ac:dyDescent="0.3">
      <c r="A450" s="2301"/>
      <c r="B450" s="438" t="str">
        <f>$B$9</f>
        <v>Vacunas y medicamentos</v>
      </c>
      <c r="C450" s="443"/>
      <c r="D450" s="387">
        <f>C450*12/52</f>
        <v>0</v>
      </c>
      <c r="E450" s="383">
        <f>IFERROR(D450/SUM(PROD!L446:L452),0)</f>
        <v>0</v>
      </c>
      <c r="F450" s="384">
        <f>IFERROR(E450/SUM(E445:E451,J445:J451,O445:O450),0)</f>
        <v>0</v>
      </c>
      <c r="G450" s="441" t="str">
        <f>$G$16</f>
        <v>Mantenimiento y Reparaciones</v>
      </c>
      <c r="H450" s="401"/>
      <c r="I450" s="390">
        <f t="shared" si="79"/>
        <v>0</v>
      </c>
      <c r="J450" s="383">
        <f>IFERROR(I450/SUM(PROD!L446:L452),0)</f>
        <v>0</v>
      </c>
      <c r="K450" s="384">
        <f>IFERROR(J450/SUM(E445:E451,J445:J451,O445:O450),0)</f>
        <v>0</v>
      </c>
      <c r="L450" s="439">
        <f>$L$9</f>
        <v>0</v>
      </c>
      <c r="M450" s="401">
        <f t="shared" si="91"/>
        <v>0</v>
      </c>
      <c r="N450" s="404">
        <f>M450*0.230769230769231</f>
        <v>0</v>
      </c>
      <c r="O450" s="383">
        <f>IFERROR(N450/SUM(PROD!L446:L452),0)</f>
        <v>0</v>
      </c>
      <c r="P450" s="384">
        <f>IFERROR(O450/SUM(E445:E451,J445:J451,O445:O450),0)</f>
        <v>0</v>
      </c>
      <c r="Q450" s="491" t="str">
        <f>$Q$9</f>
        <v>C</v>
      </c>
      <c r="R450" s="392">
        <f t="shared" si="82"/>
        <v>0</v>
      </c>
      <c r="S450" s="870">
        <f>SUM(PROD!AR446:AR452)</f>
        <v>0</v>
      </c>
      <c r="T450" s="492">
        <f>IF(AA445&gt;0,S450/AA445,0)</f>
        <v>0</v>
      </c>
      <c r="U450" s="493" t="str">
        <f>$U$9</f>
        <v>Rev. Med</v>
      </c>
      <c r="V450" s="392">
        <f t="shared" si="83"/>
        <v>0</v>
      </c>
      <c r="W450" s="870">
        <f>SUM(PROD!AU446:AU452)</f>
        <v>0</v>
      </c>
      <c r="X450" s="498">
        <f>IFERROR(W450/(AA450-AA448),0)</f>
        <v>0</v>
      </c>
      <c r="Y450" s="2303" t="s">
        <v>325</v>
      </c>
      <c r="Z450" s="2305">
        <f>SUMPRODUCT(Z445:Z449,AB445:AB449)</f>
        <v>0</v>
      </c>
      <c r="AA450" s="2307">
        <f>SUM(AA445:AA448)</f>
        <v>0</v>
      </c>
      <c r="AB450" s="2308"/>
    </row>
    <row r="451" spans="1:28" ht="16.5" customHeight="1" thickBot="1" x14ac:dyDescent="0.35">
      <c r="A451" s="2302"/>
      <c r="B451" s="444" t="str">
        <f>$B$10</f>
        <v>Gastos de Personal</v>
      </c>
      <c r="C451" s="445">
        <f>C444</f>
        <v>0</v>
      </c>
      <c r="D451" s="421">
        <f>C451*12/52</f>
        <v>0</v>
      </c>
      <c r="E451" s="446">
        <f>IFERROR(D451/SUM(PROD!L446:L452),0)</f>
        <v>0</v>
      </c>
      <c r="F451" s="447">
        <f>IFERROR(E451/SUM(E445:E451,J445:J451,O445:O450),0)</f>
        <v>0</v>
      </c>
      <c r="G451" s="448" t="str">
        <f>$G$17</f>
        <v>Adecuación Instalaciones</v>
      </c>
      <c r="H451" s="445"/>
      <c r="I451" s="426">
        <f t="shared" si="79"/>
        <v>0</v>
      </c>
      <c r="J451" s="446">
        <f>IFERROR(I451/SUM(PROD!L446:L452),0)</f>
        <v>0</v>
      </c>
      <c r="K451" s="447">
        <f>IFERROR(J451/SUM(E445:E451,J445:J451,O445:O450),0)</f>
        <v>0</v>
      </c>
      <c r="L451" s="2311" t="str">
        <f>$L$10</f>
        <v>TOTAL COSTO PRODUCCIÓN</v>
      </c>
      <c r="M451" s="2312"/>
      <c r="N451" s="427">
        <f>SUM(D445:D451,I445:I451,N445:N450)</f>
        <v>484615.38461538509</v>
      </c>
      <c r="O451" s="449">
        <f>IFERROR(N451/SUM(PROD!L446:L452),0)</f>
        <v>0</v>
      </c>
      <c r="P451" s="447">
        <f>IFERROR(O451/SUM(E445:E451,J445:J451,O445:O450),0)</f>
        <v>0</v>
      </c>
      <c r="Q451" s="429" t="str">
        <f>$Q$10</f>
        <v>D</v>
      </c>
      <c r="R451" s="499">
        <f t="shared" si="82"/>
        <v>0</v>
      </c>
      <c r="S451" s="871">
        <f>SUM(PROD!AS446:AS452)</f>
        <v>0</v>
      </c>
      <c r="T451" s="431">
        <f>IF(AA445&gt;0,S451/AA445,0)</f>
        <v>0</v>
      </c>
      <c r="U451" s="432" t="str">
        <f>$U$10</f>
        <v>Rev. Peq</v>
      </c>
      <c r="V451" s="499">
        <f t="shared" si="83"/>
        <v>0</v>
      </c>
      <c r="W451" s="871">
        <f>SUM(PROD!AV446:AV452)</f>
        <v>0</v>
      </c>
      <c r="X451" s="431">
        <f>IFERROR(W451/(AA450-AA448),0)</f>
        <v>0</v>
      </c>
      <c r="Y451" s="2304"/>
      <c r="Z451" s="2306"/>
      <c r="AA451" s="2309"/>
      <c r="AB451" s="2310"/>
    </row>
    <row r="452" spans="1:28" ht="16.5" customHeight="1" x14ac:dyDescent="0.3">
      <c r="A452" s="2300">
        <f>A445+1</f>
        <v>82</v>
      </c>
      <c r="B452" s="433" t="str">
        <f>$B$4</f>
        <v>ALIMENTO Kilos</v>
      </c>
      <c r="C452" s="435">
        <f>LOOKUP($A452,PROD!$A$5:$A$725,PROD!$AH$10:$AH$730)</f>
        <v>0</v>
      </c>
      <c r="D452" s="368">
        <f>C452*LOOKUP($A452,'Pr-Sem'!$A$6:$A$108,'Pr-Sem'!$N$6:$N$108)/(PROD!$A$1/1000)</f>
        <v>0</v>
      </c>
      <c r="E452" s="369">
        <f>IFERROR(D452/SUM(PROD!L453:L459),0)</f>
        <v>0</v>
      </c>
      <c r="F452" s="370">
        <f>IFERROR(E452/SUM(E452:E458,J452:J458,O452:O457),0)</f>
        <v>0</v>
      </c>
      <c r="G452" s="434" t="str">
        <f>$G$11</f>
        <v>Honorarios</v>
      </c>
      <c r="H452" s="435">
        <f t="shared" si="81"/>
        <v>0</v>
      </c>
      <c r="I452" s="372">
        <f t="shared" ref="I452:I515" si="92">H452*12/52</f>
        <v>0</v>
      </c>
      <c r="J452" s="369">
        <f>IFERROR(I452/SUM(PROD!L453:L459),0)</f>
        <v>0</v>
      </c>
      <c r="K452" s="370">
        <f>IFERROR(J452/SUM(E452:E458,J452:J458,O452:O457),0)</f>
        <v>0</v>
      </c>
      <c r="L452" s="436" t="str">
        <f>$L$4</f>
        <v>Gastos de Viaje</v>
      </c>
      <c r="M452" s="435">
        <f t="shared" ref="M452:M457" si="93">M445</f>
        <v>0</v>
      </c>
      <c r="N452" s="372">
        <f>M452*12/52</f>
        <v>0</v>
      </c>
      <c r="O452" s="369">
        <f>IFERROR(N452/SUM(PROD!L453:L459),0)</f>
        <v>0</v>
      </c>
      <c r="P452" s="370">
        <f>IFERROR(O452/SUM(E452:E458,J452:J458,O452:O457),0)</f>
        <v>0</v>
      </c>
      <c r="Q452" s="373" t="str">
        <f>$Q$4</f>
        <v>AAAA</v>
      </c>
      <c r="R452" s="374">
        <f t="shared" si="82"/>
        <v>0</v>
      </c>
      <c r="S452" s="869">
        <f>SUM(PROD!AM453:AM459)</f>
        <v>0</v>
      </c>
      <c r="T452" s="375">
        <f>IF(AA452&gt;0,S452/AA452,0)</f>
        <v>0</v>
      </c>
      <c r="U452" s="376" t="str">
        <f>$U$4</f>
        <v>Prob Color</v>
      </c>
      <c r="V452" s="374">
        <f t="shared" si="83"/>
        <v>0</v>
      </c>
      <c r="W452" s="869">
        <f>SUM(PROD!AW453:AW459)</f>
        <v>0</v>
      </c>
      <c r="X452" s="375">
        <f>IFERROR(W452/(AA457-AA455),0)</f>
        <v>0</v>
      </c>
      <c r="Y452" s="377" t="s">
        <v>323</v>
      </c>
      <c r="Z452" s="378">
        <f>SUMPRODUCT(R452:R458,T452:T458)</f>
        <v>0</v>
      </c>
      <c r="AA452" s="379">
        <f>SUM(S452:S458)</f>
        <v>0</v>
      </c>
      <c r="AB452" s="490">
        <f>IF(AA457&gt;0,AA452/AA457,0)</f>
        <v>0</v>
      </c>
    </row>
    <row r="453" spans="1:28" ht="15.75" customHeight="1" x14ac:dyDescent="0.3">
      <c r="A453" s="2301"/>
      <c r="B453" s="438" t="str">
        <f>$B$5</f>
        <v>Amortización de Aves</v>
      </c>
      <c r="C453" s="381">
        <f>IFERROR((C446-(D453/'Pr-Sem'!$O$2)),0)</f>
        <v>0</v>
      </c>
      <c r="D453" s="382">
        <f>SUM(PROD!L453:L459)*E453</f>
        <v>0</v>
      </c>
      <c r="E453" s="383">
        <f>IF(SUM(PROD!L453:L459)&gt;0,IFERROR(($C$1-$C$2)/LOOKUP($B$2,'Pr-Sem'!$A$6:$A$108,'Pr-Sem'!$L$6:$L$108)*(LOOKUP(INVENTARIOS!$A452,'Pr-Sem'!$A$6:$A$108,'Pr-Sem'!$L$6:$L$108)-LOOKUP(INVENTARIOS!$A452-1,'Pr-Sem'!$A$6:$A$108,'Pr-Sem'!$L$6:$L$108))/(LOOKUP(INVENTARIOS!$A452,'Pr-Sem'!$A$6:$A$108,'Pr-Sem'!$K$6:$K$108)-LOOKUP(INVENTARIOS!$A452-1,'Pr-Sem'!$A$6:$A$108,'Pr-Sem'!$K$6:$K$108)),0),0)</f>
        <v>0</v>
      </c>
      <c r="F453" s="384">
        <f>IFERROR(E453/SUM(E452:E458,J452:J458,O452:O457),0)</f>
        <v>0</v>
      </c>
      <c r="G453" s="439" t="str">
        <f>$G$12</f>
        <v>Impuestos</v>
      </c>
      <c r="H453" s="440">
        <f t="shared" si="81"/>
        <v>0</v>
      </c>
      <c r="I453" s="387">
        <f t="shared" si="92"/>
        <v>0</v>
      </c>
      <c r="J453" s="383">
        <f>IFERROR(I453/SUM(PROD!L453:L459),0)</f>
        <v>0</v>
      </c>
      <c r="K453" s="384">
        <f>IFERROR(J453/SUM(E452:E458,J452:J458,O452:O457),0)</f>
        <v>0</v>
      </c>
      <c r="L453" s="439" t="str">
        <f>$L$5</f>
        <v>Depreciaciones</v>
      </c>
      <c r="M453" s="401">
        <f t="shared" si="93"/>
        <v>0</v>
      </c>
      <c r="N453" s="390">
        <f>M453*12/52</f>
        <v>0</v>
      </c>
      <c r="O453" s="383">
        <f>IFERROR(N453/SUM(PROD!L453:L459),0)</f>
        <v>0</v>
      </c>
      <c r="P453" s="384">
        <f>IFERROR(O453/SUM(E452:E458,J452:J458,O452:O457),0)</f>
        <v>0</v>
      </c>
      <c r="Q453" s="491" t="str">
        <f>$Q$5</f>
        <v>AAA</v>
      </c>
      <c r="R453" s="392">
        <f t="shared" si="82"/>
        <v>0</v>
      </c>
      <c r="S453" s="870">
        <f>SUM(PROD!AN453:AN459)</f>
        <v>0</v>
      </c>
      <c r="T453" s="492">
        <f>IF(AA452&gt;0,S453/AA452,0)</f>
        <v>0</v>
      </c>
      <c r="U453" s="493" t="str">
        <f>$U$5</f>
        <v>Prob Cásc</v>
      </c>
      <c r="V453" s="392">
        <f t="shared" si="83"/>
        <v>0</v>
      </c>
      <c r="W453" s="870">
        <f>SUM(PROD!AX453:AX459)</f>
        <v>0</v>
      </c>
      <c r="X453" s="492">
        <f>IFERROR(W453/(AA457-AA455),0)</f>
        <v>0</v>
      </c>
      <c r="Y453" s="395" t="s">
        <v>324</v>
      </c>
      <c r="Z453" s="396">
        <f>IFERROR(SUMPRODUCT(V452:V455,W452:W455)/SUM(W452:W455),0)</f>
        <v>0</v>
      </c>
      <c r="AA453" s="397">
        <f>SUM(W452:W455)</f>
        <v>0</v>
      </c>
      <c r="AB453" s="494">
        <f>IF(AA457&gt;0,AA453/AA457,0)</f>
        <v>0</v>
      </c>
    </row>
    <row r="454" spans="1:28" ht="15.75" customHeight="1" x14ac:dyDescent="0.3">
      <c r="A454" s="2301"/>
      <c r="B454" s="399" t="str">
        <f>$B$6</f>
        <v>Bandeja</v>
      </c>
      <c r="C454" s="400">
        <f>C447</f>
        <v>0</v>
      </c>
      <c r="D454" s="387">
        <f>C454*SUM(INVENTARIOS!R452:R458)</f>
        <v>0</v>
      </c>
      <c r="E454" s="383">
        <f>IFERROR(D454/SUM(PROD!L453:L459),0)</f>
        <v>0</v>
      </c>
      <c r="F454" s="384">
        <f>IFERROR(E454/SUM(E452:E458,J452:J458,O452:O457),0)</f>
        <v>0</v>
      </c>
      <c r="G454" s="439" t="str">
        <f>$G$13</f>
        <v>Arrendamientos</v>
      </c>
      <c r="H454" s="401">
        <f t="shared" si="81"/>
        <v>0</v>
      </c>
      <c r="I454" s="390">
        <f t="shared" si="92"/>
        <v>0</v>
      </c>
      <c r="J454" s="383">
        <f>IFERROR(I454/SUM(PROD!L453:L459),0)</f>
        <v>0</v>
      </c>
      <c r="K454" s="384">
        <f>IFERROR(J454/SUM(E452:E458,J452:J458,O452:O457),0)</f>
        <v>0</v>
      </c>
      <c r="L454" s="439" t="str">
        <f>$L$6</f>
        <v>Diversos</v>
      </c>
      <c r="M454" s="401">
        <v>1000000</v>
      </c>
      <c r="N454" s="390">
        <f>M454*12/52</f>
        <v>230769.23076923078</v>
      </c>
      <c r="O454" s="383">
        <f>IFERROR(N454/SUM(PROD!L453:L459),0)</f>
        <v>0</v>
      </c>
      <c r="P454" s="384">
        <f>IFERROR(O454/SUM(E452:E458,J452:J458,O452:O457),0)</f>
        <v>0</v>
      </c>
      <c r="Q454" s="491" t="str">
        <f>$Q$6</f>
        <v>AA</v>
      </c>
      <c r="R454" s="392">
        <f t="shared" si="82"/>
        <v>0</v>
      </c>
      <c r="S454" s="870">
        <f>SUM(PROD!AO453:AO459)</f>
        <v>0</v>
      </c>
      <c r="T454" s="492">
        <f>IF(AA452&gt;0,S454/AA452,0)</f>
        <v>0</v>
      </c>
      <c r="U454" s="493" t="str">
        <f>$U$6</f>
        <v>Vencido</v>
      </c>
      <c r="V454" s="392">
        <f t="shared" si="83"/>
        <v>0</v>
      </c>
      <c r="W454" s="870">
        <f>SUM(PROD!AY453:AY459)</f>
        <v>0</v>
      </c>
      <c r="X454" s="492">
        <f>IFERROR(W454/(AA457-AA455),0)</f>
        <v>0</v>
      </c>
      <c r="Y454" s="402" t="s">
        <v>391</v>
      </c>
      <c r="Z454" s="456">
        <v>0</v>
      </c>
      <c r="AA454" s="720"/>
      <c r="AB454" s="495">
        <f>IF(AA457&gt;0,AA454/AA457,0)</f>
        <v>0</v>
      </c>
    </row>
    <row r="455" spans="1:28" ht="15.75" customHeight="1" x14ac:dyDescent="0.3">
      <c r="A455" s="2301"/>
      <c r="B455" s="438" t="str">
        <f>$B$7</f>
        <v>Mortalidad Aves</v>
      </c>
      <c r="C455" s="401">
        <f>IF(A452&lt;=$B$2,C453+$C$2,0)</f>
        <v>0</v>
      </c>
      <c r="D455" s="390">
        <f>C455*SUM(PROD!D453:D459)</f>
        <v>0</v>
      </c>
      <c r="E455" s="383">
        <f>IFERROR(D455/SUM(PROD!L453:L459),0)</f>
        <v>0</v>
      </c>
      <c r="F455" s="384">
        <f>IFERROR(E455/SUM(E452:E458,J452:J458,O452:O457),0)</f>
        <v>0</v>
      </c>
      <c r="G455" s="439" t="str">
        <f>$G$14</f>
        <v>Servicios Públicos</v>
      </c>
      <c r="H455" s="401">
        <f t="shared" si="81"/>
        <v>0</v>
      </c>
      <c r="I455" s="390">
        <f t="shared" si="92"/>
        <v>0</v>
      </c>
      <c r="J455" s="383">
        <f>IFERROR(I455/SUM(PROD!L453:L459),0)</f>
        <v>0</v>
      </c>
      <c r="K455" s="384">
        <f>IFERROR(J455/SUM(E452:E458,J452:J458,O452:O457),0)</f>
        <v>0</v>
      </c>
      <c r="L455" s="441" t="str">
        <f>$L$7</f>
        <v>Administrativos</v>
      </c>
      <c r="M455" s="401">
        <f t="shared" si="93"/>
        <v>0</v>
      </c>
      <c r="N455" s="404">
        <f>M455*0.230769230769231</f>
        <v>0</v>
      </c>
      <c r="O455" s="383">
        <f>IFERROR(N455/SUM(PROD!L453:L459),0)</f>
        <v>0</v>
      </c>
      <c r="P455" s="384">
        <f>IFERROR(O455/SUM(E452:E458,J452:J458,O452:O457),0)</f>
        <v>0</v>
      </c>
      <c r="Q455" s="491" t="str">
        <f>$Q$7</f>
        <v>A</v>
      </c>
      <c r="R455" s="392">
        <f t="shared" si="82"/>
        <v>0</v>
      </c>
      <c r="S455" s="870">
        <f>SUM(PROD!AP453:AP459)</f>
        <v>0</v>
      </c>
      <c r="T455" s="492">
        <f>IF(AA452&gt;0,S455/AA452,0)</f>
        <v>0</v>
      </c>
      <c r="U455" s="405" t="str">
        <f>$U$7</f>
        <v>Roto</v>
      </c>
      <c r="V455" s="406">
        <f t="shared" si="83"/>
        <v>0</v>
      </c>
      <c r="W455" s="872">
        <f>SUM(PROD!AZ453:AZ459)</f>
        <v>0</v>
      </c>
      <c r="X455" s="407">
        <f>IFERROR(W455/(AA457-AA455),0)</f>
        <v>0</v>
      </c>
      <c r="Y455" s="408" t="s">
        <v>359</v>
      </c>
      <c r="Z455" s="442">
        <v>215</v>
      </c>
      <c r="AA455" s="410">
        <f>SUM(PROD!L453:L459)-SUM(W452:W458)-SUM(S452:S458)-AA454</f>
        <v>0</v>
      </c>
      <c r="AB455" s="496">
        <f>IF(AA457&gt;0,AA455/AA457,0)</f>
        <v>0</v>
      </c>
    </row>
    <row r="456" spans="1:28" ht="15.75" customHeight="1" x14ac:dyDescent="0.3">
      <c r="A456" s="2301"/>
      <c r="B456" s="399" t="str">
        <f>$B$8</f>
        <v>Materia Prima (Carb Ca, etc.)</v>
      </c>
      <c r="C456" s="440"/>
      <c r="D456" s="387">
        <f>C456*12/52</f>
        <v>0</v>
      </c>
      <c r="E456" s="383">
        <f>IFERROR(D456/SUM(PROD!L453:L459),0)</f>
        <v>0</v>
      </c>
      <c r="F456" s="384">
        <f>IFERROR(E456/SUM(E452:E458,J452:J458,O452:O457),0)</f>
        <v>0</v>
      </c>
      <c r="G456" s="441" t="str">
        <f>$G$15</f>
        <v>Gastos Legales</v>
      </c>
      <c r="H456" s="401">
        <f t="shared" si="81"/>
        <v>0</v>
      </c>
      <c r="I456" s="390">
        <f t="shared" si="92"/>
        <v>0</v>
      </c>
      <c r="J456" s="383">
        <f>IFERROR(I456/SUM(PROD!L453:L459),0)</f>
        <v>0</v>
      </c>
      <c r="K456" s="384">
        <f>IFERROR(J456/SUM(E452:E458,J452:J458,O452:O457),0)</f>
        <v>0</v>
      </c>
      <c r="L456" s="439" t="str">
        <f>$L$8</f>
        <v>Fletes</v>
      </c>
      <c r="M456" s="401">
        <f t="shared" si="93"/>
        <v>2000000</v>
      </c>
      <c r="N456" s="404">
        <f>M456*0.230769230769231</f>
        <v>461538.46153846203</v>
      </c>
      <c r="O456" s="383">
        <f>IFERROR(N456/SUM(PROD!L453:L459),0)</f>
        <v>0</v>
      </c>
      <c r="P456" s="384">
        <f>IFERROR(O456/SUM(E452:E458,J452:J458,O452:O457),0)</f>
        <v>0</v>
      </c>
      <c r="Q456" s="491" t="str">
        <f>$Q$8</f>
        <v>B</v>
      </c>
      <c r="R456" s="392">
        <f t="shared" si="82"/>
        <v>0</v>
      </c>
      <c r="S456" s="870">
        <f>SUM(PROD!AQ453:AQ459)</f>
        <v>0</v>
      </c>
      <c r="T456" s="492">
        <f>IF(AA452&gt;0,S456/AA452,0)</f>
        <v>0</v>
      </c>
      <c r="U456" s="395" t="str">
        <f>$U$8</f>
        <v>Rev. Gr.</v>
      </c>
      <c r="V456" s="412">
        <f t="shared" si="83"/>
        <v>0</v>
      </c>
      <c r="W456" s="873">
        <f>SUM(PROD!AT453:AT459)</f>
        <v>0</v>
      </c>
      <c r="X456" s="413">
        <f>IFERROR(W456/(AA457-AA455),0)</f>
        <v>0</v>
      </c>
      <c r="Y456" s="414" t="s">
        <v>262</v>
      </c>
      <c r="Z456" s="415">
        <f>IFERROR(SUMPRODUCT(V456:V458,W456:W458)/SUM(W456:W458),0)</f>
        <v>0</v>
      </c>
      <c r="AA456" s="416">
        <f>SUM(W456:W458)</f>
        <v>0</v>
      </c>
      <c r="AB456" s="497">
        <f>IF(AA457&gt;0,AA456/AA457,0)</f>
        <v>0</v>
      </c>
    </row>
    <row r="457" spans="1:28" ht="15.75" customHeight="1" x14ac:dyDescent="0.3">
      <c r="A457" s="2301"/>
      <c r="B457" s="438" t="str">
        <f>$B$9</f>
        <v>Vacunas y medicamentos</v>
      </c>
      <c r="C457" s="443"/>
      <c r="D457" s="387">
        <f>C457*12/52</f>
        <v>0</v>
      </c>
      <c r="E457" s="383">
        <f>IFERROR(D457/SUM(PROD!L453:L459),0)</f>
        <v>0</v>
      </c>
      <c r="F457" s="384">
        <f>IFERROR(E457/SUM(E452:E458,J452:J458,O452:O457),0)</f>
        <v>0</v>
      </c>
      <c r="G457" s="441" t="str">
        <f>$G$16</f>
        <v>Mantenimiento y Reparaciones</v>
      </c>
      <c r="H457" s="401"/>
      <c r="I457" s="390">
        <f t="shared" si="92"/>
        <v>0</v>
      </c>
      <c r="J457" s="383">
        <f>IFERROR(I457/SUM(PROD!L453:L459),0)</f>
        <v>0</v>
      </c>
      <c r="K457" s="384">
        <f>IFERROR(J457/SUM(E452:E458,J452:J458,O452:O457),0)</f>
        <v>0</v>
      </c>
      <c r="L457" s="439">
        <f>$L$9</f>
        <v>0</v>
      </c>
      <c r="M457" s="401">
        <f t="shared" si="93"/>
        <v>0</v>
      </c>
      <c r="N457" s="404">
        <f>M457*0.230769230769231</f>
        <v>0</v>
      </c>
      <c r="O457" s="383">
        <f>IFERROR(N457/SUM(PROD!L453:L459),0)</f>
        <v>0</v>
      </c>
      <c r="P457" s="384">
        <f>IFERROR(O457/SUM(E452:E458,J452:J458,O452:O457),0)</f>
        <v>0</v>
      </c>
      <c r="Q457" s="491" t="str">
        <f>$Q$9</f>
        <v>C</v>
      </c>
      <c r="R457" s="392">
        <f t="shared" si="82"/>
        <v>0</v>
      </c>
      <c r="S457" s="870">
        <f>SUM(PROD!AR453:AR459)</f>
        <v>0</v>
      </c>
      <c r="T457" s="492">
        <f>IF(AA452&gt;0,S457/AA452,0)</f>
        <v>0</v>
      </c>
      <c r="U457" s="493" t="str">
        <f>$U$9</f>
        <v>Rev. Med</v>
      </c>
      <c r="V457" s="392">
        <f t="shared" si="83"/>
        <v>0</v>
      </c>
      <c r="W457" s="870">
        <f>SUM(PROD!AU453:AU459)</f>
        <v>0</v>
      </c>
      <c r="X457" s="498">
        <f>IFERROR(W457/(AA457-AA455),0)</f>
        <v>0</v>
      </c>
      <c r="Y457" s="2303" t="s">
        <v>325</v>
      </c>
      <c r="Z457" s="2305">
        <f>SUMPRODUCT(Z452:Z456,AB452:AB456)</f>
        <v>0</v>
      </c>
      <c r="AA457" s="2307">
        <f>SUM(AA452:AA455)</f>
        <v>0</v>
      </c>
      <c r="AB457" s="2308"/>
    </row>
    <row r="458" spans="1:28" ht="16.5" customHeight="1" thickBot="1" x14ac:dyDescent="0.35">
      <c r="A458" s="2302"/>
      <c r="B458" s="444" t="str">
        <f>$B$10</f>
        <v>Gastos de Personal</v>
      </c>
      <c r="C458" s="445">
        <f>C451</f>
        <v>0</v>
      </c>
      <c r="D458" s="421">
        <f>C458*12/52</f>
        <v>0</v>
      </c>
      <c r="E458" s="446">
        <f>IFERROR(D458/SUM(PROD!L453:L459),0)</f>
        <v>0</v>
      </c>
      <c r="F458" s="447">
        <f>IFERROR(E458/SUM(E452:E458,J452:J458,O452:O457),0)</f>
        <v>0</v>
      </c>
      <c r="G458" s="448" t="str">
        <f>$G$17</f>
        <v>Adecuación Instalaciones</v>
      </c>
      <c r="H458" s="445"/>
      <c r="I458" s="426">
        <f t="shared" si="92"/>
        <v>0</v>
      </c>
      <c r="J458" s="446">
        <f>IFERROR(I458/SUM(PROD!L453:L459),0)</f>
        <v>0</v>
      </c>
      <c r="K458" s="447">
        <f>IFERROR(J458/SUM(E452:E458,J452:J458,O452:O457),0)</f>
        <v>0</v>
      </c>
      <c r="L458" s="2311" t="str">
        <f>$L$10</f>
        <v>TOTAL COSTO PRODUCCIÓN</v>
      </c>
      <c r="M458" s="2312"/>
      <c r="N458" s="427">
        <f>SUM(D452:D458,I452:I458,N452:N457)</f>
        <v>692307.69230769284</v>
      </c>
      <c r="O458" s="449">
        <f>IFERROR(N458/SUM(PROD!L453:L459),0)</f>
        <v>0</v>
      </c>
      <c r="P458" s="447">
        <f>IFERROR(O458/SUM(E452:E458,J452:J458,O452:O457),0)</f>
        <v>0</v>
      </c>
      <c r="Q458" s="429" t="str">
        <f>$Q$10</f>
        <v>D</v>
      </c>
      <c r="R458" s="499">
        <f t="shared" si="82"/>
        <v>0</v>
      </c>
      <c r="S458" s="871">
        <f>SUM(PROD!AS453:AS459)</f>
        <v>0</v>
      </c>
      <c r="T458" s="431">
        <f>IF(AA452&gt;0,S458/AA452,0)</f>
        <v>0</v>
      </c>
      <c r="U458" s="432" t="str">
        <f>$U$10</f>
        <v>Rev. Peq</v>
      </c>
      <c r="V458" s="499">
        <f t="shared" si="83"/>
        <v>0</v>
      </c>
      <c r="W458" s="871">
        <f>SUM(PROD!AV453:AV459)</f>
        <v>0</v>
      </c>
      <c r="X458" s="431">
        <f>IFERROR(W458/(AA457-AA455),0)</f>
        <v>0</v>
      </c>
      <c r="Y458" s="2304"/>
      <c r="Z458" s="2306"/>
      <c r="AA458" s="2309"/>
      <c r="AB458" s="2310"/>
    </row>
    <row r="459" spans="1:28" ht="16.5" customHeight="1" x14ac:dyDescent="0.3">
      <c r="A459" s="2300">
        <f>A452+1</f>
        <v>83</v>
      </c>
      <c r="B459" s="433" t="str">
        <f>$B$4</f>
        <v>ALIMENTO Kilos</v>
      </c>
      <c r="C459" s="435">
        <f>LOOKUP($A459,PROD!$A$5:$A$725,PROD!$AH$10:$AH$730)</f>
        <v>0</v>
      </c>
      <c r="D459" s="368">
        <f>C459*LOOKUP($A459,'Pr-Sem'!$A$6:$A$108,'Pr-Sem'!$N$6:$N$108)/(PROD!$A$1/1000)</f>
        <v>0</v>
      </c>
      <c r="E459" s="369">
        <f>IFERROR(D459/SUM(PROD!L460:L466),0)</f>
        <v>0</v>
      </c>
      <c r="F459" s="370">
        <f>IFERROR(E459/SUM(E459:E465,J459:J465,O459:O464),0)</f>
        <v>0</v>
      </c>
      <c r="G459" s="434" t="str">
        <f>$G$11</f>
        <v>Honorarios</v>
      </c>
      <c r="H459" s="435">
        <f t="shared" ref="H459:H522" si="94">H452</f>
        <v>0</v>
      </c>
      <c r="I459" s="372">
        <f t="shared" si="92"/>
        <v>0</v>
      </c>
      <c r="J459" s="369">
        <f>IFERROR(I459/SUM(PROD!L460:L466),0)</f>
        <v>0</v>
      </c>
      <c r="K459" s="370">
        <f>IFERROR(J459/SUM(E459:E465,J459:J465,O459:O464),0)</f>
        <v>0</v>
      </c>
      <c r="L459" s="436" t="str">
        <f>$L$4</f>
        <v>Gastos de Viaje</v>
      </c>
      <c r="M459" s="435">
        <f t="shared" ref="M459:M464" si="95">M452</f>
        <v>0</v>
      </c>
      <c r="N459" s="372">
        <f>M459*12/52</f>
        <v>0</v>
      </c>
      <c r="O459" s="369">
        <f>IFERROR(N459/SUM(PROD!L460:L466),0)</f>
        <v>0</v>
      </c>
      <c r="P459" s="370">
        <f>IFERROR(O459/SUM(E459:E465,J459:J465,O459:O464),0)</f>
        <v>0</v>
      </c>
      <c r="Q459" s="373" t="str">
        <f>$Q$4</f>
        <v>AAAA</v>
      </c>
      <c r="R459" s="374">
        <f t="shared" ref="R459:R522" si="96">R452</f>
        <v>0</v>
      </c>
      <c r="S459" s="869">
        <f>SUM(PROD!AM460:AM466)</f>
        <v>0</v>
      </c>
      <c r="T459" s="375">
        <f>IF(AA459&gt;0,S459/AA459,0)</f>
        <v>0</v>
      </c>
      <c r="U459" s="376" t="str">
        <f>$U$4</f>
        <v>Prob Color</v>
      </c>
      <c r="V459" s="374">
        <f t="shared" ref="V459:V522" si="97">V452</f>
        <v>0</v>
      </c>
      <c r="W459" s="869">
        <f>SUM(PROD!AW460:AW466)</f>
        <v>0</v>
      </c>
      <c r="X459" s="375">
        <f>IFERROR(W459/(AA464-AA462),0)</f>
        <v>0</v>
      </c>
      <c r="Y459" s="377" t="s">
        <v>323</v>
      </c>
      <c r="Z459" s="378">
        <f>SUMPRODUCT(R459:R465,T459:T465)</f>
        <v>0</v>
      </c>
      <c r="AA459" s="379">
        <f>SUM(S459:S465)</f>
        <v>0</v>
      </c>
      <c r="AB459" s="490">
        <f>IF(AA464&gt;0,AA459/AA464,0)</f>
        <v>0</v>
      </c>
    </row>
    <row r="460" spans="1:28" ht="15.75" customHeight="1" x14ac:dyDescent="0.3">
      <c r="A460" s="2301"/>
      <c r="B460" s="438" t="str">
        <f>$B$5</f>
        <v>Amortización de Aves</v>
      </c>
      <c r="C460" s="381">
        <f>IFERROR((C453-(D460/'Pr-Sem'!$O$2)),0)</f>
        <v>0</v>
      </c>
      <c r="D460" s="382">
        <f>SUM(PROD!L460:L466)*E460</f>
        <v>0</v>
      </c>
      <c r="E460" s="383">
        <f>IF(SUM(PROD!L460:L466)&gt;0,IFERROR(($C$1-$C$2)/LOOKUP($B$2,'Pr-Sem'!$A$6:$A$108,'Pr-Sem'!$L$6:$L$108)*(LOOKUP(INVENTARIOS!$A459,'Pr-Sem'!$A$6:$A$108,'Pr-Sem'!$L$6:$L$108)-LOOKUP(INVENTARIOS!$A459-1,'Pr-Sem'!$A$6:$A$108,'Pr-Sem'!$L$6:$L$108))/(LOOKUP(INVENTARIOS!$A459,'Pr-Sem'!$A$6:$A$108,'Pr-Sem'!$K$6:$K$108)-LOOKUP(INVENTARIOS!$A459-1,'Pr-Sem'!$A$6:$A$108,'Pr-Sem'!$K$6:$K$108)),0),0)</f>
        <v>0</v>
      </c>
      <c r="F460" s="384">
        <f>IFERROR(E460/SUM(E459:E465,J459:J465,O459:O464),0)</f>
        <v>0</v>
      </c>
      <c r="G460" s="439" t="str">
        <f>$G$12</f>
        <v>Impuestos</v>
      </c>
      <c r="H460" s="440">
        <f t="shared" si="94"/>
        <v>0</v>
      </c>
      <c r="I460" s="387">
        <f t="shared" si="92"/>
        <v>0</v>
      </c>
      <c r="J460" s="383">
        <f>IFERROR(I460/SUM(PROD!L460:L466),0)</f>
        <v>0</v>
      </c>
      <c r="K460" s="384">
        <f>IFERROR(J460/SUM(E459:E465,J459:J465,O459:O464),0)</f>
        <v>0</v>
      </c>
      <c r="L460" s="439" t="str">
        <f>$L$5</f>
        <v>Depreciaciones</v>
      </c>
      <c r="M460" s="401">
        <f t="shared" si="95"/>
        <v>0</v>
      </c>
      <c r="N460" s="390">
        <f>M460*12/52</f>
        <v>0</v>
      </c>
      <c r="O460" s="383">
        <f>IFERROR(N460/SUM(PROD!L460:L466),0)</f>
        <v>0</v>
      </c>
      <c r="P460" s="384">
        <f>IFERROR(O460/SUM(E459:E465,J459:J465,O459:O464),0)</f>
        <v>0</v>
      </c>
      <c r="Q460" s="491" t="str">
        <f>$Q$5</f>
        <v>AAA</v>
      </c>
      <c r="R460" s="392">
        <f t="shared" si="96"/>
        <v>0</v>
      </c>
      <c r="S460" s="870">
        <f>SUM(PROD!AN460:AN466)</f>
        <v>0</v>
      </c>
      <c r="T460" s="492">
        <f>IF(AA459&gt;0,S460/AA459,0)</f>
        <v>0</v>
      </c>
      <c r="U460" s="493" t="str">
        <f>$U$5</f>
        <v>Prob Cásc</v>
      </c>
      <c r="V460" s="392">
        <f t="shared" si="97"/>
        <v>0</v>
      </c>
      <c r="W460" s="870">
        <f>SUM(PROD!AX460:AX466)</f>
        <v>0</v>
      </c>
      <c r="X460" s="492">
        <f>IFERROR(W460/(AA464-AA462),0)</f>
        <v>0</v>
      </c>
      <c r="Y460" s="395" t="s">
        <v>324</v>
      </c>
      <c r="Z460" s="396">
        <f>IFERROR(SUMPRODUCT(V459:V462,W459:W462)/SUM(W459:W462),0)</f>
        <v>0</v>
      </c>
      <c r="AA460" s="397">
        <f>SUM(W459:W462)</f>
        <v>0</v>
      </c>
      <c r="AB460" s="494">
        <f>IF(AA464&gt;0,AA460/AA464,0)</f>
        <v>0</v>
      </c>
    </row>
    <row r="461" spans="1:28" ht="15.75" customHeight="1" x14ac:dyDescent="0.3">
      <c r="A461" s="2301"/>
      <c r="B461" s="399" t="str">
        <f>$B$6</f>
        <v>Bandeja</v>
      </c>
      <c r="C461" s="400">
        <f>C454</f>
        <v>0</v>
      </c>
      <c r="D461" s="387">
        <f>C461*SUM(INVENTARIOS!R459:R465)</f>
        <v>0</v>
      </c>
      <c r="E461" s="383">
        <f>IFERROR(D461/SUM(PROD!L460:L466),0)</f>
        <v>0</v>
      </c>
      <c r="F461" s="384">
        <f>IFERROR(E461/SUM(E459:E465,J459:J465,O459:O464),0)</f>
        <v>0</v>
      </c>
      <c r="G461" s="439" t="str">
        <f>$G$13</f>
        <v>Arrendamientos</v>
      </c>
      <c r="H461" s="401">
        <f t="shared" si="94"/>
        <v>0</v>
      </c>
      <c r="I461" s="390">
        <f t="shared" si="92"/>
        <v>0</v>
      </c>
      <c r="J461" s="383">
        <f>IFERROR(I461/SUM(PROD!L460:L466),0)</f>
        <v>0</v>
      </c>
      <c r="K461" s="384">
        <f>IFERROR(J461/SUM(E459:E465,J459:J465,O459:O464),0)</f>
        <v>0</v>
      </c>
      <c r="L461" s="439" t="str">
        <f>$L$6</f>
        <v>Diversos</v>
      </c>
      <c r="M461" s="401">
        <f t="shared" si="95"/>
        <v>1000000</v>
      </c>
      <c r="N461" s="390">
        <f>M461*12/52</f>
        <v>230769.23076923078</v>
      </c>
      <c r="O461" s="383">
        <f>IFERROR(N461/SUM(PROD!L460:L466),0)</f>
        <v>0</v>
      </c>
      <c r="P461" s="384">
        <f>IFERROR(O461/SUM(E459:E465,J459:J465,O459:O464),0)</f>
        <v>0</v>
      </c>
      <c r="Q461" s="491" t="str">
        <f>$Q$6</f>
        <v>AA</v>
      </c>
      <c r="R461" s="392">
        <f t="shared" si="96"/>
        <v>0</v>
      </c>
      <c r="S461" s="870">
        <f>SUM(PROD!AO460:AO466)</f>
        <v>0</v>
      </c>
      <c r="T461" s="492">
        <f>IF(AA459&gt;0,S461/AA459,0)</f>
        <v>0</v>
      </c>
      <c r="U461" s="493" t="str">
        <f>$U$6</f>
        <v>Vencido</v>
      </c>
      <c r="V461" s="392">
        <f t="shared" si="97"/>
        <v>0</v>
      </c>
      <c r="W461" s="870">
        <f>SUM(PROD!AY460:AY466)</f>
        <v>0</v>
      </c>
      <c r="X461" s="492">
        <f>IFERROR(W461/(AA464-AA462),0)</f>
        <v>0</v>
      </c>
      <c r="Y461" s="402" t="s">
        <v>391</v>
      </c>
      <c r="Z461" s="456">
        <v>0</v>
      </c>
      <c r="AA461" s="720"/>
      <c r="AB461" s="495">
        <f>IF(AA464&gt;0,AA461/AA464,0)</f>
        <v>0</v>
      </c>
    </row>
    <row r="462" spans="1:28" ht="15.75" customHeight="1" x14ac:dyDescent="0.3">
      <c r="A462" s="2301"/>
      <c r="B462" s="438" t="str">
        <f>$B$7</f>
        <v>Mortalidad Aves</v>
      </c>
      <c r="C462" s="401">
        <f>IF(A459&lt;=$B$2,C460+$C$2,0)</f>
        <v>0</v>
      </c>
      <c r="D462" s="390">
        <f>C462*SUM(PROD!D460:D466)</f>
        <v>0</v>
      </c>
      <c r="E462" s="383">
        <f>IFERROR(D462/SUM(PROD!L460:L466),0)</f>
        <v>0</v>
      </c>
      <c r="F462" s="384">
        <f>IFERROR(E462/SUM(E459:E465,J459:J465,O459:O464),0)</f>
        <v>0</v>
      </c>
      <c r="G462" s="439" t="str">
        <f>$G$14</f>
        <v>Servicios Públicos</v>
      </c>
      <c r="H462" s="401">
        <f t="shared" si="94"/>
        <v>0</v>
      </c>
      <c r="I462" s="390">
        <f t="shared" si="92"/>
        <v>0</v>
      </c>
      <c r="J462" s="383">
        <f>IFERROR(I462/SUM(PROD!L460:L466),0)</f>
        <v>0</v>
      </c>
      <c r="K462" s="384">
        <f>IFERROR(J462/SUM(E459:E465,J459:J465,O459:O464),0)</f>
        <v>0</v>
      </c>
      <c r="L462" s="441" t="str">
        <f>$L$7</f>
        <v>Administrativos</v>
      </c>
      <c r="M462" s="401">
        <f t="shared" si="95"/>
        <v>0</v>
      </c>
      <c r="N462" s="404">
        <f>M462*0.230769230769231</f>
        <v>0</v>
      </c>
      <c r="O462" s="383">
        <f>IFERROR(N462/SUM(PROD!L460:L466),0)</f>
        <v>0</v>
      </c>
      <c r="P462" s="384">
        <f>IFERROR(O462/SUM(E459:E465,J459:J465,O459:O464),0)</f>
        <v>0</v>
      </c>
      <c r="Q462" s="491" t="str">
        <f>$Q$7</f>
        <v>A</v>
      </c>
      <c r="R462" s="392">
        <f t="shared" si="96"/>
        <v>0</v>
      </c>
      <c r="S462" s="870">
        <f>SUM(PROD!AP460:AP466)</f>
        <v>0</v>
      </c>
      <c r="T462" s="492">
        <f>IF(AA459&gt;0,S462/AA459,0)</f>
        <v>0</v>
      </c>
      <c r="U462" s="405" t="str">
        <f>$U$7</f>
        <v>Roto</v>
      </c>
      <c r="V462" s="406">
        <f t="shared" si="97"/>
        <v>0</v>
      </c>
      <c r="W462" s="872">
        <f>SUM(PROD!AZ460:AZ466)</f>
        <v>0</v>
      </c>
      <c r="X462" s="407">
        <f>IFERROR(W462/(AA464-AA462),0)</f>
        <v>0</v>
      </c>
      <c r="Y462" s="408" t="s">
        <v>359</v>
      </c>
      <c r="Z462" s="442">
        <v>215</v>
      </c>
      <c r="AA462" s="410">
        <f>SUM(PROD!L460:L466)-SUM(W459:W465)-SUM(S459:S465)-AA461</f>
        <v>0</v>
      </c>
      <c r="AB462" s="496">
        <f>IF(AA464&gt;0,AA462/AA464,0)</f>
        <v>0</v>
      </c>
    </row>
    <row r="463" spans="1:28" ht="15.75" customHeight="1" x14ac:dyDescent="0.3">
      <c r="A463" s="2301"/>
      <c r="B463" s="399" t="str">
        <f>$B$8</f>
        <v>Materia Prima (Carb Ca, etc.)</v>
      </c>
      <c r="C463" s="440">
        <f>C456</f>
        <v>0</v>
      </c>
      <c r="D463" s="387">
        <f>C463*12/52</f>
        <v>0</v>
      </c>
      <c r="E463" s="383">
        <f>IFERROR(D463/SUM(PROD!L460:L466),0)</f>
        <v>0</v>
      </c>
      <c r="F463" s="384">
        <f>IFERROR(E463/SUM(E459:E465,J459:J465,O459:O464),0)</f>
        <v>0</v>
      </c>
      <c r="G463" s="441" t="str">
        <f>$G$15</f>
        <v>Gastos Legales</v>
      </c>
      <c r="H463" s="401">
        <f t="shared" si="94"/>
        <v>0</v>
      </c>
      <c r="I463" s="390">
        <f t="shared" si="92"/>
        <v>0</v>
      </c>
      <c r="J463" s="383">
        <f>IFERROR(I463/SUM(PROD!L460:L466),0)</f>
        <v>0</v>
      </c>
      <c r="K463" s="384">
        <f>IFERROR(J463/SUM(E459:E465,J459:J465,O459:O464),0)</f>
        <v>0</v>
      </c>
      <c r="L463" s="439" t="str">
        <f>$L$8</f>
        <v>Fletes</v>
      </c>
      <c r="M463" s="401">
        <v>1000000</v>
      </c>
      <c r="N463" s="404">
        <f>M463*0.230769230769231</f>
        <v>230769.23076923101</v>
      </c>
      <c r="O463" s="383">
        <f>IFERROR(N463/SUM(PROD!L460:L466),0)</f>
        <v>0</v>
      </c>
      <c r="P463" s="384">
        <f>IFERROR(O463/SUM(E459:E465,J459:J465,O459:O464),0)</f>
        <v>0</v>
      </c>
      <c r="Q463" s="491" t="str">
        <f>$Q$8</f>
        <v>B</v>
      </c>
      <c r="R463" s="392">
        <f t="shared" si="96"/>
        <v>0</v>
      </c>
      <c r="S463" s="870">
        <f>SUM(PROD!AQ460:AQ466)</f>
        <v>0</v>
      </c>
      <c r="T463" s="492">
        <f>IF(AA459&gt;0,S463/AA459,0)</f>
        <v>0</v>
      </c>
      <c r="U463" s="395" t="str">
        <f>$U$8</f>
        <v>Rev. Gr.</v>
      </c>
      <c r="V463" s="412">
        <f t="shared" si="97"/>
        <v>0</v>
      </c>
      <c r="W463" s="873">
        <f>SUM(PROD!AT460:AT466)</f>
        <v>0</v>
      </c>
      <c r="X463" s="413">
        <f>IFERROR(W463/(AA464-AA462),0)</f>
        <v>0</v>
      </c>
      <c r="Y463" s="414" t="s">
        <v>262</v>
      </c>
      <c r="Z463" s="415">
        <f>IFERROR(SUMPRODUCT(V463:V465,W463:W465)/SUM(W463:W465),0)</f>
        <v>0</v>
      </c>
      <c r="AA463" s="416">
        <f>SUM(W463:W465)</f>
        <v>0</v>
      </c>
      <c r="AB463" s="497">
        <f>IF(AA464&gt;0,AA463/AA464,0)</f>
        <v>0</v>
      </c>
    </row>
    <row r="464" spans="1:28" ht="15.75" customHeight="1" x14ac:dyDescent="0.3">
      <c r="A464" s="2301"/>
      <c r="B464" s="438" t="str">
        <f>$B$9</f>
        <v>Vacunas y medicamentos</v>
      </c>
      <c r="C464" s="443">
        <f>C457</f>
        <v>0</v>
      </c>
      <c r="D464" s="387">
        <f>C464*12/52</f>
        <v>0</v>
      </c>
      <c r="E464" s="383">
        <f>IFERROR(D464/SUM(PROD!L460:L466),0)</f>
        <v>0</v>
      </c>
      <c r="F464" s="384">
        <f>IFERROR(E464/SUM(E459:E465,J459:J465,O459:O464),0)</f>
        <v>0</v>
      </c>
      <c r="G464" s="441" t="str">
        <f>$G$16</f>
        <v>Mantenimiento y Reparaciones</v>
      </c>
      <c r="H464" s="401">
        <f t="shared" si="94"/>
        <v>0</v>
      </c>
      <c r="I464" s="390">
        <f t="shared" si="92"/>
        <v>0</v>
      </c>
      <c r="J464" s="383">
        <f>IFERROR(I464/SUM(PROD!L460:L466),0)</f>
        <v>0</v>
      </c>
      <c r="K464" s="384">
        <f>IFERROR(J464/SUM(E459:E465,J459:J465,O459:O464),0)</f>
        <v>0</v>
      </c>
      <c r="L464" s="439">
        <f>$L$9</f>
        <v>0</v>
      </c>
      <c r="M464" s="401">
        <f t="shared" si="95"/>
        <v>0</v>
      </c>
      <c r="N464" s="404">
        <f>M464*0.230769230769231</f>
        <v>0</v>
      </c>
      <c r="O464" s="383">
        <f>IFERROR(N464/SUM(PROD!L460:L466),0)</f>
        <v>0</v>
      </c>
      <c r="P464" s="384">
        <f>IFERROR(O464/SUM(E459:E465,J459:J465,O459:O464),0)</f>
        <v>0</v>
      </c>
      <c r="Q464" s="491" t="str">
        <f>$Q$9</f>
        <v>C</v>
      </c>
      <c r="R464" s="392">
        <f t="shared" si="96"/>
        <v>0</v>
      </c>
      <c r="S464" s="870">
        <f>SUM(PROD!AR460:AR466)</f>
        <v>0</v>
      </c>
      <c r="T464" s="492">
        <f>IF(AA459&gt;0,S464/AA459,0)</f>
        <v>0</v>
      </c>
      <c r="U464" s="493" t="str">
        <f>$U$9</f>
        <v>Rev. Med</v>
      </c>
      <c r="V464" s="392">
        <f t="shared" si="97"/>
        <v>0</v>
      </c>
      <c r="W464" s="870">
        <f>SUM(PROD!AU460:AU466)</f>
        <v>0</v>
      </c>
      <c r="X464" s="498">
        <f>IFERROR(W464/(AA464-AA462),0)</f>
        <v>0</v>
      </c>
      <c r="Y464" s="2303" t="s">
        <v>325</v>
      </c>
      <c r="Z464" s="2305">
        <f>SUMPRODUCT(Z459:Z463,AB459:AB463)</f>
        <v>0</v>
      </c>
      <c r="AA464" s="2307">
        <f>SUM(AA459:AA462)</f>
        <v>0</v>
      </c>
      <c r="AB464" s="2308"/>
    </row>
    <row r="465" spans="1:28" ht="16.5" customHeight="1" thickBot="1" x14ac:dyDescent="0.35">
      <c r="A465" s="2302"/>
      <c r="B465" s="444" t="str">
        <f>$B$10</f>
        <v>Gastos de Personal</v>
      </c>
      <c r="C465" s="445">
        <f>C458</f>
        <v>0</v>
      </c>
      <c r="D465" s="421">
        <f>C465*12/52</f>
        <v>0</v>
      </c>
      <c r="E465" s="446">
        <f>IFERROR(D465/SUM(PROD!L460:L466),0)</f>
        <v>0</v>
      </c>
      <c r="F465" s="447">
        <f>IFERROR(E465/SUM(E459:E465,J459:J465,O459:O464),0)</f>
        <v>0</v>
      </c>
      <c r="G465" s="448" t="str">
        <f>$G$17</f>
        <v>Adecuación Instalaciones</v>
      </c>
      <c r="H465" s="445">
        <f t="shared" si="94"/>
        <v>0</v>
      </c>
      <c r="I465" s="426">
        <f t="shared" si="92"/>
        <v>0</v>
      </c>
      <c r="J465" s="446">
        <f>IFERROR(I465/SUM(PROD!L460:L466),0)</f>
        <v>0</v>
      </c>
      <c r="K465" s="447">
        <f>IFERROR(J465/SUM(E459:E465,J459:J465,O459:O464),0)</f>
        <v>0</v>
      </c>
      <c r="L465" s="2311" t="str">
        <f>$L$10</f>
        <v>TOTAL COSTO PRODUCCIÓN</v>
      </c>
      <c r="M465" s="2312"/>
      <c r="N465" s="427">
        <f>SUM(D459:D465,I459:I465,N459:N464)</f>
        <v>461538.46153846179</v>
      </c>
      <c r="O465" s="449">
        <f>IFERROR(N465/SUM(PROD!L460:L466),0)</f>
        <v>0</v>
      </c>
      <c r="P465" s="447">
        <f>IFERROR(O465/SUM(E459:E465,J459:J465,O459:O464),0)</f>
        <v>0</v>
      </c>
      <c r="Q465" s="429" t="str">
        <f>$Q$10</f>
        <v>D</v>
      </c>
      <c r="R465" s="499">
        <f t="shared" si="96"/>
        <v>0</v>
      </c>
      <c r="S465" s="871">
        <f>SUM(PROD!AS460:AS466)</f>
        <v>0</v>
      </c>
      <c r="T465" s="431">
        <f>IF(AA459&gt;0,S465/AA459,0)</f>
        <v>0</v>
      </c>
      <c r="U465" s="432" t="str">
        <f>$U$10</f>
        <v>Rev. Peq</v>
      </c>
      <c r="V465" s="499">
        <f t="shared" si="97"/>
        <v>0</v>
      </c>
      <c r="W465" s="871">
        <f>SUM(PROD!AV460:AV466)</f>
        <v>0</v>
      </c>
      <c r="X465" s="431">
        <f>IFERROR(W465/(AA464-AA462),0)</f>
        <v>0</v>
      </c>
      <c r="Y465" s="2304"/>
      <c r="Z465" s="2306"/>
      <c r="AA465" s="2309"/>
      <c r="AB465" s="2310"/>
    </row>
    <row r="466" spans="1:28" ht="16.5" customHeight="1" x14ac:dyDescent="0.3">
      <c r="A466" s="2300">
        <f>A459+1</f>
        <v>84</v>
      </c>
      <c r="B466" s="433" t="str">
        <f>$B$4</f>
        <v>ALIMENTO Kilos</v>
      </c>
      <c r="C466" s="435">
        <f>LOOKUP($A466,PROD!$A$5:$A$725,PROD!$AH$10:$AH$730)</f>
        <v>0</v>
      </c>
      <c r="D466" s="368">
        <f>C466*LOOKUP($A466,'Pr-Sem'!$A$6:$A$108,'Pr-Sem'!$N$6:$N$108)/(PROD!$A$1/1000)</f>
        <v>0</v>
      </c>
      <c r="E466" s="369">
        <f>IFERROR(D466/SUM(PROD!L467:L473),0)</f>
        <v>0</v>
      </c>
      <c r="F466" s="370">
        <f>IFERROR(E466/SUM(E466:E472,J466:J472,O466:O471),0)</f>
        <v>0</v>
      </c>
      <c r="G466" s="434" t="str">
        <f>$G$11</f>
        <v>Honorarios</v>
      </c>
      <c r="H466" s="435">
        <f t="shared" si="94"/>
        <v>0</v>
      </c>
      <c r="I466" s="372">
        <f t="shared" si="92"/>
        <v>0</v>
      </c>
      <c r="J466" s="369">
        <f>IFERROR(I466/SUM(PROD!L467:L473),0)</f>
        <v>0</v>
      </c>
      <c r="K466" s="370">
        <f>IFERROR(J466/SUM(E466:E472,J466:J472,O466:O471),0)</f>
        <v>0</v>
      </c>
      <c r="L466" s="436" t="str">
        <f>$L$4</f>
        <v>Gastos de Viaje</v>
      </c>
      <c r="M466" s="435">
        <f t="shared" ref="M466:M471" si="98">M459</f>
        <v>0</v>
      </c>
      <c r="N466" s="372">
        <f>M466*12/52</f>
        <v>0</v>
      </c>
      <c r="O466" s="369">
        <f>IFERROR(N466/SUM(PROD!L467:L473),0)</f>
        <v>0</v>
      </c>
      <c r="P466" s="370">
        <f>IFERROR(O466/SUM(E466:E472,J466:J472,O466:O471),0)</f>
        <v>0</v>
      </c>
      <c r="Q466" s="373" t="str">
        <f>$Q$4</f>
        <v>AAAA</v>
      </c>
      <c r="R466" s="374">
        <f t="shared" si="96"/>
        <v>0</v>
      </c>
      <c r="S466" s="869">
        <f>SUM(PROD!AM467:AM473)</f>
        <v>0</v>
      </c>
      <c r="T466" s="375">
        <f>IF(AA466&gt;0,S466/AA466,0)</f>
        <v>0</v>
      </c>
      <c r="U466" s="376" t="str">
        <f>$U$4</f>
        <v>Prob Color</v>
      </c>
      <c r="V466" s="374">
        <f t="shared" si="97"/>
        <v>0</v>
      </c>
      <c r="W466" s="869">
        <f>SUM(PROD!AW467:AW473)</f>
        <v>0</v>
      </c>
      <c r="X466" s="375">
        <f>IFERROR(W466/(AA471-AA469),0)</f>
        <v>0</v>
      </c>
      <c r="Y466" s="377" t="s">
        <v>323</v>
      </c>
      <c r="Z466" s="378">
        <f>SUMPRODUCT(R466:R472,T466:T472)</f>
        <v>0</v>
      </c>
      <c r="AA466" s="379">
        <f>SUM(S466:S472)</f>
        <v>0</v>
      </c>
      <c r="AB466" s="490">
        <f>IF(AA471&gt;0,AA466/AA471,0)</f>
        <v>0</v>
      </c>
    </row>
    <row r="467" spans="1:28" ht="15.75" customHeight="1" x14ac:dyDescent="0.3">
      <c r="A467" s="2301"/>
      <c r="B467" s="438" t="str">
        <f>$B$5</f>
        <v>Amortización de Aves</v>
      </c>
      <c r="C467" s="381">
        <f>IFERROR((C460-(D467/'Pr-Sem'!$O$2)),0)</f>
        <v>0</v>
      </c>
      <c r="D467" s="382">
        <f>SUM(PROD!L467:L473)*E467</f>
        <v>0</v>
      </c>
      <c r="E467" s="383">
        <f>IF(SUM(PROD!L467:L473)&gt;0,IFERROR(($C$1-$C$2)/LOOKUP($B$2,'Pr-Sem'!$A$6:$A$108,'Pr-Sem'!$L$6:$L$108)*(LOOKUP(INVENTARIOS!$A466,'Pr-Sem'!$A$6:$A$108,'Pr-Sem'!$L$6:$L$108)-LOOKUP(INVENTARIOS!$A466-1,'Pr-Sem'!$A$6:$A$108,'Pr-Sem'!$L$6:$L$108))/(LOOKUP(INVENTARIOS!$A466,'Pr-Sem'!$A$6:$A$108,'Pr-Sem'!$K$6:$K$108)-LOOKUP(INVENTARIOS!$A466-1,'Pr-Sem'!$A$6:$A$108,'Pr-Sem'!$K$6:$K$108)),0),0)</f>
        <v>0</v>
      </c>
      <c r="F467" s="384">
        <f>IFERROR(E467/SUM(E466:E472,J466:J472,O466:O471),0)</f>
        <v>0</v>
      </c>
      <c r="G467" s="439" t="str">
        <f>$G$12</f>
        <v>Impuestos</v>
      </c>
      <c r="H467" s="440">
        <f t="shared" si="94"/>
        <v>0</v>
      </c>
      <c r="I467" s="387">
        <f t="shared" si="92"/>
        <v>0</v>
      </c>
      <c r="J467" s="383">
        <f>IFERROR(I467/SUM(PROD!L467:L473),0)</f>
        <v>0</v>
      </c>
      <c r="K467" s="384">
        <f>IFERROR(J467/SUM(E466:E472,J466:J472,O466:O471),0)</f>
        <v>0</v>
      </c>
      <c r="L467" s="439" t="str">
        <f>$L$5</f>
        <v>Depreciaciones</v>
      </c>
      <c r="M467" s="401">
        <f t="shared" si="98"/>
        <v>0</v>
      </c>
      <c r="N467" s="390">
        <f>M467*12/52</f>
        <v>0</v>
      </c>
      <c r="O467" s="383">
        <f>IFERROR(N467/SUM(PROD!L467:L473),0)</f>
        <v>0</v>
      </c>
      <c r="P467" s="384">
        <f>IFERROR(O467/SUM(E466:E472,J466:J472,O466:O471),0)</f>
        <v>0</v>
      </c>
      <c r="Q467" s="491" t="str">
        <f>$Q$5</f>
        <v>AAA</v>
      </c>
      <c r="R467" s="392">
        <f t="shared" si="96"/>
        <v>0</v>
      </c>
      <c r="S467" s="870">
        <f>SUM(PROD!AN467:AN473)</f>
        <v>0</v>
      </c>
      <c r="T467" s="492">
        <f>IF(AA466&gt;0,S467/AA466,0)</f>
        <v>0</v>
      </c>
      <c r="U467" s="493" t="str">
        <f>$U$5</f>
        <v>Prob Cásc</v>
      </c>
      <c r="V467" s="392">
        <f t="shared" si="97"/>
        <v>0</v>
      </c>
      <c r="W467" s="870">
        <f>SUM(PROD!AX467:AX473)</f>
        <v>0</v>
      </c>
      <c r="X467" s="492">
        <f>IFERROR(W467/(AA471-AA469),0)</f>
        <v>0</v>
      </c>
      <c r="Y467" s="395" t="s">
        <v>324</v>
      </c>
      <c r="Z467" s="396">
        <f>IFERROR(SUMPRODUCT(V466:V469,W466:W469)/SUM(W466:W469),0)</f>
        <v>0</v>
      </c>
      <c r="AA467" s="397">
        <f>SUM(W466:W469)</f>
        <v>0</v>
      </c>
      <c r="AB467" s="494">
        <f>IF(AA471&gt;0,AA467/AA471,0)</f>
        <v>0</v>
      </c>
    </row>
    <row r="468" spans="1:28" ht="15.75" customHeight="1" x14ac:dyDescent="0.3">
      <c r="A468" s="2301"/>
      <c r="B468" s="399" t="str">
        <f>$B$6</f>
        <v>Bandeja</v>
      </c>
      <c r="C468" s="400">
        <f>C461</f>
        <v>0</v>
      </c>
      <c r="D468" s="387">
        <f>C468*SUM(INVENTARIOS!R466:R472)</f>
        <v>0</v>
      </c>
      <c r="E468" s="383">
        <f>IFERROR(D468/SUM(PROD!L467:L473),0)</f>
        <v>0</v>
      </c>
      <c r="F468" s="384">
        <f>IFERROR(E468/SUM(E466:E472,J466:J472,O466:O471),0)</f>
        <v>0</v>
      </c>
      <c r="G468" s="439" t="str">
        <f>$G$13</f>
        <v>Arrendamientos</v>
      </c>
      <c r="H468" s="401">
        <f t="shared" si="94"/>
        <v>0</v>
      </c>
      <c r="I468" s="390">
        <f t="shared" si="92"/>
        <v>0</v>
      </c>
      <c r="J468" s="383">
        <f>IFERROR(I468/SUM(PROD!L467:L473),0)</f>
        <v>0</v>
      </c>
      <c r="K468" s="384">
        <f>IFERROR(J468/SUM(E466:E472,J466:J472,O466:O471),0)</f>
        <v>0</v>
      </c>
      <c r="L468" s="439" t="str">
        <f>$L$6</f>
        <v>Diversos</v>
      </c>
      <c r="M468" s="401">
        <f t="shared" si="98"/>
        <v>1000000</v>
      </c>
      <c r="N468" s="390">
        <f>M468*12/52</f>
        <v>230769.23076923078</v>
      </c>
      <c r="O468" s="383">
        <f>IFERROR(N468/SUM(PROD!L467:L473),0)</f>
        <v>0</v>
      </c>
      <c r="P468" s="384">
        <f>IFERROR(O468/SUM(E466:E472,J466:J472,O466:O471),0)</f>
        <v>0</v>
      </c>
      <c r="Q468" s="491" t="str">
        <f>$Q$6</f>
        <v>AA</v>
      </c>
      <c r="R468" s="392">
        <f t="shared" si="96"/>
        <v>0</v>
      </c>
      <c r="S468" s="870">
        <f>SUM(PROD!AO467:AO473)</f>
        <v>0</v>
      </c>
      <c r="T468" s="492">
        <f>IF(AA466&gt;0,S468/AA466,0)</f>
        <v>0</v>
      </c>
      <c r="U468" s="493" t="str">
        <f>$U$6</f>
        <v>Vencido</v>
      </c>
      <c r="V468" s="392">
        <f t="shared" si="97"/>
        <v>0</v>
      </c>
      <c r="W468" s="870">
        <f>SUM(PROD!AY467:AY473)</f>
        <v>0</v>
      </c>
      <c r="X468" s="492">
        <f>IFERROR(W468/(AA471-AA469),0)</f>
        <v>0</v>
      </c>
      <c r="Y468" s="402" t="s">
        <v>391</v>
      </c>
      <c r="Z468" s="456">
        <v>0</v>
      </c>
      <c r="AA468" s="720"/>
      <c r="AB468" s="495">
        <f>IF(AA471&gt;0,AA468/AA471,0)</f>
        <v>0</v>
      </c>
    </row>
    <row r="469" spans="1:28" ht="15.75" customHeight="1" x14ac:dyDescent="0.3">
      <c r="A469" s="2301"/>
      <c r="B469" s="438" t="str">
        <f>$B$7</f>
        <v>Mortalidad Aves</v>
      </c>
      <c r="C469" s="401">
        <f>IF(A466&lt;=$B$2,C467+$C$2,0)</f>
        <v>0</v>
      </c>
      <c r="D469" s="390">
        <f>C469*SUM(PROD!D467:D473)</f>
        <v>0</v>
      </c>
      <c r="E469" s="383">
        <f>IFERROR(D469/SUM(PROD!L467:L473),0)</f>
        <v>0</v>
      </c>
      <c r="F469" s="384">
        <f>IFERROR(E469/SUM(E466:E472,J466:J472,O466:O471),0)</f>
        <v>0</v>
      </c>
      <c r="G469" s="439" t="str">
        <f>$G$14</f>
        <v>Servicios Públicos</v>
      </c>
      <c r="H469" s="401">
        <f t="shared" si="94"/>
        <v>0</v>
      </c>
      <c r="I469" s="390">
        <f t="shared" si="92"/>
        <v>0</v>
      </c>
      <c r="J469" s="383">
        <f>IFERROR(I469/SUM(PROD!L467:L473),0)</f>
        <v>0</v>
      </c>
      <c r="K469" s="384">
        <f>IFERROR(J469/SUM(E466:E472,J466:J472,O466:O471),0)</f>
        <v>0</v>
      </c>
      <c r="L469" s="441" t="str">
        <f>$L$7</f>
        <v>Administrativos</v>
      </c>
      <c r="M469" s="401">
        <f t="shared" si="98"/>
        <v>0</v>
      </c>
      <c r="N469" s="404">
        <f>M469*0.230769230769231</f>
        <v>0</v>
      </c>
      <c r="O469" s="383">
        <f>IFERROR(N469/SUM(PROD!L467:L473),0)</f>
        <v>0</v>
      </c>
      <c r="P469" s="384">
        <f>IFERROR(O469/SUM(E466:E472,J466:J472,O466:O471),0)</f>
        <v>0</v>
      </c>
      <c r="Q469" s="491" t="str">
        <f>$Q$7</f>
        <v>A</v>
      </c>
      <c r="R469" s="392">
        <f t="shared" si="96"/>
        <v>0</v>
      </c>
      <c r="S469" s="870">
        <f>SUM(PROD!AP467:AP473)</f>
        <v>0</v>
      </c>
      <c r="T469" s="492">
        <f>IF(AA466&gt;0,S469/AA466,0)</f>
        <v>0</v>
      </c>
      <c r="U469" s="405" t="str">
        <f>$U$7</f>
        <v>Roto</v>
      </c>
      <c r="V469" s="406">
        <f t="shared" si="97"/>
        <v>0</v>
      </c>
      <c r="W469" s="872">
        <f>SUM(PROD!AZ467:AZ473)</f>
        <v>0</v>
      </c>
      <c r="X469" s="407">
        <f>IFERROR(W469/(AA471-AA469),0)</f>
        <v>0</v>
      </c>
      <c r="Y469" s="408" t="s">
        <v>359</v>
      </c>
      <c r="Z469" s="442">
        <v>215</v>
      </c>
      <c r="AA469" s="410">
        <f>SUM(PROD!L467:L473)-SUM(W466:W472)-SUM(S466:S472)-AA468</f>
        <v>0</v>
      </c>
      <c r="AB469" s="496">
        <f>IF(AA471&gt;0,AA469/AA471,0)</f>
        <v>0</v>
      </c>
    </row>
    <row r="470" spans="1:28" ht="15.75" customHeight="1" x14ac:dyDescent="0.3">
      <c r="A470" s="2301"/>
      <c r="B470" s="399" t="str">
        <f>$B$8</f>
        <v>Materia Prima (Carb Ca, etc.)</v>
      </c>
      <c r="C470" s="440">
        <f>C463</f>
        <v>0</v>
      </c>
      <c r="D470" s="387">
        <f>C470*12/52</f>
        <v>0</v>
      </c>
      <c r="E470" s="383">
        <f>IFERROR(D470/SUM(PROD!L467:L473),0)</f>
        <v>0</v>
      </c>
      <c r="F470" s="384">
        <f>IFERROR(E470/SUM(E466:E472,J466:J472,O466:O471),0)</f>
        <v>0</v>
      </c>
      <c r="G470" s="441" t="str">
        <f>$G$15</f>
        <v>Gastos Legales</v>
      </c>
      <c r="H470" s="401">
        <f t="shared" si="94"/>
        <v>0</v>
      </c>
      <c r="I470" s="390">
        <f t="shared" si="92"/>
        <v>0</v>
      </c>
      <c r="J470" s="383">
        <f>IFERROR(I470/SUM(PROD!L467:L473),0)</f>
        <v>0</v>
      </c>
      <c r="K470" s="384">
        <f>IFERROR(J470/SUM(E466:E472,J466:J472,O466:O471),0)</f>
        <v>0</v>
      </c>
      <c r="L470" s="439" t="str">
        <f>$L$8</f>
        <v>Fletes</v>
      </c>
      <c r="M470" s="401"/>
      <c r="N470" s="404">
        <f>M470*0.230769230769231</f>
        <v>0</v>
      </c>
      <c r="O470" s="383">
        <f>IFERROR(N470/SUM(PROD!L467:L473),0)</f>
        <v>0</v>
      </c>
      <c r="P470" s="384">
        <f>IFERROR(O470/SUM(E466:E472,J466:J472,O466:O471),0)</f>
        <v>0</v>
      </c>
      <c r="Q470" s="491" t="str">
        <f>$Q$8</f>
        <v>B</v>
      </c>
      <c r="R470" s="392">
        <f t="shared" si="96"/>
        <v>0</v>
      </c>
      <c r="S470" s="870">
        <f>SUM(PROD!AQ467:AQ473)</f>
        <v>0</v>
      </c>
      <c r="T470" s="492">
        <f>IF(AA466&gt;0,S470/AA466,0)</f>
        <v>0</v>
      </c>
      <c r="U470" s="395" t="str">
        <f>$U$8</f>
        <v>Rev. Gr.</v>
      </c>
      <c r="V470" s="412">
        <f t="shared" si="97"/>
        <v>0</v>
      </c>
      <c r="W470" s="873">
        <f>SUM(PROD!AT467:AT473)</f>
        <v>0</v>
      </c>
      <c r="X470" s="413">
        <f>IFERROR(W470/(AA471-AA469),0)</f>
        <v>0</v>
      </c>
      <c r="Y470" s="414" t="s">
        <v>262</v>
      </c>
      <c r="Z470" s="415">
        <f>IFERROR(SUMPRODUCT(V470:V472,W470:W472)/SUM(W470:W472),0)</f>
        <v>0</v>
      </c>
      <c r="AA470" s="416">
        <f>SUM(W470:W472)</f>
        <v>0</v>
      </c>
      <c r="AB470" s="497">
        <f>IF(AA471&gt;0,AA470/AA471,0)</f>
        <v>0</v>
      </c>
    </row>
    <row r="471" spans="1:28" ht="15.75" customHeight="1" x14ac:dyDescent="0.3">
      <c r="A471" s="2301"/>
      <c r="B471" s="438" t="str">
        <f>$B$9</f>
        <v>Vacunas y medicamentos</v>
      </c>
      <c r="C471" s="443">
        <f>C464</f>
        <v>0</v>
      </c>
      <c r="D471" s="387">
        <f>C471*12/52</f>
        <v>0</v>
      </c>
      <c r="E471" s="383">
        <f>IFERROR(D471/SUM(PROD!L467:L473),0)</f>
        <v>0</v>
      </c>
      <c r="F471" s="384">
        <f>IFERROR(E471/SUM(E466:E472,J466:J472,O466:O471),0)</f>
        <v>0</v>
      </c>
      <c r="G471" s="441" t="str">
        <f>$G$16</f>
        <v>Mantenimiento y Reparaciones</v>
      </c>
      <c r="H471" s="401">
        <f t="shared" si="94"/>
        <v>0</v>
      </c>
      <c r="I471" s="390">
        <f t="shared" si="92"/>
        <v>0</v>
      </c>
      <c r="J471" s="383">
        <f>IFERROR(I471/SUM(PROD!L467:L473),0)</f>
        <v>0</v>
      </c>
      <c r="K471" s="384">
        <f>IFERROR(J471/SUM(E466:E472,J466:J472,O466:O471),0)</f>
        <v>0</v>
      </c>
      <c r="L471" s="439">
        <f>$L$9</f>
        <v>0</v>
      </c>
      <c r="M471" s="401">
        <f t="shared" si="98"/>
        <v>0</v>
      </c>
      <c r="N471" s="404">
        <f>M471*0.230769230769231</f>
        <v>0</v>
      </c>
      <c r="O471" s="383">
        <f>IFERROR(N471/SUM(PROD!L467:L473),0)</f>
        <v>0</v>
      </c>
      <c r="P471" s="384">
        <f>IFERROR(O471/SUM(E466:E472,J466:J472,O466:O471),0)</f>
        <v>0</v>
      </c>
      <c r="Q471" s="491" t="str">
        <f>$Q$9</f>
        <v>C</v>
      </c>
      <c r="R471" s="392">
        <f t="shared" si="96"/>
        <v>0</v>
      </c>
      <c r="S471" s="870">
        <f>SUM(PROD!AR467:AR473)</f>
        <v>0</v>
      </c>
      <c r="T471" s="492">
        <f>IF(AA466&gt;0,S471/AA466,0)</f>
        <v>0</v>
      </c>
      <c r="U471" s="493" t="str">
        <f>$U$9</f>
        <v>Rev. Med</v>
      </c>
      <c r="V471" s="392">
        <f t="shared" si="97"/>
        <v>0</v>
      </c>
      <c r="W471" s="870">
        <f>SUM(PROD!AU467:AU473)</f>
        <v>0</v>
      </c>
      <c r="X471" s="498">
        <f>IFERROR(W471/(AA471-AA469),0)</f>
        <v>0</v>
      </c>
      <c r="Y471" s="2303" t="s">
        <v>325</v>
      </c>
      <c r="Z471" s="2305">
        <f>SUMPRODUCT(Z466:Z470,AB466:AB470)</f>
        <v>0</v>
      </c>
      <c r="AA471" s="2307">
        <f>SUM(AA466:AA469)</f>
        <v>0</v>
      </c>
      <c r="AB471" s="2308"/>
    </row>
    <row r="472" spans="1:28" ht="16.5" customHeight="1" thickBot="1" x14ac:dyDescent="0.35">
      <c r="A472" s="2302"/>
      <c r="B472" s="444" t="str">
        <f>$B$10</f>
        <v>Gastos de Personal</v>
      </c>
      <c r="C472" s="445">
        <f>C465</f>
        <v>0</v>
      </c>
      <c r="D472" s="421">
        <f>C472*12/52</f>
        <v>0</v>
      </c>
      <c r="E472" s="446">
        <f>IFERROR(D472/SUM(PROD!L467:L473),0)</f>
        <v>0</v>
      </c>
      <c r="F472" s="447">
        <f>IFERROR(E472/SUM(E466:E472,J466:J472,O466:O471),0)</f>
        <v>0</v>
      </c>
      <c r="G472" s="448" t="str">
        <f>$G$17</f>
        <v>Adecuación Instalaciones</v>
      </c>
      <c r="H472" s="445">
        <f t="shared" si="94"/>
        <v>0</v>
      </c>
      <c r="I472" s="426">
        <f t="shared" si="92"/>
        <v>0</v>
      </c>
      <c r="J472" s="446">
        <f>IFERROR(I472/SUM(PROD!L467:L473),0)</f>
        <v>0</v>
      </c>
      <c r="K472" s="447">
        <f>IFERROR(J472/SUM(E466:E472,J466:J472,O466:O471),0)</f>
        <v>0</v>
      </c>
      <c r="L472" s="2311" t="str">
        <f>$L$10</f>
        <v>TOTAL COSTO PRODUCCIÓN</v>
      </c>
      <c r="M472" s="2312"/>
      <c r="N472" s="427">
        <f>SUM(D466:D472,I466:I472,N466:N471)</f>
        <v>230769.23076923078</v>
      </c>
      <c r="O472" s="449">
        <f>IFERROR(N472/SUM(PROD!L467:L473),0)</f>
        <v>0</v>
      </c>
      <c r="P472" s="447">
        <f>IFERROR(O472/SUM(E466:E472,J466:J472,O466:O471),0)</f>
        <v>0</v>
      </c>
      <c r="Q472" s="429" t="str">
        <f>$Q$10</f>
        <v>D</v>
      </c>
      <c r="R472" s="499">
        <f t="shared" si="96"/>
        <v>0</v>
      </c>
      <c r="S472" s="871">
        <f>SUM(PROD!AS467:AS473)</f>
        <v>0</v>
      </c>
      <c r="T472" s="431">
        <f>IF(AA466&gt;0,S472/AA466,0)</f>
        <v>0</v>
      </c>
      <c r="U472" s="432" t="str">
        <f>$U$10</f>
        <v>Rev. Peq</v>
      </c>
      <c r="V472" s="499">
        <f t="shared" si="97"/>
        <v>0</v>
      </c>
      <c r="W472" s="871">
        <f>SUM(PROD!AV467:AV473)</f>
        <v>0</v>
      </c>
      <c r="X472" s="431">
        <f>IFERROR(W472/(AA471-AA469),0)</f>
        <v>0</v>
      </c>
      <c r="Y472" s="2304"/>
      <c r="Z472" s="2306"/>
      <c r="AA472" s="2309"/>
      <c r="AB472" s="2310"/>
    </row>
    <row r="473" spans="1:28" ht="16.5" customHeight="1" x14ac:dyDescent="0.3">
      <c r="A473" s="2300">
        <f>A466+1</f>
        <v>85</v>
      </c>
      <c r="B473" s="433" t="str">
        <f>$B$4</f>
        <v>ALIMENTO Kilos</v>
      </c>
      <c r="C473" s="435">
        <f>LOOKUP($A473,PROD!$A$5:$A$725,PROD!$AH$10:$AH$730)</f>
        <v>0</v>
      </c>
      <c r="D473" s="368">
        <f>C473*LOOKUP($A473,'Pr-Sem'!$A$6:$A$108,'Pr-Sem'!$N$6:$N$108)/(PROD!$A$1/1000)</f>
        <v>0</v>
      </c>
      <c r="E473" s="369">
        <f>IFERROR(D473/SUM(PROD!L474:L480),0)</f>
        <v>0</v>
      </c>
      <c r="F473" s="370">
        <f>IFERROR(E473/SUM(E473:E479,J473:J479,O473:O478),0)</f>
        <v>0</v>
      </c>
      <c r="G473" s="434" t="str">
        <f>$G$11</f>
        <v>Honorarios</v>
      </c>
      <c r="H473" s="435">
        <f t="shared" si="94"/>
        <v>0</v>
      </c>
      <c r="I473" s="372">
        <f t="shared" si="92"/>
        <v>0</v>
      </c>
      <c r="J473" s="369">
        <f>IFERROR(I473/SUM(PROD!L474:L480),0)</f>
        <v>0</v>
      </c>
      <c r="K473" s="370">
        <f>IFERROR(J473/SUM(E473:E479,J473:J479,O473:O478),0)</f>
        <v>0</v>
      </c>
      <c r="L473" s="436" t="str">
        <f>$L$4</f>
        <v>Gastos de Viaje</v>
      </c>
      <c r="M473" s="435">
        <f t="shared" ref="M473:M478" si="99">M466</f>
        <v>0</v>
      </c>
      <c r="N473" s="372">
        <f>M473*12/52</f>
        <v>0</v>
      </c>
      <c r="O473" s="369">
        <f>IFERROR(N473/SUM(PROD!L474:L480),0)</f>
        <v>0</v>
      </c>
      <c r="P473" s="370">
        <f>IFERROR(O473/SUM(E473:E479,J473:J479,O473:O478),0)</f>
        <v>0</v>
      </c>
      <c r="Q473" s="373" t="str">
        <f>$Q$4</f>
        <v>AAAA</v>
      </c>
      <c r="R473" s="374">
        <f t="shared" si="96"/>
        <v>0</v>
      </c>
      <c r="S473" s="869">
        <f>SUM(PROD!AM474:AM480)</f>
        <v>0</v>
      </c>
      <c r="T473" s="375">
        <f>IF(AA473&gt;0,S473/AA473,0)</f>
        <v>0</v>
      </c>
      <c r="U473" s="376" t="str">
        <f>$U$4</f>
        <v>Prob Color</v>
      </c>
      <c r="V473" s="374">
        <f t="shared" si="97"/>
        <v>0</v>
      </c>
      <c r="W473" s="869">
        <f>SUM(PROD!AW474:AW480)</f>
        <v>0</v>
      </c>
      <c r="X473" s="375">
        <f>IFERROR(W473/(AA478-AA476),0)</f>
        <v>0</v>
      </c>
      <c r="Y473" s="377" t="s">
        <v>323</v>
      </c>
      <c r="Z473" s="378">
        <f>SUMPRODUCT(R473:R479,T473:T479)</f>
        <v>0</v>
      </c>
      <c r="AA473" s="379">
        <f>SUM(S473:S479)</f>
        <v>0</v>
      </c>
      <c r="AB473" s="490">
        <f>IF(AA478&gt;0,AA473/AA478,0)</f>
        <v>0</v>
      </c>
    </row>
    <row r="474" spans="1:28" ht="15.75" customHeight="1" x14ac:dyDescent="0.3">
      <c r="A474" s="2301"/>
      <c r="B474" s="438" t="str">
        <f>$B$5</f>
        <v>Amortización de Aves</v>
      </c>
      <c r="C474" s="381">
        <f>IFERROR((C467-(D474/'Pr-Sem'!$O$2)),0)</f>
        <v>0</v>
      </c>
      <c r="D474" s="382">
        <f>SUM(PROD!L474:L480)*E474</f>
        <v>0</v>
      </c>
      <c r="E474" s="383">
        <f>IF(SUM(PROD!L474:L480)&gt;0,IFERROR(($C$1-$C$2)/LOOKUP($B$2,'Pr-Sem'!$A$6:$A$108,'Pr-Sem'!$L$6:$L$108)*(LOOKUP(INVENTARIOS!$A473,'Pr-Sem'!$A$6:$A$108,'Pr-Sem'!$L$6:$L$108)-LOOKUP(INVENTARIOS!$A473-1,'Pr-Sem'!$A$6:$A$108,'Pr-Sem'!$L$6:$L$108))/(LOOKUP(INVENTARIOS!$A473,'Pr-Sem'!$A$6:$A$108,'Pr-Sem'!$K$6:$K$108)-LOOKUP(INVENTARIOS!$A473-1,'Pr-Sem'!$A$6:$A$108,'Pr-Sem'!$K$6:$K$108)),0),0)</f>
        <v>0</v>
      </c>
      <c r="F474" s="384">
        <f>IFERROR(E474/SUM(E473:E479,J473:J479,O473:O478),0)</f>
        <v>0</v>
      </c>
      <c r="G474" s="439" t="str">
        <f>$G$12</f>
        <v>Impuestos</v>
      </c>
      <c r="H474" s="440">
        <f t="shared" si="94"/>
        <v>0</v>
      </c>
      <c r="I474" s="387">
        <f t="shared" si="92"/>
        <v>0</v>
      </c>
      <c r="J474" s="383">
        <f>IFERROR(I474/SUM(PROD!L474:L480),0)</f>
        <v>0</v>
      </c>
      <c r="K474" s="384">
        <f>IFERROR(J474/SUM(E473:E479,J473:J479,O473:O478),0)</f>
        <v>0</v>
      </c>
      <c r="L474" s="439" t="str">
        <f>$L$5</f>
        <v>Depreciaciones</v>
      </c>
      <c r="M474" s="401">
        <f t="shared" si="99"/>
        <v>0</v>
      </c>
      <c r="N474" s="390">
        <f>M474*12/52</f>
        <v>0</v>
      </c>
      <c r="O474" s="383">
        <f>IFERROR(N474/SUM(PROD!L474:L480),0)</f>
        <v>0</v>
      </c>
      <c r="P474" s="384">
        <f>IFERROR(O474/SUM(E473:E479,J473:J479,O473:O478),0)</f>
        <v>0</v>
      </c>
      <c r="Q474" s="491" t="str">
        <f>$Q$5</f>
        <v>AAA</v>
      </c>
      <c r="R474" s="392">
        <f t="shared" si="96"/>
        <v>0</v>
      </c>
      <c r="S474" s="870">
        <f>SUM(PROD!AN474:AN480)</f>
        <v>0</v>
      </c>
      <c r="T474" s="492">
        <f>IF(AA473&gt;0,S474/AA473,0)</f>
        <v>0</v>
      </c>
      <c r="U474" s="493" t="str">
        <f>$U$5</f>
        <v>Prob Cásc</v>
      </c>
      <c r="V474" s="392">
        <f t="shared" si="97"/>
        <v>0</v>
      </c>
      <c r="W474" s="870">
        <f>SUM(PROD!AX474:AX480)</f>
        <v>0</v>
      </c>
      <c r="X474" s="492">
        <f>IFERROR(W474/(AA478-AA476),0)</f>
        <v>0</v>
      </c>
      <c r="Y474" s="395" t="s">
        <v>324</v>
      </c>
      <c r="Z474" s="396">
        <f>IFERROR(SUMPRODUCT(V473:V476,W473:W476)/SUM(W473:W476),0)</f>
        <v>0</v>
      </c>
      <c r="AA474" s="397">
        <f>SUM(W473:W476)</f>
        <v>0</v>
      </c>
      <c r="AB474" s="494">
        <f>IF(AA478&gt;0,AA474/AA478,0)</f>
        <v>0</v>
      </c>
    </row>
    <row r="475" spans="1:28" ht="15.75" customHeight="1" x14ac:dyDescent="0.3">
      <c r="A475" s="2301"/>
      <c r="B475" s="399" t="str">
        <f>$B$6</f>
        <v>Bandeja</v>
      </c>
      <c r="C475" s="400">
        <f>C468</f>
        <v>0</v>
      </c>
      <c r="D475" s="387">
        <f>C475*SUM(INVENTARIOS!R473:R479)</f>
        <v>0</v>
      </c>
      <c r="E475" s="383">
        <f>IFERROR(D475/SUM(PROD!L474:L480),0)</f>
        <v>0</v>
      </c>
      <c r="F475" s="384">
        <f>IFERROR(E475/SUM(E473:E479,J473:J479,O473:O478),0)</f>
        <v>0</v>
      </c>
      <c r="G475" s="439" t="str">
        <f>$G$13</f>
        <v>Arrendamientos</v>
      </c>
      <c r="H475" s="401">
        <f t="shared" si="94"/>
        <v>0</v>
      </c>
      <c r="I475" s="390">
        <f t="shared" si="92"/>
        <v>0</v>
      </c>
      <c r="J475" s="383">
        <f>IFERROR(I475/SUM(PROD!L474:L480),0)</f>
        <v>0</v>
      </c>
      <c r="K475" s="384">
        <f>IFERROR(J475/SUM(E473:E479,J473:J479,O473:O478),0)</f>
        <v>0</v>
      </c>
      <c r="L475" s="439" t="str">
        <f>$L$6</f>
        <v>Diversos</v>
      </c>
      <c r="M475" s="401">
        <f t="shared" si="99"/>
        <v>1000000</v>
      </c>
      <c r="N475" s="390">
        <f>M475*12/52</f>
        <v>230769.23076923078</v>
      </c>
      <c r="O475" s="383">
        <f>IFERROR(N475/SUM(PROD!L474:L480),0)</f>
        <v>0</v>
      </c>
      <c r="P475" s="384">
        <f>IFERROR(O475/SUM(E473:E479,J473:J479,O473:O478),0)</f>
        <v>0</v>
      </c>
      <c r="Q475" s="491" t="str">
        <f>$Q$6</f>
        <v>AA</v>
      </c>
      <c r="R475" s="392">
        <f t="shared" si="96"/>
        <v>0</v>
      </c>
      <c r="S475" s="870">
        <f>SUM(PROD!AO474:AO480)</f>
        <v>0</v>
      </c>
      <c r="T475" s="492">
        <f>IF(AA473&gt;0,S475/AA473,0)</f>
        <v>0</v>
      </c>
      <c r="U475" s="493" t="str">
        <f>$U$6</f>
        <v>Vencido</v>
      </c>
      <c r="V475" s="392">
        <f t="shared" si="97"/>
        <v>0</v>
      </c>
      <c r="W475" s="870">
        <f>SUM(PROD!AY474:AY480)</f>
        <v>0</v>
      </c>
      <c r="X475" s="492">
        <f>IFERROR(W475/(AA478-AA476),0)</f>
        <v>0</v>
      </c>
      <c r="Y475" s="402" t="s">
        <v>391</v>
      </c>
      <c r="Z475" s="456">
        <v>0</v>
      </c>
      <c r="AA475" s="720"/>
      <c r="AB475" s="495">
        <f>IF(AA478&gt;0,AA475/AA478,0)</f>
        <v>0</v>
      </c>
    </row>
    <row r="476" spans="1:28" ht="15.75" customHeight="1" x14ac:dyDescent="0.3">
      <c r="A476" s="2301"/>
      <c r="B476" s="438" t="str">
        <f>$B$7</f>
        <v>Mortalidad Aves</v>
      </c>
      <c r="C476" s="401">
        <f>IF(A473&lt;=$B$2,C474+$C$2,0)</f>
        <v>0</v>
      </c>
      <c r="D476" s="390">
        <f>C476*SUM(PROD!D474:D480)</f>
        <v>0</v>
      </c>
      <c r="E476" s="383">
        <f>IFERROR(D476/SUM(PROD!L474:L480),0)</f>
        <v>0</v>
      </c>
      <c r="F476" s="384">
        <f>IFERROR(E476/SUM(E473:E479,J473:J479,O473:O478),0)</f>
        <v>0</v>
      </c>
      <c r="G476" s="439" t="str">
        <f>$G$14</f>
        <v>Servicios Públicos</v>
      </c>
      <c r="H476" s="401">
        <f t="shared" si="94"/>
        <v>0</v>
      </c>
      <c r="I476" s="390">
        <f t="shared" si="92"/>
        <v>0</v>
      </c>
      <c r="J476" s="383">
        <f>IFERROR(I476/SUM(PROD!L474:L480),0)</f>
        <v>0</v>
      </c>
      <c r="K476" s="384">
        <f>IFERROR(J476/SUM(E473:E479,J473:J479,O473:O478),0)</f>
        <v>0</v>
      </c>
      <c r="L476" s="441" t="str">
        <f>$L$7</f>
        <v>Administrativos</v>
      </c>
      <c r="M476" s="401">
        <f t="shared" si="99"/>
        <v>0</v>
      </c>
      <c r="N476" s="404">
        <f>M476*0.230769230769231</f>
        <v>0</v>
      </c>
      <c r="O476" s="383">
        <f>IFERROR(N476/SUM(PROD!L474:L480),0)</f>
        <v>0</v>
      </c>
      <c r="P476" s="384">
        <f>IFERROR(O476/SUM(E473:E479,J473:J479,O473:O478),0)</f>
        <v>0</v>
      </c>
      <c r="Q476" s="491" t="str">
        <f>$Q$7</f>
        <v>A</v>
      </c>
      <c r="R476" s="392">
        <f t="shared" si="96"/>
        <v>0</v>
      </c>
      <c r="S476" s="870">
        <f>SUM(PROD!AP474:AP480)</f>
        <v>0</v>
      </c>
      <c r="T476" s="492">
        <f>IF(AA473&gt;0,S476/AA473,0)</f>
        <v>0</v>
      </c>
      <c r="U476" s="405" t="str">
        <f>$U$7</f>
        <v>Roto</v>
      </c>
      <c r="V476" s="406">
        <f t="shared" si="97"/>
        <v>0</v>
      </c>
      <c r="W476" s="872">
        <f>SUM(PROD!AZ474:AZ480)</f>
        <v>0</v>
      </c>
      <c r="X476" s="407">
        <f>IFERROR(W476/(AA478-AA476),0)</f>
        <v>0</v>
      </c>
      <c r="Y476" s="408" t="s">
        <v>359</v>
      </c>
      <c r="Z476" s="442">
        <v>215</v>
      </c>
      <c r="AA476" s="410">
        <f>SUM(PROD!L474:L480)-SUM(W473:W479)-SUM(S473:S479)-AA475</f>
        <v>0</v>
      </c>
      <c r="AB476" s="496">
        <f>IF(AA478&gt;0,AA476/AA478,0)</f>
        <v>0</v>
      </c>
    </row>
    <row r="477" spans="1:28" ht="15.75" customHeight="1" x14ac:dyDescent="0.3">
      <c r="A477" s="2301"/>
      <c r="B477" s="399" t="str">
        <f>$B$8</f>
        <v>Materia Prima (Carb Ca, etc.)</v>
      </c>
      <c r="C477" s="440">
        <f>C470</f>
        <v>0</v>
      </c>
      <c r="D477" s="387">
        <f>C477*12/52</f>
        <v>0</v>
      </c>
      <c r="E477" s="383">
        <f>IFERROR(D477/SUM(PROD!L474:L480),0)</f>
        <v>0</v>
      </c>
      <c r="F477" s="384">
        <f>IFERROR(E477/SUM(E473:E479,J473:J479,O473:O478),0)</f>
        <v>0</v>
      </c>
      <c r="G477" s="441" t="str">
        <f>$G$15</f>
        <v>Gastos Legales</v>
      </c>
      <c r="H477" s="401">
        <f t="shared" si="94"/>
        <v>0</v>
      </c>
      <c r="I477" s="390">
        <f t="shared" si="92"/>
        <v>0</v>
      </c>
      <c r="J477" s="383">
        <f>IFERROR(I477/SUM(PROD!L474:L480),0)</f>
        <v>0</v>
      </c>
      <c r="K477" s="384">
        <f>IFERROR(J477/SUM(E473:E479,J473:J479,O473:O478),0)</f>
        <v>0</v>
      </c>
      <c r="L477" s="439" t="str">
        <f>$L$8</f>
        <v>Fletes</v>
      </c>
      <c r="M477" s="401">
        <f t="shared" si="99"/>
        <v>0</v>
      </c>
      <c r="N477" s="404">
        <f>M477*0.230769230769231</f>
        <v>0</v>
      </c>
      <c r="O477" s="383">
        <f>IFERROR(N477/SUM(PROD!L474:L480),0)</f>
        <v>0</v>
      </c>
      <c r="P477" s="384">
        <f>IFERROR(O477/SUM(E473:E479,J473:J479,O473:O478),0)</f>
        <v>0</v>
      </c>
      <c r="Q477" s="491" t="str">
        <f>$Q$8</f>
        <v>B</v>
      </c>
      <c r="R477" s="392">
        <f t="shared" si="96"/>
        <v>0</v>
      </c>
      <c r="S477" s="870">
        <f>SUM(PROD!AQ474:AQ480)</f>
        <v>0</v>
      </c>
      <c r="T477" s="492">
        <f>IF(AA473&gt;0,S477/AA473,0)</f>
        <v>0</v>
      </c>
      <c r="U477" s="395" t="str">
        <f>$U$8</f>
        <v>Rev. Gr.</v>
      </c>
      <c r="V477" s="412">
        <f t="shared" si="97"/>
        <v>0</v>
      </c>
      <c r="W477" s="873">
        <f>SUM(PROD!AT474:AT480)</f>
        <v>0</v>
      </c>
      <c r="X477" s="413">
        <f>IFERROR(W477/(AA478-AA476),0)</f>
        <v>0</v>
      </c>
      <c r="Y477" s="414" t="s">
        <v>262</v>
      </c>
      <c r="Z477" s="415">
        <f>IFERROR(SUMPRODUCT(V477:V479,W477:W479)/SUM(W477:W479),0)</f>
        <v>0</v>
      </c>
      <c r="AA477" s="416">
        <f>SUM(W477:W479)</f>
        <v>0</v>
      </c>
      <c r="AB477" s="497">
        <f>IF(AA478&gt;0,AA477/AA478,0)</f>
        <v>0</v>
      </c>
    </row>
    <row r="478" spans="1:28" ht="15.75" customHeight="1" x14ac:dyDescent="0.3">
      <c r="A478" s="2301"/>
      <c r="B478" s="438" t="str">
        <f>$B$9</f>
        <v>Vacunas y medicamentos</v>
      </c>
      <c r="C478" s="443">
        <f>C471</f>
        <v>0</v>
      </c>
      <c r="D478" s="387">
        <f>C478*12/52</f>
        <v>0</v>
      </c>
      <c r="E478" s="383">
        <f>IFERROR(D478/SUM(PROD!L474:L480),0)</f>
        <v>0</v>
      </c>
      <c r="F478" s="384">
        <f>IFERROR(E478/SUM(E473:E479,J473:J479,O473:O478),0)</f>
        <v>0</v>
      </c>
      <c r="G478" s="441" t="str">
        <f>$G$16</f>
        <v>Mantenimiento y Reparaciones</v>
      </c>
      <c r="H478" s="401">
        <f t="shared" si="94"/>
        <v>0</v>
      </c>
      <c r="I478" s="390">
        <f t="shared" si="92"/>
        <v>0</v>
      </c>
      <c r="J478" s="383">
        <f>IFERROR(I478/SUM(PROD!L474:L480),0)</f>
        <v>0</v>
      </c>
      <c r="K478" s="384">
        <f>IFERROR(J478/SUM(E473:E479,J473:J479,O473:O478),0)</f>
        <v>0</v>
      </c>
      <c r="L478" s="439">
        <f>$L$9</f>
        <v>0</v>
      </c>
      <c r="M478" s="401">
        <f t="shared" si="99"/>
        <v>0</v>
      </c>
      <c r="N478" s="404">
        <f>M478*0.230769230769231</f>
        <v>0</v>
      </c>
      <c r="O478" s="383">
        <f>IFERROR(N478/SUM(PROD!L474:L480),0)</f>
        <v>0</v>
      </c>
      <c r="P478" s="384">
        <f>IFERROR(O478/SUM(E473:E479,J473:J479,O473:O478),0)</f>
        <v>0</v>
      </c>
      <c r="Q478" s="491" t="str">
        <f>$Q$9</f>
        <v>C</v>
      </c>
      <c r="R478" s="392">
        <f t="shared" si="96"/>
        <v>0</v>
      </c>
      <c r="S478" s="870">
        <f>SUM(PROD!AR474:AR480)</f>
        <v>0</v>
      </c>
      <c r="T478" s="492">
        <f>IF(AA473&gt;0,S478/AA473,0)</f>
        <v>0</v>
      </c>
      <c r="U478" s="493" t="str">
        <f>$U$9</f>
        <v>Rev. Med</v>
      </c>
      <c r="V478" s="392">
        <f t="shared" si="97"/>
        <v>0</v>
      </c>
      <c r="W478" s="870">
        <f>SUM(PROD!AU474:AU480)</f>
        <v>0</v>
      </c>
      <c r="X478" s="498">
        <f>IFERROR(W478/(AA478-AA476),0)</f>
        <v>0</v>
      </c>
      <c r="Y478" s="2303" t="s">
        <v>325</v>
      </c>
      <c r="Z478" s="2305">
        <f>SUMPRODUCT(Z473:Z477,AB473:AB477)</f>
        <v>0</v>
      </c>
      <c r="AA478" s="2307">
        <f>SUM(AA473:AA476)</f>
        <v>0</v>
      </c>
      <c r="AB478" s="2308"/>
    </row>
    <row r="479" spans="1:28" ht="16.5" customHeight="1" thickBot="1" x14ac:dyDescent="0.35">
      <c r="A479" s="2302"/>
      <c r="B479" s="444" t="str">
        <f>$B$10</f>
        <v>Gastos de Personal</v>
      </c>
      <c r="C479" s="445">
        <f>C472</f>
        <v>0</v>
      </c>
      <c r="D479" s="421">
        <f>C479*12/52</f>
        <v>0</v>
      </c>
      <c r="E479" s="446">
        <f>IFERROR(D479/SUM(PROD!L474:L480),0)</f>
        <v>0</v>
      </c>
      <c r="F479" s="447">
        <f>IFERROR(E479/SUM(E473:E479,J473:J479,O473:O478),0)</f>
        <v>0</v>
      </c>
      <c r="G479" s="448" t="str">
        <f>$G$17</f>
        <v>Adecuación Instalaciones</v>
      </c>
      <c r="H479" s="445">
        <f t="shared" si="94"/>
        <v>0</v>
      </c>
      <c r="I479" s="426">
        <f t="shared" si="92"/>
        <v>0</v>
      </c>
      <c r="J479" s="446">
        <f>IFERROR(I479/SUM(PROD!L474:L480),0)</f>
        <v>0</v>
      </c>
      <c r="K479" s="447">
        <f>IFERROR(J479/SUM(E473:E479,J473:J479,O473:O478),0)</f>
        <v>0</v>
      </c>
      <c r="L479" s="2311" t="str">
        <f>$L$10</f>
        <v>TOTAL COSTO PRODUCCIÓN</v>
      </c>
      <c r="M479" s="2312"/>
      <c r="N479" s="427">
        <f>SUM(D473:D479,I473:I479,N473:N478)</f>
        <v>230769.23076923078</v>
      </c>
      <c r="O479" s="449">
        <f>IFERROR(N479/SUM(PROD!L474:L480),0)</f>
        <v>0</v>
      </c>
      <c r="P479" s="447">
        <f>IFERROR(O479/SUM(E473:E479,J473:J479,O473:O478),0)</f>
        <v>0</v>
      </c>
      <c r="Q479" s="429" t="str">
        <f>$Q$10</f>
        <v>D</v>
      </c>
      <c r="R479" s="499">
        <f t="shared" si="96"/>
        <v>0</v>
      </c>
      <c r="S479" s="871">
        <f>SUM(PROD!AS474:AS480)</f>
        <v>0</v>
      </c>
      <c r="T479" s="431">
        <f>IF(AA473&gt;0,S479/AA473,0)</f>
        <v>0</v>
      </c>
      <c r="U479" s="432" t="str">
        <f>$U$10</f>
        <v>Rev. Peq</v>
      </c>
      <c r="V479" s="499">
        <f t="shared" si="97"/>
        <v>0</v>
      </c>
      <c r="W479" s="871">
        <f>SUM(PROD!AV474:AV480)</f>
        <v>0</v>
      </c>
      <c r="X479" s="431">
        <f>IFERROR(W479/(AA478-AA476),0)</f>
        <v>0</v>
      </c>
      <c r="Y479" s="2304"/>
      <c r="Z479" s="2306"/>
      <c r="AA479" s="2309"/>
      <c r="AB479" s="2310"/>
    </row>
    <row r="480" spans="1:28" ht="16.5" customHeight="1" x14ac:dyDescent="0.3">
      <c r="A480" s="2300">
        <f>A473+1</f>
        <v>86</v>
      </c>
      <c r="B480" s="433" t="str">
        <f>$B$4</f>
        <v>ALIMENTO Kilos</v>
      </c>
      <c r="C480" s="435">
        <f>LOOKUP($A480,PROD!$A$5:$A$725,PROD!$AH$10:$AH$730)</f>
        <v>0</v>
      </c>
      <c r="D480" s="368">
        <f>C480*LOOKUP($A480,'Pr-Sem'!$A$6:$A$108,'Pr-Sem'!$N$6:$N$108)/(PROD!$A$1/1000)</f>
        <v>0</v>
      </c>
      <c r="E480" s="369">
        <f>IFERROR(D480/SUM(PROD!L481:L487),0)</f>
        <v>0</v>
      </c>
      <c r="F480" s="370">
        <f>IFERROR(E480/SUM(E480:E486,J480:J486,O480:O485),0)</f>
        <v>0</v>
      </c>
      <c r="G480" s="434" t="str">
        <f>$G$11</f>
        <v>Honorarios</v>
      </c>
      <c r="H480" s="435">
        <f t="shared" si="94"/>
        <v>0</v>
      </c>
      <c r="I480" s="372">
        <f t="shared" si="92"/>
        <v>0</v>
      </c>
      <c r="J480" s="369">
        <f>IFERROR(I480/SUM(PROD!L481:L487),0)</f>
        <v>0</v>
      </c>
      <c r="K480" s="370">
        <f>IFERROR(J480/SUM(E480:E486,J480:J486,O480:O485),0)</f>
        <v>0</v>
      </c>
      <c r="L480" s="436" t="str">
        <f>$L$4</f>
        <v>Gastos de Viaje</v>
      </c>
      <c r="M480" s="435">
        <f t="shared" ref="M480:M485" si="100">M473</f>
        <v>0</v>
      </c>
      <c r="N480" s="372">
        <f>M480*12/52</f>
        <v>0</v>
      </c>
      <c r="O480" s="369">
        <f>IFERROR(N480/SUM(PROD!L481:L487),0)</f>
        <v>0</v>
      </c>
      <c r="P480" s="370">
        <f>IFERROR(O480/SUM(E480:E486,J480:J486,O480:O485),0)</f>
        <v>0</v>
      </c>
      <c r="Q480" s="373" t="str">
        <f>$Q$4</f>
        <v>AAAA</v>
      </c>
      <c r="R480" s="374">
        <f t="shared" si="96"/>
        <v>0</v>
      </c>
      <c r="S480" s="869">
        <f>SUM(PROD!AM481:AM487)</f>
        <v>0</v>
      </c>
      <c r="T480" s="375">
        <f>IF(AA480&gt;0,S480/AA480,0)</f>
        <v>0</v>
      </c>
      <c r="U480" s="376" t="str">
        <f>$U$4</f>
        <v>Prob Color</v>
      </c>
      <c r="V480" s="374">
        <f t="shared" si="97"/>
        <v>0</v>
      </c>
      <c r="W480" s="869">
        <f>SUM(PROD!AW481:AW487)</f>
        <v>0</v>
      </c>
      <c r="X480" s="375">
        <f>IFERROR(W480/(AA485-AA483),0)</f>
        <v>0</v>
      </c>
      <c r="Y480" s="377" t="s">
        <v>323</v>
      </c>
      <c r="Z480" s="378">
        <f>SUMPRODUCT(R480:R486,T480:T486)</f>
        <v>0</v>
      </c>
      <c r="AA480" s="379">
        <f>SUM(S480:S486)</f>
        <v>0</v>
      </c>
      <c r="AB480" s="490">
        <f>IF(AA485&gt;0,AA480/AA485,0)</f>
        <v>0</v>
      </c>
    </row>
    <row r="481" spans="1:28" ht="15.75" customHeight="1" x14ac:dyDescent="0.3">
      <c r="A481" s="2301"/>
      <c r="B481" s="438" t="str">
        <f>$B$5</f>
        <v>Amortización de Aves</v>
      </c>
      <c r="C481" s="381">
        <f>IFERROR((C474-(D481/'Pr-Sem'!$O$2)),0)</f>
        <v>0</v>
      </c>
      <c r="D481" s="382">
        <f>SUM(PROD!L481:L487)*E481</f>
        <v>0</v>
      </c>
      <c r="E481" s="383">
        <f>IF(SUM(PROD!L481:L487)&gt;0,IFERROR(($C$1-$C$2)/LOOKUP($B$2,'Pr-Sem'!$A$6:$A$108,'Pr-Sem'!$L$6:$L$108)*(LOOKUP(INVENTARIOS!$A480,'Pr-Sem'!$A$6:$A$108,'Pr-Sem'!$L$6:$L$108)-LOOKUP(INVENTARIOS!$A480-1,'Pr-Sem'!$A$6:$A$108,'Pr-Sem'!$L$6:$L$108))/(LOOKUP(INVENTARIOS!$A480,'Pr-Sem'!$A$6:$A$108,'Pr-Sem'!$K$6:$K$108)-LOOKUP(INVENTARIOS!$A480-1,'Pr-Sem'!$A$6:$A$108,'Pr-Sem'!$K$6:$K$108)),0),0)</f>
        <v>0</v>
      </c>
      <c r="F481" s="384">
        <f>IFERROR(E481/SUM(E480:E486,J480:J486,O480:O485),0)</f>
        <v>0</v>
      </c>
      <c r="G481" s="439" t="str">
        <f>$G$12</f>
        <v>Impuestos</v>
      </c>
      <c r="H481" s="440">
        <f t="shared" si="94"/>
        <v>0</v>
      </c>
      <c r="I481" s="387">
        <f t="shared" si="92"/>
        <v>0</v>
      </c>
      <c r="J481" s="383">
        <f>IFERROR(I481/SUM(PROD!L481:L487),0)</f>
        <v>0</v>
      </c>
      <c r="K481" s="384">
        <f>IFERROR(J481/SUM(E480:E486,J480:J486,O480:O485),0)</f>
        <v>0</v>
      </c>
      <c r="L481" s="439" t="str">
        <f>$L$5</f>
        <v>Depreciaciones</v>
      </c>
      <c r="M481" s="401">
        <f t="shared" si="100"/>
        <v>0</v>
      </c>
      <c r="N481" s="390">
        <f>M481*12/52</f>
        <v>0</v>
      </c>
      <c r="O481" s="383">
        <f>IFERROR(N481/SUM(PROD!L481:L487),0)</f>
        <v>0</v>
      </c>
      <c r="P481" s="384">
        <f>IFERROR(O481/SUM(E480:E486,J480:J486,O480:O485),0)</f>
        <v>0</v>
      </c>
      <c r="Q481" s="491" t="str">
        <f>$Q$5</f>
        <v>AAA</v>
      </c>
      <c r="R481" s="392">
        <f t="shared" si="96"/>
        <v>0</v>
      </c>
      <c r="S481" s="870">
        <f>SUM(PROD!AN481:AN487)</f>
        <v>0</v>
      </c>
      <c r="T481" s="492">
        <f>IF(AA480&gt;0,S481/AA480,0)</f>
        <v>0</v>
      </c>
      <c r="U481" s="493" t="str">
        <f>$U$5</f>
        <v>Prob Cásc</v>
      </c>
      <c r="V481" s="392">
        <f t="shared" si="97"/>
        <v>0</v>
      </c>
      <c r="W481" s="870">
        <f>SUM(PROD!AX481:AX487)</f>
        <v>0</v>
      </c>
      <c r="X481" s="492">
        <f>IFERROR(W481/(AA485-AA483),0)</f>
        <v>0</v>
      </c>
      <c r="Y481" s="395" t="s">
        <v>324</v>
      </c>
      <c r="Z481" s="396">
        <f>IFERROR(SUMPRODUCT(V480:V483,W480:W483)/SUM(W480:W483),0)</f>
        <v>0</v>
      </c>
      <c r="AA481" s="397">
        <f>SUM(W480:W483)</f>
        <v>0</v>
      </c>
      <c r="AB481" s="494">
        <f>IF(AA485&gt;0,AA481/AA485,0)</f>
        <v>0</v>
      </c>
    </row>
    <row r="482" spans="1:28" ht="15.75" customHeight="1" x14ac:dyDescent="0.3">
      <c r="A482" s="2301"/>
      <c r="B482" s="399" t="str">
        <f>$B$6</f>
        <v>Bandeja</v>
      </c>
      <c r="C482" s="400">
        <f>C475</f>
        <v>0</v>
      </c>
      <c r="D482" s="387">
        <f>C482*SUM(INVENTARIOS!R480:R486)</f>
        <v>0</v>
      </c>
      <c r="E482" s="383">
        <f>IFERROR(D482/SUM(PROD!L481:L487),0)</f>
        <v>0</v>
      </c>
      <c r="F482" s="384">
        <f>IFERROR(E482/SUM(E480:E486,J480:J486,O480:O485),0)</f>
        <v>0</v>
      </c>
      <c r="G482" s="439" t="str">
        <f>$G$13</f>
        <v>Arrendamientos</v>
      </c>
      <c r="H482" s="401">
        <f t="shared" si="94"/>
        <v>0</v>
      </c>
      <c r="I482" s="390">
        <f t="shared" si="92"/>
        <v>0</v>
      </c>
      <c r="J482" s="383">
        <f>IFERROR(I482/SUM(PROD!L481:L487),0)</f>
        <v>0</v>
      </c>
      <c r="K482" s="384">
        <f>IFERROR(J482/SUM(E480:E486,J480:J486,O480:O485),0)</f>
        <v>0</v>
      </c>
      <c r="L482" s="439" t="str">
        <f>$L$6</f>
        <v>Diversos</v>
      </c>
      <c r="M482" s="401">
        <f t="shared" si="100"/>
        <v>1000000</v>
      </c>
      <c r="N482" s="390">
        <f>M482*12/52</f>
        <v>230769.23076923078</v>
      </c>
      <c r="O482" s="383">
        <f>IFERROR(N482/SUM(PROD!L481:L487),0)</f>
        <v>0</v>
      </c>
      <c r="P482" s="384">
        <f>IFERROR(O482/SUM(E480:E486,J480:J486,O480:O485),0)</f>
        <v>0</v>
      </c>
      <c r="Q482" s="491" t="str">
        <f>$Q$6</f>
        <v>AA</v>
      </c>
      <c r="R482" s="392">
        <f t="shared" si="96"/>
        <v>0</v>
      </c>
      <c r="S482" s="870">
        <f>SUM(PROD!AO481:AO487)</f>
        <v>0</v>
      </c>
      <c r="T482" s="492">
        <f>IF(AA480&gt;0,S482/AA480,0)</f>
        <v>0</v>
      </c>
      <c r="U482" s="493" t="str">
        <f>$U$6</f>
        <v>Vencido</v>
      </c>
      <c r="V482" s="392">
        <f t="shared" si="97"/>
        <v>0</v>
      </c>
      <c r="W482" s="870">
        <f>SUM(PROD!AY481:AY487)</f>
        <v>0</v>
      </c>
      <c r="X482" s="492">
        <f>IFERROR(W482/(AA485-AA483),0)</f>
        <v>0</v>
      </c>
      <c r="Y482" s="402" t="s">
        <v>391</v>
      </c>
      <c r="Z482" s="456">
        <v>0</v>
      </c>
      <c r="AA482" s="720"/>
      <c r="AB482" s="495">
        <f>IF(AA485&gt;0,AA482/AA485,0)</f>
        <v>0</v>
      </c>
    </row>
    <row r="483" spans="1:28" ht="15.75" customHeight="1" x14ac:dyDescent="0.3">
      <c r="A483" s="2301"/>
      <c r="B483" s="438" t="str">
        <f>$B$7</f>
        <v>Mortalidad Aves</v>
      </c>
      <c r="C483" s="401">
        <f>IF(A480&lt;=$B$2,C481+$C$2,0)</f>
        <v>0</v>
      </c>
      <c r="D483" s="390">
        <f>C483*SUM(PROD!D481:D487)</f>
        <v>0</v>
      </c>
      <c r="E483" s="383">
        <f>IFERROR(D483/SUM(PROD!L481:L487),0)</f>
        <v>0</v>
      </c>
      <c r="F483" s="384">
        <f>IFERROR(E483/SUM(E480:E486,J480:J486,O480:O485),0)</f>
        <v>0</v>
      </c>
      <c r="G483" s="439" t="str">
        <f>$G$14</f>
        <v>Servicios Públicos</v>
      </c>
      <c r="H483" s="401">
        <f t="shared" si="94"/>
        <v>0</v>
      </c>
      <c r="I483" s="390">
        <f t="shared" si="92"/>
        <v>0</v>
      </c>
      <c r="J483" s="383">
        <f>IFERROR(I483/SUM(PROD!L481:L487),0)</f>
        <v>0</v>
      </c>
      <c r="K483" s="384">
        <f>IFERROR(J483/SUM(E480:E486,J480:J486,O480:O485),0)</f>
        <v>0</v>
      </c>
      <c r="L483" s="441" t="str">
        <f>$L$7</f>
        <v>Administrativos</v>
      </c>
      <c r="M483" s="401">
        <f t="shared" si="100"/>
        <v>0</v>
      </c>
      <c r="N483" s="404">
        <f>M483*0.230769230769231</f>
        <v>0</v>
      </c>
      <c r="O483" s="383">
        <f>IFERROR(N483/SUM(PROD!L481:L487),0)</f>
        <v>0</v>
      </c>
      <c r="P483" s="384">
        <f>IFERROR(O483/SUM(E480:E486,J480:J486,O480:O485),0)</f>
        <v>0</v>
      </c>
      <c r="Q483" s="491" t="str">
        <f>$Q$7</f>
        <v>A</v>
      </c>
      <c r="R483" s="392">
        <f t="shared" si="96"/>
        <v>0</v>
      </c>
      <c r="S483" s="870">
        <f>SUM(PROD!AP481:AP487)</f>
        <v>0</v>
      </c>
      <c r="T483" s="492">
        <f>IF(AA480&gt;0,S483/AA480,0)</f>
        <v>0</v>
      </c>
      <c r="U483" s="405" t="str">
        <f>$U$7</f>
        <v>Roto</v>
      </c>
      <c r="V483" s="406">
        <f t="shared" si="97"/>
        <v>0</v>
      </c>
      <c r="W483" s="872">
        <f>SUM(PROD!AZ481:AZ487)</f>
        <v>0</v>
      </c>
      <c r="X483" s="407">
        <f>IFERROR(W483/(AA485-AA483),0)</f>
        <v>0</v>
      </c>
      <c r="Y483" s="408" t="s">
        <v>359</v>
      </c>
      <c r="Z483" s="442">
        <v>215</v>
      </c>
      <c r="AA483" s="410">
        <f>SUM(PROD!L481:L487)-SUM(W480:W486)-SUM(S480:S486)-AA482</f>
        <v>0</v>
      </c>
      <c r="AB483" s="496">
        <f>IF(AA485&gt;0,AA483/AA485,0)</f>
        <v>0</v>
      </c>
    </row>
    <row r="484" spans="1:28" ht="15.75" customHeight="1" x14ac:dyDescent="0.3">
      <c r="A484" s="2301"/>
      <c r="B484" s="399" t="str">
        <f>$B$8</f>
        <v>Materia Prima (Carb Ca, etc.)</v>
      </c>
      <c r="C484" s="440">
        <f>C477</f>
        <v>0</v>
      </c>
      <c r="D484" s="387">
        <f>C484*12/52</f>
        <v>0</v>
      </c>
      <c r="E484" s="383">
        <f>IFERROR(D484/SUM(PROD!L481:L487),0)</f>
        <v>0</v>
      </c>
      <c r="F484" s="384">
        <f>IFERROR(E484/SUM(E480:E486,J480:J486,O480:O485),0)</f>
        <v>0</v>
      </c>
      <c r="G484" s="441" t="str">
        <f>$G$15</f>
        <v>Gastos Legales</v>
      </c>
      <c r="H484" s="401">
        <f t="shared" si="94"/>
        <v>0</v>
      </c>
      <c r="I484" s="390">
        <f t="shared" si="92"/>
        <v>0</v>
      </c>
      <c r="J484" s="383">
        <f>IFERROR(I484/SUM(PROD!L481:L487),0)</f>
        <v>0</v>
      </c>
      <c r="K484" s="384">
        <f>IFERROR(J484/SUM(E480:E486,J480:J486,O480:O485),0)</f>
        <v>0</v>
      </c>
      <c r="L484" s="439" t="str">
        <f>$L$8</f>
        <v>Fletes</v>
      </c>
      <c r="M484" s="401">
        <f t="shared" si="100"/>
        <v>0</v>
      </c>
      <c r="N484" s="404">
        <f>M484*0.230769230769231</f>
        <v>0</v>
      </c>
      <c r="O484" s="383">
        <f>IFERROR(N484/SUM(PROD!L481:L487),0)</f>
        <v>0</v>
      </c>
      <c r="P484" s="384">
        <f>IFERROR(O484/SUM(E480:E486,J480:J486,O480:O485),0)</f>
        <v>0</v>
      </c>
      <c r="Q484" s="491" t="str">
        <f>$Q$8</f>
        <v>B</v>
      </c>
      <c r="R484" s="392">
        <f t="shared" si="96"/>
        <v>0</v>
      </c>
      <c r="S484" s="870">
        <f>SUM(PROD!AQ481:AQ487)</f>
        <v>0</v>
      </c>
      <c r="T484" s="492">
        <f>IF(AA480&gt;0,S484/AA480,0)</f>
        <v>0</v>
      </c>
      <c r="U484" s="395" t="str">
        <f>$U$8</f>
        <v>Rev. Gr.</v>
      </c>
      <c r="V484" s="412">
        <f t="shared" si="97"/>
        <v>0</v>
      </c>
      <c r="W484" s="873">
        <f>SUM(PROD!AT481:AT487)</f>
        <v>0</v>
      </c>
      <c r="X484" s="413">
        <f>IFERROR(W484/(AA485-AA483),0)</f>
        <v>0</v>
      </c>
      <c r="Y484" s="414" t="s">
        <v>262</v>
      </c>
      <c r="Z484" s="415">
        <f>IFERROR(SUMPRODUCT(V484:V486,W484:W486)/SUM(W484:W486),0)</f>
        <v>0</v>
      </c>
      <c r="AA484" s="416">
        <f>SUM(W484:W486)</f>
        <v>0</v>
      </c>
      <c r="AB484" s="497">
        <f>IF(AA485&gt;0,AA484/AA485,0)</f>
        <v>0</v>
      </c>
    </row>
    <row r="485" spans="1:28" ht="15.75" customHeight="1" x14ac:dyDescent="0.3">
      <c r="A485" s="2301"/>
      <c r="B485" s="438" t="str">
        <f>$B$9</f>
        <v>Vacunas y medicamentos</v>
      </c>
      <c r="C485" s="443">
        <f>C478</f>
        <v>0</v>
      </c>
      <c r="D485" s="387">
        <f>C485*12/52</f>
        <v>0</v>
      </c>
      <c r="E485" s="383">
        <f>IFERROR(D485/SUM(PROD!L481:L487),0)</f>
        <v>0</v>
      </c>
      <c r="F485" s="384">
        <f>IFERROR(E485/SUM(E480:E486,J480:J486,O480:O485),0)</f>
        <v>0</v>
      </c>
      <c r="G485" s="441" t="str">
        <f>$G$16</f>
        <v>Mantenimiento y Reparaciones</v>
      </c>
      <c r="H485" s="401">
        <f t="shared" si="94"/>
        <v>0</v>
      </c>
      <c r="I485" s="390">
        <f t="shared" si="92"/>
        <v>0</v>
      </c>
      <c r="J485" s="383">
        <f>IFERROR(I485/SUM(PROD!L481:L487),0)</f>
        <v>0</v>
      </c>
      <c r="K485" s="384">
        <f>IFERROR(J485/SUM(E480:E486,J480:J486,O480:O485),0)</f>
        <v>0</v>
      </c>
      <c r="L485" s="439">
        <f>$L$9</f>
        <v>0</v>
      </c>
      <c r="M485" s="401">
        <f t="shared" si="100"/>
        <v>0</v>
      </c>
      <c r="N485" s="404">
        <f>M485*0.230769230769231</f>
        <v>0</v>
      </c>
      <c r="O485" s="383">
        <f>IFERROR(N485/SUM(PROD!L481:L487),0)</f>
        <v>0</v>
      </c>
      <c r="P485" s="384">
        <f>IFERROR(O485/SUM(E480:E486,J480:J486,O480:O485),0)</f>
        <v>0</v>
      </c>
      <c r="Q485" s="491" t="str">
        <f>$Q$9</f>
        <v>C</v>
      </c>
      <c r="R485" s="392">
        <f t="shared" si="96"/>
        <v>0</v>
      </c>
      <c r="S485" s="870">
        <f>SUM(PROD!AR481:AR487)</f>
        <v>0</v>
      </c>
      <c r="T485" s="492">
        <f>IF(AA480&gt;0,S485/AA480,0)</f>
        <v>0</v>
      </c>
      <c r="U485" s="493" t="str">
        <f>$U$9</f>
        <v>Rev. Med</v>
      </c>
      <c r="V485" s="392">
        <f t="shared" si="97"/>
        <v>0</v>
      </c>
      <c r="W485" s="870">
        <f>SUM(PROD!AU481:AU487)</f>
        <v>0</v>
      </c>
      <c r="X485" s="498">
        <f>IFERROR(W485/(AA485-AA483),0)</f>
        <v>0</v>
      </c>
      <c r="Y485" s="2303" t="s">
        <v>325</v>
      </c>
      <c r="Z485" s="2305">
        <f>SUMPRODUCT(Z480:Z484,AB480:AB484)</f>
        <v>0</v>
      </c>
      <c r="AA485" s="2307">
        <f>SUM(AA480:AA483)</f>
        <v>0</v>
      </c>
      <c r="AB485" s="2308"/>
    </row>
    <row r="486" spans="1:28" ht="16.5" customHeight="1" thickBot="1" x14ac:dyDescent="0.35">
      <c r="A486" s="2302"/>
      <c r="B486" s="444" t="str">
        <f>$B$10</f>
        <v>Gastos de Personal</v>
      </c>
      <c r="C486" s="445">
        <f>C479</f>
        <v>0</v>
      </c>
      <c r="D486" s="421">
        <f>C486*12/52</f>
        <v>0</v>
      </c>
      <c r="E486" s="446">
        <f>IFERROR(D486/SUM(PROD!L481:L487),0)</f>
        <v>0</v>
      </c>
      <c r="F486" s="447">
        <f>IFERROR(E486/SUM(E480:E486,J480:J486,O480:O485),0)</f>
        <v>0</v>
      </c>
      <c r="G486" s="448" t="str">
        <f>$G$17</f>
        <v>Adecuación Instalaciones</v>
      </c>
      <c r="H486" s="445">
        <f t="shared" si="94"/>
        <v>0</v>
      </c>
      <c r="I486" s="426">
        <f t="shared" si="92"/>
        <v>0</v>
      </c>
      <c r="J486" s="446">
        <f>IFERROR(I486/SUM(PROD!L481:L487),0)</f>
        <v>0</v>
      </c>
      <c r="K486" s="447">
        <f>IFERROR(J486/SUM(E480:E486,J480:J486,O480:O485),0)</f>
        <v>0</v>
      </c>
      <c r="L486" s="2311" t="str">
        <f>$L$10</f>
        <v>TOTAL COSTO PRODUCCIÓN</v>
      </c>
      <c r="M486" s="2312"/>
      <c r="N486" s="427">
        <f>SUM(D480:D486,I480:I486,N480:N485)</f>
        <v>230769.23076923078</v>
      </c>
      <c r="O486" s="449">
        <f>IFERROR(N486/SUM(PROD!L481:L487),0)</f>
        <v>0</v>
      </c>
      <c r="P486" s="447">
        <f>IFERROR(O486/SUM(E480:E486,J480:J486,O480:O485),0)</f>
        <v>0</v>
      </c>
      <c r="Q486" s="429" t="str">
        <f>$Q$10</f>
        <v>D</v>
      </c>
      <c r="R486" s="499">
        <f t="shared" si="96"/>
        <v>0</v>
      </c>
      <c r="S486" s="871">
        <f>SUM(PROD!AS481:AS487)</f>
        <v>0</v>
      </c>
      <c r="T486" s="431">
        <f>IF(AA480&gt;0,S486/AA480,0)</f>
        <v>0</v>
      </c>
      <c r="U486" s="432" t="str">
        <f>$U$10</f>
        <v>Rev. Peq</v>
      </c>
      <c r="V486" s="499">
        <f t="shared" si="97"/>
        <v>0</v>
      </c>
      <c r="W486" s="871">
        <f>SUM(PROD!AV481:AV487)</f>
        <v>0</v>
      </c>
      <c r="X486" s="431">
        <f>IFERROR(W486/(AA485-AA483),0)</f>
        <v>0</v>
      </c>
      <c r="Y486" s="2304"/>
      <c r="Z486" s="2306"/>
      <c r="AA486" s="2309"/>
      <c r="AB486" s="2310"/>
    </row>
    <row r="487" spans="1:28" ht="16.5" customHeight="1" x14ac:dyDescent="0.3">
      <c r="A487" s="2300">
        <f>A480+1</f>
        <v>87</v>
      </c>
      <c r="B487" s="433" t="str">
        <f>$B$4</f>
        <v>ALIMENTO Kilos</v>
      </c>
      <c r="C487" s="435">
        <f>LOOKUP($A487,PROD!$A$5:$A$725,PROD!$AH$10:$AH$730)</f>
        <v>0</v>
      </c>
      <c r="D487" s="368">
        <f>C487*LOOKUP($A487,'Pr-Sem'!$A$6:$A$108,'Pr-Sem'!$N$6:$N$108)/(PROD!$A$1/1000)</f>
        <v>0</v>
      </c>
      <c r="E487" s="369">
        <f>IFERROR(D487/SUM(PROD!L488:L494),0)</f>
        <v>0</v>
      </c>
      <c r="F487" s="370">
        <f>IFERROR(E487/SUM(E487:E493,J487:J493,O487:O492),0)</f>
        <v>0</v>
      </c>
      <c r="G487" s="434" t="str">
        <f>$G$11</f>
        <v>Honorarios</v>
      </c>
      <c r="H487" s="435">
        <f t="shared" si="94"/>
        <v>0</v>
      </c>
      <c r="I487" s="372">
        <f t="shared" si="92"/>
        <v>0</v>
      </c>
      <c r="J487" s="369">
        <f>IFERROR(I487/SUM(PROD!L488:L494),0)</f>
        <v>0</v>
      </c>
      <c r="K487" s="370">
        <f>IFERROR(J487/SUM(E487:E493,J487:J493,O487:O492),0)</f>
        <v>0</v>
      </c>
      <c r="L487" s="436" t="str">
        <f>$L$4</f>
        <v>Gastos de Viaje</v>
      </c>
      <c r="M487" s="435">
        <f t="shared" ref="M487:M492" si="101">M480</f>
        <v>0</v>
      </c>
      <c r="N487" s="372">
        <f>M487*12/52</f>
        <v>0</v>
      </c>
      <c r="O487" s="369">
        <f>IFERROR(N487/SUM(PROD!L488:L494),0)</f>
        <v>0</v>
      </c>
      <c r="P487" s="370">
        <f>IFERROR(O487/SUM(E487:E493,J487:J493,O487:O492),0)</f>
        <v>0</v>
      </c>
      <c r="Q487" s="373" t="str">
        <f>$Q$4</f>
        <v>AAAA</v>
      </c>
      <c r="R487" s="374">
        <f t="shared" si="96"/>
        <v>0</v>
      </c>
      <c r="S487" s="869">
        <f>SUM(PROD!AM488:AM494)</f>
        <v>0</v>
      </c>
      <c r="T487" s="375">
        <f>IF(AA487&gt;0,S487/AA487,0)</f>
        <v>0</v>
      </c>
      <c r="U487" s="376" t="str">
        <f>$U$4</f>
        <v>Prob Color</v>
      </c>
      <c r="V487" s="374">
        <f t="shared" si="97"/>
        <v>0</v>
      </c>
      <c r="W487" s="869">
        <f>SUM(PROD!AW488:AW494)</f>
        <v>0</v>
      </c>
      <c r="X487" s="375">
        <f>IFERROR(W487/(AA492-AA490),0)</f>
        <v>0</v>
      </c>
      <c r="Y487" s="377" t="s">
        <v>323</v>
      </c>
      <c r="Z487" s="378">
        <f>SUMPRODUCT(R487:R493,T487:T493)</f>
        <v>0</v>
      </c>
      <c r="AA487" s="379">
        <f>SUM(S487:S493)</f>
        <v>0</v>
      </c>
      <c r="AB487" s="490">
        <f>IF(AA492&gt;0,AA487/AA492,0)</f>
        <v>0</v>
      </c>
    </row>
    <row r="488" spans="1:28" ht="15.75" customHeight="1" x14ac:dyDescent="0.3">
      <c r="A488" s="2301"/>
      <c r="B488" s="438" t="str">
        <f>$B$5</f>
        <v>Amortización de Aves</v>
      </c>
      <c r="C488" s="381">
        <f>IFERROR((C481-(D488/'Pr-Sem'!$O$2)),0)</f>
        <v>0</v>
      </c>
      <c r="D488" s="382">
        <f>SUM(PROD!L488:L494)*E488</f>
        <v>0</v>
      </c>
      <c r="E488" s="383">
        <f>IF(SUM(PROD!L488:L494)&gt;0,IFERROR(($C$1-$C$2)/LOOKUP($B$2,'Pr-Sem'!$A$6:$A$108,'Pr-Sem'!$L$6:$L$108)*(LOOKUP(INVENTARIOS!$A487,'Pr-Sem'!$A$6:$A$108,'Pr-Sem'!$L$6:$L$108)-LOOKUP(INVENTARIOS!$A487-1,'Pr-Sem'!$A$6:$A$108,'Pr-Sem'!$L$6:$L$108))/(LOOKUP(INVENTARIOS!$A487,'Pr-Sem'!$A$6:$A$108,'Pr-Sem'!$K$6:$K$108)-LOOKUP(INVENTARIOS!$A487-1,'Pr-Sem'!$A$6:$A$108,'Pr-Sem'!$K$6:$K$108)),0),0)</f>
        <v>0</v>
      </c>
      <c r="F488" s="384">
        <f>IFERROR(E488/SUM(E487:E493,J487:J493,O487:O492),0)</f>
        <v>0</v>
      </c>
      <c r="G488" s="439" t="str">
        <f>$G$12</f>
        <v>Impuestos</v>
      </c>
      <c r="H488" s="440">
        <f t="shared" si="94"/>
        <v>0</v>
      </c>
      <c r="I488" s="387">
        <f t="shared" si="92"/>
        <v>0</v>
      </c>
      <c r="J488" s="383">
        <f>IFERROR(I488/SUM(PROD!L488:L494),0)</f>
        <v>0</v>
      </c>
      <c r="K488" s="384">
        <f>IFERROR(J488/SUM(E487:E493,J487:J493,O487:O492),0)</f>
        <v>0</v>
      </c>
      <c r="L488" s="439" t="str">
        <f>$L$5</f>
        <v>Depreciaciones</v>
      </c>
      <c r="M488" s="401">
        <f t="shared" si="101"/>
        <v>0</v>
      </c>
      <c r="N488" s="390">
        <f>M488*12/52</f>
        <v>0</v>
      </c>
      <c r="O488" s="383">
        <f>IFERROR(N488/SUM(PROD!L488:L494),0)</f>
        <v>0</v>
      </c>
      <c r="P488" s="384">
        <f>IFERROR(O488/SUM(E487:E493,J487:J493,O487:O492),0)</f>
        <v>0</v>
      </c>
      <c r="Q488" s="491" t="str">
        <f>$Q$5</f>
        <v>AAA</v>
      </c>
      <c r="R488" s="392">
        <f t="shared" si="96"/>
        <v>0</v>
      </c>
      <c r="S488" s="870">
        <f>SUM(PROD!AN488:AN494)</f>
        <v>0</v>
      </c>
      <c r="T488" s="492">
        <f>IF(AA487&gt;0,S488/AA487,0)</f>
        <v>0</v>
      </c>
      <c r="U488" s="493" t="str">
        <f>$U$5</f>
        <v>Prob Cásc</v>
      </c>
      <c r="V488" s="392">
        <f t="shared" si="97"/>
        <v>0</v>
      </c>
      <c r="W488" s="870">
        <f>SUM(PROD!AX488:AX494)</f>
        <v>0</v>
      </c>
      <c r="X488" s="492">
        <f>IFERROR(W488/(AA492-AA490),0)</f>
        <v>0</v>
      </c>
      <c r="Y488" s="395" t="s">
        <v>324</v>
      </c>
      <c r="Z488" s="396">
        <f>IFERROR(SUMPRODUCT(V487:V490,W487:W490)/SUM(W487:W490),0)</f>
        <v>0</v>
      </c>
      <c r="AA488" s="397">
        <f>SUM(W487:W490)</f>
        <v>0</v>
      </c>
      <c r="AB488" s="494">
        <f>IF(AA492&gt;0,AA488/AA492,0)</f>
        <v>0</v>
      </c>
    </row>
    <row r="489" spans="1:28" ht="15.75" customHeight="1" x14ac:dyDescent="0.3">
      <c r="A489" s="2301"/>
      <c r="B489" s="399" t="str">
        <f>$B$6</f>
        <v>Bandeja</v>
      </c>
      <c r="C489" s="400">
        <f>C482</f>
        <v>0</v>
      </c>
      <c r="D489" s="387">
        <f>C489*SUM(INVENTARIOS!R487:R493)</f>
        <v>0</v>
      </c>
      <c r="E489" s="383">
        <f>IFERROR(D489/SUM(PROD!L488:L494),0)</f>
        <v>0</v>
      </c>
      <c r="F489" s="384">
        <f>IFERROR(E489/SUM(E487:E493,J487:J493,O487:O492),0)</f>
        <v>0</v>
      </c>
      <c r="G489" s="439" t="str">
        <f>$G$13</f>
        <v>Arrendamientos</v>
      </c>
      <c r="H489" s="401">
        <f t="shared" si="94"/>
        <v>0</v>
      </c>
      <c r="I489" s="390">
        <f t="shared" si="92"/>
        <v>0</v>
      </c>
      <c r="J489" s="383">
        <f>IFERROR(I489/SUM(PROD!L488:L494),0)</f>
        <v>0</v>
      </c>
      <c r="K489" s="384">
        <f>IFERROR(J489/SUM(E487:E493,J487:J493,O487:O492),0)</f>
        <v>0</v>
      </c>
      <c r="L489" s="439" t="str">
        <f>$L$6</f>
        <v>Diversos</v>
      </c>
      <c r="M489" s="401">
        <f t="shared" si="101"/>
        <v>1000000</v>
      </c>
      <c r="N489" s="390">
        <f>M489*12/52</f>
        <v>230769.23076923078</v>
      </c>
      <c r="O489" s="383">
        <f>IFERROR(N489/SUM(PROD!L488:L494),0)</f>
        <v>0</v>
      </c>
      <c r="P489" s="384">
        <f>IFERROR(O489/SUM(E487:E493,J487:J493,O487:O492),0)</f>
        <v>0</v>
      </c>
      <c r="Q489" s="491" t="str">
        <f>$Q$6</f>
        <v>AA</v>
      </c>
      <c r="R489" s="392">
        <f t="shared" si="96"/>
        <v>0</v>
      </c>
      <c r="S489" s="870">
        <f>SUM(PROD!AO488:AO494)</f>
        <v>0</v>
      </c>
      <c r="T489" s="492">
        <f>IF(AA487&gt;0,S489/AA487,0)</f>
        <v>0</v>
      </c>
      <c r="U489" s="493" t="str">
        <f>$U$6</f>
        <v>Vencido</v>
      </c>
      <c r="V489" s="392">
        <f t="shared" si="97"/>
        <v>0</v>
      </c>
      <c r="W489" s="870">
        <f>SUM(PROD!AY488:AY494)</f>
        <v>0</v>
      </c>
      <c r="X489" s="492">
        <f>IFERROR(W489/(AA492-AA490),0)</f>
        <v>0</v>
      </c>
      <c r="Y489" s="402" t="s">
        <v>391</v>
      </c>
      <c r="Z489" s="456">
        <v>0</v>
      </c>
      <c r="AA489" s="720"/>
      <c r="AB489" s="495">
        <f>IF(AA492&gt;0,AA489/AA492,0)</f>
        <v>0</v>
      </c>
    </row>
    <row r="490" spans="1:28" ht="15.75" customHeight="1" x14ac:dyDescent="0.3">
      <c r="A490" s="2301"/>
      <c r="B490" s="438" t="str">
        <f>$B$7</f>
        <v>Mortalidad Aves</v>
      </c>
      <c r="C490" s="401">
        <f>IF(A487&lt;=$B$2,C488+$C$2,0)</f>
        <v>0</v>
      </c>
      <c r="D490" s="390">
        <f>C490*SUM(PROD!D488:D494)</f>
        <v>0</v>
      </c>
      <c r="E490" s="383">
        <f>IFERROR(D490/SUM(PROD!L488:L494),0)</f>
        <v>0</v>
      </c>
      <c r="F490" s="384">
        <f>IFERROR(E490/SUM(E487:E493,J487:J493,O487:O492),0)</f>
        <v>0</v>
      </c>
      <c r="G490" s="439" t="str">
        <f>$G$14</f>
        <v>Servicios Públicos</v>
      </c>
      <c r="H490" s="401">
        <f t="shared" si="94"/>
        <v>0</v>
      </c>
      <c r="I490" s="390">
        <f t="shared" si="92"/>
        <v>0</v>
      </c>
      <c r="J490" s="383">
        <f>IFERROR(I490/SUM(PROD!L488:L494),0)</f>
        <v>0</v>
      </c>
      <c r="K490" s="384">
        <f>IFERROR(J490/SUM(E487:E493,J487:J493,O487:O492),0)</f>
        <v>0</v>
      </c>
      <c r="L490" s="441" t="str">
        <f>$L$7</f>
        <v>Administrativos</v>
      </c>
      <c r="M490" s="401">
        <f t="shared" si="101"/>
        <v>0</v>
      </c>
      <c r="N490" s="404">
        <f>M490*0.230769230769231</f>
        <v>0</v>
      </c>
      <c r="O490" s="383">
        <f>IFERROR(N490/SUM(PROD!L488:L494),0)</f>
        <v>0</v>
      </c>
      <c r="P490" s="384">
        <f>IFERROR(O490/SUM(E487:E493,J487:J493,O487:O492),0)</f>
        <v>0</v>
      </c>
      <c r="Q490" s="491" t="str">
        <f>$Q$7</f>
        <v>A</v>
      </c>
      <c r="R490" s="392">
        <f t="shared" si="96"/>
        <v>0</v>
      </c>
      <c r="S490" s="870">
        <f>SUM(PROD!AP488:AP494)</f>
        <v>0</v>
      </c>
      <c r="T490" s="492">
        <f>IF(AA487&gt;0,S490/AA487,0)</f>
        <v>0</v>
      </c>
      <c r="U490" s="405" t="str">
        <f>$U$7</f>
        <v>Roto</v>
      </c>
      <c r="V490" s="406">
        <f t="shared" si="97"/>
        <v>0</v>
      </c>
      <c r="W490" s="872">
        <f>SUM(PROD!AZ488:AZ494)</f>
        <v>0</v>
      </c>
      <c r="X490" s="407">
        <f>IFERROR(W490/(AA492-AA490),0)</f>
        <v>0</v>
      </c>
      <c r="Y490" s="408" t="s">
        <v>359</v>
      </c>
      <c r="Z490" s="442">
        <v>215</v>
      </c>
      <c r="AA490" s="410">
        <f>SUM(PROD!L488:L494)-SUM(W487:W493)-SUM(S487:S493)-AA489</f>
        <v>0</v>
      </c>
      <c r="AB490" s="496">
        <f>IF(AA492&gt;0,AA490/AA492,0)</f>
        <v>0</v>
      </c>
    </row>
    <row r="491" spans="1:28" ht="15.75" customHeight="1" x14ac:dyDescent="0.3">
      <c r="A491" s="2301"/>
      <c r="B491" s="399" t="str">
        <f>$B$8</f>
        <v>Materia Prima (Carb Ca, etc.)</v>
      </c>
      <c r="C491" s="440">
        <f>C484</f>
        <v>0</v>
      </c>
      <c r="D491" s="387">
        <f>C491*12/52</f>
        <v>0</v>
      </c>
      <c r="E491" s="383">
        <f>IFERROR(D491/SUM(PROD!L488:L494),0)</f>
        <v>0</v>
      </c>
      <c r="F491" s="384">
        <f>IFERROR(E491/SUM(E487:E493,J487:J493,O487:O492),0)</f>
        <v>0</v>
      </c>
      <c r="G491" s="441" t="str">
        <f>$G$15</f>
        <v>Gastos Legales</v>
      </c>
      <c r="H491" s="401">
        <f t="shared" si="94"/>
        <v>0</v>
      </c>
      <c r="I491" s="390">
        <f t="shared" si="92"/>
        <v>0</v>
      </c>
      <c r="J491" s="383">
        <f>IFERROR(I491/SUM(PROD!L488:L494),0)</f>
        <v>0</v>
      </c>
      <c r="K491" s="384">
        <f>IFERROR(J491/SUM(E487:E493,J487:J493,O487:O492),0)</f>
        <v>0</v>
      </c>
      <c r="L491" s="439" t="str">
        <f>$L$8</f>
        <v>Fletes</v>
      </c>
      <c r="M491" s="401">
        <f t="shared" si="101"/>
        <v>0</v>
      </c>
      <c r="N491" s="404">
        <f>M491*0.230769230769231</f>
        <v>0</v>
      </c>
      <c r="O491" s="383">
        <f>IFERROR(N491/SUM(PROD!L488:L494),0)</f>
        <v>0</v>
      </c>
      <c r="P491" s="384">
        <f>IFERROR(O491/SUM(E487:E493,J487:J493,O487:O492),0)</f>
        <v>0</v>
      </c>
      <c r="Q491" s="491" t="str">
        <f>$Q$8</f>
        <v>B</v>
      </c>
      <c r="R491" s="392">
        <f t="shared" si="96"/>
        <v>0</v>
      </c>
      <c r="S491" s="870">
        <f>SUM(PROD!AQ488:AQ494)</f>
        <v>0</v>
      </c>
      <c r="T491" s="492">
        <f>IF(AA487&gt;0,S491/AA487,0)</f>
        <v>0</v>
      </c>
      <c r="U491" s="395" t="str">
        <f>$U$8</f>
        <v>Rev. Gr.</v>
      </c>
      <c r="V491" s="412">
        <f t="shared" si="97"/>
        <v>0</v>
      </c>
      <c r="W491" s="873">
        <f>SUM(PROD!AT488:AT494)</f>
        <v>0</v>
      </c>
      <c r="X491" s="413">
        <f>IFERROR(W491/(AA492-AA490),0)</f>
        <v>0</v>
      </c>
      <c r="Y491" s="414" t="s">
        <v>262</v>
      </c>
      <c r="Z491" s="415">
        <f>IFERROR(SUMPRODUCT(V491:V493,W491:W493)/SUM(W491:W493),0)</f>
        <v>0</v>
      </c>
      <c r="AA491" s="416">
        <f>SUM(W491:W493)</f>
        <v>0</v>
      </c>
      <c r="AB491" s="497">
        <f>IF(AA492&gt;0,AA491/AA492,0)</f>
        <v>0</v>
      </c>
    </row>
    <row r="492" spans="1:28" ht="15.75" customHeight="1" x14ac:dyDescent="0.3">
      <c r="A492" s="2301"/>
      <c r="B492" s="438" t="str">
        <f>$B$9</f>
        <v>Vacunas y medicamentos</v>
      </c>
      <c r="C492" s="443">
        <f>C485</f>
        <v>0</v>
      </c>
      <c r="D492" s="387">
        <f>C492*12/52</f>
        <v>0</v>
      </c>
      <c r="E492" s="383">
        <f>IFERROR(D492/SUM(PROD!L488:L494),0)</f>
        <v>0</v>
      </c>
      <c r="F492" s="384">
        <f>IFERROR(E492/SUM(E487:E493,J487:J493,O487:O492),0)</f>
        <v>0</v>
      </c>
      <c r="G492" s="441" t="str">
        <f>$G$16</f>
        <v>Mantenimiento y Reparaciones</v>
      </c>
      <c r="H492" s="401">
        <f t="shared" si="94"/>
        <v>0</v>
      </c>
      <c r="I492" s="390">
        <f t="shared" si="92"/>
        <v>0</v>
      </c>
      <c r="J492" s="383">
        <f>IFERROR(I492/SUM(PROD!L488:L494),0)</f>
        <v>0</v>
      </c>
      <c r="K492" s="384">
        <f>IFERROR(J492/SUM(E487:E493,J487:J493,O487:O492),0)</f>
        <v>0</v>
      </c>
      <c r="L492" s="439">
        <f>$L$9</f>
        <v>0</v>
      </c>
      <c r="M492" s="401">
        <f t="shared" si="101"/>
        <v>0</v>
      </c>
      <c r="N492" s="404">
        <f>M492*0.230769230769231</f>
        <v>0</v>
      </c>
      <c r="O492" s="383">
        <f>IFERROR(N492/SUM(PROD!L488:L494),0)</f>
        <v>0</v>
      </c>
      <c r="P492" s="384">
        <f>IFERROR(O492/SUM(E487:E493,J487:J493,O487:O492),0)</f>
        <v>0</v>
      </c>
      <c r="Q492" s="491" t="str">
        <f>$Q$9</f>
        <v>C</v>
      </c>
      <c r="R492" s="392">
        <f t="shared" si="96"/>
        <v>0</v>
      </c>
      <c r="S492" s="870">
        <f>SUM(PROD!AR488:AR494)</f>
        <v>0</v>
      </c>
      <c r="T492" s="492">
        <f>IF(AA487&gt;0,S492/AA487,0)</f>
        <v>0</v>
      </c>
      <c r="U492" s="493" t="str">
        <f>$U$9</f>
        <v>Rev. Med</v>
      </c>
      <c r="V492" s="392">
        <f t="shared" si="97"/>
        <v>0</v>
      </c>
      <c r="W492" s="870">
        <f>SUM(PROD!AU488:AU494)</f>
        <v>0</v>
      </c>
      <c r="X492" s="498">
        <f>IFERROR(W492/(AA492-AA490),0)</f>
        <v>0</v>
      </c>
      <c r="Y492" s="2303" t="s">
        <v>325</v>
      </c>
      <c r="Z492" s="2305">
        <f>SUMPRODUCT(Z487:Z491,AB487:AB491)</f>
        <v>0</v>
      </c>
      <c r="AA492" s="2307">
        <f>SUM(AA487:AA490)</f>
        <v>0</v>
      </c>
      <c r="AB492" s="2308"/>
    </row>
    <row r="493" spans="1:28" ht="16.5" customHeight="1" thickBot="1" x14ac:dyDescent="0.35">
      <c r="A493" s="2302"/>
      <c r="B493" s="444" t="str">
        <f>$B$10</f>
        <v>Gastos de Personal</v>
      </c>
      <c r="C493" s="445">
        <f>C486</f>
        <v>0</v>
      </c>
      <c r="D493" s="421">
        <f>C493*12/52</f>
        <v>0</v>
      </c>
      <c r="E493" s="446">
        <f>IFERROR(D493/SUM(PROD!L488:L494),0)</f>
        <v>0</v>
      </c>
      <c r="F493" s="447">
        <f>IFERROR(E493/SUM(E487:E493,J487:J493,O487:O492),0)</f>
        <v>0</v>
      </c>
      <c r="G493" s="448" t="str">
        <f>$G$17</f>
        <v>Adecuación Instalaciones</v>
      </c>
      <c r="H493" s="445">
        <f t="shared" si="94"/>
        <v>0</v>
      </c>
      <c r="I493" s="426">
        <f t="shared" si="92"/>
        <v>0</v>
      </c>
      <c r="J493" s="446">
        <f>IFERROR(I493/SUM(PROD!L488:L494),0)</f>
        <v>0</v>
      </c>
      <c r="K493" s="447">
        <f>IFERROR(J493/SUM(E487:E493,J487:J493,O487:O492),0)</f>
        <v>0</v>
      </c>
      <c r="L493" s="2311" t="str">
        <f>$L$10</f>
        <v>TOTAL COSTO PRODUCCIÓN</v>
      </c>
      <c r="M493" s="2312"/>
      <c r="N493" s="427">
        <f>SUM(D487:D493,I487:I493,N487:N492)</f>
        <v>230769.23076923078</v>
      </c>
      <c r="O493" s="449">
        <f>IFERROR(N493/SUM(PROD!L488:L494),0)</f>
        <v>0</v>
      </c>
      <c r="P493" s="447">
        <f>IFERROR(O493/SUM(E487:E493,J487:J493,O487:O492),0)</f>
        <v>0</v>
      </c>
      <c r="Q493" s="429" t="str">
        <f>$Q$10</f>
        <v>D</v>
      </c>
      <c r="R493" s="499">
        <f t="shared" si="96"/>
        <v>0</v>
      </c>
      <c r="S493" s="871">
        <f>SUM(PROD!AS488:AS494)</f>
        <v>0</v>
      </c>
      <c r="T493" s="431">
        <f>IF(AA487&gt;0,S493/AA487,0)</f>
        <v>0</v>
      </c>
      <c r="U493" s="432" t="str">
        <f>$U$10</f>
        <v>Rev. Peq</v>
      </c>
      <c r="V493" s="499">
        <f t="shared" si="97"/>
        <v>0</v>
      </c>
      <c r="W493" s="871">
        <f>SUM(PROD!AV488:AV494)</f>
        <v>0</v>
      </c>
      <c r="X493" s="431">
        <f>IFERROR(W493/(AA492-AA490),0)</f>
        <v>0</v>
      </c>
      <c r="Y493" s="2304"/>
      <c r="Z493" s="2306"/>
      <c r="AA493" s="2309"/>
      <c r="AB493" s="2310"/>
    </row>
    <row r="494" spans="1:28" ht="16.5" customHeight="1" x14ac:dyDescent="0.3">
      <c r="A494" s="2300">
        <f>A487+1</f>
        <v>88</v>
      </c>
      <c r="B494" s="433" t="str">
        <f>$B$4</f>
        <v>ALIMENTO Kilos</v>
      </c>
      <c r="C494" s="435">
        <f>LOOKUP($A494,PROD!$A$5:$A$725,PROD!$AH$10:$AH$730)</f>
        <v>0</v>
      </c>
      <c r="D494" s="368">
        <f>C494*LOOKUP($A494,'Pr-Sem'!$A$6:$A$108,'Pr-Sem'!$N$6:$N$108)/(PROD!$A$1/1000)</f>
        <v>0</v>
      </c>
      <c r="E494" s="369">
        <f>IFERROR(D494/SUM(PROD!L495:L501),0)</f>
        <v>0</v>
      </c>
      <c r="F494" s="370">
        <f>IFERROR(E494/SUM(E494:E500,J494:J500,O494:O499),0)</f>
        <v>0</v>
      </c>
      <c r="G494" s="434" t="str">
        <f>$G$11</f>
        <v>Honorarios</v>
      </c>
      <c r="H494" s="435">
        <f t="shared" si="94"/>
        <v>0</v>
      </c>
      <c r="I494" s="372">
        <f t="shared" si="92"/>
        <v>0</v>
      </c>
      <c r="J494" s="369">
        <f>IFERROR(I494/SUM(PROD!L495:L501),0)</f>
        <v>0</v>
      </c>
      <c r="K494" s="370">
        <f>IFERROR(J494/SUM(E494:E500,J494:J500,O494:O499),0)</f>
        <v>0</v>
      </c>
      <c r="L494" s="436" t="str">
        <f>$L$4</f>
        <v>Gastos de Viaje</v>
      </c>
      <c r="M494" s="435">
        <f t="shared" ref="M494:M499" si="102">M487</f>
        <v>0</v>
      </c>
      <c r="N494" s="372">
        <f>M494*12/52</f>
        <v>0</v>
      </c>
      <c r="O494" s="369">
        <f>IFERROR(N494/SUM(PROD!L495:L501),0)</f>
        <v>0</v>
      </c>
      <c r="P494" s="370">
        <f>IFERROR(O494/SUM(E494:E500,J494:J500,O494:O499),0)</f>
        <v>0</v>
      </c>
      <c r="Q494" s="373" t="str">
        <f>$Q$4</f>
        <v>AAAA</v>
      </c>
      <c r="R494" s="374">
        <f t="shared" si="96"/>
        <v>0</v>
      </c>
      <c r="S494" s="869">
        <f>SUM(PROD!AM495:AM501)</f>
        <v>0</v>
      </c>
      <c r="T494" s="375">
        <f>IF(AA494&gt;0,S494/AA494,0)</f>
        <v>0</v>
      </c>
      <c r="U494" s="376" t="str">
        <f>$U$4</f>
        <v>Prob Color</v>
      </c>
      <c r="V494" s="374">
        <f t="shared" si="97"/>
        <v>0</v>
      </c>
      <c r="W494" s="869">
        <f>SUM(PROD!AW495:AW501)</f>
        <v>0</v>
      </c>
      <c r="X494" s="375">
        <f>IFERROR(W494/(AA499-AA497),0)</f>
        <v>0</v>
      </c>
      <c r="Y494" s="377" t="s">
        <v>323</v>
      </c>
      <c r="Z494" s="378">
        <f>SUMPRODUCT(R494:R500,T494:T500)</f>
        <v>0</v>
      </c>
      <c r="AA494" s="379">
        <f>SUM(S494:S500)</f>
        <v>0</v>
      </c>
      <c r="AB494" s="490">
        <f>IF(AA499&gt;0,AA494/AA499,0)</f>
        <v>0</v>
      </c>
    </row>
    <row r="495" spans="1:28" ht="15.75" customHeight="1" x14ac:dyDescent="0.3">
      <c r="A495" s="2301"/>
      <c r="B495" s="438" t="str">
        <f>$B$5</f>
        <v>Amortización de Aves</v>
      </c>
      <c r="C495" s="381">
        <f>IFERROR((C488-(D495/'Pr-Sem'!$O$2)),0)</f>
        <v>0</v>
      </c>
      <c r="D495" s="382">
        <f>SUM(PROD!L495:L501)*E495</f>
        <v>0</v>
      </c>
      <c r="E495" s="383">
        <f>IF(SUM(PROD!L495:L501)&gt;0,IFERROR(($C$1-$C$2)/LOOKUP($B$2,'Pr-Sem'!$A$6:$A$108,'Pr-Sem'!$L$6:$L$108)*(LOOKUP(INVENTARIOS!$A494,'Pr-Sem'!$A$6:$A$108,'Pr-Sem'!$L$6:$L$108)-LOOKUP(INVENTARIOS!$A494-1,'Pr-Sem'!$A$6:$A$108,'Pr-Sem'!$L$6:$L$108))/(LOOKUP(INVENTARIOS!$A494,'Pr-Sem'!$A$6:$A$108,'Pr-Sem'!$K$6:$K$108)-LOOKUP(INVENTARIOS!$A494-1,'Pr-Sem'!$A$6:$A$108,'Pr-Sem'!$K$6:$K$108)),0),0)</f>
        <v>0</v>
      </c>
      <c r="F495" s="384">
        <f>IFERROR(E495/SUM(E494:E500,J494:J500,O494:O499),0)</f>
        <v>0</v>
      </c>
      <c r="G495" s="439" t="str">
        <f>$G$12</f>
        <v>Impuestos</v>
      </c>
      <c r="H495" s="440">
        <f t="shared" si="94"/>
        <v>0</v>
      </c>
      <c r="I495" s="387">
        <f t="shared" si="92"/>
        <v>0</v>
      </c>
      <c r="J495" s="383">
        <f>IFERROR(I495/SUM(PROD!L495:L501),0)</f>
        <v>0</v>
      </c>
      <c r="K495" s="384">
        <f>IFERROR(J495/SUM(E494:E500,J494:J500,O494:O499),0)</f>
        <v>0</v>
      </c>
      <c r="L495" s="439" t="str">
        <f>$L$5</f>
        <v>Depreciaciones</v>
      </c>
      <c r="M495" s="401">
        <f t="shared" si="102"/>
        <v>0</v>
      </c>
      <c r="N495" s="390">
        <f>M495*12/52</f>
        <v>0</v>
      </c>
      <c r="O495" s="383">
        <f>IFERROR(N495/SUM(PROD!L495:L501),0)</f>
        <v>0</v>
      </c>
      <c r="P495" s="384">
        <f>IFERROR(O495/SUM(E494:E500,J494:J500,O494:O499),0)</f>
        <v>0</v>
      </c>
      <c r="Q495" s="491" t="str">
        <f>$Q$5</f>
        <v>AAA</v>
      </c>
      <c r="R495" s="392">
        <f t="shared" si="96"/>
        <v>0</v>
      </c>
      <c r="S495" s="870">
        <f>SUM(PROD!AN495:AN501)</f>
        <v>0</v>
      </c>
      <c r="T495" s="492">
        <f>IF(AA494&gt;0,S495/AA494,0)</f>
        <v>0</v>
      </c>
      <c r="U495" s="493" t="str">
        <f>$U$5</f>
        <v>Prob Cásc</v>
      </c>
      <c r="V495" s="392">
        <f t="shared" si="97"/>
        <v>0</v>
      </c>
      <c r="W495" s="870">
        <f>SUM(PROD!AX495:AX501)</f>
        <v>0</v>
      </c>
      <c r="X495" s="492">
        <f>IFERROR(W495/(AA499-AA497),0)</f>
        <v>0</v>
      </c>
      <c r="Y495" s="395" t="s">
        <v>324</v>
      </c>
      <c r="Z495" s="396">
        <f>IFERROR(SUMPRODUCT(V494:V497,W494:W497)/SUM(W494:W497),0)</f>
        <v>0</v>
      </c>
      <c r="AA495" s="397">
        <f>SUM(W494:W497)</f>
        <v>0</v>
      </c>
      <c r="AB495" s="494">
        <f>IF(AA499&gt;0,AA495/AA499,0)</f>
        <v>0</v>
      </c>
    </row>
    <row r="496" spans="1:28" ht="15.75" customHeight="1" x14ac:dyDescent="0.3">
      <c r="A496" s="2301"/>
      <c r="B496" s="399" t="str">
        <f>$B$6</f>
        <v>Bandeja</v>
      </c>
      <c r="C496" s="400">
        <f>C489</f>
        <v>0</v>
      </c>
      <c r="D496" s="387">
        <f>C496*SUM(INVENTARIOS!R494:R500)</f>
        <v>0</v>
      </c>
      <c r="E496" s="383">
        <f>IFERROR(D496/SUM(PROD!L495:L501),0)</f>
        <v>0</v>
      </c>
      <c r="F496" s="384">
        <f>IFERROR(E496/SUM(E494:E500,J494:J500,O494:O499),0)</f>
        <v>0</v>
      </c>
      <c r="G496" s="439" t="str">
        <f>$G$13</f>
        <v>Arrendamientos</v>
      </c>
      <c r="H496" s="401">
        <f t="shared" si="94"/>
        <v>0</v>
      </c>
      <c r="I496" s="390">
        <f t="shared" si="92"/>
        <v>0</v>
      </c>
      <c r="J496" s="383">
        <f>IFERROR(I496/SUM(PROD!L495:L501),0)</f>
        <v>0</v>
      </c>
      <c r="K496" s="384">
        <f>IFERROR(J496/SUM(E494:E500,J494:J500,O494:O499),0)</f>
        <v>0</v>
      </c>
      <c r="L496" s="439" t="str">
        <f>$L$6</f>
        <v>Diversos</v>
      </c>
      <c r="M496" s="401">
        <f t="shared" si="102"/>
        <v>1000000</v>
      </c>
      <c r="N496" s="390">
        <f>M496*12/52</f>
        <v>230769.23076923078</v>
      </c>
      <c r="O496" s="383">
        <f>IFERROR(N496/SUM(PROD!L495:L501),0)</f>
        <v>0</v>
      </c>
      <c r="P496" s="384">
        <f>IFERROR(O496/SUM(E494:E500,J494:J500,O494:O499),0)</f>
        <v>0</v>
      </c>
      <c r="Q496" s="491" t="str">
        <f>$Q$6</f>
        <v>AA</v>
      </c>
      <c r="R496" s="392">
        <f t="shared" si="96"/>
        <v>0</v>
      </c>
      <c r="S496" s="870">
        <f>SUM(PROD!AO495:AO501)</f>
        <v>0</v>
      </c>
      <c r="T496" s="492">
        <f>IF(AA494&gt;0,S496/AA494,0)</f>
        <v>0</v>
      </c>
      <c r="U496" s="493" t="str">
        <f>$U$6</f>
        <v>Vencido</v>
      </c>
      <c r="V496" s="392">
        <f t="shared" si="97"/>
        <v>0</v>
      </c>
      <c r="W496" s="870">
        <f>SUM(PROD!AY495:AY501)</f>
        <v>0</v>
      </c>
      <c r="X496" s="492">
        <f>IFERROR(W496/(AA499-AA497),0)</f>
        <v>0</v>
      </c>
      <c r="Y496" s="402" t="s">
        <v>391</v>
      </c>
      <c r="Z496" s="456">
        <v>0</v>
      </c>
      <c r="AA496" s="720"/>
      <c r="AB496" s="495">
        <f>IF(AA499&gt;0,AA496/AA499,0)</f>
        <v>0</v>
      </c>
    </row>
    <row r="497" spans="1:28" ht="15.75" customHeight="1" x14ac:dyDescent="0.3">
      <c r="A497" s="2301"/>
      <c r="B497" s="438" t="str">
        <f>$B$7</f>
        <v>Mortalidad Aves</v>
      </c>
      <c r="C497" s="401">
        <f>IF(A494&lt;=$B$2,C495+$C$2,0)</f>
        <v>0</v>
      </c>
      <c r="D497" s="390">
        <f>C497*SUM(PROD!D495:D501)</f>
        <v>0</v>
      </c>
      <c r="E497" s="383">
        <f>IFERROR(D497/SUM(PROD!L495:L501),0)</f>
        <v>0</v>
      </c>
      <c r="F497" s="384">
        <f>IFERROR(E497/SUM(E494:E500,J494:J500,O494:O499),0)</f>
        <v>0</v>
      </c>
      <c r="G497" s="439" t="str">
        <f>$G$14</f>
        <v>Servicios Públicos</v>
      </c>
      <c r="H497" s="401">
        <f t="shared" si="94"/>
        <v>0</v>
      </c>
      <c r="I497" s="390">
        <f t="shared" si="92"/>
        <v>0</v>
      </c>
      <c r="J497" s="383">
        <f>IFERROR(I497/SUM(PROD!L495:L501),0)</f>
        <v>0</v>
      </c>
      <c r="K497" s="384">
        <f>IFERROR(J497/SUM(E494:E500,J494:J500,O494:O499),0)</f>
        <v>0</v>
      </c>
      <c r="L497" s="441" t="str">
        <f>$L$7</f>
        <v>Administrativos</v>
      </c>
      <c r="M497" s="401">
        <f t="shared" si="102"/>
        <v>0</v>
      </c>
      <c r="N497" s="404">
        <f>M497*0.230769230769231</f>
        <v>0</v>
      </c>
      <c r="O497" s="383">
        <f>IFERROR(N497/SUM(PROD!L495:L501),0)</f>
        <v>0</v>
      </c>
      <c r="P497" s="384">
        <f>IFERROR(O497/SUM(E494:E500,J494:J500,O494:O499),0)</f>
        <v>0</v>
      </c>
      <c r="Q497" s="491" t="str">
        <f>$Q$7</f>
        <v>A</v>
      </c>
      <c r="R497" s="392">
        <f t="shared" si="96"/>
        <v>0</v>
      </c>
      <c r="S497" s="870">
        <f>SUM(PROD!AP495:AP501)</f>
        <v>0</v>
      </c>
      <c r="T497" s="492">
        <f>IF(AA494&gt;0,S497/AA494,0)</f>
        <v>0</v>
      </c>
      <c r="U497" s="405" t="str">
        <f>$U$7</f>
        <v>Roto</v>
      </c>
      <c r="V497" s="406">
        <f t="shared" si="97"/>
        <v>0</v>
      </c>
      <c r="W497" s="872">
        <f>SUM(PROD!AZ495:AZ501)</f>
        <v>0</v>
      </c>
      <c r="X497" s="407">
        <f>IFERROR(W497/(AA499-AA497),0)</f>
        <v>0</v>
      </c>
      <c r="Y497" s="408" t="s">
        <v>359</v>
      </c>
      <c r="Z497" s="442">
        <v>215</v>
      </c>
      <c r="AA497" s="410">
        <f>SUM(PROD!L495:L501)-SUM(W494:W500)-SUM(S494:S500)-AA496</f>
        <v>0</v>
      </c>
      <c r="AB497" s="496">
        <f>IF(AA499&gt;0,AA497/AA499,0)</f>
        <v>0</v>
      </c>
    </row>
    <row r="498" spans="1:28" ht="15.75" customHeight="1" x14ac:dyDescent="0.3">
      <c r="A498" s="2301"/>
      <c r="B498" s="399" t="str">
        <f>$B$8</f>
        <v>Materia Prima (Carb Ca, etc.)</v>
      </c>
      <c r="C498" s="440">
        <f>C491</f>
        <v>0</v>
      </c>
      <c r="D498" s="387">
        <f>C498*12/52</f>
        <v>0</v>
      </c>
      <c r="E498" s="383">
        <f>IFERROR(D498/SUM(PROD!L495:L501),0)</f>
        <v>0</v>
      </c>
      <c r="F498" s="384">
        <f>IFERROR(E498/SUM(E494:E500,J494:J500,O494:O499),0)</f>
        <v>0</v>
      </c>
      <c r="G498" s="441" t="str">
        <f>$G$15</f>
        <v>Gastos Legales</v>
      </c>
      <c r="H498" s="401">
        <f t="shared" si="94"/>
        <v>0</v>
      </c>
      <c r="I498" s="390">
        <f t="shared" si="92"/>
        <v>0</v>
      </c>
      <c r="J498" s="383">
        <f>IFERROR(I498/SUM(PROD!L495:L501),0)</f>
        <v>0</v>
      </c>
      <c r="K498" s="384">
        <f>IFERROR(J498/SUM(E494:E500,J494:J500,O494:O499),0)</f>
        <v>0</v>
      </c>
      <c r="L498" s="439" t="str">
        <f>$L$8</f>
        <v>Fletes</v>
      </c>
      <c r="M498" s="401">
        <f t="shared" si="102"/>
        <v>0</v>
      </c>
      <c r="N498" s="404">
        <f>M498*0.230769230769231</f>
        <v>0</v>
      </c>
      <c r="O498" s="383">
        <f>IFERROR(N498/SUM(PROD!L495:L501),0)</f>
        <v>0</v>
      </c>
      <c r="P498" s="384">
        <f>IFERROR(O498/SUM(E494:E500,J494:J500,O494:O499),0)</f>
        <v>0</v>
      </c>
      <c r="Q498" s="491" t="str">
        <f>$Q$8</f>
        <v>B</v>
      </c>
      <c r="R498" s="392">
        <f t="shared" si="96"/>
        <v>0</v>
      </c>
      <c r="S498" s="870">
        <f>SUM(PROD!AQ495:AQ501)</f>
        <v>0</v>
      </c>
      <c r="T498" s="492">
        <f>IF(AA494&gt;0,S498/AA494,0)</f>
        <v>0</v>
      </c>
      <c r="U498" s="395" t="str">
        <f>$U$8</f>
        <v>Rev. Gr.</v>
      </c>
      <c r="V498" s="412">
        <f t="shared" si="97"/>
        <v>0</v>
      </c>
      <c r="W498" s="873">
        <f>SUM(PROD!AT495:AT501)</f>
        <v>0</v>
      </c>
      <c r="X498" s="413">
        <f>IFERROR(W498/(AA499-AA497),0)</f>
        <v>0</v>
      </c>
      <c r="Y498" s="414" t="s">
        <v>262</v>
      </c>
      <c r="Z498" s="415">
        <f>IFERROR(SUMPRODUCT(V498:V500,W498:W500)/SUM(W498:W500),0)</f>
        <v>0</v>
      </c>
      <c r="AA498" s="416">
        <f>SUM(W498:W500)</f>
        <v>0</v>
      </c>
      <c r="AB498" s="497">
        <f>IF(AA499&gt;0,AA498/AA499,0)</f>
        <v>0</v>
      </c>
    </row>
    <row r="499" spans="1:28" ht="15.75" customHeight="1" x14ac:dyDescent="0.3">
      <c r="A499" s="2301"/>
      <c r="B499" s="438" t="str">
        <f>$B$9</f>
        <v>Vacunas y medicamentos</v>
      </c>
      <c r="C499" s="443">
        <f>C492</f>
        <v>0</v>
      </c>
      <c r="D499" s="387">
        <f>C499*12/52</f>
        <v>0</v>
      </c>
      <c r="E499" s="383">
        <f>IFERROR(D499/SUM(PROD!L495:L501),0)</f>
        <v>0</v>
      </c>
      <c r="F499" s="384">
        <f>IFERROR(E499/SUM(E494:E500,J494:J500,O494:O499),0)</f>
        <v>0</v>
      </c>
      <c r="G499" s="441" t="str">
        <f>$G$16</f>
        <v>Mantenimiento y Reparaciones</v>
      </c>
      <c r="H499" s="401">
        <f t="shared" si="94"/>
        <v>0</v>
      </c>
      <c r="I499" s="390">
        <f t="shared" si="92"/>
        <v>0</v>
      </c>
      <c r="J499" s="383">
        <f>IFERROR(I499/SUM(PROD!L495:L501),0)</f>
        <v>0</v>
      </c>
      <c r="K499" s="384">
        <f>IFERROR(J499/SUM(E494:E500,J494:J500,O494:O499),0)</f>
        <v>0</v>
      </c>
      <c r="L499" s="439">
        <f>$L$9</f>
        <v>0</v>
      </c>
      <c r="M499" s="401">
        <f t="shared" si="102"/>
        <v>0</v>
      </c>
      <c r="N499" s="404">
        <f>M499*0.230769230769231</f>
        <v>0</v>
      </c>
      <c r="O499" s="383">
        <f>IFERROR(N499/SUM(PROD!L495:L501),0)</f>
        <v>0</v>
      </c>
      <c r="P499" s="384">
        <f>IFERROR(O499/SUM(E494:E500,J494:J500,O494:O499),0)</f>
        <v>0</v>
      </c>
      <c r="Q499" s="491" t="str">
        <f>$Q$9</f>
        <v>C</v>
      </c>
      <c r="R499" s="392">
        <f t="shared" si="96"/>
        <v>0</v>
      </c>
      <c r="S499" s="870">
        <f>SUM(PROD!AR495:AR501)</f>
        <v>0</v>
      </c>
      <c r="T499" s="492">
        <f>IF(AA494&gt;0,S499/AA494,0)</f>
        <v>0</v>
      </c>
      <c r="U499" s="493" t="str">
        <f>$U$9</f>
        <v>Rev. Med</v>
      </c>
      <c r="V499" s="392">
        <f t="shared" si="97"/>
        <v>0</v>
      </c>
      <c r="W499" s="870">
        <f>SUM(PROD!AU495:AU501)</f>
        <v>0</v>
      </c>
      <c r="X499" s="498">
        <f>IFERROR(W499/(AA499-AA497),0)</f>
        <v>0</v>
      </c>
      <c r="Y499" s="2303" t="s">
        <v>325</v>
      </c>
      <c r="Z499" s="2305">
        <f>SUMPRODUCT(Z494:Z498,AB494:AB498)</f>
        <v>0</v>
      </c>
      <c r="AA499" s="2307">
        <f>SUM(AA494:AA497)</f>
        <v>0</v>
      </c>
      <c r="AB499" s="2308"/>
    </row>
    <row r="500" spans="1:28" ht="16.5" customHeight="1" thickBot="1" x14ac:dyDescent="0.35">
      <c r="A500" s="2302"/>
      <c r="B500" s="444" t="str">
        <f>$B$10</f>
        <v>Gastos de Personal</v>
      </c>
      <c r="C500" s="445">
        <f>C493</f>
        <v>0</v>
      </c>
      <c r="D500" s="421">
        <f>C500*12/52</f>
        <v>0</v>
      </c>
      <c r="E500" s="446">
        <f>IFERROR(D500/SUM(PROD!L495:L501),0)</f>
        <v>0</v>
      </c>
      <c r="F500" s="447">
        <f>IFERROR(E500/SUM(E494:E500,J494:J500,O494:O499),0)</f>
        <v>0</v>
      </c>
      <c r="G500" s="448" t="str">
        <f>$G$17</f>
        <v>Adecuación Instalaciones</v>
      </c>
      <c r="H500" s="445">
        <f t="shared" si="94"/>
        <v>0</v>
      </c>
      <c r="I500" s="426">
        <f t="shared" si="92"/>
        <v>0</v>
      </c>
      <c r="J500" s="446">
        <f>IFERROR(I500/SUM(PROD!L495:L501),0)</f>
        <v>0</v>
      </c>
      <c r="K500" s="447">
        <f>IFERROR(J500/SUM(E494:E500,J494:J500,O494:O499),0)</f>
        <v>0</v>
      </c>
      <c r="L500" s="2311" t="str">
        <f>$L$10</f>
        <v>TOTAL COSTO PRODUCCIÓN</v>
      </c>
      <c r="M500" s="2312"/>
      <c r="N500" s="427">
        <f>SUM(D494:D500,I494:I500,N494:N499)</f>
        <v>230769.23076923078</v>
      </c>
      <c r="O500" s="449">
        <f>IFERROR(N500/SUM(PROD!L495:L501),0)</f>
        <v>0</v>
      </c>
      <c r="P500" s="447">
        <f>IFERROR(O500/SUM(E494:E500,J494:J500,O494:O499),0)</f>
        <v>0</v>
      </c>
      <c r="Q500" s="429" t="str">
        <f>$Q$10</f>
        <v>D</v>
      </c>
      <c r="R500" s="499">
        <f t="shared" si="96"/>
        <v>0</v>
      </c>
      <c r="S500" s="871">
        <f>SUM(PROD!AS495:AS501)</f>
        <v>0</v>
      </c>
      <c r="T500" s="431">
        <f>IF(AA494&gt;0,S500/AA494,0)</f>
        <v>0</v>
      </c>
      <c r="U500" s="432" t="str">
        <f>$U$10</f>
        <v>Rev. Peq</v>
      </c>
      <c r="V500" s="499">
        <f t="shared" si="97"/>
        <v>0</v>
      </c>
      <c r="W500" s="871">
        <f>SUM(PROD!AV495:AV501)</f>
        <v>0</v>
      </c>
      <c r="X500" s="431">
        <f>IFERROR(W500/(AA499-AA497),0)</f>
        <v>0</v>
      </c>
      <c r="Y500" s="2304"/>
      <c r="Z500" s="2306"/>
      <c r="AA500" s="2309"/>
      <c r="AB500" s="2310"/>
    </row>
    <row r="501" spans="1:28" ht="16.5" customHeight="1" x14ac:dyDescent="0.3">
      <c r="A501" s="2300">
        <f>A494+1</f>
        <v>89</v>
      </c>
      <c r="B501" s="433" t="str">
        <f>$B$4</f>
        <v>ALIMENTO Kilos</v>
      </c>
      <c r="C501" s="435">
        <f>LOOKUP($A501,PROD!$A$5:$A$725,PROD!$AH$10:$AH$730)</f>
        <v>0</v>
      </c>
      <c r="D501" s="368">
        <f>C501*LOOKUP($A501,'Pr-Sem'!$A$6:$A$108,'Pr-Sem'!$N$6:$N$108)/(PROD!$A$1/1000)</f>
        <v>0</v>
      </c>
      <c r="E501" s="369">
        <f>IFERROR(D501/SUM(PROD!L502:L508),0)</f>
        <v>0</v>
      </c>
      <c r="F501" s="370">
        <f>IFERROR(E501/SUM(E501:E507,J501:J507,O501:O506),0)</f>
        <v>0</v>
      </c>
      <c r="G501" s="434" t="str">
        <f>$G$11</f>
        <v>Honorarios</v>
      </c>
      <c r="H501" s="435">
        <f t="shared" si="94"/>
        <v>0</v>
      </c>
      <c r="I501" s="372">
        <f t="shared" si="92"/>
        <v>0</v>
      </c>
      <c r="J501" s="369">
        <f>IFERROR(I501/SUM(PROD!L502:L508),0)</f>
        <v>0</v>
      </c>
      <c r="K501" s="370">
        <f>IFERROR(J501/SUM(E501:E507,J501:J507,O501:O506),0)</f>
        <v>0</v>
      </c>
      <c r="L501" s="436" t="str">
        <f>$L$4</f>
        <v>Gastos de Viaje</v>
      </c>
      <c r="M501" s="435">
        <f t="shared" ref="M501:M506" si="103">M494</f>
        <v>0</v>
      </c>
      <c r="N501" s="372">
        <f>M501*12/52</f>
        <v>0</v>
      </c>
      <c r="O501" s="369">
        <f>IFERROR(N501/SUM(PROD!L502:L508),0)</f>
        <v>0</v>
      </c>
      <c r="P501" s="370">
        <f>IFERROR(O501/SUM(E501:E507,J501:J507,O501:O506),0)</f>
        <v>0</v>
      </c>
      <c r="Q501" s="373" t="str">
        <f>$Q$4</f>
        <v>AAAA</v>
      </c>
      <c r="R501" s="374">
        <f t="shared" si="96"/>
        <v>0</v>
      </c>
      <c r="S501" s="869">
        <f>SUM(PROD!AM502:AM508)</f>
        <v>0</v>
      </c>
      <c r="T501" s="375">
        <f>IF(AA501&gt;0,S501/AA501,0)</f>
        <v>0</v>
      </c>
      <c r="U501" s="376" t="str">
        <f>$U$4</f>
        <v>Prob Color</v>
      </c>
      <c r="V501" s="374">
        <f t="shared" si="97"/>
        <v>0</v>
      </c>
      <c r="W501" s="869">
        <f>SUM(PROD!AW502:AW508)</f>
        <v>0</v>
      </c>
      <c r="X501" s="375">
        <f>IFERROR(W501/(AA506-AA504),0)</f>
        <v>0</v>
      </c>
      <c r="Y501" s="377" t="s">
        <v>323</v>
      </c>
      <c r="Z501" s="378">
        <f>SUMPRODUCT(R501:R507,T501:T507)</f>
        <v>0</v>
      </c>
      <c r="AA501" s="379">
        <f>SUM(S501:S507)</f>
        <v>0</v>
      </c>
      <c r="AB501" s="490">
        <f>IF(AA506&gt;0,AA501/AA506,0)</f>
        <v>0</v>
      </c>
    </row>
    <row r="502" spans="1:28" ht="15.75" customHeight="1" x14ac:dyDescent="0.3">
      <c r="A502" s="2301"/>
      <c r="B502" s="438" t="str">
        <f>$B$5</f>
        <v>Amortización de Aves</v>
      </c>
      <c r="C502" s="381">
        <f>IFERROR((C495-(D502/'Pr-Sem'!$O$2)),0)</f>
        <v>0</v>
      </c>
      <c r="D502" s="382">
        <f>SUM(PROD!L502:L508)*E502</f>
        <v>0</v>
      </c>
      <c r="E502" s="383">
        <f>IF(SUM(PROD!L502:L508)&gt;0,IFERROR(($C$1-$C$2)/LOOKUP($B$2,'Pr-Sem'!$A$6:$A$108,'Pr-Sem'!$L$6:$L$108)*(LOOKUP(INVENTARIOS!$A501,'Pr-Sem'!$A$6:$A$108,'Pr-Sem'!$L$6:$L$108)-LOOKUP(INVENTARIOS!$A501-1,'Pr-Sem'!$A$6:$A$108,'Pr-Sem'!$L$6:$L$108))/(LOOKUP(INVENTARIOS!$A501,'Pr-Sem'!$A$6:$A$108,'Pr-Sem'!$K$6:$K$108)-LOOKUP(INVENTARIOS!$A501-1,'Pr-Sem'!$A$6:$A$108,'Pr-Sem'!$K$6:$K$108)),0),0)</f>
        <v>0</v>
      </c>
      <c r="F502" s="384">
        <f>IFERROR(E502/SUM(E501:E507,J501:J507,O501:O506),0)</f>
        <v>0</v>
      </c>
      <c r="G502" s="439" t="str">
        <f>$G$12</f>
        <v>Impuestos</v>
      </c>
      <c r="H502" s="440">
        <f t="shared" si="94"/>
        <v>0</v>
      </c>
      <c r="I502" s="387">
        <f t="shared" si="92"/>
        <v>0</v>
      </c>
      <c r="J502" s="383">
        <f>IFERROR(I502/SUM(PROD!L502:L508),0)</f>
        <v>0</v>
      </c>
      <c r="K502" s="384">
        <f>IFERROR(J502/SUM(E501:E507,J501:J507,O501:O506),0)</f>
        <v>0</v>
      </c>
      <c r="L502" s="439" t="str">
        <f>$L$5</f>
        <v>Depreciaciones</v>
      </c>
      <c r="M502" s="401">
        <f t="shared" si="103"/>
        <v>0</v>
      </c>
      <c r="N502" s="390">
        <f>M502*12/52</f>
        <v>0</v>
      </c>
      <c r="O502" s="383">
        <f>IFERROR(N502/SUM(PROD!L502:L508),0)</f>
        <v>0</v>
      </c>
      <c r="P502" s="384">
        <f>IFERROR(O502/SUM(E501:E507,J501:J507,O501:O506),0)</f>
        <v>0</v>
      </c>
      <c r="Q502" s="491" t="str">
        <f>$Q$5</f>
        <v>AAA</v>
      </c>
      <c r="R502" s="392">
        <f t="shared" si="96"/>
        <v>0</v>
      </c>
      <c r="S502" s="870">
        <f>SUM(PROD!AN502:AN508)</f>
        <v>0</v>
      </c>
      <c r="T502" s="492">
        <f>IF(AA501&gt;0,S502/AA501,0)</f>
        <v>0</v>
      </c>
      <c r="U502" s="493" t="str">
        <f>$U$5</f>
        <v>Prob Cásc</v>
      </c>
      <c r="V502" s="392">
        <f t="shared" si="97"/>
        <v>0</v>
      </c>
      <c r="W502" s="870">
        <f>SUM(PROD!AX502:AX508)</f>
        <v>0</v>
      </c>
      <c r="X502" s="492">
        <f>IFERROR(W502/(AA506-AA504),0)</f>
        <v>0</v>
      </c>
      <c r="Y502" s="395" t="s">
        <v>324</v>
      </c>
      <c r="Z502" s="396">
        <f>IFERROR(SUMPRODUCT(V501:V504,W501:W504)/SUM(W501:W504),0)</f>
        <v>0</v>
      </c>
      <c r="AA502" s="397">
        <f>SUM(W501:W504)</f>
        <v>0</v>
      </c>
      <c r="AB502" s="494">
        <f>IF(AA506&gt;0,AA502/AA506,0)</f>
        <v>0</v>
      </c>
    </row>
    <row r="503" spans="1:28" ht="15.75" customHeight="1" x14ac:dyDescent="0.3">
      <c r="A503" s="2301"/>
      <c r="B503" s="399" t="str">
        <f>$B$6</f>
        <v>Bandeja</v>
      </c>
      <c r="C503" s="400">
        <f>C496</f>
        <v>0</v>
      </c>
      <c r="D503" s="387">
        <f>C503*SUM(INVENTARIOS!R501:R507)</f>
        <v>0</v>
      </c>
      <c r="E503" s="383">
        <f>IFERROR(D503/SUM(PROD!L502:L508),0)</f>
        <v>0</v>
      </c>
      <c r="F503" s="384">
        <f>IFERROR(E503/SUM(E501:E507,J501:J507,O501:O506),0)</f>
        <v>0</v>
      </c>
      <c r="G503" s="439" t="str">
        <f>$G$13</f>
        <v>Arrendamientos</v>
      </c>
      <c r="H503" s="401">
        <f t="shared" si="94"/>
        <v>0</v>
      </c>
      <c r="I503" s="390">
        <f t="shared" si="92"/>
        <v>0</v>
      </c>
      <c r="J503" s="383">
        <f>IFERROR(I503/SUM(PROD!L502:L508),0)</f>
        <v>0</v>
      </c>
      <c r="K503" s="384">
        <f>IFERROR(J503/SUM(E501:E507,J501:J507,O501:O506),0)</f>
        <v>0</v>
      </c>
      <c r="L503" s="439" t="str">
        <f>$L$6</f>
        <v>Diversos</v>
      </c>
      <c r="M503" s="401">
        <f t="shared" si="103"/>
        <v>1000000</v>
      </c>
      <c r="N503" s="390">
        <f>M503*12/52</f>
        <v>230769.23076923078</v>
      </c>
      <c r="O503" s="383">
        <f>IFERROR(N503/SUM(PROD!L502:L508),0)</f>
        <v>0</v>
      </c>
      <c r="P503" s="384">
        <f>IFERROR(O503/SUM(E501:E507,J501:J507,O501:O506),0)</f>
        <v>0</v>
      </c>
      <c r="Q503" s="491" t="str">
        <f>$Q$6</f>
        <v>AA</v>
      </c>
      <c r="R503" s="392">
        <f t="shared" si="96"/>
        <v>0</v>
      </c>
      <c r="S503" s="870">
        <f>SUM(PROD!AO502:AO508)</f>
        <v>0</v>
      </c>
      <c r="T503" s="492">
        <f>IF(AA501&gt;0,S503/AA501,0)</f>
        <v>0</v>
      </c>
      <c r="U503" s="493" t="str">
        <f>$U$6</f>
        <v>Vencido</v>
      </c>
      <c r="V503" s="392">
        <f t="shared" si="97"/>
        <v>0</v>
      </c>
      <c r="W503" s="870">
        <f>SUM(PROD!AY502:AY508)</f>
        <v>0</v>
      </c>
      <c r="X503" s="492">
        <f>IFERROR(W503/(AA506-AA504),0)</f>
        <v>0</v>
      </c>
      <c r="Y503" s="402" t="s">
        <v>391</v>
      </c>
      <c r="Z503" s="456">
        <v>0</v>
      </c>
      <c r="AA503" s="720"/>
      <c r="AB503" s="495">
        <f>IF(AA506&gt;0,AA503/AA506,0)</f>
        <v>0</v>
      </c>
    </row>
    <row r="504" spans="1:28" ht="15.75" customHeight="1" x14ac:dyDescent="0.3">
      <c r="A504" s="2301"/>
      <c r="B504" s="438" t="str">
        <f>$B$7</f>
        <v>Mortalidad Aves</v>
      </c>
      <c r="C504" s="401">
        <f>IF(A501&lt;=$B$2,C502+$C$2,0)</f>
        <v>0</v>
      </c>
      <c r="D504" s="390">
        <f>C504*SUM(PROD!D502:D508)</f>
        <v>0</v>
      </c>
      <c r="E504" s="383">
        <f>IFERROR(D504/SUM(PROD!L502:L508),0)</f>
        <v>0</v>
      </c>
      <c r="F504" s="384">
        <f>IFERROR(E504/SUM(E501:E507,J501:J507,O501:O506),0)</f>
        <v>0</v>
      </c>
      <c r="G504" s="439" t="str">
        <f>$G$14</f>
        <v>Servicios Públicos</v>
      </c>
      <c r="H504" s="401">
        <f t="shared" si="94"/>
        <v>0</v>
      </c>
      <c r="I504" s="390">
        <f t="shared" si="92"/>
        <v>0</v>
      </c>
      <c r="J504" s="383">
        <f>IFERROR(I504/SUM(PROD!L502:L508),0)</f>
        <v>0</v>
      </c>
      <c r="K504" s="384">
        <f>IFERROR(J504/SUM(E501:E507,J501:J507,O501:O506),0)</f>
        <v>0</v>
      </c>
      <c r="L504" s="441" t="str">
        <f>$L$7</f>
        <v>Administrativos</v>
      </c>
      <c r="M504" s="401">
        <f t="shared" si="103"/>
        <v>0</v>
      </c>
      <c r="N504" s="404">
        <f>M504*0.230769230769231</f>
        <v>0</v>
      </c>
      <c r="O504" s="383">
        <f>IFERROR(N504/SUM(PROD!L502:L508),0)</f>
        <v>0</v>
      </c>
      <c r="P504" s="384">
        <f>IFERROR(O504/SUM(E501:E507,J501:J507,O501:O506),0)</f>
        <v>0</v>
      </c>
      <c r="Q504" s="491" t="str">
        <f>$Q$7</f>
        <v>A</v>
      </c>
      <c r="R504" s="392">
        <f t="shared" si="96"/>
        <v>0</v>
      </c>
      <c r="S504" s="870">
        <f>SUM(PROD!AP502:AP508)</f>
        <v>0</v>
      </c>
      <c r="T504" s="492">
        <f>IF(AA501&gt;0,S504/AA501,0)</f>
        <v>0</v>
      </c>
      <c r="U504" s="405" t="str">
        <f>$U$7</f>
        <v>Roto</v>
      </c>
      <c r="V504" s="406">
        <f t="shared" si="97"/>
        <v>0</v>
      </c>
      <c r="W504" s="872">
        <f>SUM(PROD!AZ502:AZ508)</f>
        <v>0</v>
      </c>
      <c r="X504" s="407">
        <f>IFERROR(W504/(AA506-AA504),0)</f>
        <v>0</v>
      </c>
      <c r="Y504" s="408" t="s">
        <v>359</v>
      </c>
      <c r="Z504" s="442">
        <v>215</v>
      </c>
      <c r="AA504" s="410">
        <f>SUM(PROD!L502:L508)-SUM(W501:W507)-SUM(S501:S507)-AA503</f>
        <v>0</v>
      </c>
      <c r="AB504" s="496">
        <f>IF(AA506&gt;0,AA504/AA506,0)</f>
        <v>0</v>
      </c>
    </row>
    <row r="505" spans="1:28" ht="15.75" customHeight="1" x14ac:dyDescent="0.3">
      <c r="A505" s="2301"/>
      <c r="B505" s="399" t="str">
        <f>$B$8</f>
        <v>Materia Prima (Carb Ca, etc.)</v>
      </c>
      <c r="C505" s="440">
        <f>C498</f>
        <v>0</v>
      </c>
      <c r="D505" s="387">
        <f>C505*12/52</f>
        <v>0</v>
      </c>
      <c r="E505" s="383">
        <f>IFERROR(D505/SUM(PROD!L502:L508),0)</f>
        <v>0</v>
      </c>
      <c r="F505" s="384">
        <f>IFERROR(E505/SUM(E501:E507,J501:J507,O501:O506),0)</f>
        <v>0</v>
      </c>
      <c r="G505" s="441" t="str">
        <f>$G$15</f>
        <v>Gastos Legales</v>
      </c>
      <c r="H505" s="401">
        <f t="shared" si="94"/>
        <v>0</v>
      </c>
      <c r="I505" s="390">
        <f t="shared" si="92"/>
        <v>0</v>
      </c>
      <c r="J505" s="383">
        <f>IFERROR(I505/SUM(PROD!L502:L508),0)</f>
        <v>0</v>
      </c>
      <c r="K505" s="384">
        <f>IFERROR(J505/SUM(E501:E507,J501:J507,O501:O506),0)</f>
        <v>0</v>
      </c>
      <c r="L505" s="439" t="str">
        <f>$L$8</f>
        <v>Fletes</v>
      </c>
      <c r="M505" s="401">
        <f t="shared" si="103"/>
        <v>0</v>
      </c>
      <c r="N505" s="404">
        <f>M505*0.230769230769231</f>
        <v>0</v>
      </c>
      <c r="O505" s="383">
        <f>IFERROR(N505/SUM(PROD!L502:L508),0)</f>
        <v>0</v>
      </c>
      <c r="P505" s="384">
        <f>IFERROR(O505/SUM(E501:E507,J501:J507,O501:O506),0)</f>
        <v>0</v>
      </c>
      <c r="Q505" s="491" t="str">
        <f>$Q$8</f>
        <v>B</v>
      </c>
      <c r="R505" s="392">
        <f t="shared" si="96"/>
        <v>0</v>
      </c>
      <c r="S505" s="870">
        <f>SUM(PROD!AQ502:AQ508)</f>
        <v>0</v>
      </c>
      <c r="T505" s="492">
        <f>IF(AA501&gt;0,S505/AA501,0)</f>
        <v>0</v>
      </c>
      <c r="U505" s="395" t="str">
        <f>$U$8</f>
        <v>Rev. Gr.</v>
      </c>
      <c r="V505" s="412">
        <f t="shared" si="97"/>
        <v>0</v>
      </c>
      <c r="W505" s="873">
        <f>SUM(PROD!AT502:AT508)</f>
        <v>0</v>
      </c>
      <c r="X505" s="413">
        <f>IFERROR(W505/(AA506-AA504),0)</f>
        <v>0</v>
      </c>
      <c r="Y505" s="414" t="s">
        <v>262</v>
      </c>
      <c r="Z505" s="415">
        <f>IFERROR(SUMPRODUCT(V505:V507,W505:W507)/SUM(W505:W507),0)</f>
        <v>0</v>
      </c>
      <c r="AA505" s="416">
        <f>SUM(W505:W507)</f>
        <v>0</v>
      </c>
      <c r="AB505" s="497">
        <f>IF(AA506&gt;0,AA505/AA506,0)</f>
        <v>0</v>
      </c>
    </row>
    <row r="506" spans="1:28" ht="15.75" customHeight="1" x14ac:dyDescent="0.3">
      <c r="A506" s="2301"/>
      <c r="B506" s="438" t="str">
        <f>$B$9</f>
        <v>Vacunas y medicamentos</v>
      </c>
      <c r="C506" s="443">
        <f>C499</f>
        <v>0</v>
      </c>
      <c r="D506" s="387">
        <f>C506*12/52</f>
        <v>0</v>
      </c>
      <c r="E506" s="383">
        <f>IFERROR(D506/SUM(PROD!L502:L508),0)</f>
        <v>0</v>
      </c>
      <c r="F506" s="384">
        <f>IFERROR(E506/SUM(E501:E507,J501:J507,O501:O506),0)</f>
        <v>0</v>
      </c>
      <c r="G506" s="441" t="str">
        <f>$G$16</f>
        <v>Mantenimiento y Reparaciones</v>
      </c>
      <c r="H506" s="401">
        <f t="shared" si="94"/>
        <v>0</v>
      </c>
      <c r="I506" s="390">
        <f t="shared" si="92"/>
        <v>0</v>
      </c>
      <c r="J506" s="383">
        <f>IFERROR(I506/SUM(PROD!L502:L508),0)</f>
        <v>0</v>
      </c>
      <c r="K506" s="384">
        <f>IFERROR(J506/SUM(E501:E507,J501:J507,O501:O506),0)</f>
        <v>0</v>
      </c>
      <c r="L506" s="439">
        <f>$L$9</f>
        <v>0</v>
      </c>
      <c r="M506" s="401">
        <f t="shared" si="103"/>
        <v>0</v>
      </c>
      <c r="N506" s="404">
        <f>M506*0.230769230769231</f>
        <v>0</v>
      </c>
      <c r="O506" s="383">
        <f>IFERROR(N506/SUM(PROD!L502:L508),0)</f>
        <v>0</v>
      </c>
      <c r="P506" s="384">
        <f>IFERROR(O506/SUM(E501:E507,J501:J507,O501:O506),0)</f>
        <v>0</v>
      </c>
      <c r="Q506" s="491" t="str">
        <f>$Q$9</f>
        <v>C</v>
      </c>
      <c r="R506" s="392">
        <f t="shared" si="96"/>
        <v>0</v>
      </c>
      <c r="S506" s="870">
        <f>SUM(PROD!AR502:AR508)</f>
        <v>0</v>
      </c>
      <c r="T506" s="492">
        <f>IF(AA501&gt;0,S506/AA501,0)</f>
        <v>0</v>
      </c>
      <c r="U506" s="493" t="str">
        <f>$U$9</f>
        <v>Rev. Med</v>
      </c>
      <c r="V506" s="392">
        <f t="shared" si="97"/>
        <v>0</v>
      </c>
      <c r="W506" s="870">
        <f>SUM(PROD!AU502:AU508)</f>
        <v>0</v>
      </c>
      <c r="X506" s="498">
        <f>IFERROR(W506/(AA506-AA504),0)</f>
        <v>0</v>
      </c>
      <c r="Y506" s="2303" t="s">
        <v>325</v>
      </c>
      <c r="Z506" s="2305">
        <f>SUMPRODUCT(Z501:Z505,AB501:AB505)</f>
        <v>0</v>
      </c>
      <c r="AA506" s="2307">
        <f>SUM(AA501:AA504)</f>
        <v>0</v>
      </c>
      <c r="AB506" s="2308"/>
    </row>
    <row r="507" spans="1:28" ht="16.5" customHeight="1" thickBot="1" x14ac:dyDescent="0.35">
      <c r="A507" s="2302"/>
      <c r="B507" s="444" t="str">
        <f>$B$10</f>
        <v>Gastos de Personal</v>
      </c>
      <c r="C507" s="445">
        <f>C500</f>
        <v>0</v>
      </c>
      <c r="D507" s="421">
        <f>C507*12/52</f>
        <v>0</v>
      </c>
      <c r="E507" s="446">
        <f>IFERROR(D507/SUM(PROD!L502:L508),0)</f>
        <v>0</v>
      </c>
      <c r="F507" s="447">
        <f>IFERROR(E507/SUM(E501:E507,J501:J507,O501:O506),0)</f>
        <v>0</v>
      </c>
      <c r="G507" s="448" t="str">
        <f>$G$17</f>
        <v>Adecuación Instalaciones</v>
      </c>
      <c r="H507" s="445">
        <f t="shared" si="94"/>
        <v>0</v>
      </c>
      <c r="I507" s="426">
        <f t="shared" si="92"/>
        <v>0</v>
      </c>
      <c r="J507" s="446">
        <f>IFERROR(I507/SUM(PROD!L502:L508),0)</f>
        <v>0</v>
      </c>
      <c r="K507" s="447">
        <f>IFERROR(J507/SUM(E501:E507,J501:J507,O501:O506),0)</f>
        <v>0</v>
      </c>
      <c r="L507" s="2311" t="str">
        <f>$L$10</f>
        <v>TOTAL COSTO PRODUCCIÓN</v>
      </c>
      <c r="M507" s="2312"/>
      <c r="N507" s="427">
        <f>SUM(D501:D507,I501:I507,N501:N506)</f>
        <v>230769.23076923078</v>
      </c>
      <c r="O507" s="449">
        <f>IFERROR(N507/SUM(PROD!L502:L508),0)</f>
        <v>0</v>
      </c>
      <c r="P507" s="447">
        <f>IFERROR(O507/SUM(E501:E507,J501:J507,O501:O506),0)</f>
        <v>0</v>
      </c>
      <c r="Q507" s="429" t="str">
        <f>$Q$10</f>
        <v>D</v>
      </c>
      <c r="R507" s="499">
        <f t="shared" si="96"/>
        <v>0</v>
      </c>
      <c r="S507" s="871">
        <f>SUM(PROD!AS502:AS508)</f>
        <v>0</v>
      </c>
      <c r="T507" s="431">
        <f>IF(AA501&gt;0,S507/AA501,0)</f>
        <v>0</v>
      </c>
      <c r="U507" s="432" t="str">
        <f>$U$10</f>
        <v>Rev. Peq</v>
      </c>
      <c r="V507" s="499">
        <f t="shared" si="97"/>
        <v>0</v>
      </c>
      <c r="W507" s="871">
        <f>SUM(PROD!AV502:AV508)</f>
        <v>0</v>
      </c>
      <c r="X507" s="431">
        <f>IFERROR(W507/(AA506-AA504),0)</f>
        <v>0</v>
      </c>
      <c r="Y507" s="2304"/>
      <c r="Z507" s="2306"/>
      <c r="AA507" s="2309"/>
      <c r="AB507" s="2310"/>
    </row>
    <row r="508" spans="1:28" ht="16.5" customHeight="1" x14ac:dyDescent="0.3">
      <c r="A508" s="2300">
        <f>A501+1</f>
        <v>90</v>
      </c>
      <c r="B508" s="433" t="str">
        <f>$B$4</f>
        <v>ALIMENTO Kilos</v>
      </c>
      <c r="C508" s="435">
        <f>LOOKUP($A508,PROD!$A$5:$A$725,PROD!$AH$10:$AH$730)</f>
        <v>0</v>
      </c>
      <c r="D508" s="368">
        <f>C508*LOOKUP($A508,'Pr-Sem'!$A$6:$A$108,'Pr-Sem'!$N$6:$N$108)/(PROD!$A$1/1000)</f>
        <v>0</v>
      </c>
      <c r="E508" s="369">
        <f>IFERROR(D508/SUM(PROD!L509:L515),0)</f>
        <v>0</v>
      </c>
      <c r="F508" s="370">
        <f>IFERROR(E508/SUM(E508:E514,J508:J514,O508:O513),0)</f>
        <v>0</v>
      </c>
      <c r="G508" s="434" t="str">
        <f>$G$11</f>
        <v>Honorarios</v>
      </c>
      <c r="H508" s="435">
        <f t="shared" si="94"/>
        <v>0</v>
      </c>
      <c r="I508" s="372">
        <f t="shared" si="92"/>
        <v>0</v>
      </c>
      <c r="J508" s="369">
        <f>IFERROR(I508/SUM(PROD!L509:L515),0)</f>
        <v>0</v>
      </c>
      <c r="K508" s="370">
        <f>IFERROR(J508/SUM(E508:E514,J508:J514,O508:O513),0)</f>
        <v>0</v>
      </c>
      <c r="L508" s="436" t="str">
        <f>$L$4</f>
        <v>Gastos de Viaje</v>
      </c>
      <c r="M508" s="435">
        <f t="shared" ref="M508:M513" si="104">M501</f>
        <v>0</v>
      </c>
      <c r="N508" s="372">
        <f>M508*12/52</f>
        <v>0</v>
      </c>
      <c r="O508" s="369">
        <f>IFERROR(N508/SUM(PROD!L509:L515),0)</f>
        <v>0</v>
      </c>
      <c r="P508" s="370">
        <f>IFERROR(O508/SUM(E508:E514,J508:J514,O508:O513),0)</f>
        <v>0</v>
      </c>
      <c r="Q508" s="373" t="str">
        <f>$Q$4</f>
        <v>AAAA</v>
      </c>
      <c r="R508" s="374">
        <f t="shared" si="96"/>
        <v>0</v>
      </c>
      <c r="S508" s="869">
        <f>SUM(PROD!AM509:AM515)</f>
        <v>0</v>
      </c>
      <c r="T508" s="375">
        <f>IF(AA508&gt;0,S508/AA508,0)</f>
        <v>0</v>
      </c>
      <c r="U508" s="376" t="str">
        <f>$U$4</f>
        <v>Prob Color</v>
      </c>
      <c r="V508" s="374">
        <f t="shared" si="97"/>
        <v>0</v>
      </c>
      <c r="W508" s="869">
        <f>SUM(PROD!AW509:AW515)</f>
        <v>0</v>
      </c>
      <c r="X508" s="375">
        <f>IFERROR(W508/(AA513-AA511),0)</f>
        <v>0</v>
      </c>
      <c r="Y508" s="377" t="s">
        <v>323</v>
      </c>
      <c r="Z508" s="378">
        <f>SUMPRODUCT(R508:R514,T508:T514)</f>
        <v>0</v>
      </c>
      <c r="AA508" s="379">
        <f>SUM(S508:S514)</f>
        <v>0</v>
      </c>
      <c r="AB508" s="490">
        <f>IF(AA513&gt;0,AA508/AA513,0)</f>
        <v>0</v>
      </c>
    </row>
    <row r="509" spans="1:28" ht="15.75" customHeight="1" x14ac:dyDescent="0.3">
      <c r="A509" s="2301"/>
      <c r="B509" s="438" t="str">
        <f>$B$5</f>
        <v>Amortización de Aves</v>
      </c>
      <c r="C509" s="381">
        <f>IFERROR((C502-(D509/'Pr-Sem'!$O$2)),0)</f>
        <v>0</v>
      </c>
      <c r="D509" s="382">
        <f>SUM(PROD!L509:L515)*E509</f>
        <v>0</v>
      </c>
      <c r="E509" s="383">
        <f>IF(SUM(PROD!L509:L515)&gt;0,IFERROR(($C$1-$C$2)/LOOKUP($B$2,'Pr-Sem'!$A$6:$A$108,'Pr-Sem'!$L$6:$L$108)*(LOOKUP(INVENTARIOS!$A508,'Pr-Sem'!$A$6:$A$108,'Pr-Sem'!$L$6:$L$108)-LOOKUP(INVENTARIOS!$A508-1,'Pr-Sem'!$A$6:$A$108,'Pr-Sem'!$L$6:$L$108))/(LOOKUP(INVENTARIOS!$A508,'Pr-Sem'!$A$6:$A$108,'Pr-Sem'!$K$6:$K$108)-LOOKUP(INVENTARIOS!$A508-1,'Pr-Sem'!$A$6:$A$108,'Pr-Sem'!$K$6:$K$108)),0),0)</f>
        <v>0</v>
      </c>
      <c r="F509" s="384">
        <f>IFERROR(E509/SUM(E508:E514,J508:J514,O508:O513),0)</f>
        <v>0</v>
      </c>
      <c r="G509" s="439" t="str">
        <f>$G$12</f>
        <v>Impuestos</v>
      </c>
      <c r="H509" s="440">
        <f t="shared" si="94"/>
        <v>0</v>
      </c>
      <c r="I509" s="387">
        <f t="shared" si="92"/>
        <v>0</v>
      </c>
      <c r="J509" s="383">
        <f>IFERROR(I509/SUM(PROD!L509:L515),0)</f>
        <v>0</v>
      </c>
      <c r="K509" s="384">
        <f>IFERROR(J509/SUM(E508:E514,J508:J514,O508:O513),0)</f>
        <v>0</v>
      </c>
      <c r="L509" s="439" t="str">
        <f>$L$5</f>
        <v>Depreciaciones</v>
      </c>
      <c r="M509" s="401">
        <f t="shared" si="104"/>
        <v>0</v>
      </c>
      <c r="N509" s="390">
        <f>M509*12/52</f>
        <v>0</v>
      </c>
      <c r="O509" s="383">
        <f>IFERROR(N509/SUM(PROD!L509:L515),0)</f>
        <v>0</v>
      </c>
      <c r="P509" s="384">
        <f>IFERROR(O509/SUM(E508:E514,J508:J514,O508:O513),0)</f>
        <v>0</v>
      </c>
      <c r="Q509" s="491" t="str">
        <f>$Q$5</f>
        <v>AAA</v>
      </c>
      <c r="R509" s="392">
        <f t="shared" si="96"/>
        <v>0</v>
      </c>
      <c r="S509" s="870">
        <f>SUM(PROD!AN509:AN515)</f>
        <v>0</v>
      </c>
      <c r="T509" s="492">
        <f>IF(AA508&gt;0,S509/AA508,0)</f>
        <v>0</v>
      </c>
      <c r="U509" s="493" t="str">
        <f>$U$5</f>
        <v>Prob Cásc</v>
      </c>
      <c r="V509" s="392">
        <f t="shared" si="97"/>
        <v>0</v>
      </c>
      <c r="W509" s="870">
        <f>SUM(PROD!AX509:AX515)</f>
        <v>0</v>
      </c>
      <c r="X509" s="492">
        <f>IFERROR(W509/(AA513-AA511),0)</f>
        <v>0</v>
      </c>
      <c r="Y509" s="395" t="s">
        <v>324</v>
      </c>
      <c r="Z509" s="396">
        <f>IFERROR(SUMPRODUCT(V508:V511,W508:W511)/SUM(W508:W511),0)</f>
        <v>0</v>
      </c>
      <c r="AA509" s="397">
        <f>SUM(W508:W511)</f>
        <v>0</v>
      </c>
      <c r="AB509" s="494">
        <f>IF(AA513&gt;0,AA509/AA513,0)</f>
        <v>0</v>
      </c>
    </row>
    <row r="510" spans="1:28" ht="15.75" customHeight="1" x14ac:dyDescent="0.3">
      <c r="A510" s="2301"/>
      <c r="B510" s="399" t="str">
        <f>$B$6</f>
        <v>Bandeja</v>
      </c>
      <c r="C510" s="400">
        <f>C503</f>
        <v>0</v>
      </c>
      <c r="D510" s="387">
        <f>C510*SUM(INVENTARIOS!R508:R514)</f>
        <v>0</v>
      </c>
      <c r="E510" s="383">
        <f>IFERROR(D510/SUM(PROD!L509:L515),0)</f>
        <v>0</v>
      </c>
      <c r="F510" s="384">
        <f>IFERROR(E510/SUM(E508:E514,J508:J514,O508:O513),0)</f>
        <v>0</v>
      </c>
      <c r="G510" s="439" t="str">
        <f>$G$13</f>
        <v>Arrendamientos</v>
      </c>
      <c r="H510" s="401">
        <f t="shared" si="94"/>
        <v>0</v>
      </c>
      <c r="I510" s="390">
        <f t="shared" si="92"/>
        <v>0</v>
      </c>
      <c r="J510" s="383">
        <f>IFERROR(I510/SUM(PROD!L509:L515),0)</f>
        <v>0</v>
      </c>
      <c r="K510" s="384">
        <f>IFERROR(J510/SUM(E508:E514,J508:J514,O508:O513),0)</f>
        <v>0</v>
      </c>
      <c r="L510" s="439" t="str">
        <f>$L$6</f>
        <v>Diversos</v>
      </c>
      <c r="M510" s="401">
        <f t="shared" si="104"/>
        <v>1000000</v>
      </c>
      <c r="N510" s="390">
        <f>M510*12/52</f>
        <v>230769.23076923078</v>
      </c>
      <c r="O510" s="383">
        <f>IFERROR(N510/SUM(PROD!L509:L515),0)</f>
        <v>0</v>
      </c>
      <c r="P510" s="384">
        <f>IFERROR(O510/SUM(E508:E514,J508:J514,O508:O513),0)</f>
        <v>0</v>
      </c>
      <c r="Q510" s="491" t="str">
        <f>$Q$6</f>
        <v>AA</v>
      </c>
      <c r="R510" s="392">
        <f t="shared" si="96"/>
        <v>0</v>
      </c>
      <c r="S510" s="870">
        <f>SUM(PROD!AO509:AO515)</f>
        <v>0</v>
      </c>
      <c r="T510" s="492">
        <f>IF(AA508&gt;0,S510/AA508,0)</f>
        <v>0</v>
      </c>
      <c r="U510" s="493" t="str">
        <f>$U$6</f>
        <v>Vencido</v>
      </c>
      <c r="V510" s="392">
        <f t="shared" si="97"/>
        <v>0</v>
      </c>
      <c r="W510" s="870">
        <f>SUM(PROD!AY509:AY515)</f>
        <v>0</v>
      </c>
      <c r="X510" s="492">
        <f>IFERROR(W510/(AA513-AA511),0)</f>
        <v>0</v>
      </c>
      <c r="Y510" s="402" t="s">
        <v>391</v>
      </c>
      <c r="Z510" s="456">
        <v>0</v>
      </c>
      <c r="AA510" s="720"/>
      <c r="AB510" s="495">
        <f>IF(AA513&gt;0,AA510/AA513,0)</f>
        <v>0</v>
      </c>
    </row>
    <row r="511" spans="1:28" ht="15.75" customHeight="1" x14ac:dyDescent="0.3">
      <c r="A511" s="2301"/>
      <c r="B511" s="438" t="str">
        <f>$B$7</f>
        <v>Mortalidad Aves</v>
      </c>
      <c r="C511" s="401">
        <f>IF(A508&lt;=$B$2,C509+$C$2,0)</f>
        <v>0</v>
      </c>
      <c r="D511" s="390">
        <f>C511*SUM(PROD!D509:D515)</f>
        <v>0</v>
      </c>
      <c r="E511" s="383">
        <f>IFERROR(D511/SUM(PROD!L509:L515),0)</f>
        <v>0</v>
      </c>
      <c r="F511" s="384">
        <f>IFERROR(E511/SUM(E508:E514,J508:J514,O508:O513),0)</f>
        <v>0</v>
      </c>
      <c r="G511" s="439" t="str">
        <f>$G$14</f>
        <v>Servicios Públicos</v>
      </c>
      <c r="H511" s="401">
        <f t="shared" si="94"/>
        <v>0</v>
      </c>
      <c r="I511" s="390">
        <f t="shared" si="92"/>
        <v>0</v>
      </c>
      <c r="J511" s="383">
        <f>IFERROR(I511/SUM(PROD!L509:L515),0)</f>
        <v>0</v>
      </c>
      <c r="K511" s="384">
        <f>IFERROR(J511/SUM(E508:E514,J508:J514,O508:O513),0)</f>
        <v>0</v>
      </c>
      <c r="L511" s="441" t="str">
        <f>$L$7</f>
        <v>Administrativos</v>
      </c>
      <c r="M511" s="401">
        <f t="shared" si="104"/>
        <v>0</v>
      </c>
      <c r="N511" s="404">
        <f>M511*0.230769230769231</f>
        <v>0</v>
      </c>
      <c r="O511" s="383">
        <f>IFERROR(N511/SUM(PROD!L509:L515),0)</f>
        <v>0</v>
      </c>
      <c r="P511" s="384">
        <f>IFERROR(O511/SUM(E508:E514,J508:J514,O508:O513),0)</f>
        <v>0</v>
      </c>
      <c r="Q511" s="491" t="str">
        <f>$Q$7</f>
        <v>A</v>
      </c>
      <c r="R511" s="392">
        <f t="shared" si="96"/>
        <v>0</v>
      </c>
      <c r="S511" s="870">
        <f>SUM(PROD!AP509:AP515)</f>
        <v>0</v>
      </c>
      <c r="T511" s="492">
        <f>IF(AA508&gt;0,S511/AA508,0)</f>
        <v>0</v>
      </c>
      <c r="U511" s="405" t="str">
        <f>$U$7</f>
        <v>Roto</v>
      </c>
      <c r="V511" s="406">
        <f t="shared" si="97"/>
        <v>0</v>
      </c>
      <c r="W511" s="872">
        <f>SUM(PROD!AZ509:AZ515)</f>
        <v>0</v>
      </c>
      <c r="X511" s="407">
        <f>IFERROR(W511/(AA513-AA511),0)</f>
        <v>0</v>
      </c>
      <c r="Y511" s="408" t="s">
        <v>359</v>
      </c>
      <c r="Z511" s="442">
        <v>215</v>
      </c>
      <c r="AA511" s="410">
        <f>SUM(PROD!L509:L515)-SUM(W508:W514)-SUM(S508:S514)-AA510</f>
        <v>0</v>
      </c>
      <c r="AB511" s="496">
        <f>IF(AA513&gt;0,AA511/AA513,0)</f>
        <v>0</v>
      </c>
    </row>
    <row r="512" spans="1:28" ht="15.75" customHeight="1" x14ac:dyDescent="0.3">
      <c r="A512" s="2301"/>
      <c r="B512" s="399" t="str">
        <f>$B$8</f>
        <v>Materia Prima (Carb Ca, etc.)</v>
      </c>
      <c r="C512" s="440">
        <f>C505</f>
        <v>0</v>
      </c>
      <c r="D512" s="387">
        <f>C512*12/52</f>
        <v>0</v>
      </c>
      <c r="E512" s="383">
        <f>IFERROR(D512/SUM(PROD!L509:L515),0)</f>
        <v>0</v>
      </c>
      <c r="F512" s="384">
        <f>IFERROR(E512/SUM(E508:E514,J508:J514,O508:O513),0)</f>
        <v>0</v>
      </c>
      <c r="G512" s="441" t="str">
        <f>$G$15</f>
        <v>Gastos Legales</v>
      </c>
      <c r="H512" s="401">
        <f t="shared" si="94"/>
        <v>0</v>
      </c>
      <c r="I512" s="390">
        <f t="shared" si="92"/>
        <v>0</v>
      </c>
      <c r="J512" s="383">
        <f>IFERROR(I512/SUM(PROD!L509:L515),0)</f>
        <v>0</v>
      </c>
      <c r="K512" s="384">
        <f>IFERROR(J512/SUM(E508:E514,J508:J514,O508:O513),0)</f>
        <v>0</v>
      </c>
      <c r="L512" s="439" t="str">
        <f>$L$8</f>
        <v>Fletes</v>
      </c>
      <c r="M512" s="401">
        <f t="shared" si="104"/>
        <v>0</v>
      </c>
      <c r="N512" s="404">
        <f>M512*0.230769230769231</f>
        <v>0</v>
      </c>
      <c r="O512" s="383">
        <f>IFERROR(N512/SUM(PROD!L509:L515),0)</f>
        <v>0</v>
      </c>
      <c r="P512" s="384">
        <f>IFERROR(O512/SUM(E508:E514,J508:J514,O508:O513),0)</f>
        <v>0</v>
      </c>
      <c r="Q512" s="491" t="str">
        <f>$Q$8</f>
        <v>B</v>
      </c>
      <c r="R512" s="392">
        <f t="shared" si="96"/>
        <v>0</v>
      </c>
      <c r="S512" s="870">
        <f>SUM(PROD!AQ509:AQ515)</f>
        <v>0</v>
      </c>
      <c r="T512" s="492">
        <f>IF(AA508&gt;0,S512/AA508,0)</f>
        <v>0</v>
      </c>
      <c r="U512" s="395" t="str">
        <f>$U$8</f>
        <v>Rev. Gr.</v>
      </c>
      <c r="V512" s="412">
        <f t="shared" si="97"/>
        <v>0</v>
      </c>
      <c r="W512" s="873">
        <f>SUM(PROD!AT509:AT515)</f>
        <v>0</v>
      </c>
      <c r="X512" s="413">
        <f>IFERROR(W512/(AA513-AA511),0)</f>
        <v>0</v>
      </c>
      <c r="Y512" s="414" t="s">
        <v>262</v>
      </c>
      <c r="Z512" s="415">
        <f>IFERROR(SUMPRODUCT(V512:V514,W512:W514)/SUM(W512:W514),0)</f>
        <v>0</v>
      </c>
      <c r="AA512" s="416">
        <f>SUM(W512:W514)</f>
        <v>0</v>
      </c>
      <c r="AB512" s="497">
        <f>IF(AA513&gt;0,AA512/AA513,0)</f>
        <v>0</v>
      </c>
    </row>
    <row r="513" spans="1:28" ht="15.75" customHeight="1" x14ac:dyDescent="0.3">
      <c r="A513" s="2301"/>
      <c r="B513" s="438" t="str">
        <f>$B$9</f>
        <v>Vacunas y medicamentos</v>
      </c>
      <c r="C513" s="443">
        <f>C506</f>
        <v>0</v>
      </c>
      <c r="D513" s="387">
        <f>C513*12/52</f>
        <v>0</v>
      </c>
      <c r="E513" s="383">
        <f>IFERROR(D513/SUM(PROD!L509:L515),0)</f>
        <v>0</v>
      </c>
      <c r="F513" s="384">
        <f>IFERROR(E513/SUM(E508:E514,J508:J514,O508:O513),0)</f>
        <v>0</v>
      </c>
      <c r="G513" s="441" t="str">
        <f>$G$16</f>
        <v>Mantenimiento y Reparaciones</v>
      </c>
      <c r="H513" s="401">
        <f t="shared" si="94"/>
        <v>0</v>
      </c>
      <c r="I513" s="390">
        <f t="shared" si="92"/>
        <v>0</v>
      </c>
      <c r="J513" s="383">
        <f>IFERROR(I513/SUM(PROD!L509:L515),0)</f>
        <v>0</v>
      </c>
      <c r="K513" s="384">
        <f>IFERROR(J513/SUM(E508:E514,J508:J514,O508:O513),0)</f>
        <v>0</v>
      </c>
      <c r="L513" s="439">
        <f>$L$9</f>
        <v>0</v>
      </c>
      <c r="M513" s="401">
        <f t="shared" si="104"/>
        <v>0</v>
      </c>
      <c r="N513" s="404">
        <f>M513*0.230769230769231</f>
        <v>0</v>
      </c>
      <c r="O513" s="383">
        <f>IFERROR(N513/SUM(PROD!L509:L515),0)</f>
        <v>0</v>
      </c>
      <c r="P513" s="384">
        <f>IFERROR(O513/SUM(E508:E514,J508:J514,O508:O513),0)</f>
        <v>0</v>
      </c>
      <c r="Q513" s="491" t="str">
        <f>$Q$9</f>
        <v>C</v>
      </c>
      <c r="R513" s="392">
        <f t="shared" si="96"/>
        <v>0</v>
      </c>
      <c r="S513" s="870">
        <f>SUM(PROD!AR509:AR515)</f>
        <v>0</v>
      </c>
      <c r="T513" s="492">
        <f>IF(AA508&gt;0,S513/AA508,0)</f>
        <v>0</v>
      </c>
      <c r="U513" s="493" t="str">
        <f>$U$9</f>
        <v>Rev. Med</v>
      </c>
      <c r="V513" s="392">
        <f t="shared" si="97"/>
        <v>0</v>
      </c>
      <c r="W513" s="870">
        <f>SUM(PROD!AU509:AU515)</f>
        <v>0</v>
      </c>
      <c r="X513" s="498">
        <f>IFERROR(W513/(AA513-AA511),0)</f>
        <v>0</v>
      </c>
      <c r="Y513" s="2303" t="s">
        <v>325</v>
      </c>
      <c r="Z513" s="2305">
        <f>SUMPRODUCT(Z508:Z512,AB508:AB512)</f>
        <v>0</v>
      </c>
      <c r="AA513" s="2307">
        <f>SUM(AA508:AA511)</f>
        <v>0</v>
      </c>
      <c r="AB513" s="2308"/>
    </row>
    <row r="514" spans="1:28" ht="16.5" customHeight="1" thickBot="1" x14ac:dyDescent="0.35">
      <c r="A514" s="2302"/>
      <c r="B514" s="444" t="str">
        <f>$B$10</f>
        <v>Gastos de Personal</v>
      </c>
      <c r="C514" s="445">
        <f>C507</f>
        <v>0</v>
      </c>
      <c r="D514" s="421">
        <f>C514*12/52</f>
        <v>0</v>
      </c>
      <c r="E514" s="446">
        <f>IFERROR(D514/SUM(PROD!L509:L515),0)</f>
        <v>0</v>
      </c>
      <c r="F514" s="447">
        <f>IFERROR(E514/SUM(E508:E514,J508:J514,O508:O513),0)</f>
        <v>0</v>
      </c>
      <c r="G514" s="448" t="str">
        <f>$G$17</f>
        <v>Adecuación Instalaciones</v>
      </c>
      <c r="H514" s="445">
        <f t="shared" si="94"/>
        <v>0</v>
      </c>
      <c r="I514" s="426">
        <f t="shared" si="92"/>
        <v>0</v>
      </c>
      <c r="J514" s="446">
        <f>IFERROR(I514/SUM(PROD!L509:L515),0)</f>
        <v>0</v>
      </c>
      <c r="K514" s="447">
        <f>IFERROR(J514/SUM(E508:E514,J508:J514,O508:O513),0)</f>
        <v>0</v>
      </c>
      <c r="L514" s="2311" t="str">
        <f>$L$10</f>
        <v>TOTAL COSTO PRODUCCIÓN</v>
      </c>
      <c r="M514" s="2312"/>
      <c r="N514" s="427">
        <f>SUM(D508:D514,I508:I514,N508:N513)</f>
        <v>230769.23076923078</v>
      </c>
      <c r="O514" s="449">
        <f>IFERROR(N514/SUM(PROD!L509:L515),0)</f>
        <v>0</v>
      </c>
      <c r="P514" s="447">
        <f>IFERROR(O514/SUM(E508:E514,J508:J514,O508:O513),0)</f>
        <v>0</v>
      </c>
      <c r="Q514" s="429" t="str">
        <f>$Q$10</f>
        <v>D</v>
      </c>
      <c r="R514" s="499">
        <f t="shared" si="96"/>
        <v>0</v>
      </c>
      <c r="S514" s="871">
        <f>SUM(PROD!AS509:AS515)</f>
        <v>0</v>
      </c>
      <c r="T514" s="431">
        <f>IF(AA508&gt;0,S514/AA508,0)</f>
        <v>0</v>
      </c>
      <c r="U514" s="432" t="str">
        <f>$U$10</f>
        <v>Rev. Peq</v>
      </c>
      <c r="V514" s="499">
        <f t="shared" si="97"/>
        <v>0</v>
      </c>
      <c r="W514" s="871">
        <f>SUM(PROD!AV509:AV515)</f>
        <v>0</v>
      </c>
      <c r="X514" s="431">
        <f>IFERROR(W514/(AA513-AA511),0)</f>
        <v>0</v>
      </c>
      <c r="Y514" s="2304"/>
      <c r="Z514" s="2306"/>
      <c r="AA514" s="2309"/>
      <c r="AB514" s="2310"/>
    </row>
    <row r="515" spans="1:28" ht="16.5" customHeight="1" x14ac:dyDescent="0.3">
      <c r="A515" s="2300">
        <f>A508+1</f>
        <v>91</v>
      </c>
      <c r="B515" s="433" t="str">
        <f>$B$4</f>
        <v>ALIMENTO Kilos</v>
      </c>
      <c r="C515" s="435">
        <f>LOOKUP($A515,PROD!$A$5:$A$725,PROD!$AH$10:$AH$730)</f>
        <v>0</v>
      </c>
      <c r="D515" s="368">
        <f>C515*LOOKUP($A515,'Pr-Sem'!$A$6:$A$108,'Pr-Sem'!$N$6:$N$108)/(PROD!$A$1/1000)</f>
        <v>0</v>
      </c>
      <c r="E515" s="369">
        <f>IFERROR(D515/SUM(PROD!L516:L522),0)</f>
        <v>0</v>
      </c>
      <c r="F515" s="370">
        <f>IFERROR(E515/SUM(E515:E521,J515:J521,O515:O520),0)</f>
        <v>0</v>
      </c>
      <c r="G515" s="434" t="str">
        <f>$G$11</f>
        <v>Honorarios</v>
      </c>
      <c r="H515" s="435">
        <f t="shared" si="94"/>
        <v>0</v>
      </c>
      <c r="I515" s="372">
        <f t="shared" si="92"/>
        <v>0</v>
      </c>
      <c r="J515" s="369">
        <f>IFERROR(I515/SUM(PROD!L516:L522),0)</f>
        <v>0</v>
      </c>
      <c r="K515" s="370">
        <f>IFERROR(J515/SUM(E515:E521,J515:J521,O515:O520),0)</f>
        <v>0</v>
      </c>
      <c r="L515" s="436" t="str">
        <f>$L$4</f>
        <v>Gastos de Viaje</v>
      </c>
      <c r="M515" s="435">
        <f t="shared" ref="M515:M520" si="105">M508</f>
        <v>0</v>
      </c>
      <c r="N515" s="372">
        <f>M515*12/52</f>
        <v>0</v>
      </c>
      <c r="O515" s="369">
        <f>IFERROR(N515/SUM(PROD!L516:L522),0)</f>
        <v>0</v>
      </c>
      <c r="P515" s="370">
        <f>IFERROR(O515/SUM(E515:E521,J515:J521,O515:O520),0)</f>
        <v>0</v>
      </c>
      <c r="Q515" s="373" t="str">
        <f>$Q$4</f>
        <v>AAAA</v>
      </c>
      <c r="R515" s="374">
        <f t="shared" si="96"/>
        <v>0</v>
      </c>
      <c r="S515" s="869">
        <f>SUM(PROD!AM516:AM522)</f>
        <v>0</v>
      </c>
      <c r="T515" s="375">
        <f>IF(AA515&gt;0,S515/AA515,0)</f>
        <v>0</v>
      </c>
      <c r="U515" s="376" t="str">
        <f>$U$4</f>
        <v>Prob Color</v>
      </c>
      <c r="V515" s="374">
        <f t="shared" si="97"/>
        <v>0</v>
      </c>
      <c r="W515" s="869">
        <f>SUM(PROD!AW516:AW522)</f>
        <v>0</v>
      </c>
      <c r="X515" s="375">
        <f>IFERROR(W515/(AA520-AA518),0)</f>
        <v>0</v>
      </c>
      <c r="Y515" s="377" t="s">
        <v>323</v>
      </c>
      <c r="Z515" s="378">
        <f>SUMPRODUCT(R515:R521,T515:T521)</f>
        <v>0</v>
      </c>
      <c r="AA515" s="379">
        <f>SUM(S515:S521)</f>
        <v>0</v>
      </c>
      <c r="AB515" s="490">
        <f>IF(AA520&gt;0,AA515/AA520,0)</f>
        <v>0</v>
      </c>
    </row>
    <row r="516" spans="1:28" ht="15.75" customHeight="1" x14ac:dyDescent="0.3">
      <c r="A516" s="2301"/>
      <c r="B516" s="438" t="str">
        <f>$B$5</f>
        <v>Amortización de Aves</v>
      </c>
      <c r="C516" s="381">
        <f>IFERROR((C509-(D516/'Pr-Sem'!$O$2)),0)</f>
        <v>0</v>
      </c>
      <c r="D516" s="382">
        <f>SUM(PROD!L516:L522)*E516</f>
        <v>0</v>
      </c>
      <c r="E516" s="383">
        <f>IF(SUM(PROD!L516:L522)&gt;0,IFERROR(($C$1-$C$2)/LOOKUP($B$2,'Pr-Sem'!$A$6:$A$108,'Pr-Sem'!$L$6:$L$108)*(LOOKUP(INVENTARIOS!$A515,'Pr-Sem'!$A$6:$A$108,'Pr-Sem'!$L$6:$L$108)-LOOKUP(INVENTARIOS!$A515-1,'Pr-Sem'!$A$6:$A$108,'Pr-Sem'!$L$6:$L$108))/(LOOKUP(INVENTARIOS!$A515,'Pr-Sem'!$A$6:$A$108,'Pr-Sem'!$K$6:$K$108)-LOOKUP(INVENTARIOS!$A515-1,'Pr-Sem'!$A$6:$A$108,'Pr-Sem'!$K$6:$K$108)),0),0)</f>
        <v>0</v>
      </c>
      <c r="F516" s="384">
        <f>IFERROR(E516/SUM(E515:E521,J515:J521,O515:O520),0)</f>
        <v>0</v>
      </c>
      <c r="G516" s="439" t="str">
        <f>$G$12</f>
        <v>Impuestos</v>
      </c>
      <c r="H516" s="440">
        <f t="shared" si="94"/>
        <v>0</v>
      </c>
      <c r="I516" s="387">
        <f t="shared" ref="I516:I579" si="106">H516*12/52</f>
        <v>0</v>
      </c>
      <c r="J516" s="383">
        <f>IFERROR(I516/SUM(PROD!L516:L522),0)</f>
        <v>0</v>
      </c>
      <c r="K516" s="384">
        <f>IFERROR(J516/SUM(E515:E521,J515:J521,O515:O520),0)</f>
        <v>0</v>
      </c>
      <c r="L516" s="439" t="str">
        <f>$L$5</f>
        <v>Depreciaciones</v>
      </c>
      <c r="M516" s="401">
        <f t="shared" si="105"/>
        <v>0</v>
      </c>
      <c r="N516" s="390">
        <f>M516*12/52</f>
        <v>0</v>
      </c>
      <c r="O516" s="383">
        <f>IFERROR(N516/SUM(PROD!L516:L522),0)</f>
        <v>0</v>
      </c>
      <c r="P516" s="384">
        <f>IFERROR(O516/SUM(E515:E521,J515:J521,O515:O520),0)</f>
        <v>0</v>
      </c>
      <c r="Q516" s="391" t="str">
        <f>$Q$5</f>
        <v>AAA</v>
      </c>
      <c r="R516" s="392">
        <f t="shared" si="96"/>
        <v>0</v>
      </c>
      <c r="S516" s="870">
        <f>SUM(PROD!AN516:AN522)</f>
        <v>0</v>
      </c>
      <c r="T516" s="393">
        <f>IF(AA515&gt;0,S516/AA515,0)</f>
        <v>0</v>
      </c>
      <c r="U516" s="394" t="str">
        <f>$U$5</f>
        <v>Prob Cásc</v>
      </c>
      <c r="V516" s="392">
        <f t="shared" si="97"/>
        <v>0</v>
      </c>
      <c r="W516" s="870">
        <f>SUM(PROD!AX516:AX522)</f>
        <v>0</v>
      </c>
      <c r="X516" s="393">
        <f>IFERROR(W516/(AA520-AA518),0)</f>
        <v>0</v>
      </c>
      <c r="Y516" s="395" t="s">
        <v>324</v>
      </c>
      <c r="Z516" s="396">
        <f>IFERROR(SUMPRODUCT(V515:V518,W515:W518)/SUM(W515:W518),0)</f>
        <v>0</v>
      </c>
      <c r="AA516" s="397">
        <f>SUM(W515:W518)</f>
        <v>0</v>
      </c>
      <c r="AB516" s="494">
        <f>IF(AA520&gt;0,AA516/AA520,0)</f>
        <v>0</v>
      </c>
    </row>
    <row r="517" spans="1:28" ht="15.75" customHeight="1" x14ac:dyDescent="0.3">
      <c r="A517" s="2301"/>
      <c r="B517" s="399" t="str">
        <f>$B$6</f>
        <v>Bandeja</v>
      </c>
      <c r="C517" s="400">
        <f>C510</f>
        <v>0</v>
      </c>
      <c r="D517" s="387">
        <f>C517*SUM(INVENTARIOS!R515:R521)</f>
        <v>0</v>
      </c>
      <c r="E517" s="383">
        <f>IFERROR(D517/SUM(PROD!L516:L522),0)</f>
        <v>0</v>
      </c>
      <c r="F517" s="384">
        <f>IFERROR(E517/SUM(E515:E521,J515:J521,O515:O520),0)</f>
        <v>0</v>
      </c>
      <c r="G517" s="439" t="str">
        <f>$G$13</f>
        <v>Arrendamientos</v>
      </c>
      <c r="H517" s="401">
        <f t="shared" si="94"/>
        <v>0</v>
      </c>
      <c r="I517" s="390">
        <f t="shared" si="106"/>
        <v>0</v>
      </c>
      <c r="J517" s="383">
        <f>IFERROR(I517/SUM(PROD!L516:L522),0)</f>
        <v>0</v>
      </c>
      <c r="K517" s="384">
        <f>IFERROR(J517/SUM(E515:E521,J515:J521,O515:O520),0)</f>
        <v>0</v>
      </c>
      <c r="L517" s="439" t="str">
        <f>$L$6</f>
        <v>Diversos</v>
      </c>
      <c r="M517" s="401">
        <f t="shared" si="105"/>
        <v>1000000</v>
      </c>
      <c r="N517" s="390">
        <f>M517*12/52</f>
        <v>230769.23076923078</v>
      </c>
      <c r="O517" s="383">
        <f>IFERROR(N517/SUM(PROD!L516:L522),0)</f>
        <v>0</v>
      </c>
      <c r="P517" s="384">
        <f>IFERROR(O517/SUM(E515:E521,J515:J521,O515:O520),0)</f>
        <v>0</v>
      </c>
      <c r="Q517" s="391" t="str">
        <f>$Q$6</f>
        <v>AA</v>
      </c>
      <c r="R517" s="392">
        <f t="shared" si="96"/>
        <v>0</v>
      </c>
      <c r="S517" s="870">
        <f>SUM(PROD!AO516:AO522)</f>
        <v>0</v>
      </c>
      <c r="T517" s="393">
        <f>IF(AA515&gt;0,S517/AA515,0)</f>
        <v>0</v>
      </c>
      <c r="U517" s="394" t="str">
        <f>$U$6</f>
        <v>Vencido</v>
      </c>
      <c r="V517" s="392">
        <f t="shared" si="97"/>
        <v>0</v>
      </c>
      <c r="W517" s="870">
        <f>SUM(PROD!AY516:AY522)</f>
        <v>0</v>
      </c>
      <c r="X517" s="393">
        <f>IFERROR(W517/(AA520-AA518),0)</f>
        <v>0</v>
      </c>
      <c r="Y517" s="402" t="s">
        <v>391</v>
      </c>
      <c r="Z517" s="456">
        <v>0</v>
      </c>
      <c r="AA517" s="720"/>
      <c r="AB517" s="495">
        <f>IF(AA520&gt;0,AA517/AA520,0)</f>
        <v>0</v>
      </c>
    </row>
    <row r="518" spans="1:28" ht="15.75" customHeight="1" x14ac:dyDescent="0.3">
      <c r="A518" s="2301"/>
      <c r="B518" s="438" t="str">
        <f>$B$7</f>
        <v>Mortalidad Aves</v>
      </c>
      <c r="C518" s="401">
        <f>IF(A515&lt;=$B$2,C516+$C$2,0)</f>
        <v>0</v>
      </c>
      <c r="D518" s="390">
        <f>C518*SUM(PROD!D516:D522)</f>
        <v>0</v>
      </c>
      <c r="E518" s="383">
        <f>IFERROR(D518/SUM(PROD!L516:L522),0)</f>
        <v>0</v>
      </c>
      <c r="F518" s="384">
        <f>IFERROR(E518/SUM(E515:E521,J515:J521,O515:O520),0)</f>
        <v>0</v>
      </c>
      <c r="G518" s="439" t="str">
        <f>$G$14</f>
        <v>Servicios Públicos</v>
      </c>
      <c r="H518" s="401">
        <f t="shared" si="94"/>
        <v>0</v>
      </c>
      <c r="I518" s="390">
        <f t="shared" si="106"/>
        <v>0</v>
      </c>
      <c r="J518" s="383">
        <f>IFERROR(I518/SUM(PROD!L516:L522),0)</f>
        <v>0</v>
      </c>
      <c r="K518" s="384">
        <f>IFERROR(J518/SUM(E515:E521,J515:J521,O515:O520),0)</f>
        <v>0</v>
      </c>
      <c r="L518" s="441" t="str">
        <f>$L$7</f>
        <v>Administrativos</v>
      </c>
      <c r="M518" s="401">
        <f t="shared" si="105"/>
        <v>0</v>
      </c>
      <c r="N518" s="404">
        <f>M518*0.230769230769231</f>
        <v>0</v>
      </c>
      <c r="O518" s="383">
        <f>IFERROR(N518/SUM(PROD!L516:L522),0)</f>
        <v>0</v>
      </c>
      <c r="P518" s="384">
        <f>IFERROR(O518/SUM(E515:E521,J515:J521,O515:O520),0)</f>
        <v>0</v>
      </c>
      <c r="Q518" s="391" t="str">
        <f>$Q$7</f>
        <v>A</v>
      </c>
      <c r="R518" s="392">
        <f t="shared" si="96"/>
        <v>0</v>
      </c>
      <c r="S518" s="870">
        <f>SUM(PROD!AP516:AP522)</f>
        <v>0</v>
      </c>
      <c r="T518" s="393">
        <f>IF(AA515&gt;0,S518/AA515,0)</f>
        <v>0</v>
      </c>
      <c r="U518" s="405" t="str">
        <f>$U$7</f>
        <v>Roto</v>
      </c>
      <c r="V518" s="406">
        <f t="shared" si="97"/>
        <v>0</v>
      </c>
      <c r="W518" s="872">
        <f>SUM(PROD!AZ516:AZ522)</f>
        <v>0</v>
      </c>
      <c r="X518" s="407">
        <f>IFERROR(W518/(AA520-AA518),0)</f>
        <v>0</v>
      </c>
      <c r="Y518" s="408" t="s">
        <v>359</v>
      </c>
      <c r="Z518" s="442">
        <v>215</v>
      </c>
      <c r="AA518" s="410">
        <f>SUM(PROD!L516:L522)-SUM(W515:W521)-SUM(S515:S521)-AA517</f>
        <v>0</v>
      </c>
      <c r="AB518" s="496">
        <f>IF(AA520&gt;0,AA518/AA520,0)</f>
        <v>0</v>
      </c>
    </row>
    <row r="519" spans="1:28" ht="15.75" customHeight="1" x14ac:dyDescent="0.3">
      <c r="A519" s="2301"/>
      <c r="B519" s="399" t="str">
        <f>$B$8</f>
        <v>Materia Prima (Carb Ca, etc.)</v>
      </c>
      <c r="C519" s="440">
        <f>C512</f>
        <v>0</v>
      </c>
      <c r="D519" s="387">
        <f>C519*12/52</f>
        <v>0</v>
      </c>
      <c r="E519" s="383">
        <f>IFERROR(D519/SUM(PROD!L516:L522),0)</f>
        <v>0</v>
      </c>
      <c r="F519" s="384">
        <f>IFERROR(E519/SUM(E515:E521,J515:J521,O515:O520),0)</f>
        <v>0</v>
      </c>
      <c r="G519" s="441" t="str">
        <f>$G$15</f>
        <v>Gastos Legales</v>
      </c>
      <c r="H519" s="401">
        <f t="shared" si="94"/>
        <v>0</v>
      </c>
      <c r="I519" s="390">
        <f t="shared" si="106"/>
        <v>0</v>
      </c>
      <c r="J519" s="383">
        <f>IFERROR(I519/SUM(PROD!L516:L522),0)</f>
        <v>0</v>
      </c>
      <c r="K519" s="384">
        <f>IFERROR(J519/SUM(E515:E521,J515:J521,O515:O520),0)</f>
        <v>0</v>
      </c>
      <c r="L519" s="439" t="str">
        <f>$L$8</f>
        <v>Fletes</v>
      </c>
      <c r="M519" s="401">
        <f t="shared" si="105"/>
        <v>0</v>
      </c>
      <c r="N519" s="404">
        <f>M519*0.230769230769231</f>
        <v>0</v>
      </c>
      <c r="O519" s="383">
        <f>IFERROR(N519/SUM(PROD!L516:L522),0)</f>
        <v>0</v>
      </c>
      <c r="P519" s="384">
        <f>IFERROR(O519/SUM(E515:E521,J515:J521,O515:O520),0)</f>
        <v>0</v>
      </c>
      <c r="Q519" s="391" t="str">
        <f>$Q$8</f>
        <v>B</v>
      </c>
      <c r="R519" s="392">
        <f t="shared" si="96"/>
        <v>0</v>
      </c>
      <c r="S519" s="870">
        <f>SUM(PROD!AQ516:AQ522)</f>
        <v>0</v>
      </c>
      <c r="T519" s="393">
        <f>IF(AA515&gt;0,S519/AA515,0)</f>
        <v>0</v>
      </c>
      <c r="U519" s="395" t="str">
        <f>$U$8</f>
        <v>Rev. Gr.</v>
      </c>
      <c r="V519" s="412">
        <f t="shared" si="97"/>
        <v>0</v>
      </c>
      <c r="W519" s="873">
        <f>SUM(PROD!AT516:AT522)</f>
        <v>0</v>
      </c>
      <c r="X519" s="413">
        <f>IFERROR(W519/(AA520-AA518),0)</f>
        <v>0</v>
      </c>
      <c r="Y519" s="414" t="s">
        <v>262</v>
      </c>
      <c r="Z519" s="415">
        <f>IFERROR(SUMPRODUCT(V519:V521,W519:W521)/SUM(W519:W521),0)</f>
        <v>0</v>
      </c>
      <c r="AA519" s="416">
        <f>SUM(W519:W521)</f>
        <v>0</v>
      </c>
      <c r="AB519" s="497">
        <f>IF(AA520&gt;0,AA519/AA520,0)</f>
        <v>0</v>
      </c>
    </row>
    <row r="520" spans="1:28" ht="15.75" customHeight="1" x14ac:dyDescent="0.3">
      <c r="A520" s="2301"/>
      <c r="B520" s="438" t="str">
        <f>$B$9</f>
        <v>Vacunas y medicamentos</v>
      </c>
      <c r="C520" s="443">
        <f>C513</f>
        <v>0</v>
      </c>
      <c r="D520" s="387">
        <f>C520*12/52</f>
        <v>0</v>
      </c>
      <c r="E520" s="383">
        <f>IFERROR(D520/SUM(PROD!L516:L522),0)</f>
        <v>0</v>
      </c>
      <c r="F520" s="384">
        <f>IFERROR(E520/SUM(E515:E521,J515:J521,O515:O520),0)</f>
        <v>0</v>
      </c>
      <c r="G520" s="441" t="str">
        <f>$G$16</f>
        <v>Mantenimiento y Reparaciones</v>
      </c>
      <c r="H520" s="401">
        <f t="shared" si="94"/>
        <v>0</v>
      </c>
      <c r="I520" s="390">
        <f t="shared" si="106"/>
        <v>0</v>
      </c>
      <c r="J520" s="383">
        <f>IFERROR(I520/SUM(PROD!L516:L522),0)</f>
        <v>0</v>
      </c>
      <c r="K520" s="384">
        <f>IFERROR(J520/SUM(E515:E521,J515:J521,O515:O520),0)</f>
        <v>0</v>
      </c>
      <c r="L520" s="439">
        <f>$L$9</f>
        <v>0</v>
      </c>
      <c r="M520" s="401">
        <f t="shared" si="105"/>
        <v>0</v>
      </c>
      <c r="N520" s="404">
        <f>M520*0.230769230769231</f>
        <v>0</v>
      </c>
      <c r="O520" s="383">
        <f>IFERROR(N520/SUM(PROD!L516:L522),0)</f>
        <v>0</v>
      </c>
      <c r="P520" s="384">
        <f>IFERROR(O520/SUM(E515:E521,J515:J521,O515:O520),0)</f>
        <v>0</v>
      </c>
      <c r="Q520" s="391" t="str">
        <f>$Q$9</f>
        <v>C</v>
      </c>
      <c r="R520" s="392">
        <f t="shared" si="96"/>
        <v>0</v>
      </c>
      <c r="S520" s="870">
        <f>SUM(PROD!AR516:AR522)</f>
        <v>0</v>
      </c>
      <c r="T520" s="393">
        <f>IF(AA515&gt;0,S520/AA515,0)</f>
        <v>0</v>
      </c>
      <c r="U520" s="394" t="str">
        <f>$U$9</f>
        <v>Rev. Med</v>
      </c>
      <c r="V520" s="392">
        <f t="shared" si="97"/>
        <v>0</v>
      </c>
      <c r="W520" s="870">
        <f>SUM(PROD!AU516:AU522)</f>
        <v>0</v>
      </c>
      <c r="X520" s="418">
        <f>IFERROR(W520/(AA520-AA518),0)</f>
        <v>0</v>
      </c>
      <c r="Y520" s="2303" t="s">
        <v>325</v>
      </c>
      <c r="Z520" s="2305">
        <f>SUMPRODUCT(Z515:Z519,AB515:AB519)</f>
        <v>0</v>
      </c>
      <c r="AA520" s="2307">
        <f>SUM(AA515:AA518)</f>
        <v>0</v>
      </c>
      <c r="AB520" s="2308"/>
    </row>
    <row r="521" spans="1:28" ht="16.5" customHeight="1" thickBot="1" x14ac:dyDescent="0.35">
      <c r="A521" s="2302"/>
      <c r="B521" s="444" t="str">
        <f>$B$10</f>
        <v>Gastos de Personal</v>
      </c>
      <c r="C521" s="445">
        <f>C514</f>
        <v>0</v>
      </c>
      <c r="D521" s="421">
        <f>C521*12/52</f>
        <v>0</v>
      </c>
      <c r="E521" s="446">
        <f>IFERROR(D521/SUM(PROD!L516:L522),0)</f>
        <v>0</v>
      </c>
      <c r="F521" s="447">
        <f>IFERROR(E521/SUM(E515:E521,J515:J521,O515:O520),0)</f>
        <v>0</v>
      </c>
      <c r="G521" s="448" t="str">
        <f>$G$17</f>
        <v>Adecuación Instalaciones</v>
      </c>
      <c r="H521" s="445">
        <f t="shared" si="94"/>
        <v>0</v>
      </c>
      <c r="I521" s="426">
        <f t="shared" si="106"/>
        <v>0</v>
      </c>
      <c r="J521" s="446">
        <f>IFERROR(I521/SUM(PROD!L516:L522),0)</f>
        <v>0</v>
      </c>
      <c r="K521" s="447">
        <f>IFERROR(J521/SUM(E515:E521,J515:J521,O515:O520),0)</f>
        <v>0</v>
      </c>
      <c r="L521" s="2311" t="str">
        <f>$L$10</f>
        <v>TOTAL COSTO PRODUCCIÓN</v>
      </c>
      <c r="M521" s="2312"/>
      <c r="N521" s="427">
        <f>SUM(D515:D521,I515:I521,N515:N520)</f>
        <v>230769.23076923078</v>
      </c>
      <c r="O521" s="449">
        <f>IFERROR(N521/SUM(PROD!L516:L522),0)</f>
        <v>0</v>
      </c>
      <c r="P521" s="447">
        <f>IFERROR(O521/SUM(E515:E521,J515:J521,O515:O520),0)</f>
        <v>0</v>
      </c>
      <c r="Q521" s="450" t="str">
        <f>$Q$10</f>
        <v>D</v>
      </c>
      <c r="R521" s="430">
        <f t="shared" si="96"/>
        <v>0</v>
      </c>
      <c r="S521" s="871">
        <f>SUM(PROD!AS516:AS522)</f>
        <v>0</v>
      </c>
      <c r="T521" s="451">
        <f>IF(AA515&gt;0,S521/AA515,0)</f>
        <v>0</v>
      </c>
      <c r="U521" s="452" t="str">
        <f>$U$10</f>
        <v>Rev. Peq</v>
      </c>
      <c r="V521" s="430">
        <f t="shared" si="97"/>
        <v>0</v>
      </c>
      <c r="W521" s="874">
        <f>SUM(PROD!AV516:AV522)</f>
        <v>0</v>
      </c>
      <c r="X521" s="451">
        <f>IFERROR(W521/(AA520-AA518),0)</f>
        <v>0</v>
      </c>
      <c r="Y521" s="2304"/>
      <c r="Z521" s="2306"/>
      <c r="AA521" s="2309"/>
      <c r="AB521" s="2310"/>
    </row>
    <row r="522" spans="1:28" ht="16.5" customHeight="1" x14ac:dyDescent="0.3">
      <c r="A522" s="2300">
        <f>A515+1</f>
        <v>92</v>
      </c>
      <c r="B522" s="433" t="str">
        <f>$B$4</f>
        <v>ALIMENTO Kilos</v>
      </c>
      <c r="C522" s="435">
        <f>LOOKUP($A522,PROD!$A$5:$A$725,PROD!$AH$10:$AH$730)</f>
        <v>0</v>
      </c>
      <c r="D522" s="368">
        <f>C522*LOOKUP($A522,'Pr-Sem'!$A$6:$A$108,'Pr-Sem'!$N$6:$N$108)/(PROD!$A$1/1000)</f>
        <v>0</v>
      </c>
      <c r="E522" s="369">
        <f>IFERROR(D522/SUM(PROD!L523:L529),0)</f>
        <v>0</v>
      </c>
      <c r="F522" s="370">
        <f>IFERROR(E522/SUM(E522:E528,J522:J528,O522:O527),0)</f>
        <v>0</v>
      </c>
      <c r="G522" s="434" t="str">
        <f>$G$11</f>
        <v>Honorarios</v>
      </c>
      <c r="H522" s="435">
        <f t="shared" si="94"/>
        <v>0</v>
      </c>
      <c r="I522" s="372">
        <f t="shared" si="106"/>
        <v>0</v>
      </c>
      <c r="J522" s="369">
        <f>IFERROR(I522/SUM(PROD!L523:L529),0)</f>
        <v>0</v>
      </c>
      <c r="K522" s="370">
        <f>IFERROR(J522/SUM(E522:E528,J522:J528,O522:O527),0)</f>
        <v>0</v>
      </c>
      <c r="L522" s="436" t="str">
        <f>$L$4</f>
        <v>Gastos de Viaje</v>
      </c>
      <c r="M522" s="435">
        <f t="shared" ref="M522:M527" si="107">M515</f>
        <v>0</v>
      </c>
      <c r="N522" s="372">
        <f>M522*12/52</f>
        <v>0</v>
      </c>
      <c r="O522" s="369">
        <f>IFERROR(N522/SUM(PROD!L523:L529),0)</f>
        <v>0</v>
      </c>
      <c r="P522" s="370">
        <f>IFERROR(O522/SUM(E522:E528,J522:J528,O522:O527),0)</f>
        <v>0</v>
      </c>
      <c r="Q522" s="373" t="str">
        <f>$Q$4</f>
        <v>AAAA</v>
      </c>
      <c r="R522" s="374">
        <f t="shared" si="96"/>
        <v>0</v>
      </c>
      <c r="S522" s="869">
        <f>SUM(PROD!AM523:AM529)</f>
        <v>0</v>
      </c>
      <c r="T522" s="375">
        <f>IF(AA522&gt;0,S522/AA522,0)</f>
        <v>0</v>
      </c>
      <c r="U522" s="376" t="str">
        <f>$U$4</f>
        <v>Prob Color</v>
      </c>
      <c r="V522" s="374">
        <f t="shared" si="97"/>
        <v>0</v>
      </c>
      <c r="W522" s="869">
        <f>SUM(PROD!AW523:AW529)</f>
        <v>0</v>
      </c>
      <c r="X522" s="375">
        <f>IFERROR(W522/(AA527-AA525),0)</f>
        <v>0</v>
      </c>
      <c r="Y522" s="377" t="s">
        <v>323</v>
      </c>
      <c r="Z522" s="378">
        <f>SUMPRODUCT(R522:R528,T522:T528)</f>
        <v>0</v>
      </c>
      <c r="AA522" s="379">
        <f>SUM(S522:S528)</f>
        <v>0</v>
      </c>
      <c r="AB522" s="490">
        <f>IF(AA527&gt;0,AA522/AA527,0)</f>
        <v>0</v>
      </c>
    </row>
    <row r="523" spans="1:28" ht="15.75" customHeight="1" x14ac:dyDescent="0.3">
      <c r="A523" s="2301"/>
      <c r="B523" s="438" t="str">
        <f>$B$5</f>
        <v>Amortización de Aves</v>
      </c>
      <c r="C523" s="381">
        <f>IFERROR((C516-(D523/'Pr-Sem'!$O$2)),0)</f>
        <v>0</v>
      </c>
      <c r="D523" s="382">
        <f>SUM(PROD!L523:L529)*E523</f>
        <v>0</v>
      </c>
      <c r="E523" s="383">
        <f>IF(SUM(PROD!L523:L529)&gt;0,IFERROR(($C$1-$C$2)/LOOKUP($B$2,'Pr-Sem'!$A$6:$A$108,'Pr-Sem'!$L$6:$L$108)*(LOOKUP(INVENTARIOS!$A522,'Pr-Sem'!$A$6:$A$108,'Pr-Sem'!$L$6:$L$108)-LOOKUP(INVENTARIOS!$A522-1,'Pr-Sem'!$A$6:$A$108,'Pr-Sem'!$L$6:$L$108))/(LOOKUP(INVENTARIOS!$A522,'Pr-Sem'!$A$6:$A$108,'Pr-Sem'!$K$6:$K$108)-LOOKUP(INVENTARIOS!$A522-1,'Pr-Sem'!$A$6:$A$108,'Pr-Sem'!$K$6:$K$108)),0),0)</f>
        <v>0</v>
      </c>
      <c r="F523" s="384">
        <f>IFERROR(E523/SUM(E522:E528,J522:J528,O522:O527),0)</f>
        <v>0</v>
      </c>
      <c r="G523" s="439" t="str">
        <f>$G$12</f>
        <v>Impuestos</v>
      </c>
      <c r="H523" s="440">
        <f t="shared" ref="H523:H586" si="108">H516</f>
        <v>0</v>
      </c>
      <c r="I523" s="387">
        <f t="shared" si="106"/>
        <v>0</v>
      </c>
      <c r="J523" s="383">
        <f>IFERROR(I523/SUM(PROD!L523:L529),0)</f>
        <v>0</v>
      </c>
      <c r="K523" s="384">
        <f>IFERROR(J523/SUM(E522:E528,J522:J528,O522:O527),0)</f>
        <v>0</v>
      </c>
      <c r="L523" s="439" t="str">
        <f>$L$5</f>
        <v>Depreciaciones</v>
      </c>
      <c r="M523" s="401">
        <f t="shared" si="107"/>
        <v>0</v>
      </c>
      <c r="N523" s="390">
        <f>M523*12/52</f>
        <v>0</v>
      </c>
      <c r="O523" s="383">
        <f>IFERROR(N523/SUM(PROD!L523:L529),0)</f>
        <v>0</v>
      </c>
      <c r="P523" s="384">
        <f>IFERROR(O523/SUM(E522:E528,J522:J528,O522:O527),0)</f>
        <v>0</v>
      </c>
      <c r="Q523" s="391" t="str">
        <f>$Q$5</f>
        <v>AAA</v>
      </c>
      <c r="R523" s="392">
        <f t="shared" ref="R523:R586" si="109">R516</f>
        <v>0</v>
      </c>
      <c r="S523" s="870">
        <f>SUM(PROD!AN523:AN529)</f>
        <v>0</v>
      </c>
      <c r="T523" s="393">
        <f>IF(AA522&gt;0,S523/AA522,0)</f>
        <v>0</v>
      </c>
      <c r="U523" s="394" t="str">
        <f>$U$5</f>
        <v>Prob Cásc</v>
      </c>
      <c r="V523" s="392">
        <f t="shared" ref="V523:V586" si="110">V516</f>
        <v>0</v>
      </c>
      <c r="W523" s="870">
        <f>SUM(PROD!AX523:AX529)</f>
        <v>0</v>
      </c>
      <c r="X523" s="393">
        <f>IFERROR(W523/(AA527-AA525),0)</f>
        <v>0</v>
      </c>
      <c r="Y523" s="395" t="s">
        <v>324</v>
      </c>
      <c r="Z523" s="396">
        <f>IFERROR(SUMPRODUCT(V522:V525,W522:W525)/SUM(W522:W525),0)</f>
        <v>0</v>
      </c>
      <c r="AA523" s="397">
        <f>SUM(W522:W525)</f>
        <v>0</v>
      </c>
      <c r="AB523" s="494">
        <f>IF(AA527&gt;0,AA523/AA527,0)</f>
        <v>0</v>
      </c>
    </row>
    <row r="524" spans="1:28" ht="15.75" customHeight="1" x14ac:dyDescent="0.3">
      <c r="A524" s="2301"/>
      <c r="B524" s="399" t="str">
        <f>$B$6</f>
        <v>Bandeja</v>
      </c>
      <c r="C524" s="400">
        <f>C517</f>
        <v>0</v>
      </c>
      <c r="D524" s="387">
        <f>C524*SUM(INVENTARIOS!R522:R528)</f>
        <v>0</v>
      </c>
      <c r="E524" s="383">
        <f>IFERROR(D524/SUM(PROD!L523:L529),0)</f>
        <v>0</v>
      </c>
      <c r="F524" s="384">
        <f>IFERROR(E524/SUM(E522:E528,J522:J528,O522:O527),0)</f>
        <v>0</v>
      </c>
      <c r="G524" s="439" t="str">
        <f>$G$13</f>
        <v>Arrendamientos</v>
      </c>
      <c r="H524" s="401">
        <f t="shared" si="108"/>
        <v>0</v>
      </c>
      <c r="I524" s="390">
        <f t="shared" si="106"/>
        <v>0</v>
      </c>
      <c r="J524" s="383">
        <f>IFERROR(I524/SUM(PROD!L523:L529),0)</f>
        <v>0</v>
      </c>
      <c r="K524" s="384">
        <f>IFERROR(J524/SUM(E522:E528,J522:J528,O522:O527),0)</f>
        <v>0</v>
      </c>
      <c r="L524" s="439" t="str">
        <f>$L$6</f>
        <v>Diversos</v>
      </c>
      <c r="M524" s="401">
        <f t="shared" si="107"/>
        <v>1000000</v>
      </c>
      <c r="N524" s="390">
        <f>M524*12/52</f>
        <v>230769.23076923078</v>
      </c>
      <c r="O524" s="383">
        <f>IFERROR(N524/SUM(PROD!L523:L529),0)</f>
        <v>0</v>
      </c>
      <c r="P524" s="384">
        <f>IFERROR(O524/SUM(E522:E528,J522:J528,O522:O527),0)</f>
        <v>0</v>
      </c>
      <c r="Q524" s="391" t="str">
        <f>$Q$6</f>
        <v>AA</v>
      </c>
      <c r="R524" s="392">
        <f t="shared" si="109"/>
        <v>0</v>
      </c>
      <c r="S524" s="870">
        <f>SUM(PROD!AO523:AO529)</f>
        <v>0</v>
      </c>
      <c r="T524" s="393">
        <f>IF(AA522&gt;0,S524/AA522,0)</f>
        <v>0</v>
      </c>
      <c r="U524" s="394" t="str">
        <f>$U$6</f>
        <v>Vencido</v>
      </c>
      <c r="V524" s="392">
        <f t="shared" si="110"/>
        <v>0</v>
      </c>
      <c r="W524" s="870">
        <f>SUM(PROD!AY523:AY529)</f>
        <v>0</v>
      </c>
      <c r="X524" s="393">
        <f>IFERROR(W524/(AA527-AA525),0)</f>
        <v>0</v>
      </c>
      <c r="Y524" s="402" t="s">
        <v>391</v>
      </c>
      <c r="Z524" s="456">
        <v>0</v>
      </c>
      <c r="AA524" s="720"/>
      <c r="AB524" s="495">
        <f>IF(AA527&gt;0,AA524/AA527,0)</f>
        <v>0</v>
      </c>
    </row>
    <row r="525" spans="1:28" ht="15.75" customHeight="1" x14ac:dyDescent="0.3">
      <c r="A525" s="2301"/>
      <c r="B525" s="438" t="str">
        <f>$B$7</f>
        <v>Mortalidad Aves</v>
      </c>
      <c r="C525" s="401">
        <f>IF(A522&lt;=$B$2,C523+$C$2,0)</f>
        <v>0</v>
      </c>
      <c r="D525" s="390">
        <f>C525*SUM(PROD!D523:D529)</f>
        <v>0</v>
      </c>
      <c r="E525" s="383">
        <f>IFERROR(D525/SUM(PROD!L523:L529),0)</f>
        <v>0</v>
      </c>
      <c r="F525" s="384">
        <f>IFERROR(E525/SUM(E522:E528,J522:J528,O522:O527),0)</f>
        <v>0</v>
      </c>
      <c r="G525" s="439" t="str">
        <f>$G$14</f>
        <v>Servicios Públicos</v>
      </c>
      <c r="H525" s="401">
        <f t="shared" si="108"/>
        <v>0</v>
      </c>
      <c r="I525" s="390">
        <f t="shared" si="106"/>
        <v>0</v>
      </c>
      <c r="J525" s="383">
        <f>IFERROR(I525/SUM(PROD!L523:L529),0)</f>
        <v>0</v>
      </c>
      <c r="K525" s="384">
        <f>IFERROR(J525/SUM(E522:E528,J522:J528,O522:O527),0)</f>
        <v>0</v>
      </c>
      <c r="L525" s="441" t="str">
        <f>$L$7</f>
        <v>Administrativos</v>
      </c>
      <c r="M525" s="401">
        <f t="shared" si="107"/>
        <v>0</v>
      </c>
      <c r="N525" s="404">
        <f>M525*0.230769230769231</f>
        <v>0</v>
      </c>
      <c r="O525" s="383">
        <f>IFERROR(N525/SUM(PROD!L523:L529),0)</f>
        <v>0</v>
      </c>
      <c r="P525" s="384">
        <f>IFERROR(O525/SUM(E522:E528,J522:J528,O522:O527),0)</f>
        <v>0</v>
      </c>
      <c r="Q525" s="391" t="str">
        <f>$Q$7</f>
        <v>A</v>
      </c>
      <c r="R525" s="392">
        <f t="shared" si="109"/>
        <v>0</v>
      </c>
      <c r="S525" s="870">
        <f>SUM(PROD!AP523:AP529)</f>
        <v>0</v>
      </c>
      <c r="T525" s="393">
        <f>IF(AA522&gt;0,S525/AA522,0)</f>
        <v>0</v>
      </c>
      <c r="U525" s="405" t="str">
        <f>$U$7</f>
        <v>Roto</v>
      </c>
      <c r="V525" s="406">
        <f t="shared" si="110"/>
        <v>0</v>
      </c>
      <c r="W525" s="872">
        <f>SUM(PROD!AZ523:AZ529)</f>
        <v>0</v>
      </c>
      <c r="X525" s="407">
        <f>IFERROR(W525/(AA527-AA525),0)</f>
        <v>0</v>
      </c>
      <c r="Y525" s="408" t="s">
        <v>359</v>
      </c>
      <c r="Z525" s="442">
        <v>215</v>
      </c>
      <c r="AA525" s="410">
        <f>SUM(PROD!L523:L529)-SUM(W522:W528)-SUM(S522:S528)-AA524</f>
        <v>0</v>
      </c>
      <c r="AB525" s="496">
        <f>IF(AA527&gt;0,AA525/AA527,0)</f>
        <v>0</v>
      </c>
    </row>
    <row r="526" spans="1:28" ht="15.75" customHeight="1" x14ac:dyDescent="0.3">
      <c r="A526" s="2301"/>
      <c r="B526" s="399" t="str">
        <f>$B$8</f>
        <v>Materia Prima (Carb Ca, etc.)</v>
      </c>
      <c r="C526" s="440">
        <f>C519</f>
        <v>0</v>
      </c>
      <c r="D526" s="387">
        <f>C526*12/52</f>
        <v>0</v>
      </c>
      <c r="E526" s="383">
        <f>IFERROR(D526/SUM(PROD!L523:L529),0)</f>
        <v>0</v>
      </c>
      <c r="F526" s="384">
        <f>IFERROR(E526/SUM(E522:E528,J522:J528,O522:O527),0)</f>
        <v>0</v>
      </c>
      <c r="G526" s="441" t="str">
        <f>$G$15</f>
        <v>Gastos Legales</v>
      </c>
      <c r="H526" s="401">
        <f t="shared" si="108"/>
        <v>0</v>
      </c>
      <c r="I526" s="390">
        <f t="shared" si="106"/>
        <v>0</v>
      </c>
      <c r="J526" s="383">
        <f>IFERROR(I526/SUM(PROD!L523:L529),0)</f>
        <v>0</v>
      </c>
      <c r="K526" s="384">
        <f>IFERROR(J526/SUM(E522:E528,J522:J528,O522:O527),0)</f>
        <v>0</v>
      </c>
      <c r="L526" s="439" t="str">
        <f>$L$8</f>
        <v>Fletes</v>
      </c>
      <c r="M526" s="401">
        <f t="shared" si="107"/>
        <v>0</v>
      </c>
      <c r="N526" s="404">
        <f>M526*0.230769230769231</f>
        <v>0</v>
      </c>
      <c r="O526" s="383">
        <f>IFERROR(N526/SUM(PROD!L523:L529),0)</f>
        <v>0</v>
      </c>
      <c r="P526" s="384">
        <f>IFERROR(O526/SUM(E522:E528,J522:J528,O522:O527),0)</f>
        <v>0</v>
      </c>
      <c r="Q526" s="391" t="str">
        <f>$Q$8</f>
        <v>B</v>
      </c>
      <c r="R526" s="392">
        <f t="shared" si="109"/>
        <v>0</v>
      </c>
      <c r="S526" s="870">
        <f>SUM(PROD!AQ523:AQ529)</f>
        <v>0</v>
      </c>
      <c r="T526" s="393">
        <f>IF(AA522&gt;0,S526/AA522,0)</f>
        <v>0</v>
      </c>
      <c r="U526" s="395" t="str">
        <f>$U$8</f>
        <v>Rev. Gr.</v>
      </c>
      <c r="V526" s="412">
        <f t="shared" si="110"/>
        <v>0</v>
      </c>
      <c r="W526" s="873">
        <f>SUM(PROD!AT523:AT529)</f>
        <v>0</v>
      </c>
      <c r="X526" s="413">
        <f>IFERROR(W526/(AA527-AA525),0)</f>
        <v>0</v>
      </c>
      <c r="Y526" s="414" t="s">
        <v>262</v>
      </c>
      <c r="Z526" s="415">
        <f>IFERROR(SUMPRODUCT(V526:V528,W526:W528)/SUM(W526:W528),0)</f>
        <v>0</v>
      </c>
      <c r="AA526" s="416">
        <f>SUM(W526:W528)</f>
        <v>0</v>
      </c>
      <c r="AB526" s="497">
        <f>IF(AA527&gt;0,AA526/AA527,0)</f>
        <v>0</v>
      </c>
    </row>
    <row r="527" spans="1:28" ht="15.75" customHeight="1" x14ac:dyDescent="0.3">
      <c r="A527" s="2301"/>
      <c r="B527" s="438" t="str">
        <f>$B$9</f>
        <v>Vacunas y medicamentos</v>
      </c>
      <c r="C527" s="443">
        <f>C520</f>
        <v>0</v>
      </c>
      <c r="D527" s="387">
        <f>C527*12/52</f>
        <v>0</v>
      </c>
      <c r="E527" s="383">
        <f>IFERROR(D527/SUM(PROD!L523:L529),0)</f>
        <v>0</v>
      </c>
      <c r="F527" s="384">
        <f>IFERROR(E527/SUM(E522:E528,J522:J528,O522:O527),0)</f>
        <v>0</v>
      </c>
      <c r="G527" s="441" t="str">
        <f>$G$16</f>
        <v>Mantenimiento y Reparaciones</v>
      </c>
      <c r="H527" s="401">
        <f t="shared" si="108"/>
        <v>0</v>
      </c>
      <c r="I527" s="390">
        <f t="shared" si="106"/>
        <v>0</v>
      </c>
      <c r="J527" s="383">
        <f>IFERROR(I527/SUM(PROD!L523:L529),0)</f>
        <v>0</v>
      </c>
      <c r="K527" s="384">
        <f>IFERROR(J527/SUM(E522:E528,J522:J528,O522:O527),0)</f>
        <v>0</v>
      </c>
      <c r="L527" s="439">
        <f>$L$9</f>
        <v>0</v>
      </c>
      <c r="M527" s="401">
        <f t="shared" si="107"/>
        <v>0</v>
      </c>
      <c r="N527" s="404">
        <f>M527*0.230769230769231</f>
        <v>0</v>
      </c>
      <c r="O527" s="383">
        <f>IFERROR(N527/SUM(PROD!L523:L529),0)</f>
        <v>0</v>
      </c>
      <c r="P527" s="384">
        <f>IFERROR(O527/SUM(E522:E528,J522:J528,O522:O527),0)</f>
        <v>0</v>
      </c>
      <c r="Q527" s="391" t="str">
        <f>$Q$9</f>
        <v>C</v>
      </c>
      <c r="R527" s="392">
        <f t="shared" si="109"/>
        <v>0</v>
      </c>
      <c r="S527" s="870">
        <f>SUM(PROD!AR523:AR529)</f>
        <v>0</v>
      </c>
      <c r="T527" s="393">
        <f>IF(AA522&gt;0,S527/AA522,0)</f>
        <v>0</v>
      </c>
      <c r="U527" s="394" t="str">
        <f>$U$9</f>
        <v>Rev. Med</v>
      </c>
      <c r="V527" s="392">
        <f t="shared" si="110"/>
        <v>0</v>
      </c>
      <c r="W527" s="870">
        <f>SUM(PROD!AU523:AU529)</f>
        <v>0</v>
      </c>
      <c r="X527" s="418">
        <f>IFERROR(W527/(AA527-AA525),0)</f>
        <v>0</v>
      </c>
      <c r="Y527" s="2303" t="s">
        <v>325</v>
      </c>
      <c r="Z527" s="2305">
        <f>SUMPRODUCT(Z522:Z526,AB522:AB526)</f>
        <v>0</v>
      </c>
      <c r="AA527" s="2307">
        <f>SUM(AA522:AA525)</f>
        <v>0</v>
      </c>
      <c r="AB527" s="2308"/>
    </row>
    <row r="528" spans="1:28" ht="16.5" customHeight="1" thickBot="1" x14ac:dyDescent="0.35">
      <c r="A528" s="2302"/>
      <c r="B528" s="444" t="str">
        <f>$B$10</f>
        <v>Gastos de Personal</v>
      </c>
      <c r="C528" s="445">
        <f>C521</f>
        <v>0</v>
      </c>
      <c r="D528" s="421">
        <f>C528*12/52</f>
        <v>0</v>
      </c>
      <c r="E528" s="446">
        <f>IFERROR(D528/SUM(PROD!L523:L529),0)</f>
        <v>0</v>
      </c>
      <c r="F528" s="447">
        <f>IFERROR(E528/SUM(E522:E528,J522:J528,O522:O527),0)</f>
        <v>0</v>
      </c>
      <c r="G528" s="448" t="str">
        <f>$G$17</f>
        <v>Adecuación Instalaciones</v>
      </c>
      <c r="H528" s="445">
        <f t="shared" si="108"/>
        <v>0</v>
      </c>
      <c r="I528" s="426">
        <f t="shared" si="106"/>
        <v>0</v>
      </c>
      <c r="J528" s="446">
        <f>IFERROR(I528/SUM(PROD!L523:L529),0)</f>
        <v>0</v>
      </c>
      <c r="K528" s="447">
        <f>IFERROR(J528/SUM(E522:E528,J522:J528,O522:O527),0)</f>
        <v>0</v>
      </c>
      <c r="L528" s="2311" t="str">
        <f>$L$10</f>
        <v>TOTAL COSTO PRODUCCIÓN</v>
      </c>
      <c r="M528" s="2312"/>
      <c r="N528" s="427">
        <f>SUM(D522:D528,I522:I528,N522:N527)</f>
        <v>230769.23076923078</v>
      </c>
      <c r="O528" s="449">
        <f>IFERROR(N528/SUM(PROD!L523:L529),0)</f>
        <v>0</v>
      </c>
      <c r="P528" s="447">
        <f>IFERROR(O528/SUM(E522:E528,J522:J528,O522:O527),0)</f>
        <v>0</v>
      </c>
      <c r="Q528" s="450" t="str">
        <f>$Q$10</f>
        <v>D</v>
      </c>
      <c r="R528" s="430">
        <f t="shared" si="109"/>
        <v>0</v>
      </c>
      <c r="S528" s="871">
        <f>SUM(PROD!AS523:AS529)</f>
        <v>0</v>
      </c>
      <c r="T528" s="451">
        <f>IF(AA522&gt;0,S528/AA522,0)</f>
        <v>0</v>
      </c>
      <c r="U528" s="452" t="str">
        <f>$U$10</f>
        <v>Rev. Peq</v>
      </c>
      <c r="V528" s="430">
        <f t="shared" si="110"/>
        <v>0</v>
      </c>
      <c r="W528" s="874">
        <f>SUM(PROD!AV523:AV529)</f>
        <v>0</v>
      </c>
      <c r="X528" s="451">
        <f>IFERROR(W528/(AA527-AA525),0)</f>
        <v>0</v>
      </c>
      <c r="Y528" s="2304"/>
      <c r="Z528" s="2306"/>
      <c r="AA528" s="2309"/>
      <c r="AB528" s="2310"/>
    </row>
    <row r="529" spans="1:28" ht="16.5" customHeight="1" x14ac:dyDescent="0.3">
      <c r="A529" s="2300">
        <f>A522+1</f>
        <v>93</v>
      </c>
      <c r="B529" s="433" t="str">
        <f>$B$4</f>
        <v>ALIMENTO Kilos</v>
      </c>
      <c r="C529" s="435">
        <f>LOOKUP($A529,PROD!$A$5:$A$725,PROD!$AH$10:$AH$730)</f>
        <v>0</v>
      </c>
      <c r="D529" s="368">
        <f>C529*LOOKUP($A529,'Pr-Sem'!$A$6:$A$108,'Pr-Sem'!$N$6:$N$108)/(PROD!$A$1/1000)</f>
        <v>0</v>
      </c>
      <c r="E529" s="369">
        <f>IFERROR(D529/SUM(PROD!L530:L536),0)</f>
        <v>0</v>
      </c>
      <c r="F529" s="370">
        <f>IFERROR(E529/SUM(E529:E535,J529:J535,O529:O534),0)</f>
        <v>0</v>
      </c>
      <c r="G529" s="434" t="str">
        <f>$G$11</f>
        <v>Honorarios</v>
      </c>
      <c r="H529" s="435">
        <f t="shared" si="108"/>
        <v>0</v>
      </c>
      <c r="I529" s="372">
        <f t="shared" si="106"/>
        <v>0</v>
      </c>
      <c r="J529" s="369">
        <f>IFERROR(I529/SUM(PROD!L530:L536),0)</f>
        <v>0</v>
      </c>
      <c r="K529" s="370">
        <f>IFERROR(J529/SUM(E529:E535,J529:J535,O529:O534),0)</f>
        <v>0</v>
      </c>
      <c r="L529" s="436" t="str">
        <f>$L$4</f>
        <v>Gastos de Viaje</v>
      </c>
      <c r="M529" s="435">
        <f t="shared" ref="M529:M534" si="111">M522</f>
        <v>0</v>
      </c>
      <c r="N529" s="372">
        <f>M529*12/52</f>
        <v>0</v>
      </c>
      <c r="O529" s="369">
        <f>IFERROR(N529/SUM(PROD!L530:L536),0)</f>
        <v>0</v>
      </c>
      <c r="P529" s="370">
        <f>IFERROR(O529/SUM(E529:E535,J529:J535,O529:O534),0)</f>
        <v>0</v>
      </c>
      <c r="Q529" s="373" t="str">
        <f>$Q$4</f>
        <v>AAAA</v>
      </c>
      <c r="R529" s="374">
        <f t="shared" si="109"/>
        <v>0</v>
      </c>
      <c r="S529" s="869">
        <f>SUM(PROD!AM530:AM536)</f>
        <v>0</v>
      </c>
      <c r="T529" s="375">
        <f>IF(AA529&gt;0,S529/AA529,0)</f>
        <v>0</v>
      </c>
      <c r="U529" s="376" t="str">
        <f>$U$4</f>
        <v>Prob Color</v>
      </c>
      <c r="V529" s="374">
        <f t="shared" si="110"/>
        <v>0</v>
      </c>
      <c r="W529" s="869">
        <f>SUM(PROD!AW530:AW536)</f>
        <v>0</v>
      </c>
      <c r="X529" s="375">
        <f>IFERROR(W529/(AA534-AA532),0)</f>
        <v>0</v>
      </c>
      <c r="Y529" s="377" t="s">
        <v>323</v>
      </c>
      <c r="Z529" s="378">
        <f>SUMPRODUCT(R529:R535,T529:T535)</f>
        <v>0</v>
      </c>
      <c r="AA529" s="379">
        <f>SUM(S529:S535)</f>
        <v>0</v>
      </c>
      <c r="AB529" s="490">
        <f>IF(AA534&gt;0,AA529/AA534,0)</f>
        <v>0</v>
      </c>
    </row>
    <row r="530" spans="1:28" ht="15.75" customHeight="1" x14ac:dyDescent="0.3">
      <c r="A530" s="2301"/>
      <c r="B530" s="438" t="str">
        <f>$B$5</f>
        <v>Amortización de Aves</v>
      </c>
      <c r="C530" s="381">
        <f>IFERROR((C523-(D530/'Pr-Sem'!$O$2)),0)</f>
        <v>0</v>
      </c>
      <c r="D530" s="382">
        <f>SUM(PROD!L530:L536)*E530</f>
        <v>0</v>
      </c>
      <c r="E530" s="383">
        <f>IF(SUM(PROD!L530:L536)&gt;0,IFERROR(($C$1-$C$2)/LOOKUP($B$2,'Pr-Sem'!$A$6:$A$108,'Pr-Sem'!$L$6:$L$108)*(LOOKUP(INVENTARIOS!$A529,'Pr-Sem'!$A$6:$A$108,'Pr-Sem'!$L$6:$L$108)-LOOKUP(INVENTARIOS!$A529-1,'Pr-Sem'!$A$6:$A$108,'Pr-Sem'!$L$6:$L$108))/(LOOKUP(INVENTARIOS!$A529,'Pr-Sem'!$A$6:$A$108,'Pr-Sem'!$K$6:$K$108)-LOOKUP(INVENTARIOS!$A529-1,'Pr-Sem'!$A$6:$A$108,'Pr-Sem'!$K$6:$K$108)),0),0)</f>
        <v>0</v>
      </c>
      <c r="F530" s="384">
        <f>IFERROR(E530/SUM(E529:E535,J529:J535,O529:O534),0)</f>
        <v>0</v>
      </c>
      <c r="G530" s="439" t="str">
        <f>$G$12</f>
        <v>Impuestos</v>
      </c>
      <c r="H530" s="440">
        <f t="shared" si="108"/>
        <v>0</v>
      </c>
      <c r="I530" s="387">
        <f t="shared" si="106"/>
        <v>0</v>
      </c>
      <c r="J530" s="383">
        <f>IFERROR(I530/SUM(PROD!L530:L536),0)</f>
        <v>0</v>
      </c>
      <c r="K530" s="384">
        <f>IFERROR(J530/SUM(E529:E535,J529:J535,O529:O534),0)</f>
        <v>0</v>
      </c>
      <c r="L530" s="439" t="str">
        <f>$L$5</f>
        <v>Depreciaciones</v>
      </c>
      <c r="M530" s="401">
        <f t="shared" si="111"/>
        <v>0</v>
      </c>
      <c r="N530" s="390">
        <f>M530*12/52</f>
        <v>0</v>
      </c>
      <c r="O530" s="383">
        <f>IFERROR(N530/SUM(PROD!L530:L536),0)</f>
        <v>0</v>
      </c>
      <c r="P530" s="384">
        <f>IFERROR(O530/SUM(E529:E535,J529:J535,O529:O534),0)</f>
        <v>0</v>
      </c>
      <c r="Q530" s="391" t="str">
        <f>$Q$5</f>
        <v>AAA</v>
      </c>
      <c r="R530" s="392">
        <f t="shared" si="109"/>
        <v>0</v>
      </c>
      <c r="S530" s="870">
        <f>SUM(PROD!AN530:AN536)</f>
        <v>0</v>
      </c>
      <c r="T530" s="393">
        <f>IF(AA529&gt;0,S530/AA529,0)</f>
        <v>0</v>
      </c>
      <c r="U530" s="394" t="str">
        <f>$U$5</f>
        <v>Prob Cásc</v>
      </c>
      <c r="V530" s="392">
        <f t="shared" si="110"/>
        <v>0</v>
      </c>
      <c r="W530" s="870">
        <f>SUM(PROD!AX530:AX536)</f>
        <v>0</v>
      </c>
      <c r="X530" s="393">
        <f>IFERROR(W530/(AA534-AA532),0)</f>
        <v>0</v>
      </c>
      <c r="Y530" s="395" t="s">
        <v>324</v>
      </c>
      <c r="Z530" s="396">
        <f>IFERROR(SUMPRODUCT(V529:V532,W529:W532)/SUM(W529:W532),0)</f>
        <v>0</v>
      </c>
      <c r="AA530" s="397">
        <f>SUM(W529:W532)</f>
        <v>0</v>
      </c>
      <c r="AB530" s="494">
        <f>IF(AA534&gt;0,AA530/AA534,0)</f>
        <v>0</v>
      </c>
    </row>
    <row r="531" spans="1:28" ht="15.75" customHeight="1" x14ac:dyDescent="0.3">
      <c r="A531" s="2301"/>
      <c r="B531" s="399" t="str">
        <f>$B$6</f>
        <v>Bandeja</v>
      </c>
      <c r="C531" s="400">
        <f>C524</f>
        <v>0</v>
      </c>
      <c r="D531" s="387">
        <f>C531*SUM(INVENTARIOS!R529:R535)</f>
        <v>0</v>
      </c>
      <c r="E531" s="383">
        <f>IFERROR(D531/SUM(PROD!L530:L536),0)</f>
        <v>0</v>
      </c>
      <c r="F531" s="384">
        <f>IFERROR(E531/SUM(E529:E535,J529:J535,O529:O534),0)</f>
        <v>0</v>
      </c>
      <c r="G531" s="439" t="str">
        <f>$G$13</f>
        <v>Arrendamientos</v>
      </c>
      <c r="H531" s="401">
        <f t="shared" si="108"/>
        <v>0</v>
      </c>
      <c r="I531" s="390">
        <f t="shared" si="106"/>
        <v>0</v>
      </c>
      <c r="J531" s="383">
        <f>IFERROR(I531/SUM(PROD!L530:L536),0)</f>
        <v>0</v>
      </c>
      <c r="K531" s="384">
        <f>IFERROR(J531/SUM(E529:E535,J529:J535,O529:O534),0)</f>
        <v>0</v>
      </c>
      <c r="L531" s="439" t="str">
        <f>$L$6</f>
        <v>Diversos</v>
      </c>
      <c r="M531" s="401">
        <f t="shared" si="111"/>
        <v>1000000</v>
      </c>
      <c r="N531" s="390">
        <f>M531*12/52</f>
        <v>230769.23076923078</v>
      </c>
      <c r="O531" s="383">
        <f>IFERROR(N531/SUM(PROD!L530:L536),0)</f>
        <v>0</v>
      </c>
      <c r="P531" s="384">
        <f>IFERROR(O531/SUM(E529:E535,J529:J535,O529:O534),0)</f>
        <v>0</v>
      </c>
      <c r="Q531" s="391" t="str">
        <f>$Q$6</f>
        <v>AA</v>
      </c>
      <c r="R531" s="392">
        <f t="shared" si="109"/>
        <v>0</v>
      </c>
      <c r="S531" s="870">
        <f>SUM(PROD!AO530:AO536)</f>
        <v>0</v>
      </c>
      <c r="T531" s="393">
        <f>IF(AA529&gt;0,S531/AA529,0)</f>
        <v>0</v>
      </c>
      <c r="U531" s="394" t="str">
        <f>$U$6</f>
        <v>Vencido</v>
      </c>
      <c r="V531" s="392">
        <f t="shared" si="110"/>
        <v>0</v>
      </c>
      <c r="W531" s="870">
        <f>SUM(PROD!AY530:AY536)</f>
        <v>0</v>
      </c>
      <c r="X531" s="393">
        <f>IFERROR(W531/(AA534-AA532),0)</f>
        <v>0</v>
      </c>
      <c r="Y531" s="402" t="s">
        <v>391</v>
      </c>
      <c r="Z531" s="456">
        <v>0</v>
      </c>
      <c r="AA531" s="720"/>
      <c r="AB531" s="495">
        <f>IF(AA534&gt;0,AA531/AA534,0)</f>
        <v>0</v>
      </c>
    </row>
    <row r="532" spans="1:28" ht="15.75" customHeight="1" x14ac:dyDescent="0.3">
      <c r="A532" s="2301"/>
      <c r="B532" s="438" t="str">
        <f>$B$7</f>
        <v>Mortalidad Aves</v>
      </c>
      <c r="C532" s="401">
        <f>IF(A529&lt;=$B$2,C530+$C$2,0)</f>
        <v>0</v>
      </c>
      <c r="D532" s="390">
        <f>C532*SUM(PROD!D530:D536)</f>
        <v>0</v>
      </c>
      <c r="E532" s="383">
        <f>IFERROR(D532/SUM(PROD!L530:L536),0)</f>
        <v>0</v>
      </c>
      <c r="F532" s="384">
        <f>IFERROR(E532/SUM(E529:E535,J529:J535,O529:O534),0)</f>
        <v>0</v>
      </c>
      <c r="G532" s="439" t="str">
        <f>$G$14</f>
        <v>Servicios Públicos</v>
      </c>
      <c r="H532" s="401">
        <f t="shared" si="108"/>
        <v>0</v>
      </c>
      <c r="I532" s="390">
        <f t="shared" si="106"/>
        <v>0</v>
      </c>
      <c r="J532" s="383">
        <f>IFERROR(I532/SUM(PROD!L530:L536),0)</f>
        <v>0</v>
      </c>
      <c r="K532" s="384">
        <f>IFERROR(J532/SUM(E529:E535,J529:J535,O529:O534),0)</f>
        <v>0</v>
      </c>
      <c r="L532" s="441" t="str">
        <f>$L$7</f>
        <v>Administrativos</v>
      </c>
      <c r="M532" s="401">
        <f t="shared" si="111"/>
        <v>0</v>
      </c>
      <c r="N532" s="404">
        <f>M532*0.230769230769231</f>
        <v>0</v>
      </c>
      <c r="O532" s="383">
        <f>IFERROR(N532/SUM(PROD!L530:L536),0)</f>
        <v>0</v>
      </c>
      <c r="P532" s="384">
        <f>IFERROR(O532/SUM(E529:E535,J529:J535,O529:O534),0)</f>
        <v>0</v>
      </c>
      <c r="Q532" s="391" t="str">
        <f>$Q$7</f>
        <v>A</v>
      </c>
      <c r="R532" s="392">
        <f t="shared" si="109"/>
        <v>0</v>
      </c>
      <c r="S532" s="870">
        <f>SUM(PROD!AP530:AP536)</f>
        <v>0</v>
      </c>
      <c r="T532" s="393">
        <f>IF(AA529&gt;0,S532/AA529,0)</f>
        <v>0</v>
      </c>
      <c r="U532" s="405" t="str">
        <f>$U$7</f>
        <v>Roto</v>
      </c>
      <c r="V532" s="406">
        <f t="shared" si="110"/>
        <v>0</v>
      </c>
      <c r="W532" s="872">
        <f>SUM(PROD!AZ530:AZ536)</f>
        <v>0</v>
      </c>
      <c r="X532" s="407">
        <f>IFERROR(W532/(AA534-AA532),0)</f>
        <v>0</v>
      </c>
      <c r="Y532" s="408" t="s">
        <v>359</v>
      </c>
      <c r="Z532" s="442">
        <v>215</v>
      </c>
      <c r="AA532" s="410">
        <f>SUM(PROD!L530:L536)-SUM(W529:W535)-SUM(S529:S535)-AA531</f>
        <v>0</v>
      </c>
      <c r="AB532" s="496">
        <f>IF(AA534&gt;0,AA532/AA534,0)</f>
        <v>0</v>
      </c>
    </row>
    <row r="533" spans="1:28" ht="15.75" customHeight="1" x14ac:dyDescent="0.3">
      <c r="A533" s="2301"/>
      <c r="B533" s="399" t="str">
        <f>$B$8</f>
        <v>Materia Prima (Carb Ca, etc.)</v>
      </c>
      <c r="C533" s="440">
        <f>C526</f>
        <v>0</v>
      </c>
      <c r="D533" s="387">
        <f>C533*12/52</f>
        <v>0</v>
      </c>
      <c r="E533" s="383">
        <f>IFERROR(D533/SUM(PROD!L530:L536),0)</f>
        <v>0</v>
      </c>
      <c r="F533" s="384">
        <f>IFERROR(E533/SUM(E529:E535,J529:J535,O529:O534),0)</f>
        <v>0</v>
      </c>
      <c r="G533" s="441" t="str">
        <f>$G$15</f>
        <v>Gastos Legales</v>
      </c>
      <c r="H533" s="401">
        <f t="shared" si="108"/>
        <v>0</v>
      </c>
      <c r="I533" s="390">
        <f t="shared" si="106"/>
        <v>0</v>
      </c>
      <c r="J533" s="383">
        <f>IFERROR(I533/SUM(PROD!L530:L536),0)</f>
        <v>0</v>
      </c>
      <c r="K533" s="384">
        <f>IFERROR(J533/SUM(E529:E535,J529:J535,O529:O534),0)</f>
        <v>0</v>
      </c>
      <c r="L533" s="439" t="str">
        <f>$L$8</f>
        <v>Fletes</v>
      </c>
      <c r="M533" s="401">
        <f t="shared" si="111"/>
        <v>0</v>
      </c>
      <c r="N533" s="404">
        <f>M533*0.230769230769231</f>
        <v>0</v>
      </c>
      <c r="O533" s="383">
        <f>IFERROR(N533/SUM(PROD!L530:L536),0)</f>
        <v>0</v>
      </c>
      <c r="P533" s="384">
        <f>IFERROR(O533/SUM(E529:E535,J529:J535,O529:O534),0)</f>
        <v>0</v>
      </c>
      <c r="Q533" s="391" t="str">
        <f>$Q$8</f>
        <v>B</v>
      </c>
      <c r="R533" s="392">
        <f t="shared" si="109"/>
        <v>0</v>
      </c>
      <c r="S533" s="870">
        <f>SUM(PROD!AQ530:AQ536)</f>
        <v>0</v>
      </c>
      <c r="T533" s="393">
        <f>IF(AA529&gt;0,S533/AA529,0)</f>
        <v>0</v>
      </c>
      <c r="U533" s="395" t="str">
        <f>$U$8</f>
        <v>Rev. Gr.</v>
      </c>
      <c r="V533" s="412">
        <f t="shared" si="110"/>
        <v>0</v>
      </c>
      <c r="W533" s="873">
        <f>SUM(PROD!AT530:AT536)</f>
        <v>0</v>
      </c>
      <c r="X533" s="413">
        <f>IFERROR(W533/(AA534-AA532),0)</f>
        <v>0</v>
      </c>
      <c r="Y533" s="414" t="s">
        <v>262</v>
      </c>
      <c r="Z533" s="415">
        <f>IFERROR(SUMPRODUCT(V533:V535,W533:W535)/SUM(W533:W535),0)</f>
        <v>0</v>
      </c>
      <c r="AA533" s="416">
        <f>SUM(W533:W535)</f>
        <v>0</v>
      </c>
      <c r="AB533" s="497">
        <f>IF(AA534&gt;0,AA533/AA534,0)</f>
        <v>0</v>
      </c>
    </row>
    <row r="534" spans="1:28" ht="15.75" customHeight="1" x14ac:dyDescent="0.3">
      <c r="A534" s="2301"/>
      <c r="B534" s="438" t="str">
        <f>$B$9</f>
        <v>Vacunas y medicamentos</v>
      </c>
      <c r="C534" s="443">
        <f>C527</f>
        <v>0</v>
      </c>
      <c r="D534" s="387">
        <f>C534*12/52</f>
        <v>0</v>
      </c>
      <c r="E534" s="383">
        <f>IFERROR(D534/SUM(PROD!L530:L536),0)</f>
        <v>0</v>
      </c>
      <c r="F534" s="384">
        <f>IFERROR(E534/SUM(E529:E535,J529:J535,O529:O534),0)</f>
        <v>0</v>
      </c>
      <c r="G534" s="441" t="str">
        <f>$G$16</f>
        <v>Mantenimiento y Reparaciones</v>
      </c>
      <c r="H534" s="401">
        <f t="shared" si="108"/>
        <v>0</v>
      </c>
      <c r="I534" s="390">
        <f t="shared" si="106"/>
        <v>0</v>
      </c>
      <c r="J534" s="383">
        <f>IFERROR(I534/SUM(PROD!L530:L536),0)</f>
        <v>0</v>
      </c>
      <c r="K534" s="384">
        <f>IFERROR(J534/SUM(E529:E535,J529:J535,O529:O534),0)</f>
        <v>0</v>
      </c>
      <c r="L534" s="439">
        <f>$L$9</f>
        <v>0</v>
      </c>
      <c r="M534" s="401">
        <f t="shared" si="111"/>
        <v>0</v>
      </c>
      <c r="N534" s="404">
        <f>M534*0.230769230769231</f>
        <v>0</v>
      </c>
      <c r="O534" s="383">
        <f>IFERROR(N534/SUM(PROD!L530:L536),0)</f>
        <v>0</v>
      </c>
      <c r="P534" s="384">
        <f>IFERROR(O534/SUM(E529:E535,J529:J535,O529:O534),0)</f>
        <v>0</v>
      </c>
      <c r="Q534" s="391" t="str">
        <f>$Q$9</f>
        <v>C</v>
      </c>
      <c r="R534" s="392">
        <f t="shared" si="109"/>
        <v>0</v>
      </c>
      <c r="S534" s="870">
        <f>SUM(PROD!AR530:AR536)</f>
        <v>0</v>
      </c>
      <c r="T534" s="393">
        <f>IF(AA529&gt;0,S534/AA529,0)</f>
        <v>0</v>
      </c>
      <c r="U534" s="394" t="str">
        <f>$U$9</f>
        <v>Rev. Med</v>
      </c>
      <c r="V534" s="392">
        <f t="shared" si="110"/>
        <v>0</v>
      </c>
      <c r="W534" s="870">
        <f>SUM(PROD!AU530:AU536)</f>
        <v>0</v>
      </c>
      <c r="X534" s="418">
        <f>IFERROR(W534/(AA534-AA532),0)</f>
        <v>0</v>
      </c>
      <c r="Y534" s="2303" t="s">
        <v>325</v>
      </c>
      <c r="Z534" s="2305">
        <f>SUMPRODUCT(Z529:Z533,AB529:AB533)</f>
        <v>0</v>
      </c>
      <c r="AA534" s="2307">
        <f>SUM(AA529:AA532)</f>
        <v>0</v>
      </c>
      <c r="AB534" s="2308"/>
    </row>
    <row r="535" spans="1:28" ht="16.5" customHeight="1" thickBot="1" x14ac:dyDescent="0.35">
      <c r="A535" s="2302"/>
      <c r="B535" s="444" t="str">
        <f>$B$10</f>
        <v>Gastos de Personal</v>
      </c>
      <c r="C535" s="445">
        <f>C528</f>
        <v>0</v>
      </c>
      <c r="D535" s="421">
        <f>C535*12/52</f>
        <v>0</v>
      </c>
      <c r="E535" s="446">
        <f>IFERROR(D535/SUM(PROD!L530:L536),0)</f>
        <v>0</v>
      </c>
      <c r="F535" s="447">
        <f>IFERROR(E535/SUM(E529:E535,J529:J535,O529:O534),0)</f>
        <v>0</v>
      </c>
      <c r="G535" s="448" t="str">
        <f>$G$17</f>
        <v>Adecuación Instalaciones</v>
      </c>
      <c r="H535" s="445">
        <f t="shared" si="108"/>
        <v>0</v>
      </c>
      <c r="I535" s="426">
        <f t="shared" si="106"/>
        <v>0</v>
      </c>
      <c r="J535" s="446">
        <f>IFERROR(I535/SUM(PROD!L530:L536),0)</f>
        <v>0</v>
      </c>
      <c r="K535" s="447">
        <f>IFERROR(J535/SUM(E529:E535,J529:J535,O529:O534),0)</f>
        <v>0</v>
      </c>
      <c r="L535" s="2311" t="str">
        <f>$L$10</f>
        <v>TOTAL COSTO PRODUCCIÓN</v>
      </c>
      <c r="M535" s="2312"/>
      <c r="N535" s="427">
        <f>SUM(D529:D535,I529:I535,N529:N534)</f>
        <v>230769.23076923078</v>
      </c>
      <c r="O535" s="449">
        <f>IFERROR(N535/SUM(PROD!L530:L536),0)</f>
        <v>0</v>
      </c>
      <c r="P535" s="447">
        <f>IFERROR(O535/SUM(E529:E535,J529:J535,O529:O534),0)</f>
        <v>0</v>
      </c>
      <c r="Q535" s="450" t="str">
        <f>$Q$10</f>
        <v>D</v>
      </c>
      <c r="R535" s="430">
        <f t="shared" si="109"/>
        <v>0</v>
      </c>
      <c r="S535" s="871">
        <f>SUM(PROD!AS530:AS536)</f>
        <v>0</v>
      </c>
      <c r="T535" s="451">
        <f>IF(AA529&gt;0,S535/AA529,0)</f>
        <v>0</v>
      </c>
      <c r="U535" s="452" t="str">
        <f>$U$10</f>
        <v>Rev. Peq</v>
      </c>
      <c r="V535" s="430">
        <f t="shared" si="110"/>
        <v>0</v>
      </c>
      <c r="W535" s="874">
        <f>SUM(PROD!AV530:AV536)</f>
        <v>0</v>
      </c>
      <c r="X535" s="451">
        <f>IFERROR(W535/(AA534-AA532),0)</f>
        <v>0</v>
      </c>
      <c r="Y535" s="2304"/>
      <c r="Z535" s="2306"/>
      <c r="AA535" s="2309"/>
      <c r="AB535" s="2310"/>
    </row>
    <row r="536" spans="1:28" ht="16.5" customHeight="1" x14ac:dyDescent="0.3">
      <c r="A536" s="2300">
        <f>A529+1</f>
        <v>94</v>
      </c>
      <c r="B536" s="433" t="str">
        <f>$B$4</f>
        <v>ALIMENTO Kilos</v>
      </c>
      <c r="C536" s="435">
        <f>LOOKUP($A536,PROD!$A$5:$A$725,PROD!$AH$10:$AH$730)</f>
        <v>0</v>
      </c>
      <c r="D536" s="368">
        <f>C536*LOOKUP($A536,'Pr-Sem'!$A$6:$A$108,'Pr-Sem'!$N$6:$N$108)/(PROD!$A$1/1000)</f>
        <v>0</v>
      </c>
      <c r="E536" s="369">
        <f>IFERROR(D536/SUM(PROD!L537:L543),0)</f>
        <v>0</v>
      </c>
      <c r="F536" s="370">
        <f>IFERROR(E536/SUM(E536:E542,J536:J542,O536:O541),0)</f>
        <v>0</v>
      </c>
      <c r="G536" s="434" t="str">
        <f>$G$11</f>
        <v>Honorarios</v>
      </c>
      <c r="H536" s="435">
        <f t="shared" si="108"/>
        <v>0</v>
      </c>
      <c r="I536" s="372">
        <f t="shared" si="106"/>
        <v>0</v>
      </c>
      <c r="J536" s="369">
        <f>IFERROR(I536/SUM(PROD!L537:L543),0)</f>
        <v>0</v>
      </c>
      <c r="K536" s="370">
        <f>IFERROR(J536/SUM(E536:E542,J536:J542,O536:O541),0)</f>
        <v>0</v>
      </c>
      <c r="L536" s="436" t="str">
        <f>$L$4</f>
        <v>Gastos de Viaje</v>
      </c>
      <c r="M536" s="435">
        <f t="shared" ref="M536:M541" si="112">M529</f>
        <v>0</v>
      </c>
      <c r="N536" s="372">
        <f>M536*12/52</f>
        <v>0</v>
      </c>
      <c r="O536" s="369">
        <f>IFERROR(N536/SUM(PROD!L537:L543),0)</f>
        <v>0</v>
      </c>
      <c r="P536" s="370">
        <f>IFERROR(O536/SUM(E536:E542,J536:J542,O536:O541),0)</f>
        <v>0</v>
      </c>
      <c r="Q536" s="373" t="str">
        <f>$Q$4</f>
        <v>AAAA</v>
      </c>
      <c r="R536" s="374">
        <f t="shared" si="109"/>
        <v>0</v>
      </c>
      <c r="S536" s="869">
        <f>SUM(PROD!AM537:AM543)</f>
        <v>0</v>
      </c>
      <c r="T536" s="375">
        <f>IF(AA536&gt;0,S536/AA536,0)</f>
        <v>0</v>
      </c>
      <c r="U536" s="376" t="str">
        <f>$U$4</f>
        <v>Prob Color</v>
      </c>
      <c r="V536" s="374">
        <f t="shared" si="110"/>
        <v>0</v>
      </c>
      <c r="W536" s="869">
        <f>SUM(PROD!AW537:AW543)</f>
        <v>0</v>
      </c>
      <c r="X536" s="375">
        <f>IFERROR(W536/(AA541-AA539),0)</f>
        <v>0</v>
      </c>
      <c r="Y536" s="377" t="s">
        <v>323</v>
      </c>
      <c r="Z536" s="378">
        <f>SUMPRODUCT(R536:R542,T536:T542)</f>
        <v>0</v>
      </c>
      <c r="AA536" s="379">
        <f>SUM(S536:S542)</f>
        <v>0</v>
      </c>
      <c r="AB536" s="490">
        <f>IF(AA541&gt;0,AA536/AA541,0)</f>
        <v>0</v>
      </c>
    </row>
    <row r="537" spans="1:28" ht="15.75" customHeight="1" x14ac:dyDescent="0.3">
      <c r="A537" s="2301"/>
      <c r="B537" s="438" t="str">
        <f>$B$5</f>
        <v>Amortización de Aves</v>
      </c>
      <c r="C537" s="381">
        <f>IFERROR((C530-(D537/'Pr-Sem'!$O$2)),0)</f>
        <v>0</v>
      </c>
      <c r="D537" s="382">
        <f>SUM(PROD!L537:L543)*E537</f>
        <v>0</v>
      </c>
      <c r="E537" s="383">
        <f>IF(SUM(PROD!L537:L543)&gt;0,IFERROR(($C$1-$C$2)/LOOKUP($B$2,'Pr-Sem'!$A$6:$A$108,'Pr-Sem'!$L$6:$L$108)*(LOOKUP(INVENTARIOS!$A536,'Pr-Sem'!$A$6:$A$108,'Pr-Sem'!$L$6:$L$108)-LOOKUP(INVENTARIOS!$A536-1,'Pr-Sem'!$A$6:$A$108,'Pr-Sem'!$L$6:$L$108))/(LOOKUP(INVENTARIOS!$A536,'Pr-Sem'!$A$6:$A$108,'Pr-Sem'!$K$6:$K$108)-LOOKUP(INVENTARIOS!$A536-1,'Pr-Sem'!$A$6:$A$108,'Pr-Sem'!$K$6:$K$108)),0),0)</f>
        <v>0</v>
      </c>
      <c r="F537" s="384">
        <f>IFERROR(E537/SUM(E536:E542,J536:J542,O536:O541),0)</f>
        <v>0</v>
      </c>
      <c r="G537" s="439" t="str">
        <f>$G$12</f>
        <v>Impuestos</v>
      </c>
      <c r="H537" s="440">
        <f t="shared" si="108"/>
        <v>0</v>
      </c>
      <c r="I537" s="387">
        <f t="shared" si="106"/>
        <v>0</v>
      </c>
      <c r="J537" s="383">
        <f>IFERROR(I537/SUM(PROD!L537:L543),0)</f>
        <v>0</v>
      </c>
      <c r="K537" s="384">
        <f>IFERROR(J537/SUM(E536:E542,J536:J542,O536:O541),0)</f>
        <v>0</v>
      </c>
      <c r="L537" s="439" t="str">
        <f>$L$5</f>
        <v>Depreciaciones</v>
      </c>
      <c r="M537" s="401">
        <f t="shared" si="112"/>
        <v>0</v>
      </c>
      <c r="N537" s="390">
        <f>M537*12/52</f>
        <v>0</v>
      </c>
      <c r="O537" s="383">
        <f>IFERROR(N537/SUM(PROD!L537:L543),0)</f>
        <v>0</v>
      </c>
      <c r="P537" s="384">
        <f>IFERROR(O537/SUM(E536:E542,J536:J542,O536:O541),0)</f>
        <v>0</v>
      </c>
      <c r="Q537" s="391" t="str">
        <f>$Q$5</f>
        <v>AAA</v>
      </c>
      <c r="R537" s="392">
        <f t="shared" si="109"/>
        <v>0</v>
      </c>
      <c r="S537" s="870">
        <f>SUM(PROD!AN537:AN543)</f>
        <v>0</v>
      </c>
      <c r="T537" s="393">
        <f>IF(AA536&gt;0,S537/AA536,0)</f>
        <v>0</v>
      </c>
      <c r="U537" s="394" t="str">
        <f>$U$5</f>
        <v>Prob Cásc</v>
      </c>
      <c r="V537" s="392">
        <f t="shared" si="110"/>
        <v>0</v>
      </c>
      <c r="W537" s="870">
        <f>SUM(PROD!AX537:AX543)</f>
        <v>0</v>
      </c>
      <c r="X537" s="393">
        <f>IFERROR(W537/(AA541-AA539),0)</f>
        <v>0</v>
      </c>
      <c r="Y537" s="395" t="s">
        <v>324</v>
      </c>
      <c r="Z537" s="396">
        <f>IFERROR(SUMPRODUCT(V536:V539,W536:W539)/SUM(W536:W539),0)</f>
        <v>0</v>
      </c>
      <c r="AA537" s="397">
        <f>SUM(W536:W539)</f>
        <v>0</v>
      </c>
      <c r="AB537" s="494">
        <f>IF(AA541&gt;0,AA537/AA541,0)</f>
        <v>0</v>
      </c>
    </row>
    <row r="538" spans="1:28" ht="15.75" customHeight="1" x14ac:dyDescent="0.3">
      <c r="A538" s="2301"/>
      <c r="B538" s="399" t="str">
        <f>$B$6</f>
        <v>Bandeja</v>
      </c>
      <c r="C538" s="400">
        <f>C531</f>
        <v>0</v>
      </c>
      <c r="D538" s="387">
        <f>C538*SUM(INVENTARIOS!R536:R542)</f>
        <v>0</v>
      </c>
      <c r="E538" s="383">
        <f>IFERROR(D538/SUM(PROD!L537:L543),0)</f>
        <v>0</v>
      </c>
      <c r="F538" s="384">
        <f>IFERROR(E538/SUM(E536:E542,J536:J542,O536:O541),0)</f>
        <v>0</v>
      </c>
      <c r="G538" s="439" t="str">
        <f>$G$13</f>
        <v>Arrendamientos</v>
      </c>
      <c r="H538" s="401">
        <f t="shared" si="108"/>
        <v>0</v>
      </c>
      <c r="I538" s="390">
        <f t="shared" si="106"/>
        <v>0</v>
      </c>
      <c r="J538" s="383">
        <f>IFERROR(I538/SUM(PROD!L537:L543),0)</f>
        <v>0</v>
      </c>
      <c r="K538" s="384">
        <f>IFERROR(J538/SUM(E536:E542,J536:J542,O536:O541),0)</f>
        <v>0</v>
      </c>
      <c r="L538" s="439" t="str">
        <f>$L$6</f>
        <v>Diversos</v>
      </c>
      <c r="M538" s="401">
        <f t="shared" si="112"/>
        <v>1000000</v>
      </c>
      <c r="N538" s="390">
        <f>M538*12/52</f>
        <v>230769.23076923078</v>
      </c>
      <c r="O538" s="383">
        <f>IFERROR(N538/SUM(PROD!L537:L543),0)</f>
        <v>0</v>
      </c>
      <c r="P538" s="384">
        <f>IFERROR(O538/SUM(E536:E542,J536:J542,O536:O541),0)</f>
        <v>0</v>
      </c>
      <c r="Q538" s="391" t="str">
        <f>$Q$6</f>
        <v>AA</v>
      </c>
      <c r="R538" s="392">
        <f t="shared" si="109"/>
        <v>0</v>
      </c>
      <c r="S538" s="870">
        <f>SUM(PROD!AO537:AO543)</f>
        <v>0</v>
      </c>
      <c r="T538" s="393">
        <f>IF(AA536&gt;0,S538/AA536,0)</f>
        <v>0</v>
      </c>
      <c r="U538" s="394" t="str">
        <f>$U$6</f>
        <v>Vencido</v>
      </c>
      <c r="V538" s="392">
        <f t="shared" si="110"/>
        <v>0</v>
      </c>
      <c r="W538" s="870">
        <f>SUM(PROD!AY537:AY543)</f>
        <v>0</v>
      </c>
      <c r="X538" s="393">
        <f>IFERROR(W538/(AA541-AA539),0)</f>
        <v>0</v>
      </c>
      <c r="Y538" s="402" t="s">
        <v>391</v>
      </c>
      <c r="Z538" s="456">
        <v>0</v>
      </c>
      <c r="AA538" s="720"/>
      <c r="AB538" s="495">
        <f>IF(AA541&gt;0,AA538/AA541,0)</f>
        <v>0</v>
      </c>
    </row>
    <row r="539" spans="1:28" ht="15.75" customHeight="1" x14ac:dyDescent="0.3">
      <c r="A539" s="2301"/>
      <c r="B539" s="438" t="str">
        <f>$B$7</f>
        <v>Mortalidad Aves</v>
      </c>
      <c r="C539" s="401">
        <f>IF(A536&lt;=$B$2,C537+$C$2,0)</f>
        <v>0</v>
      </c>
      <c r="D539" s="390">
        <f>C539*SUM(PROD!D537:D543)</f>
        <v>0</v>
      </c>
      <c r="E539" s="383">
        <f>IFERROR(D539/SUM(PROD!L537:L543),0)</f>
        <v>0</v>
      </c>
      <c r="F539" s="384">
        <f>IFERROR(E539/SUM(E536:E542,J536:J542,O536:O541),0)</f>
        <v>0</v>
      </c>
      <c r="G539" s="439" t="str">
        <f>$G$14</f>
        <v>Servicios Públicos</v>
      </c>
      <c r="H539" s="401">
        <f t="shared" si="108"/>
        <v>0</v>
      </c>
      <c r="I539" s="390">
        <f t="shared" si="106"/>
        <v>0</v>
      </c>
      <c r="J539" s="383">
        <f>IFERROR(I539/SUM(PROD!L537:L543),0)</f>
        <v>0</v>
      </c>
      <c r="K539" s="384">
        <f>IFERROR(J539/SUM(E536:E542,J536:J542,O536:O541),0)</f>
        <v>0</v>
      </c>
      <c r="L539" s="441" t="str">
        <f>$L$7</f>
        <v>Administrativos</v>
      </c>
      <c r="M539" s="401">
        <f t="shared" si="112"/>
        <v>0</v>
      </c>
      <c r="N539" s="404">
        <f>M539*0.230769230769231</f>
        <v>0</v>
      </c>
      <c r="O539" s="383">
        <f>IFERROR(N539/SUM(PROD!L537:L543),0)</f>
        <v>0</v>
      </c>
      <c r="P539" s="384">
        <f>IFERROR(O539/SUM(E536:E542,J536:J542,O536:O541),0)</f>
        <v>0</v>
      </c>
      <c r="Q539" s="391" t="str">
        <f>$Q$7</f>
        <v>A</v>
      </c>
      <c r="R539" s="392">
        <f t="shared" si="109"/>
        <v>0</v>
      </c>
      <c r="S539" s="870">
        <f>SUM(PROD!AP537:AP543)</f>
        <v>0</v>
      </c>
      <c r="T539" s="393">
        <f>IF(AA536&gt;0,S539/AA536,0)</f>
        <v>0</v>
      </c>
      <c r="U539" s="405" t="str">
        <f>$U$7</f>
        <v>Roto</v>
      </c>
      <c r="V539" s="406">
        <f t="shared" si="110"/>
        <v>0</v>
      </c>
      <c r="W539" s="872">
        <f>SUM(PROD!AZ537:AZ543)</f>
        <v>0</v>
      </c>
      <c r="X539" s="407">
        <f>IFERROR(W539/(AA541-AA539),0)</f>
        <v>0</v>
      </c>
      <c r="Y539" s="408" t="s">
        <v>359</v>
      </c>
      <c r="Z539" s="442">
        <v>215</v>
      </c>
      <c r="AA539" s="410">
        <f>SUM(PROD!L537:L543)-SUM(W536:W542)-SUM(S536:S542)-AA538</f>
        <v>0</v>
      </c>
      <c r="AB539" s="496">
        <f>IF(AA541&gt;0,AA539/AA541,0)</f>
        <v>0</v>
      </c>
    </row>
    <row r="540" spans="1:28" ht="15.75" customHeight="1" x14ac:dyDescent="0.3">
      <c r="A540" s="2301"/>
      <c r="B540" s="399" t="str">
        <f>$B$8</f>
        <v>Materia Prima (Carb Ca, etc.)</v>
      </c>
      <c r="C540" s="440">
        <f>C533</f>
        <v>0</v>
      </c>
      <c r="D540" s="387">
        <f>C540*12/52</f>
        <v>0</v>
      </c>
      <c r="E540" s="383">
        <f>IFERROR(D540/SUM(PROD!L537:L543),0)</f>
        <v>0</v>
      </c>
      <c r="F540" s="384">
        <f>IFERROR(E540/SUM(E536:E542,J536:J542,O536:O541),0)</f>
        <v>0</v>
      </c>
      <c r="G540" s="441" t="str">
        <f>$G$15</f>
        <v>Gastos Legales</v>
      </c>
      <c r="H540" s="401">
        <f t="shared" si="108"/>
        <v>0</v>
      </c>
      <c r="I540" s="390">
        <f t="shared" si="106"/>
        <v>0</v>
      </c>
      <c r="J540" s="383">
        <f>IFERROR(I540/SUM(PROD!L537:L543),0)</f>
        <v>0</v>
      </c>
      <c r="K540" s="384">
        <f>IFERROR(J540/SUM(E536:E542,J536:J542,O536:O541),0)</f>
        <v>0</v>
      </c>
      <c r="L540" s="439" t="str">
        <f>$L$8</f>
        <v>Fletes</v>
      </c>
      <c r="M540" s="401">
        <f t="shared" si="112"/>
        <v>0</v>
      </c>
      <c r="N540" s="404">
        <f>M540*0.230769230769231</f>
        <v>0</v>
      </c>
      <c r="O540" s="383">
        <f>IFERROR(N540/SUM(PROD!L537:L543),0)</f>
        <v>0</v>
      </c>
      <c r="P540" s="384">
        <f>IFERROR(O540/SUM(E536:E542,J536:J542,O536:O541),0)</f>
        <v>0</v>
      </c>
      <c r="Q540" s="391" t="str">
        <f>$Q$8</f>
        <v>B</v>
      </c>
      <c r="R540" s="392">
        <f t="shared" si="109"/>
        <v>0</v>
      </c>
      <c r="S540" s="870">
        <f>SUM(PROD!AQ537:AQ543)</f>
        <v>0</v>
      </c>
      <c r="T540" s="393">
        <f>IF(AA536&gt;0,S540/AA536,0)</f>
        <v>0</v>
      </c>
      <c r="U540" s="395" t="str">
        <f>$U$8</f>
        <v>Rev. Gr.</v>
      </c>
      <c r="V540" s="412">
        <f t="shared" si="110"/>
        <v>0</v>
      </c>
      <c r="W540" s="873">
        <f>SUM(PROD!AT537:AT543)</f>
        <v>0</v>
      </c>
      <c r="X540" s="413">
        <f>IFERROR(W540/(AA541-AA539),0)</f>
        <v>0</v>
      </c>
      <c r="Y540" s="414" t="s">
        <v>262</v>
      </c>
      <c r="Z540" s="415">
        <f>IFERROR(SUMPRODUCT(V540:V542,W540:W542)/SUM(W540:W542),0)</f>
        <v>0</v>
      </c>
      <c r="AA540" s="416">
        <f>SUM(W540:W542)</f>
        <v>0</v>
      </c>
      <c r="AB540" s="497">
        <f>IF(AA541&gt;0,AA540/AA541,0)</f>
        <v>0</v>
      </c>
    </row>
    <row r="541" spans="1:28" ht="15.75" customHeight="1" x14ac:dyDescent="0.3">
      <c r="A541" s="2301"/>
      <c r="B541" s="438" t="str">
        <f>$B$9</f>
        <v>Vacunas y medicamentos</v>
      </c>
      <c r="C541" s="443">
        <f>C534</f>
        <v>0</v>
      </c>
      <c r="D541" s="387">
        <f>C541*12/52</f>
        <v>0</v>
      </c>
      <c r="E541" s="383">
        <f>IFERROR(D541/SUM(PROD!L537:L543),0)</f>
        <v>0</v>
      </c>
      <c r="F541" s="384">
        <f>IFERROR(E541/SUM(E536:E542,J536:J542,O536:O541),0)</f>
        <v>0</v>
      </c>
      <c r="G541" s="441" t="str">
        <f>$G$16</f>
        <v>Mantenimiento y Reparaciones</v>
      </c>
      <c r="H541" s="401">
        <f t="shared" si="108"/>
        <v>0</v>
      </c>
      <c r="I541" s="390">
        <f t="shared" si="106"/>
        <v>0</v>
      </c>
      <c r="J541" s="383">
        <f>IFERROR(I541/SUM(PROD!L537:L543),0)</f>
        <v>0</v>
      </c>
      <c r="K541" s="384">
        <f>IFERROR(J541/SUM(E536:E542,J536:J542,O536:O541),0)</f>
        <v>0</v>
      </c>
      <c r="L541" s="439">
        <f>$L$9</f>
        <v>0</v>
      </c>
      <c r="M541" s="401">
        <f t="shared" si="112"/>
        <v>0</v>
      </c>
      <c r="N541" s="404">
        <f>M541*0.230769230769231</f>
        <v>0</v>
      </c>
      <c r="O541" s="383">
        <f>IFERROR(N541/SUM(PROD!L537:L543),0)</f>
        <v>0</v>
      </c>
      <c r="P541" s="384">
        <f>IFERROR(O541/SUM(E536:E542,J536:J542,O536:O541),0)</f>
        <v>0</v>
      </c>
      <c r="Q541" s="391" t="str">
        <f>$Q$9</f>
        <v>C</v>
      </c>
      <c r="R541" s="392">
        <f t="shared" si="109"/>
        <v>0</v>
      </c>
      <c r="S541" s="870">
        <f>SUM(PROD!AR537:AR543)</f>
        <v>0</v>
      </c>
      <c r="T541" s="393">
        <f>IF(AA536&gt;0,S541/AA536,0)</f>
        <v>0</v>
      </c>
      <c r="U541" s="394" t="str">
        <f>$U$9</f>
        <v>Rev. Med</v>
      </c>
      <c r="V541" s="392">
        <f t="shared" si="110"/>
        <v>0</v>
      </c>
      <c r="W541" s="870">
        <f>SUM(PROD!AU537:AU543)</f>
        <v>0</v>
      </c>
      <c r="X541" s="418">
        <f>IFERROR(W541/(AA541-AA539),0)</f>
        <v>0</v>
      </c>
      <c r="Y541" s="2303" t="s">
        <v>325</v>
      </c>
      <c r="Z541" s="2305">
        <f>SUMPRODUCT(Z536:Z540,AB536:AB540)</f>
        <v>0</v>
      </c>
      <c r="AA541" s="2307">
        <f>SUM(AA536:AA539)</f>
        <v>0</v>
      </c>
      <c r="AB541" s="2308"/>
    </row>
    <row r="542" spans="1:28" ht="16.5" customHeight="1" thickBot="1" x14ac:dyDescent="0.35">
      <c r="A542" s="2302"/>
      <c r="B542" s="444" t="str">
        <f>$B$10</f>
        <v>Gastos de Personal</v>
      </c>
      <c r="C542" s="445">
        <f>C535</f>
        <v>0</v>
      </c>
      <c r="D542" s="421">
        <f>C542*12/52</f>
        <v>0</v>
      </c>
      <c r="E542" s="446">
        <f>IFERROR(D542/SUM(PROD!L537:L543),0)</f>
        <v>0</v>
      </c>
      <c r="F542" s="447">
        <f>IFERROR(E542/SUM(E536:E542,J536:J542,O536:O541),0)</f>
        <v>0</v>
      </c>
      <c r="G542" s="448" t="str">
        <f>$G$17</f>
        <v>Adecuación Instalaciones</v>
      </c>
      <c r="H542" s="445">
        <f t="shared" si="108"/>
        <v>0</v>
      </c>
      <c r="I542" s="426">
        <f t="shared" si="106"/>
        <v>0</v>
      </c>
      <c r="J542" s="446">
        <f>IFERROR(I542/SUM(PROD!L537:L543),0)</f>
        <v>0</v>
      </c>
      <c r="K542" s="447">
        <f>IFERROR(J542/SUM(E536:E542,J536:J542,O536:O541),0)</f>
        <v>0</v>
      </c>
      <c r="L542" s="2311" t="str">
        <f>$L$10</f>
        <v>TOTAL COSTO PRODUCCIÓN</v>
      </c>
      <c r="M542" s="2312"/>
      <c r="N542" s="427">
        <f>SUM(D536:D542,I536:I542,N536:N541)</f>
        <v>230769.23076923078</v>
      </c>
      <c r="O542" s="449">
        <f>IFERROR(N542/SUM(PROD!L537:L543),0)</f>
        <v>0</v>
      </c>
      <c r="P542" s="447">
        <f>IFERROR(O542/SUM(E536:E542,J536:J542,O536:O541),0)</f>
        <v>0</v>
      </c>
      <c r="Q542" s="450" t="str">
        <f>$Q$10</f>
        <v>D</v>
      </c>
      <c r="R542" s="430">
        <f t="shared" si="109"/>
        <v>0</v>
      </c>
      <c r="S542" s="871">
        <f>SUM(PROD!AS537:AS543)</f>
        <v>0</v>
      </c>
      <c r="T542" s="451">
        <f>IF(AA536&gt;0,S542/AA536,0)</f>
        <v>0</v>
      </c>
      <c r="U542" s="452" t="str">
        <f>$U$10</f>
        <v>Rev. Peq</v>
      </c>
      <c r="V542" s="430">
        <f t="shared" si="110"/>
        <v>0</v>
      </c>
      <c r="W542" s="874">
        <f>SUM(PROD!AV537:AV543)</f>
        <v>0</v>
      </c>
      <c r="X542" s="451">
        <f>IFERROR(W542/(AA541-AA539),0)</f>
        <v>0</v>
      </c>
      <c r="Y542" s="2304"/>
      <c r="Z542" s="2306"/>
      <c r="AA542" s="2309"/>
      <c r="AB542" s="2310"/>
    </row>
    <row r="543" spans="1:28" ht="16.5" customHeight="1" x14ac:dyDescent="0.3">
      <c r="A543" s="2300">
        <f>A536+1</f>
        <v>95</v>
      </c>
      <c r="B543" s="433" t="str">
        <f>$B$4</f>
        <v>ALIMENTO Kilos</v>
      </c>
      <c r="C543" s="435">
        <f>LOOKUP($A543,PROD!$A$5:$A$725,PROD!$AH$10:$AH$730)</f>
        <v>0</v>
      </c>
      <c r="D543" s="368">
        <f>C543*LOOKUP($A543,'Pr-Sem'!$A$6:$A$108,'Pr-Sem'!$N$6:$N$108)/(PROD!$A$1/1000)</f>
        <v>0</v>
      </c>
      <c r="E543" s="369">
        <f>IFERROR(D543/SUM(PROD!L544:L550),0)</f>
        <v>0</v>
      </c>
      <c r="F543" s="370">
        <f>IFERROR(E543/SUM(E543:E549,J543:J549,O543:O548),0)</f>
        <v>0</v>
      </c>
      <c r="G543" s="434" t="str">
        <f>$G$11</f>
        <v>Honorarios</v>
      </c>
      <c r="H543" s="435">
        <f t="shared" si="108"/>
        <v>0</v>
      </c>
      <c r="I543" s="372">
        <f t="shared" si="106"/>
        <v>0</v>
      </c>
      <c r="J543" s="369">
        <f>IFERROR(I543/SUM(PROD!L544:L550),0)</f>
        <v>0</v>
      </c>
      <c r="K543" s="370">
        <f>IFERROR(J543/SUM(E543:E549,J543:J549,O543:O548),0)</f>
        <v>0</v>
      </c>
      <c r="L543" s="436" t="str">
        <f>$L$4</f>
        <v>Gastos de Viaje</v>
      </c>
      <c r="M543" s="435">
        <f t="shared" ref="M543:M548" si="113">M536</f>
        <v>0</v>
      </c>
      <c r="N543" s="372">
        <f>M543*12/52</f>
        <v>0</v>
      </c>
      <c r="O543" s="369">
        <f>IFERROR(N543/SUM(PROD!L544:L550),0)</f>
        <v>0</v>
      </c>
      <c r="P543" s="370">
        <f>IFERROR(O543/SUM(E543:E549,J543:J549,O543:O548),0)</f>
        <v>0</v>
      </c>
      <c r="Q543" s="373" t="str">
        <f>$Q$4</f>
        <v>AAAA</v>
      </c>
      <c r="R543" s="374">
        <f t="shared" si="109"/>
        <v>0</v>
      </c>
      <c r="S543" s="869">
        <f>SUM(PROD!AM544:AM550)</f>
        <v>0</v>
      </c>
      <c r="T543" s="375">
        <f>IF(AA543&gt;0,S543/AA543,0)</f>
        <v>0</v>
      </c>
      <c r="U543" s="376" t="str">
        <f>$U$4</f>
        <v>Prob Color</v>
      </c>
      <c r="V543" s="374">
        <f t="shared" si="110"/>
        <v>0</v>
      </c>
      <c r="W543" s="869">
        <f>SUM(PROD!AW544:AW550)</f>
        <v>0</v>
      </c>
      <c r="X543" s="375">
        <f>IFERROR(W543/(AA548-AA546),0)</f>
        <v>0</v>
      </c>
      <c r="Y543" s="377" t="s">
        <v>323</v>
      </c>
      <c r="Z543" s="378">
        <f>SUMPRODUCT(R543:R549,T543:T549)</f>
        <v>0</v>
      </c>
      <c r="AA543" s="379">
        <f>SUM(S543:S549)</f>
        <v>0</v>
      </c>
      <c r="AB543" s="490">
        <f>IF(AA548&gt;0,AA543/AA548,0)</f>
        <v>0</v>
      </c>
    </row>
    <row r="544" spans="1:28" ht="15.75" customHeight="1" x14ac:dyDescent="0.3">
      <c r="A544" s="2301"/>
      <c r="B544" s="438" t="str">
        <f>$B$5</f>
        <v>Amortización de Aves</v>
      </c>
      <c r="C544" s="381">
        <f>IFERROR((C537-(D544/'Pr-Sem'!$O$2)),0)</f>
        <v>0</v>
      </c>
      <c r="D544" s="382">
        <f>SUM(PROD!L544:L550)*E544</f>
        <v>0</v>
      </c>
      <c r="E544" s="383">
        <f>IF(SUM(PROD!L544:L550)&gt;0,IFERROR(($C$1-$C$2)/LOOKUP($B$2,'Pr-Sem'!$A$6:$A$108,'Pr-Sem'!$L$6:$L$108)*(LOOKUP(INVENTARIOS!$A543,'Pr-Sem'!$A$6:$A$108,'Pr-Sem'!$L$6:$L$108)-LOOKUP(INVENTARIOS!$A543-1,'Pr-Sem'!$A$6:$A$108,'Pr-Sem'!$L$6:$L$108))/(LOOKUP(INVENTARIOS!$A543,'Pr-Sem'!$A$6:$A$108,'Pr-Sem'!$K$6:$K$108)-LOOKUP(INVENTARIOS!$A543-1,'Pr-Sem'!$A$6:$A$108,'Pr-Sem'!$K$6:$K$108)),0),0)</f>
        <v>0</v>
      </c>
      <c r="F544" s="384">
        <f>IFERROR(E544/SUM(E543:E549,J543:J549,O543:O548),0)</f>
        <v>0</v>
      </c>
      <c r="G544" s="439" t="str">
        <f>$G$12</f>
        <v>Impuestos</v>
      </c>
      <c r="H544" s="440">
        <f t="shared" si="108"/>
        <v>0</v>
      </c>
      <c r="I544" s="387">
        <f t="shared" si="106"/>
        <v>0</v>
      </c>
      <c r="J544" s="383">
        <f>IFERROR(I544/SUM(PROD!L544:L550),0)</f>
        <v>0</v>
      </c>
      <c r="K544" s="384">
        <f>IFERROR(J544/SUM(E543:E549,J543:J549,O543:O548),0)</f>
        <v>0</v>
      </c>
      <c r="L544" s="439" t="str">
        <f>$L$5</f>
        <v>Depreciaciones</v>
      </c>
      <c r="M544" s="401">
        <f t="shared" si="113"/>
        <v>0</v>
      </c>
      <c r="N544" s="390">
        <f>M544*12/52</f>
        <v>0</v>
      </c>
      <c r="O544" s="383">
        <f>IFERROR(N544/SUM(PROD!L544:L550),0)</f>
        <v>0</v>
      </c>
      <c r="P544" s="384">
        <f>IFERROR(O544/SUM(E543:E549,J543:J549,O543:O548),0)</f>
        <v>0</v>
      </c>
      <c r="Q544" s="391" t="str">
        <f>$Q$5</f>
        <v>AAA</v>
      </c>
      <c r="R544" s="392">
        <f t="shared" si="109"/>
        <v>0</v>
      </c>
      <c r="S544" s="870">
        <f>SUM(PROD!AN544:AN550)</f>
        <v>0</v>
      </c>
      <c r="T544" s="393">
        <f>IF(AA543&gt;0,S544/AA543,0)</f>
        <v>0</v>
      </c>
      <c r="U544" s="394" t="str">
        <f>$U$5</f>
        <v>Prob Cásc</v>
      </c>
      <c r="V544" s="392">
        <f t="shared" si="110"/>
        <v>0</v>
      </c>
      <c r="W544" s="870">
        <f>SUM(PROD!AX544:AX550)</f>
        <v>0</v>
      </c>
      <c r="X544" s="393">
        <f>IFERROR(W544/(AA548-AA546),0)</f>
        <v>0</v>
      </c>
      <c r="Y544" s="395" t="s">
        <v>324</v>
      </c>
      <c r="Z544" s="396">
        <f>IFERROR(SUMPRODUCT(V543:V546,W543:W546)/SUM(W543:W546),0)</f>
        <v>0</v>
      </c>
      <c r="AA544" s="397">
        <f>SUM(W543:W546)</f>
        <v>0</v>
      </c>
      <c r="AB544" s="494">
        <f>IF(AA548&gt;0,AA544/AA548,0)</f>
        <v>0</v>
      </c>
    </row>
    <row r="545" spans="1:28" ht="15.75" customHeight="1" x14ac:dyDescent="0.3">
      <c r="A545" s="2301"/>
      <c r="B545" s="399" t="str">
        <f>$B$6</f>
        <v>Bandeja</v>
      </c>
      <c r="C545" s="400">
        <f>C538</f>
        <v>0</v>
      </c>
      <c r="D545" s="387">
        <f>C545*SUM(INVENTARIOS!R543:R549)</f>
        <v>0</v>
      </c>
      <c r="E545" s="383">
        <f>IFERROR(D545/SUM(PROD!L544:L550),0)</f>
        <v>0</v>
      </c>
      <c r="F545" s="384">
        <f>IFERROR(E545/SUM(E543:E549,J543:J549,O543:O548),0)</f>
        <v>0</v>
      </c>
      <c r="G545" s="439" t="str">
        <f>$G$13</f>
        <v>Arrendamientos</v>
      </c>
      <c r="H545" s="401">
        <f t="shared" si="108"/>
        <v>0</v>
      </c>
      <c r="I545" s="390">
        <f t="shared" si="106"/>
        <v>0</v>
      </c>
      <c r="J545" s="383">
        <f>IFERROR(I545/SUM(PROD!L544:L550),0)</f>
        <v>0</v>
      </c>
      <c r="K545" s="384">
        <f>IFERROR(J545/SUM(E543:E549,J543:J549,O543:O548),0)</f>
        <v>0</v>
      </c>
      <c r="L545" s="439" t="str">
        <f>$L$6</f>
        <v>Diversos</v>
      </c>
      <c r="M545" s="401">
        <f t="shared" si="113"/>
        <v>1000000</v>
      </c>
      <c r="N545" s="390">
        <f>M545*12/52</f>
        <v>230769.23076923078</v>
      </c>
      <c r="O545" s="383">
        <f>IFERROR(N545/SUM(PROD!L544:L550),0)</f>
        <v>0</v>
      </c>
      <c r="P545" s="384">
        <f>IFERROR(O545/SUM(E543:E549,J543:J549,O543:O548),0)</f>
        <v>0</v>
      </c>
      <c r="Q545" s="391" t="str">
        <f>$Q$6</f>
        <v>AA</v>
      </c>
      <c r="R545" s="392">
        <f t="shared" si="109"/>
        <v>0</v>
      </c>
      <c r="S545" s="870">
        <f>SUM(PROD!AO544:AO550)</f>
        <v>0</v>
      </c>
      <c r="T545" s="393">
        <f>IF(AA543&gt;0,S545/AA543,0)</f>
        <v>0</v>
      </c>
      <c r="U545" s="394" t="str">
        <f>$U$6</f>
        <v>Vencido</v>
      </c>
      <c r="V545" s="392">
        <f t="shared" si="110"/>
        <v>0</v>
      </c>
      <c r="W545" s="870">
        <f>SUM(PROD!AY544:AY550)</f>
        <v>0</v>
      </c>
      <c r="X545" s="393">
        <f>IFERROR(W545/(AA548-AA546),0)</f>
        <v>0</v>
      </c>
      <c r="Y545" s="402" t="s">
        <v>391</v>
      </c>
      <c r="Z545" s="456">
        <v>0</v>
      </c>
      <c r="AA545" s="720"/>
      <c r="AB545" s="495">
        <f>IF(AA548&gt;0,AA545/AA548,0)</f>
        <v>0</v>
      </c>
    </row>
    <row r="546" spans="1:28" ht="15.75" customHeight="1" x14ac:dyDescent="0.3">
      <c r="A546" s="2301"/>
      <c r="B546" s="438" t="str">
        <f>$B$7</f>
        <v>Mortalidad Aves</v>
      </c>
      <c r="C546" s="401">
        <f>IF(A543&lt;=$B$2,C544+$C$2,0)</f>
        <v>0</v>
      </c>
      <c r="D546" s="390">
        <f>C546*SUM(PROD!D544:D550)</f>
        <v>0</v>
      </c>
      <c r="E546" s="383">
        <f>IFERROR(D546/SUM(PROD!L544:L550),0)</f>
        <v>0</v>
      </c>
      <c r="F546" s="384">
        <f>IFERROR(E546/SUM(E543:E549,J543:J549,O543:O548),0)</f>
        <v>0</v>
      </c>
      <c r="G546" s="439" t="str">
        <f>$G$14</f>
        <v>Servicios Públicos</v>
      </c>
      <c r="H546" s="401">
        <f t="shared" si="108"/>
        <v>0</v>
      </c>
      <c r="I546" s="390">
        <f t="shared" si="106"/>
        <v>0</v>
      </c>
      <c r="J546" s="383">
        <f>IFERROR(I546/SUM(PROD!L544:L550),0)</f>
        <v>0</v>
      </c>
      <c r="K546" s="384">
        <f>IFERROR(J546/SUM(E543:E549,J543:J549,O543:O548),0)</f>
        <v>0</v>
      </c>
      <c r="L546" s="441" t="str">
        <f>$L$7</f>
        <v>Administrativos</v>
      </c>
      <c r="M546" s="401">
        <f t="shared" si="113"/>
        <v>0</v>
      </c>
      <c r="N546" s="404">
        <f>M546*0.230769230769231</f>
        <v>0</v>
      </c>
      <c r="O546" s="383">
        <f>IFERROR(N546/SUM(PROD!L544:L550),0)</f>
        <v>0</v>
      </c>
      <c r="P546" s="384">
        <f>IFERROR(O546/SUM(E543:E549,J543:J549,O543:O548),0)</f>
        <v>0</v>
      </c>
      <c r="Q546" s="391" t="str">
        <f>$Q$7</f>
        <v>A</v>
      </c>
      <c r="R546" s="392">
        <f t="shared" si="109"/>
        <v>0</v>
      </c>
      <c r="S546" s="870">
        <f>SUM(PROD!AP544:AP550)</f>
        <v>0</v>
      </c>
      <c r="T546" s="393">
        <f>IF(AA543&gt;0,S546/AA543,0)</f>
        <v>0</v>
      </c>
      <c r="U546" s="405" t="str">
        <f>$U$7</f>
        <v>Roto</v>
      </c>
      <c r="V546" s="406">
        <f t="shared" si="110"/>
        <v>0</v>
      </c>
      <c r="W546" s="872">
        <f>SUM(PROD!AZ544:AZ550)</f>
        <v>0</v>
      </c>
      <c r="X546" s="407">
        <f>IFERROR(W546/(AA548-AA546),0)</f>
        <v>0</v>
      </c>
      <c r="Y546" s="408" t="s">
        <v>359</v>
      </c>
      <c r="Z546" s="442">
        <v>215</v>
      </c>
      <c r="AA546" s="410">
        <f>SUM(PROD!L544:L550)-SUM(W543:W549)-SUM(S543:S549)-AA545</f>
        <v>0</v>
      </c>
      <c r="AB546" s="496">
        <f>IF(AA548&gt;0,AA546/AA548,0)</f>
        <v>0</v>
      </c>
    </row>
    <row r="547" spans="1:28" ht="15.75" customHeight="1" x14ac:dyDescent="0.3">
      <c r="A547" s="2301"/>
      <c r="B547" s="399" t="str">
        <f>$B$8</f>
        <v>Materia Prima (Carb Ca, etc.)</v>
      </c>
      <c r="C547" s="440">
        <f>C540</f>
        <v>0</v>
      </c>
      <c r="D547" s="387">
        <f>C547*12/52</f>
        <v>0</v>
      </c>
      <c r="E547" s="383">
        <f>IFERROR(D547/SUM(PROD!L544:L550),0)</f>
        <v>0</v>
      </c>
      <c r="F547" s="384">
        <f>IFERROR(E547/SUM(E543:E549,J543:J549,O543:O548),0)</f>
        <v>0</v>
      </c>
      <c r="G547" s="441" t="str">
        <f>$G$15</f>
        <v>Gastos Legales</v>
      </c>
      <c r="H547" s="401">
        <f t="shared" si="108"/>
        <v>0</v>
      </c>
      <c r="I547" s="390">
        <f t="shared" si="106"/>
        <v>0</v>
      </c>
      <c r="J547" s="383">
        <f>IFERROR(I547/SUM(PROD!L544:L550),0)</f>
        <v>0</v>
      </c>
      <c r="K547" s="384">
        <f>IFERROR(J547/SUM(E543:E549,J543:J549,O543:O548),0)</f>
        <v>0</v>
      </c>
      <c r="L547" s="439" t="str">
        <f>$L$8</f>
        <v>Fletes</v>
      </c>
      <c r="M547" s="401">
        <f t="shared" si="113"/>
        <v>0</v>
      </c>
      <c r="N547" s="404">
        <f>M547*0.230769230769231</f>
        <v>0</v>
      </c>
      <c r="O547" s="383">
        <f>IFERROR(N547/SUM(PROD!L544:L550),0)</f>
        <v>0</v>
      </c>
      <c r="P547" s="384">
        <f>IFERROR(O547/SUM(E543:E549,J543:J549,O543:O548),0)</f>
        <v>0</v>
      </c>
      <c r="Q547" s="391" t="str">
        <f>$Q$8</f>
        <v>B</v>
      </c>
      <c r="R547" s="392">
        <f t="shared" si="109"/>
        <v>0</v>
      </c>
      <c r="S547" s="870">
        <f>SUM(PROD!AQ544:AQ550)</f>
        <v>0</v>
      </c>
      <c r="T547" s="393">
        <f>IF(AA543&gt;0,S547/AA543,0)</f>
        <v>0</v>
      </c>
      <c r="U547" s="395" t="str">
        <f>$U$8</f>
        <v>Rev. Gr.</v>
      </c>
      <c r="V547" s="412">
        <f t="shared" si="110"/>
        <v>0</v>
      </c>
      <c r="W547" s="873">
        <f>SUM(PROD!AT544:AT550)</f>
        <v>0</v>
      </c>
      <c r="X547" s="413">
        <f>IFERROR(W547/(AA548-AA546),0)</f>
        <v>0</v>
      </c>
      <c r="Y547" s="414" t="s">
        <v>262</v>
      </c>
      <c r="Z547" s="415">
        <f>IFERROR(SUMPRODUCT(V547:V549,W547:W549)/SUM(W547:W549),0)</f>
        <v>0</v>
      </c>
      <c r="AA547" s="416">
        <f>SUM(W547:W549)</f>
        <v>0</v>
      </c>
      <c r="AB547" s="497">
        <f>IF(AA548&gt;0,AA547/AA548,0)</f>
        <v>0</v>
      </c>
    </row>
    <row r="548" spans="1:28" ht="15.75" customHeight="1" x14ac:dyDescent="0.3">
      <c r="A548" s="2301"/>
      <c r="B548" s="438" t="str">
        <f>$B$9</f>
        <v>Vacunas y medicamentos</v>
      </c>
      <c r="C548" s="443">
        <f>C541</f>
        <v>0</v>
      </c>
      <c r="D548" s="387">
        <f>C548*12/52</f>
        <v>0</v>
      </c>
      <c r="E548" s="383">
        <f>IFERROR(D548/SUM(PROD!L544:L550),0)</f>
        <v>0</v>
      </c>
      <c r="F548" s="384">
        <f>IFERROR(E548/SUM(E543:E549,J543:J549,O543:O548),0)</f>
        <v>0</v>
      </c>
      <c r="G548" s="441" t="str">
        <f>$G$16</f>
        <v>Mantenimiento y Reparaciones</v>
      </c>
      <c r="H548" s="401">
        <f t="shared" si="108"/>
        <v>0</v>
      </c>
      <c r="I548" s="390">
        <f t="shared" si="106"/>
        <v>0</v>
      </c>
      <c r="J548" s="383">
        <f>IFERROR(I548/SUM(PROD!L544:L550),0)</f>
        <v>0</v>
      </c>
      <c r="K548" s="384">
        <f>IFERROR(J548/SUM(E543:E549,J543:J549,O543:O548),0)</f>
        <v>0</v>
      </c>
      <c r="L548" s="439">
        <f>$L$9</f>
        <v>0</v>
      </c>
      <c r="M548" s="401">
        <f t="shared" si="113"/>
        <v>0</v>
      </c>
      <c r="N548" s="404">
        <f>M548*0.230769230769231</f>
        <v>0</v>
      </c>
      <c r="O548" s="383">
        <f>IFERROR(N548/SUM(PROD!L544:L550),0)</f>
        <v>0</v>
      </c>
      <c r="P548" s="384">
        <f>IFERROR(O548/SUM(E543:E549,J543:J549,O543:O548),0)</f>
        <v>0</v>
      </c>
      <c r="Q548" s="391" t="str">
        <f>$Q$9</f>
        <v>C</v>
      </c>
      <c r="R548" s="392">
        <f t="shared" si="109"/>
        <v>0</v>
      </c>
      <c r="S548" s="870">
        <f>SUM(PROD!AR544:AR550)</f>
        <v>0</v>
      </c>
      <c r="T548" s="393">
        <f>IF(AA543&gt;0,S548/AA543,0)</f>
        <v>0</v>
      </c>
      <c r="U548" s="394" t="str">
        <f>$U$9</f>
        <v>Rev. Med</v>
      </c>
      <c r="V548" s="392">
        <f t="shared" si="110"/>
        <v>0</v>
      </c>
      <c r="W548" s="870">
        <f>SUM(PROD!AU544:AU550)</f>
        <v>0</v>
      </c>
      <c r="X548" s="418">
        <f>IFERROR(W548/(AA548-AA546),0)</f>
        <v>0</v>
      </c>
      <c r="Y548" s="2303" t="s">
        <v>325</v>
      </c>
      <c r="Z548" s="2305">
        <f>SUMPRODUCT(Z543:Z547,AB543:AB547)</f>
        <v>0</v>
      </c>
      <c r="AA548" s="2307">
        <f>SUM(AA543:AA546)</f>
        <v>0</v>
      </c>
      <c r="AB548" s="2308"/>
    </row>
    <row r="549" spans="1:28" ht="16.5" customHeight="1" thickBot="1" x14ac:dyDescent="0.35">
      <c r="A549" s="2302"/>
      <c r="B549" s="444" t="str">
        <f>$B$10</f>
        <v>Gastos de Personal</v>
      </c>
      <c r="C549" s="445">
        <f>C542</f>
        <v>0</v>
      </c>
      <c r="D549" s="421">
        <f>C549*12/52</f>
        <v>0</v>
      </c>
      <c r="E549" s="446">
        <f>IFERROR(D549/SUM(PROD!L544:L550),0)</f>
        <v>0</v>
      </c>
      <c r="F549" s="447">
        <f>IFERROR(E549/SUM(E543:E549,J543:J549,O543:O548),0)</f>
        <v>0</v>
      </c>
      <c r="G549" s="448" t="str">
        <f>$G$17</f>
        <v>Adecuación Instalaciones</v>
      </c>
      <c r="H549" s="445">
        <f t="shared" si="108"/>
        <v>0</v>
      </c>
      <c r="I549" s="426">
        <f t="shared" si="106"/>
        <v>0</v>
      </c>
      <c r="J549" s="446">
        <f>IFERROR(I549/SUM(PROD!L544:L550),0)</f>
        <v>0</v>
      </c>
      <c r="K549" s="447">
        <f>IFERROR(J549/SUM(E543:E549,J543:J549,O543:O548),0)</f>
        <v>0</v>
      </c>
      <c r="L549" s="2311" t="str">
        <f>$L$10</f>
        <v>TOTAL COSTO PRODUCCIÓN</v>
      </c>
      <c r="M549" s="2312"/>
      <c r="N549" s="427">
        <f>SUM(D543:D549,I543:I549,N543:N548)</f>
        <v>230769.23076923078</v>
      </c>
      <c r="O549" s="449">
        <f>IFERROR(N549/SUM(PROD!L544:L550),0)</f>
        <v>0</v>
      </c>
      <c r="P549" s="447">
        <f>IFERROR(O549/SUM(E543:E549,J543:J549,O543:O548),0)</f>
        <v>0</v>
      </c>
      <c r="Q549" s="450" t="str">
        <f>$Q$10</f>
        <v>D</v>
      </c>
      <c r="R549" s="430">
        <f t="shared" si="109"/>
        <v>0</v>
      </c>
      <c r="S549" s="871">
        <f>SUM(PROD!AS544:AS550)</f>
        <v>0</v>
      </c>
      <c r="T549" s="451">
        <f>IF(AA543&gt;0,S549/AA543,0)</f>
        <v>0</v>
      </c>
      <c r="U549" s="452" t="str">
        <f>$U$10</f>
        <v>Rev. Peq</v>
      </c>
      <c r="V549" s="430">
        <f t="shared" si="110"/>
        <v>0</v>
      </c>
      <c r="W549" s="874">
        <f>SUM(PROD!AV544:AV550)</f>
        <v>0</v>
      </c>
      <c r="X549" s="451">
        <f>IFERROR(W549/(AA548-AA546),0)</f>
        <v>0</v>
      </c>
      <c r="Y549" s="2304"/>
      <c r="Z549" s="2306"/>
      <c r="AA549" s="2309"/>
      <c r="AB549" s="2310"/>
    </row>
    <row r="550" spans="1:28" ht="16.5" customHeight="1" x14ac:dyDescent="0.3">
      <c r="A550" s="2300">
        <f>A543+1</f>
        <v>96</v>
      </c>
      <c r="B550" s="433" t="str">
        <f>$B$4</f>
        <v>ALIMENTO Kilos</v>
      </c>
      <c r="C550" s="435">
        <f>LOOKUP($A550,PROD!$A$5:$A$725,PROD!$AH$10:$AH$730)</f>
        <v>0</v>
      </c>
      <c r="D550" s="368">
        <f>C550*LOOKUP($A550,'Pr-Sem'!$A$6:$A$108,'Pr-Sem'!$N$6:$N$108)/(PROD!$A$1/1000)</f>
        <v>0</v>
      </c>
      <c r="E550" s="369">
        <f>IFERROR(D550/SUM(PROD!L551:L557),0)</f>
        <v>0</v>
      </c>
      <c r="F550" s="370">
        <f>IFERROR(E550/SUM(E550:E556,J550:J556,O550:O555),0)</f>
        <v>0</v>
      </c>
      <c r="G550" s="434" t="str">
        <f>$G$11</f>
        <v>Honorarios</v>
      </c>
      <c r="H550" s="435">
        <f t="shared" si="108"/>
        <v>0</v>
      </c>
      <c r="I550" s="372">
        <f t="shared" si="106"/>
        <v>0</v>
      </c>
      <c r="J550" s="369">
        <f>IFERROR(I550/SUM(PROD!L551:L557),0)</f>
        <v>0</v>
      </c>
      <c r="K550" s="370">
        <f>IFERROR(J550/SUM(E550:E556,J550:J556,O550:O555),0)</f>
        <v>0</v>
      </c>
      <c r="L550" s="436" t="str">
        <f>$L$4</f>
        <v>Gastos de Viaje</v>
      </c>
      <c r="M550" s="435">
        <f t="shared" ref="M550:M555" si="114">M543</f>
        <v>0</v>
      </c>
      <c r="N550" s="372">
        <f>M550*12/52</f>
        <v>0</v>
      </c>
      <c r="O550" s="369">
        <f>IFERROR(N550/SUM(PROD!L551:L557),0)</f>
        <v>0</v>
      </c>
      <c r="P550" s="370">
        <f>IFERROR(O550/SUM(E550:E556,J550:J556,O550:O555),0)</f>
        <v>0</v>
      </c>
      <c r="Q550" s="373" t="str">
        <f>$Q$4</f>
        <v>AAAA</v>
      </c>
      <c r="R550" s="374">
        <f t="shared" si="109"/>
        <v>0</v>
      </c>
      <c r="S550" s="869">
        <f>SUM(PROD!AM551:AM557)</f>
        <v>0</v>
      </c>
      <c r="T550" s="375">
        <f>IF(AA550&gt;0,S550/AA550,0)</f>
        <v>0</v>
      </c>
      <c r="U550" s="376" t="str">
        <f>$U$4</f>
        <v>Prob Color</v>
      </c>
      <c r="V550" s="374">
        <f t="shared" si="110"/>
        <v>0</v>
      </c>
      <c r="W550" s="869">
        <f>SUM(PROD!AW551:AW557)</f>
        <v>0</v>
      </c>
      <c r="X550" s="375">
        <f>IFERROR(W550/(AA555-AA553),0)</f>
        <v>0</v>
      </c>
      <c r="Y550" s="377" t="s">
        <v>323</v>
      </c>
      <c r="Z550" s="378">
        <f>SUMPRODUCT(R550:R556,T550:T556)</f>
        <v>0</v>
      </c>
      <c r="AA550" s="379">
        <f>SUM(S550:S556)</f>
        <v>0</v>
      </c>
      <c r="AB550" s="490">
        <f>IF(AA555&gt;0,AA550/AA555,0)</f>
        <v>0</v>
      </c>
    </row>
    <row r="551" spans="1:28" ht="15.75" customHeight="1" x14ac:dyDescent="0.3">
      <c r="A551" s="2301"/>
      <c r="B551" s="438" t="str">
        <f>$B$5</f>
        <v>Amortización de Aves</v>
      </c>
      <c r="C551" s="381">
        <f>IFERROR((C544-(D551/'Pr-Sem'!$O$2)),0)</f>
        <v>0</v>
      </c>
      <c r="D551" s="382">
        <f>SUM(PROD!L551:L557)*E551</f>
        <v>0</v>
      </c>
      <c r="E551" s="383">
        <f>IF(SUM(PROD!L551:L557)&gt;0,IFERROR(($C$1-$C$2)/LOOKUP($B$2,'Pr-Sem'!$A$6:$A$108,'Pr-Sem'!$L$6:$L$108)*(LOOKUP(INVENTARIOS!$A550,'Pr-Sem'!$A$6:$A$108,'Pr-Sem'!$L$6:$L$108)-LOOKUP(INVENTARIOS!$A550-1,'Pr-Sem'!$A$6:$A$108,'Pr-Sem'!$L$6:$L$108))/(LOOKUP(INVENTARIOS!$A550,'Pr-Sem'!$A$6:$A$108,'Pr-Sem'!$K$6:$K$108)-LOOKUP(INVENTARIOS!$A550-1,'Pr-Sem'!$A$6:$A$108,'Pr-Sem'!$K$6:$K$108)),0),0)</f>
        <v>0</v>
      </c>
      <c r="F551" s="384">
        <f>IFERROR(E551/SUM(E550:E556,J550:J556,O550:O555),0)</f>
        <v>0</v>
      </c>
      <c r="G551" s="439" t="str">
        <f>$G$12</f>
        <v>Impuestos</v>
      </c>
      <c r="H551" s="440">
        <f t="shared" si="108"/>
        <v>0</v>
      </c>
      <c r="I551" s="387">
        <f t="shared" si="106"/>
        <v>0</v>
      </c>
      <c r="J551" s="383">
        <f>IFERROR(I551/SUM(PROD!L551:L557),0)</f>
        <v>0</v>
      </c>
      <c r="K551" s="384">
        <f>IFERROR(J551/SUM(E550:E556,J550:J556,O550:O555),0)</f>
        <v>0</v>
      </c>
      <c r="L551" s="439" t="str">
        <f>$L$5</f>
        <v>Depreciaciones</v>
      </c>
      <c r="M551" s="401">
        <f t="shared" si="114"/>
        <v>0</v>
      </c>
      <c r="N551" s="390">
        <f>M551*12/52</f>
        <v>0</v>
      </c>
      <c r="O551" s="383">
        <f>IFERROR(N551/SUM(PROD!L551:L557),0)</f>
        <v>0</v>
      </c>
      <c r="P551" s="384">
        <f>IFERROR(O551/SUM(E550:E556,J550:J556,O550:O555),0)</f>
        <v>0</v>
      </c>
      <c r="Q551" s="391" t="str">
        <f>$Q$5</f>
        <v>AAA</v>
      </c>
      <c r="R551" s="392">
        <f t="shared" si="109"/>
        <v>0</v>
      </c>
      <c r="S551" s="870">
        <f>SUM(PROD!AN551:AN557)</f>
        <v>0</v>
      </c>
      <c r="T551" s="393">
        <f>IF(AA550&gt;0,S551/AA550,0)</f>
        <v>0</v>
      </c>
      <c r="U551" s="394" t="str">
        <f>$U$5</f>
        <v>Prob Cásc</v>
      </c>
      <c r="V551" s="392">
        <f t="shared" si="110"/>
        <v>0</v>
      </c>
      <c r="W551" s="870">
        <f>SUM(PROD!AX551:AX557)</f>
        <v>0</v>
      </c>
      <c r="X551" s="393">
        <f>IFERROR(W551/(AA555-AA553),0)</f>
        <v>0</v>
      </c>
      <c r="Y551" s="395" t="s">
        <v>324</v>
      </c>
      <c r="Z551" s="396">
        <f>IFERROR(SUMPRODUCT(V550:V553,W550:W553)/SUM(W550:W553),0)</f>
        <v>0</v>
      </c>
      <c r="AA551" s="397">
        <f>SUM(W550:W553)</f>
        <v>0</v>
      </c>
      <c r="AB551" s="494">
        <f>IF(AA555&gt;0,AA551/AA555,0)</f>
        <v>0</v>
      </c>
    </row>
    <row r="552" spans="1:28" ht="15.75" customHeight="1" x14ac:dyDescent="0.3">
      <c r="A552" s="2301"/>
      <c r="B552" s="399" t="str">
        <f>$B$6</f>
        <v>Bandeja</v>
      </c>
      <c r="C552" s="400">
        <f>C545</f>
        <v>0</v>
      </c>
      <c r="D552" s="387">
        <f>C552*SUM(INVENTARIOS!R550:R556)</f>
        <v>0</v>
      </c>
      <c r="E552" s="383">
        <f>IFERROR(D552/SUM(PROD!L551:L557),0)</f>
        <v>0</v>
      </c>
      <c r="F552" s="384">
        <f>IFERROR(E552/SUM(E550:E556,J550:J556,O550:O555),0)</f>
        <v>0</v>
      </c>
      <c r="G552" s="439" t="str">
        <f>$G$13</f>
        <v>Arrendamientos</v>
      </c>
      <c r="H552" s="401">
        <f t="shared" si="108"/>
        <v>0</v>
      </c>
      <c r="I552" s="390">
        <f t="shared" si="106"/>
        <v>0</v>
      </c>
      <c r="J552" s="383">
        <f>IFERROR(I552/SUM(PROD!L551:L557),0)</f>
        <v>0</v>
      </c>
      <c r="K552" s="384">
        <f>IFERROR(J552/SUM(E550:E556,J550:J556,O550:O555),0)</f>
        <v>0</v>
      </c>
      <c r="L552" s="439" t="str">
        <f>$L$6</f>
        <v>Diversos</v>
      </c>
      <c r="M552" s="401">
        <f t="shared" si="114"/>
        <v>1000000</v>
      </c>
      <c r="N552" s="390">
        <f>M552*12/52</f>
        <v>230769.23076923078</v>
      </c>
      <c r="O552" s="383">
        <f>IFERROR(N552/SUM(PROD!L551:L557),0)</f>
        <v>0</v>
      </c>
      <c r="P552" s="384">
        <f>IFERROR(O552/SUM(E550:E556,J550:J556,O550:O555),0)</f>
        <v>0</v>
      </c>
      <c r="Q552" s="391" t="str">
        <f>$Q$6</f>
        <v>AA</v>
      </c>
      <c r="R552" s="392">
        <f t="shared" si="109"/>
        <v>0</v>
      </c>
      <c r="S552" s="870">
        <f>SUM(PROD!AO551:AO557)</f>
        <v>0</v>
      </c>
      <c r="T552" s="393">
        <f>IF(AA550&gt;0,S552/AA550,0)</f>
        <v>0</v>
      </c>
      <c r="U552" s="394" t="str">
        <f>$U$6</f>
        <v>Vencido</v>
      </c>
      <c r="V552" s="392">
        <f t="shared" si="110"/>
        <v>0</v>
      </c>
      <c r="W552" s="870">
        <f>SUM(PROD!AY551:AY557)</f>
        <v>0</v>
      </c>
      <c r="X552" s="393">
        <f>IFERROR(W552/(AA555-AA553),0)</f>
        <v>0</v>
      </c>
      <c r="Y552" s="402" t="s">
        <v>391</v>
      </c>
      <c r="Z552" s="456">
        <v>0</v>
      </c>
      <c r="AA552" s="720"/>
      <c r="AB552" s="495">
        <f>IF(AA555&gt;0,AA552/AA555,0)</f>
        <v>0</v>
      </c>
    </row>
    <row r="553" spans="1:28" ht="15.75" customHeight="1" x14ac:dyDescent="0.3">
      <c r="A553" s="2301"/>
      <c r="B553" s="438" t="str">
        <f>$B$7</f>
        <v>Mortalidad Aves</v>
      </c>
      <c r="C553" s="401">
        <f>IF(A550&lt;=$B$2,C551+$C$2,0)</f>
        <v>0</v>
      </c>
      <c r="D553" s="390">
        <f>C553*SUM(PROD!D551:D557)</f>
        <v>0</v>
      </c>
      <c r="E553" s="383">
        <f>IFERROR(D553/SUM(PROD!L551:L557),0)</f>
        <v>0</v>
      </c>
      <c r="F553" s="384">
        <f>IFERROR(E553/SUM(E550:E556,J550:J556,O550:O555),0)</f>
        <v>0</v>
      </c>
      <c r="G553" s="439" t="str">
        <f>$G$14</f>
        <v>Servicios Públicos</v>
      </c>
      <c r="H553" s="401">
        <f t="shared" si="108"/>
        <v>0</v>
      </c>
      <c r="I553" s="390">
        <f t="shared" si="106"/>
        <v>0</v>
      </c>
      <c r="J553" s="383">
        <f>IFERROR(I553/SUM(PROD!L551:L557),0)</f>
        <v>0</v>
      </c>
      <c r="K553" s="384">
        <f>IFERROR(J553/SUM(E550:E556,J550:J556,O550:O555),0)</f>
        <v>0</v>
      </c>
      <c r="L553" s="441" t="str">
        <f>$L$7</f>
        <v>Administrativos</v>
      </c>
      <c r="M553" s="401">
        <f t="shared" si="114"/>
        <v>0</v>
      </c>
      <c r="N553" s="404">
        <f>M553*0.230769230769231</f>
        <v>0</v>
      </c>
      <c r="O553" s="383">
        <f>IFERROR(N553/SUM(PROD!L551:L557),0)</f>
        <v>0</v>
      </c>
      <c r="P553" s="384">
        <f>IFERROR(O553/SUM(E550:E556,J550:J556,O550:O555),0)</f>
        <v>0</v>
      </c>
      <c r="Q553" s="391" t="str">
        <f>$Q$7</f>
        <v>A</v>
      </c>
      <c r="R553" s="392">
        <f t="shared" si="109"/>
        <v>0</v>
      </c>
      <c r="S553" s="870">
        <f>SUM(PROD!AP551:AP557)</f>
        <v>0</v>
      </c>
      <c r="T553" s="393">
        <f>IF(AA550&gt;0,S553/AA550,0)</f>
        <v>0</v>
      </c>
      <c r="U553" s="405" t="str">
        <f>$U$7</f>
        <v>Roto</v>
      </c>
      <c r="V553" s="406">
        <f t="shared" si="110"/>
        <v>0</v>
      </c>
      <c r="W553" s="872">
        <f>SUM(PROD!AZ551:AZ557)</f>
        <v>0</v>
      </c>
      <c r="X553" s="407">
        <f>IFERROR(W553/(AA555-AA553),0)</f>
        <v>0</v>
      </c>
      <c r="Y553" s="408" t="s">
        <v>359</v>
      </c>
      <c r="Z553" s="442">
        <v>215</v>
      </c>
      <c r="AA553" s="410">
        <f>SUM(PROD!L551:L557)-SUM(W550:W556)-SUM(S550:S556)-AA552</f>
        <v>0</v>
      </c>
      <c r="AB553" s="496">
        <f>IF(AA555&gt;0,AA553/AA555,0)</f>
        <v>0</v>
      </c>
    </row>
    <row r="554" spans="1:28" ht="15.75" customHeight="1" x14ac:dyDescent="0.3">
      <c r="A554" s="2301"/>
      <c r="B554" s="399" t="str">
        <f>$B$8</f>
        <v>Materia Prima (Carb Ca, etc.)</v>
      </c>
      <c r="C554" s="440">
        <f>C547</f>
        <v>0</v>
      </c>
      <c r="D554" s="387">
        <f>C554*12/52</f>
        <v>0</v>
      </c>
      <c r="E554" s="383">
        <f>IFERROR(D554/SUM(PROD!L551:L557),0)</f>
        <v>0</v>
      </c>
      <c r="F554" s="384">
        <f>IFERROR(E554/SUM(E550:E556,J550:J556,O550:O555),0)</f>
        <v>0</v>
      </c>
      <c r="G554" s="441" t="str">
        <f>$G$15</f>
        <v>Gastos Legales</v>
      </c>
      <c r="H554" s="401">
        <f t="shared" si="108"/>
        <v>0</v>
      </c>
      <c r="I554" s="390">
        <f t="shared" si="106"/>
        <v>0</v>
      </c>
      <c r="J554" s="383">
        <f>IFERROR(I554/SUM(PROD!L551:L557),0)</f>
        <v>0</v>
      </c>
      <c r="K554" s="384">
        <f>IFERROR(J554/SUM(E550:E556,J550:J556,O550:O555),0)</f>
        <v>0</v>
      </c>
      <c r="L554" s="439" t="str">
        <f>$L$8</f>
        <v>Fletes</v>
      </c>
      <c r="M554" s="401">
        <f t="shared" si="114"/>
        <v>0</v>
      </c>
      <c r="N554" s="404">
        <f>M554*0.230769230769231</f>
        <v>0</v>
      </c>
      <c r="O554" s="383">
        <f>IFERROR(N554/SUM(PROD!L551:L557),0)</f>
        <v>0</v>
      </c>
      <c r="P554" s="384">
        <f>IFERROR(O554/SUM(E550:E556,J550:J556,O550:O555),0)</f>
        <v>0</v>
      </c>
      <c r="Q554" s="391" t="str">
        <f>$Q$8</f>
        <v>B</v>
      </c>
      <c r="R554" s="392">
        <f t="shared" si="109"/>
        <v>0</v>
      </c>
      <c r="S554" s="870">
        <f>SUM(PROD!AQ551:AQ557)</f>
        <v>0</v>
      </c>
      <c r="T554" s="393">
        <f>IF(AA550&gt;0,S554/AA550,0)</f>
        <v>0</v>
      </c>
      <c r="U554" s="395" t="str">
        <f>$U$8</f>
        <v>Rev. Gr.</v>
      </c>
      <c r="V554" s="412">
        <f t="shared" si="110"/>
        <v>0</v>
      </c>
      <c r="W554" s="873">
        <f>SUM(PROD!AT551:AT557)</f>
        <v>0</v>
      </c>
      <c r="X554" s="413">
        <f>IFERROR(W554/(AA555-AA553),0)</f>
        <v>0</v>
      </c>
      <c r="Y554" s="414" t="s">
        <v>262</v>
      </c>
      <c r="Z554" s="415">
        <f>IFERROR(SUMPRODUCT(V554:V556,W554:W556)/SUM(W554:W556),0)</f>
        <v>0</v>
      </c>
      <c r="AA554" s="416">
        <f>SUM(W554:W556)</f>
        <v>0</v>
      </c>
      <c r="AB554" s="497">
        <f>IF(AA555&gt;0,AA554/AA555,0)</f>
        <v>0</v>
      </c>
    </row>
    <row r="555" spans="1:28" ht="15.75" customHeight="1" x14ac:dyDescent="0.3">
      <c r="A555" s="2301"/>
      <c r="B555" s="438" t="str">
        <f>$B$9</f>
        <v>Vacunas y medicamentos</v>
      </c>
      <c r="C555" s="443">
        <f>C548</f>
        <v>0</v>
      </c>
      <c r="D555" s="387">
        <f>C555*12/52</f>
        <v>0</v>
      </c>
      <c r="E555" s="383">
        <f>IFERROR(D555/SUM(PROD!L551:L557),0)</f>
        <v>0</v>
      </c>
      <c r="F555" s="384">
        <f>IFERROR(E555/SUM(E550:E556,J550:J556,O550:O555),0)</f>
        <v>0</v>
      </c>
      <c r="G555" s="441" t="str">
        <f>$G$16</f>
        <v>Mantenimiento y Reparaciones</v>
      </c>
      <c r="H555" s="401">
        <f t="shared" si="108"/>
        <v>0</v>
      </c>
      <c r="I555" s="390">
        <f t="shared" si="106"/>
        <v>0</v>
      </c>
      <c r="J555" s="383">
        <f>IFERROR(I555/SUM(PROD!L551:L557),0)</f>
        <v>0</v>
      </c>
      <c r="K555" s="384">
        <f>IFERROR(J555/SUM(E550:E556,J550:J556,O550:O555),0)</f>
        <v>0</v>
      </c>
      <c r="L555" s="439">
        <f>$L$9</f>
        <v>0</v>
      </c>
      <c r="M555" s="401">
        <f t="shared" si="114"/>
        <v>0</v>
      </c>
      <c r="N555" s="404">
        <f>M555*0.230769230769231</f>
        <v>0</v>
      </c>
      <c r="O555" s="383">
        <f>IFERROR(N555/SUM(PROD!L551:L557),0)</f>
        <v>0</v>
      </c>
      <c r="P555" s="384">
        <f>IFERROR(O555/SUM(E550:E556,J550:J556,O550:O555),0)</f>
        <v>0</v>
      </c>
      <c r="Q555" s="391" t="str">
        <f>$Q$9</f>
        <v>C</v>
      </c>
      <c r="R555" s="392">
        <f t="shared" si="109"/>
        <v>0</v>
      </c>
      <c r="S555" s="870">
        <f>SUM(PROD!AR551:AR557)</f>
        <v>0</v>
      </c>
      <c r="T555" s="393">
        <f>IF(AA550&gt;0,S555/AA550,0)</f>
        <v>0</v>
      </c>
      <c r="U555" s="394" t="str">
        <f>$U$9</f>
        <v>Rev. Med</v>
      </c>
      <c r="V555" s="392">
        <f t="shared" si="110"/>
        <v>0</v>
      </c>
      <c r="W555" s="870">
        <f>SUM(PROD!AU551:AU557)</f>
        <v>0</v>
      </c>
      <c r="X555" s="418">
        <f>IFERROR(W555/(AA555-AA553),0)</f>
        <v>0</v>
      </c>
      <c r="Y555" s="2303" t="s">
        <v>325</v>
      </c>
      <c r="Z555" s="2305">
        <f>SUMPRODUCT(Z550:Z554,AB550:AB554)</f>
        <v>0</v>
      </c>
      <c r="AA555" s="2307">
        <f>SUM(AA550:AA553)</f>
        <v>0</v>
      </c>
      <c r="AB555" s="2308"/>
    </row>
    <row r="556" spans="1:28" ht="16.5" customHeight="1" thickBot="1" x14ac:dyDescent="0.35">
      <c r="A556" s="2302"/>
      <c r="B556" s="444" t="str">
        <f>$B$10</f>
        <v>Gastos de Personal</v>
      </c>
      <c r="C556" s="445">
        <f>C549</f>
        <v>0</v>
      </c>
      <c r="D556" s="421">
        <f>C556*12/52</f>
        <v>0</v>
      </c>
      <c r="E556" s="446">
        <f>IFERROR(D556/SUM(PROD!L551:L557),0)</f>
        <v>0</v>
      </c>
      <c r="F556" s="447">
        <f>IFERROR(E556/SUM(E550:E556,J550:J556,O550:O555),0)</f>
        <v>0</v>
      </c>
      <c r="G556" s="448" t="str">
        <f>$G$17</f>
        <v>Adecuación Instalaciones</v>
      </c>
      <c r="H556" s="445">
        <f t="shared" si="108"/>
        <v>0</v>
      </c>
      <c r="I556" s="426">
        <f t="shared" si="106"/>
        <v>0</v>
      </c>
      <c r="J556" s="446">
        <f>IFERROR(I556/SUM(PROD!L551:L557),0)</f>
        <v>0</v>
      </c>
      <c r="K556" s="447">
        <f>IFERROR(J556/SUM(E550:E556,J550:J556,O550:O555),0)</f>
        <v>0</v>
      </c>
      <c r="L556" s="2311" t="str">
        <f>$L$10</f>
        <v>TOTAL COSTO PRODUCCIÓN</v>
      </c>
      <c r="M556" s="2312"/>
      <c r="N556" s="427">
        <f>SUM(D550:D556,I550:I556,N550:N555)</f>
        <v>230769.23076923078</v>
      </c>
      <c r="O556" s="449">
        <f>IFERROR(N556/SUM(PROD!L551:L557),0)</f>
        <v>0</v>
      </c>
      <c r="P556" s="447">
        <f>IFERROR(O556/SUM(E550:E556,J550:J556,O550:O555),0)</f>
        <v>0</v>
      </c>
      <c r="Q556" s="450" t="str">
        <f>$Q$10</f>
        <v>D</v>
      </c>
      <c r="R556" s="430">
        <f t="shared" si="109"/>
        <v>0</v>
      </c>
      <c r="S556" s="871">
        <f>SUM(PROD!AS551:AS557)</f>
        <v>0</v>
      </c>
      <c r="T556" s="451">
        <f>IF(AA550&gt;0,S556/AA550,0)</f>
        <v>0</v>
      </c>
      <c r="U556" s="452" t="str">
        <f>$U$10</f>
        <v>Rev. Peq</v>
      </c>
      <c r="V556" s="430">
        <f t="shared" si="110"/>
        <v>0</v>
      </c>
      <c r="W556" s="874">
        <f>SUM(PROD!AV551:AV557)</f>
        <v>0</v>
      </c>
      <c r="X556" s="451">
        <f>IFERROR(W556/(AA555-AA553),0)</f>
        <v>0</v>
      </c>
      <c r="Y556" s="2304"/>
      <c r="Z556" s="2306"/>
      <c r="AA556" s="2309"/>
      <c r="AB556" s="2310"/>
    </row>
    <row r="557" spans="1:28" ht="16.5" customHeight="1" x14ac:dyDescent="0.3">
      <c r="A557" s="2300">
        <f>A550+1</f>
        <v>97</v>
      </c>
      <c r="B557" s="433" t="str">
        <f>$B$4</f>
        <v>ALIMENTO Kilos</v>
      </c>
      <c r="C557" s="435">
        <f>LOOKUP($A557,PROD!$A$5:$A$725,PROD!$AH$10:$AH$730)</f>
        <v>0</v>
      </c>
      <c r="D557" s="368">
        <f>C557*LOOKUP($A557,'Pr-Sem'!$A$6:$A$108,'Pr-Sem'!$N$6:$N$108)/(PROD!$A$1/1000)</f>
        <v>0</v>
      </c>
      <c r="E557" s="369">
        <f>IFERROR(D557/SUM(PROD!L558:L564),0)</f>
        <v>0</v>
      </c>
      <c r="F557" s="370">
        <f>IFERROR(E557/SUM(E557:E563,J557:J563,O557:O562),0)</f>
        <v>0</v>
      </c>
      <c r="G557" s="434" t="str">
        <f>$G$11</f>
        <v>Honorarios</v>
      </c>
      <c r="H557" s="435">
        <f t="shared" si="108"/>
        <v>0</v>
      </c>
      <c r="I557" s="372">
        <f t="shared" si="106"/>
        <v>0</v>
      </c>
      <c r="J557" s="369">
        <f>IFERROR(I557/SUM(PROD!L558:L564),0)</f>
        <v>0</v>
      </c>
      <c r="K557" s="370">
        <f>IFERROR(J557/SUM(E557:E563,J557:J563,O557:O562),0)</f>
        <v>0</v>
      </c>
      <c r="L557" s="436" t="str">
        <f>$L$4</f>
        <v>Gastos de Viaje</v>
      </c>
      <c r="M557" s="435">
        <f t="shared" ref="M557:M562" si="115">M550</f>
        <v>0</v>
      </c>
      <c r="N557" s="372">
        <f>M557*12/52</f>
        <v>0</v>
      </c>
      <c r="O557" s="369">
        <f>IFERROR(N557/SUM(PROD!L558:L564),0)</f>
        <v>0</v>
      </c>
      <c r="P557" s="370">
        <f>IFERROR(O557/SUM(E557:E563,J557:J563,O557:O562),0)</f>
        <v>0</v>
      </c>
      <c r="Q557" s="373" t="str">
        <f>$Q$4</f>
        <v>AAAA</v>
      </c>
      <c r="R557" s="374">
        <f t="shared" si="109"/>
        <v>0</v>
      </c>
      <c r="S557" s="869">
        <f>SUM(PROD!AM558:AM564)</f>
        <v>0</v>
      </c>
      <c r="T557" s="375">
        <f>IF(AA557&gt;0,S557/AA557,0)</f>
        <v>0</v>
      </c>
      <c r="U557" s="376" t="str">
        <f>$U$4</f>
        <v>Prob Color</v>
      </c>
      <c r="V557" s="374">
        <f t="shared" si="110"/>
        <v>0</v>
      </c>
      <c r="W557" s="869">
        <f>SUM(PROD!AW558:AW564)</f>
        <v>0</v>
      </c>
      <c r="X557" s="375">
        <f>IFERROR(W557/(AA562-AA560),0)</f>
        <v>0</v>
      </c>
      <c r="Y557" s="377" t="s">
        <v>323</v>
      </c>
      <c r="Z557" s="378">
        <f>SUMPRODUCT(R557:R563,T557:T563)</f>
        <v>0</v>
      </c>
      <c r="AA557" s="379">
        <f>SUM(S557:S563)</f>
        <v>0</v>
      </c>
      <c r="AB557" s="490">
        <f>IF(AA562&gt;0,AA557/AA562,0)</f>
        <v>0</v>
      </c>
    </row>
    <row r="558" spans="1:28" ht="15.75" customHeight="1" x14ac:dyDescent="0.3">
      <c r="A558" s="2301"/>
      <c r="B558" s="438" t="str">
        <f>$B$5</f>
        <v>Amortización de Aves</v>
      </c>
      <c r="C558" s="381">
        <f>IFERROR((C551-(D558/'Pr-Sem'!$O$2)),0)</f>
        <v>0</v>
      </c>
      <c r="D558" s="382">
        <f>SUM(PROD!L558:L564)*E558</f>
        <v>0</v>
      </c>
      <c r="E558" s="383">
        <f>IF(SUM(PROD!L558:L564)&gt;0,IFERROR(($C$1-$C$2)/LOOKUP($B$2,'Pr-Sem'!$A$6:$A$108,'Pr-Sem'!$L$6:$L$108)*(LOOKUP(INVENTARIOS!$A557,'Pr-Sem'!$A$6:$A$108,'Pr-Sem'!$L$6:$L$108)-LOOKUP(INVENTARIOS!$A557-1,'Pr-Sem'!$A$6:$A$108,'Pr-Sem'!$L$6:$L$108))/(LOOKUP(INVENTARIOS!$A557,'Pr-Sem'!$A$6:$A$108,'Pr-Sem'!$K$6:$K$108)-LOOKUP(INVENTARIOS!$A557-1,'Pr-Sem'!$A$6:$A$108,'Pr-Sem'!$K$6:$K$108)),0),0)</f>
        <v>0</v>
      </c>
      <c r="F558" s="384">
        <f>IFERROR(E558/SUM(E557:E563,J557:J563,O557:O562),0)</f>
        <v>0</v>
      </c>
      <c r="G558" s="439" t="str">
        <f>$G$12</f>
        <v>Impuestos</v>
      </c>
      <c r="H558" s="440">
        <f t="shared" si="108"/>
        <v>0</v>
      </c>
      <c r="I558" s="387">
        <f t="shared" si="106"/>
        <v>0</v>
      </c>
      <c r="J558" s="383">
        <f>IFERROR(I558/SUM(PROD!L558:L564),0)</f>
        <v>0</v>
      </c>
      <c r="K558" s="384">
        <f>IFERROR(J558/SUM(E557:E563,J557:J563,O557:O562),0)</f>
        <v>0</v>
      </c>
      <c r="L558" s="439" t="str">
        <f>$L$5</f>
        <v>Depreciaciones</v>
      </c>
      <c r="M558" s="401">
        <f t="shared" si="115"/>
        <v>0</v>
      </c>
      <c r="N558" s="390">
        <f>M558*12/52</f>
        <v>0</v>
      </c>
      <c r="O558" s="383">
        <f>IFERROR(N558/SUM(PROD!L558:L564),0)</f>
        <v>0</v>
      </c>
      <c r="P558" s="384">
        <f>IFERROR(O558/SUM(E557:E563,J557:J563,O557:O562),0)</f>
        <v>0</v>
      </c>
      <c r="Q558" s="391" t="str">
        <f>$Q$5</f>
        <v>AAA</v>
      </c>
      <c r="R558" s="392">
        <f t="shared" si="109"/>
        <v>0</v>
      </c>
      <c r="S558" s="870">
        <f>SUM(PROD!AN558:AN564)</f>
        <v>0</v>
      </c>
      <c r="T558" s="393">
        <f>IF(AA557&gt;0,S558/AA557,0)</f>
        <v>0</v>
      </c>
      <c r="U558" s="394" t="str">
        <f>$U$5</f>
        <v>Prob Cásc</v>
      </c>
      <c r="V558" s="392">
        <f t="shared" si="110"/>
        <v>0</v>
      </c>
      <c r="W558" s="870">
        <f>SUM(PROD!AX558:AX564)</f>
        <v>0</v>
      </c>
      <c r="X558" s="393">
        <f>IFERROR(W558/(AA562-AA560),0)</f>
        <v>0</v>
      </c>
      <c r="Y558" s="395" t="s">
        <v>324</v>
      </c>
      <c r="Z558" s="396">
        <f>IFERROR(SUMPRODUCT(V557:V560,W557:W560)/SUM(W557:W560),0)</f>
        <v>0</v>
      </c>
      <c r="AA558" s="397">
        <f>SUM(W557:W560)</f>
        <v>0</v>
      </c>
      <c r="AB558" s="494">
        <f>IF(AA562&gt;0,AA558/AA562,0)</f>
        <v>0</v>
      </c>
    </row>
    <row r="559" spans="1:28" ht="15.75" customHeight="1" x14ac:dyDescent="0.3">
      <c r="A559" s="2301"/>
      <c r="B559" s="399" t="str">
        <f>$B$6</f>
        <v>Bandeja</v>
      </c>
      <c r="C559" s="400">
        <f>C552</f>
        <v>0</v>
      </c>
      <c r="D559" s="387">
        <f>C559*SUM(INVENTARIOS!R557:R563)</f>
        <v>0</v>
      </c>
      <c r="E559" s="383">
        <f>IFERROR(D559/SUM(PROD!L558:L564),0)</f>
        <v>0</v>
      </c>
      <c r="F559" s="384">
        <f>IFERROR(E559/SUM(E557:E563,J557:J563,O557:O562),0)</f>
        <v>0</v>
      </c>
      <c r="G559" s="439" t="str">
        <f>$G$13</f>
        <v>Arrendamientos</v>
      </c>
      <c r="H559" s="401">
        <f t="shared" si="108"/>
        <v>0</v>
      </c>
      <c r="I559" s="390">
        <f t="shared" si="106"/>
        <v>0</v>
      </c>
      <c r="J559" s="383">
        <f>IFERROR(I559/SUM(PROD!L558:L564),0)</f>
        <v>0</v>
      </c>
      <c r="K559" s="384">
        <f>IFERROR(J559/SUM(E557:E563,J557:J563,O557:O562),0)</f>
        <v>0</v>
      </c>
      <c r="L559" s="439" t="str">
        <f>$L$6</f>
        <v>Diversos</v>
      </c>
      <c r="M559" s="401">
        <f t="shared" si="115"/>
        <v>1000000</v>
      </c>
      <c r="N559" s="390">
        <f>M559*12/52</f>
        <v>230769.23076923078</v>
      </c>
      <c r="O559" s="383">
        <f>IFERROR(N559/SUM(PROD!L558:L564),0)</f>
        <v>0</v>
      </c>
      <c r="P559" s="384">
        <f>IFERROR(O559/SUM(E557:E563,J557:J563,O557:O562),0)</f>
        <v>0</v>
      </c>
      <c r="Q559" s="391" t="str">
        <f>$Q$6</f>
        <v>AA</v>
      </c>
      <c r="R559" s="392">
        <f t="shared" si="109"/>
        <v>0</v>
      </c>
      <c r="S559" s="870">
        <f>SUM(PROD!AO558:AO564)</f>
        <v>0</v>
      </c>
      <c r="T559" s="393">
        <f>IF(AA557&gt;0,S559/AA557,0)</f>
        <v>0</v>
      </c>
      <c r="U559" s="394" t="str">
        <f>$U$6</f>
        <v>Vencido</v>
      </c>
      <c r="V559" s="392">
        <f t="shared" si="110"/>
        <v>0</v>
      </c>
      <c r="W559" s="870">
        <f>SUM(PROD!AY558:AY564)</f>
        <v>0</v>
      </c>
      <c r="X559" s="393">
        <f>IFERROR(W559/(AA562-AA560),0)</f>
        <v>0</v>
      </c>
      <c r="Y559" s="402" t="s">
        <v>391</v>
      </c>
      <c r="Z559" s="456">
        <v>0</v>
      </c>
      <c r="AA559" s="720"/>
      <c r="AB559" s="495">
        <f>IF(AA562&gt;0,AA559/AA562,0)</f>
        <v>0</v>
      </c>
    </row>
    <row r="560" spans="1:28" ht="15.75" customHeight="1" x14ac:dyDescent="0.3">
      <c r="A560" s="2301"/>
      <c r="B560" s="438" t="str">
        <f>$B$7</f>
        <v>Mortalidad Aves</v>
      </c>
      <c r="C560" s="401">
        <f>IF(A557&lt;=$B$2,C558+$C$2,0)</f>
        <v>0</v>
      </c>
      <c r="D560" s="390">
        <f>C560*SUM(PROD!D558:D564)</f>
        <v>0</v>
      </c>
      <c r="E560" s="383">
        <f>IFERROR(D560/SUM(PROD!L558:L564),0)</f>
        <v>0</v>
      </c>
      <c r="F560" s="384">
        <f>IFERROR(E560/SUM(E557:E563,J557:J563,O557:O562),0)</f>
        <v>0</v>
      </c>
      <c r="G560" s="439" t="str">
        <f>$G$14</f>
        <v>Servicios Públicos</v>
      </c>
      <c r="H560" s="401">
        <f t="shared" si="108"/>
        <v>0</v>
      </c>
      <c r="I560" s="390">
        <f t="shared" si="106"/>
        <v>0</v>
      </c>
      <c r="J560" s="383">
        <f>IFERROR(I560/SUM(PROD!L558:L564),0)</f>
        <v>0</v>
      </c>
      <c r="K560" s="384">
        <f>IFERROR(J560/SUM(E557:E563,J557:J563,O557:O562),0)</f>
        <v>0</v>
      </c>
      <c r="L560" s="441" t="str">
        <f>$L$7</f>
        <v>Administrativos</v>
      </c>
      <c r="M560" s="401">
        <f t="shared" si="115"/>
        <v>0</v>
      </c>
      <c r="N560" s="404">
        <f>M560*0.230769230769231</f>
        <v>0</v>
      </c>
      <c r="O560" s="383">
        <f>IFERROR(N560/SUM(PROD!L558:L564),0)</f>
        <v>0</v>
      </c>
      <c r="P560" s="384">
        <f>IFERROR(O560/SUM(E557:E563,J557:J563,O557:O562),0)</f>
        <v>0</v>
      </c>
      <c r="Q560" s="391" t="str">
        <f>$Q$7</f>
        <v>A</v>
      </c>
      <c r="R560" s="392">
        <f t="shared" si="109"/>
        <v>0</v>
      </c>
      <c r="S560" s="870">
        <f>SUM(PROD!AP558:AP564)</f>
        <v>0</v>
      </c>
      <c r="T560" s="393">
        <f>IF(AA557&gt;0,S560/AA557,0)</f>
        <v>0</v>
      </c>
      <c r="U560" s="405" t="str">
        <f>$U$7</f>
        <v>Roto</v>
      </c>
      <c r="V560" s="406">
        <f t="shared" si="110"/>
        <v>0</v>
      </c>
      <c r="W560" s="872">
        <f>SUM(PROD!AZ558:AZ564)</f>
        <v>0</v>
      </c>
      <c r="X560" s="407">
        <f>IFERROR(W560/(AA562-AA560),0)</f>
        <v>0</v>
      </c>
      <c r="Y560" s="408" t="s">
        <v>359</v>
      </c>
      <c r="Z560" s="442">
        <v>215</v>
      </c>
      <c r="AA560" s="410">
        <f>SUM(PROD!L558:L564)-SUM(W557:W563)-SUM(S557:S563)-AA559</f>
        <v>0</v>
      </c>
      <c r="AB560" s="496">
        <f>IF(AA562&gt;0,AA560/AA562,0)</f>
        <v>0</v>
      </c>
    </row>
    <row r="561" spans="1:28" ht="15.75" customHeight="1" x14ac:dyDescent="0.3">
      <c r="A561" s="2301"/>
      <c r="B561" s="399" t="str">
        <f>$B$8</f>
        <v>Materia Prima (Carb Ca, etc.)</v>
      </c>
      <c r="C561" s="440">
        <f>C554</f>
        <v>0</v>
      </c>
      <c r="D561" s="387">
        <f>C561*12/52</f>
        <v>0</v>
      </c>
      <c r="E561" s="383">
        <f>IFERROR(D561/SUM(PROD!L558:L564),0)</f>
        <v>0</v>
      </c>
      <c r="F561" s="384">
        <f>IFERROR(E561/SUM(E557:E563,J557:J563,O557:O562),0)</f>
        <v>0</v>
      </c>
      <c r="G561" s="441" t="str">
        <f>$G$15</f>
        <v>Gastos Legales</v>
      </c>
      <c r="H561" s="401">
        <f t="shared" si="108"/>
        <v>0</v>
      </c>
      <c r="I561" s="390">
        <f t="shared" si="106"/>
        <v>0</v>
      </c>
      <c r="J561" s="383">
        <f>IFERROR(I561/SUM(PROD!L558:L564),0)</f>
        <v>0</v>
      </c>
      <c r="K561" s="384">
        <f>IFERROR(J561/SUM(E557:E563,J557:J563,O557:O562),0)</f>
        <v>0</v>
      </c>
      <c r="L561" s="439" t="str">
        <f>$L$8</f>
        <v>Fletes</v>
      </c>
      <c r="M561" s="401">
        <f t="shared" si="115"/>
        <v>0</v>
      </c>
      <c r="N561" s="404">
        <f>M561*0.230769230769231</f>
        <v>0</v>
      </c>
      <c r="O561" s="383">
        <f>IFERROR(N561/SUM(PROD!L558:L564),0)</f>
        <v>0</v>
      </c>
      <c r="P561" s="384">
        <f>IFERROR(O561/SUM(E557:E563,J557:J563,O557:O562),0)</f>
        <v>0</v>
      </c>
      <c r="Q561" s="391" t="str">
        <f>$Q$8</f>
        <v>B</v>
      </c>
      <c r="R561" s="392">
        <f t="shared" si="109"/>
        <v>0</v>
      </c>
      <c r="S561" s="870">
        <f>SUM(PROD!AQ558:AQ564)</f>
        <v>0</v>
      </c>
      <c r="T561" s="393">
        <f>IF(AA557&gt;0,S561/AA557,0)</f>
        <v>0</v>
      </c>
      <c r="U561" s="395" t="str">
        <f>$U$8</f>
        <v>Rev. Gr.</v>
      </c>
      <c r="V561" s="412">
        <f t="shared" si="110"/>
        <v>0</v>
      </c>
      <c r="W561" s="873">
        <f>SUM(PROD!AT558:AT564)</f>
        <v>0</v>
      </c>
      <c r="X561" s="413">
        <f>IFERROR(W561/(AA562-AA560),0)</f>
        <v>0</v>
      </c>
      <c r="Y561" s="414" t="s">
        <v>262</v>
      </c>
      <c r="Z561" s="415">
        <f>IFERROR(SUMPRODUCT(V561:V563,W561:W563)/SUM(W561:W563),0)</f>
        <v>0</v>
      </c>
      <c r="AA561" s="416">
        <f>SUM(W561:W563)</f>
        <v>0</v>
      </c>
      <c r="AB561" s="497">
        <f>IF(AA562&gt;0,AA561/AA562,0)</f>
        <v>0</v>
      </c>
    </row>
    <row r="562" spans="1:28" ht="15.75" customHeight="1" x14ac:dyDescent="0.3">
      <c r="A562" s="2301"/>
      <c r="B562" s="438" t="str">
        <f>$B$9</f>
        <v>Vacunas y medicamentos</v>
      </c>
      <c r="C562" s="443">
        <f>C555</f>
        <v>0</v>
      </c>
      <c r="D562" s="387">
        <f>C562*12/52</f>
        <v>0</v>
      </c>
      <c r="E562" s="383">
        <f>IFERROR(D562/SUM(PROD!L558:L564),0)</f>
        <v>0</v>
      </c>
      <c r="F562" s="384">
        <f>IFERROR(E562/SUM(E557:E563,J557:J563,O557:O562),0)</f>
        <v>0</v>
      </c>
      <c r="G562" s="441" t="str">
        <f>$G$16</f>
        <v>Mantenimiento y Reparaciones</v>
      </c>
      <c r="H562" s="401">
        <f t="shared" si="108"/>
        <v>0</v>
      </c>
      <c r="I562" s="390">
        <f t="shared" si="106"/>
        <v>0</v>
      </c>
      <c r="J562" s="383">
        <f>IFERROR(I562/SUM(PROD!L558:L564),0)</f>
        <v>0</v>
      </c>
      <c r="K562" s="384">
        <f>IFERROR(J562/SUM(E557:E563,J557:J563,O557:O562),0)</f>
        <v>0</v>
      </c>
      <c r="L562" s="439">
        <f>$L$9</f>
        <v>0</v>
      </c>
      <c r="M562" s="401">
        <f t="shared" si="115"/>
        <v>0</v>
      </c>
      <c r="N562" s="404">
        <f>M562*0.230769230769231</f>
        <v>0</v>
      </c>
      <c r="O562" s="383">
        <f>IFERROR(N562/SUM(PROD!L558:L564),0)</f>
        <v>0</v>
      </c>
      <c r="P562" s="384">
        <f>IFERROR(O562/SUM(E557:E563,J557:J563,O557:O562),0)</f>
        <v>0</v>
      </c>
      <c r="Q562" s="391" t="str">
        <f>$Q$9</f>
        <v>C</v>
      </c>
      <c r="R562" s="392">
        <f t="shared" si="109"/>
        <v>0</v>
      </c>
      <c r="S562" s="870">
        <f>SUM(PROD!AR558:AR564)</f>
        <v>0</v>
      </c>
      <c r="T562" s="393">
        <f>IF(AA557&gt;0,S562/AA557,0)</f>
        <v>0</v>
      </c>
      <c r="U562" s="394" t="str">
        <f>$U$9</f>
        <v>Rev. Med</v>
      </c>
      <c r="V562" s="392">
        <f t="shared" si="110"/>
        <v>0</v>
      </c>
      <c r="W562" s="870">
        <f>SUM(PROD!AU558:AU564)</f>
        <v>0</v>
      </c>
      <c r="X562" s="418">
        <f>IFERROR(W562/(AA562-AA560),0)</f>
        <v>0</v>
      </c>
      <c r="Y562" s="2303" t="s">
        <v>325</v>
      </c>
      <c r="Z562" s="2305">
        <f>SUMPRODUCT(Z557:Z561,AB557:AB561)</f>
        <v>0</v>
      </c>
      <c r="AA562" s="2307">
        <f>SUM(AA557:AA560)</f>
        <v>0</v>
      </c>
      <c r="AB562" s="2308"/>
    </row>
    <row r="563" spans="1:28" ht="16.5" customHeight="1" thickBot="1" x14ac:dyDescent="0.35">
      <c r="A563" s="2302"/>
      <c r="B563" s="444" t="str">
        <f>$B$10</f>
        <v>Gastos de Personal</v>
      </c>
      <c r="C563" s="445">
        <f>C556</f>
        <v>0</v>
      </c>
      <c r="D563" s="421">
        <f>C563*12/52</f>
        <v>0</v>
      </c>
      <c r="E563" s="446">
        <f>IFERROR(D563/SUM(PROD!L558:L564),0)</f>
        <v>0</v>
      </c>
      <c r="F563" s="447">
        <f>IFERROR(E563/SUM(E557:E563,J557:J563,O557:O562),0)</f>
        <v>0</v>
      </c>
      <c r="G563" s="448" t="str">
        <f>$G$17</f>
        <v>Adecuación Instalaciones</v>
      </c>
      <c r="H563" s="445">
        <f t="shared" si="108"/>
        <v>0</v>
      </c>
      <c r="I563" s="426">
        <f t="shared" si="106"/>
        <v>0</v>
      </c>
      <c r="J563" s="446">
        <f>IFERROR(I563/SUM(PROD!L558:L564),0)</f>
        <v>0</v>
      </c>
      <c r="K563" s="447">
        <f>IFERROR(J563/SUM(E557:E563,J557:J563,O557:O562),0)</f>
        <v>0</v>
      </c>
      <c r="L563" s="2311" t="str">
        <f>$L$10</f>
        <v>TOTAL COSTO PRODUCCIÓN</v>
      </c>
      <c r="M563" s="2312"/>
      <c r="N563" s="427">
        <f>SUM(D557:D563,I557:I563,N557:N562)</f>
        <v>230769.23076923078</v>
      </c>
      <c r="O563" s="449">
        <f>IFERROR(N563/SUM(PROD!L558:L564),0)</f>
        <v>0</v>
      </c>
      <c r="P563" s="447">
        <f>IFERROR(O563/SUM(E557:E563,J557:J563,O557:O562),0)</f>
        <v>0</v>
      </c>
      <c r="Q563" s="450" t="str">
        <f>$Q$10</f>
        <v>D</v>
      </c>
      <c r="R563" s="430">
        <f t="shared" si="109"/>
        <v>0</v>
      </c>
      <c r="S563" s="871">
        <f>SUM(PROD!AS558:AS564)</f>
        <v>0</v>
      </c>
      <c r="T563" s="451">
        <f>IF(AA557&gt;0,S563/AA557,0)</f>
        <v>0</v>
      </c>
      <c r="U563" s="452" t="str">
        <f>$U$10</f>
        <v>Rev. Peq</v>
      </c>
      <c r="V563" s="430">
        <f t="shared" si="110"/>
        <v>0</v>
      </c>
      <c r="W563" s="874">
        <f>SUM(PROD!AV558:AV564)</f>
        <v>0</v>
      </c>
      <c r="X563" s="451">
        <f>IFERROR(W563/(AA562-AA560),0)</f>
        <v>0</v>
      </c>
      <c r="Y563" s="2304"/>
      <c r="Z563" s="2306"/>
      <c r="AA563" s="2309"/>
      <c r="AB563" s="2310"/>
    </row>
    <row r="564" spans="1:28" ht="16.5" customHeight="1" x14ac:dyDescent="0.3">
      <c r="A564" s="2300">
        <f>A557+1</f>
        <v>98</v>
      </c>
      <c r="B564" s="433" t="str">
        <f>$B$4</f>
        <v>ALIMENTO Kilos</v>
      </c>
      <c r="C564" s="435">
        <f>LOOKUP($A564,PROD!$A$5:$A$725,PROD!$AH$10:$AH$730)</f>
        <v>0</v>
      </c>
      <c r="D564" s="368">
        <f>C564*LOOKUP($A564,'Pr-Sem'!$A$6:$A$108,'Pr-Sem'!$N$6:$N$108)/(PROD!$A$1/1000)</f>
        <v>0</v>
      </c>
      <c r="E564" s="369">
        <f>IFERROR(D564/SUM(PROD!L565:L571),0)</f>
        <v>0</v>
      </c>
      <c r="F564" s="370">
        <f>IFERROR(E564/SUM(E564:E570,J564:J570,O564:O569),0)</f>
        <v>0</v>
      </c>
      <c r="G564" s="434" t="str">
        <f>$G$11</f>
        <v>Honorarios</v>
      </c>
      <c r="H564" s="435">
        <f t="shared" si="108"/>
        <v>0</v>
      </c>
      <c r="I564" s="372">
        <f t="shared" si="106"/>
        <v>0</v>
      </c>
      <c r="J564" s="369">
        <f>IFERROR(I564/SUM(PROD!L565:L571),0)</f>
        <v>0</v>
      </c>
      <c r="K564" s="370">
        <f>IFERROR(J564/SUM(E564:E570,J564:J570,O564:O569),0)</f>
        <v>0</v>
      </c>
      <c r="L564" s="436" t="str">
        <f>$L$4</f>
        <v>Gastos de Viaje</v>
      </c>
      <c r="M564" s="435">
        <f t="shared" ref="M564:M569" si="116">M557</f>
        <v>0</v>
      </c>
      <c r="N564" s="372">
        <f>M564*12/52</f>
        <v>0</v>
      </c>
      <c r="O564" s="369">
        <f>IFERROR(N564/SUM(PROD!L565:L571),0)</f>
        <v>0</v>
      </c>
      <c r="P564" s="370">
        <f>IFERROR(O564/SUM(E564:E570,J564:J570,O564:O569),0)</f>
        <v>0</v>
      </c>
      <c r="Q564" s="373" t="str">
        <f>$Q$4</f>
        <v>AAAA</v>
      </c>
      <c r="R564" s="374">
        <f t="shared" si="109"/>
        <v>0</v>
      </c>
      <c r="S564" s="869">
        <f>SUM(PROD!AM565:AM571)</f>
        <v>0</v>
      </c>
      <c r="T564" s="375">
        <f>IF(AA564&gt;0,S564/AA564,0)</f>
        <v>0</v>
      </c>
      <c r="U564" s="376" t="str">
        <f>$U$4</f>
        <v>Prob Color</v>
      </c>
      <c r="V564" s="374">
        <f t="shared" si="110"/>
        <v>0</v>
      </c>
      <c r="W564" s="869">
        <f>SUM(PROD!AW565:AW571)</f>
        <v>0</v>
      </c>
      <c r="X564" s="375">
        <f>IFERROR(W564/(AA569-AA567),0)</f>
        <v>0</v>
      </c>
      <c r="Y564" s="377" t="s">
        <v>323</v>
      </c>
      <c r="Z564" s="378">
        <f>SUMPRODUCT(R564:R570,T564:T570)</f>
        <v>0</v>
      </c>
      <c r="AA564" s="379">
        <f>SUM(S564:S570)</f>
        <v>0</v>
      </c>
      <c r="AB564" s="490">
        <f>IF(AA569&gt;0,AA564/AA569,0)</f>
        <v>0</v>
      </c>
    </row>
    <row r="565" spans="1:28" ht="15.75" customHeight="1" x14ac:dyDescent="0.3">
      <c r="A565" s="2301"/>
      <c r="B565" s="438" t="str">
        <f>$B$5</f>
        <v>Amortización de Aves</v>
      </c>
      <c r="C565" s="381">
        <f>IFERROR((C558-(D565/'Pr-Sem'!$O$2)),0)</f>
        <v>0</v>
      </c>
      <c r="D565" s="382">
        <f>SUM(PROD!L565:L571)*E565</f>
        <v>0</v>
      </c>
      <c r="E565" s="383">
        <f>IF(SUM(PROD!L565:L571)&gt;0,IFERROR(($C$1-$C$2)/LOOKUP($B$2,'Pr-Sem'!$A$6:$A$108,'Pr-Sem'!$L$6:$L$108)*(LOOKUP(INVENTARIOS!$A564,'Pr-Sem'!$A$6:$A$108,'Pr-Sem'!$L$6:$L$108)-LOOKUP(INVENTARIOS!$A564-1,'Pr-Sem'!$A$6:$A$108,'Pr-Sem'!$L$6:$L$108))/(LOOKUP(INVENTARIOS!$A564,'Pr-Sem'!$A$6:$A$108,'Pr-Sem'!$K$6:$K$108)-LOOKUP(INVENTARIOS!$A564-1,'Pr-Sem'!$A$6:$A$108,'Pr-Sem'!$K$6:$K$108)),0),0)</f>
        <v>0</v>
      </c>
      <c r="F565" s="384">
        <f>IFERROR(E565/SUM(E564:E570,J564:J570,O564:O569),0)</f>
        <v>0</v>
      </c>
      <c r="G565" s="439" t="str">
        <f>$G$12</f>
        <v>Impuestos</v>
      </c>
      <c r="H565" s="440">
        <f t="shared" si="108"/>
        <v>0</v>
      </c>
      <c r="I565" s="387">
        <f t="shared" si="106"/>
        <v>0</v>
      </c>
      <c r="J565" s="383">
        <f>IFERROR(I565/SUM(PROD!L565:L571),0)</f>
        <v>0</v>
      </c>
      <c r="K565" s="384">
        <f>IFERROR(J565/SUM(E564:E570,J564:J570,O564:O569),0)</f>
        <v>0</v>
      </c>
      <c r="L565" s="439" t="str">
        <f>$L$5</f>
        <v>Depreciaciones</v>
      </c>
      <c r="M565" s="401">
        <f t="shared" si="116"/>
        <v>0</v>
      </c>
      <c r="N565" s="390">
        <f>M565*12/52</f>
        <v>0</v>
      </c>
      <c r="O565" s="383">
        <f>IFERROR(N565/SUM(PROD!L565:L571),0)</f>
        <v>0</v>
      </c>
      <c r="P565" s="384">
        <f>IFERROR(O565/SUM(E564:E570,J564:J570,O564:O569),0)</f>
        <v>0</v>
      </c>
      <c r="Q565" s="391" t="str">
        <f>$Q$5</f>
        <v>AAA</v>
      </c>
      <c r="R565" s="392">
        <f t="shared" si="109"/>
        <v>0</v>
      </c>
      <c r="S565" s="870">
        <f>SUM(PROD!AN565:AN571)</f>
        <v>0</v>
      </c>
      <c r="T565" s="393">
        <f>IF(AA564&gt;0,S565/AA564,0)</f>
        <v>0</v>
      </c>
      <c r="U565" s="394" t="str">
        <f>$U$5</f>
        <v>Prob Cásc</v>
      </c>
      <c r="V565" s="392">
        <f t="shared" si="110"/>
        <v>0</v>
      </c>
      <c r="W565" s="870">
        <f>SUM(PROD!AX565:AX571)</f>
        <v>0</v>
      </c>
      <c r="X565" s="393">
        <f>IFERROR(W565/(AA569-AA567),0)</f>
        <v>0</v>
      </c>
      <c r="Y565" s="395" t="s">
        <v>324</v>
      </c>
      <c r="Z565" s="396">
        <f>IFERROR(SUMPRODUCT(V564:V567,W564:W567)/SUM(W564:W567),0)</f>
        <v>0</v>
      </c>
      <c r="AA565" s="397">
        <f>SUM(W564:W567)</f>
        <v>0</v>
      </c>
      <c r="AB565" s="494">
        <f>IF(AA569&gt;0,AA565/AA569,0)</f>
        <v>0</v>
      </c>
    </row>
    <row r="566" spans="1:28" ht="15.75" customHeight="1" x14ac:dyDescent="0.3">
      <c r="A566" s="2301"/>
      <c r="B566" s="399" t="str">
        <f>$B$6</f>
        <v>Bandeja</v>
      </c>
      <c r="C566" s="400">
        <f>C559</f>
        <v>0</v>
      </c>
      <c r="D566" s="387">
        <f>C566*SUM(INVENTARIOS!R564:R570)</f>
        <v>0</v>
      </c>
      <c r="E566" s="383">
        <f>IFERROR(D566/SUM(PROD!L565:L571),0)</f>
        <v>0</v>
      </c>
      <c r="F566" s="384">
        <f>IFERROR(E566/SUM(E564:E570,J564:J570,O564:O569),0)</f>
        <v>0</v>
      </c>
      <c r="G566" s="439" t="str">
        <f>$G$13</f>
        <v>Arrendamientos</v>
      </c>
      <c r="H566" s="401">
        <f t="shared" si="108"/>
        <v>0</v>
      </c>
      <c r="I566" s="390">
        <f t="shared" si="106"/>
        <v>0</v>
      </c>
      <c r="J566" s="383">
        <f>IFERROR(I566/SUM(PROD!L565:L571),0)</f>
        <v>0</v>
      </c>
      <c r="K566" s="384">
        <f>IFERROR(J566/SUM(E564:E570,J564:J570,O564:O569),0)</f>
        <v>0</v>
      </c>
      <c r="L566" s="439" t="str">
        <f>$L$6</f>
        <v>Diversos</v>
      </c>
      <c r="M566" s="401">
        <f t="shared" si="116"/>
        <v>1000000</v>
      </c>
      <c r="N566" s="390">
        <f>M566*12/52</f>
        <v>230769.23076923078</v>
      </c>
      <c r="O566" s="383">
        <f>IFERROR(N566/SUM(PROD!L565:L571),0)</f>
        <v>0</v>
      </c>
      <c r="P566" s="384">
        <f>IFERROR(O566/SUM(E564:E570,J564:J570,O564:O569),0)</f>
        <v>0</v>
      </c>
      <c r="Q566" s="391" t="str">
        <f>$Q$6</f>
        <v>AA</v>
      </c>
      <c r="R566" s="392">
        <f t="shared" si="109"/>
        <v>0</v>
      </c>
      <c r="S566" s="870">
        <f>SUM(PROD!AO565:AO571)</f>
        <v>0</v>
      </c>
      <c r="T566" s="393">
        <f>IF(AA564&gt;0,S566/AA564,0)</f>
        <v>0</v>
      </c>
      <c r="U566" s="394" t="str">
        <f>$U$6</f>
        <v>Vencido</v>
      </c>
      <c r="V566" s="392">
        <f t="shared" si="110"/>
        <v>0</v>
      </c>
      <c r="W566" s="870">
        <f>SUM(PROD!AY565:AY571)</f>
        <v>0</v>
      </c>
      <c r="X566" s="393">
        <f>IFERROR(W566/(AA569-AA567),0)</f>
        <v>0</v>
      </c>
      <c r="Y566" s="402" t="s">
        <v>391</v>
      </c>
      <c r="Z566" s="456">
        <v>0</v>
      </c>
      <c r="AA566" s="720"/>
      <c r="AB566" s="495">
        <f>IF(AA569&gt;0,AA566/AA569,0)</f>
        <v>0</v>
      </c>
    </row>
    <row r="567" spans="1:28" ht="15.75" customHeight="1" x14ac:dyDescent="0.3">
      <c r="A567" s="2301"/>
      <c r="B567" s="438" t="str">
        <f>$B$7</f>
        <v>Mortalidad Aves</v>
      </c>
      <c r="C567" s="401">
        <f>IF(A564&lt;=$B$2,C565+$C$2,0)</f>
        <v>0</v>
      </c>
      <c r="D567" s="390">
        <f>C567*SUM(PROD!D565:D571)</f>
        <v>0</v>
      </c>
      <c r="E567" s="383">
        <f>IFERROR(D567/SUM(PROD!L565:L571),0)</f>
        <v>0</v>
      </c>
      <c r="F567" s="384">
        <f>IFERROR(E567/SUM(E564:E570,J564:J570,O564:O569),0)</f>
        <v>0</v>
      </c>
      <c r="G567" s="439" t="str">
        <f>$G$14</f>
        <v>Servicios Públicos</v>
      </c>
      <c r="H567" s="401">
        <f t="shared" si="108"/>
        <v>0</v>
      </c>
      <c r="I567" s="390">
        <f t="shared" si="106"/>
        <v>0</v>
      </c>
      <c r="J567" s="383">
        <f>IFERROR(I567/SUM(PROD!L565:L571),0)</f>
        <v>0</v>
      </c>
      <c r="K567" s="384">
        <f>IFERROR(J567/SUM(E564:E570,J564:J570,O564:O569),0)</f>
        <v>0</v>
      </c>
      <c r="L567" s="441" t="str">
        <f>$L$7</f>
        <v>Administrativos</v>
      </c>
      <c r="M567" s="401">
        <f t="shared" si="116"/>
        <v>0</v>
      </c>
      <c r="N567" s="404">
        <f>M567*0.230769230769231</f>
        <v>0</v>
      </c>
      <c r="O567" s="383">
        <f>IFERROR(N567/SUM(PROD!L565:L571),0)</f>
        <v>0</v>
      </c>
      <c r="P567" s="384">
        <f>IFERROR(O567/SUM(E564:E570,J564:J570,O564:O569),0)</f>
        <v>0</v>
      </c>
      <c r="Q567" s="391" t="str">
        <f>$Q$7</f>
        <v>A</v>
      </c>
      <c r="R567" s="392">
        <f t="shared" si="109"/>
        <v>0</v>
      </c>
      <c r="S567" s="870">
        <f>SUM(PROD!AP565:AP571)</f>
        <v>0</v>
      </c>
      <c r="T567" s="393">
        <f>IF(AA564&gt;0,S567/AA564,0)</f>
        <v>0</v>
      </c>
      <c r="U567" s="405" t="str">
        <f>$U$7</f>
        <v>Roto</v>
      </c>
      <c r="V567" s="406">
        <f t="shared" si="110"/>
        <v>0</v>
      </c>
      <c r="W567" s="872">
        <f>SUM(PROD!AZ565:AZ571)</f>
        <v>0</v>
      </c>
      <c r="X567" s="407">
        <f>IFERROR(W567/(AA569-AA567),0)</f>
        <v>0</v>
      </c>
      <c r="Y567" s="408" t="s">
        <v>359</v>
      </c>
      <c r="Z567" s="442">
        <v>215</v>
      </c>
      <c r="AA567" s="410">
        <f>SUM(PROD!L565:L571)-SUM(W564:W570)-SUM(S564:S570)-AA566</f>
        <v>0</v>
      </c>
      <c r="AB567" s="496">
        <f>IF(AA569&gt;0,AA567/AA569,0)</f>
        <v>0</v>
      </c>
    </row>
    <row r="568" spans="1:28" ht="15.75" customHeight="1" x14ac:dyDescent="0.3">
      <c r="A568" s="2301"/>
      <c r="B568" s="399" t="str">
        <f>$B$8</f>
        <v>Materia Prima (Carb Ca, etc.)</v>
      </c>
      <c r="C568" s="440">
        <f>C561</f>
        <v>0</v>
      </c>
      <c r="D568" s="387">
        <f>C568*12/52</f>
        <v>0</v>
      </c>
      <c r="E568" s="383">
        <f>IFERROR(D568/SUM(PROD!L565:L571),0)</f>
        <v>0</v>
      </c>
      <c r="F568" s="384">
        <f>IFERROR(E568/SUM(E564:E570,J564:J570,O564:O569),0)</f>
        <v>0</v>
      </c>
      <c r="G568" s="441" t="str">
        <f>$G$15</f>
        <v>Gastos Legales</v>
      </c>
      <c r="H568" s="401">
        <f t="shared" si="108"/>
        <v>0</v>
      </c>
      <c r="I568" s="390">
        <f t="shared" si="106"/>
        <v>0</v>
      </c>
      <c r="J568" s="383">
        <f>IFERROR(I568/SUM(PROD!L565:L571),0)</f>
        <v>0</v>
      </c>
      <c r="K568" s="384">
        <f>IFERROR(J568/SUM(E564:E570,J564:J570,O564:O569),0)</f>
        <v>0</v>
      </c>
      <c r="L568" s="439" t="str">
        <f>$L$8</f>
        <v>Fletes</v>
      </c>
      <c r="M568" s="401">
        <f t="shared" si="116"/>
        <v>0</v>
      </c>
      <c r="N568" s="404">
        <f>M568*0.230769230769231</f>
        <v>0</v>
      </c>
      <c r="O568" s="383">
        <f>IFERROR(N568/SUM(PROD!L565:L571),0)</f>
        <v>0</v>
      </c>
      <c r="P568" s="384">
        <f>IFERROR(O568/SUM(E564:E570,J564:J570,O564:O569),0)</f>
        <v>0</v>
      </c>
      <c r="Q568" s="391" t="str">
        <f>$Q$8</f>
        <v>B</v>
      </c>
      <c r="R568" s="392">
        <f t="shared" si="109"/>
        <v>0</v>
      </c>
      <c r="S568" s="870">
        <f>SUM(PROD!AQ565:AQ571)</f>
        <v>0</v>
      </c>
      <c r="T568" s="393">
        <f>IF(AA564&gt;0,S568/AA564,0)</f>
        <v>0</v>
      </c>
      <c r="U568" s="395" t="str">
        <f>$U$8</f>
        <v>Rev. Gr.</v>
      </c>
      <c r="V568" s="412">
        <f t="shared" si="110"/>
        <v>0</v>
      </c>
      <c r="W568" s="873">
        <f>SUM(PROD!AT565:AT571)</f>
        <v>0</v>
      </c>
      <c r="X568" s="413">
        <f>IFERROR(W568/(AA569-AA567),0)</f>
        <v>0</v>
      </c>
      <c r="Y568" s="414" t="s">
        <v>262</v>
      </c>
      <c r="Z568" s="415">
        <f>IFERROR(SUMPRODUCT(V568:V570,W568:W570)/SUM(W568:W570),0)</f>
        <v>0</v>
      </c>
      <c r="AA568" s="416">
        <f>SUM(W568:W570)</f>
        <v>0</v>
      </c>
      <c r="AB568" s="497">
        <f>IF(AA569&gt;0,AA568/AA569,0)</f>
        <v>0</v>
      </c>
    </row>
    <row r="569" spans="1:28" ht="15.75" customHeight="1" x14ac:dyDescent="0.3">
      <c r="A569" s="2301"/>
      <c r="B569" s="438" t="str">
        <f>$B$9</f>
        <v>Vacunas y medicamentos</v>
      </c>
      <c r="C569" s="443">
        <f>C562</f>
        <v>0</v>
      </c>
      <c r="D569" s="387">
        <f>C569*12/52</f>
        <v>0</v>
      </c>
      <c r="E569" s="383">
        <f>IFERROR(D569/SUM(PROD!L565:L571),0)</f>
        <v>0</v>
      </c>
      <c r="F569" s="384">
        <f>IFERROR(E569/SUM(E564:E570,J564:J570,O564:O569),0)</f>
        <v>0</v>
      </c>
      <c r="G569" s="441" t="str">
        <f>$G$16</f>
        <v>Mantenimiento y Reparaciones</v>
      </c>
      <c r="H569" s="401">
        <f t="shared" si="108"/>
        <v>0</v>
      </c>
      <c r="I569" s="390">
        <f t="shared" si="106"/>
        <v>0</v>
      </c>
      <c r="J569" s="383">
        <f>IFERROR(I569/SUM(PROD!L565:L571),0)</f>
        <v>0</v>
      </c>
      <c r="K569" s="384">
        <f>IFERROR(J569/SUM(E564:E570,J564:J570,O564:O569),0)</f>
        <v>0</v>
      </c>
      <c r="L569" s="439">
        <f>$L$9</f>
        <v>0</v>
      </c>
      <c r="M569" s="401">
        <f t="shared" si="116"/>
        <v>0</v>
      </c>
      <c r="N569" s="404">
        <f>M569*0.230769230769231</f>
        <v>0</v>
      </c>
      <c r="O569" s="383">
        <f>IFERROR(N569/SUM(PROD!L565:L571),0)</f>
        <v>0</v>
      </c>
      <c r="P569" s="384">
        <f>IFERROR(O569/SUM(E564:E570,J564:J570,O564:O569),0)</f>
        <v>0</v>
      </c>
      <c r="Q569" s="391" t="str">
        <f>$Q$9</f>
        <v>C</v>
      </c>
      <c r="R569" s="392">
        <f t="shared" si="109"/>
        <v>0</v>
      </c>
      <c r="S569" s="870">
        <f>SUM(PROD!AR565:AR571)</f>
        <v>0</v>
      </c>
      <c r="T569" s="393">
        <f>IF(AA564&gt;0,S569/AA564,0)</f>
        <v>0</v>
      </c>
      <c r="U569" s="394" t="str">
        <f>$U$9</f>
        <v>Rev. Med</v>
      </c>
      <c r="V569" s="392">
        <f t="shared" si="110"/>
        <v>0</v>
      </c>
      <c r="W569" s="870">
        <f>SUM(PROD!AU565:AU571)</f>
        <v>0</v>
      </c>
      <c r="X569" s="418">
        <f>IFERROR(W569/(AA569-AA567),0)</f>
        <v>0</v>
      </c>
      <c r="Y569" s="2303" t="s">
        <v>325</v>
      </c>
      <c r="Z569" s="2305">
        <f>SUMPRODUCT(Z564:Z568,AB564:AB568)</f>
        <v>0</v>
      </c>
      <c r="AA569" s="2307">
        <f>SUM(AA564:AA567)</f>
        <v>0</v>
      </c>
      <c r="AB569" s="2308"/>
    </row>
    <row r="570" spans="1:28" ht="16.5" customHeight="1" thickBot="1" x14ac:dyDescent="0.35">
      <c r="A570" s="2302"/>
      <c r="B570" s="444" t="str">
        <f>$B$10</f>
        <v>Gastos de Personal</v>
      </c>
      <c r="C570" s="445">
        <f>C563</f>
        <v>0</v>
      </c>
      <c r="D570" s="421">
        <f>C570*12/52</f>
        <v>0</v>
      </c>
      <c r="E570" s="446">
        <f>IFERROR(D570/SUM(PROD!L565:L571),0)</f>
        <v>0</v>
      </c>
      <c r="F570" s="447">
        <f>IFERROR(E570/SUM(E564:E570,J564:J570,O564:O569),0)</f>
        <v>0</v>
      </c>
      <c r="G570" s="448" t="str">
        <f>$G$17</f>
        <v>Adecuación Instalaciones</v>
      </c>
      <c r="H570" s="445">
        <f t="shared" si="108"/>
        <v>0</v>
      </c>
      <c r="I570" s="426">
        <f t="shared" si="106"/>
        <v>0</v>
      </c>
      <c r="J570" s="446">
        <f>IFERROR(I570/SUM(PROD!L565:L571),0)</f>
        <v>0</v>
      </c>
      <c r="K570" s="447">
        <f>IFERROR(J570/SUM(E564:E570,J564:J570,O564:O569),0)</f>
        <v>0</v>
      </c>
      <c r="L570" s="2311" t="str">
        <f>$L$10</f>
        <v>TOTAL COSTO PRODUCCIÓN</v>
      </c>
      <c r="M570" s="2312"/>
      <c r="N570" s="427">
        <f>SUM(D564:D570,I564:I570,N564:N569)</f>
        <v>230769.23076923078</v>
      </c>
      <c r="O570" s="449">
        <f>IFERROR(N570/SUM(PROD!L565:L571),0)</f>
        <v>0</v>
      </c>
      <c r="P570" s="447">
        <f>IFERROR(O570/SUM(E564:E570,J564:J570,O564:O569),0)</f>
        <v>0</v>
      </c>
      <c r="Q570" s="450" t="str">
        <f>$Q$10</f>
        <v>D</v>
      </c>
      <c r="R570" s="430">
        <f t="shared" si="109"/>
        <v>0</v>
      </c>
      <c r="S570" s="871">
        <f>SUM(PROD!AS565:AS571)</f>
        <v>0</v>
      </c>
      <c r="T570" s="451">
        <f>IF(AA564&gt;0,S570/AA564,0)</f>
        <v>0</v>
      </c>
      <c r="U570" s="452" t="str">
        <f>$U$10</f>
        <v>Rev. Peq</v>
      </c>
      <c r="V570" s="430">
        <f t="shared" si="110"/>
        <v>0</v>
      </c>
      <c r="W570" s="874">
        <f>SUM(PROD!AV565:AV571)</f>
        <v>0</v>
      </c>
      <c r="X570" s="451">
        <f>IFERROR(W570/(AA569-AA567),0)</f>
        <v>0</v>
      </c>
      <c r="Y570" s="2304"/>
      <c r="Z570" s="2306"/>
      <c r="AA570" s="2309"/>
      <c r="AB570" s="2310"/>
    </row>
    <row r="571" spans="1:28" ht="16.5" customHeight="1" x14ac:dyDescent="0.3">
      <c r="A571" s="2300">
        <f>A564+1</f>
        <v>99</v>
      </c>
      <c r="B571" s="433" t="str">
        <f>$B$4</f>
        <v>ALIMENTO Kilos</v>
      </c>
      <c r="C571" s="435">
        <f>LOOKUP($A571,PROD!$A$5:$A$725,PROD!$AH$10:$AH$730)</f>
        <v>0</v>
      </c>
      <c r="D571" s="368">
        <f>C571*LOOKUP($A571,'Pr-Sem'!$A$6:$A$108,'Pr-Sem'!$N$6:$N$108)/(PROD!$A$1/1000)</f>
        <v>0</v>
      </c>
      <c r="E571" s="369">
        <f>IFERROR(D571/SUM(PROD!L572:L578),0)</f>
        <v>0</v>
      </c>
      <c r="F571" s="370">
        <f>IFERROR(E571/SUM(E571:E577,J571:J577,O571:O576),0)</f>
        <v>0</v>
      </c>
      <c r="G571" s="434" t="str">
        <f>$G$11</f>
        <v>Honorarios</v>
      </c>
      <c r="H571" s="435">
        <f t="shared" si="108"/>
        <v>0</v>
      </c>
      <c r="I571" s="372">
        <f t="shared" si="106"/>
        <v>0</v>
      </c>
      <c r="J571" s="369">
        <f>IFERROR(I571/SUM(PROD!L572:L578),0)</f>
        <v>0</v>
      </c>
      <c r="K571" s="370">
        <f>IFERROR(J571/SUM(E571:E577,J571:J577,O571:O576),0)</f>
        <v>0</v>
      </c>
      <c r="L571" s="436" t="str">
        <f>$L$4</f>
        <v>Gastos de Viaje</v>
      </c>
      <c r="M571" s="435">
        <f t="shared" ref="M571:M576" si="117">M564</f>
        <v>0</v>
      </c>
      <c r="N571" s="372">
        <f>M571*12/52</f>
        <v>0</v>
      </c>
      <c r="O571" s="369">
        <f>IFERROR(N571/SUM(PROD!L572:L578),0)</f>
        <v>0</v>
      </c>
      <c r="P571" s="370">
        <f>IFERROR(O571/SUM(E571:E577,J571:J577,O571:O576),0)</f>
        <v>0</v>
      </c>
      <c r="Q571" s="373" t="str">
        <f>$Q$4</f>
        <v>AAAA</v>
      </c>
      <c r="R571" s="374">
        <f t="shared" si="109"/>
        <v>0</v>
      </c>
      <c r="S571" s="869">
        <f>SUM(PROD!AM572:AM578)</f>
        <v>0</v>
      </c>
      <c r="T571" s="375">
        <f>IF(AA571&gt;0,S571/AA571,0)</f>
        <v>0</v>
      </c>
      <c r="U571" s="376" t="str">
        <f>$U$4</f>
        <v>Prob Color</v>
      </c>
      <c r="V571" s="374">
        <f t="shared" si="110"/>
        <v>0</v>
      </c>
      <c r="W571" s="869">
        <f>SUM(PROD!AW572:AW578)</f>
        <v>0</v>
      </c>
      <c r="X571" s="375">
        <f>IFERROR(W571/(AA576-AA574),0)</f>
        <v>0</v>
      </c>
      <c r="Y571" s="377" t="s">
        <v>323</v>
      </c>
      <c r="Z571" s="378">
        <f>SUMPRODUCT(R571:R577,T571:T577)</f>
        <v>0</v>
      </c>
      <c r="AA571" s="379">
        <f>SUM(S571:S577)</f>
        <v>0</v>
      </c>
      <c r="AB571" s="490">
        <f>IF(AA576&gt;0,AA571/AA576,0)</f>
        <v>0</v>
      </c>
    </row>
    <row r="572" spans="1:28" ht="15.75" customHeight="1" x14ac:dyDescent="0.3">
      <c r="A572" s="2301"/>
      <c r="B572" s="438" t="str">
        <f>$B$5</f>
        <v>Amortización de Aves</v>
      </c>
      <c r="C572" s="381">
        <f>IFERROR((C565-(D572/'Pr-Sem'!$O$2)),0)</f>
        <v>0</v>
      </c>
      <c r="D572" s="382">
        <f>SUM(PROD!L572:L578)*E572</f>
        <v>0</v>
      </c>
      <c r="E572" s="383">
        <f>IF(SUM(PROD!L572:L578)&gt;0,IFERROR(($C$1-$C$2)/LOOKUP($B$2,'Pr-Sem'!$A$6:$A$108,'Pr-Sem'!$L$6:$L$108)*(LOOKUP(INVENTARIOS!$A571,'Pr-Sem'!$A$6:$A$108,'Pr-Sem'!$L$6:$L$108)-LOOKUP(INVENTARIOS!$A571-1,'Pr-Sem'!$A$6:$A$108,'Pr-Sem'!$L$6:$L$108))/(LOOKUP(INVENTARIOS!$A571,'Pr-Sem'!$A$6:$A$108,'Pr-Sem'!$K$6:$K$108)-LOOKUP(INVENTARIOS!$A571-1,'Pr-Sem'!$A$6:$A$108,'Pr-Sem'!$K$6:$K$108)),0),0)</f>
        <v>0</v>
      </c>
      <c r="F572" s="384">
        <f>IFERROR(E572/SUM(E571:E577,J571:J577,O571:O576),0)</f>
        <v>0</v>
      </c>
      <c r="G572" s="439" t="str">
        <f>$G$12</f>
        <v>Impuestos</v>
      </c>
      <c r="H572" s="440">
        <f t="shared" si="108"/>
        <v>0</v>
      </c>
      <c r="I572" s="387">
        <f t="shared" si="106"/>
        <v>0</v>
      </c>
      <c r="J572" s="383">
        <f>IFERROR(I572/SUM(PROD!L572:L578),0)</f>
        <v>0</v>
      </c>
      <c r="K572" s="384">
        <f>IFERROR(J572/SUM(E571:E577,J571:J577,O571:O576),0)</f>
        <v>0</v>
      </c>
      <c r="L572" s="439" t="str">
        <f>$L$5</f>
        <v>Depreciaciones</v>
      </c>
      <c r="M572" s="401">
        <f t="shared" si="117"/>
        <v>0</v>
      </c>
      <c r="N572" s="390">
        <f>M572*12/52</f>
        <v>0</v>
      </c>
      <c r="O572" s="383">
        <f>IFERROR(N572/SUM(PROD!L572:L578),0)</f>
        <v>0</v>
      </c>
      <c r="P572" s="384">
        <f>IFERROR(O572/SUM(E571:E577,J571:J577,O571:O576),0)</f>
        <v>0</v>
      </c>
      <c r="Q572" s="391" t="str">
        <f>$Q$5</f>
        <v>AAA</v>
      </c>
      <c r="R572" s="392">
        <f t="shared" si="109"/>
        <v>0</v>
      </c>
      <c r="S572" s="870">
        <f>SUM(PROD!AN572:AN578)</f>
        <v>0</v>
      </c>
      <c r="T572" s="393">
        <f>IF(AA571&gt;0,S572/AA571,0)</f>
        <v>0</v>
      </c>
      <c r="U572" s="394" t="str">
        <f>$U$5</f>
        <v>Prob Cásc</v>
      </c>
      <c r="V572" s="392">
        <f t="shared" si="110"/>
        <v>0</v>
      </c>
      <c r="W572" s="870">
        <f>SUM(PROD!AX572:AX578)</f>
        <v>0</v>
      </c>
      <c r="X572" s="393">
        <f>IFERROR(W572/(AA576-AA574),0)</f>
        <v>0</v>
      </c>
      <c r="Y572" s="395" t="s">
        <v>324</v>
      </c>
      <c r="Z572" s="396">
        <f>IFERROR(SUMPRODUCT(V571:V574,W571:W574)/SUM(W571:W574),0)</f>
        <v>0</v>
      </c>
      <c r="AA572" s="397">
        <f>SUM(W571:W574)</f>
        <v>0</v>
      </c>
      <c r="AB572" s="494">
        <f>IF(AA576&gt;0,AA572/AA576,0)</f>
        <v>0</v>
      </c>
    </row>
    <row r="573" spans="1:28" ht="15.75" customHeight="1" x14ac:dyDescent="0.3">
      <c r="A573" s="2301"/>
      <c r="B573" s="399" t="str">
        <f>$B$6</f>
        <v>Bandeja</v>
      </c>
      <c r="C573" s="400">
        <f>C566</f>
        <v>0</v>
      </c>
      <c r="D573" s="387">
        <f>C573*SUM(INVENTARIOS!R571:R577)</f>
        <v>0</v>
      </c>
      <c r="E573" s="383">
        <f>IFERROR(D573/SUM(PROD!L572:L578),0)</f>
        <v>0</v>
      </c>
      <c r="F573" s="384">
        <f>IFERROR(E573/SUM(E571:E577,J571:J577,O571:O576),0)</f>
        <v>0</v>
      </c>
      <c r="G573" s="439" t="str">
        <f>$G$13</f>
        <v>Arrendamientos</v>
      </c>
      <c r="H573" s="401">
        <f t="shared" si="108"/>
        <v>0</v>
      </c>
      <c r="I573" s="390">
        <f t="shared" si="106"/>
        <v>0</v>
      </c>
      <c r="J573" s="383">
        <f>IFERROR(I573/SUM(PROD!L572:L578),0)</f>
        <v>0</v>
      </c>
      <c r="K573" s="384">
        <f>IFERROR(J573/SUM(E571:E577,J571:J577,O571:O576),0)</f>
        <v>0</v>
      </c>
      <c r="L573" s="439" t="str">
        <f>$L$6</f>
        <v>Diversos</v>
      </c>
      <c r="M573" s="401">
        <f t="shared" si="117"/>
        <v>1000000</v>
      </c>
      <c r="N573" s="390">
        <f>M573*12/52</f>
        <v>230769.23076923078</v>
      </c>
      <c r="O573" s="383">
        <f>IFERROR(N573/SUM(PROD!L572:L578),0)</f>
        <v>0</v>
      </c>
      <c r="P573" s="384">
        <f>IFERROR(O573/SUM(E571:E577,J571:J577,O571:O576),0)</f>
        <v>0</v>
      </c>
      <c r="Q573" s="391" t="str">
        <f>$Q$6</f>
        <v>AA</v>
      </c>
      <c r="R573" s="392">
        <f t="shared" si="109"/>
        <v>0</v>
      </c>
      <c r="S573" s="870">
        <f>SUM(PROD!AO572:AO578)</f>
        <v>0</v>
      </c>
      <c r="T573" s="393">
        <f>IF(AA571&gt;0,S573/AA571,0)</f>
        <v>0</v>
      </c>
      <c r="U573" s="394" t="str">
        <f>$U$6</f>
        <v>Vencido</v>
      </c>
      <c r="V573" s="392">
        <f t="shared" si="110"/>
        <v>0</v>
      </c>
      <c r="W573" s="870">
        <f>SUM(PROD!AY572:AY578)</f>
        <v>0</v>
      </c>
      <c r="X573" s="393">
        <f>IFERROR(W573/(AA576-AA574),0)</f>
        <v>0</v>
      </c>
      <c r="Y573" s="402" t="s">
        <v>391</v>
      </c>
      <c r="Z573" s="456">
        <v>0</v>
      </c>
      <c r="AA573" s="720"/>
      <c r="AB573" s="495">
        <f>IF(AA576&gt;0,AA573/AA576,0)</f>
        <v>0</v>
      </c>
    </row>
    <row r="574" spans="1:28" ht="15.75" customHeight="1" x14ac:dyDescent="0.3">
      <c r="A574" s="2301"/>
      <c r="B574" s="438" t="str">
        <f>$B$7</f>
        <v>Mortalidad Aves</v>
      </c>
      <c r="C574" s="401">
        <f>IF(A571&lt;=$B$2,C572+$C$2,0)</f>
        <v>0</v>
      </c>
      <c r="D574" s="390">
        <f>C574*SUM(PROD!D572:D578)</f>
        <v>0</v>
      </c>
      <c r="E574" s="383">
        <f>IFERROR(D574/SUM(PROD!L572:L578),0)</f>
        <v>0</v>
      </c>
      <c r="F574" s="384">
        <f>IFERROR(E574/SUM(E571:E577,J571:J577,O571:O576),0)</f>
        <v>0</v>
      </c>
      <c r="G574" s="439" t="str">
        <f>$G$14</f>
        <v>Servicios Públicos</v>
      </c>
      <c r="H574" s="401">
        <f t="shared" si="108"/>
        <v>0</v>
      </c>
      <c r="I574" s="390">
        <f t="shared" si="106"/>
        <v>0</v>
      </c>
      <c r="J574" s="383">
        <f>IFERROR(I574/SUM(PROD!L572:L578),0)</f>
        <v>0</v>
      </c>
      <c r="K574" s="384">
        <f>IFERROR(J574/SUM(E571:E577,J571:J577,O571:O576),0)</f>
        <v>0</v>
      </c>
      <c r="L574" s="441" t="str">
        <f>$L$7</f>
        <v>Administrativos</v>
      </c>
      <c r="M574" s="401">
        <f t="shared" si="117"/>
        <v>0</v>
      </c>
      <c r="N574" s="404">
        <f>M574*0.230769230769231</f>
        <v>0</v>
      </c>
      <c r="O574" s="383">
        <f>IFERROR(N574/SUM(PROD!L572:L578),0)</f>
        <v>0</v>
      </c>
      <c r="P574" s="384">
        <f>IFERROR(O574/SUM(E571:E577,J571:J577,O571:O576),0)</f>
        <v>0</v>
      </c>
      <c r="Q574" s="391" t="str">
        <f>$Q$7</f>
        <v>A</v>
      </c>
      <c r="R574" s="392">
        <f t="shared" si="109"/>
        <v>0</v>
      </c>
      <c r="S574" s="870">
        <f>SUM(PROD!AP572:AP578)</f>
        <v>0</v>
      </c>
      <c r="T574" s="393">
        <f>IF(AA571&gt;0,S574/AA571,0)</f>
        <v>0</v>
      </c>
      <c r="U574" s="405" t="str">
        <f>$U$7</f>
        <v>Roto</v>
      </c>
      <c r="V574" s="406">
        <f t="shared" si="110"/>
        <v>0</v>
      </c>
      <c r="W574" s="872">
        <f>SUM(PROD!AZ572:AZ578)</f>
        <v>0</v>
      </c>
      <c r="X574" s="407">
        <f>IFERROR(W574/(AA576-AA574),0)</f>
        <v>0</v>
      </c>
      <c r="Y574" s="408" t="s">
        <v>359</v>
      </c>
      <c r="Z574" s="442">
        <v>215</v>
      </c>
      <c r="AA574" s="410">
        <f>SUM(PROD!L572:L578)-SUM(W571:W577)-SUM(S571:S577)-AA573</f>
        <v>0</v>
      </c>
      <c r="AB574" s="496">
        <f>IF(AA576&gt;0,AA574/AA576,0)</f>
        <v>0</v>
      </c>
    </row>
    <row r="575" spans="1:28" ht="15.75" customHeight="1" x14ac:dyDescent="0.3">
      <c r="A575" s="2301"/>
      <c r="B575" s="399" t="str">
        <f>$B$8</f>
        <v>Materia Prima (Carb Ca, etc.)</v>
      </c>
      <c r="C575" s="440">
        <f>C568</f>
        <v>0</v>
      </c>
      <c r="D575" s="387">
        <f>C575*12/52</f>
        <v>0</v>
      </c>
      <c r="E575" s="383">
        <f>IFERROR(D575/SUM(PROD!L572:L578),0)</f>
        <v>0</v>
      </c>
      <c r="F575" s="384">
        <f>IFERROR(E575/SUM(E571:E577,J571:J577,O571:O576),0)</f>
        <v>0</v>
      </c>
      <c r="G575" s="441" t="str">
        <f>$G$15</f>
        <v>Gastos Legales</v>
      </c>
      <c r="H575" s="401">
        <f t="shared" si="108"/>
        <v>0</v>
      </c>
      <c r="I575" s="390">
        <f t="shared" si="106"/>
        <v>0</v>
      </c>
      <c r="J575" s="383">
        <f>IFERROR(I575/SUM(PROD!L572:L578),0)</f>
        <v>0</v>
      </c>
      <c r="K575" s="384">
        <f>IFERROR(J575/SUM(E571:E577,J571:J577,O571:O576),0)</f>
        <v>0</v>
      </c>
      <c r="L575" s="439" t="str">
        <f>$L$8</f>
        <v>Fletes</v>
      </c>
      <c r="M575" s="401">
        <f t="shared" si="117"/>
        <v>0</v>
      </c>
      <c r="N575" s="404">
        <f>M575*0.230769230769231</f>
        <v>0</v>
      </c>
      <c r="O575" s="383">
        <f>IFERROR(N575/SUM(PROD!L572:L578),0)</f>
        <v>0</v>
      </c>
      <c r="P575" s="384">
        <f>IFERROR(O575/SUM(E571:E577,J571:J577,O571:O576),0)</f>
        <v>0</v>
      </c>
      <c r="Q575" s="391" t="str">
        <f>$Q$8</f>
        <v>B</v>
      </c>
      <c r="R575" s="392">
        <f t="shared" si="109"/>
        <v>0</v>
      </c>
      <c r="S575" s="870">
        <f>SUM(PROD!AQ572:AQ578)</f>
        <v>0</v>
      </c>
      <c r="T575" s="393">
        <f>IF(AA571&gt;0,S575/AA571,0)</f>
        <v>0</v>
      </c>
      <c r="U575" s="395" t="str">
        <f>$U$8</f>
        <v>Rev. Gr.</v>
      </c>
      <c r="V575" s="412">
        <f t="shared" si="110"/>
        <v>0</v>
      </c>
      <c r="W575" s="873">
        <f>SUM(PROD!AT572:AT578)</f>
        <v>0</v>
      </c>
      <c r="X575" s="413">
        <f>IFERROR(W575/(AA576-AA574),0)</f>
        <v>0</v>
      </c>
      <c r="Y575" s="414" t="s">
        <v>262</v>
      </c>
      <c r="Z575" s="415">
        <f>IFERROR(SUMPRODUCT(V575:V577,W575:W577)/SUM(W575:W577),0)</f>
        <v>0</v>
      </c>
      <c r="AA575" s="416">
        <f>SUM(W575:W577)</f>
        <v>0</v>
      </c>
      <c r="AB575" s="497">
        <f>IF(AA576&gt;0,AA575/AA576,0)</f>
        <v>0</v>
      </c>
    </row>
    <row r="576" spans="1:28" ht="15.75" customHeight="1" x14ac:dyDescent="0.3">
      <c r="A576" s="2301"/>
      <c r="B576" s="438" t="str">
        <f>$B$9</f>
        <v>Vacunas y medicamentos</v>
      </c>
      <c r="C576" s="443">
        <f>C569</f>
        <v>0</v>
      </c>
      <c r="D576" s="387">
        <f>C576*12/52</f>
        <v>0</v>
      </c>
      <c r="E576" s="383">
        <f>IFERROR(D576/SUM(PROD!L572:L578),0)</f>
        <v>0</v>
      </c>
      <c r="F576" s="384">
        <f>IFERROR(E576/SUM(E571:E577,J571:J577,O571:O576),0)</f>
        <v>0</v>
      </c>
      <c r="G576" s="441" t="str">
        <f>$G$16</f>
        <v>Mantenimiento y Reparaciones</v>
      </c>
      <c r="H576" s="401">
        <f t="shared" si="108"/>
        <v>0</v>
      </c>
      <c r="I576" s="390">
        <f t="shared" si="106"/>
        <v>0</v>
      </c>
      <c r="J576" s="383">
        <f>IFERROR(I576/SUM(PROD!L572:L578),0)</f>
        <v>0</v>
      </c>
      <c r="K576" s="384">
        <f>IFERROR(J576/SUM(E571:E577,J571:J577,O571:O576),0)</f>
        <v>0</v>
      </c>
      <c r="L576" s="439">
        <f>$L$9</f>
        <v>0</v>
      </c>
      <c r="M576" s="401">
        <f t="shared" si="117"/>
        <v>0</v>
      </c>
      <c r="N576" s="404">
        <f>M576*0.230769230769231</f>
        <v>0</v>
      </c>
      <c r="O576" s="383">
        <f>IFERROR(N576/SUM(PROD!L572:L578),0)</f>
        <v>0</v>
      </c>
      <c r="P576" s="384">
        <f>IFERROR(O576/SUM(E571:E577,J571:J577,O571:O576),0)</f>
        <v>0</v>
      </c>
      <c r="Q576" s="391" t="str">
        <f>$Q$9</f>
        <v>C</v>
      </c>
      <c r="R576" s="392">
        <f t="shared" si="109"/>
        <v>0</v>
      </c>
      <c r="S576" s="870">
        <f>SUM(PROD!AR572:AR578)</f>
        <v>0</v>
      </c>
      <c r="T576" s="393">
        <f>IF(AA571&gt;0,S576/AA571,0)</f>
        <v>0</v>
      </c>
      <c r="U576" s="394" t="str">
        <f>$U$9</f>
        <v>Rev. Med</v>
      </c>
      <c r="V576" s="392">
        <f t="shared" si="110"/>
        <v>0</v>
      </c>
      <c r="W576" s="870">
        <f>SUM(PROD!AU572:AU578)</f>
        <v>0</v>
      </c>
      <c r="X576" s="418">
        <f>IFERROR(W576/(AA576-AA574),0)</f>
        <v>0</v>
      </c>
      <c r="Y576" s="2303" t="s">
        <v>325</v>
      </c>
      <c r="Z576" s="2305">
        <f>SUMPRODUCT(Z571:Z575,AB571:AB575)</f>
        <v>0</v>
      </c>
      <c r="AA576" s="2307">
        <f>SUM(AA571:AA574)</f>
        <v>0</v>
      </c>
      <c r="AB576" s="2308"/>
    </row>
    <row r="577" spans="1:28" ht="16.5" customHeight="1" thickBot="1" x14ac:dyDescent="0.35">
      <c r="A577" s="2302"/>
      <c r="B577" s="444" t="str">
        <f>$B$10</f>
        <v>Gastos de Personal</v>
      </c>
      <c r="C577" s="445">
        <f>C570</f>
        <v>0</v>
      </c>
      <c r="D577" s="421">
        <f>C577*12/52</f>
        <v>0</v>
      </c>
      <c r="E577" s="446">
        <f>IFERROR(D577/SUM(PROD!L572:L578),0)</f>
        <v>0</v>
      </c>
      <c r="F577" s="447">
        <f>IFERROR(E577/SUM(E571:E577,J571:J577,O571:O576),0)</f>
        <v>0</v>
      </c>
      <c r="G577" s="448" t="str">
        <f>$G$17</f>
        <v>Adecuación Instalaciones</v>
      </c>
      <c r="H577" s="445">
        <f t="shared" si="108"/>
        <v>0</v>
      </c>
      <c r="I577" s="426">
        <f t="shared" si="106"/>
        <v>0</v>
      </c>
      <c r="J577" s="446">
        <f>IFERROR(I577/SUM(PROD!L572:L578),0)</f>
        <v>0</v>
      </c>
      <c r="K577" s="447">
        <f>IFERROR(J577/SUM(E571:E577,J571:J577,O571:O576),0)</f>
        <v>0</v>
      </c>
      <c r="L577" s="2311" t="str">
        <f>$L$10</f>
        <v>TOTAL COSTO PRODUCCIÓN</v>
      </c>
      <c r="M577" s="2312"/>
      <c r="N577" s="427">
        <f>SUM(D571:D577,I571:I577,N571:N576)</f>
        <v>230769.23076923078</v>
      </c>
      <c r="O577" s="449">
        <f>IFERROR(N577/SUM(PROD!L572:L578),0)</f>
        <v>0</v>
      </c>
      <c r="P577" s="447">
        <f>IFERROR(O577/SUM(E571:E577,J571:J577,O571:O576),0)</f>
        <v>0</v>
      </c>
      <c r="Q577" s="450" t="str">
        <f>$Q$10</f>
        <v>D</v>
      </c>
      <c r="R577" s="430">
        <f t="shared" si="109"/>
        <v>0</v>
      </c>
      <c r="S577" s="871">
        <f>SUM(PROD!AS572:AS578)</f>
        <v>0</v>
      </c>
      <c r="T577" s="451">
        <f>IF(AA571&gt;0,S577/AA571,0)</f>
        <v>0</v>
      </c>
      <c r="U577" s="452" t="str">
        <f>$U$10</f>
        <v>Rev. Peq</v>
      </c>
      <c r="V577" s="430">
        <f t="shared" si="110"/>
        <v>0</v>
      </c>
      <c r="W577" s="874">
        <f>SUM(PROD!AV572:AV578)</f>
        <v>0</v>
      </c>
      <c r="X577" s="451">
        <f>IFERROR(W577/(AA576-AA574),0)</f>
        <v>0</v>
      </c>
      <c r="Y577" s="2304"/>
      <c r="Z577" s="2306"/>
      <c r="AA577" s="2309"/>
      <c r="AB577" s="2310"/>
    </row>
    <row r="578" spans="1:28" ht="16.5" customHeight="1" x14ac:dyDescent="0.3">
      <c r="A578" s="2300">
        <f>A571+1</f>
        <v>100</v>
      </c>
      <c r="B578" s="433" t="str">
        <f>$B$4</f>
        <v>ALIMENTO Kilos</v>
      </c>
      <c r="C578" s="435">
        <f>LOOKUP($A578,PROD!$A$5:$A$725,PROD!$AH$10:$AH$730)</f>
        <v>0</v>
      </c>
      <c r="D578" s="368">
        <f>C578*LOOKUP($A578,'Pr-Sem'!$A$6:$A$108,'Pr-Sem'!$N$6:$N$108)/(PROD!$A$1/1000)</f>
        <v>0</v>
      </c>
      <c r="E578" s="369">
        <f>IFERROR(D578/SUM(PROD!L579:L585),0)</f>
        <v>0</v>
      </c>
      <c r="F578" s="370">
        <f>IFERROR(E578/SUM(E578:E584,J578:J584,O578:O583),0)</f>
        <v>0</v>
      </c>
      <c r="G578" s="434" t="str">
        <f>$G$11</f>
        <v>Honorarios</v>
      </c>
      <c r="H578" s="435">
        <f t="shared" si="108"/>
        <v>0</v>
      </c>
      <c r="I578" s="372">
        <f t="shared" si="106"/>
        <v>0</v>
      </c>
      <c r="J578" s="369">
        <f>IFERROR(I578/SUM(PROD!L579:L585),0)</f>
        <v>0</v>
      </c>
      <c r="K578" s="370">
        <f>IFERROR(J578/SUM(E578:E584,J578:J584,O578:O583),0)</f>
        <v>0</v>
      </c>
      <c r="L578" s="436" t="str">
        <f>$L$4</f>
        <v>Gastos de Viaje</v>
      </c>
      <c r="M578" s="435">
        <f t="shared" ref="M578:M583" si="118">M571</f>
        <v>0</v>
      </c>
      <c r="N578" s="372">
        <f>M578*12/52</f>
        <v>0</v>
      </c>
      <c r="O578" s="369">
        <f>IFERROR(N578/SUM(PROD!L579:L585),0)</f>
        <v>0</v>
      </c>
      <c r="P578" s="370">
        <f>IFERROR(O578/SUM(E578:E584,J578:J584,O578:O583),0)</f>
        <v>0</v>
      </c>
      <c r="Q578" s="373" t="str">
        <f>$Q$4</f>
        <v>AAAA</v>
      </c>
      <c r="R578" s="374">
        <f t="shared" si="109"/>
        <v>0</v>
      </c>
      <c r="S578" s="869">
        <f>SUM(PROD!AM579:AM585)</f>
        <v>0</v>
      </c>
      <c r="T578" s="375">
        <f>IF(AA578&gt;0,S578/AA578,0)</f>
        <v>0</v>
      </c>
      <c r="U578" s="376" t="str">
        <f>$U$4</f>
        <v>Prob Color</v>
      </c>
      <c r="V578" s="374">
        <f t="shared" si="110"/>
        <v>0</v>
      </c>
      <c r="W578" s="869">
        <f>SUM(PROD!AW579:AW585)</f>
        <v>0</v>
      </c>
      <c r="X578" s="375">
        <f>IFERROR(W578/(AA583-AA581),0)</f>
        <v>0</v>
      </c>
      <c r="Y578" s="377" t="s">
        <v>323</v>
      </c>
      <c r="Z578" s="378">
        <f>SUMPRODUCT(R578:R584,T578:T584)</f>
        <v>0</v>
      </c>
      <c r="AA578" s="379">
        <f>SUM(S578:S584)</f>
        <v>0</v>
      </c>
      <c r="AB578" s="490">
        <f>IF(AA583&gt;0,AA578/AA583,0)</f>
        <v>0</v>
      </c>
    </row>
    <row r="579" spans="1:28" ht="15.75" customHeight="1" x14ac:dyDescent="0.3">
      <c r="A579" s="2301"/>
      <c r="B579" s="438" t="str">
        <f>$B$5</f>
        <v>Amortización de Aves</v>
      </c>
      <c r="C579" s="381">
        <f>IFERROR((C572-(D579/'Pr-Sem'!$O$2)),0)</f>
        <v>0</v>
      </c>
      <c r="D579" s="382">
        <f>SUM(PROD!L579:L585)*E579</f>
        <v>0</v>
      </c>
      <c r="E579" s="383">
        <f>IF(SUM(PROD!L579:L585)&gt;0,IFERROR(($C$1-$C$2)/LOOKUP($B$2,'Pr-Sem'!$A$6:$A$108,'Pr-Sem'!$L$6:$L$108)*(LOOKUP(INVENTARIOS!$A578,'Pr-Sem'!$A$6:$A$108,'Pr-Sem'!$L$6:$L$108)-LOOKUP(INVENTARIOS!$A578-1,'Pr-Sem'!$A$6:$A$108,'Pr-Sem'!$L$6:$L$108))/(LOOKUP(INVENTARIOS!$A578,'Pr-Sem'!$A$6:$A$108,'Pr-Sem'!$K$6:$K$108)-LOOKUP(INVENTARIOS!$A578-1,'Pr-Sem'!$A$6:$A$108,'Pr-Sem'!$K$6:$K$108)),0),0)</f>
        <v>0</v>
      </c>
      <c r="F579" s="384">
        <f>IFERROR(E579/SUM(E578:E584,J578:J584,O578:O583),0)</f>
        <v>0</v>
      </c>
      <c r="G579" s="439" t="str">
        <f>$G$12</f>
        <v>Impuestos</v>
      </c>
      <c r="H579" s="440">
        <f t="shared" si="108"/>
        <v>0</v>
      </c>
      <c r="I579" s="387">
        <f t="shared" si="106"/>
        <v>0</v>
      </c>
      <c r="J579" s="383">
        <f>IFERROR(I579/SUM(PROD!L579:L585),0)</f>
        <v>0</v>
      </c>
      <c r="K579" s="384">
        <f>IFERROR(J579/SUM(E578:E584,J578:J584,O578:O583),0)</f>
        <v>0</v>
      </c>
      <c r="L579" s="439" t="str">
        <f>$L$5</f>
        <v>Depreciaciones</v>
      </c>
      <c r="M579" s="401">
        <f t="shared" si="118"/>
        <v>0</v>
      </c>
      <c r="N579" s="390">
        <f>M579*12/52</f>
        <v>0</v>
      </c>
      <c r="O579" s="383">
        <f>IFERROR(N579/SUM(PROD!L579:L585),0)</f>
        <v>0</v>
      </c>
      <c r="P579" s="384">
        <f>IFERROR(O579/SUM(E578:E584,J578:J584,O578:O583),0)</f>
        <v>0</v>
      </c>
      <c r="Q579" s="391" t="str">
        <f>$Q$5</f>
        <v>AAA</v>
      </c>
      <c r="R579" s="392">
        <f t="shared" si="109"/>
        <v>0</v>
      </c>
      <c r="S579" s="870">
        <f>SUM(PROD!AN579:AN585)</f>
        <v>0</v>
      </c>
      <c r="T579" s="393">
        <f>IF(AA578&gt;0,S579/AA578,0)</f>
        <v>0</v>
      </c>
      <c r="U579" s="394" t="str">
        <f>$U$5</f>
        <v>Prob Cásc</v>
      </c>
      <c r="V579" s="392">
        <f t="shared" si="110"/>
        <v>0</v>
      </c>
      <c r="W579" s="870">
        <f>SUM(PROD!AX579:AX585)</f>
        <v>0</v>
      </c>
      <c r="X579" s="393">
        <f>IFERROR(W579/(AA583-AA581),0)</f>
        <v>0</v>
      </c>
      <c r="Y579" s="395" t="s">
        <v>324</v>
      </c>
      <c r="Z579" s="396">
        <f>IFERROR(SUMPRODUCT(V578:V581,W578:W581)/SUM(W578:W581),0)</f>
        <v>0</v>
      </c>
      <c r="AA579" s="397">
        <f>SUM(W578:W581)</f>
        <v>0</v>
      </c>
      <c r="AB579" s="494">
        <f>IF(AA583&gt;0,AA579/AA583,0)</f>
        <v>0</v>
      </c>
    </row>
    <row r="580" spans="1:28" ht="15.75" customHeight="1" x14ac:dyDescent="0.3">
      <c r="A580" s="2301"/>
      <c r="B580" s="399" t="str">
        <f>$B$6</f>
        <v>Bandeja</v>
      </c>
      <c r="C580" s="400">
        <f>C573</f>
        <v>0</v>
      </c>
      <c r="D580" s="387">
        <f>C580*SUM(INVENTARIOS!R578:R584)</f>
        <v>0</v>
      </c>
      <c r="E580" s="383">
        <f>IFERROR(D580/SUM(PROD!L579:L585),0)</f>
        <v>0</v>
      </c>
      <c r="F580" s="384">
        <f>IFERROR(E580/SUM(E578:E584,J578:J584,O578:O583),0)</f>
        <v>0</v>
      </c>
      <c r="G580" s="439" t="str">
        <f>$G$13</f>
        <v>Arrendamientos</v>
      </c>
      <c r="H580" s="401">
        <f t="shared" si="108"/>
        <v>0</v>
      </c>
      <c r="I580" s="390">
        <f t="shared" ref="I580:I643" si="119">H580*12/52</f>
        <v>0</v>
      </c>
      <c r="J580" s="383">
        <f>IFERROR(I580/SUM(PROD!L579:L585),0)</f>
        <v>0</v>
      </c>
      <c r="K580" s="384">
        <f>IFERROR(J580/SUM(E578:E584,J578:J584,O578:O583),0)</f>
        <v>0</v>
      </c>
      <c r="L580" s="439" t="str">
        <f>$L$6</f>
        <v>Diversos</v>
      </c>
      <c r="M580" s="401">
        <f t="shared" si="118"/>
        <v>1000000</v>
      </c>
      <c r="N580" s="390">
        <f>M580*12/52</f>
        <v>230769.23076923078</v>
      </c>
      <c r="O580" s="383">
        <f>IFERROR(N580/SUM(PROD!L579:L585),0)</f>
        <v>0</v>
      </c>
      <c r="P580" s="384">
        <f>IFERROR(O580/SUM(E578:E584,J578:J584,O578:O583),0)</f>
        <v>0</v>
      </c>
      <c r="Q580" s="391" t="str">
        <f>$Q$6</f>
        <v>AA</v>
      </c>
      <c r="R580" s="392">
        <f t="shared" si="109"/>
        <v>0</v>
      </c>
      <c r="S580" s="870">
        <f>SUM(PROD!AO579:AO585)</f>
        <v>0</v>
      </c>
      <c r="T580" s="393">
        <f>IF(AA578&gt;0,S580/AA578,0)</f>
        <v>0</v>
      </c>
      <c r="U580" s="394" t="str">
        <f>$U$6</f>
        <v>Vencido</v>
      </c>
      <c r="V580" s="392">
        <f t="shared" si="110"/>
        <v>0</v>
      </c>
      <c r="W580" s="870">
        <f>SUM(PROD!AY579:AY585)</f>
        <v>0</v>
      </c>
      <c r="X580" s="393">
        <f>IFERROR(W580/(AA583-AA581),0)</f>
        <v>0</v>
      </c>
      <c r="Y580" s="402" t="s">
        <v>391</v>
      </c>
      <c r="Z580" s="456">
        <v>0</v>
      </c>
      <c r="AA580" s="720"/>
      <c r="AB580" s="495">
        <f>IF(AA583&gt;0,AA580/AA583,0)</f>
        <v>0</v>
      </c>
    </row>
    <row r="581" spans="1:28" ht="15.75" customHeight="1" x14ac:dyDescent="0.3">
      <c r="A581" s="2301"/>
      <c r="B581" s="438" t="str">
        <f>$B$7</f>
        <v>Mortalidad Aves</v>
      </c>
      <c r="C581" s="401">
        <f>IF(A578&lt;=$B$2,C579+$C$2,0)</f>
        <v>0</v>
      </c>
      <c r="D581" s="390">
        <f>C581*SUM(PROD!D579:D585)</f>
        <v>0</v>
      </c>
      <c r="E581" s="383">
        <f>IFERROR(D581/SUM(PROD!L579:L585),0)</f>
        <v>0</v>
      </c>
      <c r="F581" s="384">
        <f>IFERROR(E581/SUM(E578:E584,J578:J584,O578:O583),0)</f>
        <v>0</v>
      </c>
      <c r="G581" s="439" t="str">
        <f>$G$14</f>
        <v>Servicios Públicos</v>
      </c>
      <c r="H581" s="401">
        <f t="shared" si="108"/>
        <v>0</v>
      </c>
      <c r="I581" s="390">
        <f t="shared" si="119"/>
        <v>0</v>
      </c>
      <c r="J581" s="383">
        <f>IFERROR(I581/SUM(PROD!L579:L585),0)</f>
        <v>0</v>
      </c>
      <c r="K581" s="384">
        <f>IFERROR(J581/SUM(E578:E584,J578:J584,O578:O583),0)</f>
        <v>0</v>
      </c>
      <c r="L581" s="441" t="str">
        <f>$L$7</f>
        <v>Administrativos</v>
      </c>
      <c r="M581" s="401">
        <f t="shared" si="118"/>
        <v>0</v>
      </c>
      <c r="N581" s="404">
        <f>M581*0.230769230769231</f>
        <v>0</v>
      </c>
      <c r="O581" s="383">
        <f>IFERROR(N581/SUM(PROD!L579:L585),0)</f>
        <v>0</v>
      </c>
      <c r="P581" s="384">
        <f>IFERROR(O581/SUM(E578:E584,J578:J584,O578:O583),0)</f>
        <v>0</v>
      </c>
      <c r="Q581" s="391" t="str">
        <f>$Q$7</f>
        <v>A</v>
      </c>
      <c r="R581" s="392">
        <f t="shared" si="109"/>
        <v>0</v>
      </c>
      <c r="S581" s="870">
        <f>SUM(PROD!AP579:AP585)</f>
        <v>0</v>
      </c>
      <c r="T581" s="393">
        <f>IF(AA578&gt;0,S581/AA578,0)</f>
        <v>0</v>
      </c>
      <c r="U581" s="405" t="str">
        <f>$U$7</f>
        <v>Roto</v>
      </c>
      <c r="V581" s="406">
        <f t="shared" si="110"/>
        <v>0</v>
      </c>
      <c r="W581" s="872">
        <f>SUM(PROD!AZ579:AZ585)</f>
        <v>0</v>
      </c>
      <c r="X581" s="407">
        <f>IFERROR(W581/(AA583-AA581),0)</f>
        <v>0</v>
      </c>
      <c r="Y581" s="408" t="s">
        <v>359</v>
      </c>
      <c r="Z581" s="442">
        <v>215</v>
      </c>
      <c r="AA581" s="410">
        <f>SUM(PROD!L579:L585)-SUM(W578:W584)-SUM(S578:S584)-AA580</f>
        <v>0</v>
      </c>
      <c r="AB581" s="496">
        <f>IF(AA583&gt;0,AA581/AA583,0)</f>
        <v>0</v>
      </c>
    </row>
    <row r="582" spans="1:28" ht="15.75" customHeight="1" x14ac:dyDescent="0.3">
      <c r="A582" s="2301"/>
      <c r="B582" s="399" t="str">
        <f>$B$8</f>
        <v>Materia Prima (Carb Ca, etc.)</v>
      </c>
      <c r="C582" s="440">
        <f>C575</f>
        <v>0</v>
      </c>
      <c r="D582" s="387">
        <f>C582*12/52</f>
        <v>0</v>
      </c>
      <c r="E582" s="383">
        <f>IFERROR(D582/SUM(PROD!L579:L585),0)</f>
        <v>0</v>
      </c>
      <c r="F582" s="384">
        <f>IFERROR(E582/SUM(E578:E584,J578:J584,O578:O583),0)</f>
        <v>0</v>
      </c>
      <c r="G582" s="441" t="str">
        <f>$G$15</f>
        <v>Gastos Legales</v>
      </c>
      <c r="H582" s="401">
        <f t="shared" si="108"/>
        <v>0</v>
      </c>
      <c r="I582" s="390">
        <f t="shared" si="119"/>
        <v>0</v>
      </c>
      <c r="J582" s="383">
        <f>IFERROR(I582/SUM(PROD!L579:L585),0)</f>
        <v>0</v>
      </c>
      <c r="K582" s="384">
        <f>IFERROR(J582/SUM(E578:E584,J578:J584,O578:O583),0)</f>
        <v>0</v>
      </c>
      <c r="L582" s="439" t="str">
        <f>$L$8</f>
        <v>Fletes</v>
      </c>
      <c r="M582" s="401">
        <f t="shared" si="118"/>
        <v>0</v>
      </c>
      <c r="N582" s="404">
        <f>M582*0.230769230769231</f>
        <v>0</v>
      </c>
      <c r="O582" s="383">
        <f>IFERROR(N582/SUM(PROD!L579:L585),0)</f>
        <v>0</v>
      </c>
      <c r="P582" s="384">
        <f>IFERROR(O582/SUM(E578:E584,J578:J584,O578:O583),0)</f>
        <v>0</v>
      </c>
      <c r="Q582" s="391" t="str">
        <f>$Q$8</f>
        <v>B</v>
      </c>
      <c r="R582" s="392">
        <f t="shared" si="109"/>
        <v>0</v>
      </c>
      <c r="S582" s="870">
        <f>SUM(PROD!AQ579:AQ585)</f>
        <v>0</v>
      </c>
      <c r="T582" s="393">
        <f>IF(AA578&gt;0,S582/AA578,0)</f>
        <v>0</v>
      </c>
      <c r="U582" s="395" t="str">
        <f>$U$8</f>
        <v>Rev. Gr.</v>
      </c>
      <c r="V582" s="412">
        <f t="shared" si="110"/>
        <v>0</v>
      </c>
      <c r="W582" s="873">
        <f>SUM(PROD!AT579:AT585)</f>
        <v>0</v>
      </c>
      <c r="X582" s="413">
        <f>IFERROR(W582/(AA583-AA581),0)</f>
        <v>0</v>
      </c>
      <c r="Y582" s="414" t="s">
        <v>262</v>
      </c>
      <c r="Z582" s="415">
        <f>IFERROR(SUMPRODUCT(V582:V584,W582:W584)/SUM(W582:W584),0)</f>
        <v>0</v>
      </c>
      <c r="AA582" s="416">
        <f>SUM(W582:W584)</f>
        <v>0</v>
      </c>
      <c r="AB582" s="497">
        <f>IF(AA583&gt;0,AA582/AA583,0)</f>
        <v>0</v>
      </c>
    </row>
    <row r="583" spans="1:28" ht="15.75" customHeight="1" x14ac:dyDescent="0.3">
      <c r="A583" s="2301"/>
      <c r="B583" s="438" t="str">
        <f>$B$9</f>
        <v>Vacunas y medicamentos</v>
      </c>
      <c r="C583" s="443">
        <f>C576</f>
        <v>0</v>
      </c>
      <c r="D583" s="387">
        <f>C583*12/52</f>
        <v>0</v>
      </c>
      <c r="E583" s="383">
        <f>IFERROR(D583/SUM(PROD!L579:L585),0)</f>
        <v>0</v>
      </c>
      <c r="F583" s="384">
        <f>IFERROR(E583/SUM(E578:E584,J578:J584,O578:O583),0)</f>
        <v>0</v>
      </c>
      <c r="G583" s="441" t="str">
        <f>$G$16</f>
        <v>Mantenimiento y Reparaciones</v>
      </c>
      <c r="H583" s="401">
        <f t="shared" si="108"/>
        <v>0</v>
      </c>
      <c r="I583" s="390">
        <f t="shared" si="119"/>
        <v>0</v>
      </c>
      <c r="J583" s="383">
        <f>IFERROR(I583/SUM(PROD!L579:L585),0)</f>
        <v>0</v>
      </c>
      <c r="K583" s="384">
        <f>IFERROR(J583/SUM(E578:E584,J578:J584,O578:O583),0)</f>
        <v>0</v>
      </c>
      <c r="L583" s="439">
        <f>$L$9</f>
        <v>0</v>
      </c>
      <c r="M583" s="401">
        <f t="shared" si="118"/>
        <v>0</v>
      </c>
      <c r="N583" s="404">
        <f>M583*0.230769230769231</f>
        <v>0</v>
      </c>
      <c r="O583" s="383">
        <f>IFERROR(N583/SUM(PROD!L579:L585),0)</f>
        <v>0</v>
      </c>
      <c r="P583" s="384">
        <f>IFERROR(O583/SUM(E578:E584,J578:J584,O578:O583),0)</f>
        <v>0</v>
      </c>
      <c r="Q583" s="391" t="str">
        <f>$Q$9</f>
        <v>C</v>
      </c>
      <c r="R583" s="392">
        <f t="shared" si="109"/>
        <v>0</v>
      </c>
      <c r="S583" s="870">
        <f>SUM(PROD!AR579:AR585)</f>
        <v>0</v>
      </c>
      <c r="T583" s="393">
        <f>IF(AA578&gt;0,S583/AA578,0)</f>
        <v>0</v>
      </c>
      <c r="U583" s="394" t="str">
        <f>$U$9</f>
        <v>Rev. Med</v>
      </c>
      <c r="V583" s="392">
        <f t="shared" si="110"/>
        <v>0</v>
      </c>
      <c r="W583" s="870">
        <f>SUM(PROD!AU579:AU585)</f>
        <v>0</v>
      </c>
      <c r="X583" s="418">
        <f>IFERROR(W583/(AA583-AA581),0)</f>
        <v>0</v>
      </c>
      <c r="Y583" s="2303" t="s">
        <v>325</v>
      </c>
      <c r="Z583" s="2305">
        <f>SUMPRODUCT(Z578:Z582,AB578:AB582)</f>
        <v>0</v>
      </c>
      <c r="AA583" s="2307">
        <f>SUM(AA578:AA581)</f>
        <v>0</v>
      </c>
      <c r="AB583" s="2308"/>
    </row>
    <row r="584" spans="1:28" ht="16.5" customHeight="1" thickBot="1" x14ac:dyDescent="0.35">
      <c r="A584" s="2302"/>
      <c r="B584" s="444" t="str">
        <f>$B$10</f>
        <v>Gastos de Personal</v>
      </c>
      <c r="C584" s="445">
        <f>C577</f>
        <v>0</v>
      </c>
      <c r="D584" s="421">
        <f>C584*12/52</f>
        <v>0</v>
      </c>
      <c r="E584" s="446">
        <f>IFERROR(D584/SUM(PROD!L579:L585),0)</f>
        <v>0</v>
      </c>
      <c r="F584" s="447">
        <f>IFERROR(E584/SUM(E578:E584,J578:J584,O578:O583),0)</f>
        <v>0</v>
      </c>
      <c r="G584" s="448" t="str">
        <f>$G$17</f>
        <v>Adecuación Instalaciones</v>
      </c>
      <c r="H584" s="445">
        <f t="shared" si="108"/>
        <v>0</v>
      </c>
      <c r="I584" s="426">
        <f t="shared" si="119"/>
        <v>0</v>
      </c>
      <c r="J584" s="446">
        <f>IFERROR(I584/SUM(PROD!L579:L585),0)</f>
        <v>0</v>
      </c>
      <c r="K584" s="447">
        <f>IFERROR(J584/SUM(E578:E584,J578:J584,O578:O583),0)</f>
        <v>0</v>
      </c>
      <c r="L584" s="2311" t="str">
        <f>$L$10</f>
        <v>TOTAL COSTO PRODUCCIÓN</v>
      </c>
      <c r="M584" s="2312"/>
      <c r="N584" s="427">
        <f>SUM(D578:D584,I578:I584,N578:N583)</f>
        <v>230769.23076923078</v>
      </c>
      <c r="O584" s="449">
        <f>IFERROR(N584/SUM(PROD!L579:L585),0)</f>
        <v>0</v>
      </c>
      <c r="P584" s="447">
        <f>IFERROR(O584/SUM(E578:E584,J578:J584,O578:O583),0)</f>
        <v>0</v>
      </c>
      <c r="Q584" s="450" t="str">
        <f>$Q$10</f>
        <v>D</v>
      </c>
      <c r="R584" s="430">
        <f t="shared" si="109"/>
        <v>0</v>
      </c>
      <c r="S584" s="871">
        <f>SUM(PROD!AS579:AS585)</f>
        <v>0</v>
      </c>
      <c r="T584" s="451">
        <f>IF(AA578&gt;0,S584/AA578,0)</f>
        <v>0</v>
      </c>
      <c r="U584" s="452" t="str">
        <f>$U$10</f>
        <v>Rev. Peq</v>
      </c>
      <c r="V584" s="430">
        <f t="shared" si="110"/>
        <v>0</v>
      </c>
      <c r="W584" s="874">
        <f>SUM(PROD!AV579:AV585)</f>
        <v>0</v>
      </c>
      <c r="X584" s="451">
        <f>IFERROR(W584/(AA583-AA581),0)</f>
        <v>0</v>
      </c>
      <c r="Y584" s="2304"/>
      <c r="Z584" s="2306"/>
      <c r="AA584" s="2309"/>
      <c r="AB584" s="2310"/>
    </row>
    <row r="585" spans="1:28" ht="16.5" customHeight="1" x14ac:dyDescent="0.3">
      <c r="A585" s="2300">
        <f>A578+1</f>
        <v>101</v>
      </c>
      <c r="B585" s="433" t="str">
        <f>$B$4</f>
        <v>ALIMENTO Kilos</v>
      </c>
      <c r="C585" s="435">
        <f>LOOKUP($A585,PROD!$A$5:$A$725,PROD!$AH$10:$AH$730)</f>
        <v>0</v>
      </c>
      <c r="D585" s="368">
        <f>C585*LOOKUP($A585,'Pr-Sem'!$A$6:$A$108,'Pr-Sem'!$N$6:$N$108)/(PROD!$A$1/1000)</f>
        <v>0</v>
      </c>
      <c r="E585" s="369">
        <f>IFERROR(D585/SUM(PROD!L586:L592),0)</f>
        <v>0</v>
      </c>
      <c r="F585" s="370">
        <f>IFERROR(E585/SUM(E585:E591,J585:J591,O585:O590),0)</f>
        <v>0</v>
      </c>
      <c r="G585" s="434" t="str">
        <f>$G$11</f>
        <v>Honorarios</v>
      </c>
      <c r="H585" s="435">
        <f t="shared" si="108"/>
        <v>0</v>
      </c>
      <c r="I585" s="372">
        <f t="shared" si="119"/>
        <v>0</v>
      </c>
      <c r="J585" s="369">
        <f>IFERROR(I585/SUM(PROD!L586:L592),0)</f>
        <v>0</v>
      </c>
      <c r="K585" s="370">
        <f>IFERROR(J585/SUM(E585:E591,J585:J591,O585:O590),0)</f>
        <v>0</v>
      </c>
      <c r="L585" s="436" t="str">
        <f>$L$4</f>
        <v>Gastos de Viaje</v>
      </c>
      <c r="M585" s="435">
        <f t="shared" ref="M585:M590" si="120">M578</f>
        <v>0</v>
      </c>
      <c r="N585" s="372">
        <f>M585*12/52</f>
        <v>0</v>
      </c>
      <c r="O585" s="369">
        <f>IFERROR(N585/SUM(PROD!L586:L592),0)</f>
        <v>0</v>
      </c>
      <c r="P585" s="370">
        <f>IFERROR(O585/SUM(E585:E591,J585:J591,O585:O590),0)</f>
        <v>0</v>
      </c>
      <c r="Q585" s="373" t="str">
        <f>$Q$4</f>
        <v>AAAA</v>
      </c>
      <c r="R585" s="374">
        <f t="shared" si="109"/>
        <v>0</v>
      </c>
      <c r="S585" s="869">
        <f>SUM(PROD!AM586:AM592)</f>
        <v>0</v>
      </c>
      <c r="T585" s="375">
        <f>IF(AA585&gt;0,S585/AA585,0)</f>
        <v>0</v>
      </c>
      <c r="U585" s="376" t="str">
        <f>$U$4</f>
        <v>Prob Color</v>
      </c>
      <c r="V585" s="374">
        <f t="shared" si="110"/>
        <v>0</v>
      </c>
      <c r="W585" s="869">
        <f>SUM(PROD!AW586:AW592)</f>
        <v>0</v>
      </c>
      <c r="X585" s="375">
        <f>IFERROR(W585/(AA590-AA588),0)</f>
        <v>0</v>
      </c>
      <c r="Y585" s="377" t="s">
        <v>323</v>
      </c>
      <c r="Z585" s="378">
        <f>SUMPRODUCT(R585:R591,T585:T591)</f>
        <v>0</v>
      </c>
      <c r="AA585" s="379">
        <f>SUM(S585:S591)</f>
        <v>0</v>
      </c>
      <c r="AB585" s="490">
        <f>IF(AA590&gt;0,AA585/AA590,0)</f>
        <v>0</v>
      </c>
    </row>
    <row r="586" spans="1:28" ht="15.75" customHeight="1" x14ac:dyDescent="0.3">
      <c r="A586" s="2301"/>
      <c r="B586" s="438" t="str">
        <f>$B$5</f>
        <v>Amortización de Aves</v>
      </c>
      <c r="C586" s="381">
        <f>IFERROR((C579-(D586/'Pr-Sem'!$O$2)),0)</f>
        <v>0</v>
      </c>
      <c r="D586" s="382">
        <f>SUM(PROD!L586:L592)*E586</f>
        <v>0</v>
      </c>
      <c r="E586" s="383">
        <f>IF(SUM(PROD!L586:L592)&gt;0,IFERROR(($C$1-$C$2)/LOOKUP($B$2,'Pr-Sem'!$A$6:$A$108,'Pr-Sem'!$L$6:$L$108)*(LOOKUP(INVENTARIOS!$A585,'Pr-Sem'!$A$6:$A$108,'Pr-Sem'!$L$6:$L$108)-LOOKUP(INVENTARIOS!$A585-1,'Pr-Sem'!$A$6:$A$108,'Pr-Sem'!$L$6:$L$108))/(LOOKUP(INVENTARIOS!$A585,'Pr-Sem'!$A$6:$A$108,'Pr-Sem'!$K$6:$K$108)-LOOKUP(INVENTARIOS!$A585-1,'Pr-Sem'!$A$6:$A$108,'Pr-Sem'!$K$6:$K$108)),0),0)</f>
        <v>0</v>
      </c>
      <c r="F586" s="384">
        <f>IFERROR(E586/SUM(E585:E591,J585:J591,O585:O590),0)</f>
        <v>0</v>
      </c>
      <c r="G586" s="439" t="str">
        <f>$G$12</f>
        <v>Impuestos</v>
      </c>
      <c r="H586" s="440">
        <f t="shared" si="108"/>
        <v>0</v>
      </c>
      <c r="I586" s="387">
        <f t="shared" si="119"/>
        <v>0</v>
      </c>
      <c r="J586" s="383">
        <f>IFERROR(I586/SUM(PROD!L586:L592),0)</f>
        <v>0</v>
      </c>
      <c r="K586" s="384">
        <f>IFERROR(J586/SUM(E585:E591,J585:J591,O585:O590),0)</f>
        <v>0</v>
      </c>
      <c r="L586" s="439" t="str">
        <f>$L$5</f>
        <v>Depreciaciones</v>
      </c>
      <c r="M586" s="401">
        <f t="shared" si="120"/>
        <v>0</v>
      </c>
      <c r="N586" s="390">
        <f>M586*12/52</f>
        <v>0</v>
      </c>
      <c r="O586" s="383">
        <f>IFERROR(N586/SUM(PROD!L586:L592),0)</f>
        <v>0</v>
      </c>
      <c r="P586" s="384">
        <f>IFERROR(O586/SUM(E585:E591,J585:J591,O585:O590),0)</f>
        <v>0</v>
      </c>
      <c r="Q586" s="391" t="str">
        <f>$Q$5</f>
        <v>AAA</v>
      </c>
      <c r="R586" s="392">
        <f t="shared" si="109"/>
        <v>0</v>
      </c>
      <c r="S586" s="870">
        <f>SUM(PROD!AN586:AN592)</f>
        <v>0</v>
      </c>
      <c r="T586" s="393">
        <f>IF(AA585&gt;0,S586/AA585,0)</f>
        <v>0</v>
      </c>
      <c r="U586" s="394" t="str">
        <f>$U$5</f>
        <v>Prob Cásc</v>
      </c>
      <c r="V586" s="392">
        <f t="shared" si="110"/>
        <v>0</v>
      </c>
      <c r="W586" s="870">
        <f>SUM(PROD!AX586:AX592)</f>
        <v>0</v>
      </c>
      <c r="X586" s="393">
        <f>IFERROR(W586/(AA590-AA588),0)</f>
        <v>0</v>
      </c>
      <c r="Y586" s="395" t="s">
        <v>324</v>
      </c>
      <c r="Z586" s="396">
        <f>IFERROR(SUMPRODUCT(V585:V588,W585:W588)/SUM(W585:W588),0)</f>
        <v>0</v>
      </c>
      <c r="AA586" s="397">
        <f>SUM(W585:W588)</f>
        <v>0</v>
      </c>
      <c r="AB586" s="494">
        <f>IF(AA590&gt;0,AA586/AA590,0)</f>
        <v>0</v>
      </c>
    </row>
    <row r="587" spans="1:28" ht="15.75" customHeight="1" x14ac:dyDescent="0.3">
      <c r="A587" s="2301"/>
      <c r="B587" s="399" t="str">
        <f>$B$6</f>
        <v>Bandeja</v>
      </c>
      <c r="C587" s="400">
        <f>C580</f>
        <v>0</v>
      </c>
      <c r="D587" s="387">
        <f>C587*SUM(INVENTARIOS!R585:R591)</f>
        <v>0</v>
      </c>
      <c r="E587" s="383">
        <f>IFERROR(D587/SUM(PROD!L586:L592),0)</f>
        <v>0</v>
      </c>
      <c r="F587" s="384">
        <f>IFERROR(E587/SUM(E585:E591,J585:J591,O585:O590),0)</f>
        <v>0</v>
      </c>
      <c r="G587" s="439" t="str">
        <f>$G$13</f>
        <v>Arrendamientos</v>
      </c>
      <c r="H587" s="401">
        <f t="shared" ref="H587:H650" si="121">H580</f>
        <v>0</v>
      </c>
      <c r="I587" s="390">
        <f t="shared" si="119"/>
        <v>0</v>
      </c>
      <c r="J587" s="383">
        <f>IFERROR(I587/SUM(PROD!L586:L592),0)</f>
        <v>0</v>
      </c>
      <c r="K587" s="384">
        <f>IFERROR(J587/SUM(E585:E591,J585:J591,O585:O590),0)</f>
        <v>0</v>
      </c>
      <c r="L587" s="439" t="str">
        <f>$L$6</f>
        <v>Diversos</v>
      </c>
      <c r="M587" s="401">
        <f t="shared" si="120"/>
        <v>1000000</v>
      </c>
      <c r="N587" s="390">
        <f>M587*12/52</f>
        <v>230769.23076923078</v>
      </c>
      <c r="O587" s="383">
        <f>IFERROR(N587/SUM(PROD!L586:L592),0)</f>
        <v>0</v>
      </c>
      <c r="P587" s="384">
        <f>IFERROR(O587/SUM(E585:E591,J585:J591,O585:O590),0)</f>
        <v>0</v>
      </c>
      <c r="Q587" s="391" t="str">
        <f>$Q$6</f>
        <v>AA</v>
      </c>
      <c r="R587" s="392">
        <f t="shared" ref="R587:R650" si="122">R580</f>
        <v>0</v>
      </c>
      <c r="S587" s="870">
        <f>SUM(PROD!AO586:AO592)</f>
        <v>0</v>
      </c>
      <c r="T587" s="393">
        <f>IF(AA585&gt;0,S587/AA585,0)</f>
        <v>0</v>
      </c>
      <c r="U587" s="394" t="str">
        <f>$U$6</f>
        <v>Vencido</v>
      </c>
      <c r="V587" s="392">
        <f t="shared" ref="V587:V650" si="123">V580</f>
        <v>0</v>
      </c>
      <c r="W587" s="870">
        <f>SUM(PROD!AY586:AY592)</f>
        <v>0</v>
      </c>
      <c r="X587" s="393">
        <f>IFERROR(W587/(AA590-AA588),0)</f>
        <v>0</v>
      </c>
      <c r="Y587" s="402" t="s">
        <v>391</v>
      </c>
      <c r="Z587" s="456">
        <v>0</v>
      </c>
      <c r="AA587" s="720"/>
      <c r="AB587" s="495">
        <f>IF(AA590&gt;0,AA587/AA590,0)</f>
        <v>0</v>
      </c>
    </row>
    <row r="588" spans="1:28" ht="15.75" customHeight="1" x14ac:dyDescent="0.3">
      <c r="A588" s="2301"/>
      <c r="B588" s="438" t="str">
        <f>$B$7</f>
        <v>Mortalidad Aves</v>
      </c>
      <c r="C588" s="401">
        <f>IF(A585&lt;=$B$2,C586+$C$2,0)</f>
        <v>0</v>
      </c>
      <c r="D588" s="390">
        <f>C588*SUM(PROD!D586:D592)</f>
        <v>0</v>
      </c>
      <c r="E588" s="383">
        <f>IFERROR(D588/SUM(PROD!L586:L592),0)</f>
        <v>0</v>
      </c>
      <c r="F588" s="384">
        <f>IFERROR(E588/SUM(E585:E591,J585:J591,O585:O590),0)</f>
        <v>0</v>
      </c>
      <c r="G588" s="439" t="str">
        <f>$G$14</f>
        <v>Servicios Públicos</v>
      </c>
      <c r="H588" s="401">
        <f t="shared" si="121"/>
        <v>0</v>
      </c>
      <c r="I588" s="390">
        <f t="shared" si="119"/>
        <v>0</v>
      </c>
      <c r="J588" s="383">
        <f>IFERROR(I588/SUM(PROD!L586:L592),0)</f>
        <v>0</v>
      </c>
      <c r="K588" s="384">
        <f>IFERROR(J588/SUM(E585:E591,J585:J591,O585:O590),0)</f>
        <v>0</v>
      </c>
      <c r="L588" s="441" t="str">
        <f>$L$7</f>
        <v>Administrativos</v>
      </c>
      <c r="M588" s="401">
        <f t="shared" si="120"/>
        <v>0</v>
      </c>
      <c r="N588" s="404">
        <f>M588*0.230769230769231</f>
        <v>0</v>
      </c>
      <c r="O588" s="383">
        <f>IFERROR(N588/SUM(PROD!L586:L592),0)</f>
        <v>0</v>
      </c>
      <c r="P588" s="384">
        <f>IFERROR(O588/SUM(E585:E591,J585:J591,O585:O590),0)</f>
        <v>0</v>
      </c>
      <c r="Q588" s="391" t="str">
        <f>$Q$7</f>
        <v>A</v>
      </c>
      <c r="R588" s="392">
        <f t="shared" si="122"/>
        <v>0</v>
      </c>
      <c r="S588" s="870">
        <f>SUM(PROD!AP586:AP592)</f>
        <v>0</v>
      </c>
      <c r="T588" s="393">
        <f>IF(AA585&gt;0,S588/AA585,0)</f>
        <v>0</v>
      </c>
      <c r="U588" s="405" t="str">
        <f>$U$7</f>
        <v>Roto</v>
      </c>
      <c r="V588" s="406">
        <f t="shared" si="123"/>
        <v>0</v>
      </c>
      <c r="W588" s="872">
        <f>SUM(PROD!AZ586:AZ592)</f>
        <v>0</v>
      </c>
      <c r="X588" s="407">
        <f>IFERROR(W588/(AA590-AA588),0)</f>
        <v>0</v>
      </c>
      <c r="Y588" s="408" t="s">
        <v>359</v>
      </c>
      <c r="Z588" s="442">
        <v>215</v>
      </c>
      <c r="AA588" s="410">
        <f>SUM(PROD!L586:L592)-SUM(W585:W591)-SUM(S585:S591)-AA587</f>
        <v>0</v>
      </c>
      <c r="AB588" s="496">
        <f>IF(AA590&gt;0,AA588/AA590,0)</f>
        <v>0</v>
      </c>
    </row>
    <row r="589" spans="1:28" ht="15.75" customHeight="1" x14ac:dyDescent="0.3">
      <c r="A589" s="2301"/>
      <c r="B589" s="399" t="str">
        <f>$B$8</f>
        <v>Materia Prima (Carb Ca, etc.)</v>
      </c>
      <c r="C589" s="440">
        <f>C582</f>
        <v>0</v>
      </c>
      <c r="D589" s="387">
        <f>C589*12/52</f>
        <v>0</v>
      </c>
      <c r="E589" s="383">
        <f>IFERROR(D589/SUM(PROD!L586:L592),0)</f>
        <v>0</v>
      </c>
      <c r="F589" s="384">
        <f>IFERROR(E589/SUM(E585:E591,J585:J591,O585:O590),0)</f>
        <v>0</v>
      </c>
      <c r="G589" s="441" t="str">
        <f>$G$15</f>
        <v>Gastos Legales</v>
      </c>
      <c r="H589" s="401">
        <f t="shared" si="121"/>
        <v>0</v>
      </c>
      <c r="I589" s="390">
        <f t="shared" si="119"/>
        <v>0</v>
      </c>
      <c r="J589" s="383">
        <f>IFERROR(I589/SUM(PROD!L586:L592),0)</f>
        <v>0</v>
      </c>
      <c r="K589" s="384">
        <f>IFERROR(J589/SUM(E585:E591,J585:J591,O585:O590),0)</f>
        <v>0</v>
      </c>
      <c r="L589" s="439" t="str">
        <f>$L$8</f>
        <v>Fletes</v>
      </c>
      <c r="M589" s="401">
        <f t="shared" si="120"/>
        <v>0</v>
      </c>
      <c r="N589" s="404">
        <f>M589*0.230769230769231</f>
        <v>0</v>
      </c>
      <c r="O589" s="383">
        <f>IFERROR(N589/SUM(PROD!L586:L592),0)</f>
        <v>0</v>
      </c>
      <c r="P589" s="384">
        <f>IFERROR(O589/SUM(E585:E591,J585:J591,O585:O590),0)</f>
        <v>0</v>
      </c>
      <c r="Q589" s="391" t="str">
        <f>$Q$8</f>
        <v>B</v>
      </c>
      <c r="R589" s="392">
        <f t="shared" si="122"/>
        <v>0</v>
      </c>
      <c r="S589" s="870">
        <f>SUM(PROD!AQ586:AQ592)</f>
        <v>0</v>
      </c>
      <c r="T589" s="393">
        <f>IF(AA585&gt;0,S589/AA585,0)</f>
        <v>0</v>
      </c>
      <c r="U589" s="395" t="str">
        <f>$U$8</f>
        <v>Rev. Gr.</v>
      </c>
      <c r="V589" s="412">
        <f t="shared" si="123"/>
        <v>0</v>
      </c>
      <c r="W589" s="873">
        <f>SUM(PROD!AT586:AT592)</f>
        <v>0</v>
      </c>
      <c r="X589" s="413">
        <f>IFERROR(W589/(AA590-AA588),0)</f>
        <v>0</v>
      </c>
      <c r="Y589" s="414" t="s">
        <v>262</v>
      </c>
      <c r="Z589" s="415">
        <f>IFERROR(SUMPRODUCT(V589:V591,W589:W591)/SUM(W589:W591),0)</f>
        <v>0</v>
      </c>
      <c r="AA589" s="416">
        <f>SUM(W589:W591)</f>
        <v>0</v>
      </c>
      <c r="AB589" s="497">
        <f>IF(AA590&gt;0,AA589/AA590,0)</f>
        <v>0</v>
      </c>
    </row>
    <row r="590" spans="1:28" ht="15.75" customHeight="1" x14ac:dyDescent="0.3">
      <c r="A590" s="2301"/>
      <c r="B590" s="438" t="str">
        <f>$B$9</f>
        <v>Vacunas y medicamentos</v>
      </c>
      <c r="C590" s="443">
        <f>C583</f>
        <v>0</v>
      </c>
      <c r="D590" s="387">
        <f>C590*12/52</f>
        <v>0</v>
      </c>
      <c r="E590" s="383">
        <f>IFERROR(D590/SUM(PROD!L586:L592),0)</f>
        <v>0</v>
      </c>
      <c r="F590" s="384">
        <f>IFERROR(E590/SUM(E585:E591,J585:J591,O585:O590),0)</f>
        <v>0</v>
      </c>
      <c r="G590" s="441" t="str">
        <f>$G$16</f>
        <v>Mantenimiento y Reparaciones</v>
      </c>
      <c r="H590" s="401">
        <f t="shared" si="121"/>
        <v>0</v>
      </c>
      <c r="I590" s="390">
        <f t="shared" si="119"/>
        <v>0</v>
      </c>
      <c r="J590" s="383">
        <f>IFERROR(I590/SUM(PROD!L586:L592),0)</f>
        <v>0</v>
      </c>
      <c r="K590" s="384">
        <f>IFERROR(J590/SUM(E585:E591,J585:J591,O585:O590),0)</f>
        <v>0</v>
      </c>
      <c r="L590" s="439">
        <f>$L$9</f>
        <v>0</v>
      </c>
      <c r="M590" s="401">
        <f t="shared" si="120"/>
        <v>0</v>
      </c>
      <c r="N590" s="404">
        <f>M590*0.230769230769231</f>
        <v>0</v>
      </c>
      <c r="O590" s="383">
        <f>IFERROR(N590/SUM(PROD!L586:L592),0)</f>
        <v>0</v>
      </c>
      <c r="P590" s="384">
        <f>IFERROR(O590/SUM(E585:E591,J585:J591,O585:O590),0)</f>
        <v>0</v>
      </c>
      <c r="Q590" s="391" t="str">
        <f>$Q$9</f>
        <v>C</v>
      </c>
      <c r="R590" s="392">
        <f t="shared" si="122"/>
        <v>0</v>
      </c>
      <c r="S590" s="870">
        <f>SUM(PROD!AR586:AR592)</f>
        <v>0</v>
      </c>
      <c r="T590" s="393">
        <f>IF(AA585&gt;0,S590/AA585,0)</f>
        <v>0</v>
      </c>
      <c r="U590" s="394" t="str">
        <f>$U$9</f>
        <v>Rev. Med</v>
      </c>
      <c r="V590" s="392">
        <f t="shared" si="123"/>
        <v>0</v>
      </c>
      <c r="W590" s="870">
        <f>SUM(PROD!AU586:AU592)</f>
        <v>0</v>
      </c>
      <c r="X590" s="418">
        <f>IFERROR(W590/(AA590-AA588),0)</f>
        <v>0</v>
      </c>
      <c r="Y590" s="2303" t="s">
        <v>325</v>
      </c>
      <c r="Z590" s="2305">
        <f>SUMPRODUCT(Z585:Z589,AB585:AB589)</f>
        <v>0</v>
      </c>
      <c r="AA590" s="2307">
        <f>SUM(AA585:AA588)</f>
        <v>0</v>
      </c>
      <c r="AB590" s="2308"/>
    </row>
    <row r="591" spans="1:28" ht="16.5" customHeight="1" thickBot="1" x14ac:dyDescent="0.35">
      <c r="A591" s="2302"/>
      <c r="B591" s="444" t="str">
        <f>$B$10</f>
        <v>Gastos de Personal</v>
      </c>
      <c r="C591" s="445">
        <f>C584</f>
        <v>0</v>
      </c>
      <c r="D591" s="421">
        <f>C591*12/52</f>
        <v>0</v>
      </c>
      <c r="E591" s="446">
        <f>IFERROR(D591/SUM(PROD!L586:L592),0)</f>
        <v>0</v>
      </c>
      <c r="F591" s="447">
        <f>IFERROR(E591/SUM(E585:E591,J585:J591,O585:O590),0)</f>
        <v>0</v>
      </c>
      <c r="G591" s="448" t="str">
        <f>$G$17</f>
        <v>Adecuación Instalaciones</v>
      </c>
      <c r="H591" s="445">
        <f t="shared" si="121"/>
        <v>0</v>
      </c>
      <c r="I591" s="426">
        <f t="shared" si="119"/>
        <v>0</v>
      </c>
      <c r="J591" s="446">
        <f>IFERROR(I591/SUM(PROD!L586:L592),0)</f>
        <v>0</v>
      </c>
      <c r="K591" s="447">
        <f>IFERROR(J591/SUM(E585:E591,J585:J591,O585:O590),0)</f>
        <v>0</v>
      </c>
      <c r="L591" s="2311" t="str">
        <f>$L$10</f>
        <v>TOTAL COSTO PRODUCCIÓN</v>
      </c>
      <c r="M591" s="2312"/>
      <c r="N591" s="427">
        <f>SUM(D585:D591,I585:I591,N585:N590)</f>
        <v>230769.23076923078</v>
      </c>
      <c r="O591" s="449">
        <f>IFERROR(N591/SUM(PROD!L586:L592),0)</f>
        <v>0</v>
      </c>
      <c r="P591" s="447">
        <f>IFERROR(O591/SUM(E585:E591,J585:J591,O585:O590),0)</f>
        <v>0</v>
      </c>
      <c r="Q591" s="450" t="str">
        <f>$Q$10</f>
        <v>D</v>
      </c>
      <c r="R591" s="430">
        <f t="shared" si="122"/>
        <v>0</v>
      </c>
      <c r="S591" s="871">
        <f>SUM(PROD!AS586:AS592)</f>
        <v>0</v>
      </c>
      <c r="T591" s="451">
        <f>IF(AA585&gt;0,S591/AA585,0)</f>
        <v>0</v>
      </c>
      <c r="U591" s="452" t="str">
        <f>$U$10</f>
        <v>Rev. Peq</v>
      </c>
      <c r="V591" s="430">
        <f t="shared" si="123"/>
        <v>0</v>
      </c>
      <c r="W591" s="874">
        <f>SUM(PROD!AV586:AV592)</f>
        <v>0</v>
      </c>
      <c r="X591" s="451">
        <f>IFERROR(W591/(AA590-AA588),0)</f>
        <v>0</v>
      </c>
      <c r="Y591" s="2304"/>
      <c r="Z591" s="2306"/>
      <c r="AA591" s="2309"/>
      <c r="AB591" s="2310"/>
    </row>
    <row r="592" spans="1:28" ht="16.5" customHeight="1" x14ac:dyDescent="0.3">
      <c r="A592" s="2300">
        <f>A585+1</f>
        <v>102</v>
      </c>
      <c r="B592" s="433" t="str">
        <f>$B$4</f>
        <v>ALIMENTO Kilos</v>
      </c>
      <c r="C592" s="435">
        <f>LOOKUP($A592,PROD!$A$5:$A$725,PROD!$AH$10:$AH$730)</f>
        <v>0</v>
      </c>
      <c r="D592" s="368">
        <f>C592*LOOKUP($A592,'Pr-Sem'!$A$6:$A$108,'Pr-Sem'!$N$6:$N$108)/(PROD!$A$1/1000)</f>
        <v>0</v>
      </c>
      <c r="E592" s="369">
        <f>IFERROR(D592/SUM(PROD!L593:L599),0)</f>
        <v>0</v>
      </c>
      <c r="F592" s="370">
        <f>IFERROR(E592/SUM(E592:E598,J592:J598,O592:O597),0)</f>
        <v>0</v>
      </c>
      <c r="G592" s="434" t="str">
        <f>$G$11</f>
        <v>Honorarios</v>
      </c>
      <c r="H592" s="435">
        <f t="shared" si="121"/>
        <v>0</v>
      </c>
      <c r="I592" s="372">
        <f t="shared" si="119"/>
        <v>0</v>
      </c>
      <c r="J592" s="369">
        <f>IFERROR(I592/SUM(PROD!L593:L599),0)</f>
        <v>0</v>
      </c>
      <c r="K592" s="370">
        <f>IFERROR(J592/SUM(E592:E598,J592:J598,O592:O597),0)</f>
        <v>0</v>
      </c>
      <c r="L592" s="436" t="str">
        <f>$L$4</f>
        <v>Gastos de Viaje</v>
      </c>
      <c r="M592" s="435">
        <f t="shared" ref="M592:M597" si="124">M585</f>
        <v>0</v>
      </c>
      <c r="N592" s="372">
        <f>M592*12/52</f>
        <v>0</v>
      </c>
      <c r="O592" s="369">
        <f>IFERROR(N592/SUM(PROD!L593:L599),0)</f>
        <v>0</v>
      </c>
      <c r="P592" s="370">
        <f>IFERROR(O592/SUM(E592:E598,J592:J598,O592:O597),0)</f>
        <v>0</v>
      </c>
      <c r="Q592" s="373" t="str">
        <f>$Q$4</f>
        <v>AAAA</v>
      </c>
      <c r="R592" s="374">
        <f t="shared" si="122"/>
        <v>0</v>
      </c>
      <c r="S592" s="869">
        <f>SUM(PROD!AM593:AM599)</f>
        <v>0</v>
      </c>
      <c r="T592" s="375">
        <f>IF(AA592&gt;0,S592/AA592,0)</f>
        <v>0</v>
      </c>
      <c r="U592" s="376" t="str">
        <f>$U$4</f>
        <v>Prob Color</v>
      </c>
      <c r="V592" s="374">
        <f t="shared" si="123"/>
        <v>0</v>
      </c>
      <c r="W592" s="869">
        <f>SUM(PROD!AW593:AW599)</f>
        <v>0</v>
      </c>
      <c r="X592" s="375">
        <f>IFERROR(W592/(AA597-AA595),0)</f>
        <v>0</v>
      </c>
      <c r="Y592" s="377" t="s">
        <v>323</v>
      </c>
      <c r="Z592" s="378">
        <f>SUMPRODUCT(R592:R598,T592:T598)</f>
        <v>0</v>
      </c>
      <c r="AA592" s="379">
        <f>SUM(S592:S598)</f>
        <v>0</v>
      </c>
      <c r="AB592" s="490">
        <f>IF(AA597&gt;0,AA592/AA597,0)</f>
        <v>0</v>
      </c>
    </row>
    <row r="593" spans="1:28" ht="15.75" customHeight="1" x14ac:dyDescent="0.3">
      <c r="A593" s="2301"/>
      <c r="B593" s="438" t="str">
        <f>$B$5</f>
        <v>Amortización de Aves</v>
      </c>
      <c r="C593" s="381">
        <f>IFERROR((C586-(D593/'Pr-Sem'!$O$2)),0)</f>
        <v>0</v>
      </c>
      <c r="D593" s="382">
        <f>SUM(PROD!L593:L599)*E593</f>
        <v>0</v>
      </c>
      <c r="E593" s="383">
        <f>IF(SUM(PROD!L593:L599)&gt;0,IFERROR(($C$1-$C$2)/LOOKUP($B$2,'Pr-Sem'!$A$6:$A$108,'Pr-Sem'!$L$6:$L$108)*(LOOKUP(INVENTARIOS!$A592,'Pr-Sem'!$A$6:$A$108,'Pr-Sem'!$L$6:$L$108)-LOOKUP(INVENTARIOS!$A592-1,'Pr-Sem'!$A$6:$A$108,'Pr-Sem'!$L$6:$L$108))/(LOOKUP(INVENTARIOS!$A592,'Pr-Sem'!$A$6:$A$108,'Pr-Sem'!$K$6:$K$108)-LOOKUP(INVENTARIOS!$A592-1,'Pr-Sem'!$A$6:$A$108,'Pr-Sem'!$K$6:$K$108)),0),0)</f>
        <v>0</v>
      </c>
      <c r="F593" s="384">
        <f>IFERROR(E593/SUM(E592:E598,J592:J598,O592:O597),0)</f>
        <v>0</v>
      </c>
      <c r="G593" s="439" t="str">
        <f>$G$12</f>
        <v>Impuestos</v>
      </c>
      <c r="H593" s="440">
        <f t="shared" si="121"/>
        <v>0</v>
      </c>
      <c r="I593" s="387">
        <f t="shared" si="119"/>
        <v>0</v>
      </c>
      <c r="J593" s="383">
        <f>IFERROR(I593/SUM(PROD!L593:L599),0)</f>
        <v>0</v>
      </c>
      <c r="K593" s="384">
        <f>IFERROR(J593/SUM(E592:E598,J592:J598,O592:O597),0)</f>
        <v>0</v>
      </c>
      <c r="L593" s="439" t="str">
        <f>$L$5</f>
        <v>Depreciaciones</v>
      </c>
      <c r="M593" s="401">
        <f t="shared" si="124"/>
        <v>0</v>
      </c>
      <c r="N593" s="390">
        <f>M593*12/52</f>
        <v>0</v>
      </c>
      <c r="O593" s="383">
        <f>IFERROR(N593/SUM(PROD!L593:L599),0)</f>
        <v>0</v>
      </c>
      <c r="P593" s="384">
        <f>IFERROR(O593/SUM(E592:E598,J592:J598,O592:O597),0)</f>
        <v>0</v>
      </c>
      <c r="Q593" s="391" t="str">
        <f>$Q$5</f>
        <v>AAA</v>
      </c>
      <c r="R593" s="392">
        <f t="shared" si="122"/>
        <v>0</v>
      </c>
      <c r="S593" s="870">
        <f>SUM(PROD!AN593:AN599)</f>
        <v>0</v>
      </c>
      <c r="T593" s="393">
        <f>IF(AA592&gt;0,S593/AA592,0)</f>
        <v>0</v>
      </c>
      <c r="U593" s="394" t="str">
        <f>$U$5</f>
        <v>Prob Cásc</v>
      </c>
      <c r="V593" s="392">
        <f t="shared" si="123"/>
        <v>0</v>
      </c>
      <c r="W593" s="870">
        <f>SUM(PROD!AX593:AX599)</f>
        <v>0</v>
      </c>
      <c r="X593" s="393">
        <f>IFERROR(W593/(AA597-AA595),0)</f>
        <v>0</v>
      </c>
      <c r="Y593" s="395" t="s">
        <v>324</v>
      </c>
      <c r="Z593" s="396">
        <f>IFERROR(SUMPRODUCT(V592:V595,W592:W595)/SUM(W592:W595),0)</f>
        <v>0</v>
      </c>
      <c r="AA593" s="397">
        <f>SUM(W592:W595)</f>
        <v>0</v>
      </c>
      <c r="AB593" s="494">
        <f>IF(AA597&gt;0,AA593/AA597,0)</f>
        <v>0</v>
      </c>
    </row>
    <row r="594" spans="1:28" ht="15.75" customHeight="1" x14ac:dyDescent="0.3">
      <c r="A594" s="2301"/>
      <c r="B594" s="399" t="str">
        <f>$B$6</f>
        <v>Bandeja</v>
      </c>
      <c r="C594" s="400">
        <f>C587</f>
        <v>0</v>
      </c>
      <c r="D594" s="387">
        <f>C594*SUM(INVENTARIOS!R592:R598)</f>
        <v>0</v>
      </c>
      <c r="E594" s="383">
        <f>IFERROR(D594/SUM(PROD!L593:L599),0)</f>
        <v>0</v>
      </c>
      <c r="F594" s="384">
        <f>IFERROR(E594/SUM(E592:E598,J592:J598,O592:O597),0)</f>
        <v>0</v>
      </c>
      <c r="G594" s="439" t="str">
        <f>$G$13</f>
        <v>Arrendamientos</v>
      </c>
      <c r="H594" s="401">
        <f t="shared" si="121"/>
        <v>0</v>
      </c>
      <c r="I594" s="390">
        <f t="shared" si="119"/>
        <v>0</v>
      </c>
      <c r="J594" s="383">
        <f>IFERROR(I594/SUM(PROD!L593:L599),0)</f>
        <v>0</v>
      </c>
      <c r="K594" s="384">
        <f>IFERROR(J594/SUM(E592:E598,J592:J598,O592:O597),0)</f>
        <v>0</v>
      </c>
      <c r="L594" s="439" t="str">
        <f>$L$6</f>
        <v>Diversos</v>
      </c>
      <c r="M594" s="401">
        <f t="shared" si="124"/>
        <v>1000000</v>
      </c>
      <c r="N594" s="390">
        <f>M594*12/52</f>
        <v>230769.23076923078</v>
      </c>
      <c r="O594" s="383">
        <f>IFERROR(N594/SUM(PROD!L593:L599),0)</f>
        <v>0</v>
      </c>
      <c r="P594" s="384">
        <f>IFERROR(O594/SUM(E592:E598,J592:J598,O592:O597),0)</f>
        <v>0</v>
      </c>
      <c r="Q594" s="391" t="str">
        <f>$Q$6</f>
        <v>AA</v>
      </c>
      <c r="R594" s="392">
        <f t="shared" si="122"/>
        <v>0</v>
      </c>
      <c r="S594" s="870">
        <f>SUM(PROD!AO593:AO599)</f>
        <v>0</v>
      </c>
      <c r="T594" s="393">
        <f>IF(AA592&gt;0,S594/AA592,0)</f>
        <v>0</v>
      </c>
      <c r="U594" s="394" t="str">
        <f>$U$6</f>
        <v>Vencido</v>
      </c>
      <c r="V594" s="392">
        <f t="shared" si="123"/>
        <v>0</v>
      </c>
      <c r="W594" s="870">
        <f>SUM(PROD!AY593:AY599)</f>
        <v>0</v>
      </c>
      <c r="X594" s="393">
        <f>IFERROR(W594/(AA597-AA595),0)</f>
        <v>0</v>
      </c>
      <c r="Y594" s="402" t="s">
        <v>391</v>
      </c>
      <c r="Z594" s="456">
        <v>0</v>
      </c>
      <c r="AA594" s="720"/>
      <c r="AB594" s="495">
        <f>IF(AA597&gt;0,AA594/AA597,0)</f>
        <v>0</v>
      </c>
    </row>
    <row r="595" spans="1:28" ht="15.75" customHeight="1" x14ac:dyDescent="0.3">
      <c r="A595" s="2301"/>
      <c r="B595" s="438" t="str">
        <f>$B$7</f>
        <v>Mortalidad Aves</v>
      </c>
      <c r="C595" s="401">
        <f>IF(A592&lt;=$B$2,C593+$C$2,0)</f>
        <v>0</v>
      </c>
      <c r="D595" s="390">
        <f>C595*SUM(PROD!D593:D599)</f>
        <v>0</v>
      </c>
      <c r="E595" s="383">
        <f>IFERROR(D595/SUM(PROD!L593:L599),0)</f>
        <v>0</v>
      </c>
      <c r="F595" s="384">
        <f>IFERROR(E595/SUM(E592:E598,J592:J598,O592:O597),0)</f>
        <v>0</v>
      </c>
      <c r="G595" s="439" t="str">
        <f>$G$14</f>
        <v>Servicios Públicos</v>
      </c>
      <c r="H595" s="401">
        <f t="shared" si="121"/>
        <v>0</v>
      </c>
      <c r="I595" s="390">
        <f t="shared" si="119"/>
        <v>0</v>
      </c>
      <c r="J595" s="383">
        <f>IFERROR(I595/SUM(PROD!L593:L599),0)</f>
        <v>0</v>
      </c>
      <c r="K595" s="384">
        <f>IFERROR(J595/SUM(E592:E598,J592:J598,O592:O597),0)</f>
        <v>0</v>
      </c>
      <c r="L595" s="441" t="str">
        <f>$L$7</f>
        <v>Administrativos</v>
      </c>
      <c r="M595" s="401">
        <f t="shared" si="124"/>
        <v>0</v>
      </c>
      <c r="N595" s="404">
        <f>M595*0.230769230769231</f>
        <v>0</v>
      </c>
      <c r="O595" s="383">
        <f>IFERROR(N595/SUM(PROD!L593:L599),0)</f>
        <v>0</v>
      </c>
      <c r="P595" s="384">
        <f>IFERROR(O595/SUM(E592:E598,J592:J598,O592:O597),0)</f>
        <v>0</v>
      </c>
      <c r="Q595" s="391" t="str">
        <f>$Q$7</f>
        <v>A</v>
      </c>
      <c r="R595" s="392">
        <f t="shared" si="122"/>
        <v>0</v>
      </c>
      <c r="S595" s="870">
        <f>SUM(PROD!AP593:AP599)</f>
        <v>0</v>
      </c>
      <c r="T595" s="393">
        <f>IF(AA592&gt;0,S595/AA592,0)</f>
        <v>0</v>
      </c>
      <c r="U595" s="405" t="str">
        <f>$U$7</f>
        <v>Roto</v>
      </c>
      <c r="V595" s="406">
        <f t="shared" si="123"/>
        <v>0</v>
      </c>
      <c r="W595" s="872">
        <f>SUM(PROD!AZ593:AZ599)</f>
        <v>0</v>
      </c>
      <c r="X595" s="407">
        <f>IFERROR(W595/(AA597-AA595),0)</f>
        <v>0</v>
      </c>
      <c r="Y595" s="408" t="s">
        <v>359</v>
      </c>
      <c r="Z595" s="442">
        <v>215</v>
      </c>
      <c r="AA595" s="410">
        <f>SUM(PROD!L593:L599)-SUM(W592:W598)-SUM(S592:S598)-AA594</f>
        <v>0</v>
      </c>
      <c r="AB595" s="496">
        <f>IF(AA597&gt;0,AA595/AA597,0)</f>
        <v>0</v>
      </c>
    </row>
    <row r="596" spans="1:28" ht="15.75" customHeight="1" x14ac:dyDescent="0.3">
      <c r="A596" s="2301"/>
      <c r="B596" s="399" t="str">
        <f>$B$8</f>
        <v>Materia Prima (Carb Ca, etc.)</v>
      </c>
      <c r="C596" s="440">
        <f>C589</f>
        <v>0</v>
      </c>
      <c r="D596" s="387">
        <f>C596*12/52</f>
        <v>0</v>
      </c>
      <c r="E596" s="383">
        <f>IFERROR(D596/SUM(PROD!L593:L599),0)</f>
        <v>0</v>
      </c>
      <c r="F596" s="384">
        <f>IFERROR(E596/SUM(E592:E598,J592:J598,O592:O597),0)</f>
        <v>0</v>
      </c>
      <c r="G596" s="441" t="str">
        <f>$G$15</f>
        <v>Gastos Legales</v>
      </c>
      <c r="H596" s="401">
        <f t="shared" si="121"/>
        <v>0</v>
      </c>
      <c r="I596" s="390">
        <f t="shared" si="119"/>
        <v>0</v>
      </c>
      <c r="J596" s="383">
        <f>IFERROR(I596/SUM(PROD!L593:L599),0)</f>
        <v>0</v>
      </c>
      <c r="K596" s="384">
        <f>IFERROR(J596/SUM(E592:E598,J592:J598,O592:O597),0)</f>
        <v>0</v>
      </c>
      <c r="L596" s="439" t="str">
        <f>$L$8</f>
        <v>Fletes</v>
      </c>
      <c r="M596" s="401">
        <f t="shared" si="124"/>
        <v>0</v>
      </c>
      <c r="N596" s="404">
        <f>M596*0.230769230769231</f>
        <v>0</v>
      </c>
      <c r="O596" s="383">
        <f>IFERROR(N596/SUM(PROD!L593:L599),0)</f>
        <v>0</v>
      </c>
      <c r="P596" s="384">
        <f>IFERROR(O596/SUM(E592:E598,J592:J598,O592:O597),0)</f>
        <v>0</v>
      </c>
      <c r="Q596" s="391" t="str">
        <f>$Q$8</f>
        <v>B</v>
      </c>
      <c r="R596" s="392">
        <f t="shared" si="122"/>
        <v>0</v>
      </c>
      <c r="S596" s="870">
        <f>SUM(PROD!AQ593:AQ599)</f>
        <v>0</v>
      </c>
      <c r="T596" s="393">
        <f>IF(AA592&gt;0,S596/AA592,0)</f>
        <v>0</v>
      </c>
      <c r="U596" s="395" t="str">
        <f>$U$8</f>
        <v>Rev. Gr.</v>
      </c>
      <c r="V596" s="412">
        <f t="shared" si="123"/>
        <v>0</v>
      </c>
      <c r="W596" s="873">
        <f>SUM(PROD!AT593:AT599)</f>
        <v>0</v>
      </c>
      <c r="X596" s="413">
        <f>IFERROR(W596/(AA597-AA595),0)</f>
        <v>0</v>
      </c>
      <c r="Y596" s="414" t="s">
        <v>262</v>
      </c>
      <c r="Z596" s="415">
        <f>IFERROR(SUMPRODUCT(V596:V598,W596:W598)/SUM(W596:W598),0)</f>
        <v>0</v>
      </c>
      <c r="AA596" s="416">
        <f>SUM(W596:W598)</f>
        <v>0</v>
      </c>
      <c r="AB596" s="497">
        <f>IF(AA597&gt;0,AA596/AA597,0)</f>
        <v>0</v>
      </c>
    </row>
    <row r="597" spans="1:28" ht="15.75" customHeight="1" x14ac:dyDescent="0.3">
      <c r="A597" s="2301"/>
      <c r="B597" s="438" t="str">
        <f>$B$9</f>
        <v>Vacunas y medicamentos</v>
      </c>
      <c r="C597" s="443">
        <f>C590</f>
        <v>0</v>
      </c>
      <c r="D597" s="387">
        <f>C597*12/52</f>
        <v>0</v>
      </c>
      <c r="E597" s="383">
        <f>IFERROR(D597/SUM(PROD!L593:L599),0)</f>
        <v>0</v>
      </c>
      <c r="F597" s="384">
        <f>IFERROR(E597/SUM(E592:E598,J592:J598,O592:O597),0)</f>
        <v>0</v>
      </c>
      <c r="G597" s="441" t="str">
        <f>$G$16</f>
        <v>Mantenimiento y Reparaciones</v>
      </c>
      <c r="H597" s="401">
        <f t="shared" si="121"/>
        <v>0</v>
      </c>
      <c r="I597" s="390">
        <f t="shared" si="119"/>
        <v>0</v>
      </c>
      <c r="J597" s="383">
        <f>IFERROR(I597/SUM(PROD!L593:L599),0)</f>
        <v>0</v>
      </c>
      <c r="K597" s="384">
        <f>IFERROR(J597/SUM(E592:E598,J592:J598,O592:O597),0)</f>
        <v>0</v>
      </c>
      <c r="L597" s="439">
        <f>$L$9</f>
        <v>0</v>
      </c>
      <c r="M597" s="401">
        <f t="shared" si="124"/>
        <v>0</v>
      </c>
      <c r="N597" s="404">
        <f>M597*0.230769230769231</f>
        <v>0</v>
      </c>
      <c r="O597" s="383">
        <f>IFERROR(N597/SUM(PROD!L593:L599),0)</f>
        <v>0</v>
      </c>
      <c r="P597" s="384">
        <f>IFERROR(O597/SUM(E592:E598,J592:J598,O592:O597),0)</f>
        <v>0</v>
      </c>
      <c r="Q597" s="391" t="str">
        <f>$Q$9</f>
        <v>C</v>
      </c>
      <c r="R597" s="392">
        <f t="shared" si="122"/>
        <v>0</v>
      </c>
      <c r="S597" s="870">
        <f>SUM(PROD!AR593:AR599)</f>
        <v>0</v>
      </c>
      <c r="T597" s="393">
        <f>IF(AA592&gt;0,S597/AA592,0)</f>
        <v>0</v>
      </c>
      <c r="U597" s="394" t="str">
        <f>$U$9</f>
        <v>Rev. Med</v>
      </c>
      <c r="V597" s="392">
        <f t="shared" si="123"/>
        <v>0</v>
      </c>
      <c r="W597" s="870">
        <f>SUM(PROD!AU593:AU599)</f>
        <v>0</v>
      </c>
      <c r="X597" s="418">
        <f>IFERROR(W597/(AA597-AA595),0)</f>
        <v>0</v>
      </c>
      <c r="Y597" s="2303" t="s">
        <v>325</v>
      </c>
      <c r="Z597" s="2305">
        <f>SUMPRODUCT(Z592:Z596,AB592:AB596)</f>
        <v>0</v>
      </c>
      <c r="AA597" s="2307">
        <f>SUM(AA592:AA595)</f>
        <v>0</v>
      </c>
      <c r="AB597" s="2308"/>
    </row>
    <row r="598" spans="1:28" ht="16.5" customHeight="1" thickBot="1" x14ac:dyDescent="0.35">
      <c r="A598" s="2302"/>
      <c r="B598" s="444" t="str">
        <f>$B$10</f>
        <v>Gastos de Personal</v>
      </c>
      <c r="C598" s="445">
        <f>C591</f>
        <v>0</v>
      </c>
      <c r="D598" s="421">
        <f>C598*12/52</f>
        <v>0</v>
      </c>
      <c r="E598" s="446">
        <f>IFERROR(D598/SUM(PROD!L593:L599),0)</f>
        <v>0</v>
      </c>
      <c r="F598" s="447">
        <f>IFERROR(E598/SUM(E592:E598,J592:J598,O592:O597),0)</f>
        <v>0</v>
      </c>
      <c r="G598" s="448" t="str">
        <f>$G$17</f>
        <v>Adecuación Instalaciones</v>
      </c>
      <c r="H598" s="445">
        <f t="shared" si="121"/>
        <v>0</v>
      </c>
      <c r="I598" s="426">
        <f t="shared" si="119"/>
        <v>0</v>
      </c>
      <c r="J598" s="446">
        <f>IFERROR(I598/SUM(PROD!L593:L599),0)</f>
        <v>0</v>
      </c>
      <c r="K598" s="447">
        <f>IFERROR(J598/SUM(E592:E598,J592:J598,O592:O597),0)</f>
        <v>0</v>
      </c>
      <c r="L598" s="2311" t="str">
        <f>$L$10</f>
        <v>TOTAL COSTO PRODUCCIÓN</v>
      </c>
      <c r="M598" s="2312"/>
      <c r="N598" s="427">
        <f>SUM(D592:D598,I592:I598,N592:N597)</f>
        <v>230769.23076923078</v>
      </c>
      <c r="O598" s="449">
        <f>IFERROR(N598/SUM(PROD!L593:L599),0)</f>
        <v>0</v>
      </c>
      <c r="P598" s="447">
        <f>IFERROR(O598/SUM(E592:E598,J592:J598,O592:O597),0)</f>
        <v>0</v>
      </c>
      <c r="Q598" s="450" t="str">
        <f>$Q$10</f>
        <v>D</v>
      </c>
      <c r="R598" s="430">
        <f t="shared" si="122"/>
        <v>0</v>
      </c>
      <c r="S598" s="871">
        <f>SUM(PROD!AS593:AS599)</f>
        <v>0</v>
      </c>
      <c r="T598" s="451">
        <f>IF(AA592&gt;0,S598/AA592,0)</f>
        <v>0</v>
      </c>
      <c r="U598" s="452" t="str">
        <f>$U$10</f>
        <v>Rev. Peq</v>
      </c>
      <c r="V598" s="430">
        <f t="shared" si="123"/>
        <v>0</v>
      </c>
      <c r="W598" s="874">
        <f>SUM(PROD!AV593:AV599)</f>
        <v>0</v>
      </c>
      <c r="X598" s="451">
        <f>IFERROR(W598/(AA597-AA595),0)</f>
        <v>0</v>
      </c>
      <c r="Y598" s="2304"/>
      <c r="Z598" s="2306"/>
      <c r="AA598" s="2309"/>
      <c r="AB598" s="2310"/>
    </row>
    <row r="599" spans="1:28" ht="16.5" customHeight="1" x14ac:dyDescent="0.3">
      <c r="A599" s="2300">
        <f>A592+1</f>
        <v>103</v>
      </c>
      <c r="B599" s="433" t="str">
        <f>$B$4</f>
        <v>ALIMENTO Kilos</v>
      </c>
      <c r="C599" s="435">
        <f>LOOKUP($A599,PROD!$A$5:$A$725,PROD!$AH$10:$AH$730)</f>
        <v>0</v>
      </c>
      <c r="D599" s="368">
        <f>C599*LOOKUP($A599,'Pr-Sem'!$A$6:$A$108,'Pr-Sem'!$N$6:$N$108)/(PROD!$A$1/1000)</f>
        <v>0</v>
      </c>
      <c r="E599" s="369">
        <f>IFERROR(D599/SUM(PROD!L600:L606),0)</f>
        <v>0</v>
      </c>
      <c r="F599" s="370">
        <f>IFERROR(E599/SUM(E599:E605,J599:J605,O599:O604),0)</f>
        <v>0</v>
      </c>
      <c r="G599" s="434" t="str">
        <f>$G$11</f>
        <v>Honorarios</v>
      </c>
      <c r="H599" s="435">
        <f t="shared" si="121"/>
        <v>0</v>
      </c>
      <c r="I599" s="372">
        <f t="shared" si="119"/>
        <v>0</v>
      </c>
      <c r="J599" s="369">
        <f>IFERROR(I599/SUM(PROD!L600:L606),0)</f>
        <v>0</v>
      </c>
      <c r="K599" s="370">
        <f>IFERROR(J599/SUM(E599:E605,J599:J605,O599:O604),0)</f>
        <v>0</v>
      </c>
      <c r="L599" s="436" t="str">
        <f>$L$4</f>
        <v>Gastos de Viaje</v>
      </c>
      <c r="M599" s="435">
        <f t="shared" ref="M599:M604" si="125">M592</f>
        <v>0</v>
      </c>
      <c r="N599" s="372">
        <f>M599*12/52</f>
        <v>0</v>
      </c>
      <c r="O599" s="369">
        <f>IFERROR(N599/SUM(PROD!L600:L606),0)</f>
        <v>0</v>
      </c>
      <c r="P599" s="370">
        <f>IFERROR(O599/SUM(E599:E605,J599:J605,O599:O604),0)</f>
        <v>0</v>
      </c>
      <c r="Q599" s="373" t="str">
        <f>$Q$4</f>
        <v>AAAA</v>
      </c>
      <c r="R599" s="374">
        <f t="shared" si="122"/>
        <v>0</v>
      </c>
      <c r="S599" s="869">
        <f>SUM(PROD!AM600:AM606)</f>
        <v>0</v>
      </c>
      <c r="T599" s="375">
        <f>IF(AA599&gt;0,S599/AA599,0)</f>
        <v>0</v>
      </c>
      <c r="U599" s="376" t="str">
        <f>$U$4</f>
        <v>Prob Color</v>
      </c>
      <c r="V599" s="374">
        <f t="shared" si="123"/>
        <v>0</v>
      </c>
      <c r="W599" s="869">
        <f>SUM(PROD!AW600:AW606)</f>
        <v>0</v>
      </c>
      <c r="X599" s="375">
        <f>IFERROR(W599/(AA604-AA602),0)</f>
        <v>0</v>
      </c>
      <c r="Y599" s="377" t="s">
        <v>323</v>
      </c>
      <c r="Z599" s="378">
        <f>SUMPRODUCT(R599:R605,T599:T605)</f>
        <v>0</v>
      </c>
      <c r="AA599" s="379">
        <f>SUM(S599:S605)</f>
        <v>0</v>
      </c>
      <c r="AB599" s="490">
        <f>IF(AA604&gt;0,AA599/AA604,0)</f>
        <v>0</v>
      </c>
    </row>
    <row r="600" spans="1:28" ht="15.75" customHeight="1" x14ac:dyDescent="0.3">
      <c r="A600" s="2301"/>
      <c r="B600" s="438" t="str">
        <f>$B$5</f>
        <v>Amortización de Aves</v>
      </c>
      <c r="C600" s="381">
        <f>IFERROR((C593-(D600/'Pr-Sem'!$O$2)),0)</f>
        <v>0</v>
      </c>
      <c r="D600" s="382">
        <f>SUM(PROD!L600:L606)*E600</f>
        <v>0</v>
      </c>
      <c r="E600" s="383">
        <f>IF(SUM(PROD!L600:L606)&gt;0,IFERROR(($C$1-$C$2)/LOOKUP($B$2,'Pr-Sem'!$A$6:$A$108,'Pr-Sem'!$L$6:$L$108)*(LOOKUP(INVENTARIOS!$A599,'Pr-Sem'!$A$6:$A$108,'Pr-Sem'!$L$6:$L$108)-LOOKUP(INVENTARIOS!$A599-1,'Pr-Sem'!$A$6:$A$108,'Pr-Sem'!$L$6:$L$108))/(LOOKUP(INVENTARIOS!$A599,'Pr-Sem'!$A$6:$A$108,'Pr-Sem'!$K$6:$K$108)-LOOKUP(INVENTARIOS!$A599-1,'Pr-Sem'!$A$6:$A$108,'Pr-Sem'!$K$6:$K$108)),0),0)</f>
        <v>0</v>
      </c>
      <c r="F600" s="384">
        <f>IFERROR(E600/SUM(E599:E605,J599:J605,O599:O604),0)</f>
        <v>0</v>
      </c>
      <c r="G600" s="439" t="str">
        <f>$G$12</f>
        <v>Impuestos</v>
      </c>
      <c r="H600" s="440">
        <f t="shared" si="121"/>
        <v>0</v>
      </c>
      <c r="I600" s="387">
        <f t="shared" si="119"/>
        <v>0</v>
      </c>
      <c r="J600" s="383">
        <f>IFERROR(I600/SUM(PROD!L600:L606),0)</f>
        <v>0</v>
      </c>
      <c r="K600" s="384">
        <f>IFERROR(J600/SUM(E599:E605,J599:J605,O599:O604),0)</f>
        <v>0</v>
      </c>
      <c r="L600" s="439" t="str">
        <f>$L$5</f>
        <v>Depreciaciones</v>
      </c>
      <c r="M600" s="401">
        <f t="shared" si="125"/>
        <v>0</v>
      </c>
      <c r="N600" s="390">
        <f>M600*12/52</f>
        <v>0</v>
      </c>
      <c r="O600" s="383">
        <f>IFERROR(N600/SUM(PROD!L600:L606),0)</f>
        <v>0</v>
      </c>
      <c r="P600" s="384">
        <f>IFERROR(O600/SUM(E599:E605,J599:J605,O599:O604),0)</f>
        <v>0</v>
      </c>
      <c r="Q600" s="391" t="str">
        <f>$Q$5</f>
        <v>AAA</v>
      </c>
      <c r="R600" s="392">
        <f t="shared" si="122"/>
        <v>0</v>
      </c>
      <c r="S600" s="870">
        <f>SUM(PROD!AN600:AN606)</f>
        <v>0</v>
      </c>
      <c r="T600" s="393">
        <f>IF(AA599&gt;0,S600/AA599,0)</f>
        <v>0</v>
      </c>
      <c r="U600" s="394" t="str">
        <f>$U$5</f>
        <v>Prob Cásc</v>
      </c>
      <c r="V600" s="392">
        <f t="shared" si="123"/>
        <v>0</v>
      </c>
      <c r="W600" s="870">
        <f>SUM(PROD!AX600:AX606)</f>
        <v>0</v>
      </c>
      <c r="X600" s="393">
        <f>IFERROR(W600/(AA604-AA602),0)</f>
        <v>0</v>
      </c>
      <c r="Y600" s="395" t="s">
        <v>324</v>
      </c>
      <c r="Z600" s="396">
        <f>IFERROR(SUMPRODUCT(V599:V602,W599:W602)/SUM(W599:W602),0)</f>
        <v>0</v>
      </c>
      <c r="AA600" s="397">
        <f>SUM(W599:W602)</f>
        <v>0</v>
      </c>
      <c r="AB600" s="494">
        <f>IF(AA604&gt;0,AA600/AA604,0)</f>
        <v>0</v>
      </c>
    </row>
    <row r="601" spans="1:28" ht="15.75" customHeight="1" x14ac:dyDescent="0.3">
      <c r="A601" s="2301"/>
      <c r="B601" s="399" t="str">
        <f>$B$6</f>
        <v>Bandeja</v>
      </c>
      <c r="C601" s="400">
        <f>C594</f>
        <v>0</v>
      </c>
      <c r="D601" s="387">
        <f>C601*SUM(INVENTARIOS!R599:R605)</f>
        <v>0</v>
      </c>
      <c r="E601" s="383">
        <f>IFERROR(D601/SUM(PROD!L600:L606),0)</f>
        <v>0</v>
      </c>
      <c r="F601" s="384">
        <f>IFERROR(E601/SUM(E599:E605,J599:J605,O599:O604),0)</f>
        <v>0</v>
      </c>
      <c r="G601" s="439" t="str">
        <f>$G$13</f>
        <v>Arrendamientos</v>
      </c>
      <c r="H601" s="401">
        <f t="shared" si="121"/>
        <v>0</v>
      </c>
      <c r="I601" s="390">
        <f t="shared" si="119"/>
        <v>0</v>
      </c>
      <c r="J601" s="383">
        <f>IFERROR(I601/SUM(PROD!L600:L606),0)</f>
        <v>0</v>
      </c>
      <c r="K601" s="384">
        <f>IFERROR(J601/SUM(E599:E605,J599:J605,O599:O604),0)</f>
        <v>0</v>
      </c>
      <c r="L601" s="439" t="str">
        <f>$L$6</f>
        <v>Diversos</v>
      </c>
      <c r="M601" s="401">
        <f t="shared" si="125"/>
        <v>1000000</v>
      </c>
      <c r="N601" s="390">
        <f>M601*12/52</f>
        <v>230769.23076923078</v>
      </c>
      <c r="O601" s="383">
        <f>IFERROR(N601/SUM(PROD!L600:L606),0)</f>
        <v>0</v>
      </c>
      <c r="P601" s="384">
        <f>IFERROR(O601/SUM(E599:E605,J599:J605,O599:O604),0)</f>
        <v>0</v>
      </c>
      <c r="Q601" s="391" t="str">
        <f>$Q$6</f>
        <v>AA</v>
      </c>
      <c r="R601" s="392">
        <f t="shared" si="122"/>
        <v>0</v>
      </c>
      <c r="S601" s="870">
        <f>SUM(PROD!AO600:AO606)</f>
        <v>0</v>
      </c>
      <c r="T601" s="393">
        <f>IF(AA599&gt;0,S601/AA599,0)</f>
        <v>0</v>
      </c>
      <c r="U601" s="394" t="str">
        <f>$U$6</f>
        <v>Vencido</v>
      </c>
      <c r="V601" s="392">
        <f t="shared" si="123"/>
        <v>0</v>
      </c>
      <c r="W601" s="870">
        <f>SUM(PROD!AY600:AY606)</f>
        <v>0</v>
      </c>
      <c r="X601" s="393">
        <f>IFERROR(W601/(AA604-AA602),0)</f>
        <v>0</v>
      </c>
      <c r="Y601" s="402" t="s">
        <v>391</v>
      </c>
      <c r="Z601" s="456">
        <v>0</v>
      </c>
      <c r="AA601" s="720"/>
      <c r="AB601" s="495">
        <f>IF(AA604&gt;0,AA601/AA604,0)</f>
        <v>0</v>
      </c>
    </row>
    <row r="602" spans="1:28" ht="15.75" customHeight="1" x14ac:dyDescent="0.3">
      <c r="A602" s="2301"/>
      <c r="B602" s="438" t="str">
        <f>$B$7</f>
        <v>Mortalidad Aves</v>
      </c>
      <c r="C602" s="401">
        <f>IF(A599&lt;=$B$2,C600+$C$2,0)</f>
        <v>0</v>
      </c>
      <c r="D602" s="390">
        <f>C602*SUM(PROD!D600:D606)</f>
        <v>0</v>
      </c>
      <c r="E602" s="383">
        <f>IFERROR(D602/SUM(PROD!L600:L606),0)</f>
        <v>0</v>
      </c>
      <c r="F602" s="384">
        <f>IFERROR(E602/SUM(E599:E605,J599:J605,O599:O604),0)</f>
        <v>0</v>
      </c>
      <c r="G602" s="439" t="str">
        <f>$G$14</f>
        <v>Servicios Públicos</v>
      </c>
      <c r="H602" s="401">
        <f t="shared" si="121"/>
        <v>0</v>
      </c>
      <c r="I602" s="390">
        <f t="shared" si="119"/>
        <v>0</v>
      </c>
      <c r="J602" s="383">
        <f>IFERROR(I602/SUM(PROD!L600:L606),0)</f>
        <v>0</v>
      </c>
      <c r="K602" s="384">
        <f>IFERROR(J602/SUM(E599:E605,J599:J605,O599:O604),0)</f>
        <v>0</v>
      </c>
      <c r="L602" s="441" t="str">
        <f>$L$7</f>
        <v>Administrativos</v>
      </c>
      <c r="M602" s="401">
        <f t="shared" si="125"/>
        <v>0</v>
      </c>
      <c r="N602" s="404">
        <f>M602*0.230769230769231</f>
        <v>0</v>
      </c>
      <c r="O602" s="383">
        <f>IFERROR(N602/SUM(PROD!L600:L606),0)</f>
        <v>0</v>
      </c>
      <c r="P602" s="384">
        <f>IFERROR(O602/SUM(E599:E605,J599:J605,O599:O604),0)</f>
        <v>0</v>
      </c>
      <c r="Q602" s="391" t="str">
        <f>$Q$7</f>
        <v>A</v>
      </c>
      <c r="R602" s="392">
        <f t="shared" si="122"/>
        <v>0</v>
      </c>
      <c r="S602" s="870">
        <f>SUM(PROD!AP600:AP606)</f>
        <v>0</v>
      </c>
      <c r="T602" s="393">
        <f>IF(AA599&gt;0,S602/AA599,0)</f>
        <v>0</v>
      </c>
      <c r="U602" s="405" t="str">
        <f>$U$7</f>
        <v>Roto</v>
      </c>
      <c r="V602" s="406">
        <f t="shared" si="123"/>
        <v>0</v>
      </c>
      <c r="W602" s="872">
        <f>SUM(PROD!AZ600:AZ606)</f>
        <v>0</v>
      </c>
      <c r="X602" s="407">
        <f>IFERROR(W602/(AA604-AA602),0)</f>
        <v>0</v>
      </c>
      <c r="Y602" s="408" t="s">
        <v>359</v>
      </c>
      <c r="Z602" s="442">
        <v>215</v>
      </c>
      <c r="AA602" s="410">
        <f>SUM(PROD!L600:L606)-SUM(W599:W605)-SUM(S599:S605)-AA601</f>
        <v>0</v>
      </c>
      <c r="AB602" s="496">
        <f>IF(AA604&gt;0,AA602/AA604,0)</f>
        <v>0</v>
      </c>
    </row>
    <row r="603" spans="1:28" ht="15.75" customHeight="1" x14ac:dyDescent="0.3">
      <c r="A603" s="2301"/>
      <c r="B603" s="399" t="str">
        <f>$B$8</f>
        <v>Materia Prima (Carb Ca, etc.)</v>
      </c>
      <c r="C603" s="440">
        <f>C596</f>
        <v>0</v>
      </c>
      <c r="D603" s="387">
        <f>C603*12/52</f>
        <v>0</v>
      </c>
      <c r="E603" s="383">
        <f>IFERROR(D603/SUM(PROD!L600:L606),0)</f>
        <v>0</v>
      </c>
      <c r="F603" s="384">
        <f>IFERROR(E603/SUM(E599:E605,J599:J605,O599:O604),0)</f>
        <v>0</v>
      </c>
      <c r="G603" s="441" t="str">
        <f>$G$15</f>
        <v>Gastos Legales</v>
      </c>
      <c r="H603" s="401">
        <f t="shared" si="121"/>
        <v>0</v>
      </c>
      <c r="I603" s="390">
        <f t="shared" si="119"/>
        <v>0</v>
      </c>
      <c r="J603" s="383">
        <f>IFERROR(I603/SUM(PROD!L600:L606),0)</f>
        <v>0</v>
      </c>
      <c r="K603" s="384">
        <f>IFERROR(J603/SUM(E599:E605,J599:J605,O599:O604),0)</f>
        <v>0</v>
      </c>
      <c r="L603" s="439" t="str">
        <f>$L$8</f>
        <v>Fletes</v>
      </c>
      <c r="M603" s="401">
        <f t="shared" si="125"/>
        <v>0</v>
      </c>
      <c r="N603" s="404">
        <f>M603*0.230769230769231</f>
        <v>0</v>
      </c>
      <c r="O603" s="383">
        <f>IFERROR(N603/SUM(PROD!L600:L606),0)</f>
        <v>0</v>
      </c>
      <c r="P603" s="384">
        <f>IFERROR(O603/SUM(E599:E605,J599:J605,O599:O604),0)</f>
        <v>0</v>
      </c>
      <c r="Q603" s="391" t="str">
        <f>$Q$8</f>
        <v>B</v>
      </c>
      <c r="R603" s="392">
        <f t="shared" si="122"/>
        <v>0</v>
      </c>
      <c r="S603" s="870">
        <f>SUM(PROD!AQ600:AQ606)</f>
        <v>0</v>
      </c>
      <c r="T603" s="393">
        <f>IF(AA599&gt;0,S603/AA599,0)</f>
        <v>0</v>
      </c>
      <c r="U603" s="395" t="str">
        <f>$U$8</f>
        <v>Rev. Gr.</v>
      </c>
      <c r="V603" s="412">
        <f t="shared" si="123"/>
        <v>0</v>
      </c>
      <c r="W603" s="873">
        <f>SUM(PROD!AT600:AT606)</f>
        <v>0</v>
      </c>
      <c r="X603" s="413">
        <f>IFERROR(W603/(AA604-AA602),0)</f>
        <v>0</v>
      </c>
      <c r="Y603" s="414" t="s">
        <v>262</v>
      </c>
      <c r="Z603" s="415">
        <f>IFERROR(SUMPRODUCT(V603:V605,W603:W605)/SUM(W603:W605),0)</f>
        <v>0</v>
      </c>
      <c r="AA603" s="416">
        <f>SUM(W603:W605)</f>
        <v>0</v>
      </c>
      <c r="AB603" s="497">
        <f>IF(AA604&gt;0,AA603/AA604,0)</f>
        <v>0</v>
      </c>
    </row>
    <row r="604" spans="1:28" ht="15.75" customHeight="1" x14ac:dyDescent="0.3">
      <c r="A604" s="2301"/>
      <c r="B604" s="438" t="str">
        <f>$B$9</f>
        <v>Vacunas y medicamentos</v>
      </c>
      <c r="C604" s="443">
        <f>C597</f>
        <v>0</v>
      </c>
      <c r="D604" s="387">
        <f>C604*12/52</f>
        <v>0</v>
      </c>
      <c r="E604" s="383">
        <f>IFERROR(D604/SUM(PROD!L600:L606),0)</f>
        <v>0</v>
      </c>
      <c r="F604" s="384">
        <f>IFERROR(E604/SUM(E599:E605,J599:J605,O599:O604),0)</f>
        <v>0</v>
      </c>
      <c r="G604" s="441" t="str">
        <f>$G$16</f>
        <v>Mantenimiento y Reparaciones</v>
      </c>
      <c r="H604" s="401">
        <f t="shared" si="121"/>
        <v>0</v>
      </c>
      <c r="I604" s="390">
        <f t="shared" si="119"/>
        <v>0</v>
      </c>
      <c r="J604" s="383">
        <f>IFERROR(I604/SUM(PROD!L600:L606),0)</f>
        <v>0</v>
      </c>
      <c r="K604" s="384">
        <f>IFERROR(J604/SUM(E599:E605,J599:J605,O599:O604),0)</f>
        <v>0</v>
      </c>
      <c r="L604" s="439">
        <f>$L$9</f>
        <v>0</v>
      </c>
      <c r="M604" s="401">
        <f t="shared" si="125"/>
        <v>0</v>
      </c>
      <c r="N604" s="404">
        <f>M604*0.230769230769231</f>
        <v>0</v>
      </c>
      <c r="O604" s="383">
        <f>IFERROR(N604/SUM(PROD!L600:L606),0)</f>
        <v>0</v>
      </c>
      <c r="P604" s="384">
        <f>IFERROR(O604/SUM(E599:E605,J599:J605,O599:O604),0)</f>
        <v>0</v>
      </c>
      <c r="Q604" s="391" t="str">
        <f>$Q$9</f>
        <v>C</v>
      </c>
      <c r="R604" s="392">
        <f t="shared" si="122"/>
        <v>0</v>
      </c>
      <c r="S604" s="870">
        <f>SUM(PROD!AR600:AR606)</f>
        <v>0</v>
      </c>
      <c r="T604" s="393">
        <f>IF(AA599&gt;0,S604/AA599,0)</f>
        <v>0</v>
      </c>
      <c r="U604" s="394" t="str">
        <f>$U$9</f>
        <v>Rev. Med</v>
      </c>
      <c r="V604" s="392">
        <f t="shared" si="123"/>
        <v>0</v>
      </c>
      <c r="W604" s="870">
        <f>SUM(PROD!AU600:AU606)</f>
        <v>0</v>
      </c>
      <c r="X604" s="418">
        <f>IFERROR(W604/(AA604-AA602),0)</f>
        <v>0</v>
      </c>
      <c r="Y604" s="2303" t="s">
        <v>325</v>
      </c>
      <c r="Z604" s="2305">
        <f>SUMPRODUCT(Z599:Z603,AB599:AB603)</f>
        <v>0</v>
      </c>
      <c r="AA604" s="2307">
        <f>SUM(AA599:AA602)</f>
        <v>0</v>
      </c>
      <c r="AB604" s="2308"/>
    </row>
    <row r="605" spans="1:28" ht="16.5" customHeight="1" thickBot="1" x14ac:dyDescent="0.35">
      <c r="A605" s="2302"/>
      <c r="B605" s="444" t="str">
        <f>$B$10</f>
        <v>Gastos de Personal</v>
      </c>
      <c r="C605" s="445">
        <f>C598</f>
        <v>0</v>
      </c>
      <c r="D605" s="421">
        <f>C605*12/52</f>
        <v>0</v>
      </c>
      <c r="E605" s="446">
        <f>IFERROR(D605/SUM(PROD!L600:L606),0)</f>
        <v>0</v>
      </c>
      <c r="F605" s="447">
        <f>IFERROR(E605/SUM(E599:E605,J599:J605,O599:O604),0)</f>
        <v>0</v>
      </c>
      <c r="G605" s="448" t="str">
        <f>$G$17</f>
        <v>Adecuación Instalaciones</v>
      </c>
      <c r="H605" s="445">
        <f t="shared" si="121"/>
        <v>0</v>
      </c>
      <c r="I605" s="426">
        <f t="shared" si="119"/>
        <v>0</v>
      </c>
      <c r="J605" s="446">
        <f>IFERROR(I605/SUM(PROD!L600:L606),0)</f>
        <v>0</v>
      </c>
      <c r="K605" s="447">
        <f>IFERROR(J605/SUM(E599:E605,J599:J605,O599:O604),0)</f>
        <v>0</v>
      </c>
      <c r="L605" s="2311" t="str">
        <f>$L$10</f>
        <v>TOTAL COSTO PRODUCCIÓN</v>
      </c>
      <c r="M605" s="2312"/>
      <c r="N605" s="427">
        <f>SUM(D599:D605,I599:I605,N599:N604)</f>
        <v>230769.23076923078</v>
      </c>
      <c r="O605" s="449">
        <f>IFERROR(N605/SUM(PROD!L600:L606),0)</f>
        <v>0</v>
      </c>
      <c r="P605" s="447">
        <f>IFERROR(O605/SUM(E599:E605,J599:J605,O599:O604),0)</f>
        <v>0</v>
      </c>
      <c r="Q605" s="450" t="str">
        <f>$Q$10</f>
        <v>D</v>
      </c>
      <c r="R605" s="430">
        <f t="shared" si="122"/>
        <v>0</v>
      </c>
      <c r="S605" s="871">
        <f>SUM(PROD!AS600:AS606)</f>
        <v>0</v>
      </c>
      <c r="T605" s="451">
        <f>IF(AA599&gt;0,S605/AA599,0)</f>
        <v>0</v>
      </c>
      <c r="U605" s="452" t="str">
        <f>$U$10</f>
        <v>Rev. Peq</v>
      </c>
      <c r="V605" s="430">
        <f t="shared" si="123"/>
        <v>0</v>
      </c>
      <c r="W605" s="874">
        <f>SUM(PROD!AV600:AV606)</f>
        <v>0</v>
      </c>
      <c r="X605" s="451">
        <f>IFERROR(W605/(AA604-AA602),0)</f>
        <v>0</v>
      </c>
      <c r="Y605" s="2304"/>
      <c r="Z605" s="2306"/>
      <c r="AA605" s="2309"/>
      <c r="AB605" s="2310"/>
    </row>
    <row r="606" spans="1:28" ht="16.5" customHeight="1" x14ac:dyDescent="0.3">
      <c r="A606" s="2300">
        <f>A599+1</f>
        <v>104</v>
      </c>
      <c r="B606" s="433" t="str">
        <f>$B$4</f>
        <v>ALIMENTO Kilos</v>
      </c>
      <c r="C606" s="435">
        <f>LOOKUP($A606,PROD!$A$5:$A$725,PROD!$AH$10:$AH$730)</f>
        <v>0</v>
      </c>
      <c r="D606" s="368">
        <f>C606*LOOKUP($A606,'Pr-Sem'!$A$6:$A$108,'Pr-Sem'!$N$6:$N$108)/(PROD!$A$1/1000)</f>
        <v>0</v>
      </c>
      <c r="E606" s="369">
        <f>IFERROR(D606/SUM(PROD!L607:L613),0)</f>
        <v>0</v>
      </c>
      <c r="F606" s="370">
        <f>IFERROR(E606/SUM(E606:E612,J606:J612,O606:O611),0)</f>
        <v>0</v>
      </c>
      <c r="G606" s="434" t="str">
        <f>$G$11</f>
        <v>Honorarios</v>
      </c>
      <c r="H606" s="435">
        <f t="shared" si="121"/>
        <v>0</v>
      </c>
      <c r="I606" s="372">
        <f t="shared" si="119"/>
        <v>0</v>
      </c>
      <c r="J606" s="369">
        <f>IFERROR(I606/SUM(PROD!L607:L613),0)</f>
        <v>0</v>
      </c>
      <c r="K606" s="370">
        <f>IFERROR(J606/SUM(E606:E612,J606:J612,O606:O611),0)</f>
        <v>0</v>
      </c>
      <c r="L606" s="436" t="str">
        <f>$L$4</f>
        <v>Gastos de Viaje</v>
      </c>
      <c r="M606" s="435">
        <f t="shared" ref="M606:M611" si="126">M599</f>
        <v>0</v>
      </c>
      <c r="N606" s="372">
        <f>M606*12/52</f>
        <v>0</v>
      </c>
      <c r="O606" s="369">
        <f>IFERROR(N606/SUM(PROD!L607:L613),0)</f>
        <v>0</v>
      </c>
      <c r="P606" s="370">
        <f>IFERROR(O606/SUM(E606:E612,J606:J612,O606:O611),0)</f>
        <v>0</v>
      </c>
      <c r="Q606" s="373" t="str">
        <f>$Q$4</f>
        <v>AAAA</v>
      </c>
      <c r="R606" s="374">
        <f t="shared" si="122"/>
        <v>0</v>
      </c>
      <c r="S606" s="869">
        <f>SUM(PROD!AM607:AM613)</f>
        <v>0</v>
      </c>
      <c r="T606" s="375">
        <f>IF(AA606&gt;0,S606/AA606,0)</f>
        <v>0</v>
      </c>
      <c r="U606" s="376" t="str">
        <f>$U$4</f>
        <v>Prob Color</v>
      </c>
      <c r="V606" s="374">
        <f t="shared" si="123"/>
        <v>0</v>
      </c>
      <c r="W606" s="869">
        <f>SUM(PROD!AW607:AW613)</f>
        <v>0</v>
      </c>
      <c r="X606" s="375">
        <f>IFERROR(W606/(AA611-AA609),0)</f>
        <v>0</v>
      </c>
      <c r="Y606" s="377" t="s">
        <v>323</v>
      </c>
      <c r="Z606" s="378">
        <f>SUMPRODUCT(R606:R612,T606:T612)</f>
        <v>0</v>
      </c>
      <c r="AA606" s="379">
        <f>SUM(S606:S612)</f>
        <v>0</v>
      </c>
      <c r="AB606" s="490">
        <f>IF(AA611&gt;0,AA606/AA611,0)</f>
        <v>0</v>
      </c>
    </row>
    <row r="607" spans="1:28" ht="15.75" customHeight="1" x14ac:dyDescent="0.3">
      <c r="A607" s="2301"/>
      <c r="B607" s="438" t="str">
        <f>$B$5</f>
        <v>Amortización de Aves</v>
      </c>
      <c r="C607" s="381">
        <f>IFERROR((C600-(D607/'Pr-Sem'!$O$2)),0)</f>
        <v>0</v>
      </c>
      <c r="D607" s="382">
        <f>SUM(PROD!L607:L613)*E607</f>
        <v>0</v>
      </c>
      <c r="E607" s="383">
        <f>IF(SUM(PROD!L607:L613)&gt;0,IFERROR(($C$1-$C$2)/LOOKUP($B$2,'Pr-Sem'!$A$6:$A$108,'Pr-Sem'!$L$6:$L$108)*(LOOKUP(INVENTARIOS!$A606,'Pr-Sem'!$A$6:$A$108,'Pr-Sem'!$L$6:$L$108)-LOOKUP(INVENTARIOS!$A606-1,'Pr-Sem'!$A$6:$A$108,'Pr-Sem'!$L$6:$L$108))/(LOOKUP(INVENTARIOS!$A606,'Pr-Sem'!$A$6:$A$108,'Pr-Sem'!$K$6:$K$108)-LOOKUP(INVENTARIOS!$A606-1,'Pr-Sem'!$A$6:$A$108,'Pr-Sem'!$K$6:$K$108)),0),0)</f>
        <v>0</v>
      </c>
      <c r="F607" s="384">
        <f>IFERROR(E607/SUM(E606:E612,J606:J612,O606:O611),0)</f>
        <v>0</v>
      </c>
      <c r="G607" s="439" t="str">
        <f>$G$12</f>
        <v>Impuestos</v>
      </c>
      <c r="H607" s="440">
        <f t="shared" si="121"/>
        <v>0</v>
      </c>
      <c r="I607" s="387">
        <f t="shared" si="119"/>
        <v>0</v>
      </c>
      <c r="J607" s="383">
        <f>IFERROR(I607/SUM(PROD!L607:L613),0)</f>
        <v>0</v>
      </c>
      <c r="K607" s="384">
        <f>IFERROR(J607/SUM(E606:E612,J606:J612,O606:O611),0)</f>
        <v>0</v>
      </c>
      <c r="L607" s="439" t="str">
        <f>$L$5</f>
        <v>Depreciaciones</v>
      </c>
      <c r="M607" s="401">
        <f t="shared" si="126"/>
        <v>0</v>
      </c>
      <c r="N607" s="390">
        <f>M607*12/52</f>
        <v>0</v>
      </c>
      <c r="O607" s="383">
        <f>IFERROR(N607/SUM(PROD!L607:L613),0)</f>
        <v>0</v>
      </c>
      <c r="P607" s="384">
        <f>IFERROR(O607/SUM(E606:E612,J606:J612,O606:O611),0)</f>
        <v>0</v>
      </c>
      <c r="Q607" s="391" t="str">
        <f>$Q$5</f>
        <v>AAA</v>
      </c>
      <c r="R607" s="392">
        <f t="shared" si="122"/>
        <v>0</v>
      </c>
      <c r="S607" s="870">
        <f>SUM(PROD!AN607:AN613)</f>
        <v>0</v>
      </c>
      <c r="T607" s="393">
        <f>IF(AA606&gt;0,S607/AA606,0)</f>
        <v>0</v>
      </c>
      <c r="U607" s="394" t="str">
        <f>$U$5</f>
        <v>Prob Cásc</v>
      </c>
      <c r="V607" s="392">
        <f t="shared" si="123"/>
        <v>0</v>
      </c>
      <c r="W607" s="870">
        <f>SUM(PROD!AX607:AX613)</f>
        <v>0</v>
      </c>
      <c r="X607" s="393">
        <f>IFERROR(W607/(AA611-AA609),0)</f>
        <v>0</v>
      </c>
      <c r="Y607" s="395" t="s">
        <v>324</v>
      </c>
      <c r="Z607" s="396">
        <f>IFERROR(SUMPRODUCT(V606:V609,W606:W609)/SUM(W606:W609),0)</f>
        <v>0</v>
      </c>
      <c r="AA607" s="397">
        <f>SUM(W606:W609)</f>
        <v>0</v>
      </c>
      <c r="AB607" s="494">
        <f>IF(AA611&gt;0,AA607/AA611,0)</f>
        <v>0</v>
      </c>
    </row>
    <row r="608" spans="1:28" ht="15.75" customHeight="1" x14ac:dyDescent="0.3">
      <c r="A608" s="2301"/>
      <c r="B608" s="399" t="str">
        <f>$B$6</f>
        <v>Bandeja</v>
      </c>
      <c r="C608" s="400">
        <f>C601</f>
        <v>0</v>
      </c>
      <c r="D608" s="387">
        <f>C608*SUM(INVENTARIOS!R606:R612)</f>
        <v>0</v>
      </c>
      <c r="E608" s="383">
        <f>IFERROR(D608/SUM(PROD!L607:L613),0)</f>
        <v>0</v>
      </c>
      <c r="F608" s="384">
        <f>IFERROR(E608/SUM(E606:E612,J606:J612,O606:O611),0)</f>
        <v>0</v>
      </c>
      <c r="G608" s="439" t="str">
        <f>$G$13</f>
        <v>Arrendamientos</v>
      </c>
      <c r="H608" s="401">
        <f t="shared" si="121"/>
        <v>0</v>
      </c>
      <c r="I608" s="390">
        <f t="shared" si="119"/>
        <v>0</v>
      </c>
      <c r="J608" s="383">
        <f>IFERROR(I608/SUM(PROD!L607:L613),0)</f>
        <v>0</v>
      </c>
      <c r="K608" s="384">
        <f>IFERROR(J608/SUM(E606:E612,J606:J612,O606:O611),0)</f>
        <v>0</v>
      </c>
      <c r="L608" s="439" t="str">
        <f>$L$6</f>
        <v>Diversos</v>
      </c>
      <c r="M608" s="401">
        <f t="shared" si="126"/>
        <v>1000000</v>
      </c>
      <c r="N608" s="390">
        <f>M608*12/52</f>
        <v>230769.23076923078</v>
      </c>
      <c r="O608" s="383">
        <f>IFERROR(N608/SUM(PROD!L607:L613),0)</f>
        <v>0</v>
      </c>
      <c r="P608" s="384">
        <f>IFERROR(O608/SUM(E606:E612,J606:J612,O606:O611),0)</f>
        <v>0</v>
      </c>
      <c r="Q608" s="391" t="str">
        <f>$Q$6</f>
        <v>AA</v>
      </c>
      <c r="R608" s="392">
        <f t="shared" si="122"/>
        <v>0</v>
      </c>
      <c r="S608" s="870">
        <f>SUM(PROD!AO607:AO613)</f>
        <v>0</v>
      </c>
      <c r="T608" s="393">
        <f>IF(AA606&gt;0,S608/AA606,0)</f>
        <v>0</v>
      </c>
      <c r="U608" s="394" t="str">
        <f>$U$6</f>
        <v>Vencido</v>
      </c>
      <c r="V608" s="392">
        <f t="shared" si="123"/>
        <v>0</v>
      </c>
      <c r="W608" s="870">
        <f>SUM(PROD!AY607:AY613)</f>
        <v>0</v>
      </c>
      <c r="X608" s="393">
        <f>IFERROR(W608/(AA611-AA609),0)</f>
        <v>0</v>
      </c>
      <c r="Y608" s="402" t="s">
        <v>391</v>
      </c>
      <c r="Z608" s="456">
        <v>0</v>
      </c>
      <c r="AA608" s="720"/>
      <c r="AB608" s="495">
        <f>IF(AA611&gt;0,AA608/AA611,0)</f>
        <v>0</v>
      </c>
    </row>
    <row r="609" spans="1:28" ht="15.75" customHeight="1" x14ac:dyDescent="0.3">
      <c r="A609" s="2301"/>
      <c r="B609" s="438" t="str">
        <f>$B$7</f>
        <v>Mortalidad Aves</v>
      </c>
      <c r="C609" s="401">
        <f>IF(A606&lt;=$B$2,C607+$C$2,0)</f>
        <v>0</v>
      </c>
      <c r="D609" s="390">
        <f>C609*SUM(PROD!D607:D613)</f>
        <v>0</v>
      </c>
      <c r="E609" s="383">
        <f>IFERROR(D609/SUM(PROD!L607:L613),0)</f>
        <v>0</v>
      </c>
      <c r="F609" s="384">
        <f>IFERROR(E609/SUM(E606:E612,J606:J612,O606:O611),0)</f>
        <v>0</v>
      </c>
      <c r="G609" s="439" t="str">
        <f>$G$14</f>
        <v>Servicios Públicos</v>
      </c>
      <c r="H609" s="401">
        <f t="shared" si="121"/>
        <v>0</v>
      </c>
      <c r="I609" s="390">
        <f t="shared" si="119"/>
        <v>0</v>
      </c>
      <c r="J609" s="383">
        <f>IFERROR(I609/SUM(PROD!L607:L613),0)</f>
        <v>0</v>
      </c>
      <c r="K609" s="384">
        <f>IFERROR(J609/SUM(E606:E612,J606:J612,O606:O611),0)</f>
        <v>0</v>
      </c>
      <c r="L609" s="441" t="str">
        <f>$L$7</f>
        <v>Administrativos</v>
      </c>
      <c r="M609" s="401">
        <f t="shared" si="126"/>
        <v>0</v>
      </c>
      <c r="N609" s="404">
        <f>M609*0.230769230769231</f>
        <v>0</v>
      </c>
      <c r="O609" s="383">
        <f>IFERROR(N609/SUM(PROD!L607:L613),0)</f>
        <v>0</v>
      </c>
      <c r="P609" s="384">
        <f>IFERROR(O609/SUM(E606:E612,J606:J612,O606:O611),0)</f>
        <v>0</v>
      </c>
      <c r="Q609" s="391" t="str">
        <f>$Q$7</f>
        <v>A</v>
      </c>
      <c r="R609" s="392">
        <f t="shared" si="122"/>
        <v>0</v>
      </c>
      <c r="S609" s="870">
        <f>SUM(PROD!AP607:AP613)</f>
        <v>0</v>
      </c>
      <c r="T609" s="393">
        <f>IF(AA606&gt;0,S609/AA606,0)</f>
        <v>0</v>
      </c>
      <c r="U609" s="405" t="str">
        <f>$U$7</f>
        <v>Roto</v>
      </c>
      <c r="V609" s="406">
        <f t="shared" si="123"/>
        <v>0</v>
      </c>
      <c r="W609" s="872">
        <f>SUM(PROD!AZ607:AZ613)</f>
        <v>0</v>
      </c>
      <c r="X609" s="407">
        <f>IFERROR(W609/(AA611-AA609),0)</f>
        <v>0</v>
      </c>
      <c r="Y609" s="408" t="s">
        <v>359</v>
      </c>
      <c r="Z609" s="442">
        <v>215</v>
      </c>
      <c r="AA609" s="410">
        <f>SUM(PROD!L607:L613)-SUM(W606:W612)-SUM(S606:S612)-AA608</f>
        <v>0</v>
      </c>
      <c r="AB609" s="496">
        <f>IF(AA611&gt;0,AA609/AA611,0)</f>
        <v>0</v>
      </c>
    </row>
    <row r="610" spans="1:28" ht="15.75" customHeight="1" x14ac:dyDescent="0.3">
      <c r="A610" s="2301"/>
      <c r="B610" s="399" t="str">
        <f>$B$8</f>
        <v>Materia Prima (Carb Ca, etc.)</v>
      </c>
      <c r="C610" s="440">
        <f>C603</f>
        <v>0</v>
      </c>
      <c r="D610" s="387">
        <f>C610*12/52</f>
        <v>0</v>
      </c>
      <c r="E610" s="383">
        <f>IFERROR(D610/SUM(PROD!L607:L613),0)</f>
        <v>0</v>
      </c>
      <c r="F610" s="384">
        <f>IFERROR(E610/SUM(E606:E612,J606:J612,O606:O611),0)</f>
        <v>0</v>
      </c>
      <c r="G610" s="441" t="str">
        <f>$G$15</f>
        <v>Gastos Legales</v>
      </c>
      <c r="H610" s="401">
        <f t="shared" si="121"/>
        <v>0</v>
      </c>
      <c r="I610" s="390">
        <f t="shared" si="119"/>
        <v>0</v>
      </c>
      <c r="J610" s="383">
        <f>IFERROR(I610/SUM(PROD!L607:L613),0)</f>
        <v>0</v>
      </c>
      <c r="K610" s="384">
        <f>IFERROR(J610/SUM(E606:E612,J606:J612,O606:O611),0)</f>
        <v>0</v>
      </c>
      <c r="L610" s="439" t="str">
        <f>$L$8</f>
        <v>Fletes</v>
      </c>
      <c r="M610" s="401">
        <f t="shared" si="126"/>
        <v>0</v>
      </c>
      <c r="N610" s="404">
        <f>M610*0.230769230769231</f>
        <v>0</v>
      </c>
      <c r="O610" s="383">
        <f>IFERROR(N610/SUM(PROD!L607:L613),0)</f>
        <v>0</v>
      </c>
      <c r="P610" s="384">
        <f>IFERROR(O610/SUM(E606:E612,J606:J612,O606:O611),0)</f>
        <v>0</v>
      </c>
      <c r="Q610" s="391" t="str">
        <f>$Q$8</f>
        <v>B</v>
      </c>
      <c r="R610" s="392">
        <f t="shared" si="122"/>
        <v>0</v>
      </c>
      <c r="S610" s="870">
        <f>SUM(PROD!AQ607:AQ613)</f>
        <v>0</v>
      </c>
      <c r="T610" s="393">
        <f>IF(AA606&gt;0,S610/AA606,0)</f>
        <v>0</v>
      </c>
      <c r="U610" s="395" t="str">
        <f>$U$8</f>
        <v>Rev. Gr.</v>
      </c>
      <c r="V610" s="412">
        <f t="shared" si="123"/>
        <v>0</v>
      </c>
      <c r="W610" s="873">
        <f>SUM(PROD!AT607:AT613)</f>
        <v>0</v>
      </c>
      <c r="X610" s="413">
        <f>IFERROR(W610/(AA611-AA609),0)</f>
        <v>0</v>
      </c>
      <c r="Y610" s="414" t="s">
        <v>262</v>
      </c>
      <c r="Z610" s="415">
        <f>IFERROR(SUMPRODUCT(V610:V612,W610:W612)/SUM(W610:W612),0)</f>
        <v>0</v>
      </c>
      <c r="AA610" s="416">
        <f>SUM(W610:W612)</f>
        <v>0</v>
      </c>
      <c r="AB610" s="497">
        <f>IF(AA611&gt;0,AA610/AA611,0)</f>
        <v>0</v>
      </c>
    </row>
    <row r="611" spans="1:28" ht="15.75" customHeight="1" x14ac:dyDescent="0.3">
      <c r="A611" s="2301"/>
      <c r="B611" s="438" t="str">
        <f>$B$9</f>
        <v>Vacunas y medicamentos</v>
      </c>
      <c r="C611" s="443">
        <f>C604</f>
        <v>0</v>
      </c>
      <c r="D611" s="387">
        <f>C611*12/52</f>
        <v>0</v>
      </c>
      <c r="E611" s="383">
        <f>IFERROR(D611/SUM(PROD!L607:L613),0)</f>
        <v>0</v>
      </c>
      <c r="F611" s="384">
        <f>IFERROR(E611/SUM(E606:E612,J606:J612,O606:O611),0)</f>
        <v>0</v>
      </c>
      <c r="G611" s="441" t="str">
        <f>$G$16</f>
        <v>Mantenimiento y Reparaciones</v>
      </c>
      <c r="H611" s="401">
        <f t="shared" si="121"/>
        <v>0</v>
      </c>
      <c r="I611" s="390">
        <f t="shared" si="119"/>
        <v>0</v>
      </c>
      <c r="J611" s="383">
        <f>IFERROR(I611/SUM(PROD!L607:L613),0)</f>
        <v>0</v>
      </c>
      <c r="K611" s="384">
        <f>IFERROR(J611/SUM(E606:E612,J606:J612,O606:O611),0)</f>
        <v>0</v>
      </c>
      <c r="L611" s="439">
        <f>$L$9</f>
        <v>0</v>
      </c>
      <c r="M611" s="401">
        <f t="shared" si="126"/>
        <v>0</v>
      </c>
      <c r="N611" s="404">
        <f>M611*0.230769230769231</f>
        <v>0</v>
      </c>
      <c r="O611" s="383">
        <f>IFERROR(N611/SUM(PROD!L607:L613),0)</f>
        <v>0</v>
      </c>
      <c r="P611" s="384">
        <f>IFERROR(O611/SUM(E606:E612,J606:J612,O606:O611),0)</f>
        <v>0</v>
      </c>
      <c r="Q611" s="391" t="str">
        <f>$Q$9</f>
        <v>C</v>
      </c>
      <c r="R611" s="392">
        <f t="shared" si="122"/>
        <v>0</v>
      </c>
      <c r="S611" s="870">
        <f>SUM(PROD!AR607:AR613)</f>
        <v>0</v>
      </c>
      <c r="T611" s="393">
        <f>IF(AA606&gt;0,S611/AA606,0)</f>
        <v>0</v>
      </c>
      <c r="U611" s="394" t="str">
        <f>$U$9</f>
        <v>Rev. Med</v>
      </c>
      <c r="V611" s="392">
        <f t="shared" si="123"/>
        <v>0</v>
      </c>
      <c r="W611" s="870">
        <f>SUM(PROD!AU607:AU613)</f>
        <v>0</v>
      </c>
      <c r="X611" s="418">
        <f>IFERROR(W611/(AA611-AA609),0)</f>
        <v>0</v>
      </c>
      <c r="Y611" s="2303" t="s">
        <v>325</v>
      </c>
      <c r="Z611" s="2305">
        <f>SUMPRODUCT(Z606:Z610,AB606:AB610)</f>
        <v>0</v>
      </c>
      <c r="AA611" s="2307">
        <f>SUM(AA606:AA609)</f>
        <v>0</v>
      </c>
      <c r="AB611" s="2308"/>
    </row>
    <row r="612" spans="1:28" ht="16.5" customHeight="1" thickBot="1" x14ac:dyDescent="0.35">
      <c r="A612" s="2302"/>
      <c r="B612" s="444" t="str">
        <f>$B$10</f>
        <v>Gastos de Personal</v>
      </c>
      <c r="C612" s="445">
        <f>C605</f>
        <v>0</v>
      </c>
      <c r="D612" s="421">
        <f>C612*12/52</f>
        <v>0</v>
      </c>
      <c r="E612" s="446">
        <f>IFERROR(D612/SUM(PROD!L607:L613),0)</f>
        <v>0</v>
      </c>
      <c r="F612" s="447">
        <f>IFERROR(E612/SUM(E606:E612,J606:J612,O606:O611),0)</f>
        <v>0</v>
      </c>
      <c r="G612" s="448" t="str">
        <f>$G$17</f>
        <v>Adecuación Instalaciones</v>
      </c>
      <c r="H612" s="445">
        <f t="shared" si="121"/>
        <v>0</v>
      </c>
      <c r="I612" s="426">
        <f t="shared" si="119"/>
        <v>0</v>
      </c>
      <c r="J612" s="446">
        <f>IFERROR(I612/SUM(PROD!L607:L613),0)</f>
        <v>0</v>
      </c>
      <c r="K612" s="447">
        <f>IFERROR(J612/SUM(E606:E612,J606:J612,O606:O611),0)</f>
        <v>0</v>
      </c>
      <c r="L612" s="2311" t="str">
        <f>$L$10</f>
        <v>TOTAL COSTO PRODUCCIÓN</v>
      </c>
      <c r="M612" s="2312"/>
      <c r="N612" s="427">
        <f>SUM(D606:D612,I606:I612,N606:N611)</f>
        <v>230769.23076923078</v>
      </c>
      <c r="O612" s="449">
        <f>IFERROR(N612/SUM(PROD!L607:L613),0)</f>
        <v>0</v>
      </c>
      <c r="P612" s="447">
        <f>IFERROR(O612/SUM(E606:E612,J606:J612,O606:O611),0)</f>
        <v>0</v>
      </c>
      <c r="Q612" s="450" t="str">
        <f>$Q$10</f>
        <v>D</v>
      </c>
      <c r="R612" s="430">
        <f t="shared" si="122"/>
        <v>0</v>
      </c>
      <c r="S612" s="871">
        <f>SUM(PROD!AS607:AS613)</f>
        <v>0</v>
      </c>
      <c r="T612" s="451">
        <f>IF(AA606&gt;0,S612/AA606,0)</f>
        <v>0</v>
      </c>
      <c r="U612" s="452" t="str">
        <f>$U$10</f>
        <v>Rev. Peq</v>
      </c>
      <c r="V612" s="430">
        <f t="shared" si="123"/>
        <v>0</v>
      </c>
      <c r="W612" s="874">
        <f>SUM(PROD!AV607:AV613)</f>
        <v>0</v>
      </c>
      <c r="X612" s="451">
        <f>IFERROR(W612/(AA611-AA609),0)</f>
        <v>0</v>
      </c>
      <c r="Y612" s="2304"/>
      <c r="Z612" s="2306"/>
      <c r="AA612" s="2309"/>
      <c r="AB612" s="2310"/>
    </row>
    <row r="613" spans="1:28" ht="16.5" customHeight="1" x14ac:dyDescent="0.3">
      <c r="A613" s="2300">
        <f>A606+1</f>
        <v>105</v>
      </c>
      <c r="B613" s="433" t="str">
        <f>$B$4</f>
        <v>ALIMENTO Kilos</v>
      </c>
      <c r="C613" s="435">
        <f>LOOKUP($A613,PROD!$A$5:$A$725,PROD!$AH$10:$AH$730)</f>
        <v>0</v>
      </c>
      <c r="D613" s="368">
        <f>C613*LOOKUP($A613,'Pr-Sem'!$A$6:$A$108,'Pr-Sem'!$N$6:$N$108)/(PROD!$A$1/1000)</f>
        <v>0</v>
      </c>
      <c r="E613" s="369">
        <f>IFERROR(D613/SUM(PROD!L614:L620),0)</f>
        <v>0</v>
      </c>
      <c r="F613" s="370">
        <f>IFERROR(E613/SUM(E613:E619,J613:J619,O613:O618),0)</f>
        <v>0</v>
      </c>
      <c r="G613" s="434" t="str">
        <f>$G$11</f>
        <v>Honorarios</v>
      </c>
      <c r="H613" s="435">
        <f t="shared" si="121"/>
        <v>0</v>
      </c>
      <c r="I613" s="372">
        <f t="shared" si="119"/>
        <v>0</v>
      </c>
      <c r="J613" s="369">
        <f>IFERROR(I613/SUM(PROD!L614:L620),0)</f>
        <v>0</v>
      </c>
      <c r="K613" s="370">
        <f>IFERROR(J613/SUM(E613:E619,J613:J619,O613:O618),0)</f>
        <v>0</v>
      </c>
      <c r="L613" s="436" t="str">
        <f>$L$4</f>
        <v>Gastos de Viaje</v>
      </c>
      <c r="M613" s="435">
        <f t="shared" ref="M613:M618" si="127">M606</f>
        <v>0</v>
      </c>
      <c r="N613" s="372">
        <f>M613*12/52</f>
        <v>0</v>
      </c>
      <c r="O613" s="369">
        <f>IFERROR(N613/SUM(PROD!L614:L620),0)</f>
        <v>0</v>
      </c>
      <c r="P613" s="370">
        <f>IFERROR(O613/SUM(E613:E619,J613:J619,O613:O618),0)</f>
        <v>0</v>
      </c>
      <c r="Q613" s="373" t="str">
        <f>$Q$4</f>
        <v>AAAA</v>
      </c>
      <c r="R613" s="374">
        <f t="shared" si="122"/>
        <v>0</v>
      </c>
      <c r="S613" s="869">
        <f>SUM(PROD!AM614:AM620)</f>
        <v>0</v>
      </c>
      <c r="T613" s="375">
        <f>IF(AA613&gt;0,S613/AA613,0)</f>
        <v>0</v>
      </c>
      <c r="U613" s="376" t="str">
        <f>$U$4</f>
        <v>Prob Color</v>
      </c>
      <c r="V613" s="374">
        <f t="shared" si="123"/>
        <v>0</v>
      </c>
      <c r="W613" s="869">
        <f>SUM(PROD!AW614:AW620)</f>
        <v>0</v>
      </c>
      <c r="X613" s="375">
        <f>IFERROR(W613/(AA618-AA616),0)</f>
        <v>0</v>
      </c>
      <c r="Y613" s="377" t="s">
        <v>323</v>
      </c>
      <c r="Z613" s="378">
        <f>SUMPRODUCT(R613:R619,T613:T619)</f>
        <v>0</v>
      </c>
      <c r="AA613" s="379">
        <f>SUM(S613:S619)</f>
        <v>0</v>
      </c>
      <c r="AB613" s="490">
        <f>IF(AA618&gt;0,AA613/AA618,0)</f>
        <v>0</v>
      </c>
    </row>
    <row r="614" spans="1:28" ht="15.75" customHeight="1" x14ac:dyDescent="0.3">
      <c r="A614" s="2301"/>
      <c r="B614" s="438" t="str">
        <f>$B$5</f>
        <v>Amortización de Aves</v>
      </c>
      <c r="C614" s="381">
        <f>IFERROR((C607-(D614/'Pr-Sem'!$O$2)),0)</f>
        <v>0</v>
      </c>
      <c r="D614" s="382">
        <f>SUM(PROD!L614:L620)*E614</f>
        <v>0</v>
      </c>
      <c r="E614" s="383">
        <f>IF(SUM(PROD!L614:L620)&gt;0,IFERROR(($C$1-$C$2)/LOOKUP($B$2,'Pr-Sem'!$A$6:$A$108,'Pr-Sem'!$L$6:$L$108)*(LOOKUP(INVENTARIOS!$A613,'Pr-Sem'!$A$6:$A$108,'Pr-Sem'!$L$6:$L$108)-LOOKUP(INVENTARIOS!$A613-1,'Pr-Sem'!$A$6:$A$108,'Pr-Sem'!$L$6:$L$108))/(LOOKUP(INVENTARIOS!$A613,'Pr-Sem'!$A$6:$A$108,'Pr-Sem'!$K$6:$K$108)-LOOKUP(INVENTARIOS!$A613-1,'Pr-Sem'!$A$6:$A$108,'Pr-Sem'!$K$6:$K$108)),0),0)</f>
        <v>0</v>
      </c>
      <c r="F614" s="384">
        <f>IFERROR(E614/SUM(E613:E619,J613:J619,O613:O618),0)</f>
        <v>0</v>
      </c>
      <c r="G614" s="439" t="str">
        <f>$G$12</f>
        <v>Impuestos</v>
      </c>
      <c r="H614" s="440">
        <f t="shared" si="121"/>
        <v>0</v>
      </c>
      <c r="I614" s="387">
        <f t="shared" si="119"/>
        <v>0</v>
      </c>
      <c r="J614" s="383">
        <f>IFERROR(I614/SUM(PROD!L614:L620),0)</f>
        <v>0</v>
      </c>
      <c r="K614" s="384">
        <f>IFERROR(J614/SUM(E613:E619,J613:J619,O613:O618),0)</f>
        <v>0</v>
      </c>
      <c r="L614" s="439" t="str">
        <f>$L$5</f>
        <v>Depreciaciones</v>
      </c>
      <c r="M614" s="401">
        <f t="shared" si="127"/>
        <v>0</v>
      </c>
      <c r="N614" s="390">
        <f>M614*12/52</f>
        <v>0</v>
      </c>
      <c r="O614" s="383">
        <f>IFERROR(N614/SUM(PROD!L614:L620),0)</f>
        <v>0</v>
      </c>
      <c r="P614" s="384">
        <f>IFERROR(O614/SUM(E613:E619,J613:J619,O613:O618),0)</f>
        <v>0</v>
      </c>
      <c r="Q614" s="391" t="str">
        <f>$Q$5</f>
        <v>AAA</v>
      </c>
      <c r="R614" s="392">
        <f t="shared" si="122"/>
        <v>0</v>
      </c>
      <c r="S614" s="870">
        <f>SUM(PROD!AN614:AN620)</f>
        <v>0</v>
      </c>
      <c r="T614" s="393">
        <f>IF(AA613&gt;0,S614/AA613,0)</f>
        <v>0</v>
      </c>
      <c r="U614" s="394" t="str">
        <f>$U$5</f>
        <v>Prob Cásc</v>
      </c>
      <c r="V614" s="392">
        <f t="shared" si="123"/>
        <v>0</v>
      </c>
      <c r="W614" s="870">
        <f>SUM(PROD!AX614:AX620)</f>
        <v>0</v>
      </c>
      <c r="X614" s="393">
        <f>IFERROR(W614/(AA618-AA616),0)</f>
        <v>0</v>
      </c>
      <c r="Y614" s="395" t="s">
        <v>324</v>
      </c>
      <c r="Z614" s="396">
        <f>IFERROR(SUMPRODUCT(V613:V616,W613:W616)/SUM(W613:W616),0)</f>
        <v>0</v>
      </c>
      <c r="AA614" s="397">
        <f>SUM(W613:W616)</f>
        <v>0</v>
      </c>
      <c r="AB614" s="494">
        <f>IF(AA618&gt;0,AA614/AA618,0)</f>
        <v>0</v>
      </c>
    </row>
    <row r="615" spans="1:28" ht="15.75" customHeight="1" x14ac:dyDescent="0.3">
      <c r="A615" s="2301"/>
      <c r="B615" s="399" t="str">
        <f>$B$6</f>
        <v>Bandeja</v>
      </c>
      <c r="C615" s="400">
        <f>C608</f>
        <v>0</v>
      </c>
      <c r="D615" s="387">
        <f>C615*SUM(INVENTARIOS!R613:R619)</f>
        <v>0</v>
      </c>
      <c r="E615" s="383">
        <f>IFERROR(D615/SUM(PROD!L614:L620),0)</f>
        <v>0</v>
      </c>
      <c r="F615" s="384">
        <f>IFERROR(E615/SUM(E613:E619,J613:J619,O613:O618),0)</f>
        <v>0</v>
      </c>
      <c r="G615" s="439" t="str">
        <f>$G$13</f>
        <v>Arrendamientos</v>
      </c>
      <c r="H615" s="401">
        <f t="shared" si="121"/>
        <v>0</v>
      </c>
      <c r="I615" s="390">
        <f t="shared" si="119"/>
        <v>0</v>
      </c>
      <c r="J615" s="383">
        <f>IFERROR(I615/SUM(PROD!L614:L620),0)</f>
        <v>0</v>
      </c>
      <c r="K615" s="384">
        <f>IFERROR(J615/SUM(E613:E619,J613:J619,O613:O618),0)</f>
        <v>0</v>
      </c>
      <c r="L615" s="439" t="str">
        <f>$L$6</f>
        <v>Diversos</v>
      </c>
      <c r="M615" s="401">
        <f t="shared" si="127"/>
        <v>1000000</v>
      </c>
      <c r="N615" s="390">
        <f>M615*12/52</f>
        <v>230769.23076923078</v>
      </c>
      <c r="O615" s="383">
        <f>IFERROR(N615/SUM(PROD!L614:L620),0)</f>
        <v>0</v>
      </c>
      <c r="P615" s="384">
        <f>IFERROR(O615/SUM(E613:E619,J613:J619,O613:O618),0)</f>
        <v>0</v>
      </c>
      <c r="Q615" s="391" t="str">
        <f>$Q$6</f>
        <v>AA</v>
      </c>
      <c r="R615" s="392">
        <f t="shared" si="122"/>
        <v>0</v>
      </c>
      <c r="S615" s="870">
        <f>SUM(PROD!AO614:AO620)</f>
        <v>0</v>
      </c>
      <c r="T615" s="393">
        <f>IF(AA613&gt;0,S615/AA613,0)</f>
        <v>0</v>
      </c>
      <c r="U615" s="394" t="str">
        <f>$U$6</f>
        <v>Vencido</v>
      </c>
      <c r="V615" s="392">
        <f t="shared" si="123"/>
        <v>0</v>
      </c>
      <c r="W615" s="870">
        <f>SUM(PROD!AY614:AY620)</f>
        <v>0</v>
      </c>
      <c r="X615" s="393">
        <f>IFERROR(W615/(AA618-AA616),0)</f>
        <v>0</v>
      </c>
      <c r="Y615" s="402" t="s">
        <v>391</v>
      </c>
      <c r="Z615" s="456">
        <v>0</v>
      </c>
      <c r="AA615" s="720"/>
      <c r="AB615" s="495">
        <f>IF(AA618&gt;0,AA615/AA618,0)</f>
        <v>0</v>
      </c>
    </row>
    <row r="616" spans="1:28" ht="15.75" customHeight="1" x14ac:dyDescent="0.3">
      <c r="A616" s="2301"/>
      <c r="B616" s="438" t="str">
        <f>$B$7</f>
        <v>Mortalidad Aves</v>
      </c>
      <c r="C616" s="401">
        <f>IF(A613&lt;=$B$2,C614+$C$2,0)</f>
        <v>0</v>
      </c>
      <c r="D616" s="390">
        <f>C616*SUM(PROD!D614:D620)</f>
        <v>0</v>
      </c>
      <c r="E616" s="383">
        <f>IFERROR(D616/SUM(PROD!L614:L620),0)</f>
        <v>0</v>
      </c>
      <c r="F616" s="384">
        <f>IFERROR(E616/SUM(E613:E619,J613:J619,O613:O618),0)</f>
        <v>0</v>
      </c>
      <c r="G616" s="439" t="str">
        <f>$G$14</f>
        <v>Servicios Públicos</v>
      </c>
      <c r="H616" s="401">
        <f t="shared" si="121"/>
        <v>0</v>
      </c>
      <c r="I616" s="390">
        <f t="shared" si="119"/>
        <v>0</v>
      </c>
      <c r="J616" s="383">
        <f>IFERROR(I616/SUM(PROD!L614:L620),0)</f>
        <v>0</v>
      </c>
      <c r="K616" s="384">
        <f>IFERROR(J616/SUM(E613:E619,J613:J619,O613:O618),0)</f>
        <v>0</v>
      </c>
      <c r="L616" s="441" t="str">
        <f>$L$7</f>
        <v>Administrativos</v>
      </c>
      <c r="M616" s="401">
        <f t="shared" si="127"/>
        <v>0</v>
      </c>
      <c r="N616" s="404">
        <f>M616*0.230769230769231</f>
        <v>0</v>
      </c>
      <c r="O616" s="383">
        <f>IFERROR(N616/SUM(PROD!L614:L620),0)</f>
        <v>0</v>
      </c>
      <c r="P616" s="384">
        <f>IFERROR(O616/SUM(E613:E619,J613:J619,O613:O618),0)</f>
        <v>0</v>
      </c>
      <c r="Q616" s="391" t="str">
        <f>$Q$7</f>
        <v>A</v>
      </c>
      <c r="R616" s="392">
        <f t="shared" si="122"/>
        <v>0</v>
      </c>
      <c r="S616" s="870">
        <f>SUM(PROD!AP614:AP620)</f>
        <v>0</v>
      </c>
      <c r="T616" s="393">
        <f>IF(AA613&gt;0,S616/AA613,0)</f>
        <v>0</v>
      </c>
      <c r="U616" s="405" t="str">
        <f>$U$7</f>
        <v>Roto</v>
      </c>
      <c r="V616" s="406">
        <f t="shared" si="123"/>
        <v>0</v>
      </c>
      <c r="W616" s="872">
        <f>SUM(PROD!AZ614:AZ620)</f>
        <v>0</v>
      </c>
      <c r="X616" s="407">
        <f>IFERROR(W616/(AA618-AA616),0)</f>
        <v>0</v>
      </c>
      <c r="Y616" s="408" t="s">
        <v>359</v>
      </c>
      <c r="Z616" s="442">
        <v>215</v>
      </c>
      <c r="AA616" s="410">
        <f>SUM(PROD!L614:L620)-SUM(W613:W619)-SUM(S613:S619)-AA615</f>
        <v>0</v>
      </c>
      <c r="AB616" s="496">
        <f>IF(AA618&gt;0,AA616/AA618,0)</f>
        <v>0</v>
      </c>
    </row>
    <row r="617" spans="1:28" ht="15.75" customHeight="1" x14ac:dyDescent="0.3">
      <c r="A617" s="2301"/>
      <c r="B617" s="399" t="str">
        <f>$B$8</f>
        <v>Materia Prima (Carb Ca, etc.)</v>
      </c>
      <c r="C617" s="440">
        <f>C610</f>
        <v>0</v>
      </c>
      <c r="D617" s="387">
        <f>C617*12/52</f>
        <v>0</v>
      </c>
      <c r="E617" s="383">
        <f>IFERROR(D617/SUM(PROD!L614:L620),0)</f>
        <v>0</v>
      </c>
      <c r="F617" s="384">
        <f>IFERROR(E617/SUM(E613:E619,J613:J619,O613:O618),0)</f>
        <v>0</v>
      </c>
      <c r="G617" s="441" t="str">
        <f>$G$15</f>
        <v>Gastos Legales</v>
      </c>
      <c r="H617" s="401">
        <f t="shared" si="121"/>
        <v>0</v>
      </c>
      <c r="I617" s="390">
        <f t="shared" si="119"/>
        <v>0</v>
      </c>
      <c r="J617" s="383">
        <f>IFERROR(I617/SUM(PROD!L614:L620),0)</f>
        <v>0</v>
      </c>
      <c r="K617" s="384">
        <f>IFERROR(J617/SUM(E613:E619,J613:J619,O613:O618),0)</f>
        <v>0</v>
      </c>
      <c r="L617" s="439" t="str">
        <f>$L$8</f>
        <v>Fletes</v>
      </c>
      <c r="M617" s="401">
        <f t="shared" si="127"/>
        <v>0</v>
      </c>
      <c r="N617" s="404">
        <f>M617*0.230769230769231</f>
        <v>0</v>
      </c>
      <c r="O617" s="383">
        <f>IFERROR(N617/SUM(PROD!L614:L620),0)</f>
        <v>0</v>
      </c>
      <c r="P617" s="384">
        <f>IFERROR(O617/SUM(E613:E619,J613:J619,O613:O618),0)</f>
        <v>0</v>
      </c>
      <c r="Q617" s="391" t="str">
        <f>$Q$8</f>
        <v>B</v>
      </c>
      <c r="R617" s="392">
        <f t="shared" si="122"/>
        <v>0</v>
      </c>
      <c r="S617" s="870">
        <f>SUM(PROD!AQ614:AQ620)</f>
        <v>0</v>
      </c>
      <c r="T617" s="393">
        <f>IF(AA613&gt;0,S617/AA613,0)</f>
        <v>0</v>
      </c>
      <c r="U617" s="395" t="str">
        <f>$U$8</f>
        <v>Rev. Gr.</v>
      </c>
      <c r="V617" s="412">
        <f t="shared" si="123"/>
        <v>0</v>
      </c>
      <c r="W617" s="873">
        <f>SUM(PROD!AT614:AT620)</f>
        <v>0</v>
      </c>
      <c r="X617" s="413">
        <f>IFERROR(W617/(AA618-AA616),0)</f>
        <v>0</v>
      </c>
      <c r="Y617" s="414" t="s">
        <v>262</v>
      </c>
      <c r="Z617" s="415">
        <f>IFERROR(SUMPRODUCT(V617:V619,W617:W619)/SUM(W617:W619),0)</f>
        <v>0</v>
      </c>
      <c r="AA617" s="416">
        <f>SUM(W617:W619)</f>
        <v>0</v>
      </c>
      <c r="AB617" s="497">
        <f>IF(AA618&gt;0,AA617/AA618,0)</f>
        <v>0</v>
      </c>
    </row>
    <row r="618" spans="1:28" ht="15.75" customHeight="1" x14ac:dyDescent="0.3">
      <c r="A618" s="2301"/>
      <c r="B618" s="438" t="str">
        <f>$B$9</f>
        <v>Vacunas y medicamentos</v>
      </c>
      <c r="C618" s="443">
        <f>C611</f>
        <v>0</v>
      </c>
      <c r="D618" s="387">
        <f>C618*12/52</f>
        <v>0</v>
      </c>
      <c r="E618" s="383">
        <f>IFERROR(D618/SUM(PROD!L614:L620),0)</f>
        <v>0</v>
      </c>
      <c r="F618" s="384">
        <f>IFERROR(E618/SUM(E613:E619,J613:J619,O613:O618),0)</f>
        <v>0</v>
      </c>
      <c r="G618" s="441" t="str">
        <f>$G$16</f>
        <v>Mantenimiento y Reparaciones</v>
      </c>
      <c r="H618" s="401">
        <f t="shared" si="121"/>
        <v>0</v>
      </c>
      <c r="I618" s="390">
        <f t="shared" si="119"/>
        <v>0</v>
      </c>
      <c r="J618" s="383">
        <f>IFERROR(I618/SUM(PROD!L614:L620),0)</f>
        <v>0</v>
      </c>
      <c r="K618" s="384">
        <f>IFERROR(J618/SUM(E613:E619,J613:J619,O613:O618),0)</f>
        <v>0</v>
      </c>
      <c r="L618" s="439">
        <f>$L$9</f>
        <v>0</v>
      </c>
      <c r="M618" s="401">
        <f t="shared" si="127"/>
        <v>0</v>
      </c>
      <c r="N618" s="404">
        <f>M618*0.230769230769231</f>
        <v>0</v>
      </c>
      <c r="O618" s="383">
        <f>IFERROR(N618/SUM(PROD!L614:L620),0)</f>
        <v>0</v>
      </c>
      <c r="P618" s="384">
        <f>IFERROR(O618/SUM(E613:E619,J613:J619,O613:O618),0)</f>
        <v>0</v>
      </c>
      <c r="Q618" s="391" t="str">
        <f>$Q$9</f>
        <v>C</v>
      </c>
      <c r="R618" s="392">
        <f t="shared" si="122"/>
        <v>0</v>
      </c>
      <c r="S618" s="870">
        <f>SUM(PROD!AR614:AR620)</f>
        <v>0</v>
      </c>
      <c r="T618" s="393">
        <f>IF(AA613&gt;0,S618/AA613,0)</f>
        <v>0</v>
      </c>
      <c r="U618" s="394" t="str">
        <f>$U$9</f>
        <v>Rev. Med</v>
      </c>
      <c r="V618" s="392">
        <f t="shared" si="123"/>
        <v>0</v>
      </c>
      <c r="W618" s="870">
        <f>SUM(PROD!AU614:AU620)</f>
        <v>0</v>
      </c>
      <c r="X618" s="418">
        <f>IFERROR(W618/(AA618-AA616),0)</f>
        <v>0</v>
      </c>
      <c r="Y618" s="2303" t="s">
        <v>325</v>
      </c>
      <c r="Z618" s="2305">
        <f>SUMPRODUCT(Z613:Z617,AB613:AB617)</f>
        <v>0</v>
      </c>
      <c r="AA618" s="2307">
        <f>SUM(AA613:AA616)</f>
        <v>0</v>
      </c>
      <c r="AB618" s="2308"/>
    </row>
    <row r="619" spans="1:28" ht="16.5" customHeight="1" thickBot="1" x14ac:dyDescent="0.35">
      <c r="A619" s="2302"/>
      <c r="B619" s="444" t="str">
        <f>$B$10</f>
        <v>Gastos de Personal</v>
      </c>
      <c r="C619" s="445">
        <f>C612</f>
        <v>0</v>
      </c>
      <c r="D619" s="421">
        <f>C619*12/52</f>
        <v>0</v>
      </c>
      <c r="E619" s="446">
        <f>IFERROR(D619/SUM(PROD!L614:L620),0)</f>
        <v>0</v>
      </c>
      <c r="F619" s="447">
        <f>IFERROR(E619/SUM(E613:E619,J613:J619,O613:O618),0)</f>
        <v>0</v>
      </c>
      <c r="G619" s="448" t="str">
        <f>$G$17</f>
        <v>Adecuación Instalaciones</v>
      </c>
      <c r="H619" s="445">
        <f t="shared" si="121"/>
        <v>0</v>
      </c>
      <c r="I619" s="426">
        <f t="shared" si="119"/>
        <v>0</v>
      </c>
      <c r="J619" s="446">
        <f>IFERROR(I619/SUM(PROD!L614:L620),0)</f>
        <v>0</v>
      </c>
      <c r="K619" s="447">
        <f>IFERROR(J619/SUM(E613:E619,J613:J619,O613:O618),0)</f>
        <v>0</v>
      </c>
      <c r="L619" s="2311" t="str">
        <f>$L$10</f>
        <v>TOTAL COSTO PRODUCCIÓN</v>
      </c>
      <c r="M619" s="2312"/>
      <c r="N619" s="427">
        <f>SUM(D613:D619,I613:I619,N613:N618)</f>
        <v>230769.23076923078</v>
      </c>
      <c r="O619" s="449">
        <f>IFERROR(N619/SUM(PROD!L614:L620),0)</f>
        <v>0</v>
      </c>
      <c r="P619" s="447">
        <f>IFERROR(O619/SUM(E613:E619,J613:J619,O613:O618),0)</f>
        <v>0</v>
      </c>
      <c r="Q619" s="450" t="str">
        <f>$Q$10</f>
        <v>D</v>
      </c>
      <c r="R619" s="430">
        <f t="shared" si="122"/>
        <v>0</v>
      </c>
      <c r="S619" s="871">
        <f>SUM(PROD!AS614:AS620)</f>
        <v>0</v>
      </c>
      <c r="T619" s="451">
        <f>IF(AA613&gt;0,S619/AA613,0)</f>
        <v>0</v>
      </c>
      <c r="U619" s="452" t="str">
        <f>$U$10</f>
        <v>Rev. Peq</v>
      </c>
      <c r="V619" s="430">
        <f t="shared" si="123"/>
        <v>0</v>
      </c>
      <c r="W619" s="874">
        <f>SUM(PROD!AV614:AV620)</f>
        <v>0</v>
      </c>
      <c r="X619" s="451">
        <f>IFERROR(W619/(AA618-AA616),0)</f>
        <v>0</v>
      </c>
      <c r="Y619" s="2304"/>
      <c r="Z619" s="2306"/>
      <c r="AA619" s="2309"/>
      <c r="AB619" s="2310"/>
    </row>
    <row r="620" spans="1:28" ht="16.5" customHeight="1" x14ac:dyDescent="0.3">
      <c r="A620" s="2300">
        <f>A613+1</f>
        <v>106</v>
      </c>
      <c r="B620" s="433" t="str">
        <f>$B$4</f>
        <v>ALIMENTO Kilos</v>
      </c>
      <c r="C620" s="435">
        <f>LOOKUP($A620,PROD!$A$5:$A$725,PROD!$AH$10:$AH$730)</f>
        <v>0</v>
      </c>
      <c r="D620" s="368">
        <f>C620*LOOKUP($A620,'Pr-Sem'!$A$6:$A$108,'Pr-Sem'!$N$6:$N$108)/(PROD!$A$1/1000)</f>
        <v>0</v>
      </c>
      <c r="E620" s="369">
        <f>IFERROR(D620/SUM(PROD!L621:L627),0)</f>
        <v>0</v>
      </c>
      <c r="F620" s="370">
        <f>IFERROR(E620/SUM(E620:E626,J620:J626,O620:O625),0)</f>
        <v>0</v>
      </c>
      <c r="G620" s="434" t="str">
        <f>$G$11</f>
        <v>Honorarios</v>
      </c>
      <c r="H620" s="435">
        <f t="shared" si="121"/>
        <v>0</v>
      </c>
      <c r="I620" s="372">
        <f t="shared" si="119"/>
        <v>0</v>
      </c>
      <c r="J620" s="369">
        <f>IFERROR(I620/SUM(PROD!L621:L627),0)</f>
        <v>0</v>
      </c>
      <c r="K620" s="370">
        <f>IFERROR(J620/SUM(E620:E626,J620:J626,O620:O625),0)</f>
        <v>0</v>
      </c>
      <c r="L620" s="436" t="str">
        <f>$L$4</f>
        <v>Gastos de Viaje</v>
      </c>
      <c r="M620" s="435">
        <f t="shared" ref="M620:M625" si="128">M613</f>
        <v>0</v>
      </c>
      <c r="N620" s="372">
        <f>M620*12/52</f>
        <v>0</v>
      </c>
      <c r="O620" s="369">
        <f>IFERROR(N620/SUM(PROD!L621:L627),0)</f>
        <v>0</v>
      </c>
      <c r="P620" s="370">
        <f>IFERROR(O620/SUM(E620:E626,J620:J626,O620:O625),0)</f>
        <v>0</v>
      </c>
      <c r="Q620" s="373" t="str">
        <f>$Q$4</f>
        <v>AAAA</v>
      </c>
      <c r="R620" s="374">
        <f t="shared" si="122"/>
        <v>0</v>
      </c>
      <c r="S620" s="869">
        <f>SUM(PROD!AM621:AM627)</f>
        <v>0</v>
      </c>
      <c r="T620" s="375">
        <f>IF(AA620&gt;0,S620/AA620,0)</f>
        <v>0</v>
      </c>
      <c r="U620" s="376" t="str">
        <f>$U$4</f>
        <v>Prob Color</v>
      </c>
      <c r="V620" s="374">
        <f t="shared" si="123"/>
        <v>0</v>
      </c>
      <c r="W620" s="869">
        <f>SUM(PROD!AW621:AW627)</f>
        <v>0</v>
      </c>
      <c r="X620" s="375">
        <f>IFERROR(W620/(AA625-AA623),0)</f>
        <v>0</v>
      </c>
      <c r="Y620" s="377" t="s">
        <v>323</v>
      </c>
      <c r="Z620" s="378">
        <f>SUMPRODUCT(R620:R626,T620:T626)</f>
        <v>0</v>
      </c>
      <c r="AA620" s="379">
        <f>SUM(S620:S626)</f>
        <v>0</v>
      </c>
      <c r="AB620" s="490">
        <f>IF(AA625&gt;0,AA620/AA625,0)</f>
        <v>0</v>
      </c>
    </row>
    <row r="621" spans="1:28" ht="15.75" customHeight="1" x14ac:dyDescent="0.3">
      <c r="A621" s="2301"/>
      <c r="B621" s="438" t="str">
        <f>$B$5</f>
        <v>Amortización de Aves</v>
      </c>
      <c r="C621" s="381">
        <f>IFERROR((C614-(D621/'Pr-Sem'!$O$2)),0)</f>
        <v>0</v>
      </c>
      <c r="D621" s="382">
        <f>SUM(PROD!L621:L627)*E621</f>
        <v>0</v>
      </c>
      <c r="E621" s="383">
        <f>IF(SUM(PROD!L621:L627)&gt;0,IFERROR(($C$1-$C$2)/LOOKUP($B$2,'Pr-Sem'!$A$6:$A$108,'Pr-Sem'!$L$6:$L$108)*(LOOKUP(INVENTARIOS!$A620,'Pr-Sem'!$A$6:$A$108,'Pr-Sem'!$L$6:$L$108)-LOOKUP(INVENTARIOS!$A620-1,'Pr-Sem'!$A$6:$A$108,'Pr-Sem'!$L$6:$L$108))/(LOOKUP(INVENTARIOS!$A620,'Pr-Sem'!$A$6:$A$108,'Pr-Sem'!$K$6:$K$108)-LOOKUP(INVENTARIOS!$A620-1,'Pr-Sem'!$A$6:$A$108,'Pr-Sem'!$K$6:$K$108)),0),0)</f>
        <v>0</v>
      </c>
      <c r="F621" s="384">
        <f>IFERROR(E621/SUM(E620:E626,J620:J626,O620:O625),0)</f>
        <v>0</v>
      </c>
      <c r="G621" s="439" t="str">
        <f>$G$12</f>
        <v>Impuestos</v>
      </c>
      <c r="H621" s="440">
        <f t="shared" si="121"/>
        <v>0</v>
      </c>
      <c r="I621" s="387">
        <f t="shared" si="119"/>
        <v>0</v>
      </c>
      <c r="J621" s="383">
        <f>IFERROR(I621/SUM(PROD!L621:L627),0)</f>
        <v>0</v>
      </c>
      <c r="K621" s="384">
        <f>IFERROR(J621/SUM(E620:E626,J620:J626,O620:O625),0)</f>
        <v>0</v>
      </c>
      <c r="L621" s="439" t="str">
        <f>$L$5</f>
        <v>Depreciaciones</v>
      </c>
      <c r="M621" s="401">
        <f t="shared" si="128"/>
        <v>0</v>
      </c>
      <c r="N621" s="390">
        <f>M621*12/52</f>
        <v>0</v>
      </c>
      <c r="O621" s="383">
        <f>IFERROR(N621/SUM(PROD!L621:L627),0)</f>
        <v>0</v>
      </c>
      <c r="P621" s="384">
        <f>IFERROR(O621/SUM(E620:E626,J620:J626,O620:O625),0)</f>
        <v>0</v>
      </c>
      <c r="Q621" s="391" t="str">
        <f>$Q$5</f>
        <v>AAA</v>
      </c>
      <c r="R621" s="392">
        <f t="shared" si="122"/>
        <v>0</v>
      </c>
      <c r="S621" s="870">
        <f>SUM(PROD!AN621:AN627)</f>
        <v>0</v>
      </c>
      <c r="T621" s="393">
        <f>IF(AA620&gt;0,S621/AA620,0)</f>
        <v>0</v>
      </c>
      <c r="U621" s="394" t="str">
        <f>$U$5</f>
        <v>Prob Cásc</v>
      </c>
      <c r="V621" s="392">
        <f t="shared" si="123"/>
        <v>0</v>
      </c>
      <c r="W621" s="870">
        <f>SUM(PROD!AX621:AX627)</f>
        <v>0</v>
      </c>
      <c r="X621" s="393">
        <f>IFERROR(W621/(AA625-AA623),0)</f>
        <v>0</v>
      </c>
      <c r="Y621" s="395" t="s">
        <v>324</v>
      </c>
      <c r="Z621" s="396">
        <f>IFERROR(SUMPRODUCT(V620:V623,W620:W623)/SUM(W620:W623),0)</f>
        <v>0</v>
      </c>
      <c r="AA621" s="397">
        <f>SUM(W620:W623)</f>
        <v>0</v>
      </c>
      <c r="AB621" s="494">
        <f>IF(AA625&gt;0,AA621/AA625,0)</f>
        <v>0</v>
      </c>
    </row>
    <row r="622" spans="1:28" ht="15.75" customHeight="1" x14ac:dyDescent="0.3">
      <c r="A622" s="2301"/>
      <c r="B622" s="399" t="str">
        <f>$B$6</f>
        <v>Bandeja</v>
      </c>
      <c r="C622" s="400">
        <f>C615</f>
        <v>0</v>
      </c>
      <c r="D622" s="387">
        <f>C622*SUM(INVENTARIOS!R620:R626)</f>
        <v>0</v>
      </c>
      <c r="E622" s="383">
        <f>IFERROR(D622/SUM(PROD!L621:L627),0)</f>
        <v>0</v>
      </c>
      <c r="F622" s="384">
        <f>IFERROR(E622/SUM(E620:E626,J620:J626,O620:O625),0)</f>
        <v>0</v>
      </c>
      <c r="G622" s="439" t="str">
        <f>$G$13</f>
        <v>Arrendamientos</v>
      </c>
      <c r="H622" s="401">
        <f t="shared" si="121"/>
        <v>0</v>
      </c>
      <c r="I622" s="390">
        <f t="shared" si="119"/>
        <v>0</v>
      </c>
      <c r="J622" s="383">
        <f>IFERROR(I622/SUM(PROD!L621:L627),0)</f>
        <v>0</v>
      </c>
      <c r="K622" s="384">
        <f>IFERROR(J622/SUM(E620:E626,J620:J626,O620:O625),0)</f>
        <v>0</v>
      </c>
      <c r="L622" s="439" t="str">
        <f>$L$6</f>
        <v>Diversos</v>
      </c>
      <c r="M622" s="401">
        <f t="shared" si="128"/>
        <v>1000000</v>
      </c>
      <c r="N622" s="390">
        <f>M622*12/52</f>
        <v>230769.23076923078</v>
      </c>
      <c r="O622" s="383">
        <f>IFERROR(N622/SUM(PROD!L621:L627),0)</f>
        <v>0</v>
      </c>
      <c r="P622" s="384">
        <f>IFERROR(O622/SUM(E620:E626,J620:J626,O620:O625),0)</f>
        <v>0</v>
      </c>
      <c r="Q622" s="391" t="str">
        <f>$Q$6</f>
        <v>AA</v>
      </c>
      <c r="R622" s="392">
        <f t="shared" si="122"/>
        <v>0</v>
      </c>
      <c r="S622" s="870">
        <f>SUM(PROD!AO621:AO627)</f>
        <v>0</v>
      </c>
      <c r="T622" s="393">
        <f>IF(AA620&gt;0,S622/AA620,0)</f>
        <v>0</v>
      </c>
      <c r="U622" s="394" t="str">
        <f>$U$6</f>
        <v>Vencido</v>
      </c>
      <c r="V622" s="392">
        <f t="shared" si="123"/>
        <v>0</v>
      </c>
      <c r="W622" s="870">
        <f>SUM(PROD!AY621:AY627)</f>
        <v>0</v>
      </c>
      <c r="X622" s="393">
        <f>IFERROR(W622/(AA625-AA623),0)</f>
        <v>0</v>
      </c>
      <c r="Y622" s="402" t="s">
        <v>391</v>
      </c>
      <c r="Z622" s="456">
        <v>0</v>
      </c>
      <c r="AA622" s="720"/>
      <c r="AB622" s="495">
        <f>IF(AA625&gt;0,AA622/AA625,0)</f>
        <v>0</v>
      </c>
    </row>
    <row r="623" spans="1:28" ht="15.75" customHeight="1" x14ac:dyDescent="0.3">
      <c r="A623" s="2301"/>
      <c r="B623" s="438" t="str">
        <f>$B$7</f>
        <v>Mortalidad Aves</v>
      </c>
      <c r="C623" s="401">
        <f>IF(A620&lt;=$B$2,C621+$C$2,0)</f>
        <v>0</v>
      </c>
      <c r="D623" s="390">
        <f>C623*SUM(PROD!D621:D627)</f>
        <v>0</v>
      </c>
      <c r="E623" s="383">
        <f>IFERROR(D623/SUM(PROD!L621:L627),0)</f>
        <v>0</v>
      </c>
      <c r="F623" s="384">
        <f>IFERROR(E623/SUM(E620:E626,J620:J626,O620:O625),0)</f>
        <v>0</v>
      </c>
      <c r="G623" s="439" t="str">
        <f>$G$14</f>
        <v>Servicios Públicos</v>
      </c>
      <c r="H623" s="401">
        <f t="shared" si="121"/>
        <v>0</v>
      </c>
      <c r="I623" s="390">
        <f t="shared" si="119"/>
        <v>0</v>
      </c>
      <c r="J623" s="383">
        <f>IFERROR(I623/SUM(PROD!L621:L627),0)</f>
        <v>0</v>
      </c>
      <c r="K623" s="384">
        <f>IFERROR(J623/SUM(E620:E626,J620:J626,O620:O625),0)</f>
        <v>0</v>
      </c>
      <c r="L623" s="441" t="str">
        <f>$L$7</f>
        <v>Administrativos</v>
      </c>
      <c r="M623" s="401">
        <f t="shared" si="128"/>
        <v>0</v>
      </c>
      <c r="N623" s="404">
        <f>M623*0.230769230769231</f>
        <v>0</v>
      </c>
      <c r="O623" s="383">
        <f>IFERROR(N623/SUM(PROD!L621:L627),0)</f>
        <v>0</v>
      </c>
      <c r="P623" s="384">
        <f>IFERROR(O623/SUM(E620:E626,J620:J626,O620:O625),0)</f>
        <v>0</v>
      </c>
      <c r="Q623" s="391" t="str">
        <f>$Q$7</f>
        <v>A</v>
      </c>
      <c r="R623" s="392">
        <f t="shared" si="122"/>
        <v>0</v>
      </c>
      <c r="S623" s="870">
        <f>SUM(PROD!AP621:AP627)</f>
        <v>0</v>
      </c>
      <c r="T623" s="393">
        <f>IF(AA620&gt;0,S623/AA620,0)</f>
        <v>0</v>
      </c>
      <c r="U623" s="405" t="str">
        <f>$U$7</f>
        <v>Roto</v>
      </c>
      <c r="V623" s="406">
        <f t="shared" si="123"/>
        <v>0</v>
      </c>
      <c r="W623" s="872">
        <f>SUM(PROD!AZ621:AZ627)</f>
        <v>0</v>
      </c>
      <c r="X623" s="407">
        <f>IFERROR(W623/(AA625-AA623),0)</f>
        <v>0</v>
      </c>
      <c r="Y623" s="408" t="s">
        <v>359</v>
      </c>
      <c r="Z623" s="442">
        <v>215</v>
      </c>
      <c r="AA623" s="410">
        <f>SUM(PROD!L621:L627)-SUM(W620:W626)-SUM(S620:S626)-AA622</f>
        <v>0</v>
      </c>
      <c r="AB623" s="496">
        <f>IF(AA625&gt;0,AA623/AA625,0)</f>
        <v>0</v>
      </c>
    </row>
    <row r="624" spans="1:28" ht="15.75" customHeight="1" x14ac:dyDescent="0.3">
      <c r="A624" s="2301"/>
      <c r="B624" s="399" t="str">
        <f>$B$8</f>
        <v>Materia Prima (Carb Ca, etc.)</v>
      </c>
      <c r="C624" s="440">
        <f>C617</f>
        <v>0</v>
      </c>
      <c r="D624" s="387">
        <f>C624*12/52</f>
        <v>0</v>
      </c>
      <c r="E624" s="383">
        <f>IFERROR(D624/SUM(PROD!L621:L627),0)</f>
        <v>0</v>
      </c>
      <c r="F624" s="384">
        <f>IFERROR(E624/SUM(E620:E626,J620:J626,O620:O625),0)</f>
        <v>0</v>
      </c>
      <c r="G624" s="441" t="str">
        <f>$G$15</f>
        <v>Gastos Legales</v>
      </c>
      <c r="H624" s="401">
        <f t="shared" si="121"/>
        <v>0</v>
      </c>
      <c r="I624" s="390">
        <f t="shared" si="119"/>
        <v>0</v>
      </c>
      <c r="J624" s="383">
        <f>IFERROR(I624/SUM(PROD!L621:L627),0)</f>
        <v>0</v>
      </c>
      <c r="K624" s="384">
        <f>IFERROR(J624/SUM(E620:E626,J620:J626,O620:O625),0)</f>
        <v>0</v>
      </c>
      <c r="L624" s="439" t="str">
        <f>$L$8</f>
        <v>Fletes</v>
      </c>
      <c r="M624" s="401">
        <f t="shared" si="128"/>
        <v>0</v>
      </c>
      <c r="N624" s="404">
        <f>M624*0.230769230769231</f>
        <v>0</v>
      </c>
      <c r="O624" s="383">
        <f>IFERROR(N624/SUM(PROD!L621:L627),0)</f>
        <v>0</v>
      </c>
      <c r="P624" s="384">
        <f>IFERROR(O624/SUM(E620:E626,J620:J626,O620:O625),0)</f>
        <v>0</v>
      </c>
      <c r="Q624" s="391" t="str">
        <f>$Q$8</f>
        <v>B</v>
      </c>
      <c r="R624" s="392">
        <f t="shared" si="122"/>
        <v>0</v>
      </c>
      <c r="S624" s="870">
        <f>SUM(PROD!AQ621:AQ627)</f>
        <v>0</v>
      </c>
      <c r="T624" s="393">
        <f>IF(AA620&gt;0,S624/AA620,0)</f>
        <v>0</v>
      </c>
      <c r="U624" s="395" t="str">
        <f>$U$8</f>
        <v>Rev. Gr.</v>
      </c>
      <c r="V624" s="412">
        <f t="shared" si="123"/>
        <v>0</v>
      </c>
      <c r="W624" s="873">
        <f>SUM(PROD!AT621:AT627)</f>
        <v>0</v>
      </c>
      <c r="X624" s="413">
        <f>IFERROR(W624/(AA625-AA623),0)</f>
        <v>0</v>
      </c>
      <c r="Y624" s="414" t="s">
        <v>262</v>
      </c>
      <c r="Z624" s="415">
        <f>IFERROR(SUMPRODUCT(V624:V626,W624:W626)/SUM(W624:W626),0)</f>
        <v>0</v>
      </c>
      <c r="AA624" s="416">
        <f>SUM(W624:W626)</f>
        <v>0</v>
      </c>
      <c r="AB624" s="497">
        <f>IF(AA625&gt;0,AA624/AA625,0)</f>
        <v>0</v>
      </c>
    </row>
    <row r="625" spans="1:28" ht="15.75" customHeight="1" x14ac:dyDescent="0.3">
      <c r="A625" s="2301"/>
      <c r="B625" s="438" t="str">
        <f>$B$9</f>
        <v>Vacunas y medicamentos</v>
      </c>
      <c r="C625" s="443">
        <f>C618</f>
        <v>0</v>
      </c>
      <c r="D625" s="387">
        <f>C625*12/52</f>
        <v>0</v>
      </c>
      <c r="E625" s="383">
        <f>IFERROR(D625/SUM(PROD!L621:L627),0)</f>
        <v>0</v>
      </c>
      <c r="F625" s="384">
        <f>IFERROR(E625/SUM(E620:E626,J620:J626,O620:O625),0)</f>
        <v>0</v>
      </c>
      <c r="G625" s="441" t="str">
        <f>$G$16</f>
        <v>Mantenimiento y Reparaciones</v>
      </c>
      <c r="H625" s="401">
        <f t="shared" si="121"/>
        <v>0</v>
      </c>
      <c r="I625" s="390">
        <f t="shared" si="119"/>
        <v>0</v>
      </c>
      <c r="J625" s="383">
        <f>IFERROR(I625/SUM(PROD!L621:L627),0)</f>
        <v>0</v>
      </c>
      <c r="K625" s="384">
        <f>IFERROR(J625/SUM(E620:E626,J620:J626,O620:O625),0)</f>
        <v>0</v>
      </c>
      <c r="L625" s="439">
        <f>$L$9</f>
        <v>0</v>
      </c>
      <c r="M625" s="401">
        <f t="shared" si="128"/>
        <v>0</v>
      </c>
      <c r="N625" s="404">
        <f>M625*0.230769230769231</f>
        <v>0</v>
      </c>
      <c r="O625" s="383">
        <f>IFERROR(N625/SUM(PROD!L621:L627),0)</f>
        <v>0</v>
      </c>
      <c r="P625" s="384">
        <f>IFERROR(O625/SUM(E620:E626,J620:J626,O620:O625),0)</f>
        <v>0</v>
      </c>
      <c r="Q625" s="391" t="str">
        <f>$Q$9</f>
        <v>C</v>
      </c>
      <c r="R625" s="392">
        <f t="shared" si="122"/>
        <v>0</v>
      </c>
      <c r="S625" s="870">
        <f>SUM(PROD!AR621:AR627)</f>
        <v>0</v>
      </c>
      <c r="T625" s="393">
        <f>IF(AA620&gt;0,S625/AA620,0)</f>
        <v>0</v>
      </c>
      <c r="U625" s="394" t="str">
        <f>$U$9</f>
        <v>Rev. Med</v>
      </c>
      <c r="V625" s="392">
        <f t="shared" si="123"/>
        <v>0</v>
      </c>
      <c r="W625" s="870">
        <f>SUM(PROD!AU621:AU627)</f>
        <v>0</v>
      </c>
      <c r="X625" s="418">
        <f>IFERROR(W625/(AA625-AA623),0)</f>
        <v>0</v>
      </c>
      <c r="Y625" s="2303" t="s">
        <v>325</v>
      </c>
      <c r="Z625" s="2305">
        <f>SUMPRODUCT(Z620:Z624,AB620:AB624)</f>
        <v>0</v>
      </c>
      <c r="AA625" s="2307">
        <f>SUM(AA620:AA623)</f>
        <v>0</v>
      </c>
      <c r="AB625" s="2308"/>
    </row>
    <row r="626" spans="1:28" ht="16.5" customHeight="1" thickBot="1" x14ac:dyDescent="0.35">
      <c r="A626" s="2302"/>
      <c r="B626" s="444" t="str">
        <f>$B$10</f>
        <v>Gastos de Personal</v>
      </c>
      <c r="C626" s="445">
        <f>C619</f>
        <v>0</v>
      </c>
      <c r="D626" s="421">
        <f>C626*12/52</f>
        <v>0</v>
      </c>
      <c r="E626" s="446">
        <f>IFERROR(D626/SUM(PROD!L621:L627),0)</f>
        <v>0</v>
      </c>
      <c r="F626" s="447">
        <f>IFERROR(E626/SUM(E620:E626,J620:J626,O620:O625),0)</f>
        <v>0</v>
      </c>
      <c r="G626" s="448" t="str">
        <f>$G$17</f>
        <v>Adecuación Instalaciones</v>
      </c>
      <c r="H626" s="445">
        <f t="shared" si="121"/>
        <v>0</v>
      </c>
      <c r="I626" s="426">
        <f t="shared" si="119"/>
        <v>0</v>
      </c>
      <c r="J626" s="446">
        <f>IFERROR(I626/SUM(PROD!L621:L627),0)</f>
        <v>0</v>
      </c>
      <c r="K626" s="447">
        <f>IFERROR(J626/SUM(E620:E626,J620:J626,O620:O625),0)</f>
        <v>0</v>
      </c>
      <c r="L626" s="2311" t="str">
        <f>$L$10</f>
        <v>TOTAL COSTO PRODUCCIÓN</v>
      </c>
      <c r="M626" s="2312"/>
      <c r="N626" s="427">
        <f>SUM(D620:D626,I620:I626,N620:N625)</f>
        <v>230769.23076923078</v>
      </c>
      <c r="O626" s="449">
        <f>IFERROR(N626/SUM(PROD!L621:L627),0)</f>
        <v>0</v>
      </c>
      <c r="P626" s="447">
        <f>IFERROR(O626/SUM(E620:E626,J620:J626,O620:O625),0)</f>
        <v>0</v>
      </c>
      <c r="Q626" s="450" t="str">
        <f>$Q$10</f>
        <v>D</v>
      </c>
      <c r="R626" s="430">
        <f t="shared" si="122"/>
        <v>0</v>
      </c>
      <c r="S626" s="871">
        <f>SUM(PROD!AS621:AS627)</f>
        <v>0</v>
      </c>
      <c r="T626" s="451">
        <f>IF(AA620&gt;0,S626/AA620,0)</f>
        <v>0</v>
      </c>
      <c r="U626" s="452" t="str">
        <f>$U$10</f>
        <v>Rev. Peq</v>
      </c>
      <c r="V626" s="430">
        <f t="shared" si="123"/>
        <v>0</v>
      </c>
      <c r="W626" s="874">
        <f>SUM(PROD!AV621:AV627)</f>
        <v>0</v>
      </c>
      <c r="X626" s="451">
        <f>IFERROR(W626/(AA625-AA623),0)</f>
        <v>0</v>
      </c>
      <c r="Y626" s="2304"/>
      <c r="Z626" s="2306"/>
      <c r="AA626" s="2309"/>
      <c r="AB626" s="2310"/>
    </row>
    <row r="627" spans="1:28" ht="16.5" customHeight="1" x14ac:dyDescent="0.3">
      <c r="A627" s="2300">
        <f>A620+1</f>
        <v>107</v>
      </c>
      <c r="B627" s="433" t="str">
        <f>$B$4</f>
        <v>ALIMENTO Kilos</v>
      </c>
      <c r="C627" s="435">
        <f>LOOKUP($A627,PROD!$A$5:$A$725,PROD!$AH$10:$AH$730)</f>
        <v>0</v>
      </c>
      <c r="D627" s="368">
        <f>C627*LOOKUP($A627,'Pr-Sem'!$A$6:$A$108,'Pr-Sem'!$N$6:$N$108)/(PROD!$A$1/1000)</f>
        <v>0</v>
      </c>
      <c r="E627" s="369">
        <f>IFERROR(D627/SUM(PROD!L628:L634),0)</f>
        <v>0</v>
      </c>
      <c r="F627" s="370">
        <f>IFERROR(E627/SUM(E627:E633,J627:J633,O627:O632),0)</f>
        <v>0</v>
      </c>
      <c r="G627" s="434" t="str">
        <f>$G$11</f>
        <v>Honorarios</v>
      </c>
      <c r="H627" s="435">
        <f t="shared" si="121"/>
        <v>0</v>
      </c>
      <c r="I627" s="372">
        <f t="shared" si="119"/>
        <v>0</v>
      </c>
      <c r="J627" s="369">
        <f>IFERROR(I627/SUM(PROD!L628:L634),0)</f>
        <v>0</v>
      </c>
      <c r="K627" s="370">
        <f>IFERROR(J627/SUM(E627:E633,J627:J633,O627:O632),0)</f>
        <v>0</v>
      </c>
      <c r="L627" s="436" t="str">
        <f>$L$4</f>
        <v>Gastos de Viaje</v>
      </c>
      <c r="M627" s="435">
        <f t="shared" ref="M627:M632" si="129">M620</f>
        <v>0</v>
      </c>
      <c r="N627" s="372">
        <f>M627*12/52</f>
        <v>0</v>
      </c>
      <c r="O627" s="369">
        <f>IFERROR(N627/SUM(PROD!L628:L634),0)</f>
        <v>0</v>
      </c>
      <c r="P627" s="370">
        <f>IFERROR(O627/SUM(E627:E633,J627:J633,O627:O632),0)</f>
        <v>0</v>
      </c>
      <c r="Q627" s="373" t="str">
        <f>$Q$4</f>
        <v>AAAA</v>
      </c>
      <c r="R627" s="374">
        <f t="shared" si="122"/>
        <v>0</v>
      </c>
      <c r="S627" s="869">
        <f>SUM(PROD!AM628:AM634)</f>
        <v>0</v>
      </c>
      <c r="T627" s="375">
        <f>IF(AA627&gt;0,S627/AA627,0)</f>
        <v>0</v>
      </c>
      <c r="U627" s="376" t="str">
        <f>$U$4</f>
        <v>Prob Color</v>
      </c>
      <c r="V627" s="374">
        <f t="shared" si="123"/>
        <v>0</v>
      </c>
      <c r="W627" s="869">
        <f>SUM(PROD!AW628:AW634)</f>
        <v>0</v>
      </c>
      <c r="X627" s="375">
        <f>IFERROR(W627/(AA632-AA630),0)</f>
        <v>0</v>
      </c>
      <c r="Y627" s="377" t="s">
        <v>323</v>
      </c>
      <c r="Z627" s="378">
        <f>SUMPRODUCT(R627:R633,T627:T633)</f>
        <v>0</v>
      </c>
      <c r="AA627" s="379">
        <f>SUM(S627:S633)</f>
        <v>0</v>
      </c>
      <c r="AB627" s="490">
        <f>IF(AA632&gt;0,AA627/AA632,0)</f>
        <v>0</v>
      </c>
    </row>
    <row r="628" spans="1:28" ht="15.75" customHeight="1" x14ac:dyDescent="0.3">
      <c r="A628" s="2301"/>
      <c r="B628" s="438" t="str">
        <f>$B$5</f>
        <v>Amortización de Aves</v>
      </c>
      <c r="C628" s="381">
        <f>IFERROR((C621-(D628/'Pr-Sem'!$O$2)),0)</f>
        <v>0</v>
      </c>
      <c r="D628" s="382">
        <f>SUM(PROD!L628:L634)*E628</f>
        <v>0</v>
      </c>
      <c r="E628" s="383">
        <f>IF(SUM(PROD!L628:L634)&gt;0,IFERROR(($C$1-$C$2)/LOOKUP($B$2,'Pr-Sem'!$A$6:$A$108,'Pr-Sem'!$L$6:$L$108)*(LOOKUP(INVENTARIOS!$A627,'Pr-Sem'!$A$6:$A$108,'Pr-Sem'!$L$6:$L$108)-LOOKUP(INVENTARIOS!$A627-1,'Pr-Sem'!$A$6:$A$108,'Pr-Sem'!$L$6:$L$108))/(LOOKUP(INVENTARIOS!$A627,'Pr-Sem'!$A$6:$A$108,'Pr-Sem'!$K$6:$K$108)-LOOKUP(INVENTARIOS!$A627-1,'Pr-Sem'!$A$6:$A$108,'Pr-Sem'!$K$6:$K$108)),0),0)</f>
        <v>0</v>
      </c>
      <c r="F628" s="384">
        <f>IFERROR(E628/SUM(E627:E633,J627:J633,O627:O632),0)</f>
        <v>0</v>
      </c>
      <c r="G628" s="439" t="str">
        <f>$G$12</f>
        <v>Impuestos</v>
      </c>
      <c r="H628" s="440">
        <f t="shared" si="121"/>
        <v>0</v>
      </c>
      <c r="I628" s="387">
        <f t="shared" si="119"/>
        <v>0</v>
      </c>
      <c r="J628" s="383">
        <f>IFERROR(I628/SUM(PROD!L628:L634),0)</f>
        <v>0</v>
      </c>
      <c r="K628" s="384">
        <f>IFERROR(J628/SUM(E627:E633,J627:J633,O627:O632),0)</f>
        <v>0</v>
      </c>
      <c r="L628" s="439" t="str">
        <f>$L$5</f>
        <v>Depreciaciones</v>
      </c>
      <c r="M628" s="401">
        <f t="shared" si="129"/>
        <v>0</v>
      </c>
      <c r="N628" s="390">
        <f>M628*12/52</f>
        <v>0</v>
      </c>
      <c r="O628" s="383">
        <f>IFERROR(N628/SUM(PROD!L628:L634),0)</f>
        <v>0</v>
      </c>
      <c r="P628" s="384">
        <f>IFERROR(O628/SUM(E627:E633,J627:J633,O627:O632),0)</f>
        <v>0</v>
      </c>
      <c r="Q628" s="391" t="str">
        <f>$Q$5</f>
        <v>AAA</v>
      </c>
      <c r="R628" s="392">
        <f t="shared" si="122"/>
        <v>0</v>
      </c>
      <c r="S628" s="870">
        <f>SUM(PROD!AN628:AN634)</f>
        <v>0</v>
      </c>
      <c r="T628" s="393">
        <f>IF(AA627&gt;0,S628/AA627,0)</f>
        <v>0</v>
      </c>
      <c r="U628" s="394" t="str">
        <f>$U$5</f>
        <v>Prob Cásc</v>
      </c>
      <c r="V628" s="392">
        <f t="shared" si="123"/>
        <v>0</v>
      </c>
      <c r="W628" s="870">
        <f>SUM(PROD!AX628:AX634)</f>
        <v>0</v>
      </c>
      <c r="X628" s="393">
        <f>IFERROR(W628/(AA632-AA630),0)</f>
        <v>0</v>
      </c>
      <c r="Y628" s="395" t="s">
        <v>324</v>
      </c>
      <c r="Z628" s="396">
        <f>IFERROR(SUMPRODUCT(V627:V630,W627:W630)/SUM(W627:W630),0)</f>
        <v>0</v>
      </c>
      <c r="AA628" s="397">
        <f>SUM(W627:W630)</f>
        <v>0</v>
      </c>
      <c r="AB628" s="494">
        <f>IF(AA632&gt;0,AA628/AA632,0)</f>
        <v>0</v>
      </c>
    </row>
    <row r="629" spans="1:28" ht="15.75" customHeight="1" x14ac:dyDescent="0.3">
      <c r="A629" s="2301"/>
      <c r="B629" s="399" t="str">
        <f>$B$6</f>
        <v>Bandeja</v>
      </c>
      <c r="C629" s="400">
        <f>C622</f>
        <v>0</v>
      </c>
      <c r="D629" s="387">
        <f>C629*SUM(INVENTARIOS!R627:R633)</f>
        <v>0</v>
      </c>
      <c r="E629" s="383">
        <f>IFERROR(D629/SUM(PROD!L628:L634),0)</f>
        <v>0</v>
      </c>
      <c r="F629" s="384">
        <f>IFERROR(E629/SUM(E627:E633,J627:J633,O627:O632),0)</f>
        <v>0</v>
      </c>
      <c r="G629" s="439" t="str">
        <f>$G$13</f>
        <v>Arrendamientos</v>
      </c>
      <c r="H629" s="401">
        <f t="shared" si="121"/>
        <v>0</v>
      </c>
      <c r="I629" s="390">
        <f t="shared" si="119"/>
        <v>0</v>
      </c>
      <c r="J629" s="383">
        <f>IFERROR(I629/SUM(PROD!L628:L634),0)</f>
        <v>0</v>
      </c>
      <c r="K629" s="384">
        <f>IFERROR(J629/SUM(E627:E633,J627:J633,O627:O632),0)</f>
        <v>0</v>
      </c>
      <c r="L629" s="439" t="str">
        <f>$L$6</f>
        <v>Diversos</v>
      </c>
      <c r="M629" s="401">
        <f t="shared" si="129"/>
        <v>1000000</v>
      </c>
      <c r="N629" s="390">
        <f>M629*12/52</f>
        <v>230769.23076923078</v>
      </c>
      <c r="O629" s="383">
        <f>IFERROR(N629/SUM(PROD!L628:L634),0)</f>
        <v>0</v>
      </c>
      <c r="P629" s="384">
        <f>IFERROR(O629/SUM(E627:E633,J627:J633,O627:O632),0)</f>
        <v>0</v>
      </c>
      <c r="Q629" s="391" t="str">
        <f>$Q$6</f>
        <v>AA</v>
      </c>
      <c r="R629" s="392">
        <f t="shared" si="122"/>
        <v>0</v>
      </c>
      <c r="S629" s="870">
        <f>SUM(PROD!AO628:AO634)</f>
        <v>0</v>
      </c>
      <c r="T629" s="393">
        <f>IF(AA627&gt;0,S629/AA627,0)</f>
        <v>0</v>
      </c>
      <c r="U629" s="394" t="str">
        <f>$U$6</f>
        <v>Vencido</v>
      </c>
      <c r="V629" s="392">
        <f t="shared" si="123"/>
        <v>0</v>
      </c>
      <c r="W629" s="870">
        <f>SUM(PROD!AY628:AY634)</f>
        <v>0</v>
      </c>
      <c r="X629" s="393">
        <f>IFERROR(W629/(AA632-AA630),0)</f>
        <v>0</v>
      </c>
      <c r="Y629" s="402" t="s">
        <v>391</v>
      </c>
      <c r="Z629" s="456">
        <v>0</v>
      </c>
      <c r="AA629" s="720"/>
      <c r="AB629" s="495">
        <f>IF(AA632&gt;0,AA629/AA632,0)</f>
        <v>0</v>
      </c>
    </row>
    <row r="630" spans="1:28" ht="15.75" customHeight="1" x14ac:dyDescent="0.3">
      <c r="A630" s="2301"/>
      <c r="B630" s="438" t="str">
        <f>$B$7</f>
        <v>Mortalidad Aves</v>
      </c>
      <c r="C630" s="401">
        <f>IF(A627&lt;=$B$2,C628+$C$2,0)</f>
        <v>0</v>
      </c>
      <c r="D630" s="390">
        <f>C630*SUM(PROD!D628:D634)</f>
        <v>0</v>
      </c>
      <c r="E630" s="383">
        <f>IFERROR(D630/SUM(PROD!L628:L634),0)</f>
        <v>0</v>
      </c>
      <c r="F630" s="384">
        <f>IFERROR(E630/SUM(E627:E633,J627:J633,O627:O632),0)</f>
        <v>0</v>
      </c>
      <c r="G630" s="439" t="str">
        <f>$G$14</f>
        <v>Servicios Públicos</v>
      </c>
      <c r="H630" s="401">
        <f t="shared" si="121"/>
        <v>0</v>
      </c>
      <c r="I630" s="390">
        <f t="shared" si="119"/>
        <v>0</v>
      </c>
      <c r="J630" s="383">
        <f>IFERROR(I630/SUM(PROD!L628:L634),0)</f>
        <v>0</v>
      </c>
      <c r="K630" s="384">
        <f>IFERROR(J630/SUM(E627:E633,J627:J633,O627:O632),0)</f>
        <v>0</v>
      </c>
      <c r="L630" s="441" t="str">
        <f>$L$7</f>
        <v>Administrativos</v>
      </c>
      <c r="M630" s="401">
        <f t="shared" si="129"/>
        <v>0</v>
      </c>
      <c r="N630" s="404">
        <f>M630*0.230769230769231</f>
        <v>0</v>
      </c>
      <c r="O630" s="383">
        <f>IFERROR(N630/SUM(PROD!L628:L634),0)</f>
        <v>0</v>
      </c>
      <c r="P630" s="384">
        <f>IFERROR(O630/SUM(E627:E633,J627:J633,O627:O632),0)</f>
        <v>0</v>
      </c>
      <c r="Q630" s="391" t="str">
        <f>$Q$7</f>
        <v>A</v>
      </c>
      <c r="R630" s="392">
        <f t="shared" si="122"/>
        <v>0</v>
      </c>
      <c r="S630" s="870">
        <f>SUM(PROD!AP628:AP634)</f>
        <v>0</v>
      </c>
      <c r="T630" s="393">
        <f>IF(AA627&gt;0,S630/AA627,0)</f>
        <v>0</v>
      </c>
      <c r="U630" s="405" t="str">
        <f>$U$7</f>
        <v>Roto</v>
      </c>
      <c r="V630" s="406">
        <f t="shared" si="123"/>
        <v>0</v>
      </c>
      <c r="W630" s="872">
        <f>SUM(PROD!AZ628:AZ634)</f>
        <v>0</v>
      </c>
      <c r="X630" s="407">
        <f>IFERROR(W630/(AA632-AA630),0)</f>
        <v>0</v>
      </c>
      <c r="Y630" s="408" t="s">
        <v>359</v>
      </c>
      <c r="Z630" s="442">
        <v>215</v>
      </c>
      <c r="AA630" s="410">
        <f>SUM(PROD!L628:L634)-SUM(W627:W633)-SUM(S627:S633)-AA629</f>
        <v>0</v>
      </c>
      <c r="AB630" s="496">
        <f>IF(AA632&gt;0,AA630/AA632,0)</f>
        <v>0</v>
      </c>
    </row>
    <row r="631" spans="1:28" ht="15.75" customHeight="1" x14ac:dyDescent="0.3">
      <c r="A631" s="2301"/>
      <c r="B631" s="399" t="str">
        <f>$B$8</f>
        <v>Materia Prima (Carb Ca, etc.)</v>
      </c>
      <c r="C631" s="440">
        <f>C624</f>
        <v>0</v>
      </c>
      <c r="D631" s="387">
        <f>C631*12/52</f>
        <v>0</v>
      </c>
      <c r="E631" s="383">
        <f>IFERROR(D631/SUM(PROD!L628:L634),0)</f>
        <v>0</v>
      </c>
      <c r="F631" s="384">
        <f>IFERROR(E631/SUM(E627:E633,J627:J633,O627:O632),0)</f>
        <v>0</v>
      </c>
      <c r="G631" s="441" t="str">
        <f>$G$15</f>
        <v>Gastos Legales</v>
      </c>
      <c r="H631" s="401">
        <f t="shared" si="121"/>
        <v>0</v>
      </c>
      <c r="I631" s="390">
        <f t="shared" si="119"/>
        <v>0</v>
      </c>
      <c r="J631" s="383">
        <f>IFERROR(I631/SUM(PROD!L628:L634),0)</f>
        <v>0</v>
      </c>
      <c r="K631" s="384">
        <f>IFERROR(J631/SUM(E627:E633,J627:J633,O627:O632),0)</f>
        <v>0</v>
      </c>
      <c r="L631" s="439" t="str">
        <f>$L$8</f>
        <v>Fletes</v>
      </c>
      <c r="M631" s="401">
        <f t="shared" si="129"/>
        <v>0</v>
      </c>
      <c r="N631" s="404">
        <f>M631*0.230769230769231</f>
        <v>0</v>
      </c>
      <c r="O631" s="383">
        <f>IFERROR(N631/SUM(PROD!L628:L634),0)</f>
        <v>0</v>
      </c>
      <c r="P631" s="384">
        <f>IFERROR(O631/SUM(E627:E633,J627:J633,O627:O632),0)</f>
        <v>0</v>
      </c>
      <c r="Q631" s="391" t="str">
        <f>$Q$8</f>
        <v>B</v>
      </c>
      <c r="R631" s="392">
        <f t="shared" si="122"/>
        <v>0</v>
      </c>
      <c r="S631" s="870">
        <f>SUM(PROD!AQ628:AQ634)</f>
        <v>0</v>
      </c>
      <c r="T631" s="393">
        <f>IF(AA627&gt;0,S631/AA627,0)</f>
        <v>0</v>
      </c>
      <c r="U631" s="395" t="str">
        <f>$U$8</f>
        <v>Rev. Gr.</v>
      </c>
      <c r="V631" s="412">
        <f t="shared" si="123"/>
        <v>0</v>
      </c>
      <c r="W631" s="873">
        <f>SUM(PROD!AT628:AT634)</f>
        <v>0</v>
      </c>
      <c r="X631" s="413">
        <f>IFERROR(W631/(AA632-AA630),0)</f>
        <v>0</v>
      </c>
      <c r="Y631" s="414" t="s">
        <v>262</v>
      </c>
      <c r="Z631" s="415">
        <f>IFERROR(SUMPRODUCT(V631:V633,W631:W633)/SUM(W631:W633),0)</f>
        <v>0</v>
      </c>
      <c r="AA631" s="416">
        <f>SUM(W631:W633)</f>
        <v>0</v>
      </c>
      <c r="AB631" s="497">
        <f>IF(AA632&gt;0,AA631/AA632,0)</f>
        <v>0</v>
      </c>
    </row>
    <row r="632" spans="1:28" ht="15.75" customHeight="1" x14ac:dyDescent="0.3">
      <c r="A632" s="2301"/>
      <c r="B632" s="438" t="str">
        <f>$B$9</f>
        <v>Vacunas y medicamentos</v>
      </c>
      <c r="C632" s="443">
        <f>C625</f>
        <v>0</v>
      </c>
      <c r="D632" s="387">
        <f>C632*12/52</f>
        <v>0</v>
      </c>
      <c r="E632" s="383">
        <f>IFERROR(D632/SUM(PROD!L628:L634),0)</f>
        <v>0</v>
      </c>
      <c r="F632" s="384">
        <f>IFERROR(E632/SUM(E627:E633,J627:J633,O627:O632),0)</f>
        <v>0</v>
      </c>
      <c r="G632" s="441" t="str">
        <f>$G$16</f>
        <v>Mantenimiento y Reparaciones</v>
      </c>
      <c r="H632" s="401">
        <f t="shared" si="121"/>
        <v>0</v>
      </c>
      <c r="I632" s="390">
        <f t="shared" si="119"/>
        <v>0</v>
      </c>
      <c r="J632" s="383">
        <f>IFERROR(I632/SUM(PROD!L628:L634),0)</f>
        <v>0</v>
      </c>
      <c r="K632" s="384">
        <f>IFERROR(J632/SUM(E627:E633,J627:J633,O627:O632),0)</f>
        <v>0</v>
      </c>
      <c r="L632" s="439">
        <f>$L$9</f>
        <v>0</v>
      </c>
      <c r="M632" s="401">
        <f t="shared" si="129"/>
        <v>0</v>
      </c>
      <c r="N632" s="404">
        <f>M632*0.230769230769231</f>
        <v>0</v>
      </c>
      <c r="O632" s="383">
        <f>IFERROR(N632/SUM(PROD!L628:L634),0)</f>
        <v>0</v>
      </c>
      <c r="P632" s="384">
        <f>IFERROR(O632/SUM(E627:E633,J627:J633,O627:O632),0)</f>
        <v>0</v>
      </c>
      <c r="Q632" s="391" t="str">
        <f>$Q$9</f>
        <v>C</v>
      </c>
      <c r="R632" s="392">
        <f t="shared" si="122"/>
        <v>0</v>
      </c>
      <c r="S632" s="870">
        <f>SUM(PROD!AR628:AR634)</f>
        <v>0</v>
      </c>
      <c r="T632" s="393">
        <f>IF(AA627&gt;0,S632/AA627,0)</f>
        <v>0</v>
      </c>
      <c r="U632" s="394" t="str">
        <f>$U$9</f>
        <v>Rev. Med</v>
      </c>
      <c r="V632" s="392">
        <f t="shared" si="123"/>
        <v>0</v>
      </c>
      <c r="W632" s="870">
        <f>SUM(PROD!AU628:AU634)</f>
        <v>0</v>
      </c>
      <c r="X632" s="418">
        <f>IFERROR(W632/(AA632-AA630),0)</f>
        <v>0</v>
      </c>
      <c r="Y632" s="2303" t="s">
        <v>325</v>
      </c>
      <c r="Z632" s="2305">
        <f>SUMPRODUCT(Z627:Z631,AB627:AB631)</f>
        <v>0</v>
      </c>
      <c r="AA632" s="2307">
        <f>SUM(AA627:AA630)</f>
        <v>0</v>
      </c>
      <c r="AB632" s="2308"/>
    </row>
    <row r="633" spans="1:28" ht="16.5" customHeight="1" thickBot="1" x14ac:dyDescent="0.35">
      <c r="A633" s="2302"/>
      <c r="B633" s="444" t="str">
        <f>$B$10</f>
        <v>Gastos de Personal</v>
      </c>
      <c r="C633" s="445">
        <f>C626</f>
        <v>0</v>
      </c>
      <c r="D633" s="421">
        <f>C633*12/52</f>
        <v>0</v>
      </c>
      <c r="E633" s="446">
        <f>IFERROR(D633/SUM(PROD!L628:L634),0)</f>
        <v>0</v>
      </c>
      <c r="F633" s="447">
        <f>IFERROR(E633/SUM(E627:E633,J627:J633,O627:O632),0)</f>
        <v>0</v>
      </c>
      <c r="G633" s="448" t="str">
        <f>$G$17</f>
        <v>Adecuación Instalaciones</v>
      </c>
      <c r="H633" s="445">
        <f t="shared" si="121"/>
        <v>0</v>
      </c>
      <c r="I633" s="426">
        <f t="shared" si="119"/>
        <v>0</v>
      </c>
      <c r="J633" s="446">
        <f>IFERROR(I633/SUM(PROD!L628:L634),0)</f>
        <v>0</v>
      </c>
      <c r="K633" s="447">
        <f>IFERROR(J633/SUM(E627:E633,J627:J633,O627:O632),0)</f>
        <v>0</v>
      </c>
      <c r="L633" s="2311" t="str">
        <f>$L$10</f>
        <v>TOTAL COSTO PRODUCCIÓN</v>
      </c>
      <c r="M633" s="2312"/>
      <c r="N633" s="427">
        <f>SUM(D627:D633,I627:I633,N627:N632)</f>
        <v>230769.23076923078</v>
      </c>
      <c r="O633" s="449">
        <f>IFERROR(N633/SUM(PROD!L628:L634),0)</f>
        <v>0</v>
      </c>
      <c r="P633" s="447">
        <f>IFERROR(O633/SUM(E627:E633,J627:J633,O627:O632),0)</f>
        <v>0</v>
      </c>
      <c r="Q633" s="450" t="str">
        <f>$Q$10</f>
        <v>D</v>
      </c>
      <c r="R633" s="430">
        <f t="shared" si="122"/>
        <v>0</v>
      </c>
      <c r="S633" s="871">
        <f>SUM(PROD!AS628:AS634)</f>
        <v>0</v>
      </c>
      <c r="T633" s="451">
        <f>IF(AA627&gt;0,S633/AA627,0)</f>
        <v>0</v>
      </c>
      <c r="U633" s="452" t="str">
        <f>$U$10</f>
        <v>Rev. Peq</v>
      </c>
      <c r="V633" s="430">
        <f t="shared" si="123"/>
        <v>0</v>
      </c>
      <c r="W633" s="874">
        <f>SUM(PROD!AV628:AV634)</f>
        <v>0</v>
      </c>
      <c r="X633" s="451">
        <f>IFERROR(W633/(AA632-AA630),0)</f>
        <v>0</v>
      </c>
      <c r="Y633" s="2304"/>
      <c r="Z633" s="2306"/>
      <c r="AA633" s="2309"/>
      <c r="AB633" s="2310"/>
    </row>
    <row r="634" spans="1:28" ht="16.5" customHeight="1" x14ac:dyDescent="0.3">
      <c r="A634" s="2300">
        <f>A627+1</f>
        <v>108</v>
      </c>
      <c r="B634" s="433" t="str">
        <f>$B$4</f>
        <v>ALIMENTO Kilos</v>
      </c>
      <c r="C634" s="435">
        <f>LOOKUP($A634,PROD!$A$5:$A$725,PROD!$AH$10:$AH$730)</f>
        <v>0</v>
      </c>
      <c r="D634" s="368">
        <f>C634*LOOKUP($A634,'Pr-Sem'!$A$6:$A$108,'Pr-Sem'!$N$6:$N$108)/(PROD!$A$1/1000)</f>
        <v>0</v>
      </c>
      <c r="E634" s="369">
        <f>IFERROR(D634/SUM(PROD!L635:L641),0)</f>
        <v>0</v>
      </c>
      <c r="F634" s="370">
        <f>IFERROR(E634/SUM(E634:E640,J634:J640,O634:O639),0)</f>
        <v>0</v>
      </c>
      <c r="G634" s="434" t="str">
        <f>$G$11</f>
        <v>Honorarios</v>
      </c>
      <c r="H634" s="435">
        <f t="shared" si="121"/>
        <v>0</v>
      </c>
      <c r="I634" s="372">
        <f t="shared" si="119"/>
        <v>0</v>
      </c>
      <c r="J634" s="369">
        <f>IFERROR(I634/SUM(PROD!L635:L641),0)</f>
        <v>0</v>
      </c>
      <c r="K634" s="370">
        <f>IFERROR(J634/SUM(E634:E640,J634:J640,O634:O639),0)</f>
        <v>0</v>
      </c>
      <c r="L634" s="436" t="str">
        <f>$L$4</f>
        <v>Gastos de Viaje</v>
      </c>
      <c r="M634" s="435">
        <f t="shared" ref="M634:M639" si="130">M627</f>
        <v>0</v>
      </c>
      <c r="N634" s="372">
        <f>M634*12/52</f>
        <v>0</v>
      </c>
      <c r="O634" s="369">
        <f>IFERROR(N634/SUM(PROD!L635:L641),0)</f>
        <v>0</v>
      </c>
      <c r="P634" s="370">
        <f>IFERROR(O634/SUM(E634:E640,J634:J640,O634:O639),0)</f>
        <v>0</v>
      </c>
      <c r="Q634" s="373" t="str">
        <f>$Q$4</f>
        <v>AAAA</v>
      </c>
      <c r="R634" s="374">
        <f t="shared" si="122"/>
        <v>0</v>
      </c>
      <c r="S634" s="869">
        <f>SUM(PROD!AM635:AM641)</f>
        <v>0</v>
      </c>
      <c r="T634" s="375">
        <f>IF(AA634&gt;0,S634/AA634,0)</f>
        <v>0</v>
      </c>
      <c r="U634" s="376" t="str">
        <f>$U$4</f>
        <v>Prob Color</v>
      </c>
      <c r="V634" s="374">
        <f t="shared" si="123"/>
        <v>0</v>
      </c>
      <c r="W634" s="869">
        <f>SUM(PROD!AW635:AW641)</f>
        <v>0</v>
      </c>
      <c r="X634" s="375">
        <f>IFERROR(W634/(AA639-AA637),0)</f>
        <v>0</v>
      </c>
      <c r="Y634" s="377" t="s">
        <v>323</v>
      </c>
      <c r="Z634" s="378">
        <f>SUMPRODUCT(R634:R640,T634:T640)</f>
        <v>0</v>
      </c>
      <c r="AA634" s="379">
        <f>SUM(S634:S640)</f>
        <v>0</v>
      </c>
      <c r="AB634" s="490">
        <f>IF(AA639&gt;0,AA634/AA639,0)</f>
        <v>0</v>
      </c>
    </row>
    <row r="635" spans="1:28" ht="15.75" customHeight="1" x14ac:dyDescent="0.3">
      <c r="A635" s="2301"/>
      <c r="B635" s="438" t="str">
        <f>$B$5</f>
        <v>Amortización de Aves</v>
      </c>
      <c r="C635" s="381">
        <f>IFERROR((C628-(D635/'Pr-Sem'!$O$2)),0)</f>
        <v>0</v>
      </c>
      <c r="D635" s="382">
        <f>SUM(PROD!L635:L641)*E635</f>
        <v>0</v>
      </c>
      <c r="E635" s="383">
        <f>IF(SUM(PROD!L635:L641)&gt;0,IFERROR(($C$1-$C$2)/LOOKUP($B$2,'Pr-Sem'!$A$6:$A$108,'Pr-Sem'!$L$6:$L$108)*(LOOKUP(INVENTARIOS!$A634,'Pr-Sem'!$A$6:$A$108,'Pr-Sem'!$L$6:$L$108)-LOOKUP(INVENTARIOS!$A634-1,'Pr-Sem'!$A$6:$A$108,'Pr-Sem'!$L$6:$L$108))/(LOOKUP(INVENTARIOS!$A634,'Pr-Sem'!$A$6:$A$108,'Pr-Sem'!$K$6:$K$108)-LOOKUP(INVENTARIOS!$A634-1,'Pr-Sem'!$A$6:$A$108,'Pr-Sem'!$K$6:$K$108)),0),0)</f>
        <v>0</v>
      </c>
      <c r="F635" s="384">
        <f>IFERROR(E635/SUM(E634:E640,J634:J640,O634:O639),0)</f>
        <v>0</v>
      </c>
      <c r="G635" s="439" t="str">
        <f>$G$12</f>
        <v>Impuestos</v>
      </c>
      <c r="H635" s="440">
        <f t="shared" si="121"/>
        <v>0</v>
      </c>
      <c r="I635" s="387">
        <f t="shared" si="119"/>
        <v>0</v>
      </c>
      <c r="J635" s="383">
        <f>IFERROR(I635/SUM(PROD!L635:L641),0)</f>
        <v>0</v>
      </c>
      <c r="K635" s="384">
        <f>IFERROR(J635/SUM(E634:E640,J634:J640,O634:O639),0)</f>
        <v>0</v>
      </c>
      <c r="L635" s="439" t="str">
        <f>$L$5</f>
        <v>Depreciaciones</v>
      </c>
      <c r="M635" s="401">
        <f t="shared" si="130"/>
        <v>0</v>
      </c>
      <c r="N635" s="390">
        <f>M635*12/52</f>
        <v>0</v>
      </c>
      <c r="O635" s="383">
        <f>IFERROR(N635/SUM(PROD!L635:L641),0)</f>
        <v>0</v>
      </c>
      <c r="P635" s="384">
        <f>IFERROR(O635/SUM(E634:E640,J634:J640,O634:O639),0)</f>
        <v>0</v>
      </c>
      <c r="Q635" s="391" t="str">
        <f>$Q$5</f>
        <v>AAA</v>
      </c>
      <c r="R635" s="392">
        <f t="shared" si="122"/>
        <v>0</v>
      </c>
      <c r="S635" s="870">
        <f>SUM(PROD!AN635:AN641)</f>
        <v>0</v>
      </c>
      <c r="T635" s="393">
        <f>IF(AA634&gt;0,S635/AA634,0)</f>
        <v>0</v>
      </c>
      <c r="U635" s="394" t="str">
        <f>$U$5</f>
        <v>Prob Cásc</v>
      </c>
      <c r="V635" s="392">
        <f t="shared" si="123"/>
        <v>0</v>
      </c>
      <c r="W635" s="870">
        <f>SUM(PROD!AX635:AX641)</f>
        <v>0</v>
      </c>
      <c r="X635" s="393">
        <f>IFERROR(W635/(AA639-AA637),0)</f>
        <v>0</v>
      </c>
      <c r="Y635" s="395" t="s">
        <v>324</v>
      </c>
      <c r="Z635" s="396">
        <f>IFERROR(SUMPRODUCT(V634:V637,W634:W637)/SUM(W634:W637),0)</f>
        <v>0</v>
      </c>
      <c r="AA635" s="397">
        <f>SUM(W634:W637)</f>
        <v>0</v>
      </c>
      <c r="AB635" s="494">
        <f>IF(AA639&gt;0,AA635/AA639,0)</f>
        <v>0</v>
      </c>
    </row>
    <row r="636" spans="1:28" ht="15.75" customHeight="1" x14ac:dyDescent="0.3">
      <c r="A636" s="2301"/>
      <c r="B636" s="399" t="str">
        <f>$B$6</f>
        <v>Bandeja</v>
      </c>
      <c r="C636" s="400">
        <f>C629</f>
        <v>0</v>
      </c>
      <c r="D636" s="387">
        <f>C636*SUM(INVENTARIOS!R634:R640)</f>
        <v>0</v>
      </c>
      <c r="E636" s="383">
        <f>IFERROR(D636/SUM(PROD!L635:L641),0)</f>
        <v>0</v>
      </c>
      <c r="F636" s="384">
        <f>IFERROR(E636/SUM(E634:E640,J634:J640,O634:O639),0)</f>
        <v>0</v>
      </c>
      <c r="G636" s="439" t="str">
        <f>$G$13</f>
        <v>Arrendamientos</v>
      </c>
      <c r="H636" s="401">
        <f t="shared" si="121"/>
        <v>0</v>
      </c>
      <c r="I636" s="390">
        <f t="shared" si="119"/>
        <v>0</v>
      </c>
      <c r="J636" s="383">
        <f>IFERROR(I636/SUM(PROD!L635:L641),0)</f>
        <v>0</v>
      </c>
      <c r="K636" s="384">
        <f>IFERROR(J636/SUM(E634:E640,J634:J640,O634:O639),0)</f>
        <v>0</v>
      </c>
      <c r="L636" s="439" t="str">
        <f>$L$6</f>
        <v>Diversos</v>
      </c>
      <c r="M636" s="401">
        <f t="shared" si="130"/>
        <v>1000000</v>
      </c>
      <c r="N636" s="390">
        <f>M636*12/52</f>
        <v>230769.23076923078</v>
      </c>
      <c r="O636" s="383">
        <f>IFERROR(N636/SUM(PROD!L635:L641),0)</f>
        <v>0</v>
      </c>
      <c r="P636" s="384">
        <f>IFERROR(O636/SUM(E634:E640,J634:J640,O634:O639),0)</f>
        <v>0</v>
      </c>
      <c r="Q636" s="391" t="str">
        <f>$Q$6</f>
        <v>AA</v>
      </c>
      <c r="R636" s="392">
        <f t="shared" si="122"/>
        <v>0</v>
      </c>
      <c r="S636" s="870">
        <f>SUM(PROD!AO635:AO641)</f>
        <v>0</v>
      </c>
      <c r="T636" s="393">
        <f>IF(AA634&gt;0,S636/AA634,0)</f>
        <v>0</v>
      </c>
      <c r="U636" s="394" t="str">
        <f>$U$6</f>
        <v>Vencido</v>
      </c>
      <c r="V636" s="392">
        <f t="shared" si="123"/>
        <v>0</v>
      </c>
      <c r="W636" s="870">
        <f>SUM(PROD!AY635:AY641)</f>
        <v>0</v>
      </c>
      <c r="X636" s="393">
        <f>IFERROR(W636/(AA639-AA637),0)</f>
        <v>0</v>
      </c>
      <c r="Y636" s="402" t="s">
        <v>391</v>
      </c>
      <c r="Z636" s="456">
        <v>0</v>
      </c>
      <c r="AA636" s="720"/>
      <c r="AB636" s="495">
        <f>IF(AA639&gt;0,AA636/AA639,0)</f>
        <v>0</v>
      </c>
    </row>
    <row r="637" spans="1:28" ht="15.75" customHeight="1" x14ac:dyDescent="0.3">
      <c r="A637" s="2301"/>
      <c r="B637" s="438" t="str">
        <f>$B$7</f>
        <v>Mortalidad Aves</v>
      </c>
      <c r="C637" s="401">
        <f>IF(A634&lt;=$B$2,C635+$C$2,0)</f>
        <v>0</v>
      </c>
      <c r="D637" s="390">
        <f>C637*SUM(PROD!D635:D641)</f>
        <v>0</v>
      </c>
      <c r="E637" s="383">
        <f>IFERROR(D637/SUM(PROD!L635:L641),0)</f>
        <v>0</v>
      </c>
      <c r="F637" s="384">
        <f>IFERROR(E637/SUM(E634:E640,J634:J640,O634:O639),0)</f>
        <v>0</v>
      </c>
      <c r="G637" s="439" t="str">
        <f>$G$14</f>
        <v>Servicios Públicos</v>
      </c>
      <c r="H637" s="401">
        <f t="shared" si="121"/>
        <v>0</v>
      </c>
      <c r="I637" s="390">
        <f t="shared" si="119"/>
        <v>0</v>
      </c>
      <c r="J637" s="383">
        <f>IFERROR(I637/SUM(PROD!L635:L641),0)</f>
        <v>0</v>
      </c>
      <c r="K637" s="384">
        <f>IFERROR(J637/SUM(E634:E640,J634:J640,O634:O639),0)</f>
        <v>0</v>
      </c>
      <c r="L637" s="441" t="str">
        <f>$L$7</f>
        <v>Administrativos</v>
      </c>
      <c r="M637" s="401">
        <f t="shared" si="130"/>
        <v>0</v>
      </c>
      <c r="N637" s="404">
        <f>M637*0.230769230769231</f>
        <v>0</v>
      </c>
      <c r="O637" s="383">
        <f>IFERROR(N637/SUM(PROD!L635:L641),0)</f>
        <v>0</v>
      </c>
      <c r="P637" s="384">
        <f>IFERROR(O637/SUM(E634:E640,J634:J640,O634:O639),0)</f>
        <v>0</v>
      </c>
      <c r="Q637" s="391" t="str">
        <f>$Q$7</f>
        <v>A</v>
      </c>
      <c r="R637" s="392">
        <f t="shared" si="122"/>
        <v>0</v>
      </c>
      <c r="S637" s="870">
        <f>SUM(PROD!AP635:AP641)</f>
        <v>0</v>
      </c>
      <c r="T637" s="393">
        <f>IF(AA634&gt;0,S637/AA634,0)</f>
        <v>0</v>
      </c>
      <c r="U637" s="405" t="str">
        <f>$U$7</f>
        <v>Roto</v>
      </c>
      <c r="V637" s="406">
        <f t="shared" si="123"/>
        <v>0</v>
      </c>
      <c r="W637" s="872">
        <f>SUM(PROD!AZ635:AZ641)</f>
        <v>0</v>
      </c>
      <c r="X637" s="407">
        <f>IFERROR(W637/(AA639-AA637),0)</f>
        <v>0</v>
      </c>
      <c r="Y637" s="408" t="s">
        <v>359</v>
      </c>
      <c r="Z637" s="442">
        <v>215</v>
      </c>
      <c r="AA637" s="410">
        <f>SUM(PROD!L635:L641)-SUM(W634:W640)-SUM(S634:S640)-AA636</f>
        <v>0</v>
      </c>
      <c r="AB637" s="496">
        <f>IF(AA639&gt;0,AA637/AA639,0)</f>
        <v>0</v>
      </c>
    </row>
    <row r="638" spans="1:28" ht="15.75" customHeight="1" x14ac:dyDescent="0.3">
      <c r="A638" s="2301"/>
      <c r="B638" s="399" t="str">
        <f>$B$8</f>
        <v>Materia Prima (Carb Ca, etc.)</v>
      </c>
      <c r="C638" s="440">
        <f>C631</f>
        <v>0</v>
      </c>
      <c r="D638" s="387">
        <f>C638*12/52</f>
        <v>0</v>
      </c>
      <c r="E638" s="383">
        <f>IFERROR(D638/SUM(PROD!L635:L641),0)</f>
        <v>0</v>
      </c>
      <c r="F638" s="384">
        <f>IFERROR(E638/SUM(E634:E640,J634:J640,O634:O639),0)</f>
        <v>0</v>
      </c>
      <c r="G638" s="441" t="str">
        <f>$G$15</f>
        <v>Gastos Legales</v>
      </c>
      <c r="H638" s="401">
        <f t="shared" si="121"/>
        <v>0</v>
      </c>
      <c r="I638" s="390">
        <f t="shared" si="119"/>
        <v>0</v>
      </c>
      <c r="J638" s="383">
        <f>IFERROR(I638/SUM(PROD!L635:L641),0)</f>
        <v>0</v>
      </c>
      <c r="K638" s="384">
        <f>IFERROR(J638/SUM(E634:E640,J634:J640,O634:O639),0)</f>
        <v>0</v>
      </c>
      <c r="L638" s="439" t="str">
        <f>$L$8</f>
        <v>Fletes</v>
      </c>
      <c r="M638" s="401">
        <f t="shared" si="130"/>
        <v>0</v>
      </c>
      <c r="N638" s="404">
        <f>M638*0.230769230769231</f>
        <v>0</v>
      </c>
      <c r="O638" s="383">
        <f>IFERROR(N638/SUM(PROD!L635:L641),0)</f>
        <v>0</v>
      </c>
      <c r="P638" s="384">
        <f>IFERROR(O638/SUM(E634:E640,J634:J640,O634:O639),0)</f>
        <v>0</v>
      </c>
      <c r="Q638" s="391" t="str">
        <f>$Q$8</f>
        <v>B</v>
      </c>
      <c r="R638" s="392">
        <f t="shared" si="122"/>
        <v>0</v>
      </c>
      <c r="S638" s="870">
        <f>SUM(PROD!AQ635:AQ641)</f>
        <v>0</v>
      </c>
      <c r="T638" s="393">
        <f>IF(AA634&gt;0,S638/AA634,0)</f>
        <v>0</v>
      </c>
      <c r="U638" s="395" t="str">
        <f>$U$8</f>
        <v>Rev. Gr.</v>
      </c>
      <c r="V638" s="412">
        <f t="shared" si="123"/>
        <v>0</v>
      </c>
      <c r="W638" s="873">
        <f>SUM(PROD!AT635:AT641)</f>
        <v>0</v>
      </c>
      <c r="X638" s="413">
        <f>IFERROR(W638/(AA639-AA637),0)</f>
        <v>0</v>
      </c>
      <c r="Y638" s="414" t="s">
        <v>262</v>
      </c>
      <c r="Z638" s="415">
        <f>IFERROR(SUMPRODUCT(V638:V640,W638:W640)/SUM(W638:W640),0)</f>
        <v>0</v>
      </c>
      <c r="AA638" s="416">
        <f>SUM(W638:W640)</f>
        <v>0</v>
      </c>
      <c r="AB638" s="497">
        <f>IF(AA639&gt;0,AA638/AA639,0)</f>
        <v>0</v>
      </c>
    </row>
    <row r="639" spans="1:28" ht="15.75" customHeight="1" x14ac:dyDescent="0.3">
      <c r="A639" s="2301"/>
      <c r="B639" s="438" t="str">
        <f>$B$9</f>
        <v>Vacunas y medicamentos</v>
      </c>
      <c r="C639" s="443">
        <f>C632</f>
        <v>0</v>
      </c>
      <c r="D639" s="387">
        <f>C639*12/52</f>
        <v>0</v>
      </c>
      <c r="E639" s="383">
        <f>IFERROR(D639/SUM(PROD!L635:L641),0)</f>
        <v>0</v>
      </c>
      <c r="F639" s="384">
        <f>IFERROR(E639/SUM(E634:E640,J634:J640,O634:O639),0)</f>
        <v>0</v>
      </c>
      <c r="G639" s="441" t="str">
        <f>$G$16</f>
        <v>Mantenimiento y Reparaciones</v>
      </c>
      <c r="H639" s="401">
        <f t="shared" si="121"/>
        <v>0</v>
      </c>
      <c r="I639" s="390">
        <f t="shared" si="119"/>
        <v>0</v>
      </c>
      <c r="J639" s="383">
        <f>IFERROR(I639/SUM(PROD!L635:L641),0)</f>
        <v>0</v>
      </c>
      <c r="K639" s="384">
        <f>IFERROR(J639/SUM(E634:E640,J634:J640,O634:O639),0)</f>
        <v>0</v>
      </c>
      <c r="L639" s="439">
        <f>$L$9</f>
        <v>0</v>
      </c>
      <c r="M639" s="401">
        <f t="shared" si="130"/>
        <v>0</v>
      </c>
      <c r="N639" s="404">
        <f>M639*0.230769230769231</f>
        <v>0</v>
      </c>
      <c r="O639" s="383">
        <f>IFERROR(N639/SUM(PROD!L635:L641),0)</f>
        <v>0</v>
      </c>
      <c r="P639" s="384">
        <f>IFERROR(O639/SUM(E634:E640,J634:J640,O634:O639),0)</f>
        <v>0</v>
      </c>
      <c r="Q639" s="391" t="str">
        <f>$Q$9</f>
        <v>C</v>
      </c>
      <c r="R639" s="392">
        <f t="shared" si="122"/>
        <v>0</v>
      </c>
      <c r="S639" s="870">
        <f>SUM(PROD!AR635:AR641)</f>
        <v>0</v>
      </c>
      <c r="T639" s="393">
        <f>IF(AA634&gt;0,S639/AA634,0)</f>
        <v>0</v>
      </c>
      <c r="U639" s="394" t="str">
        <f>$U$9</f>
        <v>Rev. Med</v>
      </c>
      <c r="V639" s="392">
        <f t="shared" si="123"/>
        <v>0</v>
      </c>
      <c r="W639" s="870">
        <f>SUM(PROD!AU635:AU641)</f>
        <v>0</v>
      </c>
      <c r="X639" s="418">
        <f>IFERROR(W639/(AA639-AA637),0)</f>
        <v>0</v>
      </c>
      <c r="Y639" s="2303" t="s">
        <v>325</v>
      </c>
      <c r="Z639" s="2305">
        <f>SUMPRODUCT(Z634:Z638,AB634:AB638)</f>
        <v>0</v>
      </c>
      <c r="AA639" s="2307">
        <f>SUM(AA634:AA637)</f>
        <v>0</v>
      </c>
      <c r="AB639" s="2308"/>
    </row>
    <row r="640" spans="1:28" ht="16.5" customHeight="1" thickBot="1" x14ac:dyDescent="0.35">
      <c r="A640" s="2302"/>
      <c r="B640" s="444" t="str">
        <f>$B$10</f>
        <v>Gastos de Personal</v>
      </c>
      <c r="C640" s="445">
        <f>C633</f>
        <v>0</v>
      </c>
      <c r="D640" s="421">
        <f>C640*12/52</f>
        <v>0</v>
      </c>
      <c r="E640" s="446">
        <f>IFERROR(D640/SUM(PROD!L635:L641),0)</f>
        <v>0</v>
      </c>
      <c r="F640" s="447">
        <f>IFERROR(E640/SUM(E634:E640,J634:J640,O634:O639),0)</f>
        <v>0</v>
      </c>
      <c r="G640" s="448" t="str">
        <f>$G$17</f>
        <v>Adecuación Instalaciones</v>
      </c>
      <c r="H640" s="445">
        <f t="shared" si="121"/>
        <v>0</v>
      </c>
      <c r="I640" s="426">
        <f t="shared" si="119"/>
        <v>0</v>
      </c>
      <c r="J640" s="446">
        <f>IFERROR(I640/SUM(PROD!L635:L641),0)</f>
        <v>0</v>
      </c>
      <c r="K640" s="447">
        <f>IFERROR(J640/SUM(E634:E640,J634:J640,O634:O639),0)</f>
        <v>0</v>
      </c>
      <c r="L640" s="2311" t="str">
        <f>$L$10</f>
        <v>TOTAL COSTO PRODUCCIÓN</v>
      </c>
      <c r="M640" s="2312"/>
      <c r="N640" s="427">
        <f>SUM(D634:D640,I634:I640,N634:N639)</f>
        <v>230769.23076923078</v>
      </c>
      <c r="O640" s="449">
        <f>IFERROR(N640/SUM(PROD!L635:L641),0)</f>
        <v>0</v>
      </c>
      <c r="P640" s="447">
        <f>IFERROR(O640/SUM(E634:E640,J634:J640,O634:O639),0)</f>
        <v>0</v>
      </c>
      <c r="Q640" s="450" t="str">
        <f>$Q$10</f>
        <v>D</v>
      </c>
      <c r="R640" s="430">
        <f t="shared" si="122"/>
        <v>0</v>
      </c>
      <c r="S640" s="871">
        <f>SUM(PROD!AS635:AS641)</f>
        <v>0</v>
      </c>
      <c r="T640" s="451">
        <f>IF(AA634&gt;0,S640/AA634,0)</f>
        <v>0</v>
      </c>
      <c r="U640" s="452" t="str">
        <f>$U$10</f>
        <v>Rev. Peq</v>
      </c>
      <c r="V640" s="430">
        <f t="shared" si="123"/>
        <v>0</v>
      </c>
      <c r="W640" s="874">
        <f>SUM(PROD!AV635:AV641)</f>
        <v>0</v>
      </c>
      <c r="X640" s="451">
        <f>IFERROR(W640/(AA639-AA637),0)</f>
        <v>0</v>
      </c>
      <c r="Y640" s="2304"/>
      <c r="Z640" s="2306"/>
      <c r="AA640" s="2309"/>
      <c r="AB640" s="2310"/>
    </row>
    <row r="641" spans="1:28" ht="16.5" customHeight="1" x14ac:dyDescent="0.3">
      <c r="A641" s="2300">
        <f>A634+1</f>
        <v>109</v>
      </c>
      <c r="B641" s="433" t="str">
        <f>$B$4</f>
        <v>ALIMENTO Kilos</v>
      </c>
      <c r="C641" s="435">
        <f>LOOKUP($A641,PROD!$A$5:$A$725,PROD!$AH$10:$AH$730)</f>
        <v>0</v>
      </c>
      <c r="D641" s="368">
        <f>C641*LOOKUP($A641,'Pr-Sem'!$A$6:$A$108,'Pr-Sem'!$N$6:$N$108)/(PROD!$A$1/1000)</f>
        <v>0</v>
      </c>
      <c r="E641" s="369">
        <f>IFERROR(D641/SUM(PROD!L642:L648),0)</f>
        <v>0</v>
      </c>
      <c r="F641" s="370">
        <f>IFERROR(E641/SUM(E641:E647,J641:J647,O641:O646),0)</f>
        <v>0</v>
      </c>
      <c r="G641" s="434" t="str">
        <f>$G$11</f>
        <v>Honorarios</v>
      </c>
      <c r="H641" s="435">
        <f t="shared" si="121"/>
        <v>0</v>
      </c>
      <c r="I641" s="372">
        <f t="shared" si="119"/>
        <v>0</v>
      </c>
      <c r="J641" s="369">
        <f>IFERROR(I641/SUM(PROD!L642:L648),0)</f>
        <v>0</v>
      </c>
      <c r="K641" s="370">
        <f>IFERROR(J641/SUM(E641:E647,J641:J647,O641:O646),0)</f>
        <v>0</v>
      </c>
      <c r="L641" s="436" t="str">
        <f>$L$4</f>
        <v>Gastos de Viaje</v>
      </c>
      <c r="M641" s="435">
        <f t="shared" ref="M641:M646" si="131">M634</f>
        <v>0</v>
      </c>
      <c r="N641" s="372">
        <f>M641*12/52</f>
        <v>0</v>
      </c>
      <c r="O641" s="369">
        <f>IFERROR(N641/SUM(PROD!L642:L648),0)</f>
        <v>0</v>
      </c>
      <c r="P641" s="370">
        <f>IFERROR(O641/SUM(E641:E647,J641:J647,O641:O646),0)</f>
        <v>0</v>
      </c>
      <c r="Q641" s="373" t="str">
        <f>$Q$4</f>
        <v>AAAA</v>
      </c>
      <c r="R641" s="374">
        <f t="shared" si="122"/>
        <v>0</v>
      </c>
      <c r="S641" s="869">
        <f>SUM(PROD!AM642:AM648)</f>
        <v>0</v>
      </c>
      <c r="T641" s="375">
        <f>IF(AA641&gt;0,S641/AA641,0)</f>
        <v>0</v>
      </c>
      <c r="U641" s="376" t="str">
        <f>$U$4</f>
        <v>Prob Color</v>
      </c>
      <c r="V641" s="374">
        <f t="shared" si="123"/>
        <v>0</v>
      </c>
      <c r="W641" s="869">
        <f>SUM(PROD!AW642:AW648)</f>
        <v>0</v>
      </c>
      <c r="X641" s="375">
        <f>IFERROR(W641/(AA646-AA644),0)</f>
        <v>0</v>
      </c>
      <c r="Y641" s="377" t="s">
        <v>323</v>
      </c>
      <c r="Z641" s="378">
        <f>SUMPRODUCT(R641:R647,T641:T647)</f>
        <v>0</v>
      </c>
      <c r="AA641" s="379">
        <f>SUM(S641:S647)</f>
        <v>0</v>
      </c>
      <c r="AB641" s="490">
        <f>IF(AA646&gt;0,AA641/AA646,0)</f>
        <v>0</v>
      </c>
    </row>
    <row r="642" spans="1:28" ht="15.75" customHeight="1" x14ac:dyDescent="0.3">
      <c r="A642" s="2301"/>
      <c r="B642" s="438" t="str">
        <f>$B$5</f>
        <v>Amortización de Aves</v>
      </c>
      <c r="C642" s="381">
        <f>IFERROR((C635-(D642/'Pr-Sem'!$O$2)),0)</f>
        <v>0</v>
      </c>
      <c r="D642" s="382">
        <f>SUM(PROD!L642:L648)*E642</f>
        <v>0</v>
      </c>
      <c r="E642" s="383">
        <f>IF(SUM(PROD!L642:L648)&gt;0,IFERROR(($C$1-$C$2)/LOOKUP($B$2,'Pr-Sem'!$A$6:$A$108,'Pr-Sem'!$L$6:$L$108)*(LOOKUP(INVENTARIOS!$A641,'Pr-Sem'!$A$6:$A$108,'Pr-Sem'!$L$6:$L$108)-LOOKUP(INVENTARIOS!$A641-1,'Pr-Sem'!$A$6:$A$108,'Pr-Sem'!$L$6:$L$108))/(LOOKUP(INVENTARIOS!$A641,'Pr-Sem'!$A$6:$A$108,'Pr-Sem'!$K$6:$K$108)-LOOKUP(INVENTARIOS!$A641-1,'Pr-Sem'!$A$6:$A$108,'Pr-Sem'!$K$6:$K$108)),0),0)</f>
        <v>0</v>
      </c>
      <c r="F642" s="384">
        <f>IFERROR(E642/SUM(E641:E647,J641:J647,O641:O646),0)</f>
        <v>0</v>
      </c>
      <c r="G642" s="439" t="str">
        <f>$G$12</f>
        <v>Impuestos</v>
      </c>
      <c r="H642" s="440">
        <f t="shared" si="121"/>
        <v>0</v>
      </c>
      <c r="I642" s="387">
        <f t="shared" si="119"/>
        <v>0</v>
      </c>
      <c r="J642" s="383">
        <f>IFERROR(I642/SUM(PROD!L642:L648),0)</f>
        <v>0</v>
      </c>
      <c r="K642" s="384">
        <f>IFERROR(J642/SUM(E641:E647,J641:J647,O641:O646),0)</f>
        <v>0</v>
      </c>
      <c r="L642" s="439" t="str">
        <f>$L$5</f>
        <v>Depreciaciones</v>
      </c>
      <c r="M642" s="401">
        <f t="shared" si="131"/>
        <v>0</v>
      </c>
      <c r="N642" s="390">
        <f>M642*12/52</f>
        <v>0</v>
      </c>
      <c r="O642" s="383">
        <f>IFERROR(N642/SUM(PROD!L642:L648),0)</f>
        <v>0</v>
      </c>
      <c r="P642" s="384">
        <f>IFERROR(O642/SUM(E641:E647,J641:J647,O641:O646),0)</f>
        <v>0</v>
      </c>
      <c r="Q642" s="391" t="str">
        <f>$Q$5</f>
        <v>AAA</v>
      </c>
      <c r="R642" s="392">
        <f t="shared" si="122"/>
        <v>0</v>
      </c>
      <c r="S642" s="870">
        <f>SUM(PROD!AN642:AN648)</f>
        <v>0</v>
      </c>
      <c r="T642" s="393">
        <f>IF(AA641&gt;0,S642/AA641,0)</f>
        <v>0</v>
      </c>
      <c r="U642" s="394" t="str">
        <f>$U$5</f>
        <v>Prob Cásc</v>
      </c>
      <c r="V642" s="392">
        <f t="shared" si="123"/>
        <v>0</v>
      </c>
      <c r="W642" s="870">
        <f>SUM(PROD!AX642:AX648)</f>
        <v>0</v>
      </c>
      <c r="X642" s="393">
        <f>IFERROR(W642/(AA646-AA644),0)</f>
        <v>0</v>
      </c>
      <c r="Y642" s="395" t="s">
        <v>324</v>
      </c>
      <c r="Z642" s="396">
        <f>IFERROR(SUMPRODUCT(V641:V644,W641:W644)/SUM(W641:W644),0)</f>
        <v>0</v>
      </c>
      <c r="AA642" s="397">
        <f>SUM(W641:W644)</f>
        <v>0</v>
      </c>
      <c r="AB642" s="494">
        <f>IF(AA646&gt;0,AA642/AA646,0)</f>
        <v>0</v>
      </c>
    </row>
    <row r="643" spans="1:28" ht="15.75" customHeight="1" x14ac:dyDescent="0.3">
      <c r="A643" s="2301"/>
      <c r="B643" s="399" t="str">
        <f>$B$6</f>
        <v>Bandeja</v>
      </c>
      <c r="C643" s="400">
        <f>C636</f>
        <v>0</v>
      </c>
      <c r="D643" s="387">
        <f>C643*SUM(INVENTARIOS!R641:R647)</f>
        <v>0</v>
      </c>
      <c r="E643" s="383">
        <f>IFERROR(D643/SUM(PROD!L642:L648),0)</f>
        <v>0</v>
      </c>
      <c r="F643" s="384">
        <f>IFERROR(E643/SUM(E641:E647,J641:J647,O641:O646),0)</f>
        <v>0</v>
      </c>
      <c r="G643" s="439" t="str">
        <f>$G$13</f>
        <v>Arrendamientos</v>
      </c>
      <c r="H643" s="401">
        <f t="shared" si="121"/>
        <v>0</v>
      </c>
      <c r="I643" s="390">
        <f t="shared" si="119"/>
        <v>0</v>
      </c>
      <c r="J643" s="383">
        <f>IFERROR(I643/SUM(PROD!L642:L648),0)</f>
        <v>0</v>
      </c>
      <c r="K643" s="384">
        <f>IFERROR(J643/SUM(E641:E647,J641:J647,O641:O646),0)</f>
        <v>0</v>
      </c>
      <c r="L643" s="439" t="str">
        <f>$L$6</f>
        <v>Diversos</v>
      </c>
      <c r="M643" s="401">
        <f t="shared" si="131"/>
        <v>1000000</v>
      </c>
      <c r="N643" s="390">
        <f>M643*12/52</f>
        <v>230769.23076923078</v>
      </c>
      <c r="O643" s="383">
        <f>IFERROR(N643/SUM(PROD!L642:L648),0)</f>
        <v>0</v>
      </c>
      <c r="P643" s="384">
        <f>IFERROR(O643/SUM(E641:E647,J641:J647,O641:O646),0)</f>
        <v>0</v>
      </c>
      <c r="Q643" s="391" t="str">
        <f>$Q$6</f>
        <v>AA</v>
      </c>
      <c r="R643" s="392">
        <f t="shared" si="122"/>
        <v>0</v>
      </c>
      <c r="S643" s="870">
        <f>SUM(PROD!AO642:AO648)</f>
        <v>0</v>
      </c>
      <c r="T643" s="393">
        <f>IF(AA641&gt;0,S643/AA641,0)</f>
        <v>0</v>
      </c>
      <c r="U643" s="394" t="str">
        <f>$U$6</f>
        <v>Vencido</v>
      </c>
      <c r="V643" s="392">
        <f t="shared" si="123"/>
        <v>0</v>
      </c>
      <c r="W643" s="870">
        <f>SUM(PROD!AY642:AY648)</f>
        <v>0</v>
      </c>
      <c r="X643" s="393">
        <f>IFERROR(W643/(AA646-AA644),0)</f>
        <v>0</v>
      </c>
      <c r="Y643" s="402" t="s">
        <v>391</v>
      </c>
      <c r="Z643" s="456">
        <v>0</v>
      </c>
      <c r="AA643" s="720"/>
      <c r="AB643" s="495">
        <f>IF(AA646&gt;0,AA643/AA646,0)</f>
        <v>0</v>
      </c>
    </row>
    <row r="644" spans="1:28" ht="15.75" customHeight="1" x14ac:dyDescent="0.3">
      <c r="A644" s="2301"/>
      <c r="B644" s="438" t="str">
        <f>$B$7</f>
        <v>Mortalidad Aves</v>
      </c>
      <c r="C644" s="401">
        <f>IF(A641&lt;=$B$2,C642+$C$2,0)</f>
        <v>0</v>
      </c>
      <c r="D644" s="390">
        <f>C644*SUM(PROD!D642:D648)</f>
        <v>0</v>
      </c>
      <c r="E644" s="383">
        <f>IFERROR(D644/SUM(PROD!L642:L648),0)</f>
        <v>0</v>
      </c>
      <c r="F644" s="384">
        <f>IFERROR(E644/SUM(E641:E647,J641:J647,O641:O646),0)</f>
        <v>0</v>
      </c>
      <c r="G644" s="439" t="str">
        <f>$G$14</f>
        <v>Servicios Públicos</v>
      </c>
      <c r="H644" s="401">
        <f t="shared" si="121"/>
        <v>0</v>
      </c>
      <c r="I644" s="390">
        <f t="shared" ref="I644:I707" si="132">H644*12/52</f>
        <v>0</v>
      </c>
      <c r="J644" s="383">
        <f>IFERROR(I644/SUM(PROD!L642:L648),0)</f>
        <v>0</v>
      </c>
      <c r="K644" s="384">
        <f>IFERROR(J644/SUM(E641:E647,J641:J647,O641:O646),0)</f>
        <v>0</v>
      </c>
      <c r="L644" s="441" t="str">
        <f>$L$7</f>
        <v>Administrativos</v>
      </c>
      <c r="M644" s="401">
        <f t="shared" si="131"/>
        <v>0</v>
      </c>
      <c r="N644" s="404">
        <f>M644*0.230769230769231</f>
        <v>0</v>
      </c>
      <c r="O644" s="383">
        <f>IFERROR(N644/SUM(PROD!L642:L648),0)</f>
        <v>0</v>
      </c>
      <c r="P644" s="384">
        <f>IFERROR(O644/SUM(E641:E647,J641:J647,O641:O646),0)</f>
        <v>0</v>
      </c>
      <c r="Q644" s="391" t="str">
        <f>$Q$7</f>
        <v>A</v>
      </c>
      <c r="R644" s="392">
        <f t="shared" si="122"/>
        <v>0</v>
      </c>
      <c r="S644" s="870">
        <f>SUM(PROD!AP642:AP648)</f>
        <v>0</v>
      </c>
      <c r="T644" s="393">
        <f>IF(AA641&gt;0,S644/AA641,0)</f>
        <v>0</v>
      </c>
      <c r="U644" s="405" t="str">
        <f>$U$7</f>
        <v>Roto</v>
      </c>
      <c r="V644" s="406">
        <f t="shared" si="123"/>
        <v>0</v>
      </c>
      <c r="W644" s="872">
        <f>SUM(PROD!AZ642:AZ648)</f>
        <v>0</v>
      </c>
      <c r="X644" s="407">
        <f>IFERROR(W644/(AA646-AA644),0)</f>
        <v>0</v>
      </c>
      <c r="Y644" s="408" t="s">
        <v>359</v>
      </c>
      <c r="Z644" s="442">
        <v>215</v>
      </c>
      <c r="AA644" s="410">
        <f>SUM(PROD!L642:L648)-SUM(W641:W647)-SUM(S641:S647)-AA643</f>
        <v>0</v>
      </c>
      <c r="AB644" s="496">
        <f>IF(AA646&gt;0,AA644/AA646,0)</f>
        <v>0</v>
      </c>
    </row>
    <row r="645" spans="1:28" ht="15.75" customHeight="1" x14ac:dyDescent="0.3">
      <c r="A645" s="2301"/>
      <c r="B645" s="399" t="str">
        <f>$B$8</f>
        <v>Materia Prima (Carb Ca, etc.)</v>
      </c>
      <c r="C645" s="440">
        <f>C638</f>
        <v>0</v>
      </c>
      <c r="D645" s="387">
        <f>C645*12/52</f>
        <v>0</v>
      </c>
      <c r="E645" s="383">
        <f>IFERROR(D645/SUM(PROD!L642:L648),0)</f>
        <v>0</v>
      </c>
      <c r="F645" s="384">
        <f>IFERROR(E645/SUM(E641:E647,J641:J647,O641:O646),0)</f>
        <v>0</v>
      </c>
      <c r="G645" s="441" t="str">
        <f>$G$15</f>
        <v>Gastos Legales</v>
      </c>
      <c r="H645" s="401">
        <f t="shared" si="121"/>
        <v>0</v>
      </c>
      <c r="I645" s="390">
        <f t="shared" si="132"/>
        <v>0</v>
      </c>
      <c r="J645" s="383">
        <f>IFERROR(I645/SUM(PROD!L642:L648),0)</f>
        <v>0</v>
      </c>
      <c r="K645" s="384">
        <f>IFERROR(J645/SUM(E641:E647,J641:J647,O641:O646),0)</f>
        <v>0</v>
      </c>
      <c r="L645" s="439" t="str">
        <f>$L$8</f>
        <v>Fletes</v>
      </c>
      <c r="M645" s="401">
        <f t="shared" si="131"/>
        <v>0</v>
      </c>
      <c r="N645" s="404">
        <f>M645*0.230769230769231</f>
        <v>0</v>
      </c>
      <c r="O645" s="383">
        <f>IFERROR(N645/SUM(PROD!L642:L648),0)</f>
        <v>0</v>
      </c>
      <c r="P645" s="384">
        <f>IFERROR(O645/SUM(E641:E647,J641:J647,O641:O646),0)</f>
        <v>0</v>
      </c>
      <c r="Q645" s="391" t="str">
        <f>$Q$8</f>
        <v>B</v>
      </c>
      <c r="R645" s="392">
        <f t="shared" si="122"/>
        <v>0</v>
      </c>
      <c r="S645" s="870">
        <f>SUM(PROD!AQ642:AQ648)</f>
        <v>0</v>
      </c>
      <c r="T645" s="393">
        <f>IF(AA641&gt;0,S645/AA641,0)</f>
        <v>0</v>
      </c>
      <c r="U645" s="395" t="str">
        <f>$U$8</f>
        <v>Rev. Gr.</v>
      </c>
      <c r="V645" s="412">
        <f t="shared" si="123"/>
        <v>0</v>
      </c>
      <c r="W645" s="873">
        <f>SUM(PROD!AT642:AT648)</f>
        <v>0</v>
      </c>
      <c r="X645" s="413">
        <f>IFERROR(W645/(AA646-AA644),0)</f>
        <v>0</v>
      </c>
      <c r="Y645" s="414" t="s">
        <v>262</v>
      </c>
      <c r="Z645" s="415">
        <f>IFERROR(SUMPRODUCT(V645:V647,W645:W647)/SUM(W645:W647),0)</f>
        <v>0</v>
      </c>
      <c r="AA645" s="416">
        <f>SUM(W645:W647)</f>
        <v>0</v>
      </c>
      <c r="AB645" s="497">
        <f>IF(AA646&gt;0,AA645/AA646,0)</f>
        <v>0</v>
      </c>
    </row>
    <row r="646" spans="1:28" ht="15.75" customHeight="1" x14ac:dyDescent="0.3">
      <c r="A646" s="2301"/>
      <c r="B646" s="438" t="str">
        <f>$B$9</f>
        <v>Vacunas y medicamentos</v>
      </c>
      <c r="C646" s="443">
        <f>C639</f>
        <v>0</v>
      </c>
      <c r="D646" s="387">
        <f>C646*12/52</f>
        <v>0</v>
      </c>
      <c r="E646" s="383">
        <f>IFERROR(D646/SUM(PROD!L642:L648),0)</f>
        <v>0</v>
      </c>
      <c r="F646" s="384">
        <f>IFERROR(E646/SUM(E641:E647,J641:J647,O641:O646),0)</f>
        <v>0</v>
      </c>
      <c r="G646" s="441" t="str">
        <f>$G$16</f>
        <v>Mantenimiento y Reparaciones</v>
      </c>
      <c r="H646" s="401">
        <f t="shared" si="121"/>
        <v>0</v>
      </c>
      <c r="I646" s="390">
        <f t="shared" si="132"/>
        <v>0</v>
      </c>
      <c r="J646" s="383">
        <f>IFERROR(I646/SUM(PROD!L642:L648),0)</f>
        <v>0</v>
      </c>
      <c r="K646" s="384">
        <f>IFERROR(J646/SUM(E641:E647,J641:J647,O641:O646),0)</f>
        <v>0</v>
      </c>
      <c r="L646" s="439">
        <f>$L$9</f>
        <v>0</v>
      </c>
      <c r="M646" s="401">
        <f t="shared" si="131"/>
        <v>0</v>
      </c>
      <c r="N646" s="404">
        <f>M646*0.230769230769231</f>
        <v>0</v>
      </c>
      <c r="O646" s="383">
        <f>IFERROR(N646/SUM(PROD!L642:L648),0)</f>
        <v>0</v>
      </c>
      <c r="P646" s="384">
        <f>IFERROR(O646/SUM(E641:E647,J641:J647,O641:O646),0)</f>
        <v>0</v>
      </c>
      <c r="Q646" s="391" t="str">
        <f>$Q$9</f>
        <v>C</v>
      </c>
      <c r="R646" s="392">
        <f t="shared" si="122"/>
        <v>0</v>
      </c>
      <c r="S646" s="870">
        <f>SUM(PROD!AR642:AR648)</f>
        <v>0</v>
      </c>
      <c r="T646" s="393">
        <f>IF(AA641&gt;0,S646/AA641,0)</f>
        <v>0</v>
      </c>
      <c r="U646" s="394" t="str">
        <f>$U$9</f>
        <v>Rev. Med</v>
      </c>
      <c r="V646" s="392">
        <f t="shared" si="123"/>
        <v>0</v>
      </c>
      <c r="W646" s="870">
        <f>SUM(PROD!AU642:AU648)</f>
        <v>0</v>
      </c>
      <c r="X646" s="418">
        <f>IFERROR(W646/(AA646-AA644),0)</f>
        <v>0</v>
      </c>
      <c r="Y646" s="2303" t="s">
        <v>325</v>
      </c>
      <c r="Z646" s="2305">
        <f>SUMPRODUCT(Z641:Z645,AB641:AB645)</f>
        <v>0</v>
      </c>
      <c r="AA646" s="2307">
        <f>SUM(AA641:AA644)</f>
        <v>0</v>
      </c>
      <c r="AB646" s="2308"/>
    </row>
    <row r="647" spans="1:28" ht="16.5" customHeight="1" thickBot="1" x14ac:dyDescent="0.35">
      <c r="A647" s="2302"/>
      <c r="B647" s="444" t="str">
        <f>$B$10</f>
        <v>Gastos de Personal</v>
      </c>
      <c r="C647" s="445">
        <f>C640</f>
        <v>0</v>
      </c>
      <c r="D647" s="421">
        <f>C647*12/52</f>
        <v>0</v>
      </c>
      <c r="E647" s="446">
        <f>IFERROR(D647/SUM(PROD!L642:L648),0)</f>
        <v>0</v>
      </c>
      <c r="F647" s="447">
        <f>IFERROR(E647/SUM(E641:E647,J641:J647,O641:O646),0)</f>
        <v>0</v>
      </c>
      <c r="G647" s="448" t="str">
        <f>$G$17</f>
        <v>Adecuación Instalaciones</v>
      </c>
      <c r="H647" s="445">
        <f t="shared" si="121"/>
        <v>0</v>
      </c>
      <c r="I647" s="426">
        <f t="shared" si="132"/>
        <v>0</v>
      </c>
      <c r="J647" s="446">
        <f>IFERROR(I647/SUM(PROD!L642:L648),0)</f>
        <v>0</v>
      </c>
      <c r="K647" s="447">
        <f>IFERROR(J647/SUM(E641:E647,J641:J647,O641:O646),0)</f>
        <v>0</v>
      </c>
      <c r="L647" s="2311" t="str">
        <f>$L$10</f>
        <v>TOTAL COSTO PRODUCCIÓN</v>
      </c>
      <c r="M647" s="2312"/>
      <c r="N647" s="427">
        <f>SUM(D641:D647,I641:I647,N641:N646)</f>
        <v>230769.23076923078</v>
      </c>
      <c r="O647" s="449">
        <f>IFERROR(N647/SUM(PROD!L642:L648),0)</f>
        <v>0</v>
      </c>
      <c r="P647" s="447">
        <f>IFERROR(O647/SUM(E641:E647,J641:J647,O641:O646),0)</f>
        <v>0</v>
      </c>
      <c r="Q647" s="450" t="str">
        <f>$Q$10</f>
        <v>D</v>
      </c>
      <c r="R647" s="430">
        <f t="shared" si="122"/>
        <v>0</v>
      </c>
      <c r="S647" s="871">
        <f>SUM(PROD!AS642:AS648)</f>
        <v>0</v>
      </c>
      <c r="T647" s="451">
        <f>IF(AA641&gt;0,S647/AA641,0)</f>
        <v>0</v>
      </c>
      <c r="U647" s="452" t="str">
        <f>$U$10</f>
        <v>Rev. Peq</v>
      </c>
      <c r="V647" s="430">
        <f t="shared" si="123"/>
        <v>0</v>
      </c>
      <c r="W647" s="874">
        <f>SUM(PROD!AV642:AV648)</f>
        <v>0</v>
      </c>
      <c r="X647" s="451">
        <f>IFERROR(W647/(AA646-AA644),0)</f>
        <v>0</v>
      </c>
      <c r="Y647" s="2304"/>
      <c r="Z647" s="2306"/>
      <c r="AA647" s="2309"/>
      <c r="AB647" s="2310"/>
    </row>
    <row r="648" spans="1:28" ht="16.5" customHeight="1" x14ac:dyDescent="0.3">
      <c r="A648" s="2300">
        <f>A641+1</f>
        <v>110</v>
      </c>
      <c r="B648" s="433" t="str">
        <f>$B$4</f>
        <v>ALIMENTO Kilos</v>
      </c>
      <c r="C648" s="435">
        <f>LOOKUP($A648,PROD!$A$5:$A$725,PROD!$AH$10:$AH$730)</f>
        <v>0</v>
      </c>
      <c r="D648" s="368">
        <f>C648*LOOKUP($A648,'Pr-Sem'!$A$6:$A$108,'Pr-Sem'!$N$6:$N$108)/(PROD!$A$1/1000)</f>
        <v>0</v>
      </c>
      <c r="E648" s="369">
        <f>IFERROR(D648/SUM(PROD!L649:L655),0)</f>
        <v>0</v>
      </c>
      <c r="F648" s="370">
        <f>IFERROR(E648/SUM(E648:E654,J648:J654,O648:O653),0)</f>
        <v>0</v>
      </c>
      <c r="G648" s="434" t="str">
        <f>$G$11</f>
        <v>Honorarios</v>
      </c>
      <c r="H648" s="435">
        <f t="shared" si="121"/>
        <v>0</v>
      </c>
      <c r="I648" s="372">
        <f t="shared" si="132"/>
        <v>0</v>
      </c>
      <c r="J648" s="369">
        <f>IFERROR(I648/SUM(PROD!L649:L655),0)</f>
        <v>0</v>
      </c>
      <c r="K648" s="370">
        <f>IFERROR(J648/SUM(E648:E654,J648:J654,O648:O653),0)</f>
        <v>0</v>
      </c>
      <c r="L648" s="436" t="str">
        <f>$L$4</f>
        <v>Gastos de Viaje</v>
      </c>
      <c r="M648" s="435">
        <f t="shared" ref="M648:M653" si="133">M641</f>
        <v>0</v>
      </c>
      <c r="N648" s="372">
        <f>M648*12/52</f>
        <v>0</v>
      </c>
      <c r="O648" s="369">
        <f>IFERROR(N648/SUM(PROD!L649:L655),0)</f>
        <v>0</v>
      </c>
      <c r="P648" s="370">
        <f>IFERROR(O648/SUM(E648:E654,J648:J654,O648:O653),0)</f>
        <v>0</v>
      </c>
      <c r="Q648" s="373" t="str">
        <f>$Q$4</f>
        <v>AAAA</v>
      </c>
      <c r="R648" s="374">
        <f t="shared" si="122"/>
        <v>0</v>
      </c>
      <c r="S648" s="869">
        <f>SUM(PROD!AM649:AM655)</f>
        <v>0</v>
      </c>
      <c r="T648" s="375">
        <f>IF(AA648&gt;0,S648/AA648,0)</f>
        <v>0</v>
      </c>
      <c r="U648" s="376" t="str">
        <f>$U$4</f>
        <v>Prob Color</v>
      </c>
      <c r="V648" s="374">
        <f t="shared" si="123"/>
        <v>0</v>
      </c>
      <c r="W648" s="869">
        <f>SUM(PROD!AW649:AW655)</f>
        <v>0</v>
      </c>
      <c r="X648" s="375">
        <f>IFERROR(W648/(AA653-AA651),0)</f>
        <v>0</v>
      </c>
      <c r="Y648" s="377" t="s">
        <v>323</v>
      </c>
      <c r="Z648" s="378">
        <f>SUMPRODUCT(R648:R654,T648:T654)</f>
        <v>0</v>
      </c>
      <c r="AA648" s="379">
        <f>SUM(S648:S654)</f>
        <v>0</v>
      </c>
      <c r="AB648" s="490">
        <f>IF(AA653&gt;0,AA648/AA653,0)</f>
        <v>0</v>
      </c>
    </row>
    <row r="649" spans="1:28" ht="15.75" customHeight="1" x14ac:dyDescent="0.3">
      <c r="A649" s="2301"/>
      <c r="B649" s="438" t="str">
        <f>$B$5</f>
        <v>Amortización de Aves</v>
      </c>
      <c r="C649" s="381">
        <f>IFERROR((C642-(D649/'Pr-Sem'!$O$2)),0)</f>
        <v>0</v>
      </c>
      <c r="D649" s="382">
        <f>SUM(PROD!L649:L655)*E649</f>
        <v>0</v>
      </c>
      <c r="E649" s="383">
        <f>IF(SUM(PROD!L649:L655)&gt;0,IFERROR(($C$1-$C$2)/LOOKUP($B$2,'Pr-Sem'!$A$6:$A$108,'Pr-Sem'!$L$6:$L$108)*(LOOKUP(INVENTARIOS!$A648,'Pr-Sem'!$A$6:$A$108,'Pr-Sem'!$L$6:$L$108)-LOOKUP(INVENTARIOS!$A648-1,'Pr-Sem'!$A$6:$A$108,'Pr-Sem'!$L$6:$L$108))/(LOOKUP(INVENTARIOS!$A648,'Pr-Sem'!$A$6:$A$108,'Pr-Sem'!$K$6:$K$108)-LOOKUP(INVENTARIOS!$A648-1,'Pr-Sem'!$A$6:$A$108,'Pr-Sem'!$K$6:$K$108)),0),0)</f>
        <v>0</v>
      </c>
      <c r="F649" s="384">
        <f>IFERROR(E649/SUM(E648:E654,J648:J654,O648:O653),0)</f>
        <v>0</v>
      </c>
      <c r="G649" s="439" t="str">
        <f>$G$12</f>
        <v>Impuestos</v>
      </c>
      <c r="H649" s="440">
        <f t="shared" si="121"/>
        <v>0</v>
      </c>
      <c r="I649" s="387">
        <f t="shared" si="132"/>
        <v>0</v>
      </c>
      <c r="J649" s="383">
        <f>IFERROR(I649/SUM(PROD!L649:L655),0)</f>
        <v>0</v>
      </c>
      <c r="K649" s="384">
        <f>IFERROR(J649/SUM(E648:E654,J648:J654,O648:O653),0)</f>
        <v>0</v>
      </c>
      <c r="L649" s="439" t="str">
        <f>$L$5</f>
        <v>Depreciaciones</v>
      </c>
      <c r="M649" s="401">
        <f t="shared" si="133"/>
        <v>0</v>
      </c>
      <c r="N649" s="390">
        <f>M649*12/52</f>
        <v>0</v>
      </c>
      <c r="O649" s="383">
        <f>IFERROR(N649/SUM(PROD!L649:L655),0)</f>
        <v>0</v>
      </c>
      <c r="P649" s="384">
        <f>IFERROR(O649/SUM(E648:E654,J648:J654,O648:O653),0)</f>
        <v>0</v>
      </c>
      <c r="Q649" s="391" t="str">
        <f>$Q$5</f>
        <v>AAA</v>
      </c>
      <c r="R649" s="392">
        <f t="shared" si="122"/>
        <v>0</v>
      </c>
      <c r="S649" s="870">
        <f>SUM(PROD!AN649:AN655)</f>
        <v>0</v>
      </c>
      <c r="T649" s="393">
        <f>IF(AA648&gt;0,S649/AA648,0)</f>
        <v>0</v>
      </c>
      <c r="U649" s="394" t="str">
        <f>$U$5</f>
        <v>Prob Cásc</v>
      </c>
      <c r="V649" s="392">
        <f t="shared" si="123"/>
        <v>0</v>
      </c>
      <c r="W649" s="870">
        <f>SUM(PROD!AX649:AX655)</f>
        <v>0</v>
      </c>
      <c r="X649" s="393">
        <f>IFERROR(W649/(AA653-AA651),0)</f>
        <v>0</v>
      </c>
      <c r="Y649" s="395" t="s">
        <v>324</v>
      </c>
      <c r="Z649" s="396">
        <f>IFERROR(SUMPRODUCT(V648:V651,W648:W651)/SUM(W648:W651),0)</f>
        <v>0</v>
      </c>
      <c r="AA649" s="397">
        <f>SUM(W648:W651)</f>
        <v>0</v>
      </c>
      <c r="AB649" s="494">
        <f>IF(AA653&gt;0,AA649/AA653,0)</f>
        <v>0</v>
      </c>
    </row>
    <row r="650" spans="1:28" ht="15.75" customHeight="1" x14ac:dyDescent="0.3">
      <c r="A650" s="2301"/>
      <c r="B650" s="399" t="str">
        <f>$B$6</f>
        <v>Bandeja</v>
      </c>
      <c r="C650" s="400">
        <f>C643</f>
        <v>0</v>
      </c>
      <c r="D650" s="387">
        <f>C650*SUM(INVENTARIOS!R648:R654)</f>
        <v>0</v>
      </c>
      <c r="E650" s="383">
        <f>IFERROR(D650/SUM(PROD!L649:L655),0)</f>
        <v>0</v>
      </c>
      <c r="F650" s="384">
        <f>IFERROR(E650/SUM(E648:E654,J648:J654,O648:O653),0)</f>
        <v>0</v>
      </c>
      <c r="G650" s="439" t="str">
        <f>$G$13</f>
        <v>Arrendamientos</v>
      </c>
      <c r="H650" s="401">
        <f t="shared" si="121"/>
        <v>0</v>
      </c>
      <c r="I650" s="390">
        <f t="shared" si="132"/>
        <v>0</v>
      </c>
      <c r="J650" s="383">
        <f>IFERROR(I650/SUM(PROD!L649:L655),0)</f>
        <v>0</v>
      </c>
      <c r="K650" s="384">
        <f>IFERROR(J650/SUM(E648:E654,J648:J654,O648:O653),0)</f>
        <v>0</v>
      </c>
      <c r="L650" s="439" t="str">
        <f>$L$6</f>
        <v>Diversos</v>
      </c>
      <c r="M650" s="401">
        <f t="shared" si="133"/>
        <v>1000000</v>
      </c>
      <c r="N650" s="390">
        <f>M650*12/52</f>
        <v>230769.23076923078</v>
      </c>
      <c r="O650" s="383">
        <f>IFERROR(N650/SUM(PROD!L649:L655),0)</f>
        <v>0</v>
      </c>
      <c r="P650" s="384">
        <f>IFERROR(O650/SUM(E648:E654,J648:J654,O648:O653),0)</f>
        <v>0</v>
      </c>
      <c r="Q650" s="391" t="str">
        <f>$Q$6</f>
        <v>AA</v>
      </c>
      <c r="R650" s="392">
        <f t="shared" si="122"/>
        <v>0</v>
      </c>
      <c r="S650" s="870">
        <f>SUM(PROD!AO649:AO655)</f>
        <v>0</v>
      </c>
      <c r="T650" s="393">
        <f>IF(AA648&gt;0,S650/AA648,0)</f>
        <v>0</v>
      </c>
      <c r="U650" s="394" t="str">
        <f>$U$6</f>
        <v>Vencido</v>
      </c>
      <c r="V650" s="392">
        <f t="shared" si="123"/>
        <v>0</v>
      </c>
      <c r="W650" s="870">
        <f>SUM(PROD!AY649:AY655)</f>
        <v>0</v>
      </c>
      <c r="X650" s="393">
        <f>IFERROR(W650/(AA653-AA651),0)</f>
        <v>0</v>
      </c>
      <c r="Y650" s="402" t="s">
        <v>391</v>
      </c>
      <c r="Z650" s="456">
        <v>0</v>
      </c>
      <c r="AA650" s="720"/>
      <c r="AB650" s="495">
        <f>IF(AA653&gt;0,AA650/AA653,0)</f>
        <v>0</v>
      </c>
    </row>
    <row r="651" spans="1:28" ht="15.75" customHeight="1" x14ac:dyDescent="0.3">
      <c r="A651" s="2301"/>
      <c r="B651" s="438" t="str">
        <f>$B$7</f>
        <v>Mortalidad Aves</v>
      </c>
      <c r="C651" s="401">
        <f>IF(A648&lt;=$B$2,C649+$C$2,0)</f>
        <v>0</v>
      </c>
      <c r="D651" s="390">
        <f>C651*SUM(PROD!D649:D655)</f>
        <v>0</v>
      </c>
      <c r="E651" s="383">
        <f>IFERROR(D651/SUM(PROD!L649:L655),0)</f>
        <v>0</v>
      </c>
      <c r="F651" s="384">
        <f>IFERROR(E651/SUM(E648:E654,J648:J654,O648:O653),0)</f>
        <v>0</v>
      </c>
      <c r="G651" s="439" t="str">
        <f>$G$14</f>
        <v>Servicios Públicos</v>
      </c>
      <c r="H651" s="401">
        <f t="shared" ref="H651:H714" si="134">H644</f>
        <v>0</v>
      </c>
      <c r="I651" s="390">
        <f t="shared" si="132"/>
        <v>0</v>
      </c>
      <c r="J651" s="383">
        <f>IFERROR(I651/SUM(PROD!L649:L655),0)</f>
        <v>0</v>
      </c>
      <c r="K651" s="384">
        <f>IFERROR(J651/SUM(E648:E654,J648:J654,O648:O653),0)</f>
        <v>0</v>
      </c>
      <c r="L651" s="441" t="str">
        <f>$L$7</f>
        <v>Administrativos</v>
      </c>
      <c r="M651" s="401">
        <f t="shared" si="133"/>
        <v>0</v>
      </c>
      <c r="N651" s="404">
        <f>M651*0.230769230769231</f>
        <v>0</v>
      </c>
      <c r="O651" s="383">
        <f>IFERROR(N651/SUM(PROD!L649:L655),0)</f>
        <v>0</v>
      </c>
      <c r="P651" s="384">
        <f>IFERROR(O651/SUM(E648:E654,J648:J654,O648:O653),0)</f>
        <v>0</v>
      </c>
      <c r="Q651" s="391" t="str">
        <f>$Q$7</f>
        <v>A</v>
      </c>
      <c r="R651" s="392">
        <f t="shared" ref="R651:R714" si="135">R644</f>
        <v>0</v>
      </c>
      <c r="S651" s="870">
        <f>SUM(PROD!AP649:AP655)</f>
        <v>0</v>
      </c>
      <c r="T651" s="393">
        <f>IF(AA648&gt;0,S651/AA648,0)</f>
        <v>0</v>
      </c>
      <c r="U651" s="405" t="str">
        <f>$U$7</f>
        <v>Roto</v>
      </c>
      <c r="V651" s="406">
        <f t="shared" ref="V651:V714" si="136">V644</f>
        <v>0</v>
      </c>
      <c r="W651" s="872">
        <f>SUM(PROD!AZ649:AZ655)</f>
        <v>0</v>
      </c>
      <c r="X651" s="407">
        <f>IFERROR(W651/(AA653-AA651),0)</f>
        <v>0</v>
      </c>
      <c r="Y651" s="408" t="s">
        <v>359</v>
      </c>
      <c r="Z651" s="442">
        <v>215</v>
      </c>
      <c r="AA651" s="410">
        <f>SUM(PROD!L649:L655)-SUM(W648:W654)-SUM(S648:S654)-AA650</f>
        <v>0</v>
      </c>
      <c r="AB651" s="496">
        <f>IF(AA653&gt;0,AA651/AA653,0)</f>
        <v>0</v>
      </c>
    </row>
    <row r="652" spans="1:28" ht="15.75" customHeight="1" x14ac:dyDescent="0.3">
      <c r="A652" s="2301"/>
      <c r="B652" s="399" t="str">
        <f>$B$8</f>
        <v>Materia Prima (Carb Ca, etc.)</v>
      </c>
      <c r="C652" s="440">
        <f>C645</f>
        <v>0</v>
      </c>
      <c r="D652" s="387">
        <f>C652*12/52</f>
        <v>0</v>
      </c>
      <c r="E652" s="383">
        <f>IFERROR(D652/SUM(PROD!L649:L655),0)</f>
        <v>0</v>
      </c>
      <c r="F652" s="384">
        <f>IFERROR(E652/SUM(E648:E654,J648:J654,O648:O653),0)</f>
        <v>0</v>
      </c>
      <c r="G652" s="441" t="str">
        <f>$G$15</f>
        <v>Gastos Legales</v>
      </c>
      <c r="H652" s="401">
        <f t="shared" si="134"/>
        <v>0</v>
      </c>
      <c r="I652" s="390">
        <f t="shared" si="132"/>
        <v>0</v>
      </c>
      <c r="J652" s="383">
        <f>IFERROR(I652/SUM(PROD!L649:L655),0)</f>
        <v>0</v>
      </c>
      <c r="K652" s="384">
        <f>IFERROR(J652/SUM(E648:E654,J648:J654,O648:O653),0)</f>
        <v>0</v>
      </c>
      <c r="L652" s="439" t="str">
        <f>$L$8</f>
        <v>Fletes</v>
      </c>
      <c r="M652" s="401">
        <f t="shared" si="133"/>
        <v>0</v>
      </c>
      <c r="N652" s="404">
        <f>M652*0.230769230769231</f>
        <v>0</v>
      </c>
      <c r="O652" s="383">
        <f>IFERROR(N652/SUM(PROD!L649:L655),0)</f>
        <v>0</v>
      </c>
      <c r="P652" s="384">
        <f>IFERROR(O652/SUM(E648:E654,J648:J654,O648:O653),0)</f>
        <v>0</v>
      </c>
      <c r="Q652" s="391" t="str">
        <f>$Q$8</f>
        <v>B</v>
      </c>
      <c r="R652" s="392">
        <f t="shared" si="135"/>
        <v>0</v>
      </c>
      <c r="S652" s="870">
        <f>SUM(PROD!AQ649:AQ655)</f>
        <v>0</v>
      </c>
      <c r="T652" s="393">
        <f>IF(AA648&gt;0,S652/AA648,0)</f>
        <v>0</v>
      </c>
      <c r="U652" s="395" t="str">
        <f>$U$8</f>
        <v>Rev. Gr.</v>
      </c>
      <c r="V652" s="412">
        <f t="shared" si="136"/>
        <v>0</v>
      </c>
      <c r="W652" s="873">
        <f>SUM(PROD!AT649:AT655)</f>
        <v>0</v>
      </c>
      <c r="X652" s="413">
        <f>IFERROR(W652/(AA653-AA651),0)</f>
        <v>0</v>
      </c>
      <c r="Y652" s="414" t="s">
        <v>262</v>
      </c>
      <c r="Z652" s="415">
        <f>IFERROR(SUMPRODUCT(V652:V654,W652:W654)/SUM(W652:W654),0)</f>
        <v>0</v>
      </c>
      <c r="AA652" s="416">
        <f>SUM(W652:W654)</f>
        <v>0</v>
      </c>
      <c r="AB652" s="497">
        <f>IF(AA653&gt;0,AA652/AA653,0)</f>
        <v>0</v>
      </c>
    </row>
    <row r="653" spans="1:28" ht="15.75" customHeight="1" x14ac:dyDescent="0.3">
      <c r="A653" s="2301"/>
      <c r="B653" s="438" t="str">
        <f>$B$9</f>
        <v>Vacunas y medicamentos</v>
      </c>
      <c r="C653" s="443">
        <f>C646</f>
        <v>0</v>
      </c>
      <c r="D653" s="387">
        <f>C653*12/52</f>
        <v>0</v>
      </c>
      <c r="E653" s="383">
        <f>IFERROR(D653/SUM(PROD!L649:L655),0)</f>
        <v>0</v>
      </c>
      <c r="F653" s="384">
        <f>IFERROR(E653/SUM(E648:E654,J648:J654,O648:O653),0)</f>
        <v>0</v>
      </c>
      <c r="G653" s="441" t="str">
        <f>$G$16</f>
        <v>Mantenimiento y Reparaciones</v>
      </c>
      <c r="H653" s="401">
        <f t="shared" si="134"/>
        <v>0</v>
      </c>
      <c r="I653" s="390">
        <f t="shared" si="132"/>
        <v>0</v>
      </c>
      <c r="J653" s="383">
        <f>IFERROR(I653/SUM(PROD!L649:L655),0)</f>
        <v>0</v>
      </c>
      <c r="K653" s="384">
        <f>IFERROR(J653/SUM(E648:E654,J648:J654,O648:O653),0)</f>
        <v>0</v>
      </c>
      <c r="L653" s="439">
        <f>$L$9</f>
        <v>0</v>
      </c>
      <c r="M653" s="401">
        <f t="shared" si="133"/>
        <v>0</v>
      </c>
      <c r="N653" s="404">
        <f>M653*0.230769230769231</f>
        <v>0</v>
      </c>
      <c r="O653" s="383">
        <f>IFERROR(N653/SUM(PROD!L649:L655),0)</f>
        <v>0</v>
      </c>
      <c r="P653" s="384">
        <f>IFERROR(O653/SUM(E648:E654,J648:J654,O648:O653),0)</f>
        <v>0</v>
      </c>
      <c r="Q653" s="391" t="str">
        <f>$Q$9</f>
        <v>C</v>
      </c>
      <c r="R653" s="392">
        <f t="shared" si="135"/>
        <v>0</v>
      </c>
      <c r="S653" s="870">
        <f>SUM(PROD!AR649:AR655)</f>
        <v>0</v>
      </c>
      <c r="T653" s="393">
        <f>IF(AA648&gt;0,S653/AA648,0)</f>
        <v>0</v>
      </c>
      <c r="U653" s="394" t="str">
        <f>$U$9</f>
        <v>Rev. Med</v>
      </c>
      <c r="V653" s="392">
        <f t="shared" si="136"/>
        <v>0</v>
      </c>
      <c r="W653" s="870">
        <f>SUM(PROD!AU649:AU655)</f>
        <v>0</v>
      </c>
      <c r="X653" s="418">
        <f>IFERROR(W653/(AA653-AA651),0)</f>
        <v>0</v>
      </c>
      <c r="Y653" s="2303" t="s">
        <v>325</v>
      </c>
      <c r="Z653" s="2305">
        <f>SUMPRODUCT(Z648:Z652,AB648:AB652)</f>
        <v>0</v>
      </c>
      <c r="AA653" s="2307">
        <f>SUM(AA648:AA651)</f>
        <v>0</v>
      </c>
      <c r="AB653" s="2308"/>
    </row>
    <row r="654" spans="1:28" ht="16.5" customHeight="1" thickBot="1" x14ac:dyDescent="0.35">
      <c r="A654" s="2302"/>
      <c r="B654" s="444" t="str">
        <f>$B$10</f>
        <v>Gastos de Personal</v>
      </c>
      <c r="C654" s="445">
        <f>C647</f>
        <v>0</v>
      </c>
      <c r="D654" s="421">
        <f>C654*12/52</f>
        <v>0</v>
      </c>
      <c r="E654" s="446">
        <f>IFERROR(D654/SUM(PROD!L649:L655),0)</f>
        <v>0</v>
      </c>
      <c r="F654" s="447">
        <f>IFERROR(E654/SUM(E648:E654,J648:J654,O648:O653),0)</f>
        <v>0</v>
      </c>
      <c r="G654" s="448" t="str">
        <f>$G$17</f>
        <v>Adecuación Instalaciones</v>
      </c>
      <c r="H654" s="445">
        <f t="shared" si="134"/>
        <v>0</v>
      </c>
      <c r="I654" s="426">
        <f t="shared" si="132"/>
        <v>0</v>
      </c>
      <c r="J654" s="446">
        <f>IFERROR(I654/SUM(PROD!L649:L655),0)</f>
        <v>0</v>
      </c>
      <c r="K654" s="447">
        <f>IFERROR(J654/SUM(E648:E654,J648:J654,O648:O653),0)</f>
        <v>0</v>
      </c>
      <c r="L654" s="2311" t="str">
        <f>$L$10</f>
        <v>TOTAL COSTO PRODUCCIÓN</v>
      </c>
      <c r="M654" s="2312"/>
      <c r="N654" s="427">
        <f>SUM(D648:D654,I648:I654,N648:N653)</f>
        <v>230769.23076923078</v>
      </c>
      <c r="O654" s="449">
        <f>IFERROR(N654/SUM(PROD!L649:L655),0)</f>
        <v>0</v>
      </c>
      <c r="P654" s="447">
        <f>IFERROR(O654/SUM(E648:E654,J648:J654,O648:O653),0)</f>
        <v>0</v>
      </c>
      <c r="Q654" s="450" t="str">
        <f>$Q$10</f>
        <v>D</v>
      </c>
      <c r="R654" s="430">
        <f t="shared" si="135"/>
        <v>0</v>
      </c>
      <c r="S654" s="871">
        <f>SUM(PROD!AS649:AS655)</f>
        <v>0</v>
      </c>
      <c r="T654" s="451">
        <f>IF(AA648&gt;0,S654/AA648,0)</f>
        <v>0</v>
      </c>
      <c r="U654" s="452" t="str">
        <f>$U$10</f>
        <v>Rev. Peq</v>
      </c>
      <c r="V654" s="430">
        <f t="shared" si="136"/>
        <v>0</v>
      </c>
      <c r="W654" s="874">
        <f>SUM(PROD!AV649:AV655)</f>
        <v>0</v>
      </c>
      <c r="X654" s="451">
        <f>IFERROR(W654/(AA653-AA651),0)</f>
        <v>0</v>
      </c>
      <c r="Y654" s="2304"/>
      <c r="Z654" s="2306"/>
      <c r="AA654" s="2309"/>
      <c r="AB654" s="2310"/>
    </row>
    <row r="655" spans="1:28" ht="16.5" customHeight="1" x14ac:dyDescent="0.3">
      <c r="A655" s="2300">
        <f>A648+1</f>
        <v>111</v>
      </c>
      <c r="B655" s="433" t="str">
        <f>$B$4</f>
        <v>ALIMENTO Kilos</v>
      </c>
      <c r="C655" s="435">
        <f>LOOKUP($A655,PROD!$A$5:$A$725,PROD!$AH$10:$AH$730)</f>
        <v>0</v>
      </c>
      <c r="D655" s="368">
        <f>C655*LOOKUP($A655,'Pr-Sem'!$A$6:$A$108,'Pr-Sem'!$N$6:$N$108)/(PROD!$A$1/1000)</f>
        <v>0</v>
      </c>
      <c r="E655" s="369">
        <f>IFERROR(D655/SUM(PROD!L656:L662),0)</f>
        <v>0</v>
      </c>
      <c r="F655" s="370">
        <f>IFERROR(E655/SUM(E655:E661,J655:J661,O655:O660),0)</f>
        <v>0</v>
      </c>
      <c r="G655" s="434" t="str">
        <f>$G$11</f>
        <v>Honorarios</v>
      </c>
      <c r="H655" s="435">
        <f t="shared" si="134"/>
        <v>0</v>
      </c>
      <c r="I655" s="372">
        <f t="shared" si="132"/>
        <v>0</v>
      </c>
      <c r="J655" s="369">
        <f>IFERROR(I655/SUM(PROD!L656:L662),0)</f>
        <v>0</v>
      </c>
      <c r="K655" s="370">
        <f>IFERROR(J655/SUM(E655:E661,J655:J661,O655:O660),0)</f>
        <v>0</v>
      </c>
      <c r="L655" s="436" t="str">
        <f>$L$4</f>
        <v>Gastos de Viaje</v>
      </c>
      <c r="M655" s="435">
        <f t="shared" ref="M655:M660" si="137">M648</f>
        <v>0</v>
      </c>
      <c r="N655" s="372">
        <f>M655*12/52</f>
        <v>0</v>
      </c>
      <c r="O655" s="369">
        <f>IFERROR(N655/SUM(PROD!L656:L662),0)</f>
        <v>0</v>
      </c>
      <c r="P655" s="370">
        <f>IFERROR(O655/SUM(E655:E661,J655:J661,O655:O660),0)</f>
        <v>0</v>
      </c>
      <c r="Q655" s="373" t="str">
        <f>$Q$4</f>
        <v>AAAA</v>
      </c>
      <c r="R655" s="374">
        <f t="shared" si="135"/>
        <v>0</v>
      </c>
      <c r="S655" s="869">
        <f>SUM(PROD!AM656:AM662)</f>
        <v>0</v>
      </c>
      <c r="T655" s="375">
        <f>IF(AA655&gt;0,S655/AA655,0)</f>
        <v>0</v>
      </c>
      <c r="U655" s="376" t="str">
        <f>$U$4</f>
        <v>Prob Color</v>
      </c>
      <c r="V655" s="374">
        <f t="shared" si="136"/>
        <v>0</v>
      </c>
      <c r="W655" s="869">
        <f>SUM(PROD!AW656:AW662)</f>
        <v>0</v>
      </c>
      <c r="X655" s="375">
        <f>IFERROR(W655/(AA660-AA658),0)</f>
        <v>0</v>
      </c>
      <c r="Y655" s="377" t="s">
        <v>323</v>
      </c>
      <c r="Z655" s="378">
        <f>SUMPRODUCT(R655:R661,T655:T661)</f>
        <v>0</v>
      </c>
      <c r="AA655" s="379">
        <f>SUM(S655:S661)</f>
        <v>0</v>
      </c>
      <c r="AB655" s="490">
        <f>IF(AA660&gt;0,AA655/AA660,0)</f>
        <v>0</v>
      </c>
    </row>
    <row r="656" spans="1:28" ht="15.75" customHeight="1" x14ac:dyDescent="0.3">
      <c r="A656" s="2301"/>
      <c r="B656" s="438" t="str">
        <f>$B$5</f>
        <v>Amortización de Aves</v>
      </c>
      <c r="C656" s="381">
        <f>IFERROR((C649-(D656/'Pr-Sem'!$O$2)),0)</f>
        <v>0</v>
      </c>
      <c r="D656" s="382">
        <f>SUM(PROD!L656:L662)*E656</f>
        <v>0</v>
      </c>
      <c r="E656" s="383">
        <f>IF(SUM(PROD!L656:L662)&gt;0,IFERROR(($C$1-$C$2)/LOOKUP($B$2,'Pr-Sem'!$A$6:$A$108,'Pr-Sem'!$L$6:$L$108)*(LOOKUP(INVENTARIOS!$A655,'Pr-Sem'!$A$6:$A$108,'Pr-Sem'!$L$6:$L$108)-LOOKUP(INVENTARIOS!$A655-1,'Pr-Sem'!$A$6:$A$108,'Pr-Sem'!$L$6:$L$108))/(LOOKUP(INVENTARIOS!$A655,'Pr-Sem'!$A$6:$A$108,'Pr-Sem'!$K$6:$K$108)-LOOKUP(INVENTARIOS!$A655-1,'Pr-Sem'!$A$6:$A$108,'Pr-Sem'!$K$6:$K$108)),0),0)</f>
        <v>0</v>
      </c>
      <c r="F656" s="384">
        <f>IFERROR(E656/SUM(E655:E661,J655:J661,O655:O660),0)</f>
        <v>0</v>
      </c>
      <c r="G656" s="439" t="str">
        <f>$G$12</f>
        <v>Impuestos</v>
      </c>
      <c r="H656" s="440">
        <f t="shared" si="134"/>
        <v>0</v>
      </c>
      <c r="I656" s="387">
        <f t="shared" si="132"/>
        <v>0</v>
      </c>
      <c r="J656" s="383">
        <f>IFERROR(I656/SUM(PROD!L656:L662),0)</f>
        <v>0</v>
      </c>
      <c r="K656" s="384">
        <f>IFERROR(J656/SUM(E655:E661,J655:J661,O655:O660),0)</f>
        <v>0</v>
      </c>
      <c r="L656" s="439" t="str">
        <f>$L$5</f>
        <v>Depreciaciones</v>
      </c>
      <c r="M656" s="401">
        <f t="shared" si="137"/>
        <v>0</v>
      </c>
      <c r="N656" s="390">
        <f>M656*12/52</f>
        <v>0</v>
      </c>
      <c r="O656" s="383">
        <f>IFERROR(N656/SUM(PROD!L656:L662),0)</f>
        <v>0</v>
      </c>
      <c r="P656" s="384">
        <f>IFERROR(O656/SUM(E655:E661,J655:J661,O655:O660),0)</f>
        <v>0</v>
      </c>
      <c r="Q656" s="391" t="str">
        <f>$Q$5</f>
        <v>AAA</v>
      </c>
      <c r="R656" s="392">
        <f t="shared" si="135"/>
        <v>0</v>
      </c>
      <c r="S656" s="870">
        <f>SUM(PROD!AN656:AN662)</f>
        <v>0</v>
      </c>
      <c r="T656" s="393">
        <f>IF(AA655&gt;0,S656/AA655,0)</f>
        <v>0</v>
      </c>
      <c r="U656" s="394" t="str">
        <f>$U$5</f>
        <v>Prob Cásc</v>
      </c>
      <c r="V656" s="392">
        <f t="shared" si="136"/>
        <v>0</v>
      </c>
      <c r="W656" s="870">
        <f>SUM(PROD!AX656:AX662)</f>
        <v>0</v>
      </c>
      <c r="X656" s="393">
        <f>IFERROR(W656/(AA660-AA658),0)</f>
        <v>0</v>
      </c>
      <c r="Y656" s="395" t="s">
        <v>324</v>
      </c>
      <c r="Z656" s="396">
        <f>IFERROR(SUMPRODUCT(V655:V658,W655:W658)/SUM(W655:W658),0)</f>
        <v>0</v>
      </c>
      <c r="AA656" s="397">
        <f>SUM(W655:W658)</f>
        <v>0</v>
      </c>
      <c r="AB656" s="494">
        <f>IF(AA660&gt;0,AA656/AA660,0)</f>
        <v>0</v>
      </c>
    </row>
    <row r="657" spans="1:28" ht="15.75" customHeight="1" x14ac:dyDescent="0.3">
      <c r="A657" s="2301"/>
      <c r="B657" s="399" t="str">
        <f>$B$6</f>
        <v>Bandeja</v>
      </c>
      <c r="C657" s="400">
        <f>C650</f>
        <v>0</v>
      </c>
      <c r="D657" s="387">
        <f>C657*SUM(INVENTARIOS!R655:R661)</f>
        <v>0</v>
      </c>
      <c r="E657" s="383">
        <f>IFERROR(D657/SUM(PROD!L656:L662),0)</f>
        <v>0</v>
      </c>
      <c r="F657" s="384">
        <f>IFERROR(E657/SUM(E655:E661,J655:J661,O655:O660),0)</f>
        <v>0</v>
      </c>
      <c r="G657" s="439" t="str">
        <f>$G$13</f>
        <v>Arrendamientos</v>
      </c>
      <c r="H657" s="401">
        <f t="shared" si="134"/>
        <v>0</v>
      </c>
      <c r="I657" s="390">
        <f t="shared" si="132"/>
        <v>0</v>
      </c>
      <c r="J657" s="383">
        <f>IFERROR(I657/SUM(PROD!L656:L662),0)</f>
        <v>0</v>
      </c>
      <c r="K657" s="384">
        <f>IFERROR(J657/SUM(E655:E661,J655:J661,O655:O660),0)</f>
        <v>0</v>
      </c>
      <c r="L657" s="439" t="str">
        <f>$L$6</f>
        <v>Diversos</v>
      </c>
      <c r="M657" s="401">
        <f t="shared" si="137"/>
        <v>1000000</v>
      </c>
      <c r="N657" s="390">
        <f>M657*12/52</f>
        <v>230769.23076923078</v>
      </c>
      <c r="O657" s="383">
        <f>IFERROR(N657/SUM(PROD!L656:L662),0)</f>
        <v>0</v>
      </c>
      <c r="P657" s="384">
        <f>IFERROR(O657/SUM(E655:E661,J655:J661,O655:O660),0)</f>
        <v>0</v>
      </c>
      <c r="Q657" s="391" t="str">
        <f>$Q$6</f>
        <v>AA</v>
      </c>
      <c r="R657" s="392">
        <f t="shared" si="135"/>
        <v>0</v>
      </c>
      <c r="S657" s="870">
        <f>SUM(PROD!AO656:AO662)</f>
        <v>0</v>
      </c>
      <c r="T657" s="393">
        <f>IF(AA655&gt;0,S657/AA655,0)</f>
        <v>0</v>
      </c>
      <c r="U657" s="394" t="str">
        <f>$U$6</f>
        <v>Vencido</v>
      </c>
      <c r="V657" s="392">
        <f t="shared" si="136"/>
        <v>0</v>
      </c>
      <c r="W657" s="870">
        <f>SUM(PROD!AY656:AY662)</f>
        <v>0</v>
      </c>
      <c r="X657" s="393">
        <f>IFERROR(W657/(AA660-AA658),0)</f>
        <v>0</v>
      </c>
      <c r="Y657" s="402" t="s">
        <v>391</v>
      </c>
      <c r="Z657" s="456">
        <v>0</v>
      </c>
      <c r="AA657" s="720"/>
      <c r="AB657" s="495">
        <f>IF(AA660&gt;0,AA657/AA660,0)</f>
        <v>0</v>
      </c>
    </row>
    <row r="658" spans="1:28" ht="15.75" customHeight="1" x14ac:dyDescent="0.3">
      <c r="A658" s="2301"/>
      <c r="B658" s="438" t="str">
        <f>$B$7</f>
        <v>Mortalidad Aves</v>
      </c>
      <c r="C658" s="401">
        <f>IF(A655&lt;=$B$2,C656+$C$2,0)</f>
        <v>0</v>
      </c>
      <c r="D658" s="390">
        <f>C658*SUM(PROD!D656:D662)</f>
        <v>0</v>
      </c>
      <c r="E658" s="383">
        <f>IFERROR(D658/SUM(PROD!L656:L662),0)</f>
        <v>0</v>
      </c>
      <c r="F658" s="384">
        <f>IFERROR(E658/SUM(E655:E661,J655:J661,O655:O660),0)</f>
        <v>0</v>
      </c>
      <c r="G658" s="439" t="str">
        <f>$G$14</f>
        <v>Servicios Públicos</v>
      </c>
      <c r="H658" s="401">
        <f t="shared" si="134"/>
        <v>0</v>
      </c>
      <c r="I658" s="390">
        <f t="shared" si="132"/>
        <v>0</v>
      </c>
      <c r="J658" s="383">
        <f>IFERROR(I658/SUM(PROD!L656:L662),0)</f>
        <v>0</v>
      </c>
      <c r="K658" s="384">
        <f>IFERROR(J658/SUM(E655:E661,J655:J661,O655:O660),0)</f>
        <v>0</v>
      </c>
      <c r="L658" s="441" t="str">
        <f>$L$7</f>
        <v>Administrativos</v>
      </c>
      <c r="M658" s="401">
        <f t="shared" si="137"/>
        <v>0</v>
      </c>
      <c r="N658" s="404">
        <f>M658*0.230769230769231</f>
        <v>0</v>
      </c>
      <c r="O658" s="383">
        <f>IFERROR(N658/SUM(PROD!L656:L662),0)</f>
        <v>0</v>
      </c>
      <c r="P658" s="384">
        <f>IFERROR(O658/SUM(E655:E661,J655:J661,O655:O660),0)</f>
        <v>0</v>
      </c>
      <c r="Q658" s="391" t="str">
        <f>$Q$7</f>
        <v>A</v>
      </c>
      <c r="R658" s="392">
        <f t="shared" si="135"/>
        <v>0</v>
      </c>
      <c r="S658" s="870">
        <f>SUM(PROD!AP656:AP662)</f>
        <v>0</v>
      </c>
      <c r="T658" s="393">
        <f>IF(AA655&gt;0,S658/AA655,0)</f>
        <v>0</v>
      </c>
      <c r="U658" s="405" t="str">
        <f>$U$7</f>
        <v>Roto</v>
      </c>
      <c r="V658" s="406">
        <f t="shared" si="136"/>
        <v>0</v>
      </c>
      <c r="W658" s="872">
        <f>SUM(PROD!AZ656:AZ662)</f>
        <v>0</v>
      </c>
      <c r="X658" s="407">
        <f>IFERROR(W658/(AA660-AA658),0)</f>
        <v>0</v>
      </c>
      <c r="Y658" s="408" t="s">
        <v>359</v>
      </c>
      <c r="Z658" s="442">
        <v>215</v>
      </c>
      <c r="AA658" s="410">
        <f>SUM(PROD!L656:L662)-SUM(W655:W661)-SUM(S655:S661)-AA657</f>
        <v>0</v>
      </c>
      <c r="AB658" s="496">
        <f>IF(AA660&gt;0,AA658/AA660,0)</f>
        <v>0</v>
      </c>
    </row>
    <row r="659" spans="1:28" ht="15.75" customHeight="1" x14ac:dyDescent="0.3">
      <c r="A659" s="2301"/>
      <c r="B659" s="399" t="str">
        <f>$B$8</f>
        <v>Materia Prima (Carb Ca, etc.)</v>
      </c>
      <c r="C659" s="440">
        <f>C652</f>
        <v>0</v>
      </c>
      <c r="D659" s="387">
        <f>C659*12/52</f>
        <v>0</v>
      </c>
      <c r="E659" s="383">
        <f>IFERROR(D659/SUM(PROD!L656:L662),0)</f>
        <v>0</v>
      </c>
      <c r="F659" s="384">
        <f>IFERROR(E659/SUM(E655:E661,J655:J661,O655:O660),0)</f>
        <v>0</v>
      </c>
      <c r="G659" s="441" t="str">
        <f>$G$15</f>
        <v>Gastos Legales</v>
      </c>
      <c r="H659" s="401">
        <f t="shared" si="134"/>
        <v>0</v>
      </c>
      <c r="I659" s="390">
        <f t="shared" si="132"/>
        <v>0</v>
      </c>
      <c r="J659" s="383">
        <f>IFERROR(I659/SUM(PROD!L656:L662),0)</f>
        <v>0</v>
      </c>
      <c r="K659" s="384">
        <f>IFERROR(J659/SUM(E655:E661,J655:J661,O655:O660),0)</f>
        <v>0</v>
      </c>
      <c r="L659" s="439" t="str">
        <f>$L$8</f>
        <v>Fletes</v>
      </c>
      <c r="M659" s="401">
        <f t="shared" si="137"/>
        <v>0</v>
      </c>
      <c r="N659" s="404">
        <f>M659*0.230769230769231</f>
        <v>0</v>
      </c>
      <c r="O659" s="383">
        <f>IFERROR(N659/SUM(PROD!L656:L662),0)</f>
        <v>0</v>
      </c>
      <c r="P659" s="384">
        <f>IFERROR(O659/SUM(E655:E661,J655:J661,O655:O660),0)</f>
        <v>0</v>
      </c>
      <c r="Q659" s="391" t="str">
        <f>$Q$8</f>
        <v>B</v>
      </c>
      <c r="R659" s="392">
        <f t="shared" si="135"/>
        <v>0</v>
      </c>
      <c r="S659" s="870">
        <f>SUM(PROD!AQ656:AQ662)</f>
        <v>0</v>
      </c>
      <c r="T659" s="393">
        <f>IF(AA655&gt;0,S659/AA655,0)</f>
        <v>0</v>
      </c>
      <c r="U659" s="395" t="str">
        <f>$U$8</f>
        <v>Rev. Gr.</v>
      </c>
      <c r="V659" s="412">
        <f t="shared" si="136"/>
        <v>0</v>
      </c>
      <c r="W659" s="873">
        <f>SUM(PROD!AT656:AT662)</f>
        <v>0</v>
      </c>
      <c r="X659" s="413">
        <f>IFERROR(W659/(AA660-AA658),0)</f>
        <v>0</v>
      </c>
      <c r="Y659" s="414" t="s">
        <v>262</v>
      </c>
      <c r="Z659" s="415">
        <f>IFERROR(SUMPRODUCT(V659:V661,W659:W661)/SUM(W659:W661),0)</f>
        <v>0</v>
      </c>
      <c r="AA659" s="416">
        <f>SUM(W659:W661)</f>
        <v>0</v>
      </c>
      <c r="AB659" s="497">
        <f>IF(AA660&gt;0,AA659/AA660,0)</f>
        <v>0</v>
      </c>
    </row>
    <row r="660" spans="1:28" ht="15.75" customHeight="1" x14ac:dyDescent="0.3">
      <c r="A660" s="2301"/>
      <c r="B660" s="438" t="str">
        <f>$B$9</f>
        <v>Vacunas y medicamentos</v>
      </c>
      <c r="C660" s="443">
        <f>C653</f>
        <v>0</v>
      </c>
      <c r="D660" s="387">
        <f>C660*12/52</f>
        <v>0</v>
      </c>
      <c r="E660" s="383">
        <f>IFERROR(D660/SUM(PROD!L656:L662),0)</f>
        <v>0</v>
      </c>
      <c r="F660" s="384">
        <f>IFERROR(E660/SUM(E655:E661,J655:J661,O655:O660),0)</f>
        <v>0</v>
      </c>
      <c r="G660" s="441" t="str">
        <f>$G$16</f>
        <v>Mantenimiento y Reparaciones</v>
      </c>
      <c r="H660" s="401">
        <f t="shared" si="134"/>
        <v>0</v>
      </c>
      <c r="I660" s="390">
        <f t="shared" si="132"/>
        <v>0</v>
      </c>
      <c r="J660" s="383">
        <f>IFERROR(I660/SUM(PROD!L656:L662),0)</f>
        <v>0</v>
      </c>
      <c r="K660" s="384">
        <f>IFERROR(J660/SUM(E655:E661,J655:J661,O655:O660),0)</f>
        <v>0</v>
      </c>
      <c r="L660" s="439">
        <f>$L$9</f>
        <v>0</v>
      </c>
      <c r="M660" s="401">
        <f t="shared" si="137"/>
        <v>0</v>
      </c>
      <c r="N660" s="404">
        <f>M660*0.230769230769231</f>
        <v>0</v>
      </c>
      <c r="O660" s="383">
        <f>IFERROR(N660/SUM(PROD!L656:L662),0)</f>
        <v>0</v>
      </c>
      <c r="P660" s="384">
        <f>IFERROR(O660/SUM(E655:E661,J655:J661,O655:O660),0)</f>
        <v>0</v>
      </c>
      <c r="Q660" s="391" t="str">
        <f>$Q$9</f>
        <v>C</v>
      </c>
      <c r="R660" s="392">
        <f t="shared" si="135"/>
        <v>0</v>
      </c>
      <c r="S660" s="870">
        <f>SUM(PROD!AR656:AR662)</f>
        <v>0</v>
      </c>
      <c r="T660" s="393">
        <f>IF(AA655&gt;0,S660/AA655,0)</f>
        <v>0</v>
      </c>
      <c r="U660" s="394" t="str">
        <f>$U$9</f>
        <v>Rev. Med</v>
      </c>
      <c r="V660" s="392">
        <f t="shared" si="136"/>
        <v>0</v>
      </c>
      <c r="W660" s="870">
        <f>SUM(PROD!AU656:AU662)</f>
        <v>0</v>
      </c>
      <c r="X660" s="418">
        <f>IFERROR(W660/(AA660-AA658),0)</f>
        <v>0</v>
      </c>
      <c r="Y660" s="2303" t="s">
        <v>325</v>
      </c>
      <c r="Z660" s="2305">
        <f>SUMPRODUCT(Z655:Z659,AB655:AB659)</f>
        <v>0</v>
      </c>
      <c r="AA660" s="2307">
        <f>SUM(AA655:AA658)</f>
        <v>0</v>
      </c>
      <c r="AB660" s="2308"/>
    </row>
    <row r="661" spans="1:28" ht="16.5" customHeight="1" thickBot="1" x14ac:dyDescent="0.35">
      <c r="A661" s="2302"/>
      <c r="B661" s="444" t="str">
        <f>$B$10</f>
        <v>Gastos de Personal</v>
      </c>
      <c r="C661" s="445">
        <f>C654</f>
        <v>0</v>
      </c>
      <c r="D661" s="421">
        <f>C661*12/52</f>
        <v>0</v>
      </c>
      <c r="E661" s="446">
        <f>IFERROR(D661/SUM(PROD!L656:L662),0)</f>
        <v>0</v>
      </c>
      <c r="F661" s="447">
        <f>IFERROR(E661/SUM(E655:E661,J655:J661,O655:O660),0)</f>
        <v>0</v>
      </c>
      <c r="G661" s="448" t="str">
        <f>$G$17</f>
        <v>Adecuación Instalaciones</v>
      </c>
      <c r="H661" s="445">
        <f t="shared" si="134"/>
        <v>0</v>
      </c>
      <c r="I661" s="426">
        <f t="shared" si="132"/>
        <v>0</v>
      </c>
      <c r="J661" s="446">
        <f>IFERROR(I661/SUM(PROD!L656:L662),0)</f>
        <v>0</v>
      </c>
      <c r="K661" s="447">
        <f>IFERROR(J661/SUM(E655:E661,J655:J661,O655:O660),0)</f>
        <v>0</v>
      </c>
      <c r="L661" s="2311" t="str">
        <f>$L$10</f>
        <v>TOTAL COSTO PRODUCCIÓN</v>
      </c>
      <c r="M661" s="2312"/>
      <c r="N661" s="427">
        <f>SUM(D655:D661,I655:I661,N655:N660)</f>
        <v>230769.23076923078</v>
      </c>
      <c r="O661" s="449">
        <f>IFERROR(N661/SUM(PROD!L656:L662),0)</f>
        <v>0</v>
      </c>
      <c r="P661" s="447">
        <f>IFERROR(O661/SUM(E655:E661,J655:J661,O655:O660),0)</f>
        <v>0</v>
      </c>
      <c r="Q661" s="450" t="str">
        <f>$Q$10</f>
        <v>D</v>
      </c>
      <c r="R661" s="430">
        <f t="shared" si="135"/>
        <v>0</v>
      </c>
      <c r="S661" s="871">
        <f>SUM(PROD!AS656:AS662)</f>
        <v>0</v>
      </c>
      <c r="T661" s="451">
        <f>IF(AA655&gt;0,S661/AA655,0)</f>
        <v>0</v>
      </c>
      <c r="U661" s="452" t="str">
        <f>$U$10</f>
        <v>Rev. Peq</v>
      </c>
      <c r="V661" s="430">
        <f t="shared" si="136"/>
        <v>0</v>
      </c>
      <c r="W661" s="874">
        <f>SUM(PROD!AV656:AV662)</f>
        <v>0</v>
      </c>
      <c r="X661" s="451">
        <f>IFERROR(W661/(AA660-AA658),0)</f>
        <v>0</v>
      </c>
      <c r="Y661" s="2304"/>
      <c r="Z661" s="2306"/>
      <c r="AA661" s="2309"/>
      <c r="AB661" s="2310"/>
    </row>
    <row r="662" spans="1:28" ht="16.5" customHeight="1" x14ac:dyDescent="0.3">
      <c r="A662" s="2300">
        <f>A655+1</f>
        <v>112</v>
      </c>
      <c r="B662" s="433" t="str">
        <f>$B$4</f>
        <v>ALIMENTO Kilos</v>
      </c>
      <c r="C662" s="435">
        <f>LOOKUP($A662,PROD!$A$5:$A$725,PROD!$AH$10:$AH$730)</f>
        <v>0</v>
      </c>
      <c r="D662" s="368">
        <f>C662*LOOKUP($A662,'Pr-Sem'!$A$6:$A$108,'Pr-Sem'!$N$6:$N$108)/(PROD!$A$1/1000)</f>
        <v>0</v>
      </c>
      <c r="E662" s="369">
        <f>IFERROR(D662/SUM(PROD!L663:L669),0)</f>
        <v>0</v>
      </c>
      <c r="F662" s="370">
        <f>IFERROR(E662/SUM(E662:E668,J662:J668,O662:O667),0)</f>
        <v>0</v>
      </c>
      <c r="G662" s="434" t="str">
        <f>$G$11</f>
        <v>Honorarios</v>
      </c>
      <c r="H662" s="435">
        <f t="shared" si="134"/>
        <v>0</v>
      </c>
      <c r="I662" s="372">
        <f t="shared" si="132"/>
        <v>0</v>
      </c>
      <c r="J662" s="369">
        <f>IFERROR(I662/SUM(PROD!L663:L669),0)</f>
        <v>0</v>
      </c>
      <c r="K662" s="370">
        <f>IFERROR(J662/SUM(E662:E668,J662:J668,O662:O667),0)</f>
        <v>0</v>
      </c>
      <c r="L662" s="436" t="str">
        <f>$L$4</f>
        <v>Gastos de Viaje</v>
      </c>
      <c r="M662" s="435">
        <f t="shared" ref="M662:M667" si="138">M655</f>
        <v>0</v>
      </c>
      <c r="N662" s="372">
        <f>M662*12/52</f>
        <v>0</v>
      </c>
      <c r="O662" s="369">
        <f>IFERROR(N662/SUM(PROD!L663:L669),0)</f>
        <v>0</v>
      </c>
      <c r="P662" s="370">
        <f>IFERROR(O662/SUM(E662:E668,J662:J668,O662:O667),0)</f>
        <v>0</v>
      </c>
      <c r="Q662" s="373" t="str">
        <f>$Q$4</f>
        <v>AAAA</v>
      </c>
      <c r="R662" s="374">
        <f t="shared" si="135"/>
        <v>0</v>
      </c>
      <c r="S662" s="869">
        <f>SUM(PROD!AM663:AM669)</f>
        <v>0</v>
      </c>
      <c r="T662" s="375">
        <f>IF(AA662&gt;0,S662/AA662,0)</f>
        <v>0</v>
      </c>
      <c r="U662" s="376" t="str">
        <f>$U$4</f>
        <v>Prob Color</v>
      </c>
      <c r="V662" s="374">
        <f t="shared" si="136"/>
        <v>0</v>
      </c>
      <c r="W662" s="869">
        <f>SUM(PROD!AW663:AW669)</f>
        <v>0</v>
      </c>
      <c r="X662" s="375">
        <f>IFERROR(W662/(AA667-AA665),0)</f>
        <v>0</v>
      </c>
      <c r="Y662" s="377" t="s">
        <v>323</v>
      </c>
      <c r="Z662" s="378">
        <f>SUMPRODUCT(R662:R668,T662:T668)</f>
        <v>0</v>
      </c>
      <c r="AA662" s="379">
        <f>SUM(S662:S668)</f>
        <v>0</v>
      </c>
      <c r="AB662" s="490">
        <f>IF(AA667&gt;0,AA662/AA667,0)</f>
        <v>0</v>
      </c>
    </row>
    <row r="663" spans="1:28" ht="15.75" customHeight="1" x14ac:dyDescent="0.3">
      <c r="A663" s="2301"/>
      <c r="B663" s="438" t="str">
        <f>$B$5</f>
        <v>Amortización de Aves</v>
      </c>
      <c r="C663" s="381">
        <f>IFERROR((C656-(D663/'Pr-Sem'!$O$2)),0)</f>
        <v>0</v>
      </c>
      <c r="D663" s="382">
        <f>SUM(PROD!L663:L669)*E663</f>
        <v>0</v>
      </c>
      <c r="E663" s="383">
        <f>IF(SUM(PROD!L663:L669)&gt;0,IFERROR(($C$1-$C$2)/LOOKUP($B$2,'Pr-Sem'!$A$6:$A$108,'Pr-Sem'!$L$6:$L$108)*(LOOKUP(INVENTARIOS!$A662,'Pr-Sem'!$A$6:$A$108,'Pr-Sem'!$L$6:$L$108)-LOOKUP(INVENTARIOS!$A662-1,'Pr-Sem'!$A$6:$A$108,'Pr-Sem'!$L$6:$L$108))/(LOOKUP(INVENTARIOS!$A662,'Pr-Sem'!$A$6:$A$108,'Pr-Sem'!$K$6:$K$108)-LOOKUP(INVENTARIOS!$A662-1,'Pr-Sem'!$A$6:$A$108,'Pr-Sem'!$K$6:$K$108)),0),0)</f>
        <v>0</v>
      </c>
      <c r="F663" s="384">
        <f>IFERROR(E663/SUM(E662:E668,J662:J668,O662:O667),0)</f>
        <v>0</v>
      </c>
      <c r="G663" s="439" t="str">
        <f>$G$12</f>
        <v>Impuestos</v>
      </c>
      <c r="H663" s="440">
        <f t="shared" si="134"/>
        <v>0</v>
      </c>
      <c r="I663" s="387">
        <f t="shared" si="132"/>
        <v>0</v>
      </c>
      <c r="J663" s="383">
        <f>IFERROR(I663/SUM(PROD!L663:L669),0)</f>
        <v>0</v>
      </c>
      <c r="K663" s="384">
        <f>IFERROR(J663/SUM(E662:E668,J662:J668,O662:O667),0)</f>
        <v>0</v>
      </c>
      <c r="L663" s="439" t="str">
        <f>$L$5</f>
        <v>Depreciaciones</v>
      </c>
      <c r="M663" s="401">
        <f t="shared" si="138"/>
        <v>0</v>
      </c>
      <c r="N663" s="390">
        <f>M663*12/52</f>
        <v>0</v>
      </c>
      <c r="O663" s="383">
        <f>IFERROR(N663/SUM(PROD!L663:L669),0)</f>
        <v>0</v>
      </c>
      <c r="P663" s="384">
        <f>IFERROR(O663/SUM(E662:E668,J662:J668,O662:O667),0)</f>
        <v>0</v>
      </c>
      <c r="Q663" s="391" t="str">
        <f>$Q$5</f>
        <v>AAA</v>
      </c>
      <c r="R663" s="392">
        <f t="shared" si="135"/>
        <v>0</v>
      </c>
      <c r="S663" s="870">
        <f>SUM(PROD!AN663:AN669)</f>
        <v>0</v>
      </c>
      <c r="T663" s="393">
        <f>IF(AA662&gt;0,S663/AA662,0)</f>
        <v>0</v>
      </c>
      <c r="U663" s="394" t="str">
        <f>$U$5</f>
        <v>Prob Cásc</v>
      </c>
      <c r="V663" s="392">
        <f t="shared" si="136"/>
        <v>0</v>
      </c>
      <c r="W663" s="870">
        <f>SUM(PROD!AX663:AX669)</f>
        <v>0</v>
      </c>
      <c r="X663" s="393">
        <f>IFERROR(W663/(AA667-AA665),0)</f>
        <v>0</v>
      </c>
      <c r="Y663" s="395" t="s">
        <v>324</v>
      </c>
      <c r="Z663" s="396">
        <f>IFERROR(SUMPRODUCT(V662:V665,W662:W665)/SUM(W662:W665),0)</f>
        <v>0</v>
      </c>
      <c r="AA663" s="397">
        <f>SUM(W662:W665)</f>
        <v>0</v>
      </c>
      <c r="AB663" s="494">
        <f>IF(AA667&gt;0,AA663/AA667,0)</f>
        <v>0</v>
      </c>
    </row>
    <row r="664" spans="1:28" ht="15.75" customHeight="1" x14ac:dyDescent="0.3">
      <c r="A664" s="2301"/>
      <c r="B664" s="399" t="str">
        <f>$B$6</f>
        <v>Bandeja</v>
      </c>
      <c r="C664" s="400">
        <f>C657</f>
        <v>0</v>
      </c>
      <c r="D664" s="387">
        <f>C664*SUM(INVENTARIOS!R662:R668)</f>
        <v>0</v>
      </c>
      <c r="E664" s="383">
        <f>IFERROR(D664/SUM(PROD!L663:L669),0)</f>
        <v>0</v>
      </c>
      <c r="F664" s="384">
        <f>IFERROR(E664/SUM(E662:E668,J662:J668,O662:O667),0)</f>
        <v>0</v>
      </c>
      <c r="G664" s="439" t="str">
        <f>$G$13</f>
        <v>Arrendamientos</v>
      </c>
      <c r="H664" s="401">
        <f t="shared" si="134"/>
        <v>0</v>
      </c>
      <c r="I664" s="390">
        <f t="shared" si="132"/>
        <v>0</v>
      </c>
      <c r="J664" s="383">
        <f>IFERROR(I664/SUM(PROD!L663:L669),0)</f>
        <v>0</v>
      </c>
      <c r="K664" s="384">
        <f>IFERROR(J664/SUM(E662:E668,J662:J668,O662:O667),0)</f>
        <v>0</v>
      </c>
      <c r="L664" s="439" t="str">
        <f>$L$6</f>
        <v>Diversos</v>
      </c>
      <c r="M664" s="401">
        <f t="shared" si="138"/>
        <v>1000000</v>
      </c>
      <c r="N664" s="390">
        <f>M664*12/52</f>
        <v>230769.23076923078</v>
      </c>
      <c r="O664" s="383">
        <f>IFERROR(N664/SUM(PROD!L663:L669),0)</f>
        <v>0</v>
      </c>
      <c r="P664" s="384">
        <f>IFERROR(O664/SUM(E662:E668,J662:J668,O662:O667),0)</f>
        <v>0</v>
      </c>
      <c r="Q664" s="391" t="str">
        <f>$Q$6</f>
        <v>AA</v>
      </c>
      <c r="R664" s="392">
        <f t="shared" si="135"/>
        <v>0</v>
      </c>
      <c r="S664" s="870">
        <f>SUM(PROD!AO663:AO669)</f>
        <v>0</v>
      </c>
      <c r="T664" s="393">
        <f>IF(AA662&gt;0,S664/AA662,0)</f>
        <v>0</v>
      </c>
      <c r="U664" s="394" t="str">
        <f>$U$6</f>
        <v>Vencido</v>
      </c>
      <c r="V664" s="392">
        <f t="shared" si="136"/>
        <v>0</v>
      </c>
      <c r="W664" s="870">
        <f>SUM(PROD!AY663:AY669)</f>
        <v>0</v>
      </c>
      <c r="X664" s="393">
        <f>IFERROR(W664/(AA667-AA665),0)</f>
        <v>0</v>
      </c>
      <c r="Y664" s="402" t="s">
        <v>391</v>
      </c>
      <c r="Z664" s="456">
        <v>0</v>
      </c>
      <c r="AA664" s="720"/>
      <c r="AB664" s="495">
        <f>IF(AA667&gt;0,AA664/AA667,0)</f>
        <v>0</v>
      </c>
    </row>
    <row r="665" spans="1:28" ht="15.75" customHeight="1" x14ac:dyDescent="0.3">
      <c r="A665" s="2301"/>
      <c r="B665" s="438" t="str">
        <f>$B$7</f>
        <v>Mortalidad Aves</v>
      </c>
      <c r="C665" s="401">
        <f>IF(A662&lt;=$B$2,C663+$C$2,0)</f>
        <v>0</v>
      </c>
      <c r="D665" s="390">
        <f>C665*SUM(PROD!D663:D669)</f>
        <v>0</v>
      </c>
      <c r="E665" s="383">
        <f>IFERROR(D665/SUM(PROD!L663:L669),0)</f>
        <v>0</v>
      </c>
      <c r="F665" s="384">
        <f>IFERROR(E665/SUM(E662:E668,J662:J668,O662:O667),0)</f>
        <v>0</v>
      </c>
      <c r="G665" s="439" t="str">
        <f>$G$14</f>
        <v>Servicios Públicos</v>
      </c>
      <c r="H665" s="401">
        <f t="shared" si="134"/>
        <v>0</v>
      </c>
      <c r="I665" s="390">
        <f t="shared" si="132"/>
        <v>0</v>
      </c>
      <c r="J665" s="383">
        <f>IFERROR(I665/SUM(PROD!L663:L669),0)</f>
        <v>0</v>
      </c>
      <c r="K665" s="384">
        <f>IFERROR(J665/SUM(E662:E668,J662:J668,O662:O667),0)</f>
        <v>0</v>
      </c>
      <c r="L665" s="441" t="str">
        <f>$L$7</f>
        <v>Administrativos</v>
      </c>
      <c r="M665" s="401">
        <f t="shared" si="138"/>
        <v>0</v>
      </c>
      <c r="N665" s="404">
        <f>M665*0.230769230769231</f>
        <v>0</v>
      </c>
      <c r="O665" s="383">
        <f>IFERROR(N665/SUM(PROD!L663:L669),0)</f>
        <v>0</v>
      </c>
      <c r="P665" s="384">
        <f>IFERROR(O665/SUM(E662:E668,J662:J668,O662:O667),0)</f>
        <v>0</v>
      </c>
      <c r="Q665" s="391" t="str">
        <f>$Q$7</f>
        <v>A</v>
      </c>
      <c r="R665" s="392">
        <f t="shared" si="135"/>
        <v>0</v>
      </c>
      <c r="S665" s="870">
        <f>SUM(PROD!AP663:AP669)</f>
        <v>0</v>
      </c>
      <c r="T665" s="393">
        <f>IF(AA662&gt;0,S665/AA662,0)</f>
        <v>0</v>
      </c>
      <c r="U665" s="405" t="str">
        <f>$U$7</f>
        <v>Roto</v>
      </c>
      <c r="V665" s="406">
        <f t="shared" si="136"/>
        <v>0</v>
      </c>
      <c r="W665" s="872">
        <f>SUM(PROD!AZ663:AZ669)</f>
        <v>0</v>
      </c>
      <c r="X665" s="407">
        <f>IFERROR(W665/(AA667-AA665),0)</f>
        <v>0</v>
      </c>
      <c r="Y665" s="408" t="s">
        <v>359</v>
      </c>
      <c r="Z665" s="442">
        <v>215</v>
      </c>
      <c r="AA665" s="410">
        <f>SUM(PROD!L663:L669)-SUM(W662:W668)-SUM(S662:S668)-AA664</f>
        <v>0</v>
      </c>
      <c r="AB665" s="496">
        <f>IF(AA667&gt;0,AA665/AA667,0)</f>
        <v>0</v>
      </c>
    </row>
    <row r="666" spans="1:28" ht="15.75" customHeight="1" x14ac:dyDescent="0.3">
      <c r="A666" s="2301"/>
      <c r="B666" s="399" t="str">
        <f>$B$8</f>
        <v>Materia Prima (Carb Ca, etc.)</v>
      </c>
      <c r="C666" s="440">
        <f>C659</f>
        <v>0</v>
      </c>
      <c r="D666" s="387">
        <f>C666*12/52</f>
        <v>0</v>
      </c>
      <c r="E666" s="383">
        <f>IFERROR(D666/SUM(PROD!L663:L669),0)</f>
        <v>0</v>
      </c>
      <c r="F666" s="384">
        <f>IFERROR(E666/SUM(E662:E668,J662:J668,O662:O667),0)</f>
        <v>0</v>
      </c>
      <c r="G666" s="441" t="str">
        <f>$G$15</f>
        <v>Gastos Legales</v>
      </c>
      <c r="H666" s="401">
        <f t="shared" si="134"/>
        <v>0</v>
      </c>
      <c r="I666" s="390">
        <f t="shared" si="132"/>
        <v>0</v>
      </c>
      <c r="J666" s="383">
        <f>IFERROR(I666/SUM(PROD!L663:L669),0)</f>
        <v>0</v>
      </c>
      <c r="K666" s="384">
        <f>IFERROR(J666/SUM(E662:E668,J662:J668,O662:O667),0)</f>
        <v>0</v>
      </c>
      <c r="L666" s="439" t="str">
        <f>$L$8</f>
        <v>Fletes</v>
      </c>
      <c r="M666" s="401">
        <f t="shared" si="138"/>
        <v>0</v>
      </c>
      <c r="N666" s="404">
        <f>M666*0.230769230769231</f>
        <v>0</v>
      </c>
      <c r="O666" s="383">
        <f>IFERROR(N666/SUM(PROD!L663:L669),0)</f>
        <v>0</v>
      </c>
      <c r="P666" s="384">
        <f>IFERROR(O666/SUM(E662:E668,J662:J668,O662:O667),0)</f>
        <v>0</v>
      </c>
      <c r="Q666" s="391" t="str">
        <f>$Q$8</f>
        <v>B</v>
      </c>
      <c r="R666" s="392">
        <f t="shared" si="135"/>
        <v>0</v>
      </c>
      <c r="S666" s="870">
        <f>SUM(PROD!AQ663:AQ669)</f>
        <v>0</v>
      </c>
      <c r="T666" s="393">
        <f>IF(AA662&gt;0,S666/AA662,0)</f>
        <v>0</v>
      </c>
      <c r="U666" s="395" t="str">
        <f>$U$8</f>
        <v>Rev. Gr.</v>
      </c>
      <c r="V666" s="412">
        <f t="shared" si="136"/>
        <v>0</v>
      </c>
      <c r="W666" s="873">
        <f>SUM(PROD!AT663:AT669)</f>
        <v>0</v>
      </c>
      <c r="X666" s="413">
        <f>IFERROR(W666/(AA667-AA665),0)</f>
        <v>0</v>
      </c>
      <c r="Y666" s="414" t="s">
        <v>262</v>
      </c>
      <c r="Z666" s="415">
        <f>IFERROR(SUMPRODUCT(V666:V668,W666:W668)/SUM(W666:W668),0)</f>
        <v>0</v>
      </c>
      <c r="AA666" s="416">
        <f>SUM(W666:W668)</f>
        <v>0</v>
      </c>
      <c r="AB666" s="497">
        <f>IF(AA667&gt;0,AA666/AA667,0)</f>
        <v>0</v>
      </c>
    </row>
    <row r="667" spans="1:28" ht="15.75" customHeight="1" x14ac:dyDescent="0.3">
      <c r="A667" s="2301"/>
      <c r="B667" s="438" t="str">
        <f>$B$9</f>
        <v>Vacunas y medicamentos</v>
      </c>
      <c r="C667" s="443">
        <f>C660</f>
        <v>0</v>
      </c>
      <c r="D667" s="387">
        <f>C667*12/52</f>
        <v>0</v>
      </c>
      <c r="E667" s="383">
        <f>IFERROR(D667/SUM(PROD!L663:L669),0)</f>
        <v>0</v>
      </c>
      <c r="F667" s="384">
        <f>IFERROR(E667/SUM(E662:E668,J662:J668,O662:O667),0)</f>
        <v>0</v>
      </c>
      <c r="G667" s="441" t="str">
        <f>$G$16</f>
        <v>Mantenimiento y Reparaciones</v>
      </c>
      <c r="H667" s="401">
        <f t="shared" si="134"/>
        <v>0</v>
      </c>
      <c r="I667" s="390">
        <f t="shared" si="132"/>
        <v>0</v>
      </c>
      <c r="J667" s="383">
        <f>IFERROR(I667/SUM(PROD!L663:L669),0)</f>
        <v>0</v>
      </c>
      <c r="K667" s="384">
        <f>IFERROR(J667/SUM(E662:E668,J662:J668,O662:O667),0)</f>
        <v>0</v>
      </c>
      <c r="L667" s="439">
        <f>$L$9</f>
        <v>0</v>
      </c>
      <c r="M667" s="401">
        <f t="shared" si="138"/>
        <v>0</v>
      </c>
      <c r="N667" s="404">
        <f>M667*0.230769230769231</f>
        <v>0</v>
      </c>
      <c r="O667" s="383">
        <f>IFERROR(N667/SUM(PROD!L663:L669),0)</f>
        <v>0</v>
      </c>
      <c r="P667" s="384">
        <f>IFERROR(O667/SUM(E662:E668,J662:J668,O662:O667),0)</f>
        <v>0</v>
      </c>
      <c r="Q667" s="391" t="str">
        <f>$Q$9</f>
        <v>C</v>
      </c>
      <c r="R667" s="392">
        <f t="shared" si="135"/>
        <v>0</v>
      </c>
      <c r="S667" s="870">
        <f>SUM(PROD!AR663:AR669)</f>
        <v>0</v>
      </c>
      <c r="T667" s="393">
        <f>IF(AA662&gt;0,S667/AA662,0)</f>
        <v>0</v>
      </c>
      <c r="U667" s="394" t="str">
        <f>$U$9</f>
        <v>Rev. Med</v>
      </c>
      <c r="V667" s="392">
        <f t="shared" si="136"/>
        <v>0</v>
      </c>
      <c r="W667" s="870">
        <f>SUM(PROD!AU663:AU669)</f>
        <v>0</v>
      </c>
      <c r="X667" s="418">
        <f>IFERROR(W667/(AA667-AA665),0)</f>
        <v>0</v>
      </c>
      <c r="Y667" s="2303" t="s">
        <v>325</v>
      </c>
      <c r="Z667" s="2305">
        <f>SUMPRODUCT(Z662:Z666,AB662:AB666)</f>
        <v>0</v>
      </c>
      <c r="AA667" s="2307">
        <f>SUM(AA662:AA665)</f>
        <v>0</v>
      </c>
      <c r="AB667" s="2308"/>
    </row>
    <row r="668" spans="1:28" ht="16.5" customHeight="1" thickBot="1" x14ac:dyDescent="0.35">
      <c r="A668" s="2302"/>
      <c r="B668" s="444" t="str">
        <f>$B$10</f>
        <v>Gastos de Personal</v>
      </c>
      <c r="C668" s="445">
        <f>C661</f>
        <v>0</v>
      </c>
      <c r="D668" s="421">
        <f>C668*12/52</f>
        <v>0</v>
      </c>
      <c r="E668" s="446">
        <f>IFERROR(D668/SUM(PROD!L663:L669),0)</f>
        <v>0</v>
      </c>
      <c r="F668" s="447">
        <f>IFERROR(E668/SUM(E662:E668,J662:J668,O662:O667),0)</f>
        <v>0</v>
      </c>
      <c r="G668" s="448" t="str">
        <f>$G$17</f>
        <v>Adecuación Instalaciones</v>
      </c>
      <c r="H668" s="445">
        <f t="shared" si="134"/>
        <v>0</v>
      </c>
      <c r="I668" s="426">
        <f t="shared" si="132"/>
        <v>0</v>
      </c>
      <c r="J668" s="446">
        <f>IFERROR(I668/SUM(PROD!L663:L669),0)</f>
        <v>0</v>
      </c>
      <c r="K668" s="447">
        <f>IFERROR(J668/SUM(E662:E668,J662:J668,O662:O667),0)</f>
        <v>0</v>
      </c>
      <c r="L668" s="2311" t="str">
        <f>$L$10</f>
        <v>TOTAL COSTO PRODUCCIÓN</v>
      </c>
      <c r="M668" s="2312"/>
      <c r="N668" s="427">
        <f>SUM(D662:D668,I662:I668,N662:N667)</f>
        <v>230769.23076923078</v>
      </c>
      <c r="O668" s="449">
        <f>IFERROR(N668/SUM(PROD!L663:L669),0)</f>
        <v>0</v>
      </c>
      <c r="P668" s="447">
        <f>IFERROR(O668/SUM(E662:E668,J662:J668,O662:O667),0)</f>
        <v>0</v>
      </c>
      <c r="Q668" s="450" t="str">
        <f>$Q$10</f>
        <v>D</v>
      </c>
      <c r="R668" s="430">
        <f t="shared" si="135"/>
        <v>0</v>
      </c>
      <c r="S668" s="871">
        <f>SUM(PROD!AS663:AS669)</f>
        <v>0</v>
      </c>
      <c r="T668" s="451">
        <f>IF(AA662&gt;0,S668/AA662,0)</f>
        <v>0</v>
      </c>
      <c r="U668" s="452" t="str">
        <f>$U$10</f>
        <v>Rev. Peq</v>
      </c>
      <c r="V668" s="430">
        <f t="shared" si="136"/>
        <v>0</v>
      </c>
      <c r="W668" s="874">
        <f>SUM(PROD!AV663:AV669)</f>
        <v>0</v>
      </c>
      <c r="X668" s="451">
        <f>IFERROR(W668/(AA667-AA665),0)</f>
        <v>0</v>
      </c>
      <c r="Y668" s="2304"/>
      <c r="Z668" s="2306"/>
      <c r="AA668" s="2309"/>
      <c r="AB668" s="2310"/>
    </row>
    <row r="669" spans="1:28" ht="16.5" customHeight="1" x14ac:dyDescent="0.3">
      <c r="A669" s="2300">
        <f>A662+1</f>
        <v>113</v>
      </c>
      <c r="B669" s="433" t="str">
        <f>$B$4</f>
        <v>ALIMENTO Kilos</v>
      </c>
      <c r="C669" s="435">
        <f>LOOKUP($A669,PROD!$A$5:$A$725,PROD!$AH$10:$AH$730)</f>
        <v>0</v>
      </c>
      <c r="D669" s="368">
        <f>C669*LOOKUP($A669,'Pr-Sem'!$A$6:$A$108,'Pr-Sem'!$N$6:$N$108)/(PROD!$A$1/1000)</f>
        <v>0</v>
      </c>
      <c r="E669" s="369">
        <f>IFERROR(D669/SUM(PROD!L670:L676),0)</f>
        <v>0</v>
      </c>
      <c r="F669" s="370">
        <f>IFERROR(E669/SUM(E669:E675,J669:J675,O669:O674),0)</f>
        <v>0</v>
      </c>
      <c r="G669" s="434" t="str">
        <f>$G$11</f>
        <v>Honorarios</v>
      </c>
      <c r="H669" s="435">
        <f t="shared" si="134"/>
        <v>0</v>
      </c>
      <c r="I669" s="372">
        <f t="shared" si="132"/>
        <v>0</v>
      </c>
      <c r="J669" s="369">
        <f>IFERROR(I669/SUM(PROD!L670:L676),0)</f>
        <v>0</v>
      </c>
      <c r="K669" s="370">
        <f>IFERROR(J669/SUM(E669:E675,J669:J675,O669:O674),0)</f>
        <v>0</v>
      </c>
      <c r="L669" s="436" t="str">
        <f>$L$4</f>
        <v>Gastos de Viaje</v>
      </c>
      <c r="M669" s="435">
        <f t="shared" ref="M669:M674" si="139">M662</f>
        <v>0</v>
      </c>
      <c r="N669" s="372">
        <f>M669*12/52</f>
        <v>0</v>
      </c>
      <c r="O669" s="369">
        <f>IFERROR(N669/SUM(PROD!L670:L676),0)</f>
        <v>0</v>
      </c>
      <c r="P669" s="370">
        <f>IFERROR(O669/SUM(E669:E675,J669:J675,O669:O674),0)</f>
        <v>0</v>
      </c>
      <c r="Q669" s="373" t="str">
        <f>$Q$4</f>
        <v>AAAA</v>
      </c>
      <c r="R669" s="374">
        <f t="shared" si="135"/>
        <v>0</v>
      </c>
      <c r="S669" s="869">
        <f>SUM(PROD!AM670:AM676)</f>
        <v>0</v>
      </c>
      <c r="T669" s="375">
        <f>IF(AA669&gt;0,S669/AA669,0)</f>
        <v>0</v>
      </c>
      <c r="U669" s="376" t="str">
        <f>$U$4</f>
        <v>Prob Color</v>
      </c>
      <c r="V669" s="374">
        <f t="shared" si="136"/>
        <v>0</v>
      </c>
      <c r="W669" s="869">
        <f>SUM(PROD!AW670:AW676)</f>
        <v>0</v>
      </c>
      <c r="X669" s="375">
        <f>IFERROR(W669/(AA674-AA672),0)</f>
        <v>0</v>
      </c>
      <c r="Y669" s="377" t="s">
        <v>323</v>
      </c>
      <c r="Z669" s="378">
        <f>SUMPRODUCT(R669:R675,T669:T675)</f>
        <v>0</v>
      </c>
      <c r="AA669" s="379">
        <f>SUM(S669:S675)</f>
        <v>0</v>
      </c>
      <c r="AB669" s="490">
        <f>IF(AA674&gt;0,AA669/AA674,0)</f>
        <v>0</v>
      </c>
    </row>
    <row r="670" spans="1:28" ht="15.75" customHeight="1" x14ac:dyDescent="0.3">
      <c r="A670" s="2301"/>
      <c r="B670" s="438" t="str">
        <f>$B$5</f>
        <v>Amortización de Aves</v>
      </c>
      <c r="C670" s="381">
        <f>IFERROR((C663-(D670/'Pr-Sem'!$O$2)),0)</f>
        <v>0</v>
      </c>
      <c r="D670" s="382">
        <f>SUM(PROD!L670:L676)*E670</f>
        <v>0</v>
      </c>
      <c r="E670" s="383">
        <f>IF(SUM(PROD!L670:L676)&gt;0,IFERROR(($C$1-$C$2)/LOOKUP($B$2,'Pr-Sem'!$A$6:$A$108,'Pr-Sem'!$L$6:$L$108)*(LOOKUP(INVENTARIOS!$A669,'Pr-Sem'!$A$6:$A$108,'Pr-Sem'!$L$6:$L$108)-LOOKUP(INVENTARIOS!$A669-1,'Pr-Sem'!$A$6:$A$108,'Pr-Sem'!$L$6:$L$108))/(LOOKUP(INVENTARIOS!$A669,'Pr-Sem'!$A$6:$A$108,'Pr-Sem'!$K$6:$K$108)-LOOKUP(INVENTARIOS!$A669-1,'Pr-Sem'!$A$6:$A$108,'Pr-Sem'!$K$6:$K$108)),0),0)</f>
        <v>0</v>
      </c>
      <c r="F670" s="384">
        <f>IFERROR(E670/SUM(E669:E675,J669:J675,O669:O674),0)</f>
        <v>0</v>
      </c>
      <c r="G670" s="439" t="str">
        <f>$G$12</f>
        <v>Impuestos</v>
      </c>
      <c r="H670" s="440">
        <f t="shared" si="134"/>
        <v>0</v>
      </c>
      <c r="I670" s="387">
        <f t="shared" si="132"/>
        <v>0</v>
      </c>
      <c r="J670" s="383">
        <f>IFERROR(I670/SUM(PROD!L670:L676),0)</f>
        <v>0</v>
      </c>
      <c r="K670" s="384">
        <f>IFERROR(J670/SUM(E669:E675,J669:J675,O669:O674),0)</f>
        <v>0</v>
      </c>
      <c r="L670" s="439" t="str">
        <f>$L$5</f>
        <v>Depreciaciones</v>
      </c>
      <c r="M670" s="401">
        <f t="shared" si="139"/>
        <v>0</v>
      </c>
      <c r="N670" s="390">
        <f>M670*12/52</f>
        <v>0</v>
      </c>
      <c r="O670" s="383">
        <f>IFERROR(N670/SUM(PROD!L670:L676),0)</f>
        <v>0</v>
      </c>
      <c r="P670" s="384">
        <f>IFERROR(O670/SUM(E669:E675,J669:J675,O669:O674),0)</f>
        <v>0</v>
      </c>
      <c r="Q670" s="391" t="str">
        <f>$Q$5</f>
        <v>AAA</v>
      </c>
      <c r="R670" s="392">
        <f t="shared" si="135"/>
        <v>0</v>
      </c>
      <c r="S670" s="870">
        <f>SUM(PROD!AN670:AN676)</f>
        <v>0</v>
      </c>
      <c r="T670" s="393">
        <f>IF(AA669&gt;0,S670/AA669,0)</f>
        <v>0</v>
      </c>
      <c r="U670" s="394" t="str">
        <f>$U$5</f>
        <v>Prob Cásc</v>
      </c>
      <c r="V670" s="392">
        <f t="shared" si="136"/>
        <v>0</v>
      </c>
      <c r="W670" s="870">
        <f>SUM(PROD!AX670:AX676)</f>
        <v>0</v>
      </c>
      <c r="X670" s="393">
        <f>IFERROR(W670/(AA674-AA672),0)</f>
        <v>0</v>
      </c>
      <c r="Y670" s="395" t="s">
        <v>324</v>
      </c>
      <c r="Z670" s="396">
        <f>IFERROR(SUMPRODUCT(V669:V672,W669:W672)/SUM(W669:W672),0)</f>
        <v>0</v>
      </c>
      <c r="AA670" s="397">
        <f>SUM(W669:W672)</f>
        <v>0</v>
      </c>
      <c r="AB670" s="494">
        <f>IF(AA674&gt;0,AA670/AA674,0)</f>
        <v>0</v>
      </c>
    </row>
    <row r="671" spans="1:28" ht="15.75" customHeight="1" x14ac:dyDescent="0.3">
      <c r="A671" s="2301"/>
      <c r="B671" s="399" t="str">
        <f>$B$6</f>
        <v>Bandeja</v>
      </c>
      <c r="C671" s="400">
        <f>C664</f>
        <v>0</v>
      </c>
      <c r="D671" s="387">
        <f>C671*SUM(INVENTARIOS!R669:R675)</f>
        <v>0</v>
      </c>
      <c r="E671" s="383">
        <f>IFERROR(D671/SUM(PROD!L670:L676),0)</f>
        <v>0</v>
      </c>
      <c r="F671" s="384">
        <f>IFERROR(E671/SUM(E669:E675,J669:J675,O669:O674),0)</f>
        <v>0</v>
      </c>
      <c r="G671" s="439" t="str">
        <f>$G$13</f>
        <v>Arrendamientos</v>
      </c>
      <c r="H671" s="401">
        <f t="shared" si="134"/>
        <v>0</v>
      </c>
      <c r="I671" s="390">
        <f t="shared" si="132"/>
        <v>0</v>
      </c>
      <c r="J671" s="383">
        <f>IFERROR(I671/SUM(PROD!L670:L676),0)</f>
        <v>0</v>
      </c>
      <c r="K671" s="384">
        <f>IFERROR(J671/SUM(E669:E675,J669:J675,O669:O674),0)</f>
        <v>0</v>
      </c>
      <c r="L671" s="439" t="str">
        <f>$L$6</f>
        <v>Diversos</v>
      </c>
      <c r="M671" s="401">
        <f t="shared" si="139"/>
        <v>1000000</v>
      </c>
      <c r="N671" s="390">
        <f>M671*12/52</f>
        <v>230769.23076923078</v>
      </c>
      <c r="O671" s="383">
        <f>IFERROR(N671/SUM(PROD!L670:L676),0)</f>
        <v>0</v>
      </c>
      <c r="P671" s="384">
        <f>IFERROR(O671/SUM(E669:E675,J669:J675,O669:O674),0)</f>
        <v>0</v>
      </c>
      <c r="Q671" s="391" t="str">
        <f>$Q$6</f>
        <v>AA</v>
      </c>
      <c r="R671" s="392">
        <f t="shared" si="135"/>
        <v>0</v>
      </c>
      <c r="S671" s="870">
        <f>SUM(PROD!AO670:AO676)</f>
        <v>0</v>
      </c>
      <c r="T671" s="393">
        <f>IF(AA669&gt;0,S671/AA669,0)</f>
        <v>0</v>
      </c>
      <c r="U671" s="394" t="str">
        <f>$U$6</f>
        <v>Vencido</v>
      </c>
      <c r="V671" s="392">
        <f t="shared" si="136"/>
        <v>0</v>
      </c>
      <c r="W671" s="870">
        <f>SUM(PROD!AY670:AY676)</f>
        <v>0</v>
      </c>
      <c r="X671" s="393">
        <f>IFERROR(W671/(AA674-AA672),0)</f>
        <v>0</v>
      </c>
      <c r="Y671" s="402" t="s">
        <v>391</v>
      </c>
      <c r="Z671" s="456">
        <v>0</v>
      </c>
      <c r="AA671" s="720"/>
      <c r="AB671" s="495">
        <f>IF(AA674&gt;0,AA671/AA674,0)</f>
        <v>0</v>
      </c>
    </row>
    <row r="672" spans="1:28" ht="15.75" customHeight="1" x14ac:dyDescent="0.3">
      <c r="A672" s="2301"/>
      <c r="B672" s="438" t="str">
        <f>$B$7</f>
        <v>Mortalidad Aves</v>
      </c>
      <c r="C672" s="401">
        <f>IF(A669&lt;=$B$2,C670+$C$2,0)</f>
        <v>0</v>
      </c>
      <c r="D672" s="390">
        <f>C672*SUM(PROD!D670:D676)</f>
        <v>0</v>
      </c>
      <c r="E672" s="383">
        <f>IFERROR(D672/SUM(PROD!L670:L676),0)</f>
        <v>0</v>
      </c>
      <c r="F672" s="384">
        <f>IFERROR(E672/SUM(E669:E675,J669:J675,O669:O674),0)</f>
        <v>0</v>
      </c>
      <c r="G672" s="439" t="str">
        <f>$G$14</f>
        <v>Servicios Públicos</v>
      </c>
      <c r="H672" s="401">
        <f t="shared" si="134"/>
        <v>0</v>
      </c>
      <c r="I672" s="390">
        <f t="shared" si="132"/>
        <v>0</v>
      </c>
      <c r="J672" s="383">
        <f>IFERROR(I672/SUM(PROD!L670:L676),0)</f>
        <v>0</v>
      </c>
      <c r="K672" s="384">
        <f>IFERROR(J672/SUM(E669:E675,J669:J675,O669:O674),0)</f>
        <v>0</v>
      </c>
      <c r="L672" s="441" t="str">
        <f>$L$7</f>
        <v>Administrativos</v>
      </c>
      <c r="M672" s="401">
        <f t="shared" si="139"/>
        <v>0</v>
      </c>
      <c r="N672" s="404">
        <f>M672*0.230769230769231</f>
        <v>0</v>
      </c>
      <c r="O672" s="383">
        <f>IFERROR(N672/SUM(PROD!L670:L676),0)</f>
        <v>0</v>
      </c>
      <c r="P672" s="384">
        <f>IFERROR(O672/SUM(E669:E675,J669:J675,O669:O674),0)</f>
        <v>0</v>
      </c>
      <c r="Q672" s="391" t="str">
        <f>$Q$7</f>
        <v>A</v>
      </c>
      <c r="R672" s="392">
        <f t="shared" si="135"/>
        <v>0</v>
      </c>
      <c r="S672" s="870">
        <f>SUM(PROD!AP670:AP676)</f>
        <v>0</v>
      </c>
      <c r="T672" s="393">
        <f>IF(AA669&gt;0,S672/AA669,0)</f>
        <v>0</v>
      </c>
      <c r="U672" s="405" t="str">
        <f>$U$7</f>
        <v>Roto</v>
      </c>
      <c r="V672" s="406">
        <f t="shared" si="136"/>
        <v>0</v>
      </c>
      <c r="W672" s="872">
        <f>SUM(PROD!AZ670:AZ676)</f>
        <v>0</v>
      </c>
      <c r="X672" s="407">
        <f>IFERROR(W672/(AA674-AA672),0)</f>
        <v>0</v>
      </c>
      <c r="Y672" s="408" t="s">
        <v>359</v>
      </c>
      <c r="Z672" s="442">
        <v>215</v>
      </c>
      <c r="AA672" s="410">
        <f>SUM(PROD!L670:L676)-SUM(W669:W675)-SUM(S669:S675)-AA671</f>
        <v>0</v>
      </c>
      <c r="AB672" s="496">
        <f>IF(AA674&gt;0,AA672/AA674,0)</f>
        <v>0</v>
      </c>
    </row>
    <row r="673" spans="1:28" ht="15.75" customHeight="1" x14ac:dyDescent="0.3">
      <c r="A673" s="2301"/>
      <c r="B673" s="399" t="str">
        <f>$B$8</f>
        <v>Materia Prima (Carb Ca, etc.)</v>
      </c>
      <c r="C673" s="440">
        <f>C666</f>
        <v>0</v>
      </c>
      <c r="D673" s="387">
        <f>C673*12/52</f>
        <v>0</v>
      </c>
      <c r="E673" s="383">
        <f>IFERROR(D673/SUM(PROD!L670:L676),0)</f>
        <v>0</v>
      </c>
      <c r="F673" s="384">
        <f>IFERROR(E673/SUM(E669:E675,J669:J675,O669:O674),0)</f>
        <v>0</v>
      </c>
      <c r="G673" s="441" t="str">
        <f>$G$15</f>
        <v>Gastos Legales</v>
      </c>
      <c r="H673" s="401">
        <f t="shared" si="134"/>
        <v>0</v>
      </c>
      <c r="I673" s="390">
        <f t="shared" si="132"/>
        <v>0</v>
      </c>
      <c r="J673" s="383">
        <f>IFERROR(I673/SUM(PROD!L670:L676),0)</f>
        <v>0</v>
      </c>
      <c r="K673" s="384">
        <f>IFERROR(J673/SUM(E669:E675,J669:J675,O669:O674),0)</f>
        <v>0</v>
      </c>
      <c r="L673" s="439" t="str">
        <f>$L$8</f>
        <v>Fletes</v>
      </c>
      <c r="M673" s="401">
        <f t="shared" si="139"/>
        <v>0</v>
      </c>
      <c r="N673" s="404">
        <f>M673*0.230769230769231</f>
        <v>0</v>
      </c>
      <c r="O673" s="383">
        <f>IFERROR(N673/SUM(PROD!L670:L676),0)</f>
        <v>0</v>
      </c>
      <c r="P673" s="384">
        <f>IFERROR(O673/SUM(E669:E675,J669:J675,O669:O674),0)</f>
        <v>0</v>
      </c>
      <c r="Q673" s="391" t="str">
        <f>$Q$8</f>
        <v>B</v>
      </c>
      <c r="R673" s="392">
        <f t="shared" si="135"/>
        <v>0</v>
      </c>
      <c r="S673" s="870">
        <f>SUM(PROD!AQ670:AQ676)</f>
        <v>0</v>
      </c>
      <c r="T673" s="393">
        <f>IF(AA669&gt;0,S673/AA669,0)</f>
        <v>0</v>
      </c>
      <c r="U673" s="395" t="str">
        <f>$U$8</f>
        <v>Rev. Gr.</v>
      </c>
      <c r="V673" s="412">
        <f t="shared" si="136"/>
        <v>0</v>
      </c>
      <c r="W673" s="873">
        <f>SUM(PROD!AT670:AT676)</f>
        <v>0</v>
      </c>
      <c r="X673" s="413">
        <f>IFERROR(W673/(AA674-AA672),0)</f>
        <v>0</v>
      </c>
      <c r="Y673" s="414" t="s">
        <v>262</v>
      </c>
      <c r="Z673" s="415">
        <f>IFERROR(SUMPRODUCT(V673:V675,W673:W675)/SUM(W673:W675),0)</f>
        <v>0</v>
      </c>
      <c r="AA673" s="416">
        <f>SUM(W673:W675)</f>
        <v>0</v>
      </c>
      <c r="AB673" s="497">
        <f>IF(AA674&gt;0,AA673/AA674,0)</f>
        <v>0</v>
      </c>
    </row>
    <row r="674" spans="1:28" ht="15.75" customHeight="1" x14ac:dyDescent="0.3">
      <c r="A674" s="2301"/>
      <c r="B674" s="438" t="str">
        <f>$B$9</f>
        <v>Vacunas y medicamentos</v>
      </c>
      <c r="C674" s="443">
        <f>C667</f>
        <v>0</v>
      </c>
      <c r="D674" s="387">
        <f>C674*12/52</f>
        <v>0</v>
      </c>
      <c r="E674" s="383">
        <f>IFERROR(D674/SUM(PROD!L670:L676),0)</f>
        <v>0</v>
      </c>
      <c r="F674" s="384">
        <f>IFERROR(E674/SUM(E669:E675,J669:J675,O669:O674),0)</f>
        <v>0</v>
      </c>
      <c r="G674" s="441" t="str">
        <f>$G$16</f>
        <v>Mantenimiento y Reparaciones</v>
      </c>
      <c r="H674" s="401">
        <f t="shared" si="134"/>
        <v>0</v>
      </c>
      <c r="I674" s="390">
        <f t="shared" si="132"/>
        <v>0</v>
      </c>
      <c r="J674" s="383">
        <f>IFERROR(I674/SUM(PROD!L670:L676),0)</f>
        <v>0</v>
      </c>
      <c r="K674" s="384">
        <f>IFERROR(J674/SUM(E669:E675,J669:J675,O669:O674),0)</f>
        <v>0</v>
      </c>
      <c r="L674" s="439">
        <f>$L$9</f>
        <v>0</v>
      </c>
      <c r="M674" s="401">
        <f t="shared" si="139"/>
        <v>0</v>
      </c>
      <c r="N674" s="404">
        <f>M674*0.230769230769231</f>
        <v>0</v>
      </c>
      <c r="O674" s="383">
        <f>IFERROR(N674/SUM(PROD!L670:L676),0)</f>
        <v>0</v>
      </c>
      <c r="P674" s="384">
        <f>IFERROR(O674/SUM(E669:E675,J669:J675,O669:O674),0)</f>
        <v>0</v>
      </c>
      <c r="Q674" s="391" t="str">
        <f>$Q$9</f>
        <v>C</v>
      </c>
      <c r="R674" s="392">
        <f t="shared" si="135"/>
        <v>0</v>
      </c>
      <c r="S674" s="870">
        <f>SUM(PROD!AR670:AR676)</f>
        <v>0</v>
      </c>
      <c r="T674" s="393">
        <f>IF(AA669&gt;0,S674/AA669,0)</f>
        <v>0</v>
      </c>
      <c r="U674" s="394" t="str">
        <f>$U$9</f>
        <v>Rev. Med</v>
      </c>
      <c r="V674" s="392">
        <f t="shared" si="136"/>
        <v>0</v>
      </c>
      <c r="W674" s="870">
        <f>SUM(PROD!AU670:AU676)</f>
        <v>0</v>
      </c>
      <c r="X674" s="418">
        <f>IFERROR(W674/(AA674-AA672),0)</f>
        <v>0</v>
      </c>
      <c r="Y674" s="2303" t="s">
        <v>325</v>
      </c>
      <c r="Z674" s="2305">
        <f>SUMPRODUCT(Z669:Z673,AB669:AB673)</f>
        <v>0</v>
      </c>
      <c r="AA674" s="2307">
        <f>SUM(AA669:AA672)</f>
        <v>0</v>
      </c>
      <c r="AB674" s="2308"/>
    </row>
    <row r="675" spans="1:28" ht="16.5" customHeight="1" thickBot="1" x14ac:dyDescent="0.35">
      <c r="A675" s="2302"/>
      <c r="B675" s="444" t="str">
        <f>$B$10</f>
        <v>Gastos de Personal</v>
      </c>
      <c r="C675" s="445">
        <f>C668</f>
        <v>0</v>
      </c>
      <c r="D675" s="421">
        <f>C675*12/52</f>
        <v>0</v>
      </c>
      <c r="E675" s="446">
        <f>IFERROR(D675/SUM(PROD!L670:L676),0)</f>
        <v>0</v>
      </c>
      <c r="F675" s="447">
        <f>IFERROR(E675/SUM(E669:E675,J669:J675,O669:O674),0)</f>
        <v>0</v>
      </c>
      <c r="G675" s="448" t="str">
        <f>$G$17</f>
        <v>Adecuación Instalaciones</v>
      </c>
      <c r="H675" s="445">
        <f t="shared" si="134"/>
        <v>0</v>
      </c>
      <c r="I675" s="426">
        <f t="shared" si="132"/>
        <v>0</v>
      </c>
      <c r="J675" s="446">
        <f>IFERROR(I675/SUM(PROD!L670:L676),0)</f>
        <v>0</v>
      </c>
      <c r="K675" s="447">
        <f>IFERROR(J675/SUM(E669:E675,J669:J675,O669:O674),0)</f>
        <v>0</v>
      </c>
      <c r="L675" s="2311" t="str">
        <f>$L$10</f>
        <v>TOTAL COSTO PRODUCCIÓN</v>
      </c>
      <c r="M675" s="2312"/>
      <c r="N675" s="427">
        <f>SUM(D669:D675,I669:I675,N669:N674)</f>
        <v>230769.23076923078</v>
      </c>
      <c r="O675" s="449">
        <f>IFERROR(N675/SUM(PROD!L670:L676),0)</f>
        <v>0</v>
      </c>
      <c r="P675" s="447">
        <f>IFERROR(O675/SUM(E669:E675,J669:J675,O669:O674),0)</f>
        <v>0</v>
      </c>
      <c r="Q675" s="450" t="str">
        <f>$Q$10</f>
        <v>D</v>
      </c>
      <c r="R675" s="430">
        <f t="shared" si="135"/>
        <v>0</v>
      </c>
      <c r="S675" s="871">
        <f>SUM(PROD!AS670:AS676)</f>
        <v>0</v>
      </c>
      <c r="T675" s="451">
        <f>IF(AA669&gt;0,S675/AA669,0)</f>
        <v>0</v>
      </c>
      <c r="U675" s="452" t="str">
        <f>$U$10</f>
        <v>Rev. Peq</v>
      </c>
      <c r="V675" s="430">
        <f t="shared" si="136"/>
        <v>0</v>
      </c>
      <c r="W675" s="874">
        <f>SUM(PROD!AV670:AV676)</f>
        <v>0</v>
      </c>
      <c r="X675" s="451">
        <f>IFERROR(W675/(AA674-AA672),0)</f>
        <v>0</v>
      </c>
      <c r="Y675" s="2304"/>
      <c r="Z675" s="2306"/>
      <c r="AA675" s="2309"/>
      <c r="AB675" s="2310"/>
    </row>
    <row r="676" spans="1:28" ht="16.5" customHeight="1" x14ac:dyDescent="0.3">
      <c r="A676" s="2300">
        <f>A669+1</f>
        <v>114</v>
      </c>
      <c r="B676" s="433" t="str">
        <f>$B$4</f>
        <v>ALIMENTO Kilos</v>
      </c>
      <c r="C676" s="435">
        <f>LOOKUP($A676,PROD!$A$5:$A$725,PROD!$AH$10:$AH$730)</f>
        <v>0</v>
      </c>
      <c r="D676" s="368">
        <f>C676*LOOKUP($A676,'Pr-Sem'!$A$6:$A$108,'Pr-Sem'!$N$6:$N$108)/(PROD!$A$1/1000)</f>
        <v>0</v>
      </c>
      <c r="E676" s="369">
        <f>IFERROR(D676/SUM(PROD!L677:L683),0)</f>
        <v>0</v>
      </c>
      <c r="F676" s="370">
        <f>IFERROR(E676/SUM(E676:E682,J676:J682,O676:O681),0)</f>
        <v>0</v>
      </c>
      <c r="G676" s="434" t="str">
        <f>$G$11</f>
        <v>Honorarios</v>
      </c>
      <c r="H676" s="435">
        <f t="shared" si="134"/>
        <v>0</v>
      </c>
      <c r="I676" s="372">
        <f t="shared" si="132"/>
        <v>0</v>
      </c>
      <c r="J676" s="369">
        <f>IFERROR(I676/SUM(PROD!L677:L683),0)</f>
        <v>0</v>
      </c>
      <c r="K676" s="370">
        <f>IFERROR(J676/SUM(E676:E682,J676:J682,O676:O681),0)</f>
        <v>0</v>
      </c>
      <c r="L676" s="436" t="str">
        <f>$L$4</f>
        <v>Gastos de Viaje</v>
      </c>
      <c r="M676" s="435">
        <f t="shared" ref="M676:M681" si="140">M669</f>
        <v>0</v>
      </c>
      <c r="N676" s="372">
        <f>M676*12/52</f>
        <v>0</v>
      </c>
      <c r="O676" s="369">
        <f>IFERROR(N676/SUM(PROD!L677:L683),0)</f>
        <v>0</v>
      </c>
      <c r="P676" s="370">
        <f>IFERROR(O676/SUM(E676:E682,J676:J682,O676:O681),0)</f>
        <v>0</v>
      </c>
      <c r="Q676" s="373" t="str">
        <f>$Q$4</f>
        <v>AAAA</v>
      </c>
      <c r="R676" s="374">
        <f t="shared" si="135"/>
        <v>0</v>
      </c>
      <c r="S676" s="869">
        <f>SUM(PROD!AM677:AM683)</f>
        <v>0</v>
      </c>
      <c r="T676" s="375">
        <f>IF(AA676&gt;0,S676/AA676,0)</f>
        <v>0</v>
      </c>
      <c r="U676" s="376" t="str">
        <f>$U$4</f>
        <v>Prob Color</v>
      </c>
      <c r="V676" s="374">
        <f t="shared" si="136"/>
        <v>0</v>
      </c>
      <c r="W676" s="869">
        <f>SUM(PROD!AW677:AW683)</f>
        <v>0</v>
      </c>
      <c r="X676" s="375">
        <f>IFERROR(W676/(AA681-AA679),0)</f>
        <v>0</v>
      </c>
      <c r="Y676" s="377" t="s">
        <v>323</v>
      </c>
      <c r="Z676" s="378">
        <f>SUMPRODUCT(R676:R682,T676:T682)</f>
        <v>0</v>
      </c>
      <c r="AA676" s="379">
        <f>SUM(S676:S682)</f>
        <v>0</v>
      </c>
      <c r="AB676" s="490">
        <f>IF(AA681&gt;0,AA676/AA681,0)</f>
        <v>0</v>
      </c>
    </row>
    <row r="677" spans="1:28" ht="15.75" customHeight="1" x14ac:dyDescent="0.3">
      <c r="A677" s="2301"/>
      <c r="B677" s="438" t="str">
        <f>$B$5</f>
        <v>Amortización de Aves</v>
      </c>
      <c r="C677" s="381">
        <f>IFERROR((C670-(D677/'Pr-Sem'!$O$2)),0)</f>
        <v>0</v>
      </c>
      <c r="D677" s="382">
        <f>SUM(PROD!L677:L683)*E677</f>
        <v>0</v>
      </c>
      <c r="E677" s="383">
        <f>IF(SUM(PROD!L677:L683)&gt;0,IFERROR(($C$1-$C$2)/LOOKUP($B$2,'Pr-Sem'!$A$6:$A$108,'Pr-Sem'!$L$6:$L$108)*(LOOKUP(INVENTARIOS!$A676,'Pr-Sem'!$A$6:$A$108,'Pr-Sem'!$L$6:$L$108)-LOOKUP(INVENTARIOS!$A676-1,'Pr-Sem'!$A$6:$A$108,'Pr-Sem'!$L$6:$L$108))/(LOOKUP(INVENTARIOS!$A676,'Pr-Sem'!$A$6:$A$108,'Pr-Sem'!$K$6:$K$108)-LOOKUP(INVENTARIOS!$A676-1,'Pr-Sem'!$A$6:$A$108,'Pr-Sem'!$K$6:$K$108)),0),0)</f>
        <v>0</v>
      </c>
      <c r="F677" s="384">
        <f>IFERROR(E677/SUM(E676:E682,J676:J682,O676:O681),0)</f>
        <v>0</v>
      </c>
      <c r="G677" s="439" t="str">
        <f>$G$12</f>
        <v>Impuestos</v>
      </c>
      <c r="H677" s="440">
        <f t="shared" si="134"/>
        <v>0</v>
      </c>
      <c r="I677" s="387">
        <f t="shared" si="132"/>
        <v>0</v>
      </c>
      <c r="J677" s="383">
        <f>IFERROR(I677/SUM(PROD!L677:L683),0)</f>
        <v>0</v>
      </c>
      <c r="K677" s="384">
        <f>IFERROR(J677/SUM(E676:E682,J676:J682,O676:O681),0)</f>
        <v>0</v>
      </c>
      <c r="L677" s="439" t="str">
        <f>$L$5</f>
        <v>Depreciaciones</v>
      </c>
      <c r="M677" s="401">
        <f t="shared" si="140"/>
        <v>0</v>
      </c>
      <c r="N677" s="390">
        <f>M677*12/52</f>
        <v>0</v>
      </c>
      <c r="O677" s="383">
        <f>IFERROR(N677/SUM(PROD!L677:L683),0)</f>
        <v>0</v>
      </c>
      <c r="P677" s="384">
        <f>IFERROR(O677/SUM(E676:E682,J676:J682,O676:O681),0)</f>
        <v>0</v>
      </c>
      <c r="Q677" s="391" t="str">
        <f>$Q$5</f>
        <v>AAA</v>
      </c>
      <c r="R677" s="392">
        <f t="shared" si="135"/>
        <v>0</v>
      </c>
      <c r="S677" s="870">
        <f>SUM(PROD!AN677:AN683)</f>
        <v>0</v>
      </c>
      <c r="T677" s="393">
        <f>IF(AA676&gt;0,S677/AA676,0)</f>
        <v>0</v>
      </c>
      <c r="U677" s="394" t="str">
        <f>$U$5</f>
        <v>Prob Cásc</v>
      </c>
      <c r="V677" s="392">
        <f t="shared" si="136"/>
        <v>0</v>
      </c>
      <c r="W677" s="870">
        <f>SUM(PROD!AX677:AX683)</f>
        <v>0</v>
      </c>
      <c r="X677" s="393">
        <f>IFERROR(W677/(AA681-AA679),0)</f>
        <v>0</v>
      </c>
      <c r="Y677" s="395" t="s">
        <v>324</v>
      </c>
      <c r="Z677" s="396">
        <f>IFERROR(SUMPRODUCT(V676:V679,W676:W679)/SUM(W676:W679),0)</f>
        <v>0</v>
      </c>
      <c r="AA677" s="397">
        <f>SUM(W676:W679)</f>
        <v>0</v>
      </c>
      <c r="AB677" s="494">
        <f>IF(AA681&gt;0,AA677/AA681,0)</f>
        <v>0</v>
      </c>
    </row>
    <row r="678" spans="1:28" ht="15.75" customHeight="1" x14ac:dyDescent="0.3">
      <c r="A678" s="2301"/>
      <c r="B678" s="399" t="str">
        <f>$B$6</f>
        <v>Bandeja</v>
      </c>
      <c r="C678" s="400">
        <f>C671</f>
        <v>0</v>
      </c>
      <c r="D678" s="387">
        <f>C678*SUM(INVENTARIOS!R676:R682)</f>
        <v>0</v>
      </c>
      <c r="E678" s="383">
        <f>IFERROR(D678/SUM(PROD!L677:L683),0)</f>
        <v>0</v>
      </c>
      <c r="F678" s="384">
        <f>IFERROR(E678/SUM(E676:E682,J676:J682,O676:O681),0)</f>
        <v>0</v>
      </c>
      <c r="G678" s="439" t="str">
        <f>$G$13</f>
        <v>Arrendamientos</v>
      </c>
      <c r="H678" s="401">
        <f t="shared" si="134"/>
        <v>0</v>
      </c>
      <c r="I678" s="390">
        <f t="shared" si="132"/>
        <v>0</v>
      </c>
      <c r="J678" s="383">
        <f>IFERROR(I678/SUM(PROD!L677:L683),0)</f>
        <v>0</v>
      </c>
      <c r="K678" s="384">
        <f>IFERROR(J678/SUM(E676:E682,J676:J682,O676:O681),0)</f>
        <v>0</v>
      </c>
      <c r="L678" s="439" t="str">
        <f>$L$6</f>
        <v>Diversos</v>
      </c>
      <c r="M678" s="401">
        <f t="shared" si="140"/>
        <v>1000000</v>
      </c>
      <c r="N678" s="390">
        <f>M678*12/52</f>
        <v>230769.23076923078</v>
      </c>
      <c r="O678" s="383">
        <f>IFERROR(N678/SUM(PROD!L677:L683),0)</f>
        <v>0</v>
      </c>
      <c r="P678" s="384">
        <f>IFERROR(O678/SUM(E676:E682,J676:J682,O676:O681),0)</f>
        <v>0</v>
      </c>
      <c r="Q678" s="391" t="str">
        <f>$Q$6</f>
        <v>AA</v>
      </c>
      <c r="R678" s="392">
        <f t="shared" si="135"/>
        <v>0</v>
      </c>
      <c r="S678" s="870">
        <f>SUM(PROD!AO677:AO683)</f>
        <v>0</v>
      </c>
      <c r="T678" s="393">
        <f>IF(AA676&gt;0,S678/AA676,0)</f>
        <v>0</v>
      </c>
      <c r="U678" s="394" t="str">
        <f>$U$6</f>
        <v>Vencido</v>
      </c>
      <c r="V678" s="392">
        <f t="shared" si="136"/>
        <v>0</v>
      </c>
      <c r="W678" s="870">
        <f>SUM(PROD!AY677:AY683)</f>
        <v>0</v>
      </c>
      <c r="X678" s="393">
        <f>IFERROR(W678/(AA681-AA679),0)</f>
        <v>0</v>
      </c>
      <c r="Y678" s="402" t="s">
        <v>391</v>
      </c>
      <c r="Z678" s="456">
        <v>0</v>
      </c>
      <c r="AA678" s="720"/>
      <c r="AB678" s="495">
        <f>IF(AA681&gt;0,AA678/AA681,0)</f>
        <v>0</v>
      </c>
    </row>
    <row r="679" spans="1:28" ht="15.75" customHeight="1" x14ac:dyDescent="0.3">
      <c r="A679" s="2301"/>
      <c r="B679" s="438" t="str">
        <f>$B$7</f>
        <v>Mortalidad Aves</v>
      </c>
      <c r="C679" s="401">
        <f>IF(A676&lt;=$B$2,C677+$C$2,0)</f>
        <v>0</v>
      </c>
      <c r="D679" s="390">
        <f>C679*SUM(PROD!D677:D683)</f>
        <v>0</v>
      </c>
      <c r="E679" s="383">
        <f>IFERROR(D679/SUM(PROD!L677:L683),0)</f>
        <v>0</v>
      </c>
      <c r="F679" s="384">
        <f>IFERROR(E679/SUM(E676:E682,J676:J682,O676:O681),0)</f>
        <v>0</v>
      </c>
      <c r="G679" s="439" t="str">
        <f>$G$14</f>
        <v>Servicios Públicos</v>
      </c>
      <c r="H679" s="401">
        <f t="shared" si="134"/>
        <v>0</v>
      </c>
      <c r="I679" s="390">
        <f t="shared" si="132"/>
        <v>0</v>
      </c>
      <c r="J679" s="383">
        <f>IFERROR(I679/SUM(PROD!L677:L683),0)</f>
        <v>0</v>
      </c>
      <c r="K679" s="384">
        <f>IFERROR(J679/SUM(E676:E682,J676:J682,O676:O681),0)</f>
        <v>0</v>
      </c>
      <c r="L679" s="441" t="str">
        <f>$L$7</f>
        <v>Administrativos</v>
      </c>
      <c r="M679" s="401">
        <f t="shared" si="140"/>
        <v>0</v>
      </c>
      <c r="N679" s="404">
        <f>M679*0.230769230769231</f>
        <v>0</v>
      </c>
      <c r="O679" s="383">
        <f>IFERROR(N679/SUM(PROD!L677:L683),0)</f>
        <v>0</v>
      </c>
      <c r="P679" s="384">
        <f>IFERROR(O679/SUM(E676:E682,J676:J682,O676:O681),0)</f>
        <v>0</v>
      </c>
      <c r="Q679" s="391" t="str">
        <f>$Q$7</f>
        <v>A</v>
      </c>
      <c r="R679" s="392">
        <f t="shared" si="135"/>
        <v>0</v>
      </c>
      <c r="S679" s="870">
        <f>SUM(PROD!AP677:AP683)</f>
        <v>0</v>
      </c>
      <c r="T679" s="393">
        <f>IF(AA676&gt;0,S679/AA676,0)</f>
        <v>0</v>
      </c>
      <c r="U679" s="405" t="str">
        <f>$U$7</f>
        <v>Roto</v>
      </c>
      <c r="V679" s="406">
        <f t="shared" si="136"/>
        <v>0</v>
      </c>
      <c r="W679" s="872">
        <f>SUM(PROD!AZ677:AZ683)</f>
        <v>0</v>
      </c>
      <c r="X679" s="407">
        <f>IFERROR(W679/(AA681-AA679),0)</f>
        <v>0</v>
      </c>
      <c r="Y679" s="408" t="s">
        <v>359</v>
      </c>
      <c r="Z679" s="442">
        <v>215</v>
      </c>
      <c r="AA679" s="410">
        <f>SUM(PROD!L677:L683)-SUM(W676:W682)-SUM(S676:S682)-AA678</f>
        <v>0</v>
      </c>
      <c r="AB679" s="496">
        <f>IF(AA681&gt;0,AA679/AA681,0)</f>
        <v>0</v>
      </c>
    </row>
    <row r="680" spans="1:28" ht="15.75" customHeight="1" x14ac:dyDescent="0.3">
      <c r="A680" s="2301"/>
      <c r="B680" s="399" t="str">
        <f>$B$8</f>
        <v>Materia Prima (Carb Ca, etc.)</v>
      </c>
      <c r="C680" s="440">
        <f>C673</f>
        <v>0</v>
      </c>
      <c r="D680" s="387">
        <f>C680*12/52</f>
        <v>0</v>
      </c>
      <c r="E680" s="383">
        <f>IFERROR(D680/SUM(PROD!L677:L683),0)</f>
        <v>0</v>
      </c>
      <c r="F680" s="384">
        <f>IFERROR(E680/SUM(E676:E682,J676:J682,O676:O681),0)</f>
        <v>0</v>
      </c>
      <c r="G680" s="441" t="str">
        <f>$G$15</f>
        <v>Gastos Legales</v>
      </c>
      <c r="H680" s="401">
        <f t="shared" si="134"/>
        <v>0</v>
      </c>
      <c r="I680" s="390">
        <f t="shared" si="132"/>
        <v>0</v>
      </c>
      <c r="J680" s="383">
        <f>IFERROR(I680/SUM(PROD!L677:L683),0)</f>
        <v>0</v>
      </c>
      <c r="K680" s="384">
        <f>IFERROR(J680/SUM(E676:E682,J676:J682,O676:O681),0)</f>
        <v>0</v>
      </c>
      <c r="L680" s="439" t="str">
        <f>$L$8</f>
        <v>Fletes</v>
      </c>
      <c r="M680" s="401">
        <f t="shared" si="140"/>
        <v>0</v>
      </c>
      <c r="N680" s="404">
        <f>M680*0.230769230769231</f>
        <v>0</v>
      </c>
      <c r="O680" s="383">
        <f>IFERROR(N680/SUM(PROD!L677:L683),0)</f>
        <v>0</v>
      </c>
      <c r="P680" s="384">
        <f>IFERROR(O680/SUM(E676:E682,J676:J682,O676:O681),0)</f>
        <v>0</v>
      </c>
      <c r="Q680" s="391" t="str">
        <f>$Q$8</f>
        <v>B</v>
      </c>
      <c r="R680" s="392">
        <f t="shared" si="135"/>
        <v>0</v>
      </c>
      <c r="S680" s="870">
        <f>SUM(PROD!AQ677:AQ683)</f>
        <v>0</v>
      </c>
      <c r="T680" s="393">
        <f>IF(AA676&gt;0,S680/AA676,0)</f>
        <v>0</v>
      </c>
      <c r="U680" s="395" t="str">
        <f>$U$8</f>
        <v>Rev. Gr.</v>
      </c>
      <c r="V680" s="412">
        <f t="shared" si="136"/>
        <v>0</v>
      </c>
      <c r="W680" s="873">
        <f>SUM(PROD!AT677:AT683)</f>
        <v>0</v>
      </c>
      <c r="X680" s="413">
        <f>IFERROR(W680/(AA681-AA679),0)</f>
        <v>0</v>
      </c>
      <c r="Y680" s="414" t="s">
        <v>262</v>
      </c>
      <c r="Z680" s="415">
        <f>IFERROR(SUMPRODUCT(V680:V682,W680:W682)/SUM(W680:W682),0)</f>
        <v>0</v>
      </c>
      <c r="AA680" s="416">
        <f>SUM(W680:W682)</f>
        <v>0</v>
      </c>
      <c r="AB680" s="497">
        <f>IF(AA681&gt;0,AA680/AA681,0)</f>
        <v>0</v>
      </c>
    </row>
    <row r="681" spans="1:28" ht="15.75" customHeight="1" x14ac:dyDescent="0.3">
      <c r="A681" s="2301"/>
      <c r="B681" s="438" t="str">
        <f>$B$9</f>
        <v>Vacunas y medicamentos</v>
      </c>
      <c r="C681" s="443">
        <f>C674</f>
        <v>0</v>
      </c>
      <c r="D681" s="387">
        <f>C681*12/52</f>
        <v>0</v>
      </c>
      <c r="E681" s="383">
        <f>IFERROR(D681/SUM(PROD!L677:L683),0)</f>
        <v>0</v>
      </c>
      <c r="F681" s="384">
        <f>IFERROR(E681/SUM(E676:E682,J676:J682,O676:O681),0)</f>
        <v>0</v>
      </c>
      <c r="G681" s="441" t="str">
        <f>$G$16</f>
        <v>Mantenimiento y Reparaciones</v>
      </c>
      <c r="H681" s="401">
        <f t="shared" si="134"/>
        <v>0</v>
      </c>
      <c r="I681" s="390">
        <f t="shared" si="132"/>
        <v>0</v>
      </c>
      <c r="J681" s="383">
        <f>IFERROR(I681/SUM(PROD!L677:L683),0)</f>
        <v>0</v>
      </c>
      <c r="K681" s="384">
        <f>IFERROR(J681/SUM(E676:E682,J676:J682,O676:O681),0)</f>
        <v>0</v>
      </c>
      <c r="L681" s="439">
        <f>$L$9</f>
        <v>0</v>
      </c>
      <c r="M681" s="401">
        <f t="shared" si="140"/>
        <v>0</v>
      </c>
      <c r="N681" s="404">
        <f>M681*0.230769230769231</f>
        <v>0</v>
      </c>
      <c r="O681" s="383">
        <f>IFERROR(N681/SUM(PROD!L677:L683),0)</f>
        <v>0</v>
      </c>
      <c r="P681" s="384">
        <f>IFERROR(O681/SUM(E676:E682,J676:J682,O676:O681),0)</f>
        <v>0</v>
      </c>
      <c r="Q681" s="391" t="str">
        <f>$Q$9</f>
        <v>C</v>
      </c>
      <c r="R681" s="392">
        <f t="shared" si="135"/>
        <v>0</v>
      </c>
      <c r="S681" s="870">
        <f>SUM(PROD!AR677:AR683)</f>
        <v>0</v>
      </c>
      <c r="T681" s="393">
        <f>IF(AA676&gt;0,S681/AA676,0)</f>
        <v>0</v>
      </c>
      <c r="U681" s="394" t="str">
        <f>$U$9</f>
        <v>Rev. Med</v>
      </c>
      <c r="V681" s="392">
        <f t="shared" si="136"/>
        <v>0</v>
      </c>
      <c r="W681" s="870">
        <f>SUM(PROD!AU677:AU683)</f>
        <v>0</v>
      </c>
      <c r="X681" s="418">
        <f>IFERROR(W681/(AA681-AA679),0)</f>
        <v>0</v>
      </c>
      <c r="Y681" s="2303" t="s">
        <v>325</v>
      </c>
      <c r="Z681" s="2305">
        <f>SUMPRODUCT(Z676:Z680,AB676:AB680)</f>
        <v>0</v>
      </c>
      <c r="AA681" s="2307">
        <f>SUM(AA676:AA679)</f>
        <v>0</v>
      </c>
      <c r="AB681" s="2308"/>
    </row>
    <row r="682" spans="1:28" ht="16.5" customHeight="1" thickBot="1" x14ac:dyDescent="0.35">
      <c r="A682" s="2302"/>
      <c r="B682" s="444" t="str">
        <f>$B$10</f>
        <v>Gastos de Personal</v>
      </c>
      <c r="C682" s="445">
        <f>C675</f>
        <v>0</v>
      </c>
      <c r="D682" s="421">
        <f>C682*12/52</f>
        <v>0</v>
      </c>
      <c r="E682" s="446">
        <f>IFERROR(D682/SUM(PROD!L677:L683),0)</f>
        <v>0</v>
      </c>
      <c r="F682" s="447">
        <f>IFERROR(E682/SUM(E676:E682,J676:J682,O676:O681),0)</f>
        <v>0</v>
      </c>
      <c r="G682" s="448" t="str">
        <f>$G$17</f>
        <v>Adecuación Instalaciones</v>
      </c>
      <c r="H682" s="445">
        <f t="shared" si="134"/>
        <v>0</v>
      </c>
      <c r="I682" s="426">
        <f t="shared" si="132"/>
        <v>0</v>
      </c>
      <c r="J682" s="446">
        <f>IFERROR(I682/SUM(PROD!L677:L683),0)</f>
        <v>0</v>
      </c>
      <c r="K682" s="447">
        <f>IFERROR(J682/SUM(E676:E682,J676:J682,O676:O681),0)</f>
        <v>0</v>
      </c>
      <c r="L682" s="2311" t="str">
        <f>$L$10</f>
        <v>TOTAL COSTO PRODUCCIÓN</v>
      </c>
      <c r="M682" s="2312"/>
      <c r="N682" s="427">
        <f>SUM(D676:D682,I676:I682,N676:N681)</f>
        <v>230769.23076923078</v>
      </c>
      <c r="O682" s="449">
        <f>IFERROR(N682/SUM(PROD!L677:L683),0)</f>
        <v>0</v>
      </c>
      <c r="P682" s="447">
        <f>IFERROR(O682/SUM(E676:E682,J676:J682,O676:O681),0)</f>
        <v>0</v>
      </c>
      <c r="Q682" s="450" t="str">
        <f>$Q$10</f>
        <v>D</v>
      </c>
      <c r="R682" s="430">
        <f t="shared" si="135"/>
        <v>0</v>
      </c>
      <c r="S682" s="871">
        <f>SUM(PROD!AS677:AS683)</f>
        <v>0</v>
      </c>
      <c r="T682" s="451">
        <f>IF(AA676&gt;0,S682/AA676,0)</f>
        <v>0</v>
      </c>
      <c r="U682" s="452" t="str">
        <f>$U$10</f>
        <v>Rev. Peq</v>
      </c>
      <c r="V682" s="430">
        <f t="shared" si="136"/>
        <v>0</v>
      </c>
      <c r="W682" s="874">
        <f>SUM(PROD!AV677:AV683)</f>
        <v>0</v>
      </c>
      <c r="X682" s="451">
        <f>IFERROR(W682/(AA681-AA679),0)</f>
        <v>0</v>
      </c>
      <c r="Y682" s="2304"/>
      <c r="Z682" s="2306"/>
      <c r="AA682" s="2309"/>
      <c r="AB682" s="2310"/>
    </row>
    <row r="683" spans="1:28" ht="16.5" customHeight="1" x14ac:dyDescent="0.3">
      <c r="A683" s="2300">
        <f>A676+1</f>
        <v>115</v>
      </c>
      <c r="B683" s="433" t="str">
        <f>$B$4</f>
        <v>ALIMENTO Kilos</v>
      </c>
      <c r="C683" s="435">
        <f>LOOKUP($A683,PROD!$A$5:$A$725,PROD!$AH$10:$AH$730)</f>
        <v>0</v>
      </c>
      <c r="D683" s="368">
        <f>C683*LOOKUP($A683,'Pr-Sem'!$A$6:$A$108,'Pr-Sem'!$N$6:$N$108)/(PROD!$A$1/1000)</f>
        <v>0</v>
      </c>
      <c r="E683" s="369">
        <f>IFERROR(D683/SUM(PROD!L684:L690),0)</f>
        <v>0</v>
      </c>
      <c r="F683" s="370">
        <f>IFERROR(E683/SUM(E683:E689,J683:J689,O683:O688),0)</f>
        <v>0</v>
      </c>
      <c r="G683" s="434" t="str">
        <f>$G$11</f>
        <v>Honorarios</v>
      </c>
      <c r="H683" s="435">
        <f t="shared" si="134"/>
        <v>0</v>
      </c>
      <c r="I683" s="372">
        <f t="shared" si="132"/>
        <v>0</v>
      </c>
      <c r="J683" s="369">
        <f>IFERROR(I683/SUM(PROD!L684:L690),0)</f>
        <v>0</v>
      </c>
      <c r="K683" s="370">
        <f>IFERROR(J683/SUM(E683:E689,J683:J689,O683:O688),0)</f>
        <v>0</v>
      </c>
      <c r="L683" s="436" t="str">
        <f>$L$4</f>
        <v>Gastos de Viaje</v>
      </c>
      <c r="M683" s="435">
        <f t="shared" ref="M683:M688" si="141">M676</f>
        <v>0</v>
      </c>
      <c r="N683" s="372">
        <f>M683*12/52</f>
        <v>0</v>
      </c>
      <c r="O683" s="369">
        <f>IFERROR(N683/SUM(PROD!L684:L690),0)</f>
        <v>0</v>
      </c>
      <c r="P683" s="370">
        <f>IFERROR(O683/SUM(E683:E689,J683:J689,O683:O688),0)</f>
        <v>0</v>
      </c>
      <c r="Q683" s="373" t="str">
        <f>$Q$4</f>
        <v>AAAA</v>
      </c>
      <c r="R683" s="374">
        <f t="shared" si="135"/>
        <v>0</v>
      </c>
      <c r="S683" s="869">
        <f>SUM(PROD!AM684:AM690)</f>
        <v>0</v>
      </c>
      <c r="T683" s="375">
        <f>IF(AA683&gt;0,S683/AA683,0)</f>
        <v>0</v>
      </c>
      <c r="U683" s="376" t="str">
        <f>$U$4</f>
        <v>Prob Color</v>
      </c>
      <c r="V683" s="374">
        <f t="shared" si="136"/>
        <v>0</v>
      </c>
      <c r="W683" s="869">
        <f>SUM(PROD!AW684:AW690)</f>
        <v>0</v>
      </c>
      <c r="X683" s="375">
        <f>IFERROR(W683/(AA688-AA686),0)</f>
        <v>0</v>
      </c>
      <c r="Y683" s="377" t="s">
        <v>323</v>
      </c>
      <c r="Z683" s="378">
        <f>SUMPRODUCT(R683:R689,T683:T689)</f>
        <v>0</v>
      </c>
      <c r="AA683" s="379">
        <f>SUM(S683:S689)</f>
        <v>0</v>
      </c>
      <c r="AB683" s="490">
        <f>IF(AA688&gt;0,AA683/AA688,0)</f>
        <v>0</v>
      </c>
    </row>
    <row r="684" spans="1:28" ht="15.75" customHeight="1" x14ac:dyDescent="0.3">
      <c r="A684" s="2301"/>
      <c r="B684" s="438" t="str">
        <f>$B$5</f>
        <v>Amortización de Aves</v>
      </c>
      <c r="C684" s="381">
        <f>IFERROR((C677-(D684/'Pr-Sem'!$O$2)),0)</f>
        <v>0</v>
      </c>
      <c r="D684" s="382">
        <f>SUM(PROD!L684:L690)*E684</f>
        <v>0</v>
      </c>
      <c r="E684" s="383">
        <f>IF(SUM(PROD!L684:L690)&gt;0,IFERROR(($C$1-$C$2)/LOOKUP($B$2,'Pr-Sem'!$A$6:$A$108,'Pr-Sem'!$L$6:$L$108)*(LOOKUP(INVENTARIOS!$A683,'Pr-Sem'!$A$6:$A$108,'Pr-Sem'!$L$6:$L$108)-LOOKUP(INVENTARIOS!$A683-1,'Pr-Sem'!$A$6:$A$108,'Pr-Sem'!$L$6:$L$108))/(LOOKUP(INVENTARIOS!$A683,'Pr-Sem'!$A$6:$A$108,'Pr-Sem'!$K$6:$K$108)-LOOKUP(INVENTARIOS!$A683-1,'Pr-Sem'!$A$6:$A$108,'Pr-Sem'!$K$6:$K$108)),0),0)</f>
        <v>0</v>
      </c>
      <c r="F684" s="384">
        <f>IFERROR(E684/SUM(E683:E689,J683:J689,O683:O688),0)</f>
        <v>0</v>
      </c>
      <c r="G684" s="439" t="str">
        <f>$G$12</f>
        <v>Impuestos</v>
      </c>
      <c r="H684" s="440">
        <f t="shared" si="134"/>
        <v>0</v>
      </c>
      <c r="I684" s="387">
        <f t="shared" si="132"/>
        <v>0</v>
      </c>
      <c r="J684" s="383">
        <f>IFERROR(I684/SUM(PROD!L684:L690),0)</f>
        <v>0</v>
      </c>
      <c r="K684" s="384">
        <f>IFERROR(J684/SUM(E683:E689,J683:J689,O683:O688),0)</f>
        <v>0</v>
      </c>
      <c r="L684" s="439" t="str">
        <f>$L$5</f>
        <v>Depreciaciones</v>
      </c>
      <c r="M684" s="401">
        <f t="shared" si="141"/>
        <v>0</v>
      </c>
      <c r="N684" s="390">
        <f>M684*12/52</f>
        <v>0</v>
      </c>
      <c r="O684" s="383">
        <f>IFERROR(N684/SUM(PROD!L684:L690),0)</f>
        <v>0</v>
      </c>
      <c r="P684" s="384">
        <f>IFERROR(O684/SUM(E683:E689,J683:J689,O683:O688),0)</f>
        <v>0</v>
      </c>
      <c r="Q684" s="391" t="str">
        <f>$Q$5</f>
        <v>AAA</v>
      </c>
      <c r="R684" s="392">
        <f t="shared" si="135"/>
        <v>0</v>
      </c>
      <c r="S684" s="870">
        <f>SUM(PROD!AN684:AN690)</f>
        <v>0</v>
      </c>
      <c r="T684" s="393">
        <f>IF(AA683&gt;0,S684/AA683,0)</f>
        <v>0</v>
      </c>
      <c r="U684" s="394" t="str">
        <f>$U$5</f>
        <v>Prob Cásc</v>
      </c>
      <c r="V684" s="392">
        <f t="shared" si="136"/>
        <v>0</v>
      </c>
      <c r="W684" s="870">
        <f>SUM(PROD!AX684:AX690)</f>
        <v>0</v>
      </c>
      <c r="X684" s="393">
        <f>IFERROR(W684/(AA688-AA686),0)</f>
        <v>0</v>
      </c>
      <c r="Y684" s="395" t="s">
        <v>324</v>
      </c>
      <c r="Z684" s="396">
        <f>IFERROR(SUMPRODUCT(V683:V686,W683:W686)/SUM(W683:W686),0)</f>
        <v>0</v>
      </c>
      <c r="AA684" s="397">
        <f>SUM(W683:W686)</f>
        <v>0</v>
      </c>
      <c r="AB684" s="494">
        <f>IF(AA688&gt;0,AA684/AA688,0)</f>
        <v>0</v>
      </c>
    </row>
    <row r="685" spans="1:28" ht="15.75" customHeight="1" x14ac:dyDescent="0.3">
      <c r="A685" s="2301"/>
      <c r="B685" s="399" t="str">
        <f>$B$6</f>
        <v>Bandeja</v>
      </c>
      <c r="C685" s="400">
        <f>C678</f>
        <v>0</v>
      </c>
      <c r="D685" s="387">
        <f>C685*SUM(INVENTARIOS!R683:R689)</f>
        <v>0</v>
      </c>
      <c r="E685" s="383">
        <f>IFERROR(D685/SUM(PROD!L684:L690),0)</f>
        <v>0</v>
      </c>
      <c r="F685" s="384">
        <f>IFERROR(E685/SUM(E683:E689,J683:J689,O683:O688),0)</f>
        <v>0</v>
      </c>
      <c r="G685" s="439" t="str">
        <f>$G$13</f>
        <v>Arrendamientos</v>
      </c>
      <c r="H685" s="401">
        <f t="shared" si="134"/>
        <v>0</v>
      </c>
      <c r="I685" s="390">
        <f t="shared" si="132"/>
        <v>0</v>
      </c>
      <c r="J685" s="383">
        <f>IFERROR(I685/SUM(PROD!L684:L690),0)</f>
        <v>0</v>
      </c>
      <c r="K685" s="384">
        <f>IFERROR(J685/SUM(E683:E689,J683:J689,O683:O688),0)</f>
        <v>0</v>
      </c>
      <c r="L685" s="439" t="str">
        <f>$L$6</f>
        <v>Diversos</v>
      </c>
      <c r="M685" s="401">
        <f t="shared" si="141"/>
        <v>1000000</v>
      </c>
      <c r="N685" s="390">
        <f>M685*12/52</f>
        <v>230769.23076923078</v>
      </c>
      <c r="O685" s="383">
        <f>IFERROR(N685/SUM(PROD!L684:L690),0)</f>
        <v>0</v>
      </c>
      <c r="P685" s="384">
        <f>IFERROR(O685/SUM(E683:E689,J683:J689,O683:O688),0)</f>
        <v>0</v>
      </c>
      <c r="Q685" s="391" t="str">
        <f>$Q$6</f>
        <v>AA</v>
      </c>
      <c r="R685" s="392">
        <f t="shared" si="135"/>
        <v>0</v>
      </c>
      <c r="S685" s="870">
        <f>SUM(PROD!AO684:AO690)</f>
        <v>0</v>
      </c>
      <c r="T685" s="393">
        <f>IF(AA683&gt;0,S685/AA683,0)</f>
        <v>0</v>
      </c>
      <c r="U685" s="394" t="str">
        <f>$U$6</f>
        <v>Vencido</v>
      </c>
      <c r="V685" s="392">
        <f t="shared" si="136"/>
        <v>0</v>
      </c>
      <c r="W685" s="870">
        <f>SUM(PROD!AY684:AY690)</f>
        <v>0</v>
      </c>
      <c r="X685" s="393">
        <f>IFERROR(W685/(AA688-AA686),0)</f>
        <v>0</v>
      </c>
      <c r="Y685" s="402" t="s">
        <v>391</v>
      </c>
      <c r="Z685" s="456">
        <v>0</v>
      </c>
      <c r="AA685" s="720"/>
      <c r="AB685" s="495">
        <f>IF(AA688&gt;0,AA685/AA688,0)</f>
        <v>0</v>
      </c>
    </row>
    <row r="686" spans="1:28" ht="15.75" customHeight="1" x14ac:dyDescent="0.3">
      <c r="A686" s="2301"/>
      <c r="B686" s="438" t="str">
        <f>$B$7</f>
        <v>Mortalidad Aves</v>
      </c>
      <c r="C686" s="401">
        <f>IF(A683&lt;=$B$2,C684+$C$2,0)</f>
        <v>0</v>
      </c>
      <c r="D686" s="390">
        <f>C686*SUM(PROD!D684:D690)</f>
        <v>0</v>
      </c>
      <c r="E686" s="383">
        <f>IFERROR(D686/SUM(PROD!L684:L690),0)</f>
        <v>0</v>
      </c>
      <c r="F686" s="384">
        <f>IFERROR(E686/SUM(E683:E689,J683:J689,O683:O688),0)</f>
        <v>0</v>
      </c>
      <c r="G686" s="439" t="str">
        <f>$G$14</f>
        <v>Servicios Públicos</v>
      </c>
      <c r="H686" s="401">
        <f t="shared" si="134"/>
        <v>0</v>
      </c>
      <c r="I686" s="390">
        <f t="shared" si="132"/>
        <v>0</v>
      </c>
      <c r="J686" s="383">
        <f>IFERROR(I686/SUM(PROD!L684:L690),0)</f>
        <v>0</v>
      </c>
      <c r="K686" s="384">
        <f>IFERROR(J686/SUM(E683:E689,J683:J689,O683:O688),0)</f>
        <v>0</v>
      </c>
      <c r="L686" s="441" t="str">
        <f>$L$7</f>
        <v>Administrativos</v>
      </c>
      <c r="M686" s="401">
        <f t="shared" si="141"/>
        <v>0</v>
      </c>
      <c r="N686" s="404">
        <f>M686*0.230769230769231</f>
        <v>0</v>
      </c>
      <c r="O686" s="383">
        <f>IFERROR(N686/SUM(PROD!L684:L690),0)</f>
        <v>0</v>
      </c>
      <c r="P686" s="384">
        <f>IFERROR(O686/SUM(E683:E689,J683:J689,O683:O688),0)</f>
        <v>0</v>
      </c>
      <c r="Q686" s="391" t="str">
        <f>$Q$7</f>
        <v>A</v>
      </c>
      <c r="R686" s="392">
        <f t="shared" si="135"/>
        <v>0</v>
      </c>
      <c r="S686" s="870">
        <f>SUM(PROD!AP684:AP690)</f>
        <v>0</v>
      </c>
      <c r="T686" s="393">
        <f>IF(AA683&gt;0,S686/AA683,0)</f>
        <v>0</v>
      </c>
      <c r="U686" s="405" t="str">
        <f>$U$7</f>
        <v>Roto</v>
      </c>
      <c r="V686" s="406">
        <f t="shared" si="136"/>
        <v>0</v>
      </c>
      <c r="W686" s="872">
        <f>SUM(PROD!AZ684:AZ690)</f>
        <v>0</v>
      </c>
      <c r="X686" s="407">
        <f>IFERROR(W686/(AA688-AA686),0)</f>
        <v>0</v>
      </c>
      <c r="Y686" s="408" t="s">
        <v>359</v>
      </c>
      <c r="Z686" s="442">
        <v>215</v>
      </c>
      <c r="AA686" s="410">
        <f>SUM(PROD!L684:L690)-SUM(W683:W689)-SUM(S683:S689)-AA685</f>
        <v>0</v>
      </c>
      <c r="AB686" s="496">
        <f>IF(AA688&gt;0,AA686/AA688,0)</f>
        <v>0</v>
      </c>
    </row>
    <row r="687" spans="1:28" ht="15.75" customHeight="1" x14ac:dyDescent="0.3">
      <c r="A687" s="2301"/>
      <c r="B687" s="399" t="str">
        <f>$B$8</f>
        <v>Materia Prima (Carb Ca, etc.)</v>
      </c>
      <c r="C687" s="440">
        <f>C680</f>
        <v>0</v>
      </c>
      <c r="D687" s="387">
        <f>C687*12/52</f>
        <v>0</v>
      </c>
      <c r="E687" s="383">
        <f>IFERROR(D687/SUM(PROD!L684:L690),0)</f>
        <v>0</v>
      </c>
      <c r="F687" s="384">
        <f>IFERROR(E687/SUM(E683:E689,J683:J689,O683:O688),0)</f>
        <v>0</v>
      </c>
      <c r="G687" s="441" t="str">
        <f>$G$15</f>
        <v>Gastos Legales</v>
      </c>
      <c r="H687" s="401">
        <f t="shared" si="134"/>
        <v>0</v>
      </c>
      <c r="I687" s="390">
        <f t="shared" si="132"/>
        <v>0</v>
      </c>
      <c r="J687" s="383">
        <f>IFERROR(I687/SUM(PROD!L684:L690),0)</f>
        <v>0</v>
      </c>
      <c r="K687" s="384">
        <f>IFERROR(J687/SUM(E683:E689,J683:J689,O683:O688),0)</f>
        <v>0</v>
      </c>
      <c r="L687" s="439" t="str">
        <f>$L$8</f>
        <v>Fletes</v>
      </c>
      <c r="M687" s="401">
        <f t="shared" si="141"/>
        <v>0</v>
      </c>
      <c r="N687" s="404">
        <f>M687*0.230769230769231</f>
        <v>0</v>
      </c>
      <c r="O687" s="383">
        <f>IFERROR(N687/SUM(PROD!L684:L690),0)</f>
        <v>0</v>
      </c>
      <c r="P687" s="384">
        <f>IFERROR(O687/SUM(E683:E689,J683:J689,O683:O688),0)</f>
        <v>0</v>
      </c>
      <c r="Q687" s="391" t="str">
        <f>$Q$8</f>
        <v>B</v>
      </c>
      <c r="R687" s="392">
        <f t="shared" si="135"/>
        <v>0</v>
      </c>
      <c r="S687" s="870">
        <f>SUM(PROD!AQ684:AQ690)</f>
        <v>0</v>
      </c>
      <c r="T687" s="393">
        <f>IF(AA683&gt;0,S687/AA683,0)</f>
        <v>0</v>
      </c>
      <c r="U687" s="395" t="str">
        <f>$U$8</f>
        <v>Rev. Gr.</v>
      </c>
      <c r="V687" s="412">
        <f t="shared" si="136"/>
        <v>0</v>
      </c>
      <c r="W687" s="873">
        <f>SUM(PROD!AT684:AT690)</f>
        <v>0</v>
      </c>
      <c r="X687" s="413">
        <f>IFERROR(W687/(AA688-AA686),0)</f>
        <v>0</v>
      </c>
      <c r="Y687" s="414" t="s">
        <v>262</v>
      </c>
      <c r="Z687" s="415">
        <f>IFERROR(SUMPRODUCT(V687:V689,W687:W689)/SUM(W687:W689),0)</f>
        <v>0</v>
      </c>
      <c r="AA687" s="416">
        <f>SUM(W687:W689)</f>
        <v>0</v>
      </c>
      <c r="AB687" s="497">
        <f>IF(AA688&gt;0,AA687/AA688,0)</f>
        <v>0</v>
      </c>
    </row>
    <row r="688" spans="1:28" ht="15.75" customHeight="1" x14ac:dyDescent="0.3">
      <c r="A688" s="2301"/>
      <c r="B688" s="438" t="str">
        <f>$B$9</f>
        <v>Vacunas y medicamentos</v>
      </c>
      <c r="C688" s="443">
        <f>C681</f>
        <v>0</v>
      </c>
      <c r="D688" s="387">
        <f>C688*12/52</f>
        <v>0</v>
      </c>
      <c r="E688" s="383">
        <f>IFERROR(D688/SUM(PROD!L684:L690),0)</f>
        <v>0</v>
      </c>
      <c r="F688" s="384">
        <f>IFERROR(E688/SUM(E683:E689,J683:J689,O683:O688),0)</f>
        <v>0</v>
      </c>
      <c r="G688" s="441" t="str">
        <f>$G$16</f>
        <v>Mantenimiento y Reparaciones</v>
      </c>
      <c r="H688" s="401">
        <f t="shared" si="134"/>
        <v>0</v>
      </c>
      <c r="I688" s="390">
        <f t="shared" si="132"/>
        <v>0</v>
      </c>
      <c r="J688" s="383">
        <f>IFERROR(I688/SUM(PROD!L684:L690),0)</f>
        <v>0</v>
      </c>
      <c r="K688" s="384">
        <f>IFERROR(J688/SUM(E683:E689,J683:J689,O683:O688),0)</f>
        <v>0</v>
      </c>
      <c r="L688" s="439">
        <f>$L$9</f>
        <v>0</v>
      </c>
      <c r="M688" s="401">
        <f t="shared" si="141"/>
        <v>0</v>
      </c>
      <c r="N688" s="404">
        <f>M688*0.230769230769231</f>
        <v>0</v>
      </c>
      <c r="O688" s="383">
        <f>IFERROR(N688/SUM(PROD!L684:L690),0)</f>
        <v>0</v>
      </c>
      <c r="P688" s="384">
        <f>IFERROR(O688/SUM(E683:E689,J683:J689,O683:O688),0)</f>
        <v>0</v>
      </c>
      <c r="Q688" s="391" t="str">
        <f>$Q$9</f>
        <v>C</v>
      </c>
      <c r="R688" s="392">
        <f t="shared" si="135"/>
        <v>0</v>
      </c>
      <c r="S688" s="870">
        <f>SUM(PROD!AR684:AR690)</f>
        <v>0</v>
      </c>
      <c r="T688" s="393">
        <f>IF(AA683&gt;0,S688/AA683,0)</f>
        <v>0</v>
      </c>
      <c r="U688" s="394" t="str">
        <f>$U$9</f>
        <v>Rev. Med</v>
      </c>
      <c r="V688" s="392">
        <f t="shared" si="136"/>
        <v>0</v>
      </c>
      <c r="W688" s="870">
        <f>SUM(PROD!AU684:AU690)</f>
        <v>0</v>
      </c>
      <c r="X688" s="418">
        <f>IFERROR(W688/(AA688-AA686),0)</f>
        <v>0</v>
      </c>
      <c r="Y688" s="2303" t="s">
        <v>325</v>
      </c>
      <c r="Z688" s="2305">
        <f>SUMPRODUCT(Z683:Z687,AB683:AB687)</f>
        <v>0</v>
      </c>
      <c r="AA688" s="2307">
        <f>SUM(AA683:AA686)</f>
        <v>0</v>
      </c>
      <c r="AB688" s="2308"/>
    </row>
    <row r="689" spans="1:28" ht="16.5" customHeight="1" thickBot="1" x14ac:dyDescent="0.35">
      <c r="A689" s="2302"/>
      <c r="B689" s="444" t="str">
        <f>$B$10</f>
        <v>Gastos de Personal</v>
      </c>
      <c r="C689" s="445">
        <f>C682</f>
        <v>0</v>
      </c>
      <c r="D689" s="421">
        <f>C689*12/52</f>
        <v>0</v>
      </c>
      <c r="E689" s="446">
        <f>IFERROR(D689/SUM(PROD!L684:L690),0)</f>
        <v>0</v>
      </c>
      <c r="F689" s="447">
        <f>IFERROR(E689/SUM(E683:E689,J683:J689,O683:O688),0)</f>
        <v>0</v>
      </c>
      <c r="G689" s="448" t="str">
        <f>$G$17</f>
        <v>Adecuación Instalaciones</v>
      </c>
      <c r="H689" s="445">
        <f t="shared" si="134"/>
        <v>0</v>
      </c>
      <c r="I689" s="426">
        <f t="shared" si="132"/>
        <v>0</v>
      </c>
      <c r="J689" s="446">
        <f>IFERROR(I689/SUM(PROD!L684:L690),0)</f>
        <v>0</v>
      </c>
      <c r="K689" s="447">
        <f>IFERROR(J689/SUM(E683:E689,J683:J689,O683:O688),0)</f>
        <v>0</v>
      </c>
      <c r="L689" s="2311" t="str">
        <f>$L$10</f>
        <v>TOTAL COSTO PRODUCCIÓN</v>
      </c>
      <c r="M689" s="2312"/>
      <c r="N689" s="427">
        <f>SUM(D683:D689,I683:I689,N683:N688)</f>
        <v>230769.23076923078</v>
      </c>
      <c r="O689" s="449">
        <f>IFERROR(N689/SUM(PROD!L684:L690),0)</f>
        <v>0</v>
      </c>
      <c r="P689" s="447">
        <f>IFERROR(O689/SUM(E683:E689,J683:J689,O683:O688),0)</f>
        <v>0</v>
      </c>
      <c r="Q689" s="450" t="str">
        <f>$Q$10</f>
        <v>D</v>
      </c>
      <c r="R689" s="430">
        <f t="shared" si="135"/>
        <v>0</v>
      </c>
      <c r="S689" s="871">
        <f>SUM(PROD!AS684:AS690)</f>
        <v>0</v>
      </c>
      <c r="T689" s="451">
        <f>IF(AA683&gt;0,S689/AA683,0)</f>
        <v>0</v>
      </c>
      <c r="U689" s="452" t="str">
        <f>$U$10</f>
        <v>Rev. Peq</v>
      </c>
      <c r="V689" s="430">
        <f t="shared" si="136"/>
        <v>0</v>
      </c>
      <c r="W689" s="874">
        <f>SUM(PROD!AV684:AV690)</f>
        <v>0</v>
      </c>
      <c r="X689" s="451">
        <f>IFERROR(W689/(AA688-AA686),0)</f>
        <v>0</v>
      </c>
      <c r="Y689" s="2304"/>
      <c r="Z689" s="2306"/>
      <c r="AA689" s="2309"/>
      <c r="AB689" s="2310"/>
    </row>
    <row r="690" spans="1:28" ht="16.5" customHeight="1" x14ac:dyDescent="0.3">
      <c r="A690" s="2300">
        <f>A683+1</f>
        <v>116</v>
      </c>
      <c r="B690" s="433" t="str">
        <f>$B$4</f>
        <v>ALIMENTO Kilos</v>
      </c>
      <c r="C690" s="435">
        <f>LOOKUP($A690,PROD!$A$5:$A$725,PROD!$AH$10:$AH$730)</f>
        <v>0</v>
      </c>
      <c r="D690" s="368">
        <f>C690*LOOKUP($A690,'Pr-Sem'!$A$6:$A$108,'Pr-Sem'!$N$6:$N$108)/(PROD!$A$1/1000)</f>
        <v>0</v>
      </c>
      <c r="E690" s="369">
        <f>IFERROR(D690/SUM(PROD!L691:L697),0)</f>
        <v>0</v>
      </c>
      <c r="F690" s="370">
        <f>IFERROR(E690/SUM(E690:E696,J690:J696,O690:O695),0)</f>
        <v>0</v>
      </c>
      <c r="G690" s="434" t="str">
        <f>$G$11</f>
        <v>Honorarios</v>
      </c>
      <c r="H690" s="435">
        <f t="shared" si="134"/>
        <v>0</v>
      </c>
      <c r="I690" s="372">
        <f t="shared" si="132"/>
        <v>0</v>
      </c>
      <c r="J690" s="369">
        <f>IFERROR(I690/SUM(PROD!L691:L697),0)</f>
        <v>0</v>
      </c>
      <c r="K690" s="370">
        <f>IFERROR(J690/SUM(E690:E696,J690:J696,O690:O695),0)</f>
        <v>0</v>
      </c>
      <c r="L690" s="436" t="str">
        <f>$L$4</f>
        <v>Gastos de Viaje</v>
      </c>
      <c r="M690" s="435">
        <f t="shared" ref="M690:M695" si="142">M683</f>
        <v>0</v>
      </c>
      <c r="N690" s="372">
        <f>M690*12/52</f>
        <v>0</v>
      </c>
      <c r="O690" s="369">
        <f>IFERROR(N690/SUM(PROD!L691:L697),0)</f>
        <v>0</v>
      </c>
      <c r="P690" s="370">
        <f>IFERROR(O690/SUM(E690:E696,J690:J696,O690:O695),0)</f>
        <v>0</v>
      </c>
      <c r="Q690" s="373" t="str">
        <f>$Q$4</f>
        <v>AAAA</v>
      </c>
      <c r="R690" s="374">
        <f t="shared" si="135"/>
        <v>0</v>
      </c>
      <c r="S690" s="869">
        <f>SUM(PROD!AM691:AM697)</f>
        <v>0</v>
      </c>
      <c r="T690" s="375">
        <f>IF(AA690&gt;0,S690/AA690,0)</f>
        <v>0</v>
      </c>
      <c r="U690" s="376" t="str">
        <f>$U$4</f>
        <v>Prob Color</v>
      </c>
      <c r="V690" s="374">
        <f t="shared" si="136"/>
        <v>0</v>
      </c>
      <c r="W690" s="869">
        <f>SUM(PROD!AW691:AW697)</f>
        <v>0</v>
      </c>
      <c r="X690" s="375">
        <f>IFERROR(W690/(AA695-AA693),0)</f>
        <v>0</v>
      </c>
      <c r="Y690" s="377" t="s">
        <v>323</v>
      </c>
      <c r="Z690" s="378">
        <f>SUMPRODUCT(R690:R696,T690:T696)</f>
        <v>0</v>
      </c>
      <c r="AA690" s="379">
        <f>SUM(S690:S696)</f>
        <v>0</v>
      </c>
      <c r="AB690" s="490">
        <f>IF(AA695&gt;0,AA690/AA695,0)</f>
        <v>0</v>
      </c>
    </row>
    <row r="691" spans="1:28" ht="15.75" customHeight="1" x14ac:dyDescent="0.3">
      <c r="A691" s="2301"/>
      <c r="B691" s="438" t="str">
        <f>$B$5</f>
        <v>Amortización de Aves</v>
      </c>
      <c r="C691" s="381">
        <f>IFERROR((C684-(D691/'Pr-Sem'!$O$2)),0)</f>
        <v>0</v>
      </c>
      <c r="D691" s="382">
        <f>SUM(PROD!L691:L697)*E691</f>
        <v>0</v>
      </c>
      <c r="E691" s="383">
        <f>IF(SUM(PROD!L691:L697)&gt;0,IFERROR(($C$1-$C$2)/LOOKUP($B$2,'Pr-Sem'!$A$6:$A$108,'Pr-Sem'!$L$6:$L$108)*(LOOKUP(INVENTARIOS!$A690,'Pr-Sem'!$A$6:$A$108,'Pr-Sem'!$L$6:$L$108)-LOOKUP(INVENTARIOS!$A690-1,'Pr-Sem'!$A$6:$A$108,'Pr-Sem'!$L$6:$L$108))/(LOOKUP(INVENTARIOS!$A690,'Pr-Sem'!$A$6:$A$108,'Pr-Sem'!$K$6:$K$108)-LOOKUP(INVENTARIOS!$A690-1,'Pr-Sem'!$A$6:$A$108,'Pr-Sem'!$K$6:$K$108)),0),0)</f>
        <v>0</v>
      </c>
      <c r="F691" s="384">
        <f>IFERROR(E691/SUM(E690:E696,J690:J696,O690:O695),0)</f>
        <v>0</v>
      </c>
      <c r="G691" s="439" t="str">
        <f>$G$12</f>
        <v>Impuestos</v>
      </c>
      <c r="H691" s="440">
        <f t="shared" si="134"/>
        <v>0</v>
      </c>
      <c r="I691" s="387">
        <f t="shared" si="132"/>
        <v>0</v>
      </c>
      <c r="J691" s="383">
        <f>IFERROR(I691/SUM(PROD!L691:L697),0)</f>
        <v>0</v>
      </c>
      <c r="K691" s="384">
        <f>IFERROR(J691/SUM(E690:E696,J690:J696,O690:O695),0)</f>
        <v>0</v>
      </c>
      <c r="L691" s="439" t="str">
        <f>$L$5</f>
        <v>Depreciaciones</v>
      </c>
      <c r="M691" s="401">
        <f t="shared" si="142"/>
        <v>0</v>
      </c>
      <c r="N691" s="390">
        <f>M691*12/52</f>
        <v>0</v>
      </c>
      <c r="O691" s="383">
        <f>IFERROR(N691/SUM(PROD!L691:L697),0)</f>
        <v>0</v>
      </c>
      <c r="P691" s="384">
        <f>IFERROR(O691/SUM(E690:E696,J690:J696,O690:O695),0)</f>
        <v>0</v>
      </c>
      <c r="Q691" s="391" t="str">
        <f>$Q$5</f>
        <v>AAA</v>
      </c>
      <c r="R691" s="392">
        <f t="shared" si="135"/>
        <v>0</v>
      </c>
      <c r="S691" s="870">
        <f>SUM(PROD!AN691:AN697)</f>
        <v>0</v>
      </c>
      <c r="T691" s="393">
        <f>IF(AA690&gt;0,S691/AA690,0)</f>
        <v>0</v>
      </c>
      <c r="U691" s="394" t="str">
        <f>$U$5</f>
        <v>Prob Cásc</v>
      </c>
      <c r="V691" s="392">
        <f t="shared" si="136"/>
        <v>0</v>
      </c>
      <c r="W691" s="870">
        <f>SUM(PROD!AX691:AX697)</f>
        <v>0</v>
      </c>
      <c r="X691" s="393">
        <f>IFERROR(W691/(AA695-AA693),0)</f>
        <v>0</v>
      </c>
      <c r="Y691" s="395" t="s">
        <v>324</v>
      </c>
      <c r="Z691" s="396">
        <f>IFERROR(SUMPRODUCT(V690:V693,W690:W693)/SUM(W690:W693),0)</f>
        <v>0</v>
      </c>
      <c r="AA691" s="397">
        <f>SUM(W690:W693)</f>
        <v>0</v>
      </c>
      <c r="AB691" s="494">
        <f>IF(AA695&gt;0,AA691/AA695,0)</f>
        <v>0</v>
      </c>
    </row>
    <row r="692" spans="1:28" ht="15.75" customHeight="1" x14ac:dyDescent="0.3">
      <c r="A692" s="2301"/>
      <c r="B692" s="399" t="str">
        <f>$B$6</f>
        <v>Bandeja</v>
      </c>
      <c r="C692" s="400">
        <f>C685</f>
        <v>0</v>
      </c>
      <c r="D692" s="387">
        <f>C692*SUM(INVENTARIOS!R690:R696)</f>
        <v>0</v>
      </c>
      <c r="E692" s="383">
        <f>IFERROR(D692/SUM(PROD!L691:L697),0)</f>
        <v>0</v>
      </c>
      <c r="F692" s="384">
        <f>IFERROR(E692/SUM(E690:E696,J690:J696,O690:O695),0)</f>
        <v>0</v>
      </c>
      <c r="G692" s="439" t="str">
        <f>$G$13</f>
        <v>Arrendamientos</v>
      </c>
      <c r="H692" s="401">
        <f t="shared" si="134"/>
        <v>0</v>
      </c>
      <c r="I692" s="390">
        <f t="shared" si="132"/>
        <v>0</v>
      </c>
      <c r="J692" s="383">
        <f>IFERROR(I692/SUM(PROD!L691:L697),0)</f>
        <v>0</v>
      </c>
      <c r="K692" s="384">
        <f>IFERROR(J692/SUM(E690:E696,J690:J696,O690:O695),0)</f>
        <v>0</v>
      </c>
      <c r="L692" s="439" t="str">
        <f>$L$6</f>
        <v>Diversos</v>
      </c>
      <c r="M692" s="401">
        <f t="shared" si="142"/>
        <v>1000000</v>
      </c>
      <c r="N692" s="390">
        <f>M692*12/52</f>
        <v>230769.23076923078</v>
      </c>
      <c r="O692" s="383">
        <f>IFERROR(N692/SUM(PROD!L691:L697),0)</f>
        <v>0</v>
      </c>
      <c r="P692" s="384">
        <f>IFERROR(O692/SUM(E690:E696,J690:J696,O690:O695),0)</f>
        <v>0</v>
      </c>
      <c r="Q692" s="391" t="str">
        <f>$Q$6</f>
        <v>AA</v>
      </c>
      <c r="R692" s="392">
        <f t="shared" si="135"/>
        <v>0</v>
      </c>
      <c r="S692" s="870">
        <f>SUM(PROD!AO691:AO697)</f>
        <v>0</v>
      </c>
      <c r="T692" s="393">
        <f>IF(AA690&gt;0,S692/AA690,0)</f>
        <v>0</v>
      </c>
      <c r="U692" s="394" t="str">
        <f>$U$6</f>
        <v>Vencido</v>
      </c>
      <c r="V692" s="392">
        <f t="shared" si="136"/>
        <v>0</v>
      </c>
      <c r="W692" s="870">
        <f>SUM(PROD!AY691:AY697)</f>
        <v>0</v>
      </c>
      <c r="X692" s="393">
        <f>IFERROR(W692/(AA695-AA693),0)</f>
        <v>0</v>
      </c>
      <c r="Y692" s="402" t="s">
        <v>391</v>
      </c>
      <c r="Z692" s="456">
        <v>0</v>
      </c>
      <c r="AA692" s="720"/>
      <c r="AB692" s="495">
        <f>IF(AA695&gt;0,AA692/AA695,0)</f>
        <v>0</v>
      </c>
    </row>
    <row r="693" spans="1:28" ht="15.75" customHeight="1" x14ac:dyDescent="0.3">
      <c r="A693" s="2301"/>
      <c r="B693" s="438" t="str">
        <f>$B$7</f>
        <v>Mortalidad Aves</v>
      </c>
      <c r="C693" s="401">
        <f>IF(A690&lt;=$B$2,C691+$C$2,0)</f>
        <v>0</v>
      </c>
      <c r="D693" s="390">
        <f>C693*SUM(PROD!D691:D697)</f>
        <v>0</v>
      </c>
      <c r="E693" s="383">
        <f>IFERROR(D693/SUM(PROD!L691:L697),0)</f>
        <v>0</v>
      </c>
      <c r="F693" s="384">
        <f>IFERROR(E693/SUM(E690:E696,J690:J696,O690:O695),0)</f>
        <v>0</v>
      </c>
      <c r="G693" s="439" t="str">
        <f>$G$14</f>
        <v>Servicios Públicos</v>
      </c>
      <c r="H693" s="401">
        <f t="shared" si="134"/>
        <v>0</v>
      </c>
      <c r="I693" s="390">
        <f t="shared" si="132"/>
        <v>0</v>
      </c>
      <c r="J693" s="383">
        <f>IFERROR(I693/SUM(PROD!L691:L697),0)</f>
        <v>0</v>
      </c>
      <c r="K693" s="384">
        <f>IFERROR(J693/SUM(E690:E696,J690:J696,O690:O695),0)</f>
        <v>0</v>
      </c>
      <c r="L693" s="441" t="str">
        <f>$L$7</f>
        <v>Administrativos</v>
      </c>
      <c r="M693" s="401">
        <f t="shared" si="142"/>
        <v>0</v>
      </c>
      <c r="N693" s="404">
        <f>M693*0.230769230769231</f>
        <v>0</v>
      </c>
      <c r="O693" s="383">
        <f>IFERROR(N693/SUM(PROD!L691:L697),0)</f>
        <v>0</v>
      </c>
      <c r="P693" s="384">
        <f>IFERROR(O693/SUM(E690:E696,J690:J696,O690:O695),0)</f>
        <v>0</v>
      </c>
      <c r="Q693" s="391" t="str">
        <f>$Q$7</f>
        <v>A</v>
      </c>
      <c r="R693" s="392">
        <f t="shared" si="135"/>
        <v>0</v>
      </c>
      <c r="S693" s="870">
        <f>SUM(PROD!AP691:AP697)</f>
        <v>0</v>
      </c>
      <c r="T693" s="393">
        <f>IF(AA690&gt;0,S693/AA690,0)</f>
        <v>0</v>
      </c>
      <c r="U693" s="405" t="str">
        <f>$U$7</f>
        <v>Roto</v>
      </c>
      <c r="V693" s="406">
        <f t="shared" si="136"/>
        <v>0</v>
      </c>
      <c r="W693" s="872">
        <f>SUM(PROD!AZ691:AZ697)</f>
        <v>0</v>
      </c>
      <c r="X693" s="407">
        <f>IFERROR(W693/(AA695-AA693),0)</f>
        <v>0</v>
      </c>
      <c r="Y693" s="408" t="s">
        <v>359</v>
      </c>
      <c r="Z693" s="442">
        <v>215</v>
      </c>
      <c r="AA693" s="410">
        <f>SUM(PROD!L691:L697)-SUM(W690:W696)-SUM(S690:S696)-AA692</f>
        <v>0</v>
      </c>
      <c r="AB693" s="496">
        <f>IF(AA695&gt;0,AA693/AA695,0)</f>
        <v>0</v>
      </c>
    </row>
    <row r="694" spans="1:28" ht="15.75" customHeight="1" x14ac:dyDescent="0.3">
      <c r="A694" s="2301"/>
      <c r="B694" s="399" t="str">
        <f>$B$8</f>
        <v>Materia Prima (Carb Ca, etc.)</v>
      </c>
      <c r="C694" s="440">
        <f>C687</f>
        <v>0</v>
      </c>
      <c r="D694" s="387">
        <f>C694*12/52</f>
        <v>0</v>
      </c>
      <c r="E694" s="383">
        <f>IFERROR(D694/SUM(PROD!L691:L697),0)</f>
        <v>0</v>
      </c>
      <c r="F694" s="384">
        <f>IFERROR(E694/SUM(E690:E696,J690:J696,O690:O695),0)</f>
        <v>0</v>
      </c>
      <c r="G694" s="441" t="str">
        <f>$G$15</f>
        <v>Gastos Legales</v>
      </c>
      <c r="H694" s="401">
        <f t="shared" si="134"/>
        <v>0</v>
      </c>
      <c r="I694" s="390">
        <f t="shared" si="132"/>
        <v>0</v>
      </c>
      <c r="J694" s="383">
        <f>IFERROR(I694/SUM(PROD!L691:L697),0)</f>
        <v>0</v>
      </c>
      <c r="K694" s="384">
        <f>IFERROR(J694/SUM(E690:E696,J690:J696,O690:O695),0)</f>
        <v>0</v>
      </c>
      <c r="L694" s="439" t="str">
        <f>$L$8</f>
        <v>Fletes</v>
      </c>
      <c r="M694" s="401">
        <f t="shared" si="142"/>
        <v>0</v>
      </c>
      <c r="N694" s="404">
        <f>M694*0.230769230769231</f>
        <v>0</v>
      </c>
      <c r="O694" s="383">
        <f>IFERROR(N694/SUM(PROD!L691:L697),0)</f>
        <v>0</v>
      </c>
      <c r="P694" s="384">
        <f>IFERROR(O694/SUM(E690:E696,J690:J696,O690:O695),0)</f>
        <v>0</v>
      </c>
      <c r="Q694" s="391" t="str">
        <f>$Q$8</f>
        <v>B</v>
      </c>
      <c r="R694" s="392">
        <f t="shared" si="135"/>
        <v>0</v>
      </c>
      <c r="S694" s="870">
        <f>SUM(PROD!AQ691:AQ697)</f>
        <v>0</v>
      </c>
      <c r="T694" s="393">
        <f>IF(AA690&gt;0,S694/AA690,0)</f>
        <v>0</v>
      </c>
      <c r="U694" s="395" t="str">
        <f>$U$8</f>
        <v>Rev. Gr.</v>
      </c>
      <c r="V694" s="412">
        <f t="shared" si="136"/>
        <v>0</v>
      </c>
      <c r="W694" s="873">
        <f>SUM(PROD!AT691:AT697)</f>
        <v>0</v>
      </c>
      <c r="X694" s="413">
        <f>IFERROR(W694/(AA695-AA693),0)</f>
        <v>0</v>
      </c>
      <c r="Y694" s="414" t="s">
        <v>262</v>
      </c>
      <c r="Z694" s="415">
        <f>IFERROR(SUMPRODUCT(V694:V696,W694:W696)/SUM(W694:W696),0)</f>
        <v>0</v>
      </c>
      <c r="AA694" s="416">
        <f>SUM(W694:W696)</f>
        <v>0</v>
      </c>
      <c r="AB694" s="497">
        <f>IF(AA695&gt;0,AA694/AA695,0)</f>
        <v>0</v>
      </c>
    </row>
    <row r="695" spans="1:28" ht="15.75" customHeight="1" x14ac:dyDescent="0.3">
      <c r="A695" s="2301"/>
      <c r="B695" s="438" t="str">
        <f>$B$9</f>
        <v>Vacunas y medicamentos</v>
      </c>
      <c r="C695" s="443">
        <f>C688</f>
        <v>0</v>
      </c>
      <c r="D695" s="387">
        <f>C695*12/52</f>
        <v>0</v>
      </c>
      <c r="E695" s="383">
        <f>IFERROR(D695/SUM(PROD!L691:L697),0)</f>
        <v>0</v>
      </c>
      <c r="F695" s="384">
        <f>IFERROR(E695/SUM(E690:E696,J690:J696,O690:O695),0)</f>
        <v>0</v>
      </c>
      <c r="G695" s="441" t="str">
        <f>$G$16</f>
        <v>Mantenimiento y Reparaciones</v>
      </c>
      <c r="H695" s="401">
        <f t="shared" si="134"/>
        <v>0</v>
      </c>
      <c r="I695" s="390">
        <f t="shared" si="132"/>
        <v>0</v>
      </c>
      <c r="J695" s="383">
        <f>IFERROR(I695/SUM(PROD!L691:L697),0)</f>
        <v>0</v>
      </c>
      <c r="K695" s="384">
        <f>IFERROR(J695/SUM(E690:E696,J690:J696,O690:O695),0)</f>
        <v>0</v>
      </c>
      <c r="L695" s="439">
        <f>$L$9</f>
        <v>0</v>
      </c>
      <c r="M695" s="401">
        <f t="shared" si="142"/>
        <v>0</v>
      </c>
      <c r="N695" s="404">
        <f>M695*0.230769230769231</f>
        <v>0</v>
      </c>
      <c r="O695" s="383">
        <f>IFERROR(N695/SUM(PROD!L691:L697),0)</f>
        <v>0</v>
      </c>
      <c r="P695" s="384">
        <f>IFERROR(O695/SUM(E690:E696,J690:J696,O690:O695),0)</f>
        <v>0</v>
      </c>
      <c r="Q695" s="391" t="str">
        <f>$Q$9</f>
        <v>C</v>
      </c>
      <c r="R695" s="392">
        <f t="shared" si="135"/>
        <v>0</v>
      </c>
      <c r="S695" s="870">
        <f>SUM(PROD!AR691:AR697)</f>
        <v>0</v>
      </c>
      <c r="T695" s="393">
        <f>IF(AA690&gt;0,S695/AA690,0)</f>
        <v>0</v>
      </c>
      <c r="U695" s="394" t="str">
        <f>$U$9</f>
        <v>Rev. Med</v>
      </c>
      <c r="V695" s="392">
        <f t="shared" si="136"/>
        <v>0</v>
      </c>
      <c r="W695" s="870">
        <f>SUM(PROD!AU691:AU697)</f>
        <v>0</v>
      </c>
      <c r="X695" s="418">
        <f>IFERROR(W695/(AA695-AA693),0)</f>
        <v>0</v>
      </c>
      <c r="Y695" s="2303" t="s">
        <v>325</v>
      </c>
      <c r="Z695" s="2305">
        <f>SUMPRODUCT(Z690:Z694,AB690:AB694)</f>
        <v>0</v>
      </c>
      <c r="AA695" s="2307">
        <f>SUM(AA690:AA693)</f>
        <v>0</v>
      </c>
      <c r="AB695" s="2308"/>
    </row>
    <row r="696" spans="1:28" ht="16.5" customHeight="1" thickBot="1" x14ac:dyDescent="0.35">
      <c r="A696" s="2302"/>
      <c r="B696" s="444" t="str">
        <f>$B$10</f>
        <v>Gastos de Personal</v>
      </c>
      <c r="C696" s="445">
        <f>C689</f>
        <v>0</v>
      </c>
      <c r="D696" s="421">
        <f>C696*12/52</f>
        <v>0</v>
      </c>
      <c r="E696" s="446">
        <f>IFERROR(D696/SUM(PROD!L691:L697),0)</f>
        <v>0</v>
      </c>
      <c r="F696" s="447">
        <f>IFERROR(E696/SUM(E690:E696,J690:J696,O690:O695),0)</f>
        <v>0</v>
      </c>
      <c r="G696" s="448" t="str">
        <f>$G$17</f>
        <v>Adecuación Instalaciones</v>
      </c>
      <c r="H696" s="445">
        <f t="shared" si="134"/>
        <v>0</v>
      </c>
      <c r="I696" s="426">
        <f t="shared" si="132"/>
        <v>0</v>
      </c>
      <c r="J696" s="446">
        <f>IFERROR(I696/SUM(PROD!L691:L697),0)</f>
        <v>0</v>
      </c>
      <c r="K696" s="447">
        <f>IFERROR(J696/SUM(E690:E696,J690:J696,O690:O695),0)</f>
        <v>0</v>
      </c>
      <c r="L696" s="2311" t="str">
        <f>$L$10</f>
        <v>TOTAL COSTO PRODUCCIÓN</v>
      </c>
      <c r="M696" s="2312"/>
      <c r="N696" s="427">
        <f>SUM(D690:D696,I690:I696,N690:N695)</f>
        <v>230769.23076923078</v>
      </c>
      <c r="O696" s="449">
        <f>IFERROR(N696/SUM(PROD!L691:L697),0)</f>
        <v>0</v>
      </c>
      <c r="P696" s="447">
        <f>IFERROR(O696/SUM(E690:E696,J690:J696,O690:O695),0)</f>
        <v>0</v>
      </c>
      <c r="Q696" s="450" t="str">
        <f>$Q$10</f>
        <v>D</v>
      </c>
      <c r="R696" s="430">
        <f t="shared" si="135"/>
        <v>0</v>
      </c>
      <c r="S696" s="871">
        <f>SUM(PROD!AS691:AS697)</f>
        <v>0</v>
      </c>
      <c r="T696" s="451">
        <f>IF(AA690&gt;0,S696/AA690,0)</f>
        <v>0</v>
      </c>
      <c r="U696" s="452" t="str">
        <f>$U$10</f>
        <v>Rev. Peq</v>
      </c>
      <c r="V696" s="430">
        <f t="shared" si="136"/>
        <v>0</v>
      </c>
      <c r="W696" s="874">
        <f>SUM(PROD!AV691:AV697)</f>
        <v>0</v>
      </c>
      <c r="X696" s="451">
        <f>IFERROR(W696/(AA695-AA693),0)</f>
        <v>0</v>
      </c>
      <c r="Y696" s="2304"/>
      <c r="Z696" s="2306"/>
      <c r="AA696" s="2309"/>
      <c r="AB696" s="2310"/>
    </row>
    <row r="697" spans="1:28" ht="16.5" customHeight="1" x14ac:dyDescent="0.3">
      <c r="A697" s="2300">
        <f>A690+1</f>
        <v>117</v>
      </c>
      <c r="B697" s="433" t="str">
        <f>$B$4</f>
        <v>ALIMENTO Kilos</v>
      </c>
      <c r="C697" s="435">
        <f>LOOKUP($A697,PROD!$A$5:$A$725,PROD!$AH$10:$AH$730)</f>
        <v>0</v>
      </c>
      <c r="D697" s="368">
        <f>C697*LOOKUP($A697,'Pr-Sem'!$A$6:$A$108,'Pr-Sem'!$N$6:$N$108)/(PROD!$A$1/1000)</f>
        <v>0</v>
      </c>
      <c r="E697" s="369">
        <f>IFERROR(D697/SUM(PROD!L698:L704),0)</f>
        <v>0</v>
      </c>
      <c r="F697" s="370">
        <f>IFERROR(E697/SUM(E697:E703,J697:J703,O697:O702),0)</f>
        <v>0</v>
      </c>
      <c r="G697" s="434" t="str">
        <f>$G$11</f>
        <v>Honorarios</v>
      </c>
      <c r="H697" s="435">
        <f t="shared" si="134"/>
        <v>0</v>
      </c>
      <c r="I697" s="372">
        <f t="shared" si="132"/>
        <v>0</v>
      </c>
      <c r="J697" s="369">
        <f>IFERROR(I697/SUM(PROD!L698:L704),0)</f>
        <v>0</v>
      </c>
      <c r="K697" s="370">
        <f>IFERROR(J697/SUM(E697:E703,J697:J703,O697:O702),0)</f>
        <v>0</v>
      </c>
      <c r="L697" s="436" t="str">
        <f>$L$4</f>
        <v>Gastos de Viaje</v>
      </c>
      <c r="M697" s="435">
        <f t="shared" ref="M697:M702" si="143">M690</f>
        <v>0</v>
      </c>
      <c r="N697" s="372">
        <f>M697*12/52</f>
        <v>0</v>
      </c>
      <c r="O697" s="369">
        <f>IFERROR(N697/SUM(PROD!L698:L704),0)</f>
        <v>0</v>
      </c>
      <c r="P697" s="370">
        <f>IFERROR(O697/SUM(E697:E703,J697:J703,O697:O702),0)</f>
        <v>0</v>
      </c>
      <c r="Q697" s="373" t="str">
        <f>$Q$4</f>
        <v>AAAA</v>
      </c>
      <c r="R697" s="374">
        <f t="shared" si="135"/>
        <v>0</v>
      </c>
      <c r="S697" s="869">
        <f>SUM(PROD!AM698:AM704)</f>
        <v>0</v>
      </c>
      <c r="T697" s="375">
        <f>IF(AA697&gt;0,S697/AA697,0)</f>
        <v>0</v>
      </c>
      <c r="U697" s="376" t="str">
        <f>$U$4</f>
        <v>Prob Color</v>
      </c>
      <c r="V697" s="374">
        <f t="shared" si="136"/>
        <v>0</v>
      </c>
      <c r="W697" s="869">
        <f>SUM(PROD!AW698:AW704)</f>
        <v>0</v>
      </c>
      <c r="X697" s="375">
        <f>IFERROR(W697/(AA702-AA700),0)</f>
        <v>0</v>
      </c>
      <c r="Y697" s="377" t="s">
        <v>323</v>
      </c>
      <c r="Z697" s="378">
        <f>SUMPRODUCT(R697:R703,T697:T703)</f>
        <v>0</v>
      </c>
      <c r="AA697" s="379">
        <f>SUM(S697:S703)</f>
        <v>0</v>
      </c>
      <c r="AB697" s="490">
        <f>IF(AA702&gt;0,AA697/AA702,0)</f>
        <v>0</v>
      </c>
    </row>
    <row r="698" spans="1:28" ht="15.75" customHeight="1" x14ac:dyDescent="0.3">
      <c r="A698" s="2301"/>
      <c r="B698" s="438" t="str">
        <f>$B$5</f>
        <v>Amortización de Aves</v>
      </c>
      <c r="C698" s="381">
        <f>IFERROR((C691-(D698/'Pr-Sem'!$O$2)),0)</f>
        <v>0</v>
      </c>
      <c r="D698" s="382">
        <f>SUM(PROD!L698:L704)*E698</f>
        <v>0</v>
      </c>
      <c r="E698" s="383">
        <f>IF(SUM(PROD!L698:L704)&gt;0,IFERROR(($C$1-$C$2)/LOOKUP($B$2,'Pr-Sem'!$A$6:$A$108,'Pr-Sem'!$L$6:$L$108)*(LOOKUP(INVENTARIOS!$A697,'Pr-Sem'!$A$6:$A$108,'Pr-Sem'!$L$6:$L$108)-LOOKUP(INVENTARIOS!$A697-1,'Pr-Sem'!$A$6:$A$108,'Pr-Sem'!$L$6:$L$108))/(LOOKUP(INVENTARIOS!$A697,'Pr-Sem'!$A$6:$A$108,'Pr-Sem'!$K$6:$K$108)-LOOKUP(INVENTARIOS!$A697-1,'Pr-Sem'!$A$6:$A$108,'Pr-Sem'!$K$6:$K$108)),0),0)</f>
        <v>0</v>
      </c>
      <c r="F698" s="384">
        <f>IFERROR(E698/SUM(E697:E703,J697:J703,O697:O702),0)</f>
        <v>0</v>
      </c>
      <c r="G698" s="439" t="str">
        <f>$G$12</f>
        <v>Impuestos</v>
      </c>
      <c r="H698" s="440">
        <f t="shared" si="134"/>
        <v>0</v>
      </c>
      <c r="I698" s="387">
        <f t="shared" si="132"/>
        <v>0</v>
      </c>
      <c r="J698" s="383">
        <f>IFERROR(I698/SUM(PROD!L698:L704),0)</f>
        <v>0</v>
      </c>
      <c r="K698" s="384">
        <f>IFERROR(J698/SUM(E697:E703,J697:J703,O697:O702),0)</f>
        <v>0</v>
      </c>
      <c r="L698" s="439" t="str">
        <f>$L$5</f>
        <v>Depreciaciones</v>
      </c>
      <c r="M698" s="401">
        <f t="shared" si="143"/>
        <v>0</v>
      </c>
      <c r="N698" s="390">
        <f>M698*12/52</f>
        <v>0</v>
      </c>
      <c r="O698" s="383">
        <f>IFERROR(N698/SUM(PROD!L698:L704),0)</f>
        <v>0</v>
      </c>
      <c r="P698" s="384">
        <f>IFERROR(O698/SUM(E697:E703,J697:J703,O697:O702),0)</f>
        <v>0</v>
      </c>
      <c r="Q698" s="391" t="str">
        <f>$Q$5</f>
        <v>AAA</v>
      </c>
      <c r="R698" s="392">
        <f t="shared" si="135"/>
        <v>0</v>
      </c>
      <c r="S698" s="870">
        <f>SUM(PROD!AN698:AN704)</f>
        <v>0</v>
      </c>
      <c r="T698" s="393">
        <f>IF(AA697&gt;0,S698/AA697,0)</f>
        <v>0</v>
      </c>
      <c r="U698" s="394" t="str">
        <f>$U$5</f>
        <v>Prob Cásc</v>
      </c>
      <c r="V698" s="392">
        <f t="shared" si="136"/>
        <v>0</v>
      </c>
      <c r="W698" s="870">
        <f>SUM(PROD!AX698:AX704)</f>
        <v>0</v>
      </c>
      <c r="X698" s="393">
        <f>IFERROR(W698/(AA702-AA700),0)</f>
        <v>0</v>
      </c>
      <c r="Y698" s="395" t="s">
        <v>324</v>
      </c>
      <c r="Z698" s="396">
        <f>IFERROR(SUMPRODUCT(V697:V700,W697:W700)/SUM(W697:W700),0)</f>
        <v>0</v>
      </c>
      <c r="AA698" s="397">
        <f>SUM(W697:W700)</f>
        <v>0</v>
      </c>
      <c r="AB698" s="494">
        <f>IF(AA702&gt;0,AA698/AA702,0)</f>
        <v>0</v>
      </c>
    </row>
    <row r="699" spans="1:28" ht="15.75" customHeight="1" x14ac:dyDescent="0.3">
      <c r="A699" s="2301"/>
      <c r="B699" s="399" t="str">
        <f>$B$6</f>
        <v>Bandeja</v>
      </c>
      <c r="C699" s="400">
        <f>C692</f>
        <v>0</v>
      </c>
      <c r="D699" s="387">
        <f>C699*SUM(INVENTARIOS!R697:R703)</f>
        <v>0</v>
      </c>
      <c r="E699" s="383">
        <f>IFERROR(D699/SUM(PROD!L698:L704),0)</f>
        <v>0</v>
      </c>
      <c r="F699" s="384">
        <f>IFERROR(E699/SUM(E697:E703,J697:J703,O697:O702),0)</f>
        <v>0</v>
      </c>
      <c r="G699" s="439" t="str">
        <f>$G$13</f>
        <v>Arrendamientos</v>
      </c>
      <c r="H699" s="401">
        <f t="shared" si="134"/>
        <v>0</v>
      </c>
      <c r="I699" s="390">
        <f t="shared" si="132"/>
        <v>0</v>
      </c>
      <c r="J699" s="383">
        <f>IFERROR(I699/SUM(PROD!L698:L704),0)</f>
        <v>0</v>
      </c>
      <c r="K699" s="384">
        <f>IFERROR(J699/SUM(E697:E703,J697:J703,O697:O702),0)</f>
        <v>0</v>
      </c>
      <c r="L699" s="439" t="str">
        <f>$L$6</f>
        <v>Diversos</v>
      </c>
      <c r="M699" s="401">
        <f t="shared" si="143"/>
        <v>1000000</v>
      </c>
      <c r="N699" s="390">
        <f>M699*12/52</f>
        <v>230769.23076923078</v>
      </c>
      <c r="O699" s="383">
        <f>IFERROR(N699/SUM(PROD!L698:L704),0)</f>
        <v>0</v>
      </c>
      <c r="P699" s="384">
        <f>IFERROR(O699/SUM(E697:E703,J697:J703,O697:O702),0)</f>
        <v>0</v>
      </c>
      <c r="Q699" s="391" t="str">
        <f>$Q$6</f>
        <v>AA</v>
      </c>
      <c r="R699" s="392">
        <f t="shared" si="135"/>
        <v>0</v>
      </c>
      <c r="S699" s="870">
        <f>SUM(PROD!AO698:AO704)</f>
        <v>0</v>
      </c>
      <c r="T699" s="393">
        <f>IF(AA697&gt;0,S699/AA697,0)</f>
        <v>0</v>
      </c>
      <c r="U699" s="394" t="str">
        <f>$U$6</f>
        <v>Vencido</v>
      </c>
      <c r="V699" s="392">
        <f t="shared" si="136"/>
        <v>0</v>
      </c>
      <c r="W699" s="870">
        <f>SUM(PROD!AY698:AY704)</f>
        <v>0</v>
      </c>
      <c r="X699" s="393">
        <f>IFERROR(W699/(AA702-AA700),0)</f>
        <v>0</v>
      </c>
      <c r="Y699" s="402" t="s">
        <v>391</v>
      </c>
      <c r="Z699" s="456">
        <v>0</v>
      </c>
      <c r="AA699" s="720"/>
      <c r="AB699" s="495">
        <f>IF(AA702&gt;0,AA699/AA702,0)</f>
        <v>0</v>
      </c>
    </row>
    <row r="700" spans="1:28" ht="15.75" customHeight="1" x14ac:dyDescent="0.3">
      <c r="A700" s="2301"/>
      <c r="B700" s="438" t="str">
        <f>$B$7</f>
        <v>Mortalidad Aves</v>
      </c>
      <c r="C700" s="401">
        <f>IF(A697&lt;=$B$2,C698+$C$2,0)</f>
        <v>0</v>
      </c>
      <c r="D700" s="390">
        <f>C700*SUM(PROD!D698:D704)</f>
        <v>0</v>
      </c>
      <c r="E700" s="383">
        <f>IFERROR(D700/SUM(PROD!L698:L704),0)</f>
        <v>0</v>
      </c>
      <c r="F700" s="384">
        <f>IFERROR(E700/SUM(E697:E703,J697:J703,O697:O702),0)</f>
        <v>0</v>
      </c>
      <c r="G700" s="439" t="str">
        <f>$G$14</f>
        <v>Servicios Públicos</v>
      </c>
      <c r="H700" s="401">
        <f t="shared" si="134"/>
        <v>0</v>
      </c>
      <c r="I700" s="390">
        <f t="shared" si="132"/>
        <v>0</v>
      </c>
      <c r="J700" s="383">
        <f>IFERROR(I700/SUM(PROD!L698:L704),0)</f>
        <v>0</v>
      </c>
      <c r="K700" s="384">
        <f>IFERROR(J700/SUM(E697:E703,J697:J703,O697:O702),0)</f>
        <v>0</v>
      </c>
      <c r="L700" s="441" t="str">
        <f>$L$7</f>
        <v>Administrativos</v>
      </c>
      <c r="M700" s="401">
        <f t="shared" si="143"/>
        <v>0</v>
      </c>
      <c r="N700" s="404">
        <f>M700*0.230769230769231</f>
        <v>0</v>
      </c>
      <c r="O700" s="383">
        <f>IFERROR(N700/SUM(PROD!L698:L704),0)</f>
        <v>0</v>
      </c>
      <c r="P700" s="384">
        <f>IFERROR(O700/SUM(E697:E703,J697:J703,O697:O702),0)</f>
        <v>0</v>
      </c>
      <c r="Q700" s="391" t="str">
        <f>$Q$7</f>
        <v>A</v>
      </c>
      <c r="R700" s="392">
        <f t="shared" si="135"/>
        <v>0</v>
      </c>
      <c r="S700" s="870">
        <f>SUM(PROD!AP698:AP704)</f>
        <v>0</v>
      </c>
      <c r="T700" s="393">
        <f>IF(AA697&gt;0,S700/AA697,0)</f>
        <v>0</v>
      </c>
      <c r="U700" s="405" t="str">
        <f>$U$7</f>
        <v>Roto</v>
      </c>
      <c r="V700" s="406">
        <f t="shared" si="136"/>
        <v>0</v>
      </c>
      <c r="W700" s="872">
        <f>SUM(PROD!AZ698:AZ704)</f>
        <v>0</v>
      </c>
      <c r="X700" s="407">
        <f>IFERROR(W700/(AA702-AA700),0)</f>
        <v>0</v>
      </c>
      <c r="Y700" s="408" t="s">
        <v>359</v>
      </c>
      <c r="Z700" s="442">
        <v>215</v>
      </c>
      <c r="AA700" s="410">
        <f>SUM(PROD!L698:L704)-SUM(W697:W703)-SUM(S697:S703)-AA699</f>
        <v>0</v>
      </c>
      <c r="AB700" s="496">
        <f>IF(AA702&gt;0,AA700/AA702,0)</f>
        <v>0</v>
      </c>
    </row>
    <row r="701" spans="1:28" ht="15.75" customHeight="1" x14ac:dyDescent="0.3">
      <c r="A701" s="2301"/>
      <c r="B701" s="399" t="str">
        <f>$B$8</f>
        <v>Materia Prima (Carb Ca, etc.)</v>
      </c>
      <c r="C701" s="440">
        <f>C694</f>
        <v>0</v>
      </c>
      <c r="D701" s="387">
        <f>C701*12/52</f>
        <v>0</v>
      </c>
      <c r="E701" s="383">
        <f>IFERROR(D701/SUM(PROD!L698:L704),0)</f>
        <v>0</v>
      </c>
      <c r="F701" s="384">
        <f>IFERROR(E701/SUM(E697:E703,J697:J703,O697:O702),0)</f>
        <v>0</v>
      </c>
      <c r="G701" s="441" t="str">
        <f>$G$15</f>
        <v>Gastos Legales</v>
      </c>
      <c r="H701" s="401">
        <f t="shared" si="134"/>
        <v>0</v>
      </c>
      <c r="I701" s="390">
        <f t="shared" si="132"/>
        <v>0</v>
      </c>
      <c r="J701" s="383">
        <f>IFERROR(I701/SUM(PROD!L698:L704),0)</f>
        <v>0</v>
      </c>
      <c r="K701" s="384">
        <f>IFERROR(J701/SUM(E697:E703,J697:J703,O697:O702),0)</f>
        <v>0</v>
      </c>
      <c r="L701" s="439" t="str">
        <f>$L$8</f>
        <v>Fletes</v>
      </c>
      <c r="M701" s="401">
        <f t="shared" si="143"/>
        <v>0</v>
      </c>
      <c r="N701" s="404">
        <f>M701*0.230769230769231</f>
        <v>0</v>
      </c>
      <c r="O701" s="383">
        <f>IFERROR(N701/SUM(PROD!L698:L704),0)</f>
        <v>0</v>
      </c>
      <c r="P701" s="384">
        <f>IFERROR(O701/SUM(E697:E703,J697:J703,O697:O702),0)</f>
        <v>0</v>
      </c>
      <c r="Q701" s="391" t="str">
        <f>$Q$8</f>
        <v>B</v>
      </c>
      <c r="R701" s="392">
        <f t="shared" si="135"/>
        <v>0</v>
      </c>
      <c r="S701" s="870">
        <f>SUM(PROD!AQ698:AQ704)</f>
        <v>0</v>
      </c>
      <c r="T701" s="393">
        <f>IF(AA697&gt;0,S701/AA697,0)</f>
        <v>0</v>
      </c>
      <c r="U701" s="395" t="str">
        <f>$U$8</f>
        <v>Rev. Gr.</v>
      </c>
      <c r="V701" s="412">
        <f t="shared" si="136"/>
        <v>0</v>
      </c>
      <c r="W701" s="873">
        <f>SUM(PROD!AT698:AT704)</f>
        <v>0</v>
      </c>
      <c r="X701" s="413">
        <f>IFERROR(W701/(AA702-AA700),0)</f>
        <v>0</v>
      </c>
      <c r="Y701" s="414" t="s">
        <v>262</v>
      </c>
      <c r="Z701" s="415">
        <f>IFERROR(SUMPRODUCT(V701:V703,W701:W703)/SUM(W701:W703),0)</f>
        <v>0</v>
      </c>
      <c r="AA701" s="416">
        <f>SUM(W701:W703)</f>
        <v>0</v>
      </c>
      <c r="AB701" s="497">
        <f>IF(AA702&gt;0,AA701/AA702,0)</f>
        <v>0</v>
      </c>
    </row>
    <row r="702" spans="1:28" ht="15.75" customHeight="1" x14ac:dyDescent="0.3">
      <c r="A702" s="2301"/>
      <c r="B702" s="438" t="str">
        <f>$B$9</f>
        <v>Vacunas y medicamentos</v>
      </c>
      <c r="C702" s="443">
        <f>C695</f>
        <v>0</v>
      </c>
      <c r="D702" s="387">
        <f>C702*12/52</f>
        <v>0</v>
      </c>
      <c r="E702" s="383">
        <f>IFERROR(D702/SUM(PROD!L698:L704),0)</f>
        <v>0</v>
      </c>
      <c r="F702" s="384">
        <f>IFERROR(E702/SUM(E697:E703,J697:J703,O697:O702),0)</f>
        <v>0</v>
      </c>
      <c r="G702" s="441" t="str">
        <f>$G$16</f>
        <v>Mantenimiento y Reparaciones</v>
      </c>
      <c r="H702" s="401">
        <f t="shared" si="134"/>
        <v>0</v>
      </c>
      <c r="I702" s="390">
        <f t="shared" si="132"/>
        <v>0</v>
      </c>
      <c r="J702" s="383">
        <f>IFERROR(I702/SUM(PROD!L698:L704),0)</f>
        <v>0</v>
      </c>
      <c r="K702" s="384">
        <f>IFERROR(J702/SUM(E697:E703,J697:J703,O697:O702),0)</f>
        <v>0</v>
      </c>
      <c r="L702" s="439">
        <f>$L$9</f>
        <v>0</v>
      </c>
      <c r="M702" s="401">
        <f t="shared" si="143"/>
        <v>0</v>
      </c>
      <c r="N702" s="404">
        <f>M702*0.230769230769231</f>
        <v>0</v>
      </c>
      <c r="O702" s="383">
        <f>IFERROR(N702/SUM(PROD!L698:L704),0)</f>
        <v>0</v>
      </c>
      <c r="P702" s="384">
        <f>IFERROR(O702/SUM(E697:E703,J697:J703,O697:O702),0)</f>
        <v>0</v>
      </c>
      <c r="Q702" s="391" t="str">
        <f>$Q$9</f>
        <v>C</v>
      </c>
      <c r="R702" s="392">
        <f t="shared" si="135"/>
        <v>0</v>
      </c>
      <c r="S702" s="870">
        <f>SUM(PROD!AR698:AR704)</f>
        <v>0</v>
      </c>
      <c r="T702" s="393">
        <f>IF(AA697&gt;0,S702/AA697,0)</f>
        <v>0</v>
      </c>
      <c r="U702" s="394" t="str">
        <f>$U$9</f>
        <v>Rev. Med</v>
      </c>
      <c r="V702" s="392">
        <f t="shared" si="136"/>
        <v>0</v>
      </c>
      <c r="W702" s="870">
        <f>SUM(PROD!AU698:AU704)</f>
        <v>0</v>
      </c>
      <c r="X702" s="418">
        <f>IFERROR(W702/(AA702-AA700),0)</f>
        <v>0</v>
      </c>
      <c r="Y702" s="2303" t="s">
        <v>325</v>
      </c>
      <c r="Z702" s="2305">
        <f>SUMPRODUCT(Z697:Z701,AB697:AB701)</f>
        <v>0</v>
      </c>
      <c r="AA702" s="2307">
        <f>SUM(AA697:AA700)</f>
        <v>0</v>
      </c>
      <c r="AB702" s="2308"/>
    </row>
    <row r="703" spans="1:28" ht="16.5" customHeight="1" thickBot="1" x14ac:dyDescent="0.35">
      <c r="A703" s="2302"/>
      <c r="B703" s="444" t="str">
        <f>$B$10</f>
        <v>Gastos de Personal</v>
      </c>
      <c r="C703" s="445">
        <f>C696</f>
        <v>0</v>
      </c>
      <c r="D703" s="421">
        <f>C703*12/52</f>
        <v>0</v>
      </c>
      <c r="E703" s="446">
        <f>IFERROR(D703/SUM(PROD!L698:L704),0)</f>
        <v>0</v>
      </c>
      <c r="F703" s="447">
        <f>IFERROR(E703/SUM(E697:E703,J697:J703,O697:O702),0)</f>
        <v>0</v>
      </c>
      <c r="G703" s="448" t="str">
        <f>$G$17</f>
        <v>Adecuación Instalaciones</v>
      </c>
      <c r="H703" s="445">
        <f t="shared" si="134"/>
        <v>0</v>
      </c>
      <c r="I703" s="426">
        <f t="shared" si="132"/>
        <v>0</v>
      </c>
      <c r="J703" s="446">
        <f>IFERROR(I703/SUM(PROD!L698:L704),0)</f>
        <v>0</v>
      </c>
      <c r="K703" s="447">
        <f>IFERROR(J703/SUM(E697:E703,J697:J703,O697:O702),0)</f>
        <v>0</v>
      </c>
      <c r="L703" s="2311" t="str">
        <f>$L$10</f>
        <v>TOTAL COSTO PRODUCCIÓN</v>
      </c>
      <c r="M703" s="2312"/>
      <c r="N703" s="427">
        <f>SUM(D697:D703,I697:I703,N697:N702)</f>
        <v>230769.23076923078</v>
      </c>
      <c r="O703" s="449">
        <f>IFERROR(N703/SUM(PROD!L698:L704),0)</f>
        <v>0</v>
      </c>
      <c r="P703" s="447">
        <f>IFERROR(O703/SUM(E697:E703,J697:J703,O697:O702),0)</f>
        <v>0</v>
      </c>
      <c r="Q703" s="450" t="str">
        <f>$Q$10</f>
        <v>D</v>
      </c>
      <c r="R703" s="430">
        <f t="shared" si="135"/>
        <v>0</v>
      </c>
      <c r="S703" s="871">
        <f>SUM(PROD!AS698:AS704)</f>
        <v>0</v>
      </c>
      <c r="T703" s="451">
        <f>IF(AA697&gt;0,S703/AA697,0)</f>
        <v>0</v>
      </c>
      <c r="U703" s="452" t="str">
        <f>$U$10</f>
        <v>Rev. Peq</v>
      </c>
      <c r="V703" s="430">
        <f t="shared" si="136"/>
        <v>0</v>
      </c>
      <c r="W703" s="874">
        <f>SUM(PROD!AV698:AV704)</f>
        <v>0</v>
      </c>
      <c r="X703" s="451">
        <f>IFERROR(W703/(AA702-AA700),0)</f>
        <v>0</v>
      </c>
      <c r="Y703" s="2304"/>
      <c r="Z703" s="2306"/>
      <c r="AA703" s="2309"/>
      <c r="AB703" s="2310"/>
    </row>
    <row r="704" spans="1:28" ht="16.5" customHeight="1" x14ac:dyDescent="0.3">
      <c r="A704" s="2300">
        <f>A697+1</f>
        <v>118</v>
      </c>
      <c r="B704" s="433" t="str">
        <f>$B$4</f>
        <v>ALIMENTO Kilos</v>
      </c>
      <c r="C704" s="435">
        <f>LOOKUP($A704,PROD!$A$5:$A$725,PROD!$AH$10:$AH$730)</f>
        <v>0</v>
      </c>
      <c r="D704" s="368">
        <f>C704*LOOKUP($A704,'Pr-Sem'!$A$6:$A$108,'Pr-Sem'!$N$6:$N$108)/(PROD!$A$1/1000)</f>
        <v>0</v>
      </c>
      <c r="E704" s="369">
        <f>IFERROR(D704/SUM(PROD!L705:L711),0)</f>
        <v>0</v>
      </c>
      <c r="F704" s="370">
        <f>IFERROR(E704/SUM(E704:E710,J704:J710,O704:O709),0)</f>
        <v>0</v>
      </c>
      <c r="G704" s="434" t="str">
        <f>$G$11</f>
        <v>Honorarios</v>
      </c>
      <c r="H704" s="435">
        <f t="shared" si="134"/>
        <v>0</v>
      </c>
      <c r="I704" s="372">
        <f t="shared" si="132"/>
        <v>0</v>
      </c>
      <c r="J704" s="369">
        <f>IFERROR(I704/SUM(PROD!L705:L711),0)</f>
        <v>0</v>
      </c>
      <c r="K704" s="370">
        <f>IFERROR(J704/SUM(E704:E710,J704:J710,O704:O709),0)</f>
        <v>0</v>
      </c>
      <c r="L704" s="436" t="str">
        <f>$L$4</f>
        <v>Gastos de Viaje</v>
      </c>
      <c r="M704" s="435">
        <f t="shared" ref="M704:M709" si="144">M697</f>
        <v>0</v>
      </c>
      <c r="N704" s="372">
        <f>M704*12/52</f>
        <v>0</v>
      </c>
      <c r="O704" s="369">
        <f>IFERROR(N704/SUM(PROD!L705:L711),0)</f>
        <v>0</v>
      </c>
      <c r="P704" s="370">
        <f>IFERROR(O704/SUM(E704:E710,J704:J710,O704:O709),0)</f>
        <v>0</v>
      </c>
      <c r="Q704" s="373" t="str">
        <f>$Q$4</f>
        <v>AAAA</v>
      </c>
      <c r="R704" s="374">
        <f t="shared" si="135"/>
        <v>0</v>
      </c>
      <c r="S704" s="869">
        <f>SUM(PROD!AM705:AM711)</f>
        <v>0</v>
      </c>
      <c r="T704" s="375">
        <f>IF(AA704&gt;0,S704/AA704,0)</f>
        <v>0</v>
      </c>
      <c r="U704" s="376" t="str">
        <f>$U$4</f>
        <v>Prob Color</v>
      </c>
      <c r="V704" s="374">
        <f t="shared" si="136"/>
        <v>0</v>
      </c>
      <c r="W704" s="869">
        <f>SUM(PROD!AW705:AW711)</f>
        <v>0</v>
      </c>
      <c r="X704" s="375">
        <f>IFERROR(W704/(AA709-AA707),0)</f>
        <v>0</v>
      </c>
      <c r="Y704" s="377" t="s">
        <v>323</v>
      </c>
      <c r="Z704" s="378">
        <f>SUMPRODUCT(R704:R710,T704:T710)</f>
        <v>0</v>
      </c>
      <c r="AA704" s="379">
        <f>SUM(S704:S710)</f>
        <v>0</v>
      </c>
      <c r="AB704" s="490">
        <f>IF(AA709&gt;0,AA704/AA709,0)</f>
        <v>0</v>
      </c>
    </row>
    <row r="705" spans="1:28" ht="15.75" customHeight="1" x14ac:dyDescent="0.3">
      <c r="A705" s="2301"/>
      <c r="B705" s="438" t="str">
        <f>$B$5</f>
        <v>Amortización de Aves</v>
      </c>
      <c r="C705" s="381">
        <f>IFERROR((C698-(D705/'Pr-Sem'!$O$2)),0)</f>
        <v>0</v>
      </c>
      <c r="D705" s="382">
        <f>SUM(PROD!L705:L711)*E705</f>
        <v>0</v>
      </c>
      <c r="E705" s="383">
        <f>IF(SUM(PROD!L705:L711)&gt;0,IFERROR(($C$1-$C$2)/LOOKUP($B$2,'Pr-Sem'!$A$6:$A$108,'Pr-Sem'!$L$6:$L$108)*(LOOKUP(INVENTARIOS!$A704,'Pr-Sem'!$A$6:$A$108,'Pr-Sem'!$L$6:$L$108)-LOOKUP(INVENTARIOS!$A704-1,'Pr-Sem'!$A$6:$A$108,'Pr-Sem'!$L$6:$L$108))/(LOOKUP(INVENTARIOS!$A704,'Pr-Sem'!$A$6:$A$108,'Pr-Sem'!$K$6:$K$108)-LOOKUP(INVENTARIOS!$A704-1,'Pr-Sem'!$A$6:$A$108,'Pr-Sem'!$K$6:$K$108)),0),0)</f>
        <v>0</v>
      </c>
      <c r="F705" s="384">
        <f>IFERROR(E705/SUM(E704:E710,J704:J710,O704:O709),0)</f>
        <v>0</v>
      </c>
      <c r="G705" s="439" t="str">
        <f>$G$12</f>
        <v>Impuestos</v>
      </c>
      <c r="H705" s="440">
        <f t="shared" si="134"/>
        <v>0</v>
      </c>
      <c r="I705" s="387">
        <f t="shared" si="132"/>
        <v>0</v>
      </c>
      <c r="J705" s="383">
        <f>IFERROR(I705/SUM(PROD!L705:L711),0)</f>
        <v>0</v>
      </c>
      <c r="K705" s="384">
        <f>IFERROR(J705/SUM(E704:E710,J704:J710,O704:O709),0)</f>
        <v>0</v>
      </c>
      <c r="L705" s="439" t="str">
        <f>$L$5</f>
        <v>Depreciaciones</v>
      </c>
      <c r="M705" s="401">
        <f t="shared" si="144"/>
        <v>0</v>
      </c>
      <c r="N705" s="390">
        <f>M705*12/52</f>
        <v>0</v>
      </c>
      <c r="O705" s="383">
        <f>IFERROR(N705/SUM(PROD!L705:L711),0)</f>
        <v>0</v>
      </c>
      <c r="P705" s="384">
        <f>IFERROR(O705/SUM(E704:E710,J704:J710,O704:O709),0)</f>
        <v>0</v>
      </c>
      <c r="Q705" s="391" t="str">
        <f>$Q$5</f>
        <v>AAA</v>
      </c>
      <c r="R705" s="392">
        <f t="shared" si="135"/>
        <v>0</v>
      </c>
      <c r="S705" s="870">
        <f>SUM(PROD!AN705:AN711)</f>
        <v>0</v>
      </c>
      <c r="T705" s="393">
        <f>IF(AA704&gt;0,S705/AA704,0)</f>
        <v>0</v>
      </c>
      <c r="U705" s="394" t="str">
        <f>$U$5</f>
        <v>Prob Cásc</v>
      </c>
      <c r="V705" s="392">
        <f t="shared" si="136"/>
        <v>0</v>
      </c>
      <c r="W705" s="870">
        <f>SUM(PROD!AX705:AX711)</f>
        <v>0</v>
      </c>
      <c r="X705" s="393">
        <f>IFERROR(W705/(AA709-AA707),0)</f>
        <v>0</v>
      </c>
      <c r="Y705" s="395" t="s">
        <v>324</v>
      </c>
      <c r="Z705" s="396">
        <f>IFERROR(SUMPRODUCT(V704:V707,W704:W707)/SUM(W704:W707),0)</f>
        <v>0</v>
      </c>
      <c r="AA705" s="397">
        <f>SUM(W704:W707)</f>
        <v>0</v>
      </c>
      <c r="AB705" s="494">
        <f>IF(AA709&gt;0,AA705/AA709,0)</f>
        <v>0</v>
      </c>
    </row>
    <row r="706" spans="1:28" ht="15.75" customHeight="1" x14ac:dyDescent="0.3">
      <c r="A706" s="2301"/>
      <c r="B706" s="399" t="str">
        <f>$B$6</f>
        <v>Bandeja</v>
      </c>
      <c r="C706" s="400">
        <f>C699</f>
        <v>0</v>
      </c>
      <c r="D706" s="387">
        <f>C706*SUM(INVENTARIOS!R704:R710)</f>
        <v>0</v>
      </c>
      <c r="E706" s="383">
        <f>IFERROR(D706/SUM(PROD!L705:L711),0)</f>
        <v>0</v>
      </c>
      <c r="F706" s="384">
        <f>IFERROR(E706/SUM(E704:E710,J704:J710,O704:O709),0)</f>
        <v>0</v>
      </c>
      <c r="G706" s="439" t="str">
        <f>$G$13</f>
        <v>Arrendamientos</v>
      </c>
      <c r="H706" s="401">
        <f t="shared" si="134"/>
        <v>0</v>
      </c>
      <c r="I706" s="390">
        <f t="shared" si="132"/>
        <v>0</v>
      </c>
      <c r="J706" s="383">
        <f>IFERROR(I706/SUM(PROD!L705:L711),0)</f>
        <v>0</v>
      </c>
      <c r="K706" s="384">
        <f>IFERROR(J706/SUM(E704:E710,J704:J710,O704:O709),0)</f>
        <v>0</v>
      </c>
      <c r="L706" s="439" t="str">
        <f>$L$6</f>
        <v>Diversos</v>
      </c>
      <c r="M706" s="401">
        <f t="shared" si="144"/>
        <v>1000000</v>
      </c>
      <c r="N706" s="390">
        <f>M706*12/52</f>
        <v>230769.23076923078</v>
      </c>
      <c r="O706" s="383">
        <f>IFERROR(N706/SUM(PROD!L705:L711),0)</f>
        <v>0</v>
      </c>
      <c r="P706" s="384">
        <f>IFERROR(O706/SUM(E704:E710,J704:J710,O704:O709),0)</f>
        <v>0</v>
      </c>
      <c r="Q706" s="391" t="str">
        <f>$Q$6</f>
        <v>AA</v>
      </c>
      <c r="R706" s="392">
        <f t="shared" si="135"/>
        <v>0</v>
      </c>
      <c r="S706" s="870">
        <f>SUM(PROD!AO705:AO711)</f>
        <v>0</v>
      </c>
      <c r="T706" s="393">
        <f>IF(AA704&gt;0,S706/AA704,0)</f>
        <v>0</v>
      </c>
      <c r="U706" s="394" t="str">
        <f>$U$6</f>
        <v>Vencido</v>
      </c>
      <c r="V706" s="392">
        <f t="shared" si="136"/>
        <v>0</v>
      </c>
      <c r="W706" s="870">
        <f>SUM(PROD!AY705:AY711)</f>
        <v>0</v>
      </c>
      <c r="X706" s="393">
        <f>IFERROR(W706/(AA709-AA707),0)</f>
        <v>0</v>
      </c>
      <c r="Y706" s="402" t="s">
        <v>391</v>
      </c>
      <c r="Z706" s="456">
        <v>0</v>
      </c>
      <c r="AA706" s="720"/>
      <c r="AB706" s="495">
        <f>IF(AA709&gt;0,AA706/AA709,0)</f>
        <v>0</v>
      </c>
    </row>
    <row r="707" spans="1:28" ht="15.75" customHeight="1" x14ac:dyDescent="0.3">
      <c r="A707" s="2301"/>
      <c r="B707" s="438" t="str">
        <f>$B$7</f>
        <v>Mortalidad Aves</v>
      </c>
      <c r="C707" s="401">
        <f>IF(A704&lt;=$B$2,C705+$C$2,0)</f>
        <v>0</v>
      </c>
      <c r="D707" s="390">
        <f>C707*SUM(PROD!D705:D711)</f>
        <v>0</v>
      </c>
      <c r="E707" s="383">
        <f>IFERROR(D707/SUM(PROD!L705:L711),0)</f>
        <v>0</v>
      </c>
      <c r="F707" s="384">
        <f>IFERROR(E707/SUM(E704:E710,J704:J710,O704:O709),0)</f>
        <v>0</v>
      </c>
      <c r="G707" s="439" t="str">
        <f>$G$14</f>
        <v>Servicios Públicos</v>
      </c>
      <c r="H707" s="401">
        <f t="shared" si="134"/>
        <v>0</v>
      </c>
      <c r="I707" s="390">
        <f t="shared" si="132"/>
        <v>0</v>
      </c>
      <c r="J707" s="383">
        <f>IFERROR(I707/SUM(PROD!L705:L711),0)</f>
        <v>0</v>
      </c>
      <c r="K707" s="384">
        <f>IFERROR(J707/SUM(E704:E710,J704:J710,O704:O709),0)</f>
        <v>0</v>
      </c>
      <c r="L707" s="441" t="str">
        <f>$L$7</f>
        <v>Administrativos</v>
      </c>
      <c r="M707" s="401">
        <f t="shared" si="144"/>
        <v>0</v>
      </c>
      <c r="N707" s="404">
        <f>M707*0.230769230769231</f>
        <v>0</v>
      </c>
      <c r="O707" s="383">
        <f>IFERROR(N707/SUM(PROD!L705:L711),0)</f>
        <v>0</v>
      </c>
      <c r="P707" s="384">
        <f>IFERROR(O707/SUM(E704:E710,J704:J710,O704:O709),0)</f>
        <v>0</v>
      </c>
      <c r="Q707" s="391" t="str">
        <f>$Q$7</f>
        <v>A</v>
      </c>
      <c r="R707" s="392">
        <f t="shared" si="135"/>
        <v>0</v>
      </c>
      <c r="S707" s="870">
        <f>SUM(PROD!AP705:AP711)</f>
        <v>0</v>
      </c>
      <c r="T707" s="393">
        <f>IF(AA704&gt;0,S707/AA704,0)</f>
        <v>0</v>
      </c>
      <c r="U707" s="405" t="str">
        <f>$U$7</f>
        <v>Roto</v>
      </c>
      <c r="V707" s="406">
        <f t="shared" si="136"/>
        <v>0</v>
      </c>
      <c r="W707" s="872">
        <f>SUM(PROD!AZ705:AZ711)</f>
        <v>0</v>
      </c>
      <c r="X707" s="407">
        <f>IFERROR(W707/(AA709-AA707),0)</f>
        <v>0</v>
      </c>
      <c r="Y707" s="408" t="s">
        <v>359</v>
      </c>
      <c r="Z707" s="442">
        <v>215</v>
      </c>
      <c r="AA707" s="410">
        <f>SUM(PROD!L705:L711)-SUM(W704:W710)-SUM(S704:S710)-AA706</f>
        <v>0</v>
      </c>
      <c r="AB707" s="496">
        <f>IF(AA709&gt;0,AA707/AA709,0)</f>
        <v>0</v>
      </c>
    </row>
    <row r="708" spans="1:28" ht="15.75" customHeight="1" x14ac:dyDescent="0.3">
      <c r="A708" s="2301"/>
      <c r="B708" s="399" t="str">
        <f>$B$8</f>
        <v>Materia Prima (Carb Ca, etc.)</v>
      </c>
      <c r="C708" s="440">
        <f>C701</f>
        <v>0</v>
      </c>
      <c r="D708" s="387">
        <f>C708*12/52</f>
        <v>0</v>
      </c>
      <c r="E708" s="383">
        <f>IFERROR(D708/SUM(PROD!L705:L711),0)</f>
        <v>0</v>
      </c>
      <c r="F708" s="384">
        <f>IFERROR(E708/SUM(E704:E710,J704:J710,O704:O709),0)</f>
        <v>0</v>
      </c>
      <c r="G708" s="441" t="str">
        <f>$G$15</f>
        <v>Gastos Legales</v>
      </c>
      <c r="H708" s="401">
        <f t="shared" si="134"/>
        <v>0</v>
      </c>
      <c r="I708" s="390">
        <f t="shared" ref="I708:I724" si="145">H708*12/52</f>
        <v>0</v>
      </c>
      <c r="J708" s="383">
        <f>IFERROR(I708/SUM(PROD!L705:L711),0)</f>
        <v>0</v>
      </c>
      <c r="K708" s="384">
        <f>IFERROR(J708/SUM(E704:E710,J704:J710,O704:O709),0)</f>
        <v>0</v>
      </c>
      <c r="L708" s="439" t="str">
        <f>$L$8</f>
        <v>Fletes</v>
      </c>
      <c r="M708" s="401">
        <f t="shared" si="144"/>
        <v>0</v>
      </c>
      <c r="N708" s="404">
        <f>M708*0.230769230769231</f>
        <v>0</v>
      </c>
      <c r="O708" s="383">
        <f>IFERROR(N708/SUM(PROD!L705:L711),0)</f>
        <v>0</v>
      </c>
      <c r="P708" s="384">
        <f>IFERROR(O708/SUM(E704:E710,J704:J710,O704:O709),0)</f>
        <v>0</v>
      </c>
      <c r="Q708" s="391" t="str">
        <f>$Q$8</f>
        <v>B</v>
      </c>
      <c r="R708" s="392">
        <f t="shared" si="135"/>
        <v>0</v>
      </c>
      <c r="S708" s="870">
        <f>SUM(PROD!AQ705:AQ711)</f>
        <v>0</v>
      </c>
      <c r="T708" s="393">
        <f>IF(AA704&gt;0,S708/AA704,0)</f>
        <v>0</v>
      </c>
      <c r="U708" s="395" t="str">
        <f>$U$8</f>
        <v>Rev. Gr.</v>
      </c>
      <c r="V708" s="412">
        <f t="shared" si="136"/>
        <v>0</v>
      </c>
      <c r="W708" s="873">
        <f>SUM(PROD!AT705:AT711)</f>
        <v>0</v>
      </c>
      <c r="X708" s="413">
        <f>IFERROR(W708/(AA709-AA707),0)</f>
        <v>0</v>
      </c>
      <c r="Y708" s="414" t="s">
        <v>262</v>
      </c>
      <c r="Z708" s="415">
        <f>IFERROR(SUMPRODUCT(V708:V710,W708:W710)/SUM(W708:W710),0)</f>
        <v>0</v>
      </c>
      <c r="AA708" s="416">
        <f>SUM(W708:W710)</f>
        <v>0</v>
      </c>
      <c r="AB708" s="497">
        <f>IF(AA709&gt;0,AA708/AA709,0)</f>
        <v>0</v>
      </c>
    </row>
    <row r="709" spans="1:28" ht="15.75" customHeight="1" x14ac:dyDescent="0.3">
      <c r="A709" s="2301"/>
      <c r="B709" s="438" t="str">
        <f>$B$9</f>
        <v>Vacunas y medicamentos</v>
      </c>
      <c r="C709" s="443">
        <f>C702</f>
        <v>0</v>
      </c>
      <c r="D709" s="387">
        <f>C709*12/52</f>
        <v>0</v>
      </c>
      <c r="E709" s="383">
        <f>IFERROR(D709/SUM(PROD!L705:L711),0)</f>
        <v>0</v>
      </c>
      <c r="F709" s="384">
        <f>IFERROR(E709/SUM(E704:E710,J704:J710,O704:O709),0)</f>
        <v>0</v>
      </c>
      <c r="G709" s="441" t="str">
        <f>$G$16</f>
        <v>Mantenimiento y Reparaciones</v>
      </c>
      <c r="H709" s="401">
        <f t="shared" si="134"/>
        <v>0</v>
      </c>
      <c r="I709" s="390">
        <f t="shared" si="145"/>
        <v>0</v>
      </c>
      <c r="J709" s="383">
        <f>IFERROR(I709/SUM(PROD!L705:L711),0)</f>
        <v>0</v>
      </c>
      <c r="K709" s="384">
        <f>IFERROR(J709/SUM(E704:E710,J704:J710,O704:O709),0)</f>
        <v>0</v>
      </c>
      <c r="L709" s="439">
        <f>$L$9</f>
        <v>0</v>
      </c>
      <c r="M709" s="401">
        <f t="shared" si="144"/>
        <v>0</v>
      </c>
      <c r="N709" s="404">
        <f>M709*0.230769230769231</f>
        <v>0</v>
      </c>
      <c r="O709" s="383">
        <f>IFERROR(N709/SUM(PROD!L705:L711),0)</f>
        <v>0</v>
      </c>
      <c r="P709" s="384">
        <f>IFERROR(O709/SUM(E704:E710,J704:J710,O704:O709),0)</f>
        <v>0</v>
      </c>
      <c r="Q709" s="391" t="str">
        <f>$Q$9</f>
        <v>C</v>
      </c>
      <c r="R709" s="392">
        <f t="shared" si="135"/>
        <v>0</v>
      </c>
      <c r="S709" s="870">
        <f>SUM(PROD!AR705:AR711)</f>
        <v>0</v>
      </c>
      <c r="T709" s="393">
        <f>IF(AA704&gt;0,S709/AA704,0)</f>
        <v>0</v>
      </c>
      <c r="U709" s="394" t="str">
        <f>$U$9</f>
        <v>Rev. Med</v>
      </c>
      <c r="V709" s="392">
        <f t="shared" si="136"/>
        <v>0</v>
      </c>
      <c r="W709" s="870">
        <f>SUM(PROD!AU705:AU711)</f>
        <v>0</v>
      </c>
      <c r="X709" s="418">
        <f>IFERROR(W709/(AA709-AA707),0)</f>
        <v>0</v>
      </c>
      <c r="Y709" s="2303" t="s">
        <v>325</v>
      </c>
      <c r="Z709" s="2305">
        <f>SUMPRODUCT(Z704:Z708,AB704:AB708)</f>
        <v>0</v>
      </c>
      <c r="AA709" s="2307">
        <f>SUM(AA704:AA707)</f>
        <v>0</v>
      </c>
      <c r="AB709" s="2308"/>
    </row>
    <row r="710" spans="1:28" ht="16.5" customHeight="1" thickBot="1" x14ac:dyDescent="0.35">
      <c r="A710" s="2302"/>
      <c r="B710" s="444" t="str">
        <f>$B$10</f>
        <v>Gastos de Personal</v>
      </c>
      <c r="C710" s="445">
        <f>C703</f>
        <v>0</v>
      </c>
      <c r="D710" s="421">
        <f>C710*12/52</f>
        <v>0</v>
      </c>
      <c r="E710" s="446">
        <f>IFERROR(D710/SUM(PROD!L705:L711),0)</f>
        <v>0</v>
      </c>
      <c r="F710" s="447">
        <f>IFERROR(E710/SUM(E704:E710,J704:J710,O704:O709),0)</f>
        <v>0</v>
      </c>
      <c r="G710" s="448" t="str">
        <f>$G$17</f>
        <v>Adecuación Instalaciones</v>
      </c>
      <c r="H710" s="445">
        <f t="shared" si="134"/>
        <v>0</v>
      </c>
      <c r="I710" s="426">
        <f t="shared" si="145"/>
        <v>0</v>
      </c>
      <c r="J710" s="446">
        <f>IFERROR(I710/SUM(PROD!L705:L711),0)</f>
        <v>0</v>
      </c>
      <c r="K710" s="447">
        <f>IFERROR(J710/SUM(E704:E710,J704:J710,O704:O709),0)</f>
        <v>0</v>
      </c>
      <c r="L710" s="2311" t="str">
        <f>$L$10</f>
        <v>TOTAL COSTO PRODUCCIÓN</v>
      </c>
      <c r="M710" s="2312"/>
      <c r="N710" s="427">
        <f>SUM(D704:D710,I704:I710,N704:N709)</f>
        <v>230769.23076923078</v>
      </c>
      <c r="O710" s="449">
        <f>IFERROR(N710/SUM(PROD!L705:L711),0)</f>
        <v>0</v>
      </c>
      <c r="P710" s="447">
        <f>IFERROR(O710/SUM(E704:E710,J704:J710,O704:O709),0)</f>
        <v>0</v>
      </c>
      <c r="Q710" s="450" t="str">
        <f>$Q$10</f>
        <v>D</v>
      </c>
      <c r="R710" s="430">
        <f t="shared" si="135"/>
        <v>0</v>
      </c>
      <c r="S710" s="871">
        <f>SUM(PROD!AS705:AS711)</f>
        <v>0</v>
      </c>
      <c r="T710" s="451">
        <f>IF(AA704&gt;0,S710/AA704,0)</f>
        <v>0</v>
      </c>
      <c r="U710" s="452" t="str">
        <f>$U$10</f>
        <v>Rev. Peq</v>
      </c>
      <c r="V710" s="430">
        <f t="shared" si="136"/>
        <v>0</v>
      </c>
      <c r="W710" s="874">
        <f>SUM(PROD!AV705:AV711)</f>
        <v>0</v>
      </c>
      <c r="X710" s="451">
        <f>IFERROR(W710/(AA709-AA707),0)</f>
        <v>0</v>
      </c>
      <c r="Y710" s="2304"/>
      <c r="Z710" s="2306"/>
      <c r="AA710" s="2309"/>
      <c r="AB710" s="2310"/>
    </row>
    <row r="711" spans="1:28" ht="16.5" customHeight="1" x14ac:dyDescent="0.3">
      <c r="A711" s="2300">
        <f>A704+1</f>
        <v>119</v>
      </c>
      <c r="B711" s="433" t="str">
        <f>$B$4</f>
        <v>ALIMENTO Kilos</v>
      </c>
      <c r="C711" s="435">
        <f>LOOKUP($A711,PROD!$A$5:$A$725,PROD!$AH$10:$AH$730)</f>
        <v>0</v>
      </c>
      <c r="D711" s="368">
        <f>C711*LOOKUP($A711,'Pr-Sem'!$A$6:$A$108,'Pr-Sem'!$N$6:$N$108)/(PROD!$A$1/1000)</f>
        <v>0</v>
      </c>
      <c r="E711" s="369">
        <f>IFERROR(D711/SUM(PROD!L712:L718),0)</f>
        <v>0</v>
      </c>
      <c r="F711" s="370">
        <f>IFERROR(E711/SUM(E711:E717,J711:J717,O711:O716),0)</f>
        <v>0</v>
      </c>
      <c r="G711" s="434" t="str">
        <f>$G$11</f>
        <v>Honorarios</v>
      </c>
      <c r="H711" s="435">
        <f t="shared" si="134"/>
        <v>0</v>
      </c>
      <c r="I711" s="372">
        <f t="shared" si="145"/>
        <v>0</v>
      </c>
      <c r="J711" s="369">
        <f>IFERROR(I711/SUM(PROD!L712:L718),0)</f>
        <v>0</v>
      </c>
      <c r="K711" s="370">
        <f>IFERROR(J711/SUM(E711:E717,J711:J717,O711:O716),0)</f>
        <v>0</v>
      </c>
      <c r="L711" s="436" t="str">
        <f>$L$4</f>
        <v>Gastos de Viaje</v>
      </c>
      <c r="M711" s="435">
        <f t="shared" ref="M711:M716" si="146">M704</f>
        <v>0</v>
      </c>
      <c r="N711" s="372">
        <f>M711*12/52</f>
        <v>0</v>
      </c>
      <c r="O711" s="369">
        <f>IFERROR(N711/SUM(PROD!L712:L718),0)</f>
        <v>0</v>
      </c>
      <c r="P711" s="370">
        <f>IFERROR(O711/SUM(E711:E717,J711:J717,O711:O716),0)</f>
        <v>0</v>
      </c>
      <c r="Q711" s="373" t="str">
        <f>$Q$4</f>
        <v>AAAA</v>
      </c>
      <c r="R711" s="374">
        <f t="shared" si="135"/>
        <v>0</v>
      </c>
      <c r="S711" s="869">
        <f>SUM(PROD!AM712:AM718)</f>
        <v>0</v>
      </c>
      <c r="T711" s="375">
        <f>IF(AA711&gt;0,S711/AA711,0)</f>
        <v>0</v>
      </c>
      <c r="U711" s="376" t="str">
        <f>$U$4</f>
        <v>Prob Color</v>
      </c>
      <c r="V711" s="374">
        <f t="shared" si="136"/>
        <v>0</v>
      </c>
      <c r="W711" s="869">
        <f>SUM(PROD!AW712:AW718)</f>
        <v>0</v>
      </c>
      <c r="X711" s="375">
        <f>IFERROR(W711/(AA716-AA714),0)</f>
        <v>0</v>
      </c>
      <c r="Y711" s="377" t="s">
        <v>323</v>
      </c>
      <c r="Z711" s="378">
        <f>SUMPRODUCT(R711:R717,T711:T717)</f>
        <v>0</v>
      </c>
      <c r="AA711" s="379">
        <f>SUM(S711:S717)</f>
        <v>0</v>
      </c>
      <c r="AB711" s="490">
        <f>IF(AA716&gt;0,AA711/AA716,0)</f>
        <v>0</v>
      </c>
    </row>
    <row r="712" spans="1:28" ht="15.75" customHeight="1" x14ac:dyDescent="0.3">
      <c r="A712" s="2301"/>
      <c r="B712" s="438" t="str">
        <f>$B$5</f>
        <v>Amortización de Aves</v>
      </c>
      <c r="C712" s="381">
        <f>IFERROR((C705-(D712/'Pr-Sem'!$O$2)),0)</f>
        <v>0</v>
      </c>
      <c r="D712" s="382">
        <f>SUM(PROD!L712:L718)*E712</f>
        <v>0</v>
      </c>
      <c r="E712" s="383">
        <f>IF(SUM(PROD!L712:L718)&gt;0,IFERROR(($C$1-$C$2)/LOOKUP($B$2,'Pr-Sem'!$A$6:$A$108,'Pr-Sem'!$L$6:$L$108)*(LOOKUP(INVENTARIOS!$A711,'Pr-Sem'!$A$6:$A$108,'Pr-Sem'!$L$6:$L$108)-LOOKUP(INVENTARIOS!$A711-1,'Pr-Sem'!$A$6:$A$108,'Pr-Sem'!$L$6:$L$108))/(LOOKUP(INVENTARIOS!$A711,'Pr-Sem'!$A$6:$A$108,'Pr-Sem'!$K$6:$K$108)-LOOKUP(INVENTARIOS!$A711-1,'Pr-Sem'!$A$6:$A$108,'Pr-Sem'!$K$6:$K$108)),0),0)</f>
        <v>0</v>
      </c>
      <c r="F712" s="384">
        <f>IFERROR(E712/SUM(E711:E717,J711:J717,O711:O716),0)</f>
        <v>0</v>
      </c>
      <c r="G712" s="439" t="str">
        <f>$G$12</f>
        <v>Impuestos</v>
      </c>
      <c r="H712" s="440">
        <f t="shared" si="134"/>
        <v>0</v>
      </c>
      <c r="I712" s="387">
        <f t="shared" si="145"/>
        <v>0</v>
      </c>
      <c r="J712" s="383">
        <f>IFERROR(I712/SUM(PROD!L712:L718),0)</f>
        <v>0</v>
      </c>
      <c r="K712" s="384">
        <f>IFERROR(J712/SUM(E711:E717,J711:J717,O711:O716),0)</f>
        <v>0</v>
      </c>
      <c r="L712" s="439" t="str">
        <f>$L$5</f>
        <v>Depreciaciones</v>
      </c>
      <c r="M712" s="401">
        <f t="shared" si="146"/>
        <v>0</v>
      </c>
      <c r="N712" s="390">
        <f>M712*12/52</f>
        <v>0</v>
      </c>
      <c r="O712" s="383">
        <f>IFERROR(N712/SUM(PROD!L712:L718),0)</f>
        <v>0</v>
      </c>
      <c r="P712" s="384">
        <f>IFERROR(O712/SUM(E711:E717,J711:J717,O711:O716),0)</f>
        <v>0</v>
      </c>
      <c r="Q712" s="391" t="str">
        <f>$Q$5</f>
        <v>AAA</v>
      </c>
      <c r="R712" s="392">
        <f t="shared" si="135"/>
        <v>0</v>
      </c>
      <c r="S712" s="870">
        <f>SUM(PROD!AN712:AN718)</f>
        <v>0</v>
      </c>
      <c r="T712" s="393">
        <f>IF(AA711&gt;0,S712/AA711,0)</f>
        <v>0</v>
      </c>
      <c r="U712" s="394" t="str">
        <f>$U$5</f>
        <v>Prob Cásc</v>
      </c>
      <c r="V712" s="392">
        <f t="shared" si="136"/>
        <v>0</v>
      </c>
      <c r="W712" s="870">
        <f>SUM(PROD!AX712:AX718)</f>
        <v>0</v>
      </c>
      <c r="X712" s="393">
        <f>IFERROR(W712/(AA716-AA714),0)</f>
        <v>0</v>
      </c>
      <c r="Y712" s="395" t="s">
        <v>324</v>
      </c>
      <c r="Z712" s="396">
        <f>IFERROR(SUMPRODUCT(V711:V714,W711:W714)/SUM(W711:W714),0)</f>
        <v>0</v>
      </c>
      <c r="AA712" s="397">
        <f>SUM(W711:W714)</f>
        <v>0</v>
      </c>
      <c r="AB712" s="494">
        <f>IF(AA716&gt;0,AA712/AA716,0)</f>
        <v>0</v>
      </c>
    </row>
    <row r="713" spans="1:28" ht="15.75" customHeight="1" x14ac:dyDescent="0.3">
      <c r="A713" s="2301"/>
      <c r="B713" s="399" t="str">
        <f>$B$6</f>
        <v>Bandeja</v>
      </c>
      <c r="C713" s="400">
        <f>C706</f>
        <v>0</v>
      </c>
      <c r="D713" s="387">
        <f>C713*SUM(INVENTARIOS!R711:R717)</f>
        <v>0</v>
      </c>
      <c r="E713" s="383">
        <f>IFERROR(D713/SUM(PROD!L712:L718),0)</f>
        <v>0</v>
      </c>
      <c r="F713" s="384">
        <f>IFERROR(E713/SUM(E711:E717,J711:J717,O711:O716),0)</f>
        <v>0</v>
      </c>
      <c r="G713" s="439" t="str">
        <f>$G$13</f>
        <v>Arrendamientos</v>
      </c>
      <c r="H713" s="401">
        <f t="shared" si="134"/>
        <v>0</v>
      </c>
      <c r="I713" s="390">
        <f t="shared" si="145"/>
        <v>0</v>
      </c>
      <c r="J713" s="383">
        <f>IFERROR(I713/SUM(PROD!L712:L718),0)</f>
        <v>0</v>
      </c>
      <c r="K713" s="384">
        <f>IFERROR(J713/SUM(E711:E717,J711:J717,O711:O716),0)</f>
        <v>0</v>
      </c>
      <c r="L713" s="439" t="str">
        <f>$L$6</f>
        <v>Diversos</v>
      </c>
      <c r="M713" s="401">
        <f t="shared" si="146"/>
        <v>1000000</v>
      </c>
      <c r="N713" s="390">
        <f>M713*12/52</f>
        <v>230769.23076923078</v>
      </c>
      <c r="O713" s="383">
        <f>IFERROR(N713/SUM(PROD!L712:L718),0)</f>
        <v>0</v>
      </c>
      <c r="P713" s="384">
        <f>IFERROR(O713/SUM(E711:E717,J711:J717,O711:O716),0)</f>
        <v>0</v>
      </c>
      <c r="Q713" s="391" t="str">
        <f>$Q$6</f>
        <v>AA</v>
      </c>
      <c r="R713" s="392">
        <f t="shared" si="135"/>
        <v>0</v>
      </c>
      <c r="S713" s="870">
        <f>SUM(PROD!AO712:AO718)</f>
        <v>0</v>
      </c>
      <c r="T713" s="393">
        <f>IF(AA711&gt;0,S713/AA711,0)</f>
        <v>0</v>
      </c>
      <c r="U713" s="394" t="str">
        <f>$U$6</f>
        <v>Vencido</v>
      </c>
      <c r="V713" s="392">
        <f t="shared" si="136"/>
        <v>0</v>
      </c>
      <c r="W713" s="870">
        <f>SUM(PROD!AY712:AY718)</f>
        <v>0</v>
      </c>
      <c r="X713" s="393">
        <f>IFERROR(W713/(AA716-AA714),0)</f>
        <v>0</v>
      </c>
      <c r="Y713" s="402" t="s">
        <v>391</v>
      </c>
      <c r="Z713" s="456">
        <v>0</v>
      </c>
      <c r="AA713" s="720"/>
      <c r="AB713" s="495">
        <f>IF(AA716&gt;0,AA713/AA716,0)</f>
        <v>0</v>
      </c>
    </row>
    <row r="714" spans="1:28" ht="15.75" customHeight="1" x14ac:dyDescent="0.3">
      <c r="A714" s="2301"/>
      <c r="B714" s="438" t="str">
        <f>$B$7</f>
        <v>Mortalidad Aves</v>
      </c>
      <c r="C714" s="401">
        <f>IF(A711&lt;=$B$2,C712+$C$2,0)</f>
        <v>0</v>
      </c>
      <c r="D714" s="390">
        <f>C714*SUM(PROD!D712:D718)</f>
        <v>0</v>
      </c>
      <c r="E714" s="383">
        <f>IFERROR(D714/SUM(PROD!L712:L718),0)</f>
        <v>0</v>
      </c>
      <c r="F714" s="384">
        <f>IFERROR(E714/SUM(E711:E717,J711:J717,O711:O716),0)</f>
        <v>0</v>
      </c>
      <c r="G714" s="439" t="str">
        <f>$G$14</f>
        <v>Servicios Públicos</v>
      </c>
      <c r="H714" s="401">
        <f t="shared" si="134"/>
        <v>0</v>
      </c>
      <c r="I714" s="390">
        <f t="shared" si="145"/>
        <v>0</v>
      </c>
      <c r="J714" s="383">
        <f>IFERROR(I714/SUM(PROD!L712:L718),0)</f>
        <v>0</v>
      </c>
      <c r="K714" s="384">
        <f>IFERROR(J714/SUM(E711:E717,J711:J717,O711:O716),0)</f>
        <v>0</v>
      </c>
      <c r="L714" s="441" t="str">
        <f>$L$7</f>
        <v>Administrativos</v>
      </c>
      <c r="M714" s="401">
        <f t="shared" si="146"/>
        <v>0</v>
      </c>
      <c r="N714" s="404">
        <f>M714*0.230769230769231</f>
        <v>0</v>
      </c>
      <c r="O714" s="383">
        <f>IFERROR(N714/SUM(PROD!L712:L718),0)</f>
        <v>0</v>
      </c>
      <c r="P714" s="384">
        <f>IFERROR(O714/SUM(E711:E717,J711:J717,O711:O716),0)</f>
        <v>0</v>
      </c>
      <c r="Q714" s="391" t="str">
        <f>$Q$7</f>
        <v>A</v>
      </c>
      <c r="R714" s="392">
        <f t="shared" si="135"/>
        <v>0</v>
      </c>
      <c r="S714" s="870">
        <f>SUM(PROD!AP712:AP718)</f>
        <v>0</v>
      </c>
      <c r="T714" s="393">
        <f>IF(AA711&gt;0,S714/AA711,0)</f>
        <v>0</v>
      </c>
      <c r="U714" s="405" t="str">
        <f>$U$7</f>
        <v>Roto</v>
      </c>
      <c r="V714" s="406">
        <f t="shared" si="136"/>
        <v>0</v>
      </c>
      <c r="W714" s="872">
        <f>SUM(PROD!AZ712:AZ718)</f>
        <v>0</v>
      </c>
      <c r="X714" s="407">
        <f>IFERROR(W714/(AA716-AA714),0)</f>
        <v>0</v>
      </c>
      <c r="Y714" s="408" t="s">
        <v>359</v>
      </c>
      <c r="Z714" s="442">
        <f>Z707</f>
        <v>215</v>
      </c>
      <c r="AA714" s="410">
        <f>SUM(PROD!L712:L718)-SUM(W711:W717)-SUM(S711:S717)-AA713</f>
        <v>0</v>
      </c>
      <c r="AB714" s="496">
        <f>IF(AA716&gt;0,AA714/AA716,0)</f>
        <v>0</v>
      </c>
    </row>
    <row r="715" spans="1:28" ht="15.75" customHeight="1" x14ac:dyDescent="0.3">
      <c r="A715" s="2301"/>
      <c r="B715" s="399" t="str">
        <f>$B$8</f>
        <v>Materia Prima (Carb Ca, etc.)</v>
      </c>
      <c r="C715" s="440">
        <f>C708</f>
        <v>0</v>
      </c>
      <c r="D715" s="387">
        <f>C715*12/52</f>
        <v>0</v>
      </c>
      <c r="E715" s="383">
        <f>IFERROR(D715/SUM(PROD!L712:L718),0)</f>
        <v>0</v>
      </c>
      <c r="F715" s="384">
        <f>IFERROR(E715/SUM(E711:E717,J711:J717,O711:O716),0)</f>
        <v>0</v>
      </c>
      <c r="G715" s="441" t="str">
        <f>$G$15</f>
        <v>Gastos Legales</v>
      </c>
      <c r="H715" s="401">
        <f t="shared" ref="H715:H724" si="147">H708</f>
        <v>0</v>
      </c>
      <c r="I715" s="390">
        <f t="shared" si="145"/>
        <v>0</v>
      </c>
      <c r="J715" s="383">
        <f>IFERROR(I715/SUM(PROD!L712:L718),0)</f>
        <v>0</v>
      </c>
      <c r="K715" s="384">
        <f>IFERROR(J715/SUM(E711:E717,J711:J717,O711:O716),0)</f>
        <v>0</v>
      </c>
      <c r="L715" s="439" t="str">
        <f>$L$8</f>
        <v>Fletes</v>
      </c>
      <c r="M715" s="401">
        <f t="shared" si="146"/>
        <v>0</v>
      </c>
      <c r="N715" s="404">
        <f>M715*0.230769230769231</f>
        <v>0</v>
      </c>
      <c r="O715" s="383">
        <f>IFERROR(N715/SUM(PROD!L712:L718),0)</f>
        <v>0</v>
      </c>
      <c r="P715" s="384">
        <f>IFERROR(O715/SUM(E711:E717,J711:J717,O711:O716),0)</f>
        <v>0</v>
      </c>
      <c r="Q715" s="391" t="str">
        <f>$Q$8</f>
        <v>B</v>
      </c>
      <c r="R715" s="392">
        <f t="shared" ref="R715:R724" si="148">R708</f>
        <v>0</v>
      </c>
      <c r="S715" s="870">
        <f>SUM(PROD!AQ712:AQ718)</f>
        <v>0</v>
      </c>
      <c r="T715" s="393">
        <f>IF(AA711&gt;0,S715/AA711,0)</f>
        <v>0</v>
      </c>
      <c r="U715" s="395" t="str">
        <f>$U$8</f>
        <v>Rev. Gr.</v>
      </c>
      <c r="V715" s="412">
        <f t="shared" ref="V715:V724" si="149">V708</f>
        <v>0</v>
      </c>
      <c r="W715" s="873">
        <f>SUM(PROD!AT712:AT718)</f>
        <v>0</v>
      </c>
      <c r="X715" s="413">
        <f>IFERROR(W715/(AA716-AA714),0)</f>
        <v>0</v>
      </c>
      <c r="Y715" s="414" t="s">
        <v>262</v>
      </c>
      <c r="Z715" s="415">
        <f>IFERROR(SUMPRODUCT(V715:V717,W715:W717)/SUM(W715:W717),0)</f>
        <v>0</v>
      </c>
      <c r="AA715" s="416">
        <f>SUM(W715:W717)</f>
        <v>0</v>
      </c>
      <c r="AB715" s="497">
        <f>IF(AA716&gt;0,AA715/AA716,0)</f>
        <v>0</v>
      </c>
    </row>
    <row r="716" spans="1:28" ht="15.75" customHeight="1" x14ac:dyDescent="0.3">
      <c r="A716" s="2301"/>
      <c r="B716" s="438" t="str">
        <f>$B$9</f>
        <v>Vacunas y medicamentos</v>
      </c>
      <c r="C716" s="443">
        <f>C709</f>
        <v>0</v>
      </c>
      <c r="D716" s="387">
        <f>C716*12/52</f>
        <v>0</v>
      </c>
      <c r="E716" s="383">
        <f>IFERROR(D716/SUM(PROD!L712:L718),0)</f>
        <v>0</v>
      </c>
      <c r="F716" s="384">
        <f>IFERROR(E716/SUM(E711:E717,J711:J717,O711:O716),0)</f>
        <v>0</v>
      </c>
      <c r="G716" s="441" t="str">
        <f>$G$16</f>
        <v>Mantenimiento y Reparaciones</v>
      </c>
      <c r="H716" s="401">
        <f t="shared" si="147"/>
        <v>0</v>
      </c>
      <c r="I716" s="390">
        <f t="shared" si="145"/>
        <v>0</v>
      </c>
      <c r="J716" s="383">
        <f>IFERROR(I716/SUM(PROD!L712:L718),0)</f>
        <v>0</v>
      </c>
      <c r="K716" s="384">
        <f>IFERROR(J716/SUM(E711:E717,J711:J717,O711:O716),0)</f>
        <v>0</v>
      </c>
      <c r="L716" s="439">
        <f>$L$9</f>
        <v>0</v>
      </c>
      <c r="M716" s="401">
        <f t="shared" si="146"/>
        <v>0</v>
      </c>
      <c r="N716" s="404">
        <f>M716*0.230769230769231</f>
        <v>0</v>
      </c>
      <c r="O716" s="383">
        <f>IFERROR(N716/SUM(PROD!L712:L718),0)</f>
        <v>0</v>
      </c>
      <c r="P716" s="384">
        <f>IFERROR(O716/SUM(E711:E717,J711:J717,O711:O716),0)</f>
        <v>0</v>
      </c>
      <c r="Q716" s="391" t="str">
        <f>$Q$9</f>
        <v>C</v>
      </c>
      <c r="R716" s="392">
        <f t="shared" si="148"/>
        <v>0</v>
      </c>
      <c r="S716" s="870">
        <f>SUM(PROD!AR712:AR718)</f>
        <v>0</v>
      </c>
      <c r="T716" s="393">
        <f>IF(AA711&gt;0,S716/AA711,0)</f>
        <v>0</v>
      </c>
      <c r="U716" s="394" t="str">
        <f>$U$9</f>
        <v>Rev. Med</v>
      </c>
      <c r="V716" s="392">
        <f t="shared" si="149"/>
        <v>0</v>
      </c>
      <c r="W716" s="870">
        <f>SUM(PROD!AU712:AU718)</f>
        <v>0</v>
      </c>
      <c r="X716" s="418">
        <f>IFERROR(W716/(AA716-AA714),0)</f>
        <v>0</v>
      </c>
      <c r="Y716" s="2303" t="s">
        <v>325</v>
      </c>
      <c r="Z716" s="2305">
        <f>SUMPRODUCT(Z711:Z715,AB711:AB715)</f>
        <v>0</v>
      </c>
      <c r="AA716" s="2307">
        <f>SUM(AA711:AA714)</f>
        <v>0</v>
      </c>
      <c r="AB716" s="2308"/>
    </row>
    <row r="717" spans="1:28" ht="16.5" customHeight="1" thickBot="1" x14ac:dyDescent="0.35">
      <c r="A717" s="2302"/>
      <c r="B717" s="444" t="str">
        <f>$B$10</f>
        <v>Gastos de Personal</v>
      </c>
      <c r="C717" s="445">
        <f>C710</f>
        <v>0</v>
      </c>
      <c r="D717" s="421">
        <f>C717*12/52</f>
        <v>0</v>
      </c>
      <c r="E717" s="446">
        <f>IFERROR(D717/SUM(PROD!L712:L718),0)</f>
        <v>0</v>
      </c>
      <c r="F717" s="447">
        <f>IFERROR(E717/SUM(E711:E717,J711:J717,O711:O716),0)</f>
        <v>0</v>
      </c>
      <c r="G717" s="448" t="str">
        <f>$G$17</f>
        <v>Adecuación Instalaciones</v>
      </c>
      <c r="H717" s="445">
        <f t="shared" si="147"/>
        <v>0</v>
      </c>
      <c r="I717" s="426">
        <f t="shared" si="145"/>
        <v>0</v>
      </c>
      <c r="J717" s="446">
        <f>IFERROR(I717/SUM(PROD!L712:L718),0)</f>
        <v>0</v>
      </c>
      <c r="K717" s="447">
        <f>IFERROR(J717/SUM(E711:E717,J711:J717,O711:O716),0)</f>
        <v>0</v>
      </c>
      <c r="L717" s="2311" t="str">
        <f>$L$10</f>
        <v>TOTAL COSTO PRODUCCIÓN</v>
      </c>
      <c r="M717" s="2312"/>
      <c r="N717" s="427">
        <f>SUM(D711:D717,I711:I717,N711:N716)</f>
        <v>230769.23076923078</v>
      </c>
      <c r="O717" s="449">
        <f>IFERROR(N717/SUM(PROD!L712:L718),0)</f>
        <v>0</v>
      </c>
      <c r="P717" s="447">
        <f>IFERROR(O717/SUM(E711:E717,J711:J717,O711:O716),0)</f>
        <v>0</v>
      </c>
      <c r="Q717" s="450" t="str">
        <f>$Q$10</f>
        <v>D</v>
      </c>
      <c r="R717" s="430">
        <f t="shared" si="148"/>
        <v>0</v>
      </c>
      <c r="S717" s="871">
        <f>SUM(PROD!AS712:AS718)</f>
        <v>0</v>
      </c>
      <c r="T717" s="451">
        <f>IF(AA711&gt;0,S717/AA711,0)</f>
        <v>0</v>
      </c>
      <c r="U717" s="452" t="str">
        <f>$U$10</f>
        <v>Rev. Peq</v>
      </c>
      <c r="V717" s="430">
        <f t="shared" si="149"/>
        <v>0</v>
      </c>
      <c r="W717" s="874">
        <f>SUM(PROD!AV712:AV718)</f>
        <v>0</v>
      </c>
      <c r="X717" s="451">
        <f>IFERROR(W717/(AA716-AA714),0)</f>
        <v>0</v>
      </c>
      <c r="Y717" s="2304"/>
      <c r="Z717" s="2306"/>
      <c r="AA717" s="2309"/>
      <c r="AB717" s="2310"/>
    </row>
    <row r="718" spans="1:28" ht="16.5" customHeight="1" x14ac:dyDescent="0.3">
      <c r="A718" s="2300">
        <f>A711+1</f>
        <v>120</v>
      </c>
      <c r="B718" s="433" t="str">
        <f>$B$4</f>
        <v>ALIMENTO Kilos</v>
      </c>
      <c r="C718" s="435">
        <f>LOOKUP($A718,PROD!$A$5:$A$725,PROD!$AH$10:$AH$730)</f>
        <v>0</v>
      </c>
      <c r="D718" s="368">
        <f>C718*LOOKUP($A718,'Pr-Sem'!$A$6:$A$108,'Pr-Sem'!$N$6:$N$108)/(PROD!$A$1/1000)</f>
        <v>0</v>
      </c>
      <c r="E718" s="369">
        <f>IFERROR(D718/SUM(PROD!L719:L725),0)</f>
        <v>0</v>
      </c>
      <c r="F718" s="370">
        <f>IFERROR(E718/SUM(E718:E724,J718:J724,O718:O723),0)</f>
        <v>0</v>
      </c>
      <c r="G718" s="434" t="str">
        <f>$G$11</f>
        <v>Honorarios</v>
      </c>
      <c r="H718" s="435">
        <f t="shared" si="147"/>
        <v>0</v>
      </c>
      <c r="I718" s="372">
        <f t="shared" si="145"/>
        <v>0</v>
      </c>
      <c r="J718" s="369">
        <f>IFERROR(I718/SUM(PROD!L719:L725),0)</f>
        <v>0</v>
      </c>
      <c r="K718" s="370">
        <f>IFERROR(J718/SUM(E718:E724,J718:J724,O718:O723),0)</f>
        <v>0</v>
      </c>
      <c r="L718" s="436" t="str">
        <f>$L$4</f>
        <v>Gastos de Viaje</v>
      </c>
      <c r="M718" s="435">
        <f t="shared" ref="M718:M723" si="150">M711</f>
        <v>0</v>
      </c>
      <c r="N718" s="372">
        <f>M718*12/52</f>
        <v>0</v>
      </c>
      <c r="O718" s="369">
        <f>IFERROR(N718/SUM(PROD!L719:L725),0)</f>
        <v>0</v>
      </c>
      <c r="P718" s="370">
        <f>IFERROR(O718/SUM(E718:E724,J718:J724,O718:O723),0)</f>
        <v>0</v>
      </c>
      <c r="Q718" s="373" t="str">
        <f>$Q$4</f>
        <v>AAAA</v>
      </c>
      <c r="R718" s="374">
        <f t="shared" si="148"/>
        <v>0</v>
      </c>
      <c r="S718" s="869">
        <f>SUM(PROD!AM719:AM725)</f>
        <v>0</v>
      </c>
      <c r="T718" s="375">
        <f>IF(AA718&gt;0,S718/AA718,0)</f>
        <v>0</v>
      </c>
      <c r="U718" s="376" t="str">
        <f>$U$4</f>
        <v>Prob Color</v>
      </c>
      <c r="V718" s="374">
        <f t="shared" si="149"/>
        <v>0</v>
      </c>
      <c r="W718" s="869">
        <f>SUM(PROD!AW719:AW725)</f>
        <v>0</v>
      </c>
      <c r="X718" s="375">
        <f>IFERROR(W718/(AA723-AA721),0)</f>
        <v>0</v>
      </c>
      <c r="Y718" s="377" t="s">
        <v>323</v>
      </c>
      <c r="Z718" s="378">
        <f>SUMPRODUCT(R718:R724,T718:T724)</f>
        <v>0</v>
      </c>
      <c r="AA718" s="379">
        <f>SUM(S718:S724)</f>
        <v>0</v>
      </c>
      <c r="AB718" s="490">
        <f>IF(AA723&gt;0,AA718/AA723,0)</f>
        <v>0</v>
      </c>
    </row>
    <row r="719" spans="1:28" ht="15.75" customHeight="1" x14ac:dyDescent="0.3">
      <c r="A719" s="2301"/>
      <c r="B719" s="438" t="str">
        <f>$B$5</f>
        <v>Amortización de Aves</v>
      </c>
      <c r="C719" s="381">
        <f>IFERROR((C712-(D719/'Pr-Sem'!$O$2)),0)</f>
        <v>0</v>
      </c>
      <c r="D719" s="382">
        <f>SUM(PROD!L719:L725)*E719</f>
        <v>0</v>
      </c>
      <c r="E719" s="383">
        <f>IF(SUM(PROD!L719:L725)&gt;0,IFERROR(($C$1-$C$2)/LOOKUP($B$2,'Pr-Sem'!$A$6:$A$108,'Pr-Sem'!$L$6:$L$108)*(LOOKUP(INVENTARIOS!$A718,'Pr-Sem'!$A$6:$A$108,'Pr-Sem'!$L$6:$L$108)-LOOKUP(INVENTARIOS!$A718-1,'Pr-Sem'!$A$6:$A$108,'Pr-Sem'!$L$6:$L$108))/(LOOKUP(INVENTARIOS!$A718,'Pr-Sem'!$A$6:$A$108,'Pr-Sem'!$K$6:$K$108)-LOOKUP(INVENTARIOS!$A718-1,'Pr-Sem'!$A$6:$A$108,'Pr-Sem'!$K$6:$K$108)),0),0)</f>
        <v>0</v>
      </c>
      <c r="F719" s="384">
        <f>IFERROR(E719/SUM(E718:E724,J718:J724,O718:O723),0)</f>
        <v>0</v>
      </c>
      <c r="G719" s="439" t="str">
        <f>$G$12</f>
        <v>Impuestos</v>
      </c>
      <c r="H719" s="440">
        <f t="shared" si="147"/>
        <v>0</v>
      </c>
      <c r="I719" s="387">
        <f t="shared" si="145"/>
        <v>0</v>
      </c>
      <c r="J719" s="383">
        <f>IFERROR(I719/SUM(PROD!L719:L725),0)</f>
        <v>0</v>
      </c>
      <c r="K719" s="384">
        <f>IFERROR(J719/SUM(E718:E724,J718:J724,O718:O723),0)</f>
        <v>0</v>
      </c>
      <c r="L719" s="439" t="str">
        <f>$L$5</f>
        <v>Depreciaciones</v>
      </c>
      <c r="M719" s="401">
        <f t="shared" si="150"/>
        <v>0</v>
      </c>
      <c r="N719" s="390">
        <f>M719*12/52</f>
        <v>0</v>
      </c>
      <c r="O719" s="383">
        <f>IFERROR(N719/SUM(PROD!L719:L725),0)</f>
        <v>0</v>
      </c>
      <c r="P719" s="384">
        <f>IFERROR(O719/SUM(E718:E724,J718:J724,O718:O723),0)</f>
        <v>0</v>
      </c>
      <c r="Q719" s="391" t="str">
        <f>$Q$5</f>
        <v>AAA</v>
      </c>
      <c r="R719" s="392">
        <f t="shared" si="148"/>
        <v>0</v>
      </c>
      <c r="S719" s="870">
        <f>SUM(PROD!AN719:AN725)</f>
        <v>0</v>
      </c>
      <c r="T719" s="393">
        <f>IF(AA718&gt;0,S719/AA718,0)</f>
        <v>0</v>
      </c>
      <c r="U719" s="394" t="str">
        <f>$U$5</f>
        <v>Prob Cásc</v>
      </c>
      <c r="V719" s="392">
        <f t="shared" si="149"/>
        <v>0</v>
      </c>
      <c r="W719" s="870">
        <f>SUM(PROD!AX719:AX725)</f>
        <v>0</v>
      </c>
      <c r="X719" s="393">
        <f>IFERROR(W719/(AA723-AA721),0)</f>
        <v>0</v>
      </c>
      <c r="Y719" s="395" t="s">
        <v>324</v>
      </c>
      <c r="Z719" s="396">
        <f>IFERROR(SUMPRODUCT(V718:V721,W718:W721)/SUM(W718:W721),0)</f>
        <v>0</v>
      </c>
      <c r="AA719" s="397">
        <f>SUM(W718:W721)</f>
        <v>0</v>
      </c>
      <c r="AB719" s="494">
        <f>IF(AA723&gt;0,AA719/AA723,0)</f>
        <v>0</v>
      </c>
    </row>
    <row r="720" spans="1:28" ht="15.75" customHeight="1" x14ac:dyDescent="0.3">
      <c r="A720" s="2301"/>
      <c r="B720" s="399" t="str">
        <f>$B$6</f>
        <v>Bandeja</v>
      </c>
      <c r="C720" s="400">
        <f>C713</f>
        <v>0</v>
      </c>
      <c r="D720" s="387">
        <f>C720*SUM(INVENTARIOS!R718:R724)</f>
        <v>0</v>
      </c>
      <c r="E720" s="383">
        <f>IFERROR(D720/SUM(PROD!L719:L725),0)</f>
        <v>0</v>
      </c>
      <c r="F720" s="384">
        <f>IFERROR(E720/SUM(E718:E724,J718:J724,O718:O723),0)</f>
        <v>0</v>
      </c>
      <c r="G720" s="439" t="str">
        <f>$G$13</f>
        <v>Arrendamientos</v>
      </c>
      <c r="H720" s="401">
        <f t="shared" si="147"/>
        <v>0</v>
      </c>
      <c r="I720" s="390">
        <f t="shared" si="145"/>
        <v>0</v>
      </c>
      <c r="J720" s="383">
        <f>IFERROR(I720/SUM(PROD!L719:L725),0)</f>
        <v>0</v>
      </c>
      <c r="K720" s="384">
        <f>IFERROR(J720/SUM(E718:E724,J718:J724,O718:O723),0)</f>
        <v>0</v>
      </c>
      <c r="L720" s="439" t="str">
        <f>$L$6</f>
        <v>Diversos</v>
      </c>
      <c r="M720" s="401">
        <f t="shared" si="150"/>
        <v>1000000</v>
      </c>
      <c r="N720" s="390">
        <f>M720*12/52</f>
        <v>230769.23076923078</v>
      </c>
      <c r="O720" s="383">
        <f>IFERROR(N720/SUM(PROD!L719:L725),0)</f>
        <v>0</v>
      </c>
      <c r="P720" s="384">
        <f>IFERROR(O720/SUM(E718:E724,J718:J724,O718:O723),0)</f>
        <v>0</v>
      </c>
      <c r="Q720" s="391" t="str">
        <f>$Q$6</f>
        <v>AA</v>
      </c>
      <c r="R720" s="392">
        <f t="shared" si="148"/>
        <v>0</v>
      </c>
      <c r="S720" s="870">
        <f>SUM(PROD!AO719:AO725)</f>
        <v>0</v>
      </c>
      <c r="T720" s="393">
        <f>IF(AA718&gt;0,S720/AA718,0)</f>
        <v>0</v>
      </c>
      <c r="U720" s="394" t="str">
        <f>$U$6</f>
        <v>Vencido</v>
      </c>
      <c r="V720" s="392">
        <f t="shared" si="149"/>
        <v>0</v>
      </c>
      <c r="W720" s="870">
        <f>SUM(PROD!AY719:AY725)</f>
        <v>0</v>
      </c>
      <c r="X720" s="393">
        <f>IFERROR(W720/(AA723-AA721),0)</f>
        <v>0</v>
      </c>
      <c r="Y720" s="402" t="s">
        <v>391</v>
      </c>
      <c r="Z720" s="456">
        <v>0</v>
      </c>
      <c r="AA720" s="720"/>
      <c r="AB720" s="495">
        <f>IF(AA723&gt;0,AA720/AA723,0)</f>
        <v>0</v>
      </c>
    </row>
    <row r="721" spans="1:28" ht="15.75" customHeight="1" x14ac:dyDescent="0.3">
      <c r="A721" s="2301"/>
      <c r="B721" s="438" t="str">
        <f>$B$7</f>
        <v>Mortalidad Aves</v>
      </c>
      <c r="C721" s="401">
        <f>IF(A718&lt;=$B$2,C719+$C$2,0)</f>
        <v>0</v>
      </c>
      <c r="D721" s="390">
        <f>C721*SUM(PROD!D719:D725)</f>
        <v>0</v>
      </c>
      <c r="E721" s="383">
        <f>IFERROR(D721/SUM(PROD!L719:L725),0)</f>
        <v>0</v>
      </c>
      <c r="F721" s="384">
        <f>IFERROR(E721/SUM(E718:E724,J718:J724,O718:O723),0)</f>
        <v>0</v>
      </c>
      <c r="G721" s="439" t="str">
        <f>$G$14</f>
        <v>Servicios Públicos</v>
      </c>
      <c r="H721" s="401">
        <f t="shared" si="147"/>
        <v>0</v>
      </c>
      <c r="I721" s="390">
        <f t="shared" si="145"/>
        <v>0</v>
      </c>
      <c r="J721" s="383">
        <f>IFERROR(I721/SUM(PROD!L719:L725),0)</f>
        <v>0</v>
      </c>
      <c r="K721" s="384">
        <f>IFERROR(J721/SUM(E718:E724,J718:J724,O718:O723),0)</f>
        <v>0</v>
      </c>
      <c r="L721" s="441" t="str">
        <f>$L$7</f>
        <v>Administrativos</v>
      </c>
      <c r="M721" s="401">
        <f t="shared" si="150"/>
        <v>0</v>
      </c>
      <c r="N721" s="404">
        <f>M721*0.230769230769231</f>
        <v>0</v>
      </c>
      <c r="O721" s="383">
        <f>IFERROR(N721/SUM(PROD!L719:L725),0)</f>
        <v>0</v>
      </c>
      <c r="P721" s="384">
        <f>IFERROR(O721/SUM(E718:E724,J718:J724,O718:O723),0)</f>
        <v>0</v>
      </c>
      <c r="Q721" s="391" t="str">
        <f>$Q$7</f>
        <v>A</v>
      </c>
      <c r="R721" s="392">
        <f t="shared" si="148"/>
        <v>0</v>
      </c>
      <c r="S721" s="870">
        <f>SUM(PROD!AP719:AP725)</f>
        <v>0</v>
      </c>
      <c r="T721" s="393">
        <f>IF(AA718&gt;0,S721/AA718,0)</f>
        <v>0</v>
      </c>
      <c r="U721" s="405" t="str">
        <f>$U$7</f>
        <v>Roto</v>
      </c>
      <c r="V721" s="406">
        <f t="shared" si="149"/>
        <v>0</v>
      </c>
      <c r="W721" s="872">
        <f>SUM(PROD!AZ719:AZ725)</f>
        <v>0</v>
      </c>
      <c r="X721" s="407">
        <f>IFERROR(W721/(AA723-AA721),0)</f>
        <v>0</v>
      </c>
      <c r="Y721" s="408" t="s">
        <v>359</v>
      </c>
      <c r="Z721" s="442">
        <v>215</v>
      </c>
      <c r="AA721" s="410">
        <f>SUM(PROD!L719:L725)-SUM(W718:W724)-SUM(S718:S724)-AA720</f>
        <v>0</v>
      </c>
      <c r="AB721" s="496">
        <f>IF(AA723&gt;0,AA721/AA723,0)</f>
        <v>0</v>
      </c>
    </row>
    <row r="722" spans="1:28" ht="15.75" customHeight="1" x14ac:dyDescent="0.3">
      <c r="A722" s="2301"/>
      <c r="B722" s="399" t="str">
        <f>$B$8</f>
        <v>Materia Prima (Carb Ca, etc.)</v>
      </c>
      <c r="C722" s="440">
        <f>C715</f>
        <v>0</v>
      </c>
      <c r="D722" s="387">
        <f>C722*12/52</f>
        <v>0</v>
      </c>
      <c r="E722" s="383">
        <f>IFERROR(D722/SUM(PROD!L719:L725),0)</f>
        <v>0</v>
      </c>
      <c r="F722" s="384">
        <f>IFERROR(E722/SUM(E718:E724,J718:J724,O718:O723),0)</f>
        <v>0</v>
      </c>
      <c r="G722" s="441" t="str">
        <f>$G$15</f>
        <v>Gastos Legales</v>
      </c>
      <c r="H722" s="401">
        <f t="shared" si="147"/>
        <v>0</v>
      </c>
      <c r="I722" s="390">
        <f t="shared" si="145"/>
        <v>0</v>
      </c>
      <c r="J722" s="383">
        <f>IFERROR(I722/SUM(PROD!L719:L725),0)</f>
        <v>0</v>
      </c>
      <c r="K722" s="384">
        <f>IFERROR(J722/SUM(E718:E724,J718:J724,O718:O723),0)</f>
        <v>0</v>
      </c>
      <c r="L722" s="439" t="str">
        <f>$L$8</f>
        <v>Fletes</v>
      </c>
      <c r="M722" s="401">
        <f t="shared" si="150"/>
        <v>0</v>
      </c>
      <c r="N722" s="404">
        <f>M722*0.230769230769231</f>
        <v>0</v>
      </c>
      <c r="O722" s="383">
        <f>IFERROR(N722/SUM(PROD!L719:L725),0)</f>
        <v>0</v>
      </c>
      <c r="P722" s="384">
        <f>IFERROR(O722/SUM(E718:E724,J718:J724,O718:O723),0)</f>
        <v>0</v>
      </c>
      <c r="Q722" s="391" t="str">
        <f>$Q$8</f>
        <v>B</v>
      </c>
      <c r="R722" s="392">
        <f t="shared" si="148"/>
        <v>0</v>
      </c>
      <c r="S722" s="870">
        <f>SUM(PROD!AQ719:AQ725)</f>
        <v>0</v>
      </c>
      <c r="T722" s="393">
        <f>IF(AA718&gt;0,S722/AA718,0)</f>
        <v>0</v>
      </c>
      <c r="U722" s="395" t="str">
        <f>$U$8</f>
        <v>Rev. Gr.</v>
      </c>
      <c r="V722" s="412">
        <f t="shared" si="149"/>
        <v>0</v>
      </c>
      <c r="W722" s="873">
        <f>SUM(PROD!AT719:AT725)</f>
        <v>0</v>
      </c>
      <c r="X722" s="413">
        <f>IFERROR(W722/(AA723-AA721),0)</f>
        <v>0</v>
      </c>
      <c r="Y722" s="414" t="s">
        <v>262</v>
      </c>
      <c r="Z722" s="415">
        <f>IFERROR(SUMPRODUCT(V722:V724,W722:W724)/SUM(W722:W724),0)</f>
        <v>0</v>
      </c>
      <c r="AA722" s="416">
        <f>SUM(W722:W724)</f>
        <v>0</v>
      </c>
      <c r="AB722" s="497">
        <f>IF(AA723&gt;0,AA722/AA723,0)</f>
        <v>0</v>
      </c>
    </row>
    <row r="723" spans="1:28" ht="15.75" customHeight="1" x14ac:dyDescent="0.3">
      <c r="A723" s="2301"/>
      <c r="B723" s="438" t="str">
        <f>$B$9</f>
        <v>Vacunas y medicamentos</v>
      </c>
      <c r="C723" s="443">
        <f>C716</f>
        <v>0</v>
      </c>
      <c r="D723" s="387">
        <f>C723*12/52</f>
        <v>0</v>
      </c>
      <c r="E723" s="383">
        <f>IFERROR(D723/SUM(PROD!L719:L725),0)</f>
        <v>0</v>
      </c>
      <c r="F723" s="384">
        <f>IFERROR(E723/SUM(E718:E724,J718:J724,O718:O723),0)</f>
        <v>0</v>
      </c>
      <c r="G723" s="441" t="str">
        <f>$G$16</f>
        <v>Mantenimiento y Reparaciones</v>
      </c>
      <c r="H723" s="401">
        <f t="shared" si="147"/>
        <v>0</v>
      </c>
      <c r="I723" s="390">
        <f t="shared" si="145"/>
        <v>0</v>
      </c>
      <c r="J723" s="383">
        <f>IFERROR(I723/SUM(PROD!L719:L725),0)</f>
        <v>0</v>
      </c>
      <c r="K723" s="384">
        <f>IFERROR(J723/SUM(E718:E724,J718:J724,O718:O723),0)</f>
        <v>0</v>
      </c>
      <c r="L723" s="439">
        <f>$L$9</f>
        <v>0</v>
      </c>
      <c r="M723" s="401">
        <f t="shared" si="150"/>
        <v>0</v>
      </c>
      <c r="N723" s="404">
        <f>M723*0.230769230769231</f>
        <v>0</v>
      </c>
      <c r="O723" s="383">
        <f>IFERROR(N723/SUM(PROD!L719:L725),0)</f>
        <v>0</v>
      </c>
      <c r="P723" s="384">
        <f>IFERROR(O723/SUM(E718:E724,J718:J724,O718:O723),0)</f>
        <v>0</v>
      </c>
      <c r="Q723" s="391" t="str">
        <f>$Q$9</f>
        <v>C</v>
      </c>
      <c r="R723" s="392">
        <f t="shared" si="148"/>
        <v>0</v>
      </c>
      <c r="S723" s="870">
        <f>SUM(PROD!AR719:AR725)</f>
        <v>0</v>
      </c>
      <c r="T723" s="393">
        <f>IF(AA718&gt;0,S723/AA718,0)</f>
        <v>0</v>
      </c>
      <c r="U723" s="394" t="str">
        <f>$U$9</f>
        <v>Rev. Med</v>
      </c>
      <c r="V723" s="392">
        <f t="shared" si="149"/>
        <v>0</v>
      </c>
      <c r="W723" s="870">
        <f>SUM(PROD!AU719:AU725)</f>
        <v>0</v>
      </c>
      <c r="X723" s="418">
        <f>IFERROR(W723/(AA723-AA721),0)</f>
        <v>0</v>
      </c>
      <c r="Y723" s="2303" t="s">
        <v>325</v>
      </c>
      <c r="Z723" s="2305">
        <f>SUMPRODUCT(Z718:Z722,AB718:AB722)</f>
        <v>0</v>
      </c>
      <c r="AA723" s="2307">
        <f>SUM(AA718:AA721)</f>
        <v>0</v>
      </c>
      <c r="AB723" s="2308"/>
    </row>
    <row r="724" spans="1:28" ht="16.5" customHeight="1" thickBot="1" x14ac:dyDescent="0.35">
      <c r="A724" s="2302"/>
      <c r="B724" s="444" t="str">
        <f>$B$10</f>
        <v>Gastos de Personal</v>
      </c>
      <c r="C724" s="445">
        <f>C717</f>
        <v>0</v>
      </c>
      <c r="D724" s="421">
        <f>C724*12/52</f>
        <v>0</v>
      </c>
      <c r="E724" s="446">
        <f>IFERROR(D724/SUM(PROD!L719:L725),0)</f>
        <v>0</v>
      </c>
      <c r="F724" s="447">
        <f>IFERROR(E724/SUM(E718:E724,J718:J724,O718:O723),0)</f>
        <v>0</v>
      </c>
      <c r="G724" s="448" t="str">
        <f>$G$17</f>
        <v>Adecuación Instalaciones</v>
      </c>
      <c r="H724" s="445">
        <f t="shared" si="147"/>
        <v>0</v>
      </c>
      <c r="I724" s="426">
        <f t="shared" si="145"/>
        <v>0</v>
      </c>
      <c r="J724" s="446">
        <f>IFERROR(I724/SUM(PROD!L719:L725),0)</f>
        <v>0</v>
      </c>
      <c r="K724" s="447">
        <f>IFERROR(J724/SUM(E718:E724,J718:J724,O718:O723),0)</f>
        <v>0</v>
      </c>
      <c r="L724" s="2311" t="str">
        <f>$L$10</f>
        <v>TOTAL COSTO PRODUCCIÓN</v>
      </c>
      <c r="M724" s="2312"/>
      <c r="N724" s="427">
        <f>SUM(D718:D724,I718:I724,N718:N723)</f>
        <v>230769.23076923078</v>
      </c>
      <c r="O724" s="449">
        <f>IFERROR(N724/SUM(PROD!L719:L725),0)</f>
        <v>0</v>
      </c>
      <c r="P724" s="447">
        <f>IFERROR(O724/SUM(E718:E724,J718:J724,O718:O723),0)</f>
        <v>0</v>
      </c>
      <c r="Q724" s="450" t="str">
        <f>$Q$10</f>
        <v>D</v>
      </c>
      <c r="R724" s="430">
        <f t="shared" si="148"/>
        <v>0</v>
      </c>
      <c r="S724" s="871">
        <f>SUM(PROD!AS719:AS725)</f>
        <v>0</v>
      </c>
      <c r="T724" s="451">
        <f>IF(AA718&gt;0,S724/AA718,0)</f>
        <v>0</v>
      </c>
      <c r="U724" s="452" t="str">
        <f>$U$10</f>
        <v>Rev. Peq</v>
      </c>
      <c r="V724" s="430">
        <f t="shared" si="149"/>
        <v>0</v>
      </c>
      <c r="W724" s="874">
        <f>SUM(PROD!AV719:AV725)</f>
        <v>0</v>
      </c>
      <c r="X724" s="451">
        <f>IFERROR(W724/(AA723-AA721),0)</f>
        <v>0</v>
      </c>
      <c r="Y724" s="2304"/>
      <c r="Z724" s="2306"/>
      <c r="AA724" s="2309"/>
      <c r="AB724" s="2310"/>
    </row>
    <row r="725" spans="1:28" ht="13.5" x14ac:dyDescent="0.25">
      <c r="A725" s="352"/>
      <c r="B725" s="352"/>
      <c r="C725" s="352"/>
      <c r="D725" s="352"/>
      <c r="E725" s="352"/>
      <c r="F725" s="352"/>
      <c r="G725" s="352"/>
      <c r="H725" s="352"/>
      <c r="I725" s="352"/>
      <c r="J725" s="352"/>
      <c r="K725" s="352"/>
      <c r="L725" s="352"/>
      <c r="M725" s="352"/>
      <c r="N725" s="352"/>
      <c r="O725" s="352"/>
      <c r="P725" s="352"/>
      <c r="Q725" s="352"/>
      <c r="R725" s="352"/>
      <c r="S725" s="352"/>
      <c r="T725" s="352"/>
      <c r="U725" s="352"/>
      <c r="V725" s="352"/>
      <c r="W725" s="352"/>
      <c r="X725" s="352"/>
      <c r="Y725" s="352"/>
      <c r="Z725" s="352"/>
      <c r="AA725" s="352"/>
      <c r="AB725" s="352"/>
    </row>
    <row r="726" spans="1:28" ht="23.25" customHeight="1" x14ac:dyDescent="0.15"/>
    <row r="727" spans="1:28" ht="12" customHeight="1" x14ac:dyDescent="0.15"/>
    <row r="728" spans="1:28" ht="12.75" customHeight="1" x14ac:dyDescent="0.15"/>
    <row r="729" spans="1:28" ht="12" x14ac:dyDescent="0.15"/>
    <row r="730" spans="1:28" ht="12" x14ac:dyDescent="0.15"/>
  </sheetData>
  <sheetProtection algorithmName="SHA-512" hashValue="vY74//mj6Ph64sr6aSzi0c09Cvh0Z9+kSB51MaAlY+9y7yr8tWEEhAFB0wIlyRa9abTw8Dya81phAP6zKmJz1w==" saltValue="bMrRPngBNqbgPbys72nFHw==" spinCount="100000" sheet="1" objects="1" scenarios="1"/>
  <mergeCells count="521">
    <mergeCell ref="A1:A3"/>
    <mergeCell ref="D1:P2"/>
    <mergeCell ref="Q1:AB1"/>
    <mergeCell ref="Q2:T2"/>
    <mergeCell ref="U2:X2"/>
    <mergeCell ref="Y2:AB2"/>
    <mergeCell ref="A18:A24"/>
    <mergeCell ref="Y23:Y24"/>
    <mergeCell ref="Z23:Z24"/>
    <mergeCell ref="AA23:AB24"/>
    <mergeCell ref="L24:M24"/>
    <mergeCell ref="L10:M10"/>
    <mergeCell ref="A11:A17"/>
    <mergeCell ref="Y16:Y17"/>
    <mergeCell ref="Z16:Z17"/>
    <mergeCell ref="AA16:AB17"/>
    <mergeCell ref="L17:M17"/>
    <mergeCell ref="A4:A10"/>
    <mergeCell ref="Y9:Y10"/>
    <mergeCell ref="Z9:Z10"/>
    <mergeCell ref="AA9:AB10"/>
    <mergeCell ref="A32:A38"/>
    <mergeCell ref="Y37:Y38"/>
    <mergeCell ref="Z37:Z38"/>
    <mergeCell ref="AA37:AB38"/>
    <mergeCell ref="L38:M38"/>
    <mergeCell ref="A25:A31"/>
    <mergeCell ref="Y30:Y31"/>
    <mergeCell ref="Z30:Z31"/>
    <mergeCell ref="AA30:AB31"/>
    <mergeCell ref="L31:M31"/>
    <mergeCell ref="A46:A52"/>
    <mergeCell ref="Y51:Y52"/>
    <mergeCell ref="Z51:Z52"/>
    <mergeCell ref="AA51:AB52"/>
    <mergeCell ref="L52:M52"/>
    <mergeCell ref="A39:A45"/>
    <mergeCell ref="Y44:Y45"/>
    <mergeCell ref="Z44:Z45"/>
    <mergeCell ref="AA44:AB45"/>
    <mergeCell ref="L45:M45"/>
    <mergeCell ref="A60:A66"/>
    <mergeCell ref="Y65:Y66"/>
    <mergeCell ref="Z65:Z66"/>
    <mergeCell ref="AA65:AB66"/>
    <mergeCell ref="L66:M66"/>
    <mergeCell ref="A53:A59"/>
    <mergeCell ref="Y58:Y59"/>
    <mergeCell ref="Z58:Z59"/>
    <mergeCell ref="AA58:AB59"/>
    <mergeCell ref="L59:M59"/>
    <mergeCell ref="A74:A80"/>
    <mergeCell ref="Y79:Y80"/>
    <mergeCell ref="Z79:Z80"/>
    <mergeCell ref="AA79:AB80"/>
    <mergeCell ref="L80:M80"/>
    <mergeCell ref="A67:A73"/>
    <mergeCell ref="Y72:Y73"/>
    <mergeCell ref="Z72:Z73"/>
    <mergeCell ref="AA72:AB73"/>
    <mergeCell ref="L73:M73"/>
    <mergeCell ref="A88:A94"/>
    <mergeCell ref="Y93:Y94"/>
    <mergeCell ref="Z93:Z94"/>
    <mergeCell ref="AA93:AB94"/>
    <mergeCell ref="L94:M94"/>
    <mergeCell ref="A81:A87"/>
    <mergeCell ref="Y86:Y87"/>
    <mergeCell ref="Z86:Z87"/>
    <mergeCell ref="AA86:AB87"/>
    <mergeCell ref="L87:M87"/>
    <mergeCell ref="A102:A108"/>
    <mergeCell ref="Y107:Y108"/>
    <mergeCell ref="Z107:Z108"/>
    <mergeCell ref="AA107:AB108"/>
    <mergeCell ref="L108:M108"/>
    <mergeCell ref="A95:A101"/>
    <mergeCell ref="Y100:Y101"/>
    <mergeCell ref="Z100:Z101"/>
    <mergeCell ref="AA100:AB101"/>
    <mergeCell ref="L101:M101"/>
    <mergeCell ref="A116:A122"/>
    <mergeCell ref="Y121:Y122"/>
    <mergeCell ref="Z121:Z122"/>
    <mergeCell ref="AA121:AB122"/>
    <mergeCell ref="L122:M122"/>
    <mergeCell ref="A109:A115"/>
    <mergeCell ref="Y114:Y115"/>
    <mergeCell ref="Z114:Z115"/>
    <mergeCell ref="AA114:AB115"/>
    <mergeCell ref="L115:M115"/>
    <mergeCell ref="A130:A136"/>
    <mergeCell ref="Y135:Y136"/>
    <mergeCell ref="Z135:Z136"/>
    <mergeCell ref="AA135:AB136"/>
    <mergeCell ref="L136:M136"/>
    <mergeCell ref="A123:A129"/>
    <mergeCell ref="Y128:Y129"/>
    <mergeCell ref="Z128:Z129"/>
    <mergeCell ref="AA128:AB129"/>
    <mergeCell ref="L129:M129"/>
    <mergeCell ref="A144:A150"/>
    <mergeCell ref="Y149:Y150"/>
    <mergeCell ref="Z149:Z150"/>
    <mergeCell ref="AA149:AB150"/>
    <mergeCell ref="L150:M150"/>
    <mergeCell ref="A137:A143"/>
    <mergeCell ref="Y142:Y143"/>
    <mergeCell ref="Z142:Z143"/>
    <mergeCell ref="AA142:AB143"/>
    <mergeCell ref="L143:M143"/>
    <mergeCell ref="A158:A164"/>
    <mergeCell ref="Y163:Y164"/>
    <mergeCell ref="Z163:Z164"/>
    <mergeCell ref="AA163:AB164"/>
    <mergeCell ref="L164:M164"/>
    <mergeCell ref="A151:A157"/>
    <mergeCell ref="Y156:Y157"/>
    <mergeCell ref="Z156:Z157"/>
    <mergeCell ref="AA156:AB157"/>
    <mergeCell ref="L157:M157"/>
    <mergeCell ref="A172:A178"/>
    <mergeCell ref="Y177:Y178"/>
    <mergeCell ref="Z177:Z178"/>
    <mergeCell ref="AA177:AB178"/>
    <mergeCell ref="L178:M178"/>
    <mergeCell ref="A165:A171"/>
    <mergeCell ref="Y170:Y171"/>
    <mergeCell ref="Z170:Z171"/>
    <mergeCell ref="AA170:AB171"/>
    <mergeCell ref="L171:M171"/>
    <mergeCell ref="A186:A192"/>
    <mergeCell ref="Y191:Y192"/>
    <mergeCell ref="Z191:Z192"/>
    <mergeCell ref="AA191:AB192"/>
    <mergeCell ref="L192:M192"/>
    <mergeCell ref="A179:A185"/>
    <mergeCell ref="Y184:Y185"/>
    <mergeCell ref="Z184:Z185"/>
    <mergeCell ref="AA184:AB185"/>
    <mergeCell ref="L185:M185"/>
    <mergeCell ref="A200:A206"/>
    <mergeCell ref="Y205:Y206"/>
    <mergeCell ref="Z205:Z206"/>
    <mergeCell ref="AA205:AB206"/>
    <mergeCell ref="L206:M206"/>
    <mergeCell ref="A193:A199"/>
    <mergeCell ref="Y198:Y199"/>
    <mergeCell ref="Z198:Z199"/>
    <mergeCell ref="AA198:AB199"/>
    <mergeCell ref="L199:M199"/>
    <mergeCell ref="A214:A220"/>
    <mergeCell ref="Y219:Y220"/>
    <mergeCell ref="Z219:Z220"/>
    <mergeCell ref="AA219:AB220"/>
    <mergeCell ref="L220:M220"/>
    <mergeCell ref="A207:A213"/>
    <mergeCell ref="Y212:Y213"/>
    <mergeCell ref="Z212:Z213"/>
    <mergeCell ref="AA212:AB213"/>
    <mergeCell ref="L213:M213"/>
    <mergeCell ref="A228:A234"/>
    <mergeCell ref="Y233:Y234"/>
    <mergeCell ref="Z233:Z234"/>
    <mergeCell ref="AA233:AB234"/>
    <mergeCell ref="L234:M234"/>
    <mergeCell ref="A221:A227"/>
    <mergeCell ref="Y226:Y227"/>
    <mergeCell ref="Z226:Z227"/>
    <mergeCell ref="AA226:AB227"/>
    <mergeCell ref="L227:M227"/>
    <mergeCell ref="A242:A248"/>
    <mergeCell ref="Y247:Y248"/>
    <mergeCell ref="Z247:Z248"/>
    <mergeCell ref="AA247:AB248"/>
    <mergeCell ref="L248:M248"/>
    <mergeCell ref="A235:A241"/>
    <mergeCell ref="Y240:Y241"/>
    <mergeCell ref="Z240:Z241"/>
    <mergeCell ref="AA240:AB241"/>
    <mergeCell ref="L241:M241"/>
    <mergeCell ref="A256:A262"/>
    <mergeCell ref="Y261:Y262"/>
    <mergeCell ref="Z261:Z262"/>
    <mergeCell ref="AA261:AB262"/>
    <mergeCell ref="L262:M262"/>
    <mergeCell ref="A249:A255"/>
    <mergeCell ref="Y254:Y255"/>
    <mergeCell ref="Z254:Z255"/>
    <mergeCell ref="AA254:AB255"/>
    <mergeCell ref="L255:M255"/>
    <mergeCell ref="A270:A276"/>
    <mergeCell ref="Y275:Y276"/>
    <mergeCell ref="Z275:Z276"/>
    <mergeCell ref="AA275:AB276"/>
    <mergeCell ref="L276:M276"/>
    <mergeCell ref="A263:A269"/>
    <mergeCell ref="Y268:Y269"/>
    <mergeCell ref="Z268:Z269"/>
    <mergeCell ref="AA268:AB269"/>
    <mergeCell ref="L269:M269"/>
    <mergeCell ref="A284:A290"/>
    <mergeCell ref="Y289:Y290"/>
    <mergeCell ref="Z289:Z290"/>
    <mergeCell ref="AA289:AB290"/>
    <mergeCell ref="L290:M290"/>
    <mergeCell ref="A277:A283"/>
    <mergeCell ref="Y282:Y283"/>
    <mergeCell ref="Z282:Z283"/>
    <mergeCell ref="AA282:AB283"/>
    <mergeCell ref="L283:M283"/>
    <mergeCell ref="A298:A304"/>
    <mergeCell ref="Y303:Y304"/>
    <mergeCell ref="Z303:Z304"/>
    <mergeCell ref="AA303:AB304"/>
    <mergeCell ref="L304:M304"/>
    <mergeCell ref="A291:A297"/>
    <mergeCell ref="Y296:Y297"/>
    <mergeCell ref="Z296:Z297"/>
    <mergeCell ref="AA296:AB297"/>
    <mergeCell ref="L297:M297"/>
    <mergeCell ref="A312:A318"/>
    <mergeCell ref="Y317:Y318"/>
    <mergeCell ref="Z317:Z318"/>
    <mergeCell ref="AA317:AB318"/>
    <mergeCell ref="L318:M318"/>
    <mergeCell ref="A305:A311"/>
    <mergeCell ref="Y310:Y311"/>
    <mergeCell ref="Z310:Z311"/>
    <mergeCell ref="AA310:AB311"/>
    <mergeCell ref="L311:M311"/>
    <mergeCell ref="A326:A332"/>
    <mergeCell ref="Y331:Y332"/>
    <mergeCell ref="Z331:Z332"/>
    <mergeCell ref="AA331:AB332"/>
    <mergeCell ref="L332:M332"/>
    <mergeCell ref="A319:A325"/>
    <mergeCell ref="Y324:Y325"/>
    <mergeCell ref="Z324:Z325"/>
    <mergeCell ref="AA324:AB325"/>
    <mergeCell ref="L325:M325"/>
    <mergeCell ref="A340:A346"/>
    <mergeCell ref="Y345:Y346"/>
    <mergeCell ref="Z345:Z346"/>
    <mergeCell ref="AA345:AB346"/>
    <mergeCell ref="L346:M346"/>
    <mergeCell ref="A333:A339"/>
    <mergeCell ref="Y338:Y339"/>
    <mergeCell ref="Z338:Z339"/>
    <mergeCell ref="AA338:AB339"/>
    <mergeCell ref="L339:M339"/>
    <mergeCell ref="A354:A360"/>
    <mergeCell ref="Y359:Y360"/>
    <mergeCell ref="Z359:Z360"/>
    <mergeCell ref="AA359:AB360"/>
    <mergeCell ref="L360:M360"/>
    <mergeCell ref="A347:A353"/>
    <mergeCell ref="Y352:Y353"/>
    <mergeCell ref="Z352:Z353"/>
    <mergeCell ref="AA352:AB353"/>
    <mergeCell ref="L353:M353"/>
    <mergeCell ref="A368:A374"/>
    <mergeCell ref="Y373:Y374"/>
    <mergeCell ref="Z373:Z374"/>
    <mergeCell ref="AA373:AB374"/>
    <mergeCell ref="L374:M374"/>
    <mergeCell ref="A361:A367"/>
    <mergeCell ref="Y366:Y367"/>
    <mergeCell ref="Z366:Z367"/>
    <mergeCell ref="AA366:AB367"/>
    <mergeCell ref="L367:M367"/>
    <mergeCell ref="A382:A388"/>
    <mergeCell ref="Y387:Y388"/>
    <mergeCell ref="Z387:Z388"/>
    <mergeCell ref="AA387:AB388"/>
    <mergeCell ref="L388:M388"/>
    <mergeCell ref="A375:A381"/>
    <mergeCell ref="Y380:Y381"/>
    <mergeCell ref="Z380:Z381"/>
    <mergeCell ref="AA380:AB381"/>
    <mergeCell ref="L381:M381"/>
    <mergeCell ref="A396:A402"/>
    <mergeCell ref="Y401:Y402"/>
    <mergeCell ref="Z401:Z402"/>
    <mergeCell ref="AA401:AB402"/>
    <mergeCell ref="L402:M402"/>
    <mergeCell ref="A389:A395"/>
    <mergeCell ref="Y394:Y395"/>
    <mergeCell ref="Z394:Z395"/>
    <mergeCell ref="AA394:AB395"/>
    <mergeCell ref="L395:M395"/>
    <mergeCell ref="A410:A416"/>
    <mergeCell ref="Y415:Y416"/>
    <mergeCell ref="Z415:Z416"/>
    <mergeCell ref="AA415:AB416"/>
    <mergeCell ref="L416:M416"/>
    <mergeCell ref="A403:A409"/>
    <mergeCell ref="Y408:Y409"/>
    <mergeCell ref="Z408:Z409"/>
    <mergeCell ref="AA408:AB409"/>
    <mergeCell ref="L409:M409"/>
    <mergeCell ref="A424:A430"/>
    <mergeCell ref="Y429:Y430"/>
    <mergeCell ref="Z429:Z430"/>
    <mergeCell ref="AA429:AB430"/>
    <mergeCell ref="L430:M430"/>
    <mergeCell ref="A417:A423"/>
    <mergeCell ref="Y422:Y423"/>
    <mergeCell ref="Z422:Z423"/>
    <mergeCell ref="AA422:AB423"/>
    <mergeCell ref="L423:M423"/>
    <mergeCell ref="A438:A444"/>
    <mergeCell ref="Y443:Y444"/>
    <mergeCell ref="Z443:Z444"/>
    <mergeCell ref="AA443:AB444"/>
    <mergeCell ref="L444:M444"/>
    <mergeCell ref="A431:A437"/>
    <mergeCell ref="Y436:Y437"/>
    <mergeCell ref="Z436:Z437"/>
    <mergeCell ref="AA436:AB437"/>
    <mergeCell ref="L437:M437"/>
    <mergeCell ref="A452:A458"/>
    <mergeCell ref="Y457:Y458"/>
    <mergeCell ref="Z457:Z458"/>
    <mergeCell ref="AA457:AB458"/>
    <mergeCell ref="L458:M458"/>
    <mergeCell ref="A445:A451"/>
    <mergeCell ref="Y450:Y451"/>
    <mergeCell ref="Z450:Z451"/>
    <mergeCell ref="AA450:AB451"/>
    <mergeCell ref="L451:M451"/>
    <mergeCell ref="A466:A472"/>
    <mergeCell ref="Y471:Y472"/>
    <mergeCell ref="Z471:Z472"/>
    <mergeCell ref="AA471:AB472"/>
    <mergeCell ref="L472:M472"/>
    <mergeCell ref="A459:A465"/>
    <mergeCell ref="Y464:Y465"/>
    <mergeCell ref="Z464:Z465"/>
    <mergeCell ref="AA464:AB465"/>
    <mergeCell ref="L465:M465"/>
    <mergeCell ref="A480:A486"/>
    <mergeCell ref="Y485:Y486"/>
    <mergeCell ref="Z485:Z486"/>
    <mergeCell ref="AA485:AB486"/>
    <mergeCell ref="L486:M486"/>
    <mergeCell ref="A473:A479"/>
    <mergeCell ref="Y478:Y479"/>
    <mergeCell ref="Z478:Z479"/>
    <mergeCell ref="AA478:AB479"/>
    <mergeCell ref="L479:M479"/>
    <mergeCell ref="A494:A500"/>
    <mergeCell ref="Y499:Y500"/>
    <mergeCell ref="Z499:Z500"/>
    <mergeCell ref="AA499:AB500"/>
    <mergeCell ref="L500:M500"/>
    <mergeCell ref="A487:A493"/>
    <mergeCell ref="Y492:Y493"/>
    <mergeCell ref="Z492:Z493"/>
    <mergeCell ref="AA492:AB493"/>
    <mergeCell ref="L493:M493"/>
    <mergeCell ref="A508:A514"/>
    <mergeCell ref="Y513:Y514"/>
    <mergeCell ref="Z513:Z514"/>
    <mergeCell ref="AA513:AB514"/>
    <mergeCell ref="L514:M514"/>
    <mergeCell ref="A501:A507"/>
    <mergeCell ref="Y506:Y507"/>
    <mergeCell ref="Z506:Z507"/>
    <mergeCell ref="AA506:AB507"/>
    <mergeCell ref="L507:M507"/>
    <mergeCell ref="A522:A528"/>
    <mergeCell ref="Y527:Y528"/>
    <mergeCell ref="Z527:Z528"/>
    <mergeCell ref="AA527:AB528"/>
    <mergeCell ref="L528:M528"/>
    <mergeCell ref="A515:A521"/>
    <mergeCell ref="Y520:Y521"/>
    <mergeCell ref="Z520:Z521"/>
    <mergeCell ref="AA520:AB521"/>
    <mergeCell ref="L521:M521"/>
    <mergeCell ref="A536:A542"/>
    <mergeCell ref="Y541:Y542"/>
    <mergeCell ref="Z541:Z542"/>
    <mergeCell ref="AA541:AB542"/>
    <mergeCell ref="L542:M542"/>
    <mergeCell ref="A529:A535"/>
    <mergeCell ref="Y534:Y535"/>
    <mergeCell ref="Z534:Z535"/>
    <mergeCell ref="AA534:AB535"/>
    <mergeCell ref="L535:M535"/>
    <mergeCell ref="A550:A556"/>
    <mergeCell ref="Y555:Y556"/>
    <mergeCell ref="Z555:Z556"/>
    <mergeCell ref="AA555:AB556"/>
    <mergeCell ref="L556:M556"/>
    <mergeCell ref="A543:A549"/>
    <mergeCell ref="Y548:Y549"/>
    <mergeCell ref="Z548:Z549"/>
    <mergeCell ref="AA548:AB549"/>
    <mergeCell ref="L549:M549"/>
    <mergeCell ref="A564:A570"/>
    <mergeCell ref="Y569:Y570"/>
    <mergeCell ref="Z569:Z570"/>
    <mergeCell ref="AA569:AB570"/>
    <mergeCell ref="L570:M570"/>
    <mergeCell ref="A557:A563"/>
    <mergeCell ref="Y562:Y563"/>
    <mergeCell ref="Z562:Z563"/>
    <mergeCell ref="AA562:AB563"/>
    <mergeCell ref="L563:M563"/>
    <mergeCell ref="A578:A584"/>
    <mergeCell ref="Y583:Y584"/>
    <mergeCell ref="Z583:Z584"/>
    <mergeCell ref="AA583:AB584"/>
    <mergeCell ref="L584:M584"/>
    <mergeCell ref="A571:A577"/>
    <mergeCell ref="Y576:Y577"/>
    <mergeCell ref="Z576:Z577"/>
    <mergeCell ref="AA576:AB577"/>
    <mergeCell ref="L577:M577"/>
    <mergeCell ref="A592:A598"/>
    <mergeCell ref="Y597:Y598"/>
    <mergeCell ref="Z597:Z598"/>
    <mergeCell ref="AA597:AB598"/>
    <mergeCell ref="L598:M598"/>
    <mergeCell ref="A585:A591"/>
    <mergeCell ref="Y590:Y591"/>
    <mergeCell ref="Z590:Z591"/>
    <mergeCell ref="AA590:AB591"/>
    <mergeCell ref="L591:M591"/>
    <mergeCell ref="A606:A612"/>
    <mergeCell ref="Y611:Y612"/>
    <mergeCell ref="Z611:Z612"/>
    <mergeCell ref="AA611:AB612"/>
    <mergeCell ref="L612:M612"/>
    <mergeCell ref="A599:A605"/>
    <mergeCell ref="Y604:Y605"/>
    <mergeCell ref="Z604:Z605"/>
    <mergeCell ref="AA604:AB605"/>
    <mergeCell ref="L605:M605"/>
    <mergeCell ref="A620:A626"/>
    <mergeCell ref="Y625:Y626"/>
    <mergeCell ref="Z625:Z626"/>
    <mergeCell ref="AA625:AB626"/>
    <mergeCell ref="L626:M626"/>
    <mergeCell ref="A613:A619"/>
    <mergeCell ref="Y618:Y619"/>
    <mergeCell ref="Z618:Z619"/>
    <mergeCell ref="AA618:AB619"/>
    <mergeCell ref="L619:M619"/>
    <mergeCell ref="A634:A640"/>
    <mergeCell ref="Y639:Y640"/>
    <mergeCell ref="Z639:Z640"/>
    <mergeCell ref="AA639:AB640"/>
    <mergeCell ref="L640:M640"/>
    <mergeCell ref="A627:A633"/>
    <mergeCell ref="Y632:Y633"/>
    <mergeCell ref="Z632:Z633"/>
    <mergeCell ref="AA632:AB633"/>
    <mergeCell ref="L633:M633"/>
    <mergeCell ref="A648:A654"/>
    <mergeCell ref="Y653:Y654"/>
    <mergeCell ref="Z653:Z654"/>
    <mergeCell ref="AA653:AB654"/>
    <mergeCell ref="L654:M654"/>
    <mergeCell ref="A641:A647"/>
    <mergeCell ref="Y646:Y647"/>
    <mergeCell ref="Z646:Z647"/>
    <mergeCell ref="AA646:AB647"/>
    <mergeCell ref="L647:M647"/>
    <mergeCell ref="A662:A668"/>
    <mergeCell ref="Y667:Y668"/>
    <mergeCell ref="Z667:Z668"/>
    <mergeCell ref="AA667:AB668"/>
    <mergeCell ref="L668:M668"/>
    <mergeCell ref="A655:A661"/>
    <mergeCell ref="Y660:Y661"/>
    <mergeCell ref="Z660:Z661"/>
    <mergeCell ref="AA660:AB661"/>
    <mergeCell ref="L661:M661"/>
    <mergeCell ref="A676:A682"/>
    <mergeCell ref="Y681:Y682"/>
    <mergeCell ref="Z681:Z682"/>
    <mergeCell ref="AA681:AB682"/>
    <mergeCell ref="L682:M682"/>
    <mergeCell ref="A669:A675"/>
    <mergeCell ref="Y674:Y675"/>
    <mergeCell ref="Z674:Z675"/>
    <mergeCell ref="AA674:AB675"/>
    <mergeCell ref="L675:M675"/>
    <mergeCell ref="A690:A696"/>
    <mergeCell ref="Y695:Y696"/>
    <mergeCell ref="Z695:Z696"/>
    <mergeCell ref="AA695:AB696"/>
    <mergeCell ref="L696:M696"/>
    <mergeCell ref="A683:A689"/>
    <mergeCell ref="Y688:Y689"/>
    <mergeCell ref="Z688:Z689"/>
    <mergeCell ref="AA688:AB689"/>
    <mergeCell ref="L689:M689"/>
    <mergeCell ref="A704:A710"/>
    <mergeCell ref="Y709:Y710"/>
    <mergeCell ref="Z709:Z710"/>
    <mergeCell ref="AA709:AB710"/>
    <mergeCell ref="L710:M710"/>
    <mergeCell ref="A697:A703"/>
    <mergeCell ref="Y702:Y703"/>
    <mergeCell ref="Z702:Z703"/>
    <mergeCell ref="AA702:AB703"/>
    <mergeCell ref="L703:M703"/>
    <mergeCell ref="A718:A724"/>
    <mergeCell ref="Y723:Y724"/>
    <mergeCell ref="Z723:Z724"/>
    <mergeCell ref="AA723:AB724"/>
    <mergeCell ref="L724:M724"/>
    <mergeCell ref="A711:A717"/>
    <mergeCell ref="Y716:Y717"/>
    <mergeCell ref="Z716:Z717"/>
    <mergeCell ref="AA716:AB717"/>
    <mergeCell ref="L717:M717"/>
  </mergeCells>
  <dataValidations count="9">
    <dataValidation allowBlank="1" showInputMessage="1" showErrorMessage="1" prompt="INFORMACIÓN SUMINISTRADA SEMANALMENTE POR LA PLANTA DE CLASIFICACIÓN_x000a__x000a_El huevo en Revoltura es el que finalmente No se clasifica y se vende así por VENTAS." sqref="S3" xr:uid="{75346493-116A-41DD-BE69-207E703FFC99}"/>
    <dataValidation allowBlank="1" showInputMessage="1" showErrorMessage="1" prompt="INFORMACIÓN SUMINISTRADA SEMANALMENTE POR VENTAS DE HUEVO" sqref="R3" xr:uid="{79279049-F2BD-45E4-A958-ECF6F1910539}"/>
    <dataValidation type="whole" allowBlank="1" showInputMessage="1" showErrorMessage="1" sqref="B2" xr:uid="{587274C1-6946-4FD9-8456-AEB3E9F96C4F}">
      <formula1>60</formula1>
      <formula2>120</formula2>
    </dataValidation>
    <dataValidation allowBlank="1" showInputMessage="1" showErrorMessage="1" prompt="DIGITE VALOR MENSUAL para este LOTE_x000a__x000a_DESCUENTE: Vacunas, Medicamentos, Bandejas y Mortalidad Semovientes (los cuales se han digitado de forma separada)" sqref="M6 M13 M20 M27 M34 M41 M48 M55 M62 M69 M76 M83 M90 M97 M104 M111 M118 M125 M132 M139 M146 M153 M160 M167 M174 M181 M188 M195 M202 M209 M216 M223 M230 M237 M244 M251 M258 M265 M272 M279 M286 M293 M300 M307 M314 M321 M328 M335 M342 M349 M356 M363 M370 M377 M384 M391 M398 M405 M412 M419 M426 M433 M440 M447 M454 M461 M468 M475 M482 M489 M496 M503 M510 M517 M524 M531 M538 M545 M552 M559 M566 M573 M580 M587 M594 M601 M608 M615 M622 M629 M636 M643 M650 M657 M664 M671 M678 M685 M692 M699 M706 M713 M720" xr:uid="{13276604-4FDA-4665-97F6-A0F1337E407B}"/>
    <dataValidation allowBlank="1" showInputMessage="1" showErrorMessage="1" prompt="Digite Valor Ponderado Mensual" sqref="C8:C9 H4:H724 M4:M5 M7:M9 M11:M12 M14:M16 C15:C16 M18:M19 M25:M26 M32:M33 M39:M40 M46:M47 M53:M54 M60:M61 M67:M68 M74:M75 M81:M82 M88:M89 M95:M96 M102:M103 M109:M110 M116:M117 M123:M124 M130:M131 M137:M138 M144:M145 M151:M152 M158:M159 M165:M166 M172:M173 M179:M180 M186:M187 M193:M194 M200:M201 M207:M208 M214:M215 M221:M222 M228:M229 M235:M236 M242:M243 M249:M250 M256:M257 M263:M264 M270:M271 M277:M278 M284:M285 M291:M292 M298:M299 M305:M306 M312:M313 M319:M320 M326:M327 M333:M334 M340:M341 M347:M348 M354:M355 M361:M362 M368:M369 M375:M376 M382:M383 M389:M390 M396:M397 M403:M404 M410:M411 M417:M418 M424:M425 M431:M432 M438:M439 M445:M446 M452:M453 M459:M460 M466:M467 M473:M474 M480:M481 M487:M488 M494:M495 M501:M502 M508:M509 M515:M516 M522:M523 M529:M530 M536:M537 M543:M544 M550:M551 M557:M558 M564:M565 M571:M572 M578:M579 M585:M586 M592:M593 M599:M600 M606:M607 M613:M614 M620:M621 M627:M628 M634:M635 M641:M642 M648:M649 M655:M656 M662:M663 M669:M670 M676:M677 M683:M684 M690:M691 M697:M698 M704:M705 M711:M712 M718:M719 M21:M23 M28:M30 M35:M37 M42:M44 M49:M51 M56:M58 M63:M65 M70:M72 M77:M79 M84:M86 M91:M93 M98:M100 M105:M107 M112:M114 M119:M121 M126:M128 M133:M135 M140:M142 M147:M149 M154:M156 M161:M163 M168:M170 M175:M177 M182:M184 M189:M191 M196:M198 M203:M205 M210:M212 M217:M219 M224:M226 M231:M233 M238:M240 M245:M247 M252:M254 M259:M261 M266:M268 M273:M275 M280:M282 M287:M289 M294:M296 M301:M303 M308:M310 M315:M317 M322:M324 M329:M331 M336:M338 M343:M345 M350:M352 M357:M359 M364:M366 M371:M373 M378:M380 M385:M387 M392:M394 M399:M401 M406:M408 M413:M415 M420:M422 M427:M429 M434:M436 M441:M443 M448:M450 M455:M457 M462:M464 M469:M471 M476:M478 M483:M485 M490:M492 M497:M499 M504:M506 M511:M513 M518:M520 M525:M527 M532:M534 M539:M541 M546:M548 M553:M555 M560:M562 M567:M569 M574:M576 M581:M583 M588:M590 M595:M597 M602:M604 M609:M611 M616:M618 M623:M625 M630:M632 M637:M639 M644:M646 M651:M653 M658:M660 M665:M667 M672:M674 M679:M681 M686:M688 M693:M695 M700:M702 M707:M709 M714:M716 M721:M723 C22:C23 C29:C30 C36:C37 C43:C44 C50:C51 C57:C58 C64:C65 C71:C72 C78:C79 C85:C86 C92:C93 C99:C100 C106:C107 C113:C114 C120:C121 C127:C128 C134:C135 C141:C142 C148:C149 C155:C156 C162:C163 C169:C170 C176:C177 C183:C184 C190:C191 C197:C198 C204:C205 C211:C212 C218:C219 C225:C226 C232:C233 C239:C240 C246:C247 C253:C254 C260:C261 C267:C268 C274:C275 C281:C282 C288:C289 C295:C296 C302:C303 C309:C310 C316:C317 C323:C324 C330:C331 C337:C338 C344:C345 C351:C352 C358:C359 C365:C366 C372:C373 C379:C380 C386:C387 C393:C394 C400:C401 C407:C408 C414:C415 C421:C422 C428:C429 C435:C436 C442:C443 C449:C450 C456:C457 C463:C464 C470:C471 C477:C478 C484:C485 C491:C492 C498:C499 C505:C506 C512:C513 C519:C520 C526:C527 C533:C534 C540:C541 C547:C548 C554:C555 C561:C562 C568:C569 C575:C576 C582:C583 C589:C590 C596:C597 C603:C604 C610:C611 C617:C618 C624:C625 C631:C632 C638:C639 C645:C646 C652:C653 C659:C660 C666:C667 C673:C674 C680:C681 C687:C688 C694:C695 C701:C702 C708:C709 C715:C716 C722:C723" xr:uid="{0746D1F9-0FFD-45C4-B4DD-279774FE923A}"/>
    <dataValidation allowBlank="1" showInputMessage="1" showErrorMessage="1" prompt="Saldo por Amortizar luego del cierre de semana" sqref="C12 C5 C19 C26 C33 C40 C47 C54 C61 C68 C75 C82 C89 C96 C103 C110 C117 C124 C131 C138 C145 C152 C159 C166 C173 C180 C187 C194 C201 C208 C215 C222 C229 C236 C243 C250 C257 C264 C271 C278 C285 C292 C299 C306 C313 C320 C327 C334 C341 C348 C355 C362 C369 C376 C383 C390 C397 C404 C411 C418 C425 C432 C439 C446 C453 C460 C467 C474 C481 C488 C495 C502 C509 C516 C523 C530 C537 C544 C551 C558 C565 C572 C579 C586 C593 C600 C607 C614 C621 C628 C635 C642 C649 C656 C663 C670 C677 C684 C691 C698 C705 C712 C719" xr:uid="{F638738B-70A0-4130-9CE6-CCDDFB888990}"/>
    <dataValidation allowBlank="1" showInputMessage="1" showErrorMessage="1" prompt="Digite Precio Promedio Bandeja Unidad (Sin IVA)" sqref="C13 C6 C20 C27 C34 C41 C48 C55 C62 C69 C76 C83 C90 C97 C104 C111 C118 C125 C132 C139 C146 C153 C160 C167 C174 C181 C188 C195 C202 C209 C216 C223 C230 C237 C244 C251 C258 C265 C272 C279 C286 C293 C300 C307 C314 C321 C328 C335 C342 C349 C356 C363 C370 C377 C384 C391 C398 C405 C412 C419 C426 C433 C440 C447 C454 C461 C468 C475 C482 C489 C496 C503 C510 C517 C524 C531 C538 C545 C552 C559 C566 C573 C580 C587 C594 C601 C608 C615 C622 C629 C636 C643 C650 C657 C664 C671 C678 C685 C692 C699 C706 C713 C720" xr:uid="{A68554B4-C360-47E1-AAEE-46F1D0F1D019}"/>
    <dataValidation allowBlank="1" showInputMessage="1" showErrorMessage="1" prompt="Digite Valor Ponderado Mensual " sqref="C17 C10 C24 C31 C38 C45 C52 C59 C66 C73 C80 C87 C94 C101 C108 C115 C122 C129 C136 C143 C150 C157 C164 C171 C178 C185 C192 C199 C206 C213 C220 C227 C234 C241 C248 C255 C262 C269 C276 C283 C290 C297 C304 C311 C318 C325 C332 C339 C346 C353 C360 C367 C374 C381 C388 C395 C402 C409 C416 C423 C430 C437 C444 C451 C458 C465 C472 C479 C486 C493 C500 C507 C514 C521 C528 C535 C542 C549 C556 C563 C570 C577 C584 C591 C598 C605 C612 C619 C626 C633 C640 C647 C654 C661 C668 C675 C682 C689 C696 C703 C710 C717 C724" xr:uid="{82754A97-EC2C-49AF-9D0F-01AA36EBBE73}"/>
    <dataValidation allowBlank="1" showInputMessage="1" showErrorMessage="1" prompt="Registre Valor de Recuperación / Salvamento de una gallina para la semana correspondiente" sqref="C14 C721 C21 C28 C35 C42 C49 C56 C63 C70 C77 C84 C91 C98 C105 C112 C119 C126 C133 C140 C147 C154 C161 C168 C175 C182 C189 C196 C203 C210 C217 C224 C231 C238 C245 C252 C259 C266 C273 C280 C287 C294 C301 C308 C315 C322 C329 C336 C343 C350 C357 C364 C371 C378 C385 C392 C399 C406 C413 C420 C427 C434 C441 C448 C455 C462 C469 C476 C483 C490 C497 C504 C511 C518 C525 C532 C539 C546 C553 C560 C567 C574 C581 C588 C595 C602 C609 C616 C623 C630 C637 C644 C651 C658 C665 C672 C679 C686 C693 C700 C707 C714 C7" xr:uid="{BEBEF3A0-C411-4DAE-A09C-2F041A6E8E8A}"/>
  </dataValidations>
  <printOptions horizontalCentered="1" verticalCentered="1" gridLinesSet="0"/>
  <pageMargins left="0.43307086614173229" right="0.27559055118110237" top="0.51181102362204722" bottom="0.43307086614173229" header="0.31496062992125984" footer="0.27559055118110237"/>
  <pageSetup scale="70" fitToWidth="2" fitToHeight="0" orientation="landscape" r:id="rId1"/>
  <headerFooter alignWithMargins="0">
    <oddHeader>&amp;L&amp;F;  &amp;A  &amp;P DE &amp;N&amp;RImpreso en &amp;D;  &amp;T</oddHeader>
  </headerFooter>
  <rowBreaks count="10" manualBreakCount="10">
    <brk id="52" max="42" man="1"/>
    <brk id="101" max="42" man="1"/>
    <brk id="150" max="42" man="1"/>
    <brk id="199" max="42" man="1"/>
    <brk id="248" max="42" man="1"/>
    <brk id="297" max="42" man="1"/>
    <brk id="346" max="42" man="1"/>
    <brk id="395" max="42" man="1"/>
    <brk id="444" max="42" man="1"/>
    <brk id="493" max="42"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dimension ref="A1:Q30"/>
  <sheetViews>
    <sheetView showGridLines="0" showRowColHeaders="0" zoomScaleNormal="100" workbookViewId="0">
      <pane ySplit="1" topLeftCell="A2" activePane="bottomLeft" state="frozen"/>
      <selection activeCell="FJ3" sqref="FJ3"/>
      <selection pane="bottomLeft" activeCell="A2" sqref="A2"/>
    </sheetView>
  </sheetViews>
  <sheetFormatPr baseColWidth="10" defaultRowHeight="13.5" x14ac:dyDescent="0.25"/>
  <cols>
    <col min="1" max="1" width="27" style="1" customWidth="1"/>
    <col min="2" max="2" width="33.125" style="1" bestFit="1" customWidth="1"/>
    <col min="3" max="3" width="29.75" style="1" customWidth="1"/>
    <col min="4" max="5" width="24.25" style="1" customWidth="1"/>
    <col min="6" max="8" width="11" style="1"/>
    <col min="9" max="9" width="20.375" style="1" bestFit="1" customWidth="1"/>
    <col min="10" max="11" width="25.75" style="1" bestFit="1" customWidth="1"/>
    <col min="12" max="12" width="21.375" style="1" bestFit="1" customWidth="1"/>
    <col min="13" max="13" width="26.625" style="1" customWidth="1"/>
    <col min="14" max="14" width="12.625" style="1" customWidth="1"/>
    <col min="15" max="15" width="9.875" style="1" bestFit="1" customWidth="1"/>
    <col min="16" max="16" width="12" style="1" customWidth="1"/>
    <col min="17" max="17" width="10.875" style="1" customWidth="1"/>
    <col min="18" max="16384" width="11" style="1"/>
  </cols>
  <sheetData>
    <row r="1" spans="1:17" ht="49.5" x14ac:dyDescent="0.25">
      <c r="A1" s="801" t="s">
        <v>27</v>
      </c>
      <c r="B1" s="801" t="s">
        <v>28</v>
      </c>
      <c r="C1" s="803" t="s">
        <v>343</v>
      </c>
      <c r="D1" s="803" t="s">
        <v>29</v>
      </c>
      <c r="E1" s="803" t="s">
        <v>30</v>
      </c>
      <c r="F1" s="802" t="s">
        <v>31</v>
      </c>
      <c r="G1" s="37" t="s">
        <v>32</v>
      </c>
      <c r="H1" s="38" t="s">
        <v>33</v>
      </c>
      <c r="I1" s="36" t="s">
        <v>34</v>
      </c>
      <c r="J1" s="36" t="s">
        <v>35</v>
      </c>
      <c r="K1" s="180" t="s">
        <v>36</v>
      </c>
      <c r="L1" s="39" t="s">
        <v>37</v>
      </c>
      <c r="M1" s="36" t="s">
        <v>38</v>
      </c>
      <c r="N1" s="40" t="s">
        <v>39</v>
      </c>
      <c r="O1" s="41" t="s">
        <v>40</v>
      </c>
      <c r="P1" s="42" t="s">
        <v>41</v>
      </c>
      <c r="Q1" s="42" t="s">
        <v>42</v>
      </c>
    </row>
    <row r="2" spans="1:17" ht="17.25" x14ac:dyDescent="0.3">
      <c r="A2" s="2" t="s">
        <v>43</v>
      </c>
      <c r="B2" s="2" t="s">
        <v>44</v>
      </c>
      <c r="C2" s="196" t="s">
        <v>344</v>
      </c>
      <c r="D2" s="2" t="s">
        <v>45</v>
      </c>
      <c r="E2" s="2" t="s">
        <v>45</v>
      </c>
      <c r="F2" s="3" t="s">
        <v>46</v>
      </c>
      <c r="G2" s="4">
        <v>1</v>
      </c>
      <c r="H2" s="5" t="s">
        <v>47</v>
      </c>
      <c r="I2" s="16" t="s">
        <v>536</v>
      </c>
      <c r="J2" s="6" t="s">
        <v>142</v>
      </c>
      <c r="K2" s="181" t="s">
        <v>140</v>
      </c>
      <c r="L2" s="7" t="s">
        <v>11</v>
      </c>
      <c r="M2" s="8" t="str">
        <f>CONCATENATE(Iniciar!B4,LOTE)</f>
        <v xml:space="preserve">Lote # : </v>
      </c>
      <c r="N2" s="9" t="s">
        <v>24</v>
      </c>
      <c r="O2" s="6" t="s">
        <v>50</v>
      </c>
      <c r="P2" s="10" t="s">
        <v>178</v>
      </c>
      <c r="Q2" s="10" t="s">
        <v>51</v>
      </c>
    </row>
    <row r="3" spans="1:17" ht="17.25" x14ac:dyDescent="0.3">
      <c r="A3" s="11" t="s">
        <v>25</v>
      </c>
      <c r="B3" s="11" t="s">
        <v>52</v>
      </c>
      <c r="C3" s="187" t="s">
        <v>453</v>
      </c>
      <c r="D3" s="11" t="s">
        <v>53</v>
      </c>
      <c r="E3" s="11" t="s">
        <v>54</v>
      </c>
      <c r="F3" s="12" t="s">
        <v>55</v>
      </c>
      <c r="G3" s="13">
        <v>2</v>
      </c>
      <c r="H3" s="14" t="s">
        <v>56</v>
      </c>
      <c r="I3" s="16" t="s">
        <v>96</v>
      </c>
      <c r="J3" s="15" t="s">
        <v>295</v>
      </c>
      <c r="K3" s="182" t="s">
        <v>141</v>
      </c>
      <c r="L3" s="16" t="s">
        <v>85</v>
      </c>
      <c r="M3" s="16" t="str">
        <f>CONCATENATE(Iniciar!B12,FIXED(AvesIni,0))</f>
        <v>Total Pollitas Recibidas : 0</v>
      </c>
      <c r="N3" s="17" t="s">
        <v>58</v>
      </c>
      <c r="O3" s="15" t="s">
        <v>59</v>
      </c>
      <c r="P3" s="10" t="s">
        <v>179</v>
      </c>
      <c r="Q3" s="10" t="s">
        <v>60</v>
      </c>
    </row>
    <row r="4" spans="1:17" ht="18" thickBot="1" x14ac:dyDescent="0.35">
      <c r="A4" s="11" t="s">
        <v>144</v>
      </c>
      <c r="B4" s="11" t="s">
        <v>61</v>
      </c>
      <c r="C4" s="187" t="s">
        <v>452</v>
      </c>
      <c r="D4" s="11" t="s">
        <v>62</v>
      </c>
      <c r="E4" s="11" t="s">
        <v>63</v>
      </c>
      <c r="F4" s="12" t="s">
        <v>64</v>
      </c>
      <c r="G4" s="13">
        <v>3</v>
      </c>
      <c r="H4" s="14" t="s">
        <v>65</v>
      </c>
      <c r="I4" s="16" t="s">
        <v>328</v>
      </c>
      <c r="J4" s="15" t="s">
        <v>293</v>
      </c>
      <c r="K4" s="182" t="s">
        <v>48</v>
      </c>
      <c r="L4" s="16" t="s">
        <v>77</v>
      </c>
      <c r="M4" s="15" t="str">
        <f>IF(OR(Iniciar!$C$3=Var!I2,Iniciar!$C$3=Var!I3,Iniciar!$C$3=Var!I5,Iniciar!$C$3=Var!I6),"Línea representada por SanMarino S.A.","")</f>
        <v/>
      </c>
      <c r="N4" s="18" t="s">
        <v>68</v>
      </c>
      <c r="O4" s="19" t="s">
        <v>69</v>
      </c>
      <c r="P4" s="20" t="s">
        <v>180</v>
      </c>
      <c r="Q4" s="20" t="s">
        <v>70</v>
      </c>
    </row>
    <row r="5" spans="1:17" ht="18.75" x14ac:dyDescent="0.3">
      <c r="A5" s="11" t="s">
        <v>71</v>
      </c>
      <c r="B5" s="11" t="s">
        <v>72</v>
      </c>
      <c r="C5" s="187" t="s">
        <v>451</v>
      </c>
      <c r="D5" s="11" t="s">
        <v>73</v>
      </c>
      <c r="E5" s="11" t="s">
        <v>74</v>
      </c>
      <c r="F5" s="12" t="s">
        <v>75</v>
      </c>
      <c r="G5" s="13">
        <v>4</v>
      </c>
      <c r="H5" s="14" t="s">
        <v>76</v>
      </c>
      <c r="I5" s="16" t="s">
        <v>329</v>
      </c>
      <c r="J5" s="15" t="s">
        <v>296</v>
      </c>
      <c r="K5" s="182" t="s">
        <v>139</v>
      </c>
      <c r="L5" s="16" t="s">
        <v>67</v>
      </c>
      <c r="M5" s="16" t="str">
        <f>CONCATENATE(Iniciar!B27,FIXED(Iniciar!C27,0))</f>
        <v>Total Aves Encasetadas : 0</v>
      </c>
      <c r="N5" s="21"/>
      <c r="O5" s="22"/>
    </row>
    <row r="6" spans="1:17" ht="19.5" thickBot="1" x14ac:dyDescent="0.35">
      <c r="A6" s="11" t="s">
        <v>78</v>
      </c>
      <c r="B6" s="11" t="s">
        <v>79</v>
      </c>
      <c r="C6" s="187" t="s">
        <v>450</v>
      </c>
      <c r="D6" s="11" t="s">
        <v>80</v>
      </c>
      <c r="E6" s="11" t="s">
        <v>81</v>
      </c>
      <c r="F6" s="12" t="s">
        <v>82</v>
      </c>
      <c r="G6" s="13">
        <v>5</v>
      </c>
      <c r="H6" s="14" t="s">
        <v>83</v>
      </c>
      <c r="I6" s="16" t="s">
        <v>399</v>
      </c>
      <c r="J6" s="15" t="s">
        <v>298</v>
      </c>
      <c r="K6" s="182" t="s">
        <v>136</v>
      </c>
      <c r="L6" s="16" t="s">
        <v>57</v>
      </c>
      <c r="M6" s="23"/>
      <c r="N6" s="21"/>
      <c r="O6" s="22"/>
    </row>
    <row r="7" spans="1:17" ht="18" thickBot="1" x14ac:dyDescent="0.35">
      <c r="A7" s="11" t="s">
        <v>86</v>
      </c>
      <c r="B7" s="11" t="s">
        <v>87</v>
      </c>
      <c r="C7" s="187" t="s">
        <v>449</v>
      </c>
      <c r="D7" s="11" t="s">
        <v>88</v>
      </c>
      <c r="E7" s="11" t="s">
        <v>89</v>
      </c>
      <c r="F7" s="12" t="s">
        <v>90</v>
      </c>
      <c r="G7" s="13">
        <v>6</v>
      </c>
      <c r="H7" s="14" t="s">
        <v>91</v>
      </c>
      <c r="I7" s="187" t="s">
        <v>145</v>
      </c>
      <c r="J7" s="15" t="s">
        <v>294</v>
      </c>
      <c r="K7" s="182" t="s">
        <v>137</v>
      </c>
      <c r="L7" s="24" t="s">
        <v>49</v>
      </c>
    </row>
    <row r="8" spans="1:17" ht="18" thickBot="1" x14ac:dyDescent="0.35">
      <c r="A8" s="11" t="s">
        <v>92</v>
      </c>
      <c r="B8" s="11" t="s">
        <v>93</v>
      </c>
      <c r="C8" s="187" t="s">
        <v>448</v>
      </c>
      <c r="D8" s="11" t="s">
        <v>26</v>
      </c>
      <c r="E8" s="11" t="s">
        <v>94</v>
      </c>
      <c r="F8" s="12"/>
      <c r="G8" s="13">
        <v>7</v>
      </c>
      <c r="H8" s="14" t="s">
        <v>95</v>
      </c>
      <c r="I8" s="16" t="s">
        <v>84</v>
      </c>
      <c r="J8" s="15" t="s">
        <v>297</v>
      </c>
      <c r="K8" s="179" t="s">
        <v>138</v>
      </c>
      <c r="L8" s="25"/>
    </row>
    <row r="9" spans="1:17" ht="18" thickBot="1" x14ac:dyDescent="0.35">
      <c r="A9" s="11" t="s">
        <v>97</v>
      </c>
      <c r="B9" s="11" t="s">
        <v>98</v>
      </c>
      <c r="C9" s="187" t="s">
        <v>447</v>
      </c>
      <c r="D9" s="11" t="s">
        <v>99</v>
      </c>
      <c r="E9" s="11" t="s">
        <v>100</v>
      </c>
      <c r="F9" s="12"/>
      <c r="G9" s="13">
        <v>8</v>
      </c>
      <c r="H9" s="14" t="s">
        <v>101</v>
      </c>
      <c r="I9" s="8" t="s">
        <v>495</v>
      </c>
      <c r="J9" s="19" t="s">
        <v>100</v>
      </c>
      <c r="L9" s="25"/>
    </row>
    <row r="10" spans="1:17" ht="17.25" x14ac:dyDescent="0.3">
      <c r="A10" s="11" t="s">
        <v>102</v>
      </c>
      <c r="B10" s="11" t="s">
        <v>103</v>
      </c>
      <c r="C10" s="187" t="s">
        <v>446</v>
      </c>
      <c r="D10" s="11"/>
      <c r="E10" s="11"/>
      <c r="F10" s="12"/>
      <c r="G10" s="13">
        <v>9</v>
      </c>
      <c r="H10" s="14" t="s">
        <v>104</v>
      </c>
      <c r="I10" s="16" t="s">
        <v>330</v>
      </c>
      <c r="L10" s="25"/>
    </row>
    <row r="11" spans="1:17" ht="17.25" x14ac:dyDescent="0.3">
      <c r="A11" s="11" t="s">
        <v>105</v>
      </c>
      <c r="B11" s="11" t="s">
        <v>106</v>
      </c>
      <c r="C11" s="187" t="s">
        <v>445</v>
      </c>
      <c r="D11" s="11"/>
      <c r="E11" s="11"/>
      <c r="F11" s="12"/>
      <c r="G11" s="13">
        <v>10</v>
      </c>
      <c r="H11" s="14" t="s">
        <v>107</v>
      </c>
      <c r="I11" s="16" t="s">
        <v>143</v>
      </c>
      <c r="L11" s="25"/>
    </row>
    <row r="12" spans="1:17" ht="17.25" x14ac:dyDescent="0.3">
      <c r="A12" s="11" t="s">
        <v>108</v>
      </c>
      <c r="B12" s="11" t="s">
        <v>109</v>
      </c>
      <c r="C12" s="187" t="s">
        <v>444</v>
      </c>
      <c r="D12" s="11"/>
      <c r="E12" s="11"/>
      <c r="F12" s="12"/>
      <c r="G12" s="13">
        <v>11</v>
      </c>
      <c r="H12" s="14" t="s">
        <v>110</v>
      </c>
      <c r="I12" s="16" t="s">
        <v>66</v>
      </c>
      <c r="L12" s="25"/>
    </row>
    <row r="13" spans="1:17" ht="18" thickBot="1" x14ac:dyDescent="0.35">
      <c r="A13" s="11" t="s">
        <v>111</v>
      </c>
      <c r="B13" s="11" t="s">
        <v>112</v>
      </c>
      <c r="C13" s="187" t="s">
        <v>443</v>
      </c>
      <c r="D13" s="11"/>
      <c r="E13" s="11"/>
      <c r="F13" s="26"/>
      <c r="G13" s="27">
        <v>12</v>
      </c>
      <c r="H13" s="28" t="s">
        <v>113</v>
      </c>
      <c r="I13" s="19" t="s">
        <v>331</v>
      </c>
      <c r="L13" s="25"/>
    </row>
    <row r="14" spans="1:17" ht="17.25" x14ac:dyDescent="0.3">
      <c r="A14" s="11" t="s">
        <v>114</v>
      </c>
      <c r="B14" s="11" t="s">
        <v>115</v>
      </c>
      <c r="C14" s="197" t="s">
        <v>454</v>
      </c>
      <c r="D14" s="11"/>
      <c r="E14" s="11"/>
    </row>
    <row r="15" spans="1:17" ht="17.25" x14ac:dyDescent="0.3">
      <c r="A15" s="11" t="s">
        <v>116</v>
      </c>
      <c r="B15" s="11" t="s">
        <v>117</v>
      </c>
      <c r="C15" s="187" t="s">
        <v>442</v>
      </c>
      <c r="D15" s="11"/>
      <c r="E15" s="11"/>
    </row>
    <row r="16" spans="1:17" ht="17.25" x14ac:dyDescent="0.3">
      <c r="A16" s="11" t="s">
        <v>118</v>
      </c>
      <c r="B16" s="11" t="s">
        <v>119</v>
      </c>
      <c r="C16" s="187" t="s">
        <v>441</v>
      </c>
      <c r="D16" s="11"/>
      <c r="E16" s="11"/>
    </row>
    <row r="17" spans="1:5" ht="17.25" x14ac:dyDescent="0.3">
      <c r="A17" s="11" t="s">
        <v>120</v>
      </c>
      <c r="B17" s="11" t="s">
        <v>121</v>
      </c>
      <c r="C17" s="187" t="s">
        <v>440</v>
      </c>
      <c r="D17" s="11"/>
      <c r="E17" s="11"/>
    </row>
    <row r="18" spans="1:5" ht="17.25" x14ac:dyDescent="0.3">
      <c r="A18" s="11" t="s">
        <v>122</v>
      </c>
      <c r="B18" s="11" t="s">
        <v>123</v>
      </c>
      <c r="C18" s="187" t="s">
        <v>439</v>
      </c>
      <c r="D18" s="11"/>
      <c r="E18" s="11"/>
    </row>
    <row r="19" spans="1:5" ht="17.25" x14ac:dyDescent="0.3">
      <c r="A19" s="11" t="s">
        <v>124</v>
      </c>
      <c r="B19" s="11"/>
      <c r="C19" s="11"/>
      <c r="D19" s="11"/>
      <c r="E19" s="11"/>
    </row>
    <row r="20" spans="1:5" ht="17.25" x14ac:dyDescent="0.3">
      <c r="A20" s="11" t="s">
        <v>125</v>
      </c>
      <c r="B20" s="11"/>
      <c r="C20" s="11"/>
      <c r="D20" s="11"/>
      <c r="E20" s="11"/>
    </row>
    <row r="21" spans="1:5" ht="18" thickBot="1" x14ac:dyDescent="0.35">
      <c r="A21" s="11" t="s">
        <v>126</v>
      </c>
      <c r="B21" s="11"/>
      <c r="C21" s="29"/>
      <c r="D21" s="29"/>
      <c r="E21" s="29"/>
    </row>
    <row r="22" spans="1:5" ht="17.25" x14ac:dyDescent="0.3">
      <c r="A22" s="11" t="s">
        <v>127</v>
      </c>
      <c r="B22" s="11"/>
    </row>
    <row r="23" spans="1:5" ht="17.25" x14ac:dyDescent="0.3">
      <c r="A23" s="11" t="s">
        <v>128</v>
      </c>
      <c r="B23" s="11"/>
    </row>
    <row r="24" spans="1:5" ht="17.25" x14ac:dyDescent="0.3">
      <c r="A24" s="11"/>
      <c r="B24" s="11"/>
    </row>
    <row r="25" spans="1:5" ht="17.25" x14ac:dyDescent="0.3">
      <c r="A25" s="11"/>
      <c r="B25" s="11"/>
    </row>
    <row r="26" spans="1:5" ht="17.25" x14ac:dyDescent="0.3">
      <c r="A26" s="11"/>
      <c r="B26" s="11"/>
    </row>
    <row r="27" spans="1:5" ht="17.25" x14ac:dyDescent="0.3">
      <c r="A27" s="11"/>
      <c r="B27" s="11"/>
    </row>
    <row r="28" spans="1:5" ht="17.25" x14ac:dyDescent="0.3">
      <c r="A28" s="11"/>
      <c r="B28" s="11"/>
    </row>
    <row r="29" spans="1:5" ht="17.25" x14ac:dyDescent="0.3">
      <c r="A29" s="11"/>
      <c r="B29" s="11"/>
    </row>
    <row r="30" spans="1:5" ht="18" thickBot="1" x14ac:dyDescent="0.35">
      <c r="A30" s="29"/>
      <c r="B30" s="29"/>
    </row>
  </sheetData>
  <sheetProtection algorithmName="SHA-512" hashValue="S+nG0jInMX0rmw4sX29UHdfhhBlPtHOjIXDry7gt1KskjgrLw92UZmU0kExvKz1BaXrqybcOcR0zXLg0Jq4wlQ==" saltValue="bSCCTi9d7t7VDYfKL0dLZA==" spinCount="100000" sheet="1" objects="1" scenarios="1"/>
  <sortState xmlns:xlrd2="http://schemas.microsoft.com/office/spreadsheetml/2017/richdata2" ref="I4:I9">
    <sortCondition ref="I3"/>
  </sortState>
  <customSheetViews>
    <customSheetView guid="{2AFB78BD-0AA0-48F7-9FB9-7ECB21AAFE3F}" showGridLines="0" showRowCol="0">
      <pane ySplit="1" topLeftCell="A2" activePane="bottomLeft" state="frozen"/>
      <selection pane="bottomLeft" activeCell="A7" sqref="A7"/>
      <pageMargins left="0.7" right="0.7" top="0.75" bottom="0.75" header="0.3" footer="0.3"/>
    </customSheetView>
  </customSheetViews>
  <dataValidations disablePrompts="1" count="3">
    <dataValidation allowBlank="1" showInputMessage="1" showErrorMessage="1" promptTitle="NOMBRES DE DIETA" prompt="EN ESTA COLUMNA REGISTRE LOS NOMBRES DE ALIMENTOS (TIPOS DE DIETA) QUE SE UTILIZAN  EN SU EMPRESA (LOS MISMOS NOMBRES QUE SE REGISTRAN CONTABLEMENTE)" sqref="B1" xr:uid="{00000000-0002-0000-1200-000000000000}"/>
    <dataValidation allowBlank="1" showInputMessage="1" showErrorMessage="1" prompt="DE FORMA PREDETERMINADA SE GRABARON DIFERENTES TIPOS DE GALPONES.   DIGITE EN ESTA COLUMNA LOS TIPOS DE GALPONES QUE HAY EN LA ACTUALIDAD EN SU EMPRESA." sqref="A1" xr:uid="{00000000-0002-0000-1200-000001000000}"/>
    <dataValidation allowBlank="1" showInputMessage="1" showErrorMessage="1" promptTitle="Especial!" prompt="Para Configurar esta Columna con los Items para el análisis de COSTOS de producción del huevo, Consulte con su Asesor de SanMarino" sqref="C1" xr:uid="{93602FD6-0A99-4020-8231-DECC546153CB}"/>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56961-FEB0-4FB2-8B78-02568293F1E9}">
  <sheetPr codeName="Hoja12">
    <pageSetUpPr fitToPage="1"/>
  </sheetPr>
  <dimension ref="A1:AI50"/>
  <sheetViews>
    <sheetView showGridLines="0" showRowColHeaders="0" showZeros="0" zoomScaleNormal="100" workbookViewId="0">
      <pane xSplit="3" ySplit="4" topLeftCell="D5" activePane="bottomRight" state="frozen"/>
      <selection sqref="A1:J3"/>
      <selection pane="topRight" sqref="A1:J3"/>
      <selection pane="bottomLeft" sqref="A1:J3"/>
      <selection pane="bottomRight" activeCell="J3" sqref="J3"/>
    </sheetView>
  </sheetViews>
  <sheetFormatPr baseColWidth="10" defaultColWidth="0" defaultRowHeight="18.75" customHeight="1" zeroHeight="1" x14ac:dyDescent="0.15"/>
  <cols>
    <col min="1" max="1" width="5.625" style="1507" customWidth="1"/>
    <col min="2" max="2" width="5.5" style="1507" customWidth="1"/>
    <col min="3" max="3" width="13" style="1507" customWidth="1"/>
    <col min="4" max="4" width="11.625" style="1507" customWidth="1"/>
    <col min="5" max="6" width="11.75" style="1507" customWidth="1"/>
    <col min="7" max="7" width="13.125" style="1507" customWidth="1"/>
    <col min="8" max="8" width="16.375" style="1507" customWidth="1"/>
    <col min="9" max="9" width="14.125" style="1507" customWidth="1"/>
    <col min="10" max="10" width="13.875" style="1507" bestFit="1" customWidth="1"/>
    <col min="11" max="11" width="16.375" style="1507" customWidth="1"/>
    <col min="12" max="12" width="13.875" style="1507" bestFit="1" customWidth="1"/>
    <col min="13" max="13" width="15.25" style="1507" customWidth="1"/>
    <col min="14" max="14" width="30.625" style="1507" customWidth="1"/>
    <col min="15" max="15" width="8.25" style="1507" customWidth="1"/>
    <col min="16" max="16" width="26.25" style="1507" hidden="1" customWidth="1"/>
    <col min="17" max="18" width="0" style="1507" hidden="1" customWidth="1"/>
    <col min="19" max="19" width="24" style="1507" hidden="1" customWidth="1"/>
    <col min="20" max="20" width="0" style="1507" hidden="1" customWidth="1"/>
    <col min="21" max="21" width="22.25" style="1507" hidden="1" customWidth="1"/>
    <col min="22" max="22" width="36" style="1507" hidden="1" customWidth="1"/>
    <col min="23" max="35" width="9.625" style="1507" hidden="1" customWidth="1"/>
    <col min="36" max="16384" width="0" style="1507" hidden="1"/>
  </cols>
  <sheetData>
    <row r="1" spans="1:15" ht="21.75" customHeight="1" x14ac:dyDescent="0.15">
      <c r="A1" s="1691"/>
      <c r="B1" s="1691"/>
      <c r="C1" s="1691"/>
      <c r="D1" s="1693" t="s">
        <v>506</v>
      </c>
      <c r="E1" s="1693"/>
      <c r="F1" s="1693"/>
      <c r="G1" s="1696" t="str">
        <f>CONCATENATE(Iniciar!B3,Linea,"    ",Iniciar!B4,LOTE)</f>
        <v xml:space="preserve">Estirpe / Línea :     Lote # : </v>
      </c>
      <c r="H1" s="1697"/>
      <c r="I1" s="1697"/>
      <c r="J1" s="1697"/>
      <c r="K1" s="1698" t="str">
        <f>Iniciar!B20</f>
        <v xml:space="preserve">Manejo de la Luz : </v>
      </c>
      <c r="L1" s="1699"/>
      <c r="M1" s="1700">
        <f>Iniciar!C20</f>
        <v>0</v>
      </c>
      <c r="N1" s="1701"/>
    </row>
    <row r="2" spans="1:15" ht="25.5" customHeight="1" x14ac:dyDescent="0.15">
      <c r="A2" s="1691"/>
      <c r="B2" s="1691"/>
      <c r="C2" s="1691"/>
      <c r="D2" s="1694"/>
      <c r="E2" s="1694"/>
      <c r="F2" s="1694"/>
      <c r="G2" s="1702" t="str">
        <f>CONCATENATE(Iniciar!B14,GRANJALEV)</f>
        <v xml:space="preserve">Nombre de la Granja : </v>
      </c>
      <c r="H2" s="1697"/>
      <c r="I2" s="1697"/>
      <c r="J2" s="1697"/>
      <c r="K2" s="1707" t="str">
        <f>CONCATENATE(Iniciar!B7,Iniciar!C7)</f>
        <v xml:space="preserve">Asesor Técnico : </v>
      </c>
      <c r="L2" s="1707"/>
      <c r="M2" s="1707"/>
      <c r="N2" s="1707"/>
    </row>
    <row r="3" spans="1:15" ht="19.5" thickBot="1" x14ac:dyDescent="0.2">
      <c r="A3" s="1692"/>
      <c r="B3" s="1692"/>
      <c r="C3" s="1692"/>
      <c r="D3" s="1695"/>
      <c r="E3" s="1695"/>
      <c r="F3" s="1695"/>
      <c r="G3" s="1623" t="s">
        <v>507</v>
      </c>
      <c r="H3" s="1624">
        <f>Iniciar!$C$18</f>
        <v>0</v>
      </c>
      <c r="I3" s="1625" t="s">
        <v>538</v>
      </c>
      <c r="J3" s="1626"/>
      <c r="K3" s="1703" t="s">
        <v>537</v>
      </c>
      <c r="L3" s="1704"/>
      <c r="M3" s="1705">
        <f>Iniciar!C15</f>
        <v>0</v>
      </c>
      <c r="N3" s="1706"/>
    </row>
    <row r="4" spans="1:15" ht="45" customHeight="1" thickBot="1" x14ac:dyDescent="0.2">
      <c r="A4" s="1627" t="s">
        <v>161</v>
      </c>
      <c r="B4" s="1628" t="s">
        <v>0</v>
      </c>
      <c r="C4" s="1629" t="s">
        <v>267</v>
      </c>
      <c r="D4" s="1630" t="s">
        <v>172</v>
      </c>
      <c r="E4" s="1631" t="s">
        <v>508</v>
      </c>
      <c r="F4" s="1631" t="s">
        <v>509</v>
      </c>
      <c r="G4" s="1632" t="s">
        <v>544</v>
      </c>
      <c r="H4" s="1632" t="s">
        <v>545</v>
      </c>
      <c r="I4" s="1630" t="s">
        <v>546</v>
      </c>
      <c r="J4" s="1630" t="s">
        <v>510</v>
      </c>
      <c r="K4" s="1633" t="s">
        <v>511</v>
      </c>
      <c r="L4" s="1633" t="s">
        <v>512</v>
      </c>
      <c r="M4" s="1633" t="s">
        <v>513</v>
      </c>
      <c r="N4" s="1634" t="s">
        <v>167</v>
      </c>
    </row>
    <row r="5" spans="1:15" ht="21.95" customHeight="1" thickTop="1" x14ac:dyDescent="0.15">
      <c r="A5" s="1635"/>
      <c r="B5" s="1638">
        <f t="shared" ref="B5:B40" si="0">ROUNDUP(A5/7,0)</f>
        <v>0</v>
      </c>
      <c r="C5" s="1639" t="str">
        <f t="shared" ref="C5:C40" si="1">IF(AND(A5&gt;0,Fnac&gt;0),Fnac+A5-1,"")</f>
        <v/>
      </c>
      <c r="D5" s="1640">
        <f>SUMIF(Levante!$C$6:$C$131,$C5,Levante!$H$6:$H$131)</f>
        <v>0</v>
      </c>
      <c r="E5" s="1641"/>
      <c r="F5" s="1641"/>
      <c r="G5" s="1641"/>
      <c r="H5" s="1642">
        <f t="shared" ref="H5:H40" si="2">IFERROR(D5/G5,0)</f>
        <v>0</v>
      </c>
      <c r="I5" s="1642">
        <f t="shared" ref="I5:I40" si="3">IFERROR(H5/$J$3,0)</f>
        <v>0</v>
      </c>
      <c r="J5" s="1641"/>
      <c r="K5" s="1642">
        <f t="shared" ref="K5:M40" si="4">IFERROR($D5/J5,0)</f>
        <v>0</v>
      </c>
      <c r="L5" s="1641"/>
      <c r="M5" s="1642">
        <f>IFERROR($D5/L5,0)</f>
        <v>0</v>
      </c>
      <c r="N5" s="1643"/>
      <c r="O5" s="1508">
        <f>IF(A5=0,0,1)</f>
        <v>0</v>
      </c>
    </row>
    <row r="6" spans="1:15" ht="21.95" customHeight="1" x14ac:dyDescent="0.15">
      <c r="A6" s="1636"/>
      <c r="B6" s="1644">
        <f t="shared" si="0"/>
        <v>0</v>
      </c>
      <c r="C6" s="1645" t="str">
        <f t="shared" si="1"/>
        <v/>
      </c>
      <c r="D6" s="1646">
        <f>SUMIF(Levante!$C$6:$C$131,$C6,Levante!$H$6:$H$131)</f>
        <v>0</v>
      </c>
      <c r="E6" s="1647"/>
      <c r="F6" s="1647"/>
      <c r="G6" s="1647"/>
      <c r="H6" s="1648">
        <f t="shared" si="2"/>
        <v>0</v>
      </c>
      <c r="I6" s="1648">
        <f t="shared" si="3"/>
        <v>0</v>
      </c>
      <c r="J6" s="1647"/>
      <c r="K6" s="1648">
        <f t="shared" si="4"/>
        <v>0</v>
      </c>
      <c r="L6" s="1647"/>
      <c r="M6" s="1648">
        <f t="shared" si="4"/>
        <v>0</v>
      </c>
      <c r="N6" s="1649"/>
      <c r="O6" s="1508">
        <f t="shared" ref="O6:O40" si="5">IF(A6=0,0,1)</f>
        <v>0</v>
      </c>
    </row>
    <row r="7" spans="1:15" ht="21.95" customHeight="1" x14ac:dyDescent="0.15">
      <c r="A7" s="1636"/>
      <c r="B7" s="1644">
        <f t="shared" si="0"/>
        <v>0</v>
      </c>
      <c r="C7" s="1645" t="str">
        <f t="shared" si="1"/>
        <v/>
      </c>
      <c r="D7" s="1646">
        <f>SUMIF(Levante!$C$6:$C$131,$C7,Levante!$H$6:$H$131)</f>
        <v>0</v>
      </c>
      <c r="E7" s="1647"/>
      <c r="F7" s="1647"/>
      <c r="G7" s="1647"/>
      <c r="H7" s="1648">
        <f t="shared" si="2"/>
        <v>0</v>
      </c>
      <c r="I7" s="1648">
        <f t="shared" si="3"/>
        <v>0</v>
      </c>
      <c r="J7" s="1647"/>
      <c r="K7" s="1648">
        <f t="shared" si="4"/>
        <v>0</v>
      </c>
      <c r="L7" s="1647"/>
      <c r="M7" s="1648">
        <f t="shared" si="4"/>
        <v>0</v>
      </c>
      <c r="N7" s="1649"/>
      <c r="O7" s="1508">
        <f t="shared" si="5"/>
        <v>0</v>
      </c>
    </row>
    <row r="8" spans="1:15" ht="21.95" customHeight="1" x14ac:dyDescent="0.15">
      <c r="A8" s="1636"/>
      <c r="B8" s="1644">
        <f t="shared" si="0"/>
        <v>0</v>
      </c>
      <c r="C8" s="1645" t="str">
        <f t="shared" si="1"/>
        <v/>
      </c>
      <c r="D8" s="1646">
        <f>SUMIF(Levante!$C$6:$C$131,$C8,Levante!$H$6:$H$131)</f>
        <v>0</v>
      </c>
      <c r="E8" s="1647"/>
      <c r="F8" s="1647"/>
      <c r="G8" s="1647"/>
      <c r="H8" s="1648">
        <f t="shared" si="2"/>
        <v>0</v>
      </c>
      <c r="I8" s="1648">
        <f t="shared" si="3"/>
        <v>0</v>
      </c>
      <c r="J8" s="1647"/>
      <c r="K8" s="1648">
        <f t="shared" si="4"/>
        <v>0</v>
      </c>
      <c r="L8" s="1647"/>
      <c r="M8" s="1648">
        <f t="shared" si="4"/>
        <v>0</v>
      </c>
      <c r="N8" s="1649"/>
      <c r="O8" s="1508">
        <f t="shared" si="5"/>
        <v>0</v>
      </c>
    </row>
    <row r="9" spans="1:15" ht="21.95" customHeight="1" x14ac:dyDescent="0.15">
      <c r="A9" s="1636"/>
      <c r="B9" s="1644">
        <f t="shared" si="0"/>
        <v>0</v>
      </c>
      <c r="C9" s="1645" t="str">
        <f t="shared" si="1"/>
        <v/>
      </c>
      <c r="D9" s="1646">
        <f>SUMIF(Levante!$C$6:$C$131,$C9,Levante!$H$6:$H$131)</f>
        <v>0</v>
      </c>
      <c r="E9" s="1647"/>
      <c r="F9" s="1647"/>
      <c r="G9" s="1647"/>
      <c r="H9" s="1648">
        <f t="shared" si="2"/>
        <v>0</v>
      </c>
      <c r="I9" s="1648">
        <f t="shared" si="3"/>
        <v>0</v>
      </c>
      <c r="J9" s="1647"/>
      <c r="K9" s="1648">
        <f t="shared" si="4"/>
        <v>0</v>
      </c>
      <c r="L9" s="1647"/>
      <c r="M9" s="1648">
        <f t="shared" si="4"/>
        <v>0</v>
      </c>
      <c r="N9" s="1649"/>
      <c r="O9" s="1508">
        <f t="shared" si="5"/>
        <v>0</v>
      </c>
    </row>
    <row r="10" spans="1:15" ht="21.95" customHeight="1" x14ac:dyDescent="0.15">
      <c r="A10" s="1636"/>
      <c r="B10" s="1644">
        <f t="shared" si="0"/>
        <v>0</v>
      </c>
      <c r="C10" s="1645" t="str">
        <f t="shared" si="1"/>
        <v/>
      </c>
      <c r="D10" s="1646">
        <f>SUMIF(Levante!$C$6:$C$131,$C10,Levante!$H$6:$H$131)</f>
        <v>0</v>
      </c>
      <c r="E10" s="1647"/>
      <c r="F10" s="1647"/>
      <c r="G10" s="1647"/>
      <c r="H10" s="1648">
        <f t="shared" si="2"/>
        <v>0</v>
      </c>
      <c r="I10" s="1648">
        <f t="shared" si="3"/>
        <v>0</v>
      </c>
      <c r="J10" s="1647"/>
      <c r="K10" s="1648">
        <f t="shared" si="4"/>
        <v>0</v>
      </c>
      <c r="L10" s="1647"/>
      <c r="M10" s="1648">
        <f t="shared" si="4"/>
        <v>0</v>
      </c>
      <c r="N10" s="1649"/>
      <c r="O10" s="1508">
        <f t="shared" si="5"/>
        <v>0</v>
      </c>
    </row>
    <row r="11" spans="1:15" ht="21.95" customHeight="1" x14ac:dyDescent="0.15">
      <c r="A11" s="1636"/>
      <c r="B11" s="1644">
        <f t="shared" si="0"/>
        <v>0</v>
      </c>
      <c r="C11" s="1645" t="str">
        <f t="shared" si="1"/>
        <v/>
      </c>
      <c r="D11" s="1646">
        <f>SUMIF(Levante!$C$6:$C$131,$C11,Levante!$H$6:$H$131)</f>
        <v>0</v>
      </c>
      <c r="E11" s="1647"/>
      <c r="F11" s="1647"/>
      <c r="G11" s="1647"/>
      <c r="H11" s="1648">
        <f t="shared" si="2"/>
        <v>0</v>
      </c>
      <c r="I11" s="1648">
        <f t="shared" si="3"/>
        <v>0</v>
      </c>
      <c r="J11" s="1647"/>
      <c r="K11" s="1648">
        <f t="shared" si="4"/>
        <v>0</v>
      </c>
      <c r="L11" s="1647"/>
      <c r="M11" s="1648">
        <f t="shared" si="4"/>
        <v>0</v>
      </c>
      <c r="N11" s="1649"/>
      <c r="O11" s="1508">
        <f t="shared" si="5"/>
        <v>0</v>
      </c>
    </row>
    <row r="12" spans="1:15" ht="21.95" customHeight="1" x14ac:dyDescent="0.15">
      <c r="A12" s="1636"/>
      <c r="B12" s="1644">
        <f t="shared" si="0"/>
        <v>0</v>
      </c>
      <c r="C12" s="1645" t="str">
        <f t="shared" si="1"/>
        <v/>
      </c>
      <c r="D12" s="1646">
        <f>SUMIF(Levante!$C$6:$C$131,$C12,Levante!$H$6:$H$131)</f>
        <v>0</v>
      </c>
      <c r="E12" s="1647"/>
      <c r="F12" s="1647"/>
      <c r="G12" s="1647"/>
      <c r="H12" s="1648">
        <f t="shared" si="2"/>
        <v>0</v>
      </c>
      <c r="I12" s="1648">
        <f t="shared" si="3"/>
        <v>0</v>
      </c>
      <c r="J12" s="1647"/>
      <c r="K12" s="1648">
        <f t="shared" si="4"/>
        <v>0</v>
      </c>
      <c r="L12" s="1647"/>
      <c r="M12" s="1648">
        <f t="shared" si="4"/>
        <v>0</v>
      </c>
      <c r="N12" s="1649"/>
      <c r="O12" s="1508">
        <f t="shared" si="5"/>
        <v>0</v>
      </c>
    </row>
    <row r="13" spans="1:15" ht="21.95" customHeight="1" x14ac:dyDescent="0.15">
      <c r="A13" s="1636"/>
      <c r="B13" s="1644">
        <f t="shared" si="0"/>
        <v>0</v>
      </c>
      <c r="C13" s="1645" t="str">
        <f t="shared" si="1"/>
        <v/>
      </c>
      <c r="D13" s="1646">
        <f>SUMIF(Levante!$C$6:$C$131,$C13,Levante!$H$6:$H$131)</f>
        <v>0</v>
      </c>
      <c r="E13" s="1647"/>
      <c r="F13" s="1647"/>
      <c r="G13" s="1647"/>
      <c r="H13" s="1648">
        <f t="shared" si="2"/>
        <v>0</v>
      </c>
      <c r="I13" s="1648">
        <f t="shared" si="3"/>
        <v>0</v>
      </c>
      <c r="J13" s="1647"/>
      <c r="K13" s="1648">
        <f t="shared" si="4"/>
        <v>0</v>
      </c>
      <c r="L13" s="1647"/>
      <c r="M13" s="1648">
        <f t="shared" si="4"/>
        <v>0</v>
      </c>
      <c r="N13" s="1649"/>
      <c r="O13" s="1508">
        <f t="shared" si="5"/>
        <v>0</v>
      </c>
    </row>
    <row r="14" spans="1:15" ht="21.95" customHeight="1" x14ac:dyDescent="0.15">
      <c r="A14" s="1636"/>
      <c r="B14" s="1644">
        <f t="shared" si="0"/>
        <v>0</v>
      </c>
      <c r="C14" s="1645" t="str">
        <f t="shared" si="1"/>
        <v/>
      </c>
      <c r="D14" s="1646">
        <f>SUMIF(Levante!$C$6:$C$131,$C14,Levante!$H$6:$H$131)</f>
        <v>0</v>
      </c>
      <c r="E14" s="1647"/>
      <c r="F14" s="1647"/>
      <c r="G14" s="1647"/>
      <c r="H14" s="1648">
        <f t="shared" si="2"/>
        <v>0</v>
      </c>
      <c r="I14" s="1648">
        <f t="shared" si="3"/>
        <v>0</v>
      </c>
      <c r="J14" s="1647"/>
      <c r="K14" s="1648">
        <f t="shared" si="4"/>
        <v>0</v>
      </c>
      <c r="L14" s="1647"/>
      <c r="M14" s="1648">
        <f t="shared" si="4"/>
        <v>0</v>
      </c>
      <c r="N14" s="1649"/>
      <c r="O14" s="1508">
        <f t="shared" si="5"/>
        <v>0</v>
      </c>
    </row>
    <row r="15" spans="1:15" ht="21.95" customHeight="1" x14ac:dyDescent="0.15">
      <c r="A15" s="1636"/>
      <c r="B15" s="1644">
        <f t="shared" si="0"/>
        <v>0</v>
      </c>
      <c r="C15" s="1645" t="str">
        <f t="shared" si="1"/>
        <v/>
      </c>
      <c r="D15" s="1646">
        <f>SUMIF(Levante!$C$6:$C$131,$C15,Levante!$H$6:$H$131)</f>
        <v>0</v>
      </c>
      <c r="E15" s="1647"/>
      <c r="F15" s="1647"/>
      <c r="G15" s="1647"/>
      <c r="H15" s="1648">
        <f t="shared" si="2"/>
        <v>0</v>
      </c>
      <c r="I15" s="1648">
        <f t="shared" si="3"/>
        <v>0</v>
      </c>
      <c r="J15" s="1647"/>
      <c r="K15" s="1648">
        <f t="shared" si="4"/>
        <v>0</v>
      </c>
      <c r="L15" s="1647"/>
      <c r="M15" s="1648">
        <f t="shared" si="4"/>
        <v>0</v>
      </c>
      <c r="N15" s="1649"/>
      <c r="O15" s="1508">
        <f t="shared" si="5"/>
        <v>0</v>
      </c>
    </row>
    <row r="16" spans="1:15" ht="21.95" customHeight="1" x14ac:dyDescent="0.15">
      <c r="A16" s="1636"/>
      <c r="B16" s="1644">
        <f t="shared" si="0"/>
        <v>0</v>
      </c>
      <c r="C16" s="1645" t="str">
        <f t="shared" si="1"/>
        <v/>
      </c>
      <c r="D16" s="1646">
        <f>SUMIF(Levante!$C$6:$C$131,$C16,Levante!$H$6:$H$131)</f>
        <v>0</v>
      </c>
      <c r="E16" s="1647"/>
      <c r="F16" s="1647"/>
      <c r="G16" s="1647"/>
      <c r="H16" s="1648">
        <f t="shared" si="2"/>
        <v>0</v>
      </c>
      <c r="I16" s="1648">
        <f t="shared" si="3"/>
        <v>0</v>
      </c>
      <c r="J16" s="1647"/>
      <c r="K16" s="1648">
        <f t="shared" si="4"/>
        <v>0</v>
      </c>
      <c r="L16" s="1647"/>
      <c r="M16" s="1648">
        <f t="shared" si="4"/>
        <v>0</v>
      </c>
      <c r="N16" s="1649"/>
      <c r="O16" s="1508">
        <f t="shared" si="5"/>
        <v>0</v>
      </c>
    </row>
    <row r="17" spans="1:15" ht="21.95" customHeight="1" x14ac:dyDescent="0.15">
      <c r="A17" s="1636"/>
      <c r="B17" s="1644">
        <f t="shared" si="0"/>
        <v>0</v>
      </c>
      <c r="C17" s="1645" t="str">
        <f t="shared" si="1"/>
        <v/>
      </c>
      <c r="D17" s="1646">
        <f>SUMIF(Levante!$C$6:$C$131,$C17,Levante!$H$6:$H$131)</f>
        <v>0</v>
      </c>
      <c r="E17" s="1647"/>
      <c r="F17" s="1647"/>
      <c r="G17" s="1647"/>
      <c r="H17" s="1648">
        <f t="shared" si="2"/>
        <v>0</v>
      </c>
      <c r="I17" s="1648">
        <f t="shared" si="3"/>
        <v>0</v>
      </c>
      <c r="J17" s="1647"/>
      <c r="K17" s="1648">
        <f t="shared" si="4"/>
        <v>0</v>
      </c>
      <c r="L17" s="1647"/>
      <c r="M17" s="1648">
        <f t="shared" si="4"/>
        <v>0</v>
      </c>
      <c r="N17" s="1649"/>
      <c r="O17" s="1508">
        <f t="shared" si="5"/>
        <v>0</v>
      </c>
    </row>
    <row r="18" spans="1:15" ht="21.95" customHeight="1" x14ac:dyDescent="0.15">
      <c r="A18" s="1636"/>
      <c r="B18" s="1644">
        <f t="shared" si="0"/>
        <v>0</v>
      </c>
      <c r="C18" s="1645" t="str">
        <f t="shared" si="1"/>
        <v/>
      </c>
      <c r="D18" s="1646">
        <f>SUMIF(Levante!$C$6:$C$131,$C18,Levante!$H$6:$H$131)</f>
        <v>0</v>
      </c>
      <c r="E18" s="1647"/>
      <c r="F18" s="1647"/>
      <c r="G18" s="1647"/>
      <c r="H18" s="1648">
        <f t="shared" si="2"/>
        <v>0</v>
      </c>
      <c r="I18" s="1648">
        <f t="shared" si="3"/>
        <v>0</v>
      </c>
      <c r="J18" s="1647"/>
      <c r="K18" s="1648">
        <f t="shared" si="4"/>
        <v>0</v>
      </c>
      <c r="L18" s="1647"/>
      <c r="M18" s="1648">
        <f t="shared" si="4"/>
        <v>0</v>
      </c>
      <c r="N18" s="1649"/>
      <c r="O18" s="1508">
        <f t="shared" si="5"/>
        <v>0</v>
      </c>
    </row>
    <row r="19" spans="1:15" ht="21.95" customHeight="1" x14ac:dyDescent="0.15">
      <c r="A19" s="1636"/>
      <c r="B19" s="1644">
        <f t="shared" si="0"/>
        <v>0</v>
      </c>
      <c r="C19" s="1645" t="str">
        <f t="shared" si="1"/>
        <v/>
      </c>
      <c r="D19" s="1646">
        <f>SUMIF(Levante!$C$6:$C$131,$C19,Levante!$H$6:$H$131)</f>
        <v>0</v>
      </c>
      <c r="E19" s="1647"/>
      <c r="F19" s="1647"/>
      <c r="G19" s="1647"/>
      <c r="H19" s="1648">
        <f t="shared" si="2"/>
        <v>0</v>
      </c>
      <c r="I19" s="1648">
        <f t="shared" si="3"/>
        <v>0</v>
      </c>
      <c r="J19" s="1647"/>
      <c r="K19" s="1648">
        <f t="shared" si="4"/>
        <v>0</v>
      </c>
      <c r="L19" s="1647"/>
      <c r="M19" s="1648">
        <f t="shared" si="4"/>
        <v>0</v>
      </c>
      <c r="N19" s="1649"/>
      <c r="O19" s="1508">
        <f t="shared" si="5"/>
        <v>0</v>
      </c>
    </row>
    <row r="20" spans="1:15" ht="21.95" customHeight="1" x14ac:dyDescent="0.15">
      <c r="A20" s="1636"/>
      <c r="B20" s="1644">
        <f t="shared" si="0"/>
        <v>0</v>
      </c>
      <c r="C20" s="1645" t="str">
        <f t="shared" si="1"/>
        <v/>
      </c>
      <c r="D20" s="1646">
        <f>SUMIF(Levante!$C$6:$C$131,$C20,Levante!$H$6:$H$131)</f>
        <v>0</v>
      </c>
      <c r="E20" s="1647"/>
      <c r="F20" s="1647"/>
      <c r="G20" s="1647"/>
      <c r="H20" s="1648">
        <f t="shared" si="2"/>
        <v>0</v>
      </c>
      <c r="I20" s="1648">
        <f t="shared" si="3"/>
        <v>0</v>
      </c>
      <c r="J20" s="1647"/>
      <c r="K20" s="1648">
        <f t="shared" si="4"/>
        <v>0</v>
      </c>
      <c r="L20" s="1647"/>
      <c r="M20" s="1648">
        <f t="shared" si="4"/>
        <v>0</v>
      </c>
      <c r="N20" s="1649"/>
      <c r="O20" s="1508">
        <f t="shared" si="5"/>
        <v>0</v>
      </c>
    </row>
    <row r="21" spans="1:15" ht="21.95" customHeight="1" x14ac:dyDescent="0.15">
      <c r="A21" s="1636"/>
      <c r="B21" s="1644">
        <f t="shared" si="0"/>
        <v>0</v>
      </c>
      <c r="C21" s="1645" t="str">
        <f t="shared" si="1"/>
        <v/>
      </c>
      <c r="D21" s="1646">
        <f>SUMIF(Levante!$C$6:$C$131,$C21,Levante!$H$6:$H$131)</f>
        <v>0</v>
      </c>
      <c r="E21" s="1647"/>
      <c r="F21" s="1647"/>
      <c r="G21" s="1647"/>
      <c r="H21" s="1648">
        <f t="shared" si="2"/>
        <v>0</v>
      </c>
      <c r="I21" s="1648">
        <f t="shared" si="3"/>
        <v>0</v>
      </c>
      <c r="J21" s="1647"/>
      <c r="K21" s="1648">
        <f t="shared" si="4"/>
        <v>0</v>
      </c>
      <c r="L21" s="1647"/>
      <c r="M21" s="1648">
        <f t="shared" si="4"/>
        <v>0</v>
      </c>
      <c r="N21" s="1649"/>
      <c r="O21" s="1508">
        <f t="shared" si="5"/>
        <v>0</v>
      </c>
    </row>
    <row r="22" spans="1:15" ht="21.95" customHeight="1" x14ac:dyDescent="0.15">
      <c r="A22" s="1636"/>
      <c r="B22" s="1644">
        <f t="shared" si="0"/>
        <v>0</v>
      </c>
      <c r="C22" s="1645" t="str">
        <f t="shared" si="1"/>
        <v/>
      </c>
      <c r="D22" s="1646">
        <f>SUMIF(Levante!$C$6:$C$131,$C22,Levante!$H$6:$H$131)</f>
        <v>0</v>
      </c>
      <c r="E22" s="1647"/>
      <c r="F22" s="1647"/>
      <c r="G22" s="1647"/>
      <c r="H22" s="1648">
        <f t="shared" si="2"/>
        <v>0</v>
      </c>
      <c r="I22" s="1648">
        <f t="shared" si="3"/>
        <v>0</v>
      </c>
      <c r="J22" s="1647"/>
      <c r="K22" s="1648">
        <f t="shared" si="4"/>
        <v>0</v>
      </c>
      <c r="L22" s="1647"/>
      <c r="M22" s="1648">
        <f t="shared" si="4"/>
        <v>0</v>
      </c>
      <c r="N22" s="1649"/>
      <c r="O22" s="1508">
        <f t="shared" si="5"/>
        <v>0</v>
      </c>
    </row>
    <row r="23" spans="1:15" ht="21.95" customHeight="1" x14ac:dyDescent="0.15">
      <c r="A23" s="1636"/>
      <c r="B23" s="1644">
        <f t="shared" si="0"/>
        <v>0</v>
      </c>
      <c r="C23" s="1645" t="str">
        <f t="shared" si="1"/>
        <v/>
      </c>
      <c r="D23" s="1646">
        <f>SUMIF(Levante!$C$6:$C$131,$C23,Levante!$H$6:$H$131)</f>
        <v>0</v>
      </c>
      <c r="E23" s="1647"/>
      <c r="F23" s="1647"/>
      <c r="G23" s="1647"/>
      <c r="H23" s="1648">
        <f t="shared" si="2"/>
        <v>0</v>
      </c>
      <c r="I23" s="1648">
        <f t="shared" si="3"/>
        <v>0</v>
      </c>
      <c r="J23" s="1647"/>
      <c r="K23" s="1648">
        <f t="shared" si="4"/>
        <v>0</v>
      </c>
      <c r="L23" s="1647"/>
      <c r="M23" s="1648">
        <f t="shared" si="4"/>
        <v>0</v>
      </c>
      <c r="N23" s="1649"/>
      <c r="O23" s="1508">
        <f t="shared" si="5"/>
        <v>0</v>
      </c>
    </row>
    <row r="24" spans="1:15" ht="21.95" customHeight="1" x14ac:dyDescent="0.15">
      <c r="A24" s="1636"/>
      <c r="B24" s="1644">
        <f t="shared" si="0"/>
        <v>0</v>
      </c>
      <c r="C24" s="1645" t="str">
        <f t="shared" si="1"/>
        <v/>
      </c>
      <c r="D24" s="1646">
        <f>SUMIF(Levante!$C$6:$C$131,$C24,Levante!$H$6:$H$131)</f>
        <v>0</v>
      </c>
      <c r="E24" s="1647"/>
      <c r="F24" s="1647"/>
      <c r="G24" s="1647"/>
      <c r="H24" s="1648">
        <f t="shared" si="2"/>
        <v>0</v>
      </c>
      <c r="I24" s="1648">
        <f t="shared" si="3"/>
        <v>0</v>
      </c>
      <c r="J24" s="1647"/>
      <c r="K24" s="1648">
        <f t="shared" si="4"/>
        <v>0</v>
      </c>
      <c r="L24" s="1647"/>
      <c r="M24" s="1648">
        <f t="shared" si="4"/>
        <v>0</v>
      </c>
      <c r="N24" s="1649"/>
      <c r="O24" s="1508">
        <f t="shared" si="5"/>
        <v>0</v>
      </c>
    </row>
    <row r="25" spans="1:15" ht="21.95" customHeight="1" x14ac:dyDescent="0.15">
      <c r="A25" s="1636"/>
      <c r="B25" s="1644">
        <f t="shared" si="0"/>
        <v>0</v>
      </c>
      <c r="C25" s="1645" t="str">
        <f t="shared" si="1"/>
        <v/>
      </c>
      <c r="D25" s="1646">
        <f>SUMIF(Levante!$C$6:$C$131,$C25,Levante!$H$6:$H$131)</f>
        <v>0</v>
      </c>
      <c r="E25" s="1647"/>
      <c r="F25" s="1647"/>
      <c r="G25" s="1647"/>
      <c r="H25" s="1648">
        <f t="shared" si="2"/>
        <v>0</v>
      </c>
      <c r="I25" s="1648">
        <f t="shared" si="3"/>
        <v>0</v>
      </c>
      <c r="J25" s="1647"/>
      <c r="K25" s="1648">
        <f t="shared" si="4"/>
        <v>0</v>
      </c>
      <c r="L25" s="1647"/>
      <c r="M25" s="1648">
        <f t="shared" si="4"/>
        <v>0</v>
      </c>
      <c r="N25" s="1649"/>
      <c r="O25" s="1508">
        <f t="shared" si="5"/>
        <v>0</v>
      </c>
    </row>
    <row r="26" spans="1:15" ht="21.95" customHeight="1" x14ac:dyDescent="0.15">
      <c r="A26" s="1636"/>
      <c r="B26" s="1644">
        <f t="shared" si="0"/>
        <v>0</v>
      </c>
      <c r="C26" s="1645" t="str">
        <f t="shared" si="1"/>
        <v/>
      </c>
      <c r="D26" s="1646">
        <f>SUMIF(Levante!$C$6:$C$131,$C26,Levante!$H$6:$H$131)</f>
        <v>0</v>
      </c>
      <c r="E26" s="1647"/>
      <c r="F26" s="1647"/>
      <c r="G26" s="1647"/>
      <c r="H26" s="1648">
        <f t="shared" si="2"/>
        <v>0</v>
      </c>
      <c r="I26" s="1648">
        <f t="shared" si="3"/>
        <v>0</v>
      </c>
      <c r="J26" s="1647"/>
      <c r="K26" s="1648">
        <f t="shared" si="4"/>
        <v>0</v>
      </c>
      <c r="L26" s="1647"/>
      <c r="M26" s="1648">
        <f t="shared" si="4"/>
        <v>0</v>
      </c>
      <c r="N26" s="1649"/>
      <c r="O26" s="1508">
        <f t="shared" si="5"/>
        <v>0</v>
      </c>
    </row>
    <row r="27" spans="1:15" ht="21.95" customHeight="1" x14ac:dyDescent="0.15">
      <c r="A27" s="1636"/>
      <c r="B27" s="1644">
        <f t="shared" si="0"/>
        <v>0</v>
      </c>
      <c r="C27" s="1645" t="str">
        <f t="shared" si="1"/>
        <v/>
      </c>
      <c r="D27" s="1646">
        <f>SUMIF(Levante!$C$6:$C$131,$C27,Levante!$H$6:$H$131)</f>
        <v>0</v>
      </c>
      <c r="E27" s="1647"/>
      <c r="F27" s="1647"/>
      <c r="G27" s="1647"/>
      <c r="H27" s="1648">
        <f t="shared" si="2"/>
        <v>0</v>
      </c>
      <c r="I27" s="1648">
        <f t="shared" si="3"/>
        <v>0</v>
      </c>
      <c r="J27" s="1647"/>
      <c r="K27" s="1648">
        <f t="shared" si="4"/>
        <v>0</v>
      </c>
      <c r="L27" s="1647"/>
      <c r="M27" s="1648">
        <f t="shared" si="4"/>
        <v>0</v>
      </c>
      <c r="N27" s="1649"/>
      <c r="O27" s="1508">
        <f t="shared" si="5"/>
        <v>0</v>
      </c>
    </row>
    <row r="28" spans="1:15" ht="21.95" customHeight="1" x14ac:dyDescent="0.15">
      <c r="A28" s="1636"/>
      <c r="B28" s="1644">
        <f t="shared" si="0"/>
        <v>0</v>
      </c>
      <c r="C28" s="1645" t="str">
        <f t="shared" si="1"/>
        <v/>
      </c>
      <c r="D28" s="1646">
        <f>SUMIF(Levante!$C$6:$C$131,$C28,Levante!$H$6:$H$131)</f>
        <v>0</v>
      </c>
      <c r="E28" s="1647"/>
      <c r="F28" s="1647"/>
      <c r="G28" s="1647"/>
      <c r="H28" s="1648">
        <f t="shared" si="2"/>
        <v>0</v>
      </c>
      <c r="I28" s="1648">
        <f t="shared" si="3"/>
        <v>0</v>
      </c>
      <c r="J28" s="1647"/>
      <c r="K28" s="1648">
        <f t="shared" si="4"/>
        <v>0</v>
      </c>
      <c r="L28" s="1647"/>
      <c r="M28" s="1648">
        <f t="shared" si="4"/>
        <v>0</v>
      </c>
      <c r="N28" s="1649"/>
      <c r="O28" s="1508">
        <f t="shared" si="5"/>
        <v>0</v>
      </c>
    </row>
    <row r="29" spans="1:15" ht="21.95" customHeight="1" x14ac:dyDescent="0.15">
      <c r="A29" s="1636"/>
      <c r="B29" s="1644">
        <f t="shared" si="0"/>
        <v>0</v>
      </c>
      <c r="C29" s="1645" t="str">
        <f t="shared" si="1"/>
        <v/>
      </c>
      <c r="D29" s="1646">
        <f>SUMIF(Levante!$C$6:$C$131,$C29,Levante!$H$6:$H$131)</f>
        <v>0</v>
      </c>
      <c r="E29" s="1647"/>
      <c r="F29" s="1647"/>
      <c r="G29" s="1647"/>
      <c r="H29" s="1648">
        <f t="shared" si="2"/>
        <v>0</v>
      </c>
      <c r="I29" s="1648">
        <f t="shared" si="3"/>
        <v>0</v>
      </c>
      <c r="J29" s="1647"/>
      <c r="K29" s="1648">
        <f t="shared" si="4"/>
        <v>0</v>
      </c>
      <c r="L29" s="1647"/>
      <c r="M29" s="1648">
        <f t="shared" si="4"/>
        <v>0</v>
      </c>
      <c r="N29" s="1649"/>
      <c r="O29" s="1508">
        <f t="shared" si="5"/>
        <v>0</v>
      </c>
    </row>
    <row r="30" spans="1:15" ht="21.95" customHeight="1" x14ac:dyDescent="0.15">
      <c r="A30" s="1636"/>
      <c r="B30" s="1644">
        <f t="shared" si="0"/>
        <v>0</v>
      </c>
      <c r="C30" s="1645" t="str">
        <f t="shared" si="1"/>
        <v/>
      </c>
      <c r="D30" s="1646">
        <f>SUMIF(Levante!$C$6:$C$131,$C30,Levante!$H$6:$H$131)</f>
        <v>0</v>
      </c>
      <c r="E30" s="1647"/>
      <c r="F30" s="1647"/>
      <c r="G30" s="1647"/>
      <c r="H30" s="1648">
        <f t="shared" si="2"/>
        <v>0</v>
      </c>
      <c r="I30" s="1648">
        <f t="shared" si="3"/>
        <v>0</v>
      </c>
      <c r="J30" s="1647"/>
      <c r="K30" s="1648">
        <f t="shared" si="4"/>
        <v>0</v>
      </c>
      <c r="L30" s="1647"/>
      <c r="M30" s="1648">
        <f t="shared" si="4"/>
        <v>0</v>
      </c>
      <c r="N30" s="1649"/>
      <c r="O30" s="1508">
        <f t="shared" si="5"/>
        <v>0</v>
      </c>
    </row>
    <row r="31" spans="1:15" ht="21.95" customHeight="1" x14ac:dyDescent="0.15">
      <c r="A31" s="1636"/>
      <c r="B31" s="1644">
        <f t="shared" si="0"/>
        <v>0</v>
      </c>
      <c r="C31" s="1645" t="str">
        <f t="shared" si="1"/>
        <v/>
      </c>
      <c r="D31" s="1646">
        <f>SUMIF(Levante!$C$6:$C$131,$C31,Levante!$H$6:$H$131)</f>
        <v>0</v>
      </c>
      <c r="E31" s="1647"/>
      <c r="F31" s="1647"/>
      <c r="G31" s="1647"/>
      <c r="H31" s="1648">
        <f t="shared" si="2"/>
        <v>0</v>
      </c>
      <c r="I31" s="1648">
        <f t="shared" si="3"/>
        <v>0</v>
      </c>
      <c r="J31" s="1647"/>
      <c r="K31" s="1648">
        <f t="shared" si="4"/>
        <v>0</v>
      </c>
      <c r="L31" s="1647"/>
      <c r="M31" s="1648">
        <f t="shared" si="4"/>
        <v>0</v>
      </c>
      <c r="N31" s="1649"/>
      <c r="O31" s="1508">
        <f t="shared" si="5"/>
        <v>0</v>
      </c>
    </row>
    <row r="32" spans="1:15" ht="21.95" customHeight="1" x14ac:dyDescent="0.15">
      <c r="A32" s="1636"/>
      <c r="B32" s="1644">
        <f t="shared" si="0"/>
        <v>0</v>
      </c>
      <c r="C32" s="1645" t="str">
        <f t="shared" si="1"/>
        <v/>
      </c>
      <c r="D32" s="1646">
        <f>SUMIF(Levante!$C$6:$C$131,$C32,Levante!$H$6:$H$131)</f>
        <v>0</v>
      </c>
      <c r="E32" s="1647"/>
      <c r="F32" s="1647"/>
      <c r="G32" s="1647"/>
      <c r="H32" s="1648">
        <f t="shared" si="2"/>
        <v>0</v>
      </c>
      <c r="I32" s="1648">
        <f t="shared" si="3"/>
        <v>0</v>
      </c>
      <c r="J32" s="1647"/>
      <c r="K32" s="1648">
        <f t="shared" si="4"/>
        <v>0</v>
      </c>
      <c r="L32" s="1647"/>
      <c r="M32" s="1648">
        <f t="shared" si="4"/>
        <v>0</v>
      </c>
      <c r="N32" s="1649"/>
      <c r="O32" s="1508">
        <f t="shared" si="5"/>
        <v>0</v>
      </c>
    </row>
    <row r="33" spans="1:15" ht="21.95" customHeight="1" x14ac:dyDescent="0.15">
      <c r="A33" s="1636"/>
      <c r="B33" s="1644">
        <f t="shared" si="0"/>
        <v>0</v>
      </c>
      <c r="C33" s="1645" t="str">
        <f t="shared" si="1"/>
        <v/>
      </c>
      <c r="D33" s="1646">
        <f>SUMIF(Levante!$C$6:$C$131,$C33,Levante!$H$6:$H$131)</f>
        <v>0</v>
      </c>
      <c r="E33" s="1647"/>
      <c r="F33" s="1647"/>
      <c r="G33" s="1647"/>
      <c r="H33" s="1648">
        <f t="shared" si="2"/>
        <v>0</v>
      </c>
      <c r="I33" s="1648">
        <f t="shared" si="3"/>
        <v>0</v>
      </c>
      <c r="J33" s="1647"/>
      <c r="K33" s="1648">
        <f t="shared" si="4"/>
        <v>0</v>
      </c>
      <c r="L33" s="1647"/>
      <c r="M33" s="1648">
        <f t="shared" si="4"/>
        <v>0</v>
      </c>
      <c r="N33" s="1649"/>
      <c r="O33" s="1508">
        <f t="shared" si="5"/>
        <v>0</v>
      </c>
    </row>
    <row r="34" spans="1:15" ht="21.95" customHeight="1" x14ac:dyDescent="0.15">
      <c r="A34" s="1636"/>
      <c r="B34" s="1644">
        <f t="shared" si="0"/>
        <v>0</v>
      </c>
      <c r="C34" s="1645" t="str">
        <f t="shared" si="1"/>
        <v/>
      </c>
      <c r="D34" s="1646">
        <f>SUMIF(Levante!$C$6:$C$131,$C34,Levante!$H$6:$H$131)</f>
        <v>0</v>
      </c>
      <c r="E34" s="1647"/>
      <c r="F34" s="1647"/>
      <c r="G34" s="1647"/>
      <c r="H34" s="1648">
        <f t="shared" si="2"/>
        <v>0</v>
      </c>
      <c r="I34" s="1648">
        <f t="shared" si="3"/>
        <v>0</v>
      </c>
      <c r="J34" s="1647"/>
      <c r="K34" s="1648">
        <f t="shared" si="4"/>
        <v>0</v>
      </c>
      <c r="L34" s="1647"/>
      <c r="M34" s="1648">
        <f t="shared" si="4"/>
        <v>0</v>
      </c>
      <c r="N34" s="1649"/>
      <c r="O34" s="1508">
        <f t="shared" si="5"/>
        <v>0</v>
      </c>
    </row>
    <row r="35" spans="1:15" ht="21.95" customHeight="1" x14ac:dyDescent="0.15">
      <c r="A35" s="1636"/>
      <c r="B35" s="1644">
        <f t="shared" si="0"/>
        <v>0</v>
      </c>
      <c r="C35" s="1645" t="str">
        <f t="shared" si="1"/>
        <v/>
      </c>
      <c r="D35" s="1646">
        <f>SUMIF(Levante!$C$6:$C$131,$C35,Levante!$H$6:$H$131)</f>
        <v>0</v>
      </c>
      <c r="E35" s="1647"/>
      <c r="F35" s="1647"/>
      <c r="G35" s="1647"/>
      <c r="H35" s="1648">
        <f t="shared" si="2"/>
        <v>0</v>
      </c>
      <c r="I35" s="1648">
        <f t="shared" si="3"/>
        <v>0</v>
      </c>
      <c r="J35" s="1647"/>
      <c r="K35" s="1648">
        <f t="shared" si="4"/>
        <v>0</v>
      </c>
      <c r="L35" s="1647"/>
      <c r="M35" s="1648">
        <f t="shared" si="4"/>
        <v>0</v>
      </c>
      <c r="N35" s="1649"/>
      <c r="O35" s="1508">
        <f t="shared" si="5"/>
        <v>0</v>
      </c>
    </row>
    <row r="36" spans="1:15" ht="21.95" customHeight="1" x14ac:dyDescent="0.15">
      <c r="A36" s="1636"/>
      <c r="B36" s="1644">
        <f t="shared" si="0"/>
        <v>0</v>
      </c>
      <c r="C36" s="1645" t="str">
        <f t="shared" si="1"/>
        <v/>
      </c>
      <c r="D36" s="1646">
        <f>SUMIF(Levante!$C$6:$C$131,$C36,Levante!$H$6:$H$131)</f>
        <v>0</v>
      </c>
      <c r="E36" s="1647"/>
      <c r="F36" s="1647"/>
      <c r="G36" s="1647"/>
      <c r="H36" s="1648">
        <f t="shared" si="2"/>
        <v>0</v>
      </c>
      <c r="I36" s="1648">
        <f t="shared" si="3"/>
        <v>0</v>
      </c>
      <c r="J36" s="1647"/>
      <c r="K36" s="1648">
        <f t="shared" si="4"/>
        <v>0</v>
      </c>
      <c r="L36" s="1647"/>
      <c r="M36" s="1648">
        <f t="shared" si="4"/>
        <v>0</v>
      </c>
      <c r="N36" s="1649"/>
      <c r="O36" s="1508">
        <f t="shared" si="5"/>
        <v>0</v>
      </c>
    </row>
    <row r="37" spans="1:15" ht="21.95" customHeight="1" x14ac:dyDescent="0.15">
      <c r="A37" s="1636"/>
      <c r="B37" s="1644">
        <f t="shared" si="0"/>
        <v>0</v>
      </c>
      <c r="C37" s="1645" t="str">
        <f t="shared" si="1"/>
        <v/>
      </c>
      <c r="D37" s="1646">
        <f>SUMIF(Levante!$C$6:$C$131,$C37,Levante!$H$6:$H$131)</f>
        <v>0</v>
      </c>
      <c r="E37" s="1647"/>
      <c r="F37" s="1647"/>
      <c r="G37" s="1647"/>
      <c r="H37" s="1648">
        <f t="shared" si="2"/>
        <v>0</v>
      </c>
      <c r="I37" s="1648">
        <f t="shared" si="3"/>
        <v>0</v>
      </c>
      <c r="J37" s="1647"/>
      <c r="K37" s="1648">
        <f t="shared" si="4"/>
        <v>0</v>
      </c>
      <c r="L37" s="1647"/>
      <c r="M37" s="1648">
        <f t="shared" si="4"/>
        <v>0</v>
      </c>
      <c r="N37" s="1649"/>
      <c r="O37" s="1508">
        <f t="shared" si="5"/>
        <v>0</v>
      </c>
    </row>
    <row r="38" spans="1:15" ht="21.95" customHeight="1" x14ac:dyDescent="0.15">
      <c r="A38" s="1636"/>
      <c r="B38" s="1644">
        <f t="shared" si="0"/>
        <v>0</v>
      </c>
      <c r="C38" s="1645" t="str">
        <f t="shared" si="1"/>
        <v/>
      </c>
      <c r="D38" s="1646">
        <f>SUMIF(Levante!$C$6:$C$131,$C38,Levante!$H$6:$H$131)</f>
        <v>0</v>
      </c>
      <c r="E38" s="1647"/>
      <c r="F38" s="1647"/>
      <c r="G38" s="1647"/>
      <c r="H38" s="1648">
        <f t="shared" si="2"/>
        <v>0</v>
      </c>
      <c r="I38" s="1648">
        <f t="shared" si="3"/>
        <v>0</v>
      </c>
      <c r="J38" s="1647"/>
      <c r="K38" s="1648">
        <f t="shared" si="4"/>
        <v>0</v>
      </c>
      <c r="L38" s="1647"/>
      <c r="M38" s="1648">
        <f t="shared" si="4"/>
        <v>0</v>
      </c>
      <c r="N38" s="1649"/>
      <c r="O38" s="1508">
        <f t="shared" si="5"/>
        <v>0</v>
      </c>
    </row>
    <row r="39" spans="1:15" ht="21.95" customHeight="1" x14ac:dyDescent="0.15">
      <c r="A39" s="1636"/>
      <c r="B39" s="1644">
        <f t="shared" si="0"/>
        <v>0</v>
      </c>
      <c r="C39" s="1645" t="str">
        <f t="shared" si="1"/>
        <v/>
      </c>
      <c r="D39" s="1646">
        <f>SUMIF(Levante!$C$6:$C$131,$C39,Levante!$H$6:$H$131)</f>
        <v>0</v>
      </c>
      <c r="E39" s="1647"/>
      <c r="F39" s="1647"/>
      <c r="G39" s="1647"/>
      <c r="H39" s="1648">
        <f t="shared" si="2"/>
        <v>0</v>
      </c>
      <c r="I39" s="1648">
        <f t="shared" si="3"/>
        <v>0</v>
      </c>
      <c r="J39" s="1647"/>
      <c r="K39" s="1648">
        <f t="shared" si="4"/>
        <v>0</v>
      </c>
      <c r="L39" s="1647"/>
      <c r="M39" s="1648">
        <f t="shared" si="4"/>
        <v>0</v>
      </c>
      <c r="N39" s="1649"/>
      <c r="O39" s="1508">
        <f t="shared" si="5"/>
        <v>0</v>
      </c>
    </row>
    <row r="40" spans="1:15" ht="21.95" customHeight="1" thickBot="1" x14ac:dyDescent="0.2">
      <c r="A40" s="1637"/>
      <c r="B40" s="1650">
        <f t="shared" si="0"/>
        <v>0</v>
      </c>
      <c r="C40" s="1651" t="str">
        <f t="shared" si="1"/>
        <v/>
      </c>
      <c r="D40" s="1652">
        <f>SUMIF(Levante!$C$6:$C$131,$C40,Levante!$H$6:$H$131)</f>
        <v>0</v>
      </c>
      <c r="E40" s="1653"/>
      <c r="F40" s="1653"/>
      <c r="G40" s="1653"/>
      <c r="H40" s="1654">
        <f t="shared" si="2"/>
        <v>0</v>
      </c>
      <c r="I40" s="1654">
        <f t="shared" si="3"/>
        <v>0</v>
      </c>
      <c r="J40" s="1653"/>
      <c r="K40" s="1654">
        <f t="shared" si="4"/>
        <v>0</v>
      </c>
      <c r="L40" s="1653"/>
      <c r="M40" s="1654">
        <f t="shared" si="4"/>
        <v>0</v>
      </c>
      <c r="N40" s="1655"/>
      <c r="O40" s="1508">
        <f t="shared" si="5"/>
        <v>0</v>
      </c>
    </row>
    <row r="41" spans="1:15" ht="15.75" customHeight="1" x14ac:dyDescent="0.15">
      <c r="A41" s="1509" t="s">
        <v>134</v>
      </c>
      <c r="B41" s="1509" t="s">
        <v>134</v>
      </c>
      <c r="C41" s="1509" t="s">
        <v>134</v>
      </c>
      <c r="D41" s="1509" t="s">
        <v>134</v>
      </c>
      <c r="E41" s="1509" t="s">
        <v>134</v>
      </c>
      <c r="F41" s="1509" t="s">
        <v>134</v>
      </c>
      <c r="G41" s="1509" t="s">
        <v>134</v>
      </c>
      <c r="H41" s="1509" t="s">
        <v>134</v>
      </c>
      <c r="I41" s="1509" t="s">
        <v>134</v>
      </c>
      <c r="J41" s="1509" t="s">
        <v>134</v>
      </c>
      <c r="K41" s="1509" t="s">
        <v>134</v>
      </c>
      <c r="L41" s="1509" t="s">
        <v>134</v>
      </c>
      <c r="M41" s="1509" t="s">
        <v>134</v>
      </c>
      <c r="N41" s="1509" t="s">
        <v>134</v>
      </c>
    </row>
    <row r="42" spans="1:15" ht="15.75" customHeight="1" x14ac:dyDescent="0.15">
      <c r="A42" s="1509"/>
      <c r="B42" s="1509"/>
      <c r="C42" s="1509"/>
      <c r="D42" s="1510"/>
      <c r="E42" s="1510"/>
      <c r="F42" s="1510"/>
      <c r="G42" s="1510"/>
      <c r="H42" s="1510"/>
      <c r="I42" s="1510"/>
      <c r="J42" s="1509"/>
      <c r="K42" s="1510"/>
      <c r="L42" s="1509"/>
      <c r="M42" s="1510"/>
      <c r="N42" s="1510"/>
    </row>
    <row r="43" spans="1:15" x14ac:dyDescent="0.15"/>
    <row r="44" spans="1:15" x14ac:dyDescent="0.15"/>
    <row r="45" spans="1:15" x14ac:dyDescent="0.15"/>
    <row r="46" spans="1:15" x14ac:dyDescent="0.15"/>
    <row r="47" spans="1:15" x14ac:dyDescent="0.15"/>
    <row r="48" spans="1:15" x14ac:dyDescent="0.15"/>
    <row r="49" x14ac:dyDescent="0.15"/>
    <row r="50" x14ac:dyDescent="0.15"/>
  </sheetData>
  <sheetProtection algorithmName="SHA-512" hashValue="mtcMHcpjSb9nwLstwG7s0m22bt4QwXQHplK3h1w9D1/AttqgFXcu/hy6rjhFvc8kJrJvxDO2Tx6H+y02u/O8Gg==" saltValue="fBxSOZQ3siMmwfBVZUdBmA==" spinCount="100000" sheet="1" objects="1" scenarios="1" formatCells="0" formatColumns="0" formatRows="0" autoFilter="0"/>
  <mergeCells count="9">
    <mergeCell ref="A1:C3"/>
    <mergeCell ref="D1:F3"/>
    <mergeCell ref="G1:J1"/>
    <mergeCell ref="K1:L1"/>
    <mergeCell ref="M1:N1"/>
    <mergeCell ref="G2:J2"/>
    <mergeCell ref="K3:L3"/>
    <mergeCell ref="M3:N3"/>
    <mergeCell ref="K2:N2"/>
  </mergeCells>
  <dataValidations disablePrompts="1" count="1">
    <dataValidation type="whole" allowBlank="1" showInputMessage="1" showErrorMessage="1" sqref="A5:A40" xr:uid="{DEFA10D9-93B2-4001-8C55-792293CFF0B0}">
      <formula1>0</formula1>
      <formula2>140</formula2>
    </dataValidation>
  </dataValidations>
  <printOptions horizontalCentered="1" verticalCentered="1"/>
  <pageMargins left="0.43307086614173229" right="0.55118110236220474" top="0.51181102362204722" bottom="0.31496062992125984" header="0" footer="0"/>
  <pageSetup scale="59" orientation="landscape" r:id="rId1"/>
  <headerFooter alignWithMargins="0">
    <oddFooter>&amp;LFecha de Impresión : &amp;D&amp;R&amp;8&amp;Z&amp;F;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734CE-08F7-42A6-B05E-601A7FD89D8E}">
  <sheetPr codeName="Hoja14">
    <pageSetUpPr fitToPage="1"/>
  </sheetPr>
  <dimension ref="A1:AF50"/>
  <sheetViews>
    <sheetView showGridLines="0" showRowColHeaders="0" showZeros="0" zoomScaleNormal="100" workbookViewId="0">
      <pane xSplit="3" ySplit="4" topLeftCell="D5" activePane="bottomRight" state="frozen"/>
      <selection sqref="A1:J3"/>
      <selection pane="topRight" sqref="A1:J3"/>
      <selection pane="bottomLeft" sqref="A1:J3"/>
      <selection pane="bottomRight" activeCell="D5" sqref="D5"/>
    </sheetView>
  </sheetViews>
  <sheetFormatPr baseColWidth="10" defaultColWidth="0" defaultRowHeight="18.75" customHeight="1" zeroHeight="1" x14ac:dyDescent="0.15"/>
  <cols>
    <col min="1" max="1" width="8.625" style="1507" customWidth="1"/>
    <col min="2" max="3" width="15.375" style="1507" customWidth="1"/>
    <col min="4" max="4" width="33" style="1507" customWidth="1"/>
    <col min="5" max="6" width="9.125" style="1507" customWidth="1"/>
    <col min="7" max="8" width="10" style="1507" customWidth="1"/>
    <col min="9" max="9" width="52.375" style="1507" customWidth="1"/>
    <col min="10" max="10" width="8.25" style="1507" customWidth="1"/>
    <col min="11" max="11" width="26.25" style="1507" hidden="1" customWidth="1"/>
    <col min="12" max="13" width="0" style="1507" hidden="1" customWidth="1"/>
    <col min="14" max="14" width="24" style="1507" hidden="1" customWidth="1"/>
    <col min="15" max="15" width="0" style="1507" hidden="1" customWidth="1"/>
    <col min="16" max="16" width="22.25" style="1507" hidden="1" customWidth="1"/>
    <col min="17" max="17" width="36" style="1507" hidden="1" customWidth="1"/>
    <col min="18" max="32" width="9.625" style="1507" hidden="1" customWidth="1"/>
    <col min="33" max="16384" width="0" style="1507" hidden="1"/>
  </cols>
  <sheetData>
    <row r="1" spans="1:10" ht="48.75" customHeight="1" thickBot="1" x14ac:dyDescent="0.2">
      <c r="A1" s="1691"/>
      <c r="B1" s="1708"/>
      <c r="C1" s="1710" t="str">
        <f>CONCATENATE("Programacion de Alimento Cría y Levante 
Granja : ",GRANJALEV)</f>
        <v xml:space="preserve">Programacion de Alimento Cría y Levante 
Granja : </v>
      </c>
      <c r="D1" s="1711"/>
      <c r="E1" s="1711"/>
      <c r="F1" s="1711"/>
      <c r="G1" s="1711"/>
      <c r="H1" s="1712"/>
      <c r="I1" s="1656" t="str">
        <f>CONCATENATE(Iniciar!$B$3,Linea," 
",Iniciar!$B$4,LOTE)</f>
        <v xml:space="preserve">Estirpe / Línea :  
Lote # : </v>
      </c>
    </row>
    <row r="2" spans="1:10" ht="20.25" customHeight="1" x14ac:dyDescent="0.15">
      <c r="A2" s="1691"/>
      <c r="B2" s="1708"/>
      <c r="C2" s="1657" t="s">
        <v>514</v>
      </c>
      <c r="D2" s="1659" t="str">
        <f>Iniciar!$B$21</f>
        <v xml:space="preserve">Equipo de Comederos : </v>
      </c>
      <c r="E2" s="1713">
        <f>Iniciar!$C$21</f>
        <v>0</v>
      </c>
      <c r="F2" s="1713"/>
      <c r="G2" s="1713"/>
      <c r="H2" s="1714"/>
      <c r="I2" s="1715" t="str">
        <f>CONCATENATE(Iniciar!$B$7,Iniciar!$C$7)</f>
        <v xml:space="preserve">Asesor Técnico : </v>
      </c>
    </row>
    <row r="3" spans="1:10" ht="16.5" customHeight="1" thickBot="1" x14ac:dyDescent="0.2">
      <c r="A3" s="1692"/>
      <c r="B3" s="1709"/>
      <c r="C3" s="1658">
        <f>AvesIni</f>
        <v>0</v>
      </c>
      <c r="D3" s="1660" t="str">
        <f>Iniciar!$B$17</f>
        <v xml:space="preserve">Clima : </v>
      </c>
      <c r="E3" s="1717" t="str">
        <f>Iniciar!$C$17</f>
        <v/>
      </c>
      <c r="F3" s="1717"/>
      <c r="G3" s="1717"/>
      <c r="H3" s="1718"/>
      <c r="I3" s="1716"/>
    </row>
    <row r="4" spans="1:10" ht="45" customHeight="1" thickBot="1" x14ac:dyDescent="0.2">
      <c r="A4" s="1661" t="str">
        <f>'PROGR-ILUM'!A4</f>
        <v>Edad (Sem)</v>
      </c>
      <c r="B4" s="1629" t="str">
        <f>'PROGR-ILUM'!B4</f>
        <v>Fecha Ini Sem</v>
      </c>
      <c r="C4" s="1629" t="str">
        <f>'PROGR-ILUM'!C4</f>
        <v>Fecha Fin Sem</v>
      </c>
      <c r="D4" s="1662" t="s">
        <v>515</v>
      </c>
      <c r="E4" s="1663" t="str">
        <f>'Sem-L'!K5</f>
        <v>Gr.A.D. min Tab</v>
      </c>
      <c r="F4" s="1664" t="str">
        <f>'Sem-L'!M5</f>
        <v>Gr.A.D. máx Tab</v>
      </c>
      <c r="G4" s="1665" t="str">
        <f>CONCATENATE(Iniciar!$C$10," Sem Min")</f>
        <v>Kilos Sem Min</v>
      </c>
      <c r="H4" s="1666" t="str">
        <f>CONCATENATE(Iniciar!$C$10," Sem Max")</f>
        <v>Kilos Sem Max</v>
      </c>
      <c r="I4" s="1667" t="s">
        <v>167</v>
      </c>
    </row>
    <row r="5" spans="1:10" ht="21.95" customHeight="1" thickTop="1" x14ac:dyDescent="0.35">
      <c r="A5" s="1668">
        <v>1</v>
      </c>
      <c r="B5" s="1639">
        <f>Fnac</f>
        <v>0</v>
      </c>
      <c r="C5" s="1639" t="str">
        <f>IF(B5&gt;0,B5+6,"")</f>
        <v/>
      </c>
      <c r="D5" s="1671"/>
      <c r="E5" s="1672">
        <f>LOOKUP(A5,'Sem-L'!$A$6:$A$23,'Sem-L'!$K$6:$K$23)</f>
        <v>0</v>
      </c>
      <c r="F5" s="1673">
        <f>LOOKUP(A5,'Sem-L'!$A$6:$A$23,'Sem-L'!$M$6:$M$23)</f>
        <v>0</v>
      </c>
      <c r="G5" s="1674">
        <f>ROUND(E5/(IF(Iniciar!$C$10="Kilos",1000,IF(Iniciar!$C$10="B X 40 K",40000,50000)))*LOOKUP($A5,'Sem-L'!$A$6:$A$23,'Sem-L'!$B$6:$B$23)*7,IF(Iniciar!$C$10="Kilos",0,1))</f>
        <v>0</v>
      </c>
      <c r="H5" s="1675">
        <f>ROUND(F5/(IF(Iniciar!$C$10="Kilos",1000,IF(Iniciar!$C$10="B X 40 K",40000,50000)))*LOOKUP($A5,'Sem-L'!$A$6:$A$23,'Sem-L'!$B$6:$B$23)*7,IF(Iniciar!$C$10="Kilos",0,1))</f>
        <v>0</v>
      </c>
      <c r="I5" s="1643"/>
      <c r="J5" s="1508">
        <f t="shared" ref="J5:J22" si="0">IF(A5=0,0,1)</f>
        <v>1</v>
      </c>
    </row>
    <row r="6" spans="1:10" ht="21.95" customHeight="1" x14ac:dyDescent="0.35">
      <c r="A6" s="1669">
        <v>2</v>
      </c>
      <c r="B6" s="1645" t="str">
        <f>IF(B5&gt;0,B5+7,"")</f>
        <v/>
      </c>
      <c r="C6" s="1645" t="str">
        <f t="shared" ref="C6:C22" si="1">IF(B6="","",B6+6)</f>
        <v/>
      </c>
      <c r="D6" s="1676"/>
      <c r="E6" s="1677">
        <f>LOOKUP(A6,'Sem-L'!$A$6:$A$23,'Sem-L'!$K$6:$K$23)</f>
        <v>0</v>
      </c>
      <c r="F6" s="1678">
        <f>LOOKUP(A6,'Sem-L'!$A$6:$A$23,'Sem-L'!$M$6:$M$23)</f>
        <v>0</v>
      </c>
      <c r="G6" s="1679">
        <f>ROUND(E6/(IF(Iniciar!$C$10="Kilos",1000,IF(Iniciar!$C$10="B X 40 K",40000,50000)))*LOOKUP($A6,'Sem-L'!$A$6:$A$23,'Sem-L'!$B$6:$B$23)*7,IF(Iniciar!$C$10="Kilos",0,1))</f>
        <v>0</v>
      </c>
      <c r="H6" s="1680">
        <f>ROUND(F6/(IF(Iniciar!$C$10="Kilos",1000,IF(Iniciar!$C$10="B X 40 K",40000,50000)))*LOOKUP($A6,'Sem-L'!$A$6:$A$23,'Sem-L'!$B$6:$B$23)*7,IF(Iniciar!$C$10="Kilos",0,1))</f>
        <v>0</v>
      </c>
      <c r="I6" s="1649"/>
      <c r="J6" s="1508">
        <f t="shared" si="0"/>
        <v>1</v>
      </c>
    </row>
    <row r="7" spans="1:10" ht="21.95" customHeight="1" x14ac:dyDescent="0.35">
      <c r="A7" s="1669">
        <v>3</v>
      </c>
      <c r="B7" s="1645" t="str">
        <f t="shared" ref="B7:B22" si="2">IF(B6="","",B6+7)</f>
        <v/>
      </c>
      <c r="C7" s="1645" t="str">
        <f t="shared" si="1"/>
        <v/>
      </c>
      <c r="D7" s="1676"/>
      <c r="E7" s="1677">
        <f>LOOKUP(A7,'Sem-L'!$A$6:$A$23,'Sem-L'!$K$6:$K$23)</f>
        <v>0</v>
      </c>
      <c r="F7" s="1678">
        <f>LOOKUP(A7,'Sem-L'!$A$6:$A$23,'Sem-L'!$M$6:$M$23)</f>
        <v>0</v>
      </c>
      <c r="G7" s="1679">
        <f>ROUND(E7/(IF(Iniciar!$C$10="Kilos",1000,IF(Iniciar!$C$10="B X 40 K",40000,50000)))*LOOKUP($A7,'Sem-L'!$A$6:$A$23,'Sem-L'!$B$6:$B$23)*7,IF(Iniciar!$C$10="Kilos",0,1))</f>
        <v>0</v>
      </c>
      <c r="H7" s="1680">
        <f>ROUND(F7/(IF(Iniciar!$C$10="Kilos",1000,IF(Iniciar!$C$10="B X 40 K",40000,50000)))*LOOKUP($A7,'Sem-L'!$A$6:$A$23,'Sem-L'!$B$6:$B$23)*7,IF(Iniciar!$C$10="Kilos",0,1))</f>
        <v>0</v>
      </c>
      <c r="I7" s="1649"/>
      <c r="J7" s="1508">
        <f t="shared" si="0"/>
        <v>1</v>
      </c>
    </row>
    <row r="8" spans="1:10" ht="21.95" customHeight="1" x14ac:dyDescent="0.35">
      <c r="A8" s="1669">
        <v>4</v>
      </c>
      <c r="B8" s="1645" t="str">
        <f t="shared" si="2"/>
        <v/>
      </c>
      <c r="C8" s="1645" t="str">
        <f t="shared" si="1"/>
        <v/>
      </c>
      <c r="D8" s="1676"/>
      <c r="E8" s="1677">
        <f>LOOKUP(A8,'Sem-L'!$A$6:$A$23,'Sem-L'!$K$6:$K$23)</f>
        <v>0</v>
      </c>
      <c r="F8" s="1678">
        <f>LOOKUP(A8,'Sem-L'!$A$6:$A$23,'Sem-L'!$M$6:$M$23)</f>
        <v>0</v>
      </c>
      <c r="G8" s="1679">
        <f>ROUND(E8/(IF(Iniciar!$C$10="Kilos",1000,IF(Iniciar!$C$10="B X 40 K",40000,50000)))*LOOKUP($A8,'Sem-L'!$A$6:$A$23,'Sem-L'!$B$6:$B$23)*7,IF(Iniciar!$C$10="Kilos",0,1))</f>
        <v>0</v>
      </c>
      <c r="H8" s="1680">
        <f>ROUND(F8/(IF(Iniciar!$C$10="Kilos",1000,IF(Iniciar!$C$10="B X 40 K",40000,50000)))*LOOKUP($A8,'Sem-L'!$A$6:$A$23,'Sem-L'!$B$6:$B$23)*7,IF(Iniciar!$C$10="Kilos",0,1))</f>
        <v>0</v>
      </c>
      <c r="I8" s="1649"/>
      <c r="J8" s="1508">
        <f t="shared" si="0"/>
        <v>1</v>
      </c>
    </row>
    <row r="9" spans="1:10" ht="21.95" customHeight="1" x14ac:dyDescent="0.35">
      <c r="A9" s="1669">
        <v>5</v>
      </c>
      <c r="B9" s="1645" t="str">
        <f t="shared" si="2"/>
        <v/>
      </c>
      <c r="C9" s="1645" t="str">
        <f t="shared" si="1"/>
        <v/>
      </c>
      <c r="D9" s="1676"/>
      <c r="E9" s="1677">
        <f>LOOKUP(A9,'Sem-L'!$A$6:$A$23,'Sem-L'!$K$6:$K$23)</f>
        <v>0</v>
      </c>
      <c r="F9" s="1678">
        <f>LOOKUP(A9,'Sem-L'!$A$6:$A$23,'Sem-L'!$M$6:$M$23)</f>
        <v>0</v>
      </c>
      <c r="G9" s="1679">
        <f>ROUND(E9/(IF(Iniciar!$C$10="Kilos",1000,IF(Iniciar!$C$10="B X 40 K",40000,50000)))*LOOKUP($A9,'Sem-L'!$A$6:$A$23,'Sem-L'!$B$6:$B$23)*7,IF(Iniciar!$C$10="Kilos",0,1))</f>
        <v>0</v>
      </c>
      <c r="H9" s="1680">
        <f>ROUND(F9/(IF(Iniciar!$C$10="Kilos",1000,IF(Iniciar!$C$10="B X 40 K",40000,50000)))*LOOKUP($A9,'Sem-L'!$A$6:$A$23,'Sem-L'!$B$6:$B$23)*7,IF(Iniciar!$C$10="Kilos",0,1))</f>
        <v>0</v>
      </c>
      <c r="I9" s="1649"/>
      <c r="J9" s="1508">
        <f t="shared" si="0"/>
        <v>1</v>
      </c>
    </row>
    <row r="10" spans="1:10" ht="21.95" customHeight="1" x14ac:dyDescent="0.35">
      <c r="A10" s="1669">
        <v>6</v>
      </c>
      <c r="B10" s="1645" t="str">
        <f t="shared" si="2"/>
        <v/>
      </c>
      <c r="C10" s="1645" t="str">
        <f t="shared" si="1"/>
        <v/>
      </c>
      <c r="D10" s="1676"/>
      <c r="E10" s="1677">
        <f>LOOKUP(A10,'Sem-L'!$A$6:$A$23,'Sem-L'!$K$6:$K$23)</f>
        <v>0</v>
      </c>
      <c r="F10" s="1678">
        <f>LOOKUP(A10,'Sem-L'!$A$6:$A$23,'Sem-L'!$M$6:$M$23)</f>
        <v>0</v>
      </c>
      <c r="G10" s="1679">
        <f>ROUND(E10/(IF(Iniciar!$C$10="Kilos",1000,IF(Iniciar!$C$10="B X 40 K",40000,50000)))*LOOKUP($A10,'Sem-L'!$A$6:$A$23,'Sem-L'!$B$6:$B$23)*7,IF(Iniciar!$C$10="Kilos",0,1))</f>
        <v>0</v>
      </c>
      <c r="H10" s="1680">
        <f>ROUND(F10/(IF(Iniciar!$C$10="Kilos",1000,IF(Iniciar!$C$10="B X 40 K",40000,50000)))*LOOKUP($A10,'Sem-L'!$A$6:$A$23,'Sem-L'!$B$6:$B$23)*7,IF(Iniciar!$C$10="Kilos",0,1))</f>
        <v>0</v>
      </c>
      <c r="I10" s="1649"/>
      <c r="J10" s="1508">
        <f t="shared" si="0"/>
        <v>1</v>
      </c>
    </row>
    <row r="11" spans="1:10" ht="21.95" customHeight="1" x14ac:dyDescent="0.35">
      <c r="A11" s="1669">
        <v>7</v>
      </c>
      <c r="B11" s="1645" t="str">
        <f t="shared" si="2"/>
        <v/>
      </c>
      <c r="C11" s="1645" t="str">
        <f t="shared" si="1"/>
        <v/>
      </c>
      <c r="D11" s="1676"/>
      <c r="E11" s="1677">
        <f>LOOKUP(A11,'Sem-L'!$A$6:$A$23,'Sem-L'!$K$6:$K$23)</f>
        <v>0</v>
      </c>
      <c r="F11" s="1678">
        <f>LOOKUP(A11,'Sem-L'!$A$6:$A$23,'Sem-L'!$M$6:$M$23)</f>
        <v>0</v>
      </c>
      <c r="G11" s="1679">
        <f>ROUND(E11/(IF(Iniciar!$C$10="Kilos",1000,IF(Iniciar!$C$10="B X 40 K",40000,50000)))*LOOKUP($A11,'Sem-L'!$A$6:$A$23,'Sem-L'!$B$6:$B$23)*7,IF(Iniciar!$C$10="Kilos",0,1))</f>
        <v>0</v>
      </c>
      <c r="H11" s="1680">
        <f>ROUND(F11/(IF(Iniciar!$C$10="Kilos",1000,IF(Iniciar!$C$10="B X 40 K",40000,50000)))*LOOKUP($A11,'Sem-L'!$A$6:$A$23,'Sem-L'!$B$6:$B$23)*7,IF(Iniciar!$C$10="Kilos",0,1))</f>
        <v>0</v>
      </c>
      <c r="I11" s="1649"/>
      <c r="J11" s="1508">
        <f t="shared" si="0"/>
        <v>1</v>
      </c>
    </row>
    <row r="12" spans="1:10" ht="21.95" customHeight="1" x14ac:dyDescent="0.35">
      <c r="A12" s="1669">
        <v>8</v>
      </c>
      <c r="B12" s="1645" t="str">
        <f t="shared" si="2"/>
        <v/>
      </c>
      <c r="C12" s="1645" t="str">
        <f t="shared" si="1"/>
        <v/>
      </c>
      <c r="D12" s="1676"/>
      <c r="E12" s="1677">
        <f>LOOKUP(A12,'Sem-L'!$A$6:$A$23,'Sem-L'!$K$6:$K$23)</f>
        <v>0</v>
      </c>
      <c r="F12" s="1678">
        <f>LOOKUP(A12,'Sem-L'!$A$6:$A$23,'Sem-L'!$M$6:$M$23)</f>
        <v>0</v>
      </c>
      <c r="G12" s="1679">
        <f>ROUND(E12/(IF(Iniciar!$C$10="Kilos",1000,IF(Iniciar!$C$10="B X 40 K",40000,50000)))*LOOKUP($A12,'Sem-L'!$A$6:$A$23,'Sem-L'!$B$6:$B$23)*7,IF(Iniciar!$C$10="Kilos",0,1))</f>
        <v>0</v>
      </c>
      <c r="H12" s="1680">
        <f>ROUND(F12/(IF(Iniciar!$C$10="Kilos",1000,IF(Iniciar!$C$10="B X 40 K",40000,50000)))*LOOKUP($A12,'Sem-L'!$A$6:$A$23,'Sem-L'!$B$6:$B$23)*7,IF(Iniciar!$C$10="Kilos",0,1))</f>
        <v>0</v>
      </c>
      <c r="I12" s="1649"/>
      <c r="J12" s="1508">
        <f t="shared" si="0"/>
        <v>1</v>
      </c>
    </row>
    <row r="13" spans="1:10" ht="21.95" customHeight="1" x14ac:dyDescent="0.35">
      <c r="A13" s="1669">
        <v>9</v>
      </c>
      <c r="B13" s="1645" t="str">
        <f t="shared" si="2"/>
        <v/>
      </c>
      <c r="C13" s="1645" t="str">
        <f t="shared" si="1"/>
        <v/>
      </c>
      <c r="D13" s="1676"/>
      <c r="E13" s="1677">
        <f>LOOKUP(A13,'Sem-L'!$A$6:$A$23,'Sem-L'!$K$6:$K$23)</f>
        <v>0</v>
      </c>
      <c r="F13" s="1678">
        <f>LOOKUP(A13,'Sem-L'!$A$6:$A$23,'Sem-L'!$M$6:$M$23)</f>
        <v>0</v>
      </c>
      <c r="G13" s="1679">
        <f>ROUND(E13/(IF(Iniciar!$C$10="Kilos",1000,IF(Iniciar!$C$10="B X 40 K",40000,50000)))*LOOKUP($A13,'Sem-L'!$A$6:$A$23,'Sem-L'!$B$6:$B$23)*7,IF(Iniciar!$C$10="Kilos",0,1))</f>
        <v>0</v>
      </c>
      <c r="H13" s="1680">
        <f>ROUND(F13/(IF(Iniciar!$C$10="Kilos",1000,IF(Iniciar!$C$10="B X 40 K",40000,50000)))*LOOKUP($A13,'Sem-L'!$A$6:$A$23,'Sem-L'!$B$6:$B$23)*7,IF(Iniciar!$C$10="Kilos",0,1))</f>
        <v>0</v>
      </c>
      <c r="I13" s="1649"/>
      <c r="J13" s="1508">
        <f t="shared" si="0"/>
        <v>1</v>
      </c>
    </row>
    <row r="14" spans="1:10" ht="21.95" customHeight="1" x14ac:dyDescent="0.35">
      <c r="A14" s="1669">
        <v>10</v>
      </c>
      <c r="B14" s="1645" t="str">
        <f t="shared" si="2"/>
        <v/>
      </c>
      <c r="C14" s="1645" t="str">
        <f t="shared" si="1"/>
        <v/>
      </c>
      <c r="D14" s="1676"/>
      <c r="E14" s="1677">
        <f>LOOKUP(A14,'Sem-L'!$A$6:$A$23,'Sem-L'!$K$6:$K$23)</f>
        <v>0</v>
      </c>
      <c r="F14" s="1678">
        <f>LOOKUP(A14,'Sem-L'!$A$6:$A$23,'Sem-L'!$M$6:$M$23)</f>
        <v>0</v>
      </c>
      <c r="G14" s="1679">
        <f>ROUND(E14/(IF(Iniciar!$C$10="Kilos",1000,IF(Iniciar!$C$10="B X 40 K",40000,50000)))*LOOKUP($A14,'Sem-L'!$A$6:$A$23,'Sem-L'!$B$6:$B$23)*7,IF(Iniciar!$C$10="Kilos",0,1))</f>
        <v>0</v>
      </c>
      <c r="H14" s="1680">
        <f>ROUND(F14/(IF(Iniciar!$C$10="Kilos",1000,IF(Iniciar!$C$10="B X 40 K",40000,50000)))*LOOKUP($A14,'Sem-L'!$A$6:$A$23,'Sem-L'!$B$6:$B$23)*7,IF(Iniciar!$C$10="Kilos",0,1))</f>
        <v>0</v>
      </c>
      <c r="I14" s="1649"/>
      <c r="J14" s="1508">
        <f t="shared" si="0"/>
        <v>1</v>
      </c>
    </row>
    <row r="15" spans="1:10" ht="21.95" customHeight="1" x14ac:dyDescent="0.35">
      <c r="A15" s="1669">
        <v>11</v>
      </c>
      <c r="B15" s="1645" t="str">
        <f t="shared" si="2"/>
        <v/>
      </c>
      <c r="C15" s="1645" t="str">
        <f t="shared" si="1"/>
        <v/>
      </c>
      <c r="D15" s="1676"/>
      <c r="E15" s="1677">
        <f>LOOKUP(A15,'Sem-L'!$A$6:$A$23,'Sem-L'!$K$6:$K$23)</f>
        <v>0</v>
      </c>
      <c r="F15" s="1678">
        <f>LOOKUP(A15,'Sem-L'!$A$6:$A$23,'Sem-L'!$M$6:$M$23)</f>
        <v>0</v>
      </c>
      <c r="G15" s="1679">
        <f>ROUND(E15/(IF(Iniciar!$C$10="Kilos",1000,IF(Iniciar!$C$10="B X 40 K",40000,50000)))*LOOKUP($A15,'Sem-L'!$A$6:$A$23,'Sem-L'!$B$6:$B$23)*7,IF(Iniciar!$C$10="Kilos",0,1))</f>
        <v>0</v>
      </c>
      <c r="H15" s="1680">
        <f>ROUND(F15/(IF(Iniciar!$C$10="Kilos",1000,IF(Iniciar!$C$10="B X 40 K",40000,50000)))*LOOKUP($A15,'Sem-L'!$A$6:$A$23,'Sem-L'!$B$6:$B$23)*7,IF(Iniciar!$C$10="Kilos",0,1))</f>
        <v>0</v>
      </c>
      <c r="I15" s="1649"/>
      <c r="J15" s="1508">
        <f t="shared" si="0"/>
        <v>1</v>
      </c>
    </row>
    <row r="16" spans="1:10" ht="21.95" customHeight="1" x14ac:dyDescent="0.35">
      <c r="A16" s="1669">
        <v>12</v>
      </c>
      <c r="B16" s="1645" t="str">
        <f t="shared" si="2"/>
        <v/>
      </c>
      <c r="C16" s="1645" t="str">
        <f t="shared" si="1"/>
        <v/>
      </c>
      <c r="D16" s="1676"/>
      <c r="E16" s="1677">
        <f>LOOKUP(A16,'Sem-L'!$A$6:$A$23,'Sem-L'!$K$6:$K$23)</f>
        <v>0</v>
      </c>
      <c r="F16" s="1678">
        <f>LOOKUP(A16,'Sem-L'!$A$6:$A$23,'Sem-L'!$M$6:$M$23)</f>
        <v>0</v>
      </c>
      <c r="G16" s="1679">
        <f>ROUND(E16/(IF(Iniciar!$C$10="Kilos",1000,IF(Iniciar!$C$10="B X 40 K",40000,50000)))*LOOKUP($A16,'Sem-L'!$A$6:$A$23,'Sem-L'!$B$6:$B$23)*7,IF(Iniciar!$C$10="Kilos",0,1))</f>
        <v>0</v>
      </c>
      <c r="H16" s="1680">
        <f>ROUND(F16/(IF(Iniciar!$C$10="Kilos",1000,IF(Iniciar!$C$10="B X 40 K",40000,50000)))*LOOKUP($A16,'Sem-L'!$A$6:$A$23,'Sem-L'!$B$6:$B$23)*7,IF(Iniciar!$C$10="Kilos",0,1))</f>
        <v>0</v>
      </c>
      <c r="I16" s="1649"/>
      <c r="J16" s="1508">
        <f t="shared" si="0"/>
        <v>1</v>
      </c>
    </row>
    <row r="17" spans="1:10" ht="21.95" customHeight="1" x14ac:dyDescent="0.35">
      <c r="A17" s="1669">
        <v>13</v>
      </c>
      <c r="B17" s="1645" t="str">
        <f t="shared" si="2"/>
        <v/>
      </c>
      <c r="C17" s="1645" t="str">
        <f t="shared" si="1"/>
        <v/>
      </c>
      <c r="D17" s="1676"/>
      <c r="E17" s="1677">
        <f>LOOKUP(A17,'Sem-L'!$A$6:$A$23,'Sem-L'!$K$6:$K$23)</f>
        <v>0</v>
      </c>
      <c r="F17" s="1678">
        <f>LOOKUP(A17,'Sem-L'!$A$6:$A$23,'Sem-L'!$M$6:$M$23)</f>
        <v>0</v>
      </c>
      <c r="G17" s="1679">
        <f>ROUND(E17/(IF(Iniciar!$C$10="Kilos",1000,IF(Iniciar!$C$10="B X 40 K",40000,50000)))*LOOKUP($A17,'Sem-L'!$A$6:$A$23,'Sem-L'!$B$6:$B$23)*7,IF(Iniciar!$C$10="Kilos",0,1))</f>
        <v>0</v>
      </c>
      <c r="H17" s="1680">
        <f>ROUND(F17/(IF(Iniciar!$C$10="Kilos",1000,IF(Iniciar!$C$10="B X 40 K",40000,50000)))*LOOKUP($A17,'Sem-L'!$A$6:$A$23,'Sem-L'!$B$6:$B$23)*7,IF(Iniciar!$C$10="Kilos",0,1))</f>
        <v>0</v>
      </c>
      <c r="I17" s="1649"/>
      <c r="J17" s="1508">
        <f t="shared" si="0"/>
        <v>1</v>
      </c>
    </row>
    <row r="18" spans="1:10" ht="21.95" customHeight="1" x14ac:dyDescent="0.35">
      <c r="A18" s="1669">
        <v>14</v>
      </c>
      <c r="B18" s="1645" t="str">
        <f t="shared" si="2"/>
        <v/>
      </c>
      <c r="C18" s="1645" t="str">
        <f t="shared" si="1"/>
        <v/>
      </c>
      <c r="D18" s="1676"/>
      <c r="E18" s="1677">
        <f>LOOKUP(A18,'Sem-L'!$A$6:$A$23,'Sem-L'!$K$6:$K$23)</f>
        <v>0</v>
      </c>
      <c r="F18" s="1678">
        <f>LOOKUP(A18,'Sem-L'!$A$6:$A$23,'Sem-L'!$M$6:$M$23)</f>
        <v>0</v>
      </c>
      <c r="G18" s="1679">
        <f>ROUND(E18/(IF(Iniciar!$C$10="Kilos",1000,IF(Iniciar!$C$10="B X 40 K",40000,50000)))*LOOKUP($A18,'Sem-L'!$A$6:$A$23,'Sem-L'!$B$6:$B$23)*7,IF(Iniciar!$C$10="Kilos",0,1))</f>
        <v>0</v>
      </c>
      <c r="H18" s="1680">
        <f>ROUND(F18/(IF(Iniciar!$C$10="Kilos",1000,IF(Iniciar!$C$10="B X 40 K",40000,50000)))*LOOKUP($A18,'Sem-L'!$A$6:$A$23,'Sem-L'!$B$6:$B$23)*7,IF(Iniciar!$C$10="Kilos",0,1))</f>
        <v>0</v>
      </c>
      <c r="I18" s="1649"/>
      <c r="J18" s="1508">
        <f t="shared" si="0"/>
        <v>1</v>
      </c>
    </row>
    <row r="19" spans="1:10" ht="21.95" customHeight="1" x14ac:dyDescent="0.35">
      <c r="A19" s="1669">
        <v>15</v>
      </c>
      <c r="B19" s="1645" t="str">
        <f t="shared" si="2"/>
        <v/>
      </c>
      <c r="C19" s="1645" t="str">
        <f t="shared" si="1"/>
        <v/>
      </c>
      <c r="D19" s="1676"/>
      <c r="E19" s="1677">
        <f>LOOKUP(A19,'Sem-L'!$A$6:$A$23,'Sem-L'!$K$6:$K$23)</f>
        <v>0</v>
      </c>
      <c r="F19" s="1678">
        <f>LOOKUP(A19,'Sem-L'!$A$6:$A$23,'Sem-L'!$M$6:$M$23)</f>
        <v>0</v>
      </c>
      <c r="G19" s="1679">
        <f>ROUND(E19/(IF(Iniciar!$C$10="Kilos",1000,IF(Iniciar!$C$10="B X 40 K",40000,50000)))*LOOKUP($A19,'Sem-L'!$A$6:$A$23,'Sem-L'!$B$6:$B$23)*7,IF(Iniciar!$C$10="Kilos",0,1))</f>
        <v>0</v>
      </c>
      <c r="H19" s="1680">
        <f>ROUND(F19/(IF(Iniciar!$C$10="Kilos",1000,IF(Iniciar!$C$10="B X 40 K",40000,50000)))*LOOKUP($A19,'Sem-L'!$A$6:$A$23,'Sem-L'!$B$6:$B$23)*7,IF(Iniciar!$C$10="Kilos",0,1))</f>
        <v>0</v>
      </c>
      <c r="I19" s="1649"/>
      <c r="J19" s="1508">
        <f t="shared" si="0"/>
        <v>1</v>
      </c>
    </row>
    <row r="20" spans="1:10" ht="21.95" customHeight="1" x14ac:dyDescent="0.35">
      <c r="A20" s="1669">
        <v>16</v>
      </c>
      <c r="B20" s="1645" t="str">
        <f t="shared" si="2"/>
        <v/>
      </c>
      <c r="C20" s="1645" t="str">
        <f t="shared" si="1"/>
        <v/>
      </c>
      <c r="D20" s="1676"/>
      <c r="E20" s="1677">
        <f>LOOKUP(A20,'Sem-L'!$A$6:$A$23,'Sem-L'!$K$6:$K$23)</f>
        <v>0</v>
      </c>
      <c r="F20" s="1678">
        <f>LOOKUP(A20,'Sem-L'!$A$6:$A$23,'Sem-L'!$M$6:$M$23)</f>
        <v>0</v>
      </c>
      <c r="G20" s="1679">
        <f>ROUND(E20/(IF(Iniciar!$C$10="Kilos",1000,IF(Iniciar!$C$10="B X 40 K",40000,50000)))*LOOKUP($A20,'Sem-L'!$A$6:$A$23,'Sem-L'!$B$6:$B$23)*7,IF(Iniciar!$C$10="Kilos",0,1))</f>
        <v>0</v>
      </c>
      <c r="H20" s="1680">
        <f>ROUND(F20/(IF(Iniciar!$C$10="Kilos",1000,IF(Iniciar!$C$10="B X 40 K",40000,50000)))*LOOKUP($A20,'Sem-L'!$A$6:$A$23,'Sem-L'!$B$6:$B$23)*7,IF(Iniciar!$C$10="Kilos",0,1))</f>
        <v>0</v>
      </c>
      <c r="I20" s="1649"/>
      <c r="J20" s="1508">
        <f t="shared" si="0"/>
        <v>1</v>
      </c>
    </row>
    <row r="21" spans="1:10" ht="21.95" customHeight="1" x14ac:dyDescent="0.35">
      <c r="A21" s="1669">
        <v>17</v>
      </c>
      <c r="B21" s="1645" t="str">
        <f t="shared" si="2"/>
        <v/>
      </c>
      <c r="C21" s="1645" t="str">
        <f t="shared" si="1"/>
        <v/>
      </c>
      <c r="D21" s="1676"/>
      <c r="E21" s="1677">
        <f>LOOKUP(A21,'Sem-L'!$A$6:$A$23,'Sem-L'!$K$6:$K$23)</f>
        <v>0</v>
      </c>
      <c r="F21" s="1678">
        <f>LOOKUP(A21,'Sem-L'!$A$6:$A$23,'Sem-L'!$M$6:$M$23)</f>
        <v>0</v>
      </c>
      <c r="G21" s="1679">
        <f>ROUND(E21/(IF(Iniciar!$C$10="Kilos",1000,IF(Iniciar!$C$10="B X 40 K",40000,50000)))*LOOKUP($A21,'Sem-L'!$A$6:$A$23,'Sem-L'!$B$6:$B$23)*7,IF(Iniciar!$C$10="Kilos",0,1))</f>
        <v>0</v>
      </c>
      <c r="H21" s="1680">
        <f>ROUND(F21/(IF(Iniciar!$C$10="Kilos",1000,IF(Iniciar!$C$10="B X 40 K",40000,50000)))*LOOKUP($A21,'Sem-L'!$A$6:$A$23,'Sem-L'!$B$6:$B$23)*7,IF(Iniciar!$C$10="Kilos",0,1))</f>
        <v>0</v>
      </c>
      <c r="I21" s="1649"/>
      <c r="J21" s="1508">
        <f t="shared" si="0"/>
        <v>1</v>
      </c>
    </row>
    <row r="22" spans="1:10" ht="21.95" customHeight="1" thickBot="1" x14ac:dyDescent="0.4">
      <c r="A22" s="1670">
        <v>18</v>
      </c>
      <c r="B22" s="1651" t="str">
        <f t="shared" si="2"/>
        <v/>
      </c>
      <c r="C22" s="1651" t="str">
        <f t="shared" si="1"/>
        <v/>
      </c>
      <c r="D22" s="1681"/>
      <c r="E22" s="1682">
        <f>LOOKUP(A22,'Sem-L'!$A$6:$A$23,'Sem-L'!$K$6:$K$23)</f>
        <v>0</v>
      </c>
      <c r="F22" s="1683">
        <f>LOOKUP(A22,'Sem-L'!$A$6:$A$23,'Sem-L'!$M$6:$M$23)</f>
        <v>0</v>
      </c>
      <c r="G22" s="1684">
        <f>ROUND(E22/(IF(Iniciar!$C$10="Kilos",1000,IF(Iniciar!$C$10="B X 40 K",40000,50000)))*LOOKUP($A22,'Sem-L'!$A$6:$A$23,'Sem-L'!$B$6:$B$23)*7,IF(Iniciar!$C$10="Kilos",0,1))</f>
        <v>0</v>
      </c>
      <c r="H22" s="1685">
        <f>ROUND(F22/(IF(Iniciar!$C$10="Kilos",1000,IF(Iniciar!$C$10="B X 40 K",40000,50000)))*LOOKUP($A22,'Sem-L'!$A$6:$A$23,'Sem-L'!$B$6:$B$23)*7,IF(Iniciar!$C$10="Kilos",0,1))</f>
        <v>0</v>
      </c>
      <c r="I22" s="1655"/>
      <c r="J22" s="1508">
        <f t="shared" si="0"/>
        <v>1</v>
      </c>
    </row>
    <row r="23" spans="1:10" ht="15.75" customHeight="1" x14ac:dyDescent="0.3">
      <c r="A23" s="1509" t="s">
        <v>134</v>
      </c>
      <c r="B23" s="1509" t="s">
        <v>134</v>
      </c>
      <c r="C23" s="1509" t="s">
        <v>134</v>
      </c>
      <c r="D23" s="1509" t="s">
        <v>134</v>
      </c>
      <c r="E23" s="1511"/>
      <c r="F23" s="1511"/>
      <c r="G23" s="1511"/>
      <c r="H23" s="1511"/>
      <c r="I23" s="1509" t="s">
        <v>134</v>
      </c>
    </row>
    <row r="24" spans="1:10" ht="15.75" customHeight="1" x14ac:dyDescent="0.15">
      <c r="A24" s="1509"/>
      <c r="B24" s="1509"/>
      <c r="C24" s="1509"/>
      <c r="D24" s="1509"/>
      <c r="E24" s="1509"/>
      <c r="F24" s="1509"/>
      <c r="G24" s="1509"/>
      <c r="H24" s="1509"/>
      <c r="I24" s="1510"/>
    </row>
    <row r="25" spans="1:10" x14ac:dyDescent="0.15"/>
    <row r="26" spans="1:10" x14ac:dyDescent="0.15"/>
    <row r="27" spans="1:10" x14ac:dyDescent="0.15"/>
    <row r="28" spans="1:10" x14ac:dyDescent="0.15"/>
    <row r="29" spans="1:10" x14ac:dyDescent="0.15"/>
    <row r="30" spans="1:10" x14ac:dyDescent="0.15"/>
    <row r="31" spans="1:10" x14ac:dyDescent="0.15"/>
    <row r="32" spans="1:10"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sheetData>
  <sheetProtection algorithmName="SHA-512" hashValue="bfRR1a0SZ6jpSVu+f1ZdgPRz8TeOU+E6G7aSMAuLtN5nykxMi8iDQyEuu2K9r+dDae0CGRc/xInh4Z0ha1iJfQ==" saltValue="c60HRSOID7r/tnk2u07XZw==" spinCount="100000" sheet="1" objects="1" scenarios="1" formatCells="0" formatColumns="0" formatRows="0" autoFilter="0"/>
  <autoFilter ref="C4:H22" xr:uid="{00000000-0009-0000-0000-000002000000}"/>
  <mergeCells count="5">
    <mergeCell ref="A1:B3"/>
    <mergeCell ref="C1:H1"/>
    <mergeCell ref="E2:H2"/>
    <mergeCell ref="I2:I3"/>
    <mergeCell ref="E3:H3"/>
  </mergeCells>
  <conditionalFormatting sqref="E5:H22">
    <cfRule type="expression" dxfId="32" priority="1">
      <formula>ISERROR(E5)</formula>
    </cfRule>
  </conditionalFormatting>
  <dataValidations count="1">
    <dataValidation type="list" allowBlank="1" showInputMessage="1" showErrorMessage="1" sqref="D5:D22" xr:uid="{FA2E861E-509B-41F6-97DF-3E8756569132}">
      <formula1>TIPO_ALIMENTO</formula1>
    </dataValidation>
  </dataValidations>
  <printOptions horizontalCentered="1" verticalCentered="1"/>
  <pageMargins left="0.43307086614173229" right="0.55118110236220474" top="0.51181102362204722" bottom="0.31496062992125984" header="0" footer="0"/>
  <pageSetup scale="59" orientation="landscape" r:id="rId1"/>
  <headerFooter alignWithMargins="0">
    <oddFooter>&amp;LFecha de Impresión : &amp;D&amp;R&amp;8&amp;Z&amp;F;  &amp;A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5C37D-13B5-4584-8033-410DBE8DD817}">
  <sheetPr codeName="Hoja15">
    <pageSetUpPr fitToPage="1"/>
  </sheetPr>
  <dimension ref="A1:AB64"/>
  <sheetViews>
    <sheetView showGridLines="0" showRowColHeaders="0" zoomScale="115" zoomScaleNormal="115" zoomScaleSheetLayoutView="100" workbookViewId="0">
      <pane xSplit="14" ySplit="4" topLeftCell="O54" activePane="bottomRight" state="frozen"/>
      <selection sqref="A1:F3"/>
      <selection pane="topRight" sqref="A1:F3"/>
      <selection pane="bottomLeft" sqref="A1:F3"/>
      <selection pane="bottomRight" activeCell="C54" sqref="C54:M54"/>
    </sheetView>
  </sheetViews>
  <sheetFormatPr baseColWidth="10" defaultColWidth="8" defaultRowHeight="16.5" x14ac:dyDescent="0.3"/>
  <cols>
    <col min="1" max="1" width="6.5" style="1514" customWidth="1"/>
    <col min="2" max="3" width="9.875" style="1514" customWidth="1"/>
    <col min="4" max="5" width="7.5" style="1522" customWidth="1"/>
    <col min="6" max="6" width="9.875" style="1522" bestFit="1" customWidth="1"/>
    <col min="7" max="7" width="11.875" style="1522" customWidth="1"/>
    <col min="8" max="8" width="11.25" style="1522" customWidth="1"/>
    <col min="9" max="9" width="12" style="1514" customWidth="1"/>
    <col min="10" max="11" width="11.375" style="1514" customWidth="1"/>
    <col min="12" max="12" width="12" style="1514" customWidth="1"/>
    <col min="13" max="13" width="9.375" style="1514" customWidth="1"/>
    <col min="14" max="14" width="10.5" style="1514" customWidth="1"/>
    <col min="15" max="15" width="8" style="1514" customWidth="1"/>
    <col min="16" max="16384" width="8" style="1514"/>
  </cols>
  <sheetData>
    <row r="1" spans="1:16" ht="24.75" customHeight="1" thickBot="1" x14ac:dyDescent="0.35">
      <c r="A1" s="1733"/>
      <c r="B1" s="1733"/>
      <c r="C1" s="1733"/>
      <c r="D1" s="1742" t="s">
        <v>516</v>
      </c>
      <c r="E1" s="1742"/>
      <c r="F1" s="1742"/>
      <c r="G1" s="1742"/>
      <c r="H1" s="1742"/>
      <c r="I1" s="1742"/>
      <c r="J1" s="1742"/>
      <c r="K1" s="1735" t="s">
        <v>502</v>
      </c>
      <c r="L1" s="1735"/>
      <c r="M1" s="1513"/>
      <c r="N1" s="1513"/>
    </row>
    <row r="2" spans="1:16" ht="18.75" x14ac:dyDescent="0.3">
      <c r="A2" s="1733"/>
      <c r="B2" s="1733"/>
      <c r="C2" s="1733"/>
      <c r="D2" s="1729" t="str">
        <f>Iniciar!B2</f>
        <v xml:space="preserve">Nombre / Razón Social </v>
      </c>
      <c r="E2" s="1730"/>
      <c r="F2" s="1730"/>
      <c r="G2" s="1736" t="str">
        <f>Iniciar!$C$2</f>
        <v xml:space="preserve"> </v>
      </c>
      <c r="H2" s="1737"/>
      <c r="I2" s="1737"/>
      <c r="J2" s="1721" t="s">
        <v>517</v>
      </c>
      <c r="K2" s="1738">
        <f>Linea</f>
        <v>0</v>
      </c>
      <c r="L2" s="1739"/>
      <c r="M2" s="1721" t="str">
        <f>Iniciar!B4</f>
        <v xml:space="preserve">Lote # : </v>
      </c>
      <c r="N2" s="1723">
        <f>LOTE</f>
        <v>0</v>
      </c>
    </row>
    <row r="3" spans="1:16" ht="17.25" thickBot="1" x14ac:dyDescent="0.35">
      <c r="A3" s="1734"/>
      <c r="B3" s="1734"/>
      <c r="C3" s="1734"/>
      <c r="D3" s="1731" t="str">
        <f>Iniciar!B5</f>
        <v xml:space="preserve">Fecha nacimiento (1er día de vida) : </v>
      </c>
      <c r="E3" s="1732"/>
      <c r="F3" s="1732"/>
      <c r="G3" s="1725" t="str">
        <f>IF(Fnac&gt;0,Fnac,"")</f>
        <v/>
      </c>
      <c r="H3" s="1726"/>
      <c r="I3" s="1726"/>
      <c r="J3" s="1722"/>
      <c r="K3" s="1740"/>
      <c r="L3" s="1741"/>
      <c r="M3" s="1722"/>
      <c r="N3" s="1724"/>
    </row>
    <row r="4" spans="1:16" ht="44.25" customHeight="1" x14ac:dyDescent="0.3">
      <c r="A4" s="1597" t="s">
        <v>539</v>
      </c>
      <c r="B4" s="1598" t="s">
        <v>540</v>
      </c>
      <c r="C4" s="1598" t="s">
        <v>541</v>
      </c>
      <c r="D4" s="1599" t="s">
        <v>518</v>
      </c>
      <c r="E4" s="1599" t="s">
        <v>519</v>
      </c>
      <c r="F4" s="1600" t="s">
        <v>520</v>
      </c>
      <c r="G4" s="1600" t="s">
        <v>521</v>
      </c>
      <c r="H4" s="1600" t="s">
        <v>522</v>
      </c>
      <c r="I4" s="1600" t="s">
        <v>523</v>
      </c>
      <c r="J4" s="1598" t="s">
        <v>524</v>
      </c>
      <c r="K4" s="1598" t="s">
        <v>525</v>
      </c>
      <c r="L4" s="1600" t="s">
        <v>526</v>
      </c>
      <c r="M4" s="1600" t="s">
        <v>527</v>
      </c>
      <c r="N4" s="1601" t="s">
        <v>528</v>
      </c>
      <c r="P4" s="1515"/>
    </row>
    <row r="5" spans="1:16" ht="18.75" x14ac:dyDescent="0.35">
      <c r="A5" s="1602">
        <v>1</v>
      </c>
      <c r="B5" s="1604" t="str">
        <f>$G$3</f>
        <v/>
      </c>
      <c r="C5" s="1604" t="str">
        <f t="shared" ref="C5:C28" si="0">IF(B5="","",B5+6)</f>
        <v/>
      </c>
      <c r="D5" s="1605"/>
      <c r="E5" s="1605"/>
      <c r="F5" s="1606">
        <f>IF((D5+E5/60)&gt;N5,(D5+E5/60)-N5,0)</f>
        <v>0</v>
      </c>
      <c r="G5" s="1607"/>
      <c r="H5" s="1606">
        <f>F5-G5</f>
        <v>0</v>
      </c>
      <c r="I5" s="1608">
        <f>((J5*24)-(G5))/24</f>
        <v>0</v>
      </c>
      <c r="J5" s="1609">
        <f>SUMIFS(Luz_Natural[hora amanecer],Luz_Natural[semaño],WEEKNUM(B5),Luz_Natural[País],'PROGR-ILUM'!$K$1)</f>
        <v>0</v>
      </c>
      <c r="K5" s="1610">
        <f>SUMIFS(Luz_Natural[hora atardecer],Luz_Natural[semaño],WEEKNUM(B5),Luz_Natural[País],'PROGR-ILUM'!$K$1)</f>
        <v>0</v>
      </c>
      <c r="L5" s="1608">
        <f>((K5*24)+(H5))/24</f>
        <v>0</v>
      </c>
      <c r="M5" s="1611">
        <f>L5-I5</f>
        <v>0</v>
      </c>
      <c r="N5" s="1612">
        <f>(K5-J5)*24</f>
        <v>0</v>
      </c>
      <c r="O5" s="1516"/>
    </row>
    <row r="6" spans="1:16" ht="18.75" x14ac:dyDescent="0.35">
      <c r="A6" s="1602">
        <v>2</v>
      </c>
      <c r="B6" s="1604" t="str">
        <f t="shared" ref="B6:B28" si="1">IF(B5="","",C5+1)</f>
        <v/>
      </c>
      <c r="C6" s="1604" t="str">
        <f t="shared" si="0"/>
        <v/>
      </c>
      <c r="D6" s="1605"/>
      <c r="E6" s="1605"/>
      <c r="F6" s="1606">
        <f t="shared" ref="F6:F28" si="2">IF((D6+E6/60)&gt;N6,(D6+E6/60)-N6,0)</f>
        <v>0</v>
      </c>
      <c r="G6" s="1607"/>
      <c r="H6" s="1606">
        <f>F6-G6</f>
        <v>0</v>
      </c>
      <c r="I6" s="1608">
        <f t="shared" ref="I6:I28" si="3">((J6*24)-(G6))/24</f>
        <v>0</v>
      </c>
      <c r="J6" s="1609">
        <f>SUMIFS(Luz_Natural[hora amanecer],Luz_Natural[semaño],WEEKNUM(B6),Luz_Natural[País],'PROGR-ILUM'!$K$1)</f>
        <v>0</v>
      </c>
      <c r="K6" s="1610">
        <f>SUMIFS(Luz_Natural[hora atardecer],Luz_Natural[semaño],WEEKNUM(B6),Luz_Natural[País],'PROGR-ILUM'!$K$1)</f>
        <v>0</v>
      </c>
      <c r="L6" s="1608">
        <f t="shared" ref="L6:L28" si="4">((K6*24)+(H6))/24</f>
        <v>0</v>
      </c>
      <c r="M6" s="1611">
        <f t="shared" ref="M6:M28" si="5">L6-I6</f>
        <v>0</v>
      </c>
      <c r="N6" s="1612">
        <f t="shared" ref="N6:N28" si="6">(K6-J6)*24</f>
        <v>0</v>
      </c>
      <c r="O6" s="1516"/>
    </row>
    <row r="7" spans="1:16" ht="18.75" x14ac:dyDescent="0.35">
      <c r="A7" s="1602">
        <v>3</v>
      </c>
      <c r="B7" s="1604" t="str">
        <f t="shared" si="1"/>
        <v/>
      </c>
      <c r="C7" s="1604" t="str">
        <f t="shared" si="0"/>
        <v/>
      </c>
      <c r="D7" s="1605"/>
      <c r="E7" s="1605"/>
      <c r="F7" s="1606">
        <f t="shared" si="2"/>
        <v>0</v>
      </c>
      <c r="G7" s="1607"/>
      <c r="H7" s="1606">
        <f t="shared" ref="H7:H28" si="7">F7-G7</f>
        <v>0</v>
      </c>
      <c r="I7" s="1608">
        <f t="shared" si="3"/>
        <v>0</v>
      </c>
      <c r="J7" s="1609">
        <f>SUMIFS(Luz_Natural[hora amanecer],Luz_Natural[semaño],WEEKNUM(B7),Luz_Natural[País],'PROGR-ILUM'!$K$1)</f>
        <v>0</v>
      </c>
      <c r="K7" s="1610">
        <f>SUMIFS(Luz_Natural[hora atardecer],Luz_Natural[semaño],WEEKNUM(B7),Luz_Natural[País],'PROGR-ILUM'!$K$1)</f>
        <v>0</v>
      </c>
      <c r="L7" s="1608">
        <f t="shared" si="4"/>
        <v>0</v>
      </c>
      <c r="M7" s="1611">
        <f t="shared" si="5"/>
        <v>0</v>
      </c>
      <c r="N7" s="1612">
        <f t="shared" si="6"/>
        <v>0</v>
      </c>
      <c r="O7" s="1516"/>
    </row>
    <row r="8" spans="1:16" ht="18.75" x14ac:dyDescent="0.35">
      <c r="A8" s="1602">
        <v>4</v>
      </c>
      <c r="B8" s="1604" t="str">
        <f t="shared" si="1"/>
        <v/>
      </c>
      <c r="C8" s="1604" t="str">
        <f t="shared" si="0"/>
        <v/>
      </c>
      <c r="D8" s="1605"/>
      <c r="E8" s="1605"/>
      <c r="F8" s="1606">
        <f t="shared" si="2"/>
        <v>0</v>
      </c>
      <c r="G8" s="1607"/>
      <c r="H8" s="1606">
        <f t="shared" si="7"/>
        <v>0</v>
      </c>
      <c r="I8" s="1608">
        <f>((J8*24)-(G8))/24</f>
        <v>0</v>
      </c>
      <c r="J8" s="1609">
        <f>SUMIFS(Luz_Natural[hora amanecer],Luz_Natural[semaño],WEEKNUM(B8),Luz_Natural[País],'PROGR-ILUM'!$K$1)</f>
        <v>0</v>
      </c>
      <c r="K8" s="1610">
        <f>SUMIFS(Luz_Natural[hora atardecer],Luz_Natural[semaño],WEEKNUM(B8),Luz_Natural[País],'PROGR-ILUM'!$K$1)</f>
        <v>0</v>
      </c>
      <c r="L8" s="1608">
        <f t="shared" si="4"/>
        <v>0</v>
      </c>
      <c r="M8" s="1611">
        <f t="shared" si="5"/>
        <v>0</v>
      </c>
      <c r="N8" s="1612">
        <f t="shared" si="6"/>
        <v>0</v>
      </c>
      <c r="O8" s="1516"/>
    </row>
    <row r="9" spans="1:16" ht="18.75" x14ac:dyDescent="0.35">
      <c r="A9" s="1602">
        <v>5</v>
      </c>
      <c r="B9" s="1604" t="str">
        <f t="shared" si="1"/>
        <v/>
      </c>
      <c r="C9" s="1604" t="str">
        <f t="shared" si="0"/>
        <v/>
      </c>
      <c r="D9" s="1605"/>
      <c r="E9" s="1605"/>
      <c r="F9" s="1606">
        <f t="shared" si="2"/>
        <v>0</v>
      </c>
      <c r="G9" s="1607"/>
      <c r="H9" s="1606">
        <f t="shared" si="7"/>
        <v>0</v>
      </c>
      <c r="I9" s="1608">
        <f>((J9*24)-(G9))/24</f>
        <v>0</v>
      </c>
      <c r="J9" s="1609">
        <f>SUMIFS(Luz_Natural[hora amanecer],Luz_Natural[semaño],WEEKNUM(B9),Luz_Natural[País],'PROGR-ILUM'!$K$1)</f>
        <v>0</v>
      </c>
      <c r="K9" s="1610">
        <f>SUMIFS(Luz_Natural[hora atardecer],Luz_Natural[semaño],WEEKNUM(B9),Luz_Natural[País],'PROGR-ILUM'!$K$1)</f>
        <v>0</v>
      </c>
      <c r="L9" s="1608">
        <f t="shared" si="4"/>
        <v>0</v>
      </c>
      <c r="M9" s="1611">
        <f t="shared" si="5"/>
        <v>0</v>
      </c>
      <c r="N9" s="1612">
        <f t="shared" si="6"/>
        <v>0</v>
      </c>
      <c r="O9" s="1516"/>
    </row>
    <row r="10" spans="1:16" ht="18.75" x14ac:dyDescent="0.35">
      <c r="A10" s="1602">
        <v>6</v>
      </c>
      <c r="B10" s="1604" t="str">
        <f t="shared" si="1"/>
        <v/>
      </c>
      <c r="C10" s="1604" t="str">
        <f t="shared" si="0"/>
        <v/>
      </c>
      <c r="D10" s="1605"/>
      <c r="E10" s="1605"/>
      <c r="F10" s="1606">
        <f t="shared" si="2"/>
        <v>0</v>
      </c>
      <c r="G10" s="1607"/>
      <c r="H10" s="1606">
        <f t="shared" si="7"/>
        <v>0</v>
      </c>
      <c r="I10" s="1608">
        <f t="shared" si="3"/>
        <v>0</v>
      </c>
      <c r="J10" s="1609">
        <f>SUMIFS(Luz_Natural[hora amanecer],Luz_Natural[semaño],WEEKNUM(B10),Luz_Natural[País],'PROGR-ILUM'!$K$1)</f>
        <v>0</v>
      </c>
      <c r="K10" s="1610">
        <f>SUMIFS(Luz_Natural[hora atardecer],Luz_Natural[semaño],WEEKNUM(B10),Luz_Natural[País],'PROGR-ILUM'!$K$1)</f>
        <v>0</v>
      </c>
      <c r="L10" s="1608">
        <f t="shared" si="4"/>
        <v>0</v>
      </c>
      <c r="M10" s="1611">
        <f t="shared" si="5"/>
        <v>0</v>
      </c>
      <c r="N10" s="1612">
        <f t="shared" si="6"/>
        <v>0</v>
      </c>
      <c r="O10" s="1516"/>
    </row>
    <row r="11" spans="1:16" ht="18.75" x14ac:dyDescent="0.35">
      <c r="A11" s="1602">
        <v>7</v>
      </c>
      <c r="B11" s="1604" t="str">
        <f t="shared" si="1"/>
        <v/>
      </c>
      <c r="C11" s="1604" t="str">
        <f t="shared" si="0"/>
        <v/>
      </c>
      <c r="D11" s="1605"/>
      <c r="E11" s="1605"/>
      <c r="F11" s="1606">
        <f t="shared" si="2"/>
        <v>0</v>
      </c>
      <c r="G11" s="1607"/>
      <c r="H11" s="1606">
        <f t="shared" si="7"/>
        <v>0</v>
      </c>
      <c r="I11" s="1608">
        <f t="shared" si="3"/>
        <v>0</v>
      </c>
      <c r="J11" s="1609">
        <f>SUMIFS(Luz_Natural[hora amanecer],Luz_Natural[semaño],WEEKNUM(B11),Luz_Natural[País],'PROGR-ILUM'!$K$1)</f>
        <v>0</v>
      </c>
      <c r="K11" s="1610">
        <f>SUMIFS(Luz_Natural[hora atardecer],Luz_Natural[semaño],WEEKNUM(B11),Luz_Natural[País],'PROGR-ILUM'!$K$1)</f>
        <v>0</v>
      </c>
      <c r="L11" s="1608">
        <f t="shared" si="4"/>
        <v>0</v>
      </c>
      <c r="M11" s="1611">
        <f t="shared" si="5"/>
        <v>0</v>
      </c>
      <c r="N11" s="1612">
        <f t="shared" si="6"/>
        <v>0</v>
      </c>
      <c r="O11" s="1516"/>
    </row>
    <row r="12" spans="1:16" ht="18.75" x14ac:dyDescent="0.35">
      <c r="A12" s="1602">
        <v>8</v>
      </c>
      <c r="B12" s="1604" t="str">
        <f t="shared" si="1"/>
        <v/>
      </c>
      <c r="C12" s="1604" t="str">
        <f t="shared" si="0"/>
        <v/>
      </c>
      <c r="D12" s="1605"/>
      <c r="E12" s="1605"/>
      <c r="F12" s="1606">
        <f t="shared" si="2"/>
        <v>0</v>
      </c>
      <c r="G12" s="1607"/>
      <c r="H12" s="1606">
        <f t="shared" si="7"/>
        <v>0</v>
      </c>
      <c r="I12" s="1608">
        <f t="shared" si="3"/>
        <v>0</v>
      </c>
      <c r="J12" s="1609">
        <f>SUMIFS(Luz_Natural[hora amanecer],Luz_Natural[semaño],WEEKNUM(B12),Luz_Natural[País],'PROGR-ILUM'!$K$1)</f>
        <v>0</v>
      </c>
      <c r="K12" s="1610">
        <f>SUMIFS(Luz_Natural[hora atardecer],Luz_Natural[semaño],WEEKNUM(B12),Luz_Natural[País],'PROGR-ILUM'!$K$1)</f>
        <v>0</v>
      </c>
      <c r="L12" s="1608">
        <f t="shared" si="4"/>
        <v>0</v>
      </c>
      <c r="M12" s="1611">
        <f t="shared" si="5"/>
        <v>0</v>
      </c>
      <c r="N12" s="1612">
        <f t="shared" si="6"/>
        <v>0</v>
      </c>
      <c r="O12" s="1516"/>
    </row>
    <row r="13" spans="1:16" ht="18.75" x14ac:dyDescent="0.35">
      <c r="A13" s="1602">
        <v>9</v>
      </c>
      <c r="B13" s="1604" t="str">
        <f t="shared" si="1"/>
        <v/>
      </c>
      <c r="C13" s="1604" t="str">
        <f t="shared" si="0"/>
        <v/>
      </c>
      <c r="D13" s="1605"/>
      <c r="E13" s="1605"/>
      <c r="F13" s="1606">
        <f t="shared" si="2"/>
        <v>0</v>
      </c>
      <c r="G13" s="1607"/>
      <c r="H13" s="1606">
        <f t="shared" si="7"/>
        <v>0</v>
      </c>
      <c r="I13" s="1608">
        <f t="shared" si="3"/>
        <v>0</v>
      </c>
      <c r="J13" s="1609">
        <f>SUMIFS(Luz_Natural[hora amanecer],Luz_Natural[semaño],WEEKNUM(B13),Luz_Natural[País],'PROGR-ILUM'!$K$1)</f>
        <v>0</v>
      </c>
      <c r="K13" s="1610">
        <f>SUMIFS(Luz_Natural[hora atardecer],Luz_Natural[semaño],WEEKNUM(B13),Luz_Natural[País],'PROGR-ILUM'!$K$1)</f>
        <v>0</v>
      </c>
      <c r="L13" s="1608">
        <f t="shared" si="4"/>
        <v>0</v>
      </c>
      <c r="M13" s="1611">
        <f t="shared" si="5"/>
        <v>0</v>
      </c>
      <c r="N13" s="1612">
        <f t="shared" si="6"/>
        <v>0</v>
      </c>
      <c r="O13" s="1516"/>
    </row>
    <row r="14" spans="1:16" ht="18.75" x14ac:dyDescent="0.35">
      <c r="A14" s="1602">
        <v>10</v>
      </c>
      <c r="B14" s="1604" t="str">
        <f t="shared" si="1"/>
        <v/>
      </c>
      <c r="C14" s="1604" t="str">
        <f t="shared" si="0"/>
        <v/>
      </c>
      <c r="D14" s="1605"/>
      <c r="E14" s="1605"/>
      <c r="F14" s="1606">
        <f t="shared" si="2"/>
        <v>0</v>
      </c>
      <c r="G14" s="1607"/>
      <c r="H14" s="1606">
        <f t="shared" si="7"/>
        <v>0</v>
      </c>
      <c r="I14" s="1608">
        <f t="shared" si="3"/>
        <v>0</v>
      </c>
      <c r="J14" s="1609">
        <f>SUMIFS(Luz_Natural[hora amanecer],Luz_Natural[semaño],WEEKNUM(B14),Luz_Natural[País],'PROGR-ILUM'!$K$1)</f>
        <v>0</v>
      </c>
      <c r="K14" s="1610">
        <f>SUMIFS(Luz_Natural[hora atardecer],Luz_Natural[semaño],WEEKNUM(B14),Luz_Natural[País],'PROGR-ILUM'!$K$1)</f>
        <v>0</v>
      </c>
      <c r="L14" s="1608">
        <f t="shared" si="4"/>
        <v>0</v>
      </c>
      <c r="M14" s="1611">
        <f t="shared" si="5"/>
        <v>0</v>
      </c>
      <c r="N14" s="1612">
        <f t="shared" si="6"/>
        <v>0</v>
      </c>
      <c r="O14" s="1516"/>
    </row>
    <row r="15" spans="1:16" ht="18.75" x14ac:dyDescent="0.35">
      <c r="A15" s="1602">
        <v>11</v>
      </c>
      <c r="B15" s="1604" t="str">
        <f t="shared" si="1"/>
        <v/>
      </c>
      <c r="C15" s="1604" t="str">
        <f t="shared" si="0"/>
        <v/>
      </c>
      <c r="D15" s="1605"/>
      <c r="E15" s="1605"/>
      <c r="F15" s="1606">
        <f t="shared" si="2"/>
        <v>0</v>
      </c>
      <c r="G15" s="1607"/>
      <c r="H15" s="1606">
        <f t="shared" si="7"/>
        <v>0</v>
      </c>
      <c r="I15" s="1608">
        <f t="shared" si="3"/>
        <v>0</v>
      </c>
      <c r="J15" s="1609">
        <f>SUMIFS(Luz_Natural[hora amanecer],Luz_Natural[semaño],WEEKNUM(B15),Luz_Natural[País],'PROGR-ILUM'!$K$1)</f>
        <v>0</v>
      </c>
      <c r="K15" s="1610">
        <f>SUMIFS(Luz_Natural[hora atardecer],Luz_Natural[semaño],WEEKNUM(B15),Luz_Natural[País],'PROGR-ILUM'!$K$1)</f>
        <v>0</v>
      </c>
      <c r="L15" s="1608">
        <f t="shared" si="4"/>
        <v>0</v>
      </c>
      <c r="M15" s="1611">
        <f t="shared" si="5"/>
        <v>0</v>
      </c>
      <c r="N15" s="1612">
        <f t="shared" si="6"/>
        <v>0</v>
      </c>
      <c r="O15" s="1516"/>
    </row>
    <row r="16" spans="1:16" ht="18.75" x14ac:dyDescent="0.35">
      <c r="A16" s="1602">
        <v>12</v>
      </c>
      <c r="B16" s="1604" t="str">
        <f t="shared" si="1"/>
        <v/>
      </c>
      <c r="C16" s="1604" t="str">
        <f t="shared" si="0"/>
        <v/>
      </c>
      <c r="D16" s="1605"/>
      <c r="E16" s="1605"/>
      <c r="F16" s="1606">
        <f t="shared" si="2"/>
        <v>0</v>
      </c>
      <c r="G16" s="1607"/>
      <c r="H16" s="1606">
        <f t="shared" si="7"/>
        <v>0</v>
      </c>
      <c r="I16" s="1608">
        <f t="shared" si="3"/>
        <v>0</v>
      </c>
      <c r="J16" s="1609">
        <f>SUMIFS(Luz_Natural[hora amanecer],Luz_Natural[semaño],WEEKNUM(B16),Luz_Natural[País],'PROGR-ILUM'!$K$1)</f>
        <v>0</v>
      </c>
      <c r="K16" s="1610">
        <f>SUMIFS(Luz_Natural[hora atardecer],Luz_Natural[semaño],WEEKNUM(B16),Luz_Natural[País],'PROGR-ILUM'!$K$1)</f>
        <v>0</v>
      </c>
      <c r="L16" s="1608">
        <f t="shared" si="4"/>
        <v>0</v>
      </c>
      <c r="M16" s="1611">
        <f t="shared" si="5"/>
        <v>0</v>
      </c>
      <c r="N16" s="1612">
        <f t="shared" si="6"/>
        <v>0</v>
      </c>
      <c r="O16" s="1516"/>
    </row>
    <row r="17" spans="1:28" ht="18.75" x14ac:dyDescent="0.35">
      <c r="A17" s="1602">
        <v>13</v>
      </c>
      <c r="B17" s="1604" t="str">
        <f t="shared" si="1"/>
        <v/>
      </c>
      <c r="C17" s="1604" t="str">
        <f t="shared" si="0"/>
        <v/>
      </c>
      <c r="D17" s="1605"/>
      <c r="E17" s="1605"/>
      <c r="F17" s="1606">
        <f t="shared" si="2"/>
        <v>0</v>
      </c>
      <c r="G17" s="1607"/>
      <c r="H17" s="1606">
        <f t="shared" si="7"/>
        <v>0</v>
      </c>
      <c r="I17" s="1608">
        <f t="shared" si="3"/>
        <v>0</v>
      </c>
      <c r="J17" s="1609">
        <f>SUMIFS(Luz_Natural[hora amanecer],Luz_Natural[semaño],WEEKNUM(B17),Luz_Natural[País],'PROGR-ILUM'!$K$1)</f>
        <v>0</v>
      </c>
      <c r="K17" s="1610">
        <f>SUMIFS(Luz_Natural[hora atardecer],Luz_Natural[semaño],WEEKNUM(B17),Luz_Natural[País],'PROGR-ILUM'!$K$1)</f>
        <v>0</v>
      </c>
      <c r="L17" s="1608">
        <f t="shared" si="4"/>
        <v>0</v>
      </c>
      <c r="M17" s="1611">
        <f t="shared" si="5"/>
        <v>0</v>
      </c>
      <c r="N17" s="1612">
        <f t="shared" si="6"/>
        <v>0</v>
      </c>
      <c r="O17" s="1516"/>
    </row>
    <row r="18" spans="1:28" ht="18.75" x14ac:dyDescent="0.35">
      <c r="A18" s="1602">
        <v>14</v>
      </c>
      <c r="B18" s="1604" t="str">
        <f t="shared" si="1"/>
        <v/>
      </c>
      <c r="C18" s="1604" t="str">
        <f t="shared" si="0"/>
        <v/>
      </c>
      <c r="D18" s="1605"/>
      <c r="E18" s="1605"/>
      <c r="F18" s="1606">
        <f t="shared" si="2"/>
        <v>0</v>
      </c>
      <c r="G18" s="1607"/>
      <c r="H18" s="1606">
        <f t="shared" si="7"/>
        <v>0</v>
      </c>
      <c r="I18" s="1608">
        <f t="shared" si="3"/>
        <v>0</v>
      </c>
      <c r="J18" s="1609">
        <f>SUMIFS(Luz_Natural[hora amanecer],Luz_Natural[semaño],WEEKNUM(B18),Luz_Natural[País],'PROGR-ILUM'!$K$1)</f>
        <v>0</v>
      </c>
      <c r="K18" s="1610">
        <f>SUMIFS(Luz_Natural[hora atardecer],Luz_Natural[semaño],WEEKNUM(B18),Luz_Natural[País],'PROGR-ILUM'!$K$1)</f>
        <v>0</v>
      </c>
      <c r="L18" s="1608">
        <f t="shared" si="4"/>
        <v>0</v>
      </c>
      <c r="M18" s="1611">
        <f t="shared" si="5"/>
        <v>0</v>
      </c>
      <c r="N18" s="1612">
        <f t="shared" si="6"/>
        <v>0</v>
      </c>
      <c r="O18" s="1516"/>
    </row>
    <row r="19" spans="1:28" ht="18.75" x14ac:dyDescent="0.35">
      <c r="A19" s="1602">
        <v>15</v>
      </c>
      <c r="B19" s="1604" t="str">
        <f t="shared" si="1"/>
        <v/>
      </c>
      <c r="C19" s="1604" t="str">
        <f t="shared" si="0"/>
        <v/>
      </c>
      <c r="D19" s="1605"/>
      <c r="E19" s="1605"/>
      <c r="F19" s="1606">
        <f t="shared" si="2"/>
        <v>0</v>
      </c>
      <c r="G19" s="1607"/>
      <c r="H19" s="1606">
        <f t="shared" si="7"/>
        <v>0</v>
      </c>
      <c r="I19" s="1608">
        <f t="shared" si="3"/>
        <v>0</v>
      </c>
      <c r="J19" s="1609">
        <f>SUMIFS(Luz_Natural[hora amanecer],Luz_Natural[semaño],WEEKNUM(B19),Luz_Natural[País],'PROGR-ILUM'!$K$1)</f>
        <v>0</v>
      </c>
      <c r="K19" s="1610">
        <f>SUMIFS(Luz_Natural[hora atardecer],Luz_Natural[semaño],WEEKNUM(B19),Luz_Natural[País],'PROGR-ILUM'!$K$1)</f>
        <v>0</v>
      </c>
      <c r="L19" s="1608">
        <f t="shared" si="4"/>
        <v>0</v>
      </c>
      <c r="M19" s="1611">
        <f t="shared" si="5"/>
        <v>0</v>
      </c>
      <c r="N19" s="1612">
        <f t="shared" si="6"/>
        <v>0</v>
      </c>
      <c r="O19" s="1516"/>
    </row>
    <row r="20" spans="1:28" ht="18.75" x14ac:dyDescent="0.35">
      <c r="A20" s="1602">
        <v>16</v>
      </c>
      <c r="B20" s="1604" t="str">
        <f t="shared" si="1"/>
        <v/>
      </c>
      <c r="C20" s="1604" t="str">
        <f t="shared" si="0"/>
        <v/>
      </c>
      <c r="D20" s="1605"/>
      <c r="E20" s="1605"/>
      <c r="F20" s="1606">
        <f t="shared" si="2"/>
        <v>0</v>
      </c>
      <c r="G20" s="1607"/>
      <c r="H20" s="1606">
        <f t="shared" si="7"/>
        <v>0</v>
      </c>
      <c r="I20" s="1608">
        <f t="shared" si="3"/>
        <v>0</v>
      </c>
      <c r="J20" s="1609">
        <f>SUMIFS(Luz_Natural[hora amanecer],Luz_Natural[semaño],WEEKNUM(B20),Luz_Natural[País],'PROGR-ILUM'!$K$1)</f>
        <v>0</v>
      </c>
      <c r="K20" s="1610">
        <f>SUMIFS(Luz_Natural[hora atardecer],Luz_Natural[semaño],WEEKNUM(B20),Luz_Natural[País],'PROGR-ILUM'!$K$1)</f>
        <v>0</v>
      </c>
      <c r="L20" s="1608">
        <f t="shared" si="4"/>
        <v>0</v>
      </c>
      <c r="M20" s="1611">
        <f t="shared" si="5"/>
        <v>0</v>
      </c>
      <c r="N20" s="1612">
        <f t="shared" si="6"/>
        <v>0</v>
      </c>
      <c r="O20" s="1516"/>
    </row>
    <row r="21" spans="1:28" ht="18.75" x14ac:dyDescent="0.35">
      <c r="A21" s="1602">
        <v>17</v>
      </c>
      <c r="B21" s="1604" t="str">
        <f t="shared" si="1"/>
        <v/>
      </c>
      <c r="C21" s="1604" t="str">
        <f t="shared" si="0"/>
        <v/>
      </c>
      <c r="D21" s="1605"/>
      <c r="E21" s="1605"/>
      <c r="F21" s="1606">
        <f t="shared" si="2"/>
        <v>0</v>
      </c>
      <c r="G21" s="1607"/>
      <c r="H21" s="1606">
        <f t="shared" si="7"/>
        <v>0</v>
      </c>
      <c r="I21" s="1608">
        <f t="shared" si="3"/>
        <v>0</v>
      </c>
      <c r="J21" s="1609">
        <f>SUMIFS(Luz_Natural[hora amanecer],Luz_Natural[semaño],WEEKNUM(B21),Luz_Natural[País],'PROGR-ILUM'!$K$1)</f>
        <v>0</v>
      </c>
      <c r="K21" s="1610">
        <f>SUMIFS(Luz_Natural[hora atardecer],Luz_Natural[semaño],WEEKNUM(B21),Luz_Natural[País],'PROGR-ILUM'!$K$1)</f>
        <v>0</v>
      </c>
      <c r="L21" s="1608">
        <f t="shared" si="4"/>
        <v>0</v>
      </c>
      <c r="M21" s="1611">
        <f t="shared" si="5"/>
        <v>0</v>
      </c>
      <c r="N21" s="1612">
        <f t="shared" si="6"/>
        <v>0</v>
      </c>
      <c r="O21" s="1516"/>
    </row>
    <row r="22" spans="1:28" ht="18.75" x14ac:dyDescent="0.35">
      <c r="A22" s="1602">
        <v>18</v>
      </c>
      <c r="B22" s="1604" t="str">
        <f t="shared" si="1"/>
        <v/>
      </c>
      <c r="C22" s="1604" t="str">
        <f t="shared" si="0"/>
        <v/>
      </c>
      <c r="D22" s="1605"/>
      <c r="E22" s="1605"/>
      <c r="F22" s="1606">
        <f t="shared" si="2"/>
        <v>0</v>
      </c>
      <c r="G22" s="1607"/>
      <c r="H22" s="1606">
        <f t="shared" si="7"/>
        <v>0</v>
      </c>
      <c r="I22" s="1608">
        <f t="shared" si="3"/>
        <v>0</v>
      </c>
      <c r="J22" s="1609">
        <f>SUMIFS(Luz_Natural[hora amanecer],Luz_Natural[semaño],WEEKNUM(B22),Luz_Natural[País],'PROGR-ILUM'!$K$1)</f>
        <v>0</v>
      </c>
      <c r="K22" s="1610">
        <f>SUMIFS(Luz_Natural[hora atardecer],Luz_Natural[semaño],WEEKNUM(B22),Luz_Natural[País],'PROGR-ILUM'!$K$1)</f>
        <v>0</v>
      </c>
      <c r="L22" s="1608">
        <f t="shared" si="4"/>
        <v>0</v>
      </c>
      <c r="M22" s="1611">
        <f t="shared" si="5"/>
        <v>0</v>
      </c>
      <c r="N22" s="1612">
        <f t="shared" si="6"/>
        <v>0</v>
      </c>
      <c r="O22" s="1516"/>
    </row>
    <row r="23" spans="1:28" ht="18.75" x14ac:dyDescent="0.35">
      <c r="A23" s="1602">
        <v>19</v>
      </c>
      <c r="B23" s="1604" t="str">
        <f t="shared" si="1"/>
        <v/>
      </c>
      <c r="C23" s="1604" t="str">
        <f t="shared" si="0"/>
        <v/>
      </c>
      <c r="D23" s="1605"/>
      <c r="E23" s="1605"/>
      <c r="F23" s="1606">
        <f t="shared" si="2"/>
        <v>0</v>
      </c>
      <c r="G23" s="1607"/>
      <c r="H23" s="1606">
        <f t="shared" si="7"/>
        <v>0</v>
      </c>
      <c r="I23" s="1608">
        <f t="shared" si="3"/>
        <v>0</v>
      </c>
      <c r="J23" s="1609">
        <f>SUMIFS(Luz_Natural[hora amanecer],Luz_Natural[semaño],WEEKNUM(B23),Luz_Natural[País],'PROGR-ILUM'!$K$1)</f>
        <v>0</v>
      </c>
      <c r="K23" s="1610">
        <f>SUMIFS(Luz_Natural[hora atardecer],Luz_Natural[semaño],WEEKNUM(B23),Luz_Natural[País],'PROGR-ILUM'!$K$1)</f>
        <v>0</v>
      </c>
      <c r="L23" s="1608">
        <f t="shared" si="4"/>
        <v>0</v>
      </c>
      <c r="M23" s="1611">
        <f t="shared" si="5"/>
        <v>0</v>
      </c>
      <c r="N23" s="1612">
        <f t="shared" si="6"/>
        <v>0</v>
      </c>
      <c r="O23" s="1516"/>
    </row>
    <row r="24" spans="1:28" ht="18.75" x14ac:dyDescent="0.35">
      <c r="A24" s="1602">
        <v>20</v>
      </c>
      <c r="B24" s="1604" t="str">
        <f t="shared" si="1"/>
        <v/>
      </c>
      <c r="C24" s="1604" t="str">
        <f t="shared" si="0"/>
        <v/>
      </c>
      <c r="D24" s="1605"/>
      <c r="E24" s="1605"/>
      <c r="F24" s="1606">
        <f t="shared" si="2"/>
        <v>0</v>
      </c>
      <c r="G24" s="1607"/>
      <c r="H24" s="1606">
        <f t="shared" si="7"/>
        <v>0</v>
      </c>
      <c r="I24" s="1608">
        <f t="shared" si="3"/>
        <v>0</v>
      </c>
      <c r="J24" s="1609">
        <f>SUMIFS(Luz_Natural[hora amanecer],Luz_Natural[semaño],WEEKNUM(B24),Luz_Natural[País],'PROGR-ILUM'!$K$1)</f>
        <v>0</v>
      </c>
      <c r="K24" s="1610">
        <f>SUMIFS(Luz_Natural[hora atardecer],Luz_Natural[semaño],WEEKNUM(B24),Luz_Natural[País],'PROGR-ILUM'!$K$1)</f>
        <v>0</v>
      </c>
      <c r="L24" s="1608">
        <f t="shared" si="4"/>
        <v>0</v>
      </c>
      <c r="M24" s="1611">
        <f t="shared" si="5"/>
        <v>0</v>
      </c>
      <c r="N24" s="1612">
        <f t="shared" si="6"/>
        <v>0</v>
      </c>
      <c r="O24" s="1516"/>
    </row>
    <row r="25" spans="1:28" ht="18.75" x14ac:dyDescent="0.35">
      <c r="A25" s="1602">
        <v>21</v>
      </c>
      <c r="B25" s="1604" t="str">
        <f t="shared" si="1"/>
        <v/>
      </c>
      <c r="C25" s="1604" t="str">
        <f t="shared" si="0"/>
        <v/>
      </c>
      <c r="D25" s="1605"/>
      <c r="E25" s="1605"/>
      <c r="F25" s="1606">
        <f t="shared" si="2"/>
        <v>0</v>
      </c>
      <c r="G25" s="1607"/>
      <c r="H25" s="1606">
        <f t="shared" si="7"/>
        <v>0</v>
      </c>
      <c r="I25" s="1608">
        <f t="shared" si="3"/>
        <v>0</v>
      </c>
      <c r="J25" s="1609">
        <f>SUMIFS(Luz_Natural[hora amanecer],Luz_Natural[semaño],WEEKNUM(B25),Luz_Natural[País],'PROGR-ILUM'!$K$1)</f>
        <v>0</v>
      </c>
      <c r="K25" s="1610">
        <f>SUMIFS(Luz_Natural[hora atardecer],Luz_Natural[semaño],WEEKNUM(B25),Luz_Natural[País],'PROGR-ILUM'!$K$1)</f>
        <v>0</v>
      </c>
      <c r="L25" s="1608">
        <f t="shared" si="4"/>
        <v>0</v>
      </c>
      <c r="M25" s="1611">
        <f t="shared" si="5"/>
        <v>0</v>
      </c>
      <c r="N25" s="1612">
        <f t="shared" si="6"/>
        <v>0</v>
      </c>
      <c r="O25" s="1516"/>
    </row>
    <row r="26" spans="1:28" ht="18.75" x14ac:dyDescent="0.35">
      <c r="A26" s="1602">
        <v>22</v>
      </c>
      <c r="B26" s="1604" t="str">
        <f t="shared" si="1"/>
        <v/>
      </c>
      <c r="C26" s="1604" t="str">
        <f t="shared" si="0"/>
        <v/>
      </c>
      <c r="D26" s="1605"/>
      <c r="E26" s="1605"/>
      <c r="F26" s="1606">
        <f t="shared" si="2"/>
        <v>0</v>
      </c>
      <c r="G26" s="1607"/>
      <c r="H26" s="1606">
        <f t="shared" si="7"/>
        <v>0</v>
      </c>
      <c r="I26" s="1608">
        <f t="shared" si="3"/>
        <v>0</v>
      </c>
      <c r="J26" s="1609">
        <f>SUMIFS(Luz_Natural[hora amanecer],Luz_Natural[semaño],WEEKNUM(B26),Luz_Natural[País],'PROGR-ILUM'!$K$1)</f>
        <v>0</v>
      </c>
      <c r="K26" s="1610">
        <f>SUMIFS(Luz_Natural[hora atardecer],Luz_Natural[semaño],WEEKNUM(B26),Luz_Natural[País],'PROGR-ILUM'!$K$1)</f>
        <v>0</v>
      </c>
      <c r="L26" s="1608">
        <f t="shared" si="4"/>
        <v>0</v>
      </c>
      <c r="M26" s="1611">
        <f t="shared" si="5"/>
        <v>0</v>
      </c>
      <c r="N26" s="1612">
        <f t="shared" si="6"/>
        <v>0</v>
      </c>
      <c r="O26" s="1516"/>
    </row>
    <row r="27" spans="1:28" ht="18.75" x14ac:dyDescent="0.35">
      <c r="A27" s="1602">
        <v>23</v>
      </c>
      <c r="B27" s="1604" t="str">
        <f t="shared" si="1"/>
        <v/>
      </c>
      <c r="C27" s="1604" t="str">
        <f t="shared" si="0"/>
        <v/>
      </c>
      <c r="D27" s="1605"/>
      <c r="E27" s="1605"/>
      <c r="F27" s="1606">
        <f t="shared" si="2"/>
        <v>0</v>
      </c>
      <c r="G27" s="1607"/>
      <c r="H27" s="1606">
        <f t="shared" si="7"/>
        <v>0</v>
      </c>
      <c r="I27" s="1608">
        <f t="shared" si="3"/>
        <v>0</v>
      </c>
      <c r="J27" s="1609">
        <f>SUMIFS(Luz_Natural[hora amanecer],Luz_Natural[semaño],WEEKNUM(B27),Luz_Natural[País],'PROGR-ILUM'!$K$1)</f>
        <v>0</v>
      </c>
      <c r="K27" s="1610">
        <f>SUMIFS(Luz_Natural[hora atardecer],Luz_Natural[semaño],WEEKNUM(B27),Luz_Natural[País],'PROGR-ILUM'!$K$1)</f>
        <v>0</v>
      </c>
      <c r="L27" s="1608">
        <f t="shared" si="4"/>
        <v>0</v>
      </c>
      <c r="M27" s="1611">
        <f t="shared" si="5"/>
        <v>0</v>
      </c>
      <c r="N27" s="1612">
        <f t="shared" si="6"/>
        <v>0</v>
      </c>
      <c r="O27" s="1516"/>
    </row>
    <row r="28" spans="1:28" ht="19.5" thickBot="1" x14ac:dyDescent="0.4">
      <c r="A28" s="1603" t="s">
        <v>529</v>
      </c>
      <c r="B28" s="1613" t="str">
        <f t="shared" si="1"/>
        <v/>
      </c>
      <c r="C28" s="1613" t="str">
        <f t="shared" si="0"/>
        <v/>
      </c>
      <c r="D28" s="1614"/>
      <c r="E28" s="1614"/>
      <c r="F28" s="1615">
        <f t="shared" si="2"/>
        <v>0</v>
      </c>
      <c r="G28" s="1616"/>
      <c r="H28" s="1617">
        <f t="shared" si="7"/>
        <v>0</v>
      </c>
      <c r="I28" s="1618">
        <f t="shared" si="3"/>
        <v>0</v>
      </c>
      <c r="J28" s="1619">
        <f>SUMIFS(Luz_Natural[hora amanecer],Luz_Natural[semaño],WEEKNUM(B28),Luz_Natural[País],'PROGR-ILUM'!$K$1)</f>
        <v>0</v>
      </c>
      <c r="K28" s="1620">
        <f>SUMIFS(Luz_Natural[hora atardecer],Luz_Natural[semaño],WEEKNUM(B28),Luz_Natural[País],'PROGR-ILUM'!$K$1)</f>
        <v>0</v>
      </c>
      <c r="L28" s="1618">
        <f t="shared" si="4"/>
        <v>0</v>
      </c>
      <c r="M28" s="1621">
        <f t="shared" si="5"/>
        <v>0</v>
      </c>
      <c r="N28" s="1622">
        <f t="shared" si="6"/>
        <v>0</v>
      </c>
      <c r="O28" s="1516"/>
    </row>
    <row r="29" spans="1:28" ht="12.75" customHeight="1" x14ac:dyDescent="0.3">
      <c r="A29" s="1512"/>
      <c r="B29" s="1512"/>
      <c r="C29" s="1512"/>
      <c r="D29" s="1517"/>
      <c r="E29" s="1517"/>
      <c r="F29" s="1517"/>
      <c r="G29" s="1517"/>
      <c r="H29" s="1518"/>
      <c r="I29" s="1519"/>
      <c r="J29" s="1519"/>
      <c r="K29" s="1519"/>
      <c r="L29" s="1519"/>
      <c r="M29" s="1519"/>
      <c r="N29" s="1512"/>
      <c r="R29" s="1520"/>
      <c r="S29" s="1520"/>
      <c r="T29" s="1520"/>
      <c r="U29" s="1520"/>
      <c r="V29" s="1520"/>
      <c r="W29" s="1520"/>
      <c r="X29" s="1520"/>
      <c r="Y29" s="1520"/>
      <c r="Z29" s="1520"/>
      <c r="AA29" s="1520"/>
      <c r="AB29" s="1520"/>
    </row>
    <row r="30" spans="1:28" x14ac:dyDescent="0.3">
      <c r="A30" s="1512"/>
      <c r="B30" s="1512" t="s">
        <v>530</v>
      </c>
      <c r="C30" s="1512"/>
      <c r="D30" s="1517"/>
      <c r="E30" s="1517"/>
      <c r="F30" s="1517"/>
      <c r="G30" s="1517"/>
      <c r="H30" s="1517"/>
      <c r="I30" s="1512"/>
      <c r="J30" s="1512"/>
      <c r="K30" s="1512"/>
      <c r="L30" s="1512"/>
      <c r="M30" s="1512"/>
      <c r="N30" s="1512"/>
      <c r="R30" s="1520"/>
      <c r="S30" s="1520"/>
      <c r="T30" s="1520"/>
      <c r="U30" s="1520"/>
      <c r="V30" s="1520"/>
      <c r="W30" s="1520"/>
      <c r="X30" s="1520"/>
      <c r="Y30" s="1520"/>
      <c r="Z30" s="1520"/>
      <c r="AA30" s="1520"/>
      <c r="AB30" s="1520"/>
    </row>
    <row r="31" spans="1:28" x14ac:dyDescent="0.3">
      <c r="A31" s="1512"/>
      <c r="B31" s="1521">
        <v>4</v>
      </c>
      <c r="C31" s="1512"/>
      <c r="D31" s="1517"/>
      <c r="E31" s="1517"/>
      <c r="F31" s="1517"/>
      <c r="G31" s="1517"/>
      <c r="H31" s="1517"/>
      <c r="I31" s="1512"/>
      <c r="J31" s="1512"/>
      <c r="K31" s="1512"/>
      <c r="L31" s="1512"/>
      <c r="M31" s="1512"/>
      <c r="N31" s="1512"/>
    </row>
    <row r="32" spans="1:28" x14ac:dyDescent="0.3">
      <c r="A32" s="1512"/>
      <c r="B32" s="1521">
        <v>2</v>
      </c>
      <c r="C32" s="1512"/>
      <c r="D32" s="1517"/>
      <c r="E32" s="1517"/>
      <c r="F32" s="1517"/>
      <c r="G32" s="1517"/>
      <c r="H32" s="1517"/>
      <c r="I32" s="1512"/>
      <c r="J32" s="1512"/>
      <c r="K32" s="1512"/>
      <c r="L32" s="1512"/>
      <c r="M32" s="1512"/>
      <c r="N32" s="1512"/>
    </row>
    <row r="33" spans="1:14" x14ac:dyDescent="0.3">
      <c r="A33" s="1512"/>
      <c r="B33" s="1521">
        <v>4</v>
      </c>
      <c r="C33" s="1512"/>
      <c r="D33" s="1517"/>
      <c r="E33" s="1517"/>
      <c r="F33" s="1517"/>
      <c r="G33" s="1517"/>
      <c r="H33" s="1517"/>
      <c r="I33" s="1512"/>
      <c r="J33" s="1512"/>
      <c r="K33" s="1512"/>
      <c r="L33" s="1512"/>
      <c r="M33" s="1512"/>
      <c r="N33" s="1512"/>
    </row>
    <row r="34" spans="1:14" x14ac:dyDescent="0.3">
      <c r="A34" s="1512"/>
      <c r="B34" s="1521">
        <v>2</v>
      </c>
      <c r="C34" s="1512"/>
      <c r="D34" s="1517"/>
      <c r="E34" s="1517"/>
      <c r="F34" s="1517"/>
      <c r="G34" s="1517"/>
      <c r="H34" s="1517"/>
      <c r="I34" s="1512"/>
      <c r="J34" s="1512"/>
      <c r="K34" s="1512"/>
      <c r="L34" s="1512"/>
      <c r="M34" s="1512"/>
      <c r="N34" s="1512"/>
    </row>
    <row r="35" spans="1:14" x14ac:dyDescent="0.3">
      <c r="A35" s="1512"/>
      <c r="B35" s="1521">
        <v>4</v>
      </c>
      <c r="C35" s="1512"/>
      <c r="D35" s="1517"/>
      <c r="E35" s="1517"/>
      <c r="F35" s="1517"/>
      <c r="G35" s="1517"/>
      <c r="H35" s="1517"/>
      <c r="I35" s="1512"/>
      <c r="J35" s="1512"/>
      <c r="K35" s="1512"/>
      <c r="L35" s="1512"/>
      <c r="M35" s="1512"/>
      <c r="N35" s="1512"/>
    </row>
    <row r="36" spans="1:14" x14ac:dyDescent="0.3">
      <c r="A36" s="1512"/>
      <c r="B36" s="1521">
        <v>2</v>
      </c>
      <c r="C36" s="1512"/>
      <c r="D36" s="1517"/>
      <c r="E36" s="1517"/>
      <c r="F36" s="1517"/>
      <c r="G36" s="1517"/>
      <c r="H36" s="1517"/>
      <c r="I36" s="1512"/>
      <c r="J36" s="1512"/>
      <c r="K36" s="1512"/>
      <c r="L36" s="1512"/>
      <c r="M36" s="1512"/>
      <c r="N36" s="1512"/>
    </row>
    <row r="37" spans="1:14" x14ac:dyDescent="0.3">
      <c r="A37" s="1512"/>
      <c r="B37" s="1521">
        <v>4</v>
      </c>
      <c r="C37" s="1512"/>
      <c r="D37" s="1517"/>
      <c r="E37" s="1517"/>
      <c r="F37" s="1517"/>
      <c r="G37" s="1517"/>
      <c r="H37" s="1517"/>
      <c r="I37" s="1512"/>
      <c r="J37" s="1512"/>
      <c r="K37" s="1512"/>
      <c r="L37" s="1512"/>
      <c r="M37" s="1512"/>
      <c r="N37" s="1512"/>
    </row>
    <row r="38" spans="1:14" x14ac:dyDescent="0.3">
      <c r="A38" s="1512"/>
      <c r="B38" s="1521">
        <v>2</v>
      </c>
      <c r="C38" s="1512"/>
      <c r="D38" s="1517"/>
      <c r="E38" s="1517"/>
      <c r="F38" s="1517"/>
      <c r="G38" s="1517"/>
      <c r="H38" s="1517"/>
      <c r="I38" s="1512"/>
      <c r="J38" s="1512"/>
      <c r="K38" s="1512"/>
      <c r="L38" s="1512"/>
      <c r="M38" s="1512"/>
      <c r="N38" s="1512"/>
    </row>
    <row r="39" spans="1:14" x14ac:dyDescent="0.3">
      <c r="A39" s="1512"/>
      <c r="B39" s="1512"/>
      <c r="C39" s="1512"/>
      <c r="D39" s="1517"/>
      <c r="E39" s="1517"/>
      <c r="F39" s="1517"/>
      <c r="G39" s="1517"/>
      <c r="H39" s="1517"/>
      <c r="I39" s="1512"/>
      <c r="J39" s="1512"/>
      <c r="K39" s="1512"/>
      <c r="L39" s="1512"/>
      <c r="M39" s="1512"/>
      <c r="N39" s="1512"/>
    </row>
    <row r="40" spans="1:14" x14ac:dyDescent="0.3">
      <c r="A40" s="1512"/>
      <c r="B40" s="1512"/>
      <c r="C40" s="1512"/>
      <c r="D40" s="1517"/>
      <c r="E40" s="1517"/>
      <c r="F40" s="1517"/>
      <c r="G40" s="1517"/>
      <c r="H40" s="1517"/>
      <c r="I40" s="1512"/>
      <c r="J40" s="1512"/>
      <c r="K40" s="1512"/>
      <c r="L40" s="1512"/>
      <c r="M40" s="1512"/>
      <c r="N40" s="1512"/>
    </row>
    <row r="41" spans="1:14" x14ac:dyDescent="0.3">
      <c r="A41" s="1512"/>
      <c r="B41" s="1512"/>
      <c r="C41" s="1512"/>
      <c r="D41" s="1517"/>
      <c r="E41" s="1517"/>
      <c r="F41" s="1517"/>
      <c r="G41" s="1517"/>
      <c r="H41" s="1517"/>
      <c r="I41" s="1512"/>
      <c r="J41" s="1512"/>
      <c r="K41" s="1512"/>
      <c r="L41" s="1512"/>
      <c r="M41" s="1512"/>
      <c r="N41" s="1512"/>
    </row>
    <row r="42" spans="1:14" x14ac:dyDescent="0.3">
      <c r="A42" s="1512"/>
      <c r="B42" s="1512"/>
      <c r="C42" s="1512"/>
      <c r="D42" s="1517"/>
      <c r="E42" s="1517"/>
      <c r="F42" s="1517"/>
      <c r="G42" s="1517"/>
      <c r="H42" s="1517"/>
      <c r="I42" s="1512"/>
      <c r="J42" s="1512"/>
      <c r="K42" s="1512"/>
      <c r="L42" s="1512"/>
      <c r="M42" s="1512"/>
      <c r="N42" s="1512"/>
    </row>
    <row r="43" spans="1:14" x14ac:dyDescent="0.3">
      <c r="A43" s="1512"/>
      <c r="B43" s="1512"/>
      <c r="C43" s="1512"/>
      <c r="D43" s="1517"/>
      <c r="E43" s="1517"/>
      <c r="F43" s="1517"/>
      <c r="G43" s="1517"/>
      <c r="H43" s="1517"/>
      <c r="I43" s="1512"/>
      <c r="J43" s="1512"/>
      <c r="K43" s="1512"/>
      <c r="L43" s="1512"/>
      <c r="M43" s="1512"/>
      <c r="N43" s="1512"/>
    </row>
    <row r="44" spans="1:14" x14ac:dyDescent="0.3">
      <c r="A44" s="1512"/>
      <c r="B44" s="1512"/>
      <c r="C44" s="1512"/>
      <c r="D44" s="1517"/>
      <c r="E44" s="1517"/>
      <c r="F44" s="1517"/>
      <c r="G44" s="1517"/>
      <c r="H44" s="1517"/>
      <c r="I44" s="1512"/>
      <c r="J44" s="1512"/>
      <c r="K44" s="1512"/>
      <c r="L44" s="1512"/>
      <c r="M44" s="1512"/>
      <c r="N44" s="1512"/>
    </row>
    <row r="45" spans="1:14" x14ac:dyDescent="0.3">
      <c r="A45" s="1512"/>
      <c r="B45" s="1512"/>
      <c r="C45" s="1512"/>
      <c r="D45" s="1517"/>
      <c r="E45" s="1517"/>
      <c r="F45" s="1517"/>
      <c r="G45" s="1517"/>
      <c r="H45" s="1517"/>
      <c r="I45" s="1512"/>
      <c r="J45" s="1512"/>
      <c r="K45" s="1512"/>
      <c r="L45" s="1512"/>
      <c r="M45" s="1512"/>
      <c r="N45" s="1512"/>
    </row>
    <row r="46" spans="1:14" x14ac:dyDescent="0.3">
      <c r="A46" s="1512"/>
      <c r="B46" s="1512"/>
      <c r="C46" s="1512"/>
      <c r="D46" s="1517"/>
      <c r="E46" s="1517"/>
      <c r="F46" s="1517"/>
      <c r="G46" s="1517"/>
      <c r="H46" s="1517"/>
      <c r="I46" s="1512"/>
      <c r="J46" s="1512"/>
      <c r="K46" s="1512"/>
      <c r="L46" s="1512"/>
      <c r="M46" s="1512"/>
      <c r="N46" s="1512"/>
    </row>
    <row r="47" spans="1:14" x14ac:dyDescent="0.3">
      <c r="A47" s="1512"/>
      <c r="B47" s="1512"/>
      <c r="C47" s="1512"/>
      <c r="D47" s="1517"/>
      <c r="E47" s="1517"/>
      <c r="F47" s="1517"/>
      <c r="G47" s="1517"/>
      <c r="H47" s="1517"/>
      <c r="I47" s="1512"/>
      <c r="J47" s="1512"/>
      <c r="K47" s="1512"/>
      <c r="L47" s="1512"/>
      <c r="M47" s="1512"/>
      <c r="N47" s="1512"/>
    </row>
    <row r="48" spans="1:14" x14ac:dyDescent="0.3">
      <c r="A48" s="1512"/>
      <c r="B48" s="1512"/>
      <c r="C48" s="1512"/>
      <c r="D48" s="1517"/>
      <c r="E48" s="1517"/>
      <c r="F48" s="1517"/>
      <c r="G48" s="1517"/>
      <c r="H48" s="1517"/>
      <c r="I48" s="1512"/>
      <c r="J48" s="1512"/>
      <c r="K48" s="1512"/>
      <c r="L48" s="1512"/>
      <c r="M48" s="1512"/>
      <c r="N48" s="1512"/>
    </row>
    <row r="49" spans="1:14" x14ac:dyDescent="0.3">
      <c r="A49" s="1512"/>
      <c r="B49" s="1512"/>
      <c r="C49" s="1512"/>
      <c r="D49" s="1517"/>
      <c r="E49" s="1517"/>
      <c r="F49" s="1517"/>
      <c r="G49" s="1517"/>
      <c r="H49" s="1517"/>
      <c r="I49" s="1512"/>
      <c r="J49" s="1512"/>
      <c r="K49" s="1512"/>
      <c r="L49" s="1512"/>
      <c r="M49" s="1512"/>
      <c r="N49" s="1512"/>
    </row>
    <row r="50" spans="1:14" x14ac:dyDescent="0.3">
      <c r="A50" s="1512"/>
      <c r="B50" s="1512"/>
      <c r="C50" s="1512"/>
      <c r="D50" s="1517"/>
      <c r="E50" s="1517"/>
      <c r="F50" s="1517"/>
      <c r="G50" s="1517"/>
      <c r="H50" s="1517"/>
      <c r="I50" s="1512"/>
      <c r="J50" s="1512"/>
      <c r="K50" s="1512"/>
      <c r="L50" s="1512"/>
      <c r="M50" s="1512"/>
      <c r="N50" s="1512"/>
    </row>
    <row r="51" spans="1:14" x14ac:dyDescent="0.3">
      <c r="A51" s="1512"/>
      <c r="B51" s="1512"/>
      <c r="C51" s="1512"/>
      <c r="D51" s="1517"/>
      <c r="E51" s="1517"/>
      <c r="F51" s="1517"/>
      <c r="G51" s="1517"/>
      <c r="H51" s="1517"/>
      <c r="I51" s="1512"/>
      <c r="J51" s="1512"/>
      <c r="K51" s="1512"/>
      <c r="L51" s="1512"/>
      <c r="M51" s="1512"/>
      <c r="N51" s="1512"/>
    </row>
    <row r="52" spans="1:14" x14ac:dyDescent="0.3">
      <c r="A52" s="1512"/>
      <c r="B52" s="1512"/>
      <c r="C52" s="1512"/>
      <c r="D52" s="1517"/>
      <c r="E52" s="1517"/>
      <c r="F52" s="1517"/>
      <c r="G52" s="1517"/>
      <c r="H52" s="1517"/>
      <c r="I52" s="1512"/>
      <c r="J52" s="1512"/>
      <c r="K52" s="1512"/>
      <c r="L52" s="1512"/>
      <c r="M52" s="1512"/>
      <c r="N52" s="1512"/>
    </row>
    <row r="53" spans="1:14" x14ac:dyDescent="0.3">
      <c r="A53" s="1512"/>
      <c r="B53" s="1512"/>
      <c r="C53" s="1512"/>
      <c r="D53" s="1517"/>
      <c r="E53" s="1517"/>
      <c r="F53" s="1517"/>
      <c r="G53" s="1517"/>
      <c r="H53" s="1517"/>
      <c r="I53" s="1512"/>
      <c r="J53" s="1512"/>
      <c r="K53" s="1512"/>
      <c r="L53" s="1512"/>
      <c r="M53" s="1512"/>
      <c r="N53" s="1512"/>
    </row>
    <row r="54" spans="1:14" ht="27" customHeight="1" x14ac:dyDescent="0.3">
      <c r="A54" s="1512"/>
      <c r="B54" s="1512"/>
      <c r="C54" s="1727" t="s">
        <v>531</v>
      </c>
      <c r="D54" s="1727"/>
      <c r="E54" s="1727"/>
      <c r="F54" s="1727"/>
      <c r="G54" s="1727"/>
      <c r="H54" s="1727"/>
      <c r="I54" s="1727"/>
      <c r="J54" s="1727"/>
      <c r="K54" s="1727"/>
      <c r="L54" s="1727"/>
      <c r="M54" s="1727"/>
      <c r="N54" s="1512"/>
    </row>
    <row r="55" spans="1:14" ht="18" customHeight="1" x14ac:dyDescent="0.3">
      <c r="A55" s="1512"/>
      <c r="B55" s="1512"/>
      <c r="C55" s="1728" t="s">
        <v>532</v>
      </c>
      <c r="D55" s="1728"/>
      <c r="E55" s="1728"/>
      <c r="F55" s="1728"/>
      <c r="G55" s="1728"/>
      <c r="H55" s="1728"/>
      <c r="I55" s="1728"/>
      <c r="J55" s="1728"/>
      <c r="K55" s="1728"/>
      <c r="L55" s="1728"/>
      <c r="M55" s="1728"/>
      <c r="N55" s="1512"/>
    </row>
    <row r="56" spans="1:14" ht="48.75" customHeight="1" x14ac:dyDescent="0.3">
      <c r="A56" s="1512"/>
      <c r="B56" s="1512"/>
      <c r="C56" s="1719" t="s">
        <v>542</v>
      </c>
      <c r="D56" s="1719"/>
      <c r="E56" s="1719"/>
      <c r="F56" s="1719"/>
      <c r="G56" s="1719"/>
      <c r="H56" s="1719"/>
      <c r="I56" s="1719"/>
      <c r="J56" s="1719"/>
      <c r="K56" s="1719"/>
      <c r="L56" s="1719"/>
      <c r="M56" s="1719"/>
      <c r="N56" s="1512"/>
    </row>
    <row r="57" spans="1:14" ht="53.25" customHeight="1" x14ac:dyDescent="0.3">
      <c r="A57" s="1512"/>
      <c r="B57" s="1512"/>
      <c r="C57" s="1720" t="s">
        <v>533</v>
      </c>
      <c r="D57" s="1720"/>
      <c r="E57" s="1720"/>
      <c r="F57" s="1720"/>
      <c r="G57" s="1720"/>
      <c r="H57" s="1720"/>
      <c r="I57" s="1720"/>
      <c r="J57" s="1720"/>
      <c r="K57" s="1720"/>
      <c r="L57" s="1720"/>
      <c r="M57" s="1720"/>
      <c r="N57" s="1512"/>
    </row>
    <row r="58" spans="1:14" ht="57.75" customHeight="1" x14ac:dyDescent="0.3">
      <c r="A58" s="1512"/>
      <c r="B58" s="1512"/>
      <c r="C58" s="1719" t="s">
        <v>534</v>
      </c>
      <c r="D58" s="1719"/>
      <c r="E58" s="1719"/>
      <c r="F58" s="1719"/>
      <c r="G58" s="1719"/>
      <c r="H58" s="1719"/>
      <c r="I58" s="1719"/>
      <c r="J58" s="1719"/>
      <c r="K58" s="1719"/>
      <c r="L58" s="1719"/>
      <c r="M58" s="1719"/>
      <c r="N58" s="1512"/>
    </row>
    <row r="59" spans="1:14" ht="57" customHeight="1" x14ac:dyDescent="0.3">
      <c r="A59" s="1512"/>
      <c r="B59" s="1512"/>
      <c r="C59" s="1720" t="s">
        <v>535</v>
      </c>
      <c r="D59" s="1720"/>
      <c r="E59" s="1720"/>
      <c r="F59" s="1720"/>
      <c r="G59" s="1720"/>
      <c r="H59" s="1720"/>
      <c r="I59" s="1720"/>
      <c r="J59" s="1720"/>
      <c r="K59" s="1720"/>
      <c r="L59" s="1720"/>
      <c r="M59" s="1720"/>
      <c r="N59" s="1512"/>
    </row>
    <row r="60" spans="1:14" ht="77.25" customHeight="1" x14ac:dyDescent="0.3">
      <c r="A60" s="1512"/>
      <c r="B60" s="1512"/>
      <c r="C60" s="1719" t="s">
        <v>543</v>
      </c>
      <c r="D60" s="1719"/>
      <c r="E60" s="1719"/>
      <c r="F60" s="1719"/>
      <c r="G60" s="1719"/>
      <c r="H60" s="1719"/>
      <c r="I60" s="1719"/>
      <c r="J60" s="1719"/>
      <c r="K60" s="1719"/>
      <c r="L60" s="1719"/>
      <c r="M60" s="1719"/>
      <c r="N60" s="1512"/>
    </row>
    <row r="61" spans="1:14" ht="29.25" customHeight="1" x14ac:dyDescent="0.3">
      <c r="A61" s="1512"/>
      <c r="B61" s="1512"/>
      <c r="C61" s="1720"/>
      <c r="D61" s="1720"/>
      <c r="E61" s="1720"/>
      <c r="F61" s="1720"/>
      <c r="G61" s="1720"/>
      <c r="H61" s="1720"/>
      <c r="I61" s="1720"/>
      <c r="J61" s="1720"/>
      <c r="K61" s="1720"/>
      <c r="L61" s="1720"/>
      <c r="M61" s="1720"/>
      <c r="N61" s="1512"/>
    </row>
    <row r="62" spans="1:14" x14ac:dyDescent="0.3">
      <c r="A62" s="1512"/>
      <c r="B62" s="1512"/>
      <c r="C62" s="1512"/>
      <c r="D62" s="1517"/>
      <c r="E62" s="1517"/>
      <c r="F62" s="1517"/>
      <c r="G62" s="1517"/>
      <c r="H62" s="1517"/>
      <c r="I62" s="1512"/>
      <c r="J62" s="1512"/>
      <c r="K62" s="1512"/>
      <c r="L62" s="1512"/>
      <c r="M62" s="1512"/>
      <c r="N62" s="1512"/>
    </row>
    <row r="63" spans="1:14" x14ac:dyDescent="0.3">
      <c r="A63" s="1512"/>
      <c r="B63" s="1512"/>
      <c r="C63" s="1512"/>
      <c r="D63" s="1517"/>
      <c r="E63" s="1517"/>
      <c r="F63" s="1517"/>
      <c r="G63" s="1517"/>
      <c r="H63" s="1517"/>
      <c r="I63" s="1512"/>
      <c r="J63" s="1512"/>
      <c r="K63" s="1512"/>
      <c r="L63" s="1512"/>
      <c r="M63" s="1512"/>
      <c r="N63" s="1512"/>
    </row>
    <row r="64" spans="1:14" x14ac:dyDescent="0.3">
      <c r="A64" s="1512"/>
      <c r="B64" s="1512"/>
      <c r="C64" s="1512"/>
      <c r="D64" s="1517"/>
      <c r="E64" s="1517"/>
      <c r="F64" s="1517"/>
      <c r="G64" s="1517"/>
      <c r="H64" s="1517"/>
      <c r="I64" s="1512"/>
      <c r="J64" s="1512"/>
      <c r="K64" s="1512"/>
      <c r="L64" s="1512"/>
      <c r="M64" s="1512"/>
      <c r="N64" s="1512"/>
    </row>
  </sheetData>
  <sheetProtection algorithmName="SHA-512" hashValue="pmRWzeMwwlFWGrXzmEVb9vHjecPWWKnsnGWsrygNtc7XwIMXeAmX1mEphcrZHh/3RLEAI0RpKpQJMKgNwXsY4w==" saltValue="D60BkgLMPPJqNtBDSM74cg==" spinCount="100000" sheet="1" objects="1" scenarios="1" formatColumns="0" formatRows="0" autoFilter="0" pivotTables="0"/>
  <mergeCells count="19">
    <mergeCell ref="N2:N3"/>
    <mergeCell ref="G3:I3"/>
    <mergeCell ref="C54:M54"/>
    <mergeCell ref="C55:M55"/>
    <mergeCell ref="D2:F2"/>
    <mergeCell ref="D3:F3"/>
    <mergeCell ref="A1:C3"/>
    <mergeCell ref="K1:L1"/>
    <mergeCell ref="G2:I2"/>
    <mergeCell ref="J2:J3"/>
    <mergeCell ref="K2:L3"/>
    <mergeCell ref="D1:J1"/>
    <mergeCell ref="C58:M58"/>
    <mergeCell ref="C59:M59"/>
    <mergeCell ref="C60:M60"/>
    <mergeCell ref="C61:M61"/>
    <mergeCell ref="M2:M3"/>
    <mergeCell ref="C56:M56"/>
    <mergeCell ref="C57:M57"/>
  </mergeCells>
  <dataValidations count="2">
    <dataValidation type="list" allowBlank="1" showInputMessage="1" showErrorMessage="1" sqref="K1:L1" xr:uid="{A0C8F1AF-2A27-42D8-93E5-725FE2318E47}">
      <formula1>"Colombia,Panamá,Ecuador,Perú"</formula1>
    </dataValidation>
    <dataValidation type="decimal" allowBlank="1" showInputMessage="1" showErrorMessage="1" sqref="G5:G9 G11:G28 G10" xr:uid="{8D5E1360-14C1-468B-A57B-E6F950F24D9C}">
      <formula1>0</formula1>
      <formula2>F5+1/60</formula2>
    </dataValidation>
  </dataValidations>
  <pageMargins left="0.7" right="0.7" top="0.64" bottom="0.53" header="0.41" footer="0.34"/>
  <pageSetup scale="77"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pageSetUpPr fitToPage="1"/>
  </sheetPr>
  <dimension ref="A1:W107"/>
  <sheetViews>
    <sheetView showGridLines="0" showRowColHeaders="0" showZeros="0" zoomScale="90" zoomScaleNormal="90" workbookViewId="0">
      <pane xSplit="4" ySplit="9" topLeftCell="E10" activePane="bottomRight" state="frozen"/>
      <selection activeCell="FJ3" sqref="FJ3"/>
      <selection pane="topRight" activeCell="FJ3" sqref="FJ3"/>
      <selection pane="bottomLeft" activeCell="FJ3" sqref="FJ3"/>
      <selection pane="bottomRight" activeCell="B10" sqref="B10"/>
    </sheetView>
  </sheetViews>
  <sheetFormatPr baseColWidth="10" defaultColWidth="0" defaultRowHeight="0" customHeight="1" zeroHeight="1" x14ac:dyDescent="0.15"/>
  <cols>
    <col min="1" max="1" width="6.375" style="45" customWidth="1"/>
    <col min="2" max="2" width="5.5" style="45" customWidth="1"/>
    <col min="3" max="4" width="12.25" style="45" customWidth="1"/>
    <col min="5" max="5" width="34.5" style="45" customWidth="1"/>
    <col min="6" max="6" width="10.875" style="45" customWidth="1"/>
    <col min="7" max="7" width="9.625" style="45" customWidth="1"/>
    <col min="8" max="8" width="18.125" style="45" customWidth="1"/>
    <col min="9" max="9" width="18.875" style="45" customWidth="1"/>
    <col min="10" max="11" width="10.875" style="45" customWidth="1"/>
    <col min="12" max="12" width="25.375" style="45" customWidth="1"/>
    <col min="13" max="13" width="8.25" style="45" customWidth="1"/>
    <col min="14" max="14" width="26.25" style="45" hidden="1" customWidth="1"/>
    <col min="15" max="16" width="0" style="45" hidden="1" customWidth="1"/>
    <col min="17" max="17" width="24" style="45" hidden="1" customWidth="1"/>
    <col min="18" max="18" width="0" style="45" hidden="1" customWidth="1"/>
    <col min="19" max="19" width="22.25" style="45" hidden="1" customWidth="1"/>
    <col min="20" max="20" width="36" style="45" hidden="1" customWidth="1"/>
    <col min="21" max="23" width="9.625" style="45" hidden="1" customWidth="1"/>
    <col min="24" max="16384" width="0" style="45" hidden="1"/>
  </cols>
  <sheetData>
    <row r="1" spans="1:13" ht="22.5" customHeight="1" x14ac:dyDescent="0.15">
      <c r="A1" s="1770" t="s">
        <v>248</v>
      </c>
      <c r="B1" s="1771"/>
      <c r="C1" s="1771"/>
      <c r="D1" s="1771"/>
      <c r="E1" s="1768">
        <f>GRANJALEV</f>
        <v>0</v>
      </c>
      <c r="F1" s="1769"/>
      <c r="G1" s="1752" t="str">
        <f>IF(Levante!I1&gt;0,Levante!I1," ¡ Eslogan empresarial ! ")</f>
        <v xml:space="preserve"> </v>
      </c>
      <c r="H1" s="1753"/>
      <c r="I1" s="1753"/>
      <c r="J1" s="1753"/>
      <c r="K1" s="733"/>
      <c r="L1" s="730"/>
      <c r="M1" s="44"/>
    </row>
    <row r="2" spans="1:13" ht="17.25" customHeight="1" x14ac:dyDescent="0.15">
      <c r="A2" s="1748" t="str">
        <f>Iniciar!B15</f>
        <v xml:space="preserve">Localización Granja : </v>
      </c>
      <c r="B2" s="1749"/>
      <c r="C2" s="1749"/>
      <c r="D2" s="1749"/>
      <c r="E2" s="1750">
        <f>Iniciar!C15</f>
        <v>0</v>
      </c>
      <c r="F2" s="1751"/>
      <c r="G2" s="1754"/>
      <c r="H2" s="1755"/>
      <c r="I2" s="1755"/>
      <c r="J2" s="1755"/>
      <c r="K2" s="734"/>
      <c r="L2" s="731"/>
      <c r="M2" s="46"/>
    </row>
    <row r="3" spans="1:13" ht="18" customHeight="1" x14ac:dyDescent="0.15">
      <c r="A3" s="1748" t="str">
        <f>Iniciar!B5</f>
        <v xml:space="preserve">Fecha nacimiento (1er día de vida) : </v>
      </c>
      <c r="B3" s="1749"/>
      <c r="C3" s="1749"/>
      <c r="D3" s="1749"/>
      <c r="E3" s="1766">
        <f>Fnac</f>
        <v>0</v>
      </c>
      <c r="F3" s="1767"/>
      <c r="G3" s="1756" t="str">
        <f>CONCATENATE("Línea : ",Linea,"    Lote : ",LOTE)</f>
        <v xml:space="preserve">Línea :     Lote : </v>
      </c>
      <c r="H3" s="1757"/>
      <c r="I3" s="1757"/>
      <c r="J3" s="1757"/>
      <c r="K3" s="735"/>
      <c r="L3" s="731"/>
      <c r="M3" s="47"/>
    </row>
    <row r="4" spans="1:13" ht="18.75" customHeight="1" thickBot="1" x14ac:dyDescent="0.2">
      <c r="A4" s="1764" t="str">
        <f>Iniciar!B12</f>
        <v xml:space="preserve">Total Pollitas Recibidas : </v>
      </c>
      <c r="B4" s="1765"/>
      <c r="C4" s="1765"/>
      <c r="D4" s="1765"/>
      <c r="E4" s="1745">
        <f>Iniciar!C12</f>
        <v>0</v>
      </c>
      <c r="F4" s="1746"/>
      <c r="G4" s="1756"/>
      <c r="H4" s="1757"/>
      <c r="I4" s="1757"/>
      <c r="J4" s="1757"/>
      <c r="K4" s="735"/>
      <c r="L4" s="731"/>
      <c r="M4" s="57"/>
    </row>
    <row r="5" spans="1:13" ht="16.5" customHeight="1" x14ac:dyDescent="0.15">
      <c r="A5" s="1770" t="s">
        <v>10</v>
      </c>
      <c r="B5" s="1771"/>
      <c r="C5" s="1771"/>
      <c r="D5" s="1771"/>
      <c r="E5" s="1768">
        <f>GRANJAPROD</f>
        <v>0</v>
      </c>
      <c r="F5" s="1769"/>
      <c r="G5" s="1758" t="s">
        <v>158</v>
      </c>
      <c r="H5" s="1759"/>
      <c r="I5" s="1759"/>
      <c r="J5" s="1759"/>
      <c r="K5" s="1759"/>
      <c r="L5" s="1759"/>
      <c r="M5" s="58"/>
    </row>
    <row r="6" spans="1:13" ht="18.75" customHeight="1" x14ac:dyDescent="0.25">
      <c r="A6" s="1760" t="str">
        <f>A2</f>
        <v xml:space="preserve">Localización Granja : </v>
      </c>
      <c r="B6" s="1761"/>
      <c r="C6" s="1761"/>
      <c r="D6" s="1761"/>
      <c r="E6" s="1743">
        <f>Iniciar!C30</f>
        <v>0</v>
      </c>
      <c r="F6" s="1744"/>
      <c r="G6" s="1758"/>
      <c r="H6" s="1759"/>
      <c r="I6" s="1759"/>
      <c r="J6" s="1759"/>
      <c r="K6" s="1759"/>
      <c r="L6" s="1759"/>
      <c r="M6" s="43"/>
    </row>
    <row r="7" spans="1:13" ht="16.5" customHeight="1" thickBot="1" x14ac:dyDescent="0.3">
      <c r="A7" s="1762" t="s">
        <v>14</v>
      </c>
      <c r="B7" s="1763"/>
      <c r="C7" s="1763"/>
      <c r="D7" s="188">
        <f>IF(E3&gt;0,Iniciar!C28,0)</f>
        <v>0</v>
      </c>
      <c r="E7" s="189" t="s">
        <v>15</v>
      </c>
      <c r="F7" s="190">
        <f>IF(E3&gt;0,E3+D7*7,0)</f>
        <v>0</v>
      </c>
      <c r="G7" s="1758"/>
      <c r="H7" s="1759"/>
      <c r="I7" s="1759"/>
      <c r="J7" s="1759"/>
      <c r="K7" s="1759"/>
      <c r="L7" s="1759"/>
      <c r="M7" s="43"/>
    </row>
    <row r="8" spans="1:13" ht="9" customHeight="1" thickBot="1" x14ac:dyDescent="0.2">
      <c r="C8" s="64"/>
      <c r="H8" s="1747"/>
      <c r="I8" s="1747"/>
      <c r="J8" s="48"/>
      <c r="K8" s="48"/>
      <c r="L8" s="732"/>
    </row>
    <row r="9" spans="1:13" ht="39" customHeight="1" thickBot="1" x14ac:dyDescent="0.2">
      <c r="A9" s="721" t="s">
        <v>0</v>
      </c>
      <c r="B9" s="722" t="s">
        <v>161</v>
      </c>
      <c r="C9" s="723" t="s">
        <v>159</v>
      </c>
      <c r="D9" s="723" t="s">
        <v>160</v>
      </c>
      <c r="E9" s="722" t="s">
        <v>162</v>
      </c>
      <c r="F9" s="724" t="s">
        <v>163</v>
      </c>
      <c r="G9" s="725" t="s">
        <v>9</v>
      </c>
      <c r="H9" s="726" t="s">
        <v>166</v>
      </c>
      <c r="I9" s="727" t="s">
        <v>164</v>
      </c>
      <c r="J9" s="728" t="s">
        <v>165</v>
      </c>
      <c r="K9" s="725" t="s">
        <v>13</v>
      </c>
      <c r="L9" s="729" t="s">
        <v>167</v>
      </c>
    </row>
    <row r="10" spans="1:13" ht="21.95" customHeight="1" thickTop="1" x14ac:dyDescent="0.15">
      <c r="A10" s="51">
        <f t="shared" ref="A10:A101" si="0">ROUNDUP(B10/7,0)</f>
        <v>0</v>
      </c>
      <c r="B10" s="631"/>
      <c r="C10" s="52" t="str">
        <f>IF(B10&gt;0,$E$3+B10-1,"")</f>
        <v/>
      </c>
      <c r="D10" s="634" t="str">
        <f t="shared" ref="D10:D32" si="1">C10</f>
        <v/>
      </c>
      <c r="E10" s="635"/>
      <c r="F10" s="636"/>
      <c r="G10" s="637"/>
      <c r="H10" s="638"/>
      <c r="I10" s="639"/>
      <c r="J10" s="640"/>
      <c r="K10" s="638"/>
      <c r="L10" s="641"/>
      <c r="M10" s="184">
        <f t="shared" ref="M10:M41" si="2">IF(B10&gt;0,1,0)</f>
        <v>0</v>
      </c>
    </row>
    <row r="11" spans="1:13" ht="21.95" customHeight="1" x14ac:dyDescent="0.15">
      <c r="A11" s="53">
        <f t="shared" si="0"/>
        <v>0</v>
      </c>
      <c r="B11" s="632"/>
      <c r="C11" s="54" t="str">
        <f t="shared" ref="C11:C42" si="3">IF(B11&gt;0,B11+$E$3-1,"")</f>
        <v/>
      </c>
      <c r="D11" s="642" t="str">
        <f t="shared" si="1"/>
        <v/>
      </c>
      <c r="E11" s="643"/>
      <c r="F11" s="644"/>
      <c r="G11" s="645"/>
      <c r="H11" s="646"/>
      <c r="I11" s="647"/>
      <c r="J11" s="644"/>
      <c r="K11" s="646"/>
      <c r="L11" s="648"/>
      <c r="M11" s="184">
        <f t="shared" si="2"/>
        <v>0</v>
      </c>
    </row>
    <row r="12" spans="1:13" ht="21.95" customHeight="1" x14ac:dyDescent="0.15">
      <c r="A12" s="53">
        <f t="shared" si="0"/>
        <v>0</v>
      </c>
      <c r="B12" s="632"/>
      <c r="C12" s="54" t="str">
        <f t="shared" si="3"/>
        <v/>
      </c>
      <c r="D12" s="642" t="str">
        <f t="shared" si="1"/>
        <v/>
      </c>
      <c r="E12" s="643"/>
      <c r="F12" s="644"/>
      <c r="G12" s="645"/>
      <c r="H12" s="646"/>
      <c r="I12" s="647"/>
      <c r="J12" s="644"/>
      <c r="K12" s="646"/>
      <c r="L12" s="648"/>
      <c r="M12" s="184">
        <f t="shared" si="2"/>
        <v>0</v>
      </c>
    </row>
    <row r="13" spans="1:13" ht="21.95" customHeight="1" x14ac:dyDescent="0.15">
      <c r="A13" s="53">
        <f t="shared" si="0"/>
        <v>0</v>
      </c>
      <c r="B13" s="632"/>
      <c r="C13" s="54" t="str">
        <f t="shared" si="3"/>
        <v/>
      </c>
      <c r="D13" s="642" t="str">
        <f t="shared" si="1"/>
        <v/>
      </c>
      <c r="E13" s="643"/>
      <c r="F13" s="644"/>
      <c r="G13" s="645"/>
      <c r="H13" s="646"/>
      <c r="I13" s="647"/>
      <c r="J13" s="644"/>
      <c r="K13" s="646"/>
      <c r="L13" s="648"/>
      <c r="M13" s="184">
        <f t="shared" si="2"/>
        <v>0</v>
      </c>
    </row>
    <row r="14" spans="1:13" ht="44.25" customHeight="1" x14ac:dyDescent="0.15">
      <c r="A14" s="53">
        <f t="shared" si="0"/>
        <v>0</v>
      </c>
      <c r="B14" s="632"/>
      <c r="C14" s="54" t="str">
        <f t="shared" si="3"/>
        <v/>
      </c>
      <c r="D14" s="642" t="str">
        <f t="shared" si="1"/>
        <v/>
      </c>
      <c r="E14" s="1327"/>
      <c r="F14" s="644"/>
      <c r="G14" s="645"/>
      <c r="H14" s="646"/>
      <c r="I14" s="647"/>
      <c r="J14" s="644"/>
      <c r="K14" s="646"/>
      <c r="L14" s="648"/>
      <c r="M14" s="184">
        <f t="shared" si="2"/>
        <v>0</v>
      </c>
    </row>
    <row r="15" spans="1:13" ht="21.95" customHeight="1" x14ac:dyDescent="0.15">
      <c r="A15" s="53">
        <f t="shared" si="0"/>
        <v>0</v>
      </c>
      <c r="B15" s="632"/>
      <c r="C15" s="54" t="str">
        <f t="shared" si="3"/>
        <v/>
      </c>
      <c r="D15" s="642" t="str">
        <f t="shared" si="1"/>
        <v/>
      </c>
      <c r="E15" s="643"/>
      <c r="F15" s="644"/>
      <c r="G15" s="645"/>
      <c r="H15" s="646"/>
      <c r="I15" s="647"/>
      <c r="J15" s="644"/>
      <c r="K15" s="646"/>
      <c r="L15" s="648"/>
      <c r="M15" s="184">
        <f t="shared" si="2"/>
        <v>0</v>
      </c>
    </row>
    <row r="16" spans="1:13" ht="21.95" customHeight="1" x14ac:dyDescent="0.15">
      <c r="A16" s="53">
        <f t="shared" si="0"/>
        <v>0</v>
      </c>
      <c r="B16" s="632"/>
      <c r="C16" s="54" t="str">
        <f t="shared" si="3"/>
        <v/>
      </c>
      <c r="D16" s="642" t="str">
        <f t="shared" si="1"/>
        <v/>
      </c>
      <c r="E16" s="643"/>
      <c r="F16" s="644"/>
      <c r="G16" s="645"/>
      <c r="H16" s="646"/>
      <c r="I16" s="647"/>
      <c r="J16" s="644"/>
      <c r="K16" s="646"/>
      <c r="L16" s="648"/>
      <c r="M16" s="184">
        <f t="shared" si="2"/>
        <v>0</v>
      </c>
    </row>
    <row r="17" spans="1:13" ht="21.95" customHeight="1" x14ac:dyDescent="0.15">
      <c r="A17" s="53">
        <f t="shared" si="0"/>
        <v>0</v>
      </c>
      <c r="B17" s="632"/>
      <c r="C17" s="54" t="str">
        <f t="shared" si="3"/>
        <v/>
      </c>
      <c r="D17" s="642" t="str">
        <f t="shared" si="1"/>
        <v/>
      </c>
      <c r="E17" s="643"/>
      <c r="F17" s="644"/>
      <c r="G17" s="645"/>
      <c r="H17" s="646"/>
      <c r="I17" s="647"/>
      <c r="J17" s="644"/>
      <c r="K17" s="646"/>
      <c r="L17" s="648"/>
      <c r="M17" s="184">
        <f t="shared" si="2"/>
        <v>0</v>
      </c>
    </row>
    <row r="18" spans="1:13" ht="21.95" customHeight="1" x14ac:dyDescent="0.15">
      <c r="A18" s="53">
        <f t="shared" si="0"/>
        <v>0</v>
      </c>
      <c r="B18" s="632"/>
      <c r="C18" s="54" t="str">
        <f t="shared" si="3"/>
        <v/>
      </c>
      <c r="D18" s="642" t="str">
        <f t="shared" si="1"/>
        <v/>
      </c>
      <c r="E18" s="643"/>
      <c r="F18" s="644"/>
      <c r="G18" s="645"/>
      <c r="H18" s="646"/>
      <c r="I18" s="647"/>
      <c r="J18" s="644"/>
      <c r="K18" s="646"/>
      <c r="L18" s="648"/>
      <c r="M18" s="184">
        <f t="shared" si="2"/>
        <v>0</v>
      </c>
    </row>
    <row r="19" spans="1:13" ht="29.25" customHeight="1" x14ac:dyDescent="0.15">
      <c r="A19" s="53">
        <f t="shared" si="0"/>
        <v>0</v>
      </c>
      <c r="B19" s="632"/>
      <c r="C19" s="54" t="str">
        <f t="shared" si="3"/>
        <v/>
      </c>
      <c r="D19" s="642" t="str">
        <f t="shared" si="1"/>
        <v/>
      </c>
      <c r="E19" s="1326"/>
      <c r="F19" s="644"/>
      <c r="G19" s="645"/>
      <c r="H19" s="646"/>
      <c r="I19" s="647"/>
      <c r="J19" s="644"/>
      <c r="K19" s="646"/>
      <c r="L19" s="648"/>
      <c r="M19" s="184">
        <f t="shared" si="2"/>
        <v>0</v>
      </c>
    </row>
    <row r="20" spans="1:13" ht="21.95" customHeight="1" x14ac:dyDescent="0.15">
      <c r="A20" s="53">
        <f t="shared" si="0"/>
        <v>0</v>
      </c>
      <c r="B20" s="632"/>
      <c r="C20" s="54" t="str">
        <f t="shared" si="3"/>
        <v/>
      </c>
      <c r="D20" s="642" t="str">
        <f t="shared" si="1"/>
        <v/>
      </c>
      <c r="E20" s="643"/>
      <c r="F20" s="644"/>
      <c r="G20" s="645"/>
      <c r="H20" s="646"/>
      <c r="I20" s="647"/>
      <c r="J20" s="644"/>
      <c r="K20" s="646"/>
      <c r="L20" s="648"/>
      <c r="M20" s="184">
        <f t="shared" si="2"/>
        <v>0</v>
      </c>
    </row>
    <row r="21" spans="1:13" ht="21.95" customHeight="1" x14ac:dyDescent="0.15">
      <c r="A21" s="53">
        <f t="shared" si="0"/>
        <v>0</v>
      </c>
      <c r="B21" s="632"/>
      <c r="C21" s="54" t="str">
        <f t="shared" si="3"/>
        <v/>
      </c>
      <c r="D21" s="642" t="str">
        <f t="shared" si="1"/>
        <v/>
      </c>
      <c r="E21" s="643"/>
      <c r="F21" s="644"/>
      <c r="G21" s="645"/>
      <c r="H21" s="646"/>
      <c r="I21" s="647"/>
      <c r="J21" s="644"/>
      <c r="K21" s="646"/>
      <c r="L21" s="648"/>
      <c r="M21" s="184">
        <f t="shared" si="2"/>
        <v>0</v>
      </c>
    </row>
    <row r="22" spans="1:13" ht="21.95" customHeight="1" x14ac:dyDescent="0.15">
      <c r="A22" s="53">
        <f t="shared" si="0"/>
        <v>0</v>
      </c>
      <c r="B22" s="632"/>
      <c r="C22" s="54" t="str">
        <f t="shared" si="3"/>
        <v/>
      </c>
      <c r="D22" s="642" t="str">
        <f t="shared" si="1"/>
        <v/>
      </c>
      <c r="E22" s="643"/>
      <c r="F22" s="644"/>
      <c r="G22" s="645"/>
      <c r="H22" s="646"/>
      <c r="I22" s="647"/>
      <c r="J22" s="644"/>
      <c r="K22" s="646"/>
      <c r="L22" s="648"/>
      <c r="M22" s="184">
        <f t="shared" si="2"/>
        <v>0</v>
      </c>
    </row>
    <row r="23" spans="1:13" ht="21.95" customHeight="1" x14ac:dyDescent="0.15">
      <c r="A23" s="53">
        <f t="shared" si="0"/>
        <v>0</v>
      </c>
      <c r="B23" s="632"/>
      <c r="C23" s="54" t="str">
        <f t="shared" si="3"/>
        <v/>
      </c>
      <c r="D23" s="642" t="str">
        <f t="shared" si="1"/>
        <v/>
      </c>
      <c r="E23" s="643"/>
      <c r="F23" s="644"/>
      <c r="G23" s="645"/>
      <c r="H23" s="646"/>
      <c r="I23" s="647"/>
      <c r="J23" s="644"/>
      <c r="K23" s="646"/>
      <c r="L23" s="648"/>
      <c r="M23" s="184">
        <f t="shared" si="2"/>
        <v>0</v>
      </c>
    </row>
    <row r="24" spans="1:13" ht="21.95" customHeight="1" x14ac:dyDescent="0.15">
      <c r="A24" s="53">
        <f t="shared" si="0"/>
        <v>0</v>
      </c>
      <c r="B24" s="632"/>
      <c r="C24" s="54" t="str">
        <f t="shared" si="3"/>
        <v/>
      </c>
      <c r="D24" s="642" t="str">
        <f t="shared" si="1"/>
        <v/>
      </c>
      <c r="E24" s="643"/>
      <c r="F24" s="644"/>
      <c r="G24" s="645"/>
      <c r="H24" s="646"/>
      <c r="I24" s="647"/>
      <c r="J24" s="644"/>
      <c r="K24" s="646"/>
      <c r="L24" s="648"/>
      <c r="M24" s="184">
        <f t="shared" si="2"/>
        <v>0</v>
      </c>
    </row>
    <row r="25" spans="1:13" ht="21.95" customHeight="1" x14ac:dyDescent="0.15">
      <c r="A25" s="53">
        <f t="shared" si="0"/>
        <v>0</v>
      </c>
      <c r="B25" s="632"/>
      <c r="C25" s="54" t="str">
        <f t="shared" si="3"/>
        <v/>
      </c>
      <c r="D25" s="642" t="str">
        <f t="shared" si="1"/>
        <v/>
      </c>
      <c r="E25" s="643"/>
      <c r="F25" s="644"/>
      <c r="G25" s="645"/>
      <c r="H25" s="646"/>
      <c r="I25" s="647"/>
      <c r="J25" s="644"/>
      <c r="K25" s="646"/>
      <c r="L25" s="648"/>
      <c r="M25" s="184">
        <f t="shared" si="2"/>
        <v>0</v>
      </c>
    </row>
    <row r="26" spans="1:13" ht="21.95" customHeight="1" x14ac:dyDescent="0.15">
      <c r="A26" s="53">
        <f t="shared" si="0"/>
        <v>0</v>
      </c>
      <c r="B26" s="632"/>
      <c r="C26" s="54" t="str">
        <f t="shared" si="3"/>
        <v/>
      </c>
      <c r="D26" s="642" t="str">
        <f t="shared" si="1"/>
        <v/>
      </c>
      <c r="E26" s="643"/>
      <c r="F26" s="644"/>
      <c r="G26" s="645"/>
      <c r="H26" s="646"/>
      <c r="I26" s="647"/>
      <c r="J26" s="644"/>
      <c r="K26" s="646"/>
      <c r="L26" s="648"/>
      <c r="M26" s="184">
        <f t="shared" si="2"/>
        <v>0</v>
      </c>
    </row>
    <row r="27" spans="1:13" ht="21.95" customHeight="1" x14ac:dyDescent="0.15">
      <c r="A27" s="53">
        <f t="shared" si="0"/>
        <v>0</v>
      </c>
      <c r="B27" s="632"/>
      <c r="C27" s="54" t="str">
        <f t="shared" si="3"/>
        <v/>
      </c>
      <c r="D27" s="642" t="str">
        <f t="shared" si="1"/>
        <v/>
      </c>
      <c r="E27" s="643"/>
      <c r="F27" s="644"/>
      <c r="G27" s="645"/>
      <c r="H27" s="646"/>
      <c r="I27" s="647"/>
      <c r="J27" s="644"/>
      <c r="K27" s="646"/>
      <c r="L27" s="648"/>
      <c r="M27" s="184">
        <f t="shared" si="2"/>
        <v>0</v>
      </c>
    </row>
    <row r="28" spans="1:13" ht="21.95" customHeight="1" x14ac:dyDescent="0.15">
      <c r="A28" s="53">
        <f t="shared" si="0"/>
        <v>0</v>
      </c>
      <c r="B28" s="632"/>
      <c r="C28" s="54" t="str">
        <f t="shared" si="3"/>
        <v/>
      </c>
      <c r="D28" s="642" t="str">
        <f t="shared" si="1"/>
        <v/>
      </c>
      <c r="E28" s="643"/>
      <c r="F28" s="644"/>
      <c r="G28" s="645"/>
      <c r="H28" s="646"/>
      <c r="I28" s="647"/>
      <c r="J28" s="644"/>
      <c r="K28" s="646"/>
      <c r="L28" s="648"/>
      <c r="M28" s="184">
        <f t="shared" si="2"/>
        <v>0</v>
      </c>
    </row>
    <row r="29" spans="1:13" ht="21.95" customHeight="1" x14ac:dyDescent="0.15">
      <c r="A29" s="53">
        <f t="shared" si="0"/>
        <v>0</v>
      </c>
      <c r="B29" s="632"/>
      <c r="C29" s="54" t="str">
        <f t="shared" si="3"/>
        <v/>
      </c>
      <c r="D29" s="642" t="str">
        <f t="shared" si="1"/>
        <v/>
      </c>
      <c r="E29" s="643"/>
      <c r="F29" s="644"/>
      <c r="G29" s="645"/>
      <c r="H29" s="646"/>
      <c r="I29" s="647"/>
      <c r="J29" s="644"/>
      <c r="K29" s="646"/>
      <c r="L29" s="648"/>
      <c r="M29" s="184">
        <f t="shared" si="2"/>
        <v>0</v>
      </c>
    </row>
    <row r="30" spans="1:13" ht="21.95" customHeight="1" x14ac:dyDescent="0.15">
      <c r="A30" s="53">
        <f t="shared" si="0"/>
        <v>0</v>
      </c>
      <c r="B30" s="632"/>
      <c r="C30" s="54" t="str">
        <f t="shared" si="3"/>
        <v/>
      </c>
      <c r="D30" s="642" t="str">
        <f t="shared" si="1"/>
        <v/>
      </c>
      <c r="E30" s="643"/>
      <c r="F30" s="644"/>
      <c r="G30" s="645"/>
      <c r="H30" s="646"/>
      <c r="I30" s="647"/>
      <c r="J30" s="644"/>
      <c r="K30" s="646"/>
      <c r="L30" s="648"/>
      <c r="M30" s="184">
        <f t="shared" si="2"/>
        <v>0</v>
      </c>
    </row>
    <row r="31" spans="1:13" ht="21.95" customHeight="1" x14ac:dyDescent="0.15">
      <c r="A31" s="53">
        <f t="shared" si="0"/>
        <v>0</v>
      </c>
      <c r="B31" s="632"/>
      <c r="C31" s="54" t="str">
        <f t="shared" si="3"/>
        <v/>
      </c>
      <c r="D31" s="642" t="str">
        <f t="shared" si="1"/>
        <v/>
      </c>
      <c r="E31" s="643"/>
      <c r="F31" s="644"/>
      <c r="G31" s="645"/>
      <c r="H31" s="646"/>
      <c r="I31" s="647"/>
      <c r="J31" s="644"/>
      <c r="K31" s="646"/>
      <c r="L31" s="648"/>
      <c r="M31" s="184">
        <f t="shared" si="2"/>
        <v>0</v>
      </c>
    </row>
    <row r="32" spans="1:13" ht="21.95" customHeight="1" x14ac:dyDescent="0.15">
      <c r="A32" s="53">
        <f t="shared" si="0"/>
        <v>0</v>
      </c>
      <c r="B32" s="632"/>
      <c r="C32" s="54" t="str">
        <f t="shared" si="3"/>
        <v/>
      </c>
      <c r="D32" s="642" t="str">
        <f t="shared" si="1"/>
        <v/>
      </c>
      <c r="E32" s="643"/>
      <c r="F32" s="644"/>
      <c r="G32" s="645"/>
      <c r="H32" s="646"/>
      <c r="I32" s="647"/>
      <c r="J32" s="644"/>
      <c r="K32" s="646"/>
      <c r="L32" s="648"/>
      <c r="M32" s="184">
        <f t="shared" si="2"/>
        <v>0</v>
      </c>
    </row>
    <row r="33" spans="1:13" ht="21.95" customHeight="1" x14ac:dyDescent="0.15">
      <c r="A33" s="53">
        <f t="shared" si="0"/>
        <v>0</v>
      </c>
      <c r="B33" s="632"/>
      <c r="C33" s="54" t="str">
        <f t="shared" si="3"/>
        <v/>
      </c>
      <c r="D33" s="642"/>
      <c r="E33" s="643"/>
      <c r="F33" s="644"/>
      <c r="G33" s="645"/>
      <c r="H33" s="646"/>
      <c r="I33" s="647"/>
      <c r="J33" s="644"/>
      <c r="K33" s="646"/>
      <c r="L33" s="648"/>
      <c r="M33" s="184">
        <f t="shared" si="2"/>
        <v>0</v>
      </c>
    </row>
    <row r="34" spans="1:13" ht="21.95" customHeight="1" x14ac:dyDescent="0.15">
      <c r="A34" s="53">
        <f t="shared" si="0"/>
        <v>0</v>
      </c>
      <c r="B34" s="632"/>
      <c r="C34" s="54" t="str">
        <f t="shared" si="3"/>
        <v/>
      </c>
      <c r="D34" s="642"/>
      <c r="E34" s="643"/>
      <c r="F34" s="644"/>
      <c r="G34" s="645"/>
      <c r="H34" s="646"/>
      <c r="I34" s="647"/>
      <c r="J34" s="644"/>
      <c r="K34" s="646"/>
      <c r="L34" s="648"/>
      <c r="M34" s="184">
        <f t="shared" si="2"/>
        <v>0</v>
      </c>
    </row>
    <row r="35" spans="1:13" ht="21.95" customHeight="1" x14ac:dyDescent="0.15">
      <c r="A35" s="53">
        <f t="shared" si="0"/>
        <v>0</v>
      </c>
      <c r="B35" s="632"/>
      <c r="C35" s="54" t="str">
        <f t="shared" si="3"/>
        <v/>
      </c>
      <c r="D35" s="642"/>
      <c r="E35" s="643"/>
      <c r="F35" s="644"/>
      <c r="G35" s="645"/>
      <c r="H35" s="646"/>
      <c r="I35" s="647"/>
      <c r="J35" s="644"/>
      <c r="K35" s="646"/>
      <c r="L35" s="648"/>
      <c r="M35" s="184">
        <f t="shared" si="2"/>
        <v>0</v>
      </c>
    </row>
    <row r="36" spans="1:13" ht="21.95" customHeight="1" x14ac:dyDescent="0.15">
      <c r="A36" s="53">
        <f t="shared" si="0"/>
        <v>0</v>
      </c>
      <c r="B36" s="632"/>
      <c r="C36" s="54" t="str">
        <f t="shared" si="3"/>
        <v/>
      </c>
      <c r="D36" s="642"/>
      <c r="E36" s="643"/>
      <c r="F36" s="644"/>
      <c r="G36" s="645"/>
      <c r="H36" s="646"/>
      <c r="I36" s="647"/>
      <c r="J36" s="644"/>
      <c r="K36" s="646"/>
      <c r="L36" s="648"/>
      <c r="M36" s="184">
        <f t="shared" si="2"/>
        <v>0</v>
      </c>
    </row>
    <row r="37" spans="1:13" ht="21.95" customHeight="1" x14ac:dyDescent="0.15">
      <c r="A37" s="53">
        <f t="shared" si="0"/>
        <v>0</v>
      </c>
      <c r="B37" s="632"/>
      <c r="C37" s="54" t="str">
        <f t="shared" si="3"/>
        <v/>
      </c>
      <c r="D37" s="642"/>
      <c r="E37" s="643"/>
      <c r="F37" s="644"/>
      <c r="G37" s="645"/>
      <c r="H37" s="646"/>
      <c r="I37" s="647"/>
      <c r="J37" s="644"/>
      <c r="K37" s="646"/>
      <c r="L37" s="648"/>
      <c r="M37" s="184">
        <f t="shared" si="2"/>
        <v>0</v>
      </c>
    </row>
    <row r="38" spans="1:13" ht="21.95" customHeight="1" x14ac:dyDescent="0.15">
      <c r="A38" s="53">
        <f t="shared" si="0"/>
        <v>0</v>
      </c>
      <c r="B38" s="632"/>
      <c r="C38" s="54" t="str">
        <f t="shared" si="3"/>
        <v/>
      </c>
      <c r="D38" s="642"/>
      <c r="E38" s="643"/>
      <c r="F38" s="644"/>
      <c r="G38" s="645"/>
      <c r="H38" s="646"/>
      <c r="I38" s="647"/>
      <c r="J38" s="644"/>
      <c r="K38" s="646"/>
      <c r="L38" s="648"/>
      <c r="M38" s="184">
        <f t="shared" si="2"/>
        <v>0</v>
      </c>
    </row>
    <row r="39" spans="1:13" ht="21.95" customHeight="1" x14ac:dyDescent="0.15">
      <c r="A39" s="53">
        <f t="shared" si="0"/>
        <v>0</v>
      </c>
      <c r="B39" s="632"/>
      <c r="C39" s="54" t="str">
        <f t="shared" si="3"/>
        <v/>
      </c>
      <c r="D39" s="642"/>
      <c r="E39" s="643"/>
      <c r="F39" s="644"/>
      <c r="G39" s="645"/>
      <c r="H39" s="646"/>
      <c r="I39" s="647"/>
      <c r="J39" s="644"/>
      <c r="K39" s="646"/>
      <c r="L39" s="648"/>
      <c r="M39" s="184">
        <f t="shared" si="2"/>
        <v>0</v>
      </c>
    </row>
    <row r="40" spans="1:13" ht="21.95" customHeight="1" x14ac:dyDescent="0.15">
      <c r="A40" s="53">
        <f t="shared" si="0"/>
        <v>0</v>
      </c>
      <c r="B40" s="632"/>
      <c r="C40" s="54" t="str">
        <f t="shared" si="3"/>
        <v/>
      </c>
      <c r="D40" s="642"/>
      <c r="E40" s="643"/>
      <c r="F40" s="644"/>
      <c r="G40" s="645"/>
      <c r="H40" s="646"/>
      <c r="I40" s="647"/>
      <c r="J40" s="644"/>
      <c r="K40" s="646"/>
      <c r="L40" s="648"/>
      <c r="M40" s="184">
        <f t="shared" si="2"/>
        <v>0</v>
      </c>
    </row>
    <row r="41" spans="1:13" ht="21.95" customHeight="1" x14ac:dyDescent="0.15">
      <c r="A41" s="53">
        <f t="shared" si="0"/>
        <v>0</v>
      </c>
      <c r="B41" s="632"/>
      <c r="C41" s="54" t="str">
        <f t="shared" si="3"/>
        <v/>
      </c>
      <c r="D41" s="642"/>
      <c r="E41" s="643"/>
      <c r="F41" s="644"/>
      <c r="G41" s="645"/>
      <c r="H41" s="646"/>
      <c r="I41" s="647"/>
      <c r="J41" s="644"/>
      <c r="K41" s="646"/>
      <c r="L41" s="648"/>
      <c r="M41" s="184">
        <f t="shared" si="2"/>
        <v>0</v>
      </c>
    </row>
    <row r="42" spans="1:13" ht="21.95" customHeight="1" x14ac:dyDescent="0.15">
      <c r="A42" s="53">
        <f t="shared" si="0"/>
        <v>0</v>
      </c>
      <c r="B42" s="632"/>
      <c r="C42" s="54" t="str">
        <f t="shared" si="3"/>
        <v/>
      </c>
      <c r="D42" s="642"/>
      <c r="E42" s="643"/>
      <c r="F42" s="644"/>
      <c r="G42" s="645"/>
      <c r="H42" s="646"/>
      <c r="I42" s="647"/>
      <c r="J42" s="644"/>
      <c r="K42" s="646"/>
      <c r="L42" s="648"/>
      <c r="M42" s="184">
        <f t="shared" ref="M42:M73" si="4">IF(B42&gt;0,1,0)</f>
        <v>0</v>
      </c>
    </row>
    <row r="43" spans="1:13" ht="21.95" customHeight="1" x14ac:dyDescent="0.15">
      <c r="A43" s="53">
        <f t="shared" si="0"/>
        <v>0</v>
      </c>
      <c r="B43" s="632"/>
      <c r="C43" s="54" t="str">
        <f t="shared" ref="C43:C74" si="5">IF(B43&gt;0,B43+$E$3-1,"")</f>
        <v/>
      </c>
      <c r="D43" s="642"/>
      <c r="E43" s="643"/>
      <c r="F43" s="644"/>
      <c r="G43" s="645"/>
      <c r="H43" s="646"/>
      <c r="I43" s="647"/>
      <c r="J43" s="644"/>
      <c r="K43" s="646"/>
      <c r="L43" s="648"/>
      <c r="M43" s="184">
        <f t="shared" si="4"/>
        <v>0</v>
      </c>
    </row>
    <row r="44" spans="1:13" ht="21.95" customHeight="1" x14ac:dyDescent="0.15">
      <c r="A44" s="53">
        <f t="shared" si="0"/>
        <v>0</v>
      </c>
      <c r="B44" s="632"/>
      <c r="C44" s="54" t="str">
        <f t="shared" si="5"/>
        <v/>
      </c>
      <c r="D44" s="642"/>
      <c r="E44" s="643"/>
      <c r="F44" s="644"/>
      <c r="G44" s="645"/>
      <c r="H44" s="646"/>
      <c r="I44" s="647"/>
      <c r="J44" s="644"/>
      <c r="K44" s="646"/>
      <c r="L44" s="648"/>
      <c r="M44" s="184">
        <f t="shared" si="4"/>
        <v>0</v>
      </c>
    </row>
    <row r="45" spans="1:13" ht="21.95" customHeight="1" x14ac:dyDescent="0.15">
      <c r="A45" s="53">
        <f t="shared" si="0"/>
        <v>0</v>
      </c>
      <c r="B45" s="632"/>
      <c r="C45" s="54" t="str">
        <f t="shared" si="5"/>
        <v/>
      </c>
      <c r="D45" s="642"/>
      <c r="E45" s="643"/>
      <c r="F45" s="644"/>
      <c r="G45" s="645"/>
      <c r="H45" s="646"/>
      <c r="I45" s="647"/>
      <c r="J45" s="644"/>
      <c r="K45" s="646"/>
      <c r="L45" s="648"/>
      <c r="M45" s="184">
        <f t="shared" si="4"/>
        <v>0</v>
      </c>
    </row>
    <row r="46" spans="1:13" ht="21.95" customHeight="1" x14ac:dyDescent="0.15">
      <c r="A46" s="53">
        <f t="shared" si="0"/>
        <v>0</v>
      </c>
      <c r="B46" s="632"/>
      <c r="C46" s="54" t="str">
        <f t="shared" si="5"/>
        <v/>
      </c>
      <c r="D46" s="642"/>
      <c r="E46" s="643"/>
      <c r="F46" s="644"/>
      <c r="G46" s="645"/>
      <c r="H46" s="646"/>
      <c r="I46" s="647"/>
      <c r="J46" s="644"/>
      <c r="K46" s="646"/>
      <c r="L46" s="648"/>
      <c r="M46" s="184">
        <f t="shared" si="4"/>
        <v>0</v>
      </c>
    </row>
    <row r="47" spans="1:13" ht="21.95" customHeight="1" x14ac:dyDescent="0.15">
      <c r="A47" s="53">
        <f t="shared" si="0"/>
        <v>0</v>
      </c>
      <c r="B47" s="632"/>
      <c r="C47" s="54" t="str">
        <f t="shared" si="5"/>
        <v/>
      </c>
      <c r="D47" s="642"/>
      <c r="E47" s="643"/>
      <c r="F47" s="644"/>
      <c r="G47" s="645"/>
      <c r="H47" s="646"/>
      <c r="I47" s="647"/>
      <c r="J47" s="644"/>
      <c r="K47" s="646"/>
      <c r="L47" s="648"/>
      <c r="M47" s="184">
        <f t="shared" si="4"/>
        <v>0</v>
      </c>
    </row>
    <row r="48" spans="1:13" ht="21.95" customHeight="1" x14ac:dyDescent="0.15">
      <c r="A48" s="53">
        <f t="shared" si="0"/>
        <v>0</v>
      </c>
      <c r="B48" s="632"/>
      <c r="C48" s="54" t="str">
        <f t="shared" si="5"/>
        <v/>
      </c>
      <c r="D48" s="642"/>
      <c r="E48" s="643"/>
      <c r="F48" s="644"/>
      <c r="G48" s="645"/>
      <c r="H48" s="646"/>
      <c r="I48" s="647"/>
      <c r="J48" s="644"/>
      <c r="K48" s="646"/>
      <c r="L48" s="648"/>
      <c r="M48" s="184">
        <f t="shared" si="4"/>
        <v>0</v>
      </c>
    </row>
    <row r="49" spans="1:13" ht="21.95" customHeight="1" x14ac:dyDescent="0.15">
      <c r="A49" s="53">
        <f t="shared" si="0"/>
        <v>0</v>
      </c>
      <c r="B49" s="632"/>
      <c r="C49" s="54" t="str">
        <f t="shared" si="5"/>
        <v/>
      </c>
      <c r="D49" s="642"/>
      <c r="E49" s="643"/>
      <c r="F49" s="644"/>
      <c r="G49" s="645"/>
      <c r="H49" s="646"/>
      <c r="I49" s="647"/>
      <c r="J49" s="644"/>
      <c r="K49" s="646"/>
      <c r="L49" s="648"/>
      <c r="M49" s="184">
        <f t="shared" si="4"/>
        <v>0</v>
      </c>
    </row>
    <row r="50" spans="1:13" ht="21.95" customHeight="1" x14ac:dyDescent="0.15">
      <c r="A50" s="53">
        <f t="shared" si="0"/>
        <v>0</v>
      </c>
      <c r="B50" s="632"/>
      <c r="C50" s="54" t="str">
        <f t="shared" si="5"/>
        <v/>
      </c>
      <c r="D50" s="642"/>
      <c r="E50" s="643"/>
      <c r="F50" s="644"/>
      <c r="G50" s="645"/>
      <c r="H50" s="646"/>
      <c r="I50" s="647"/>
      <c r="J50" s="644"/>
      <c r="K50" s="646"/>
      <c r="L50" s="648"/>
      <c r="M50" s="184">
        <f t="shared" si="4"/>
        <v>0</v>
      </c>
    </row>
    <row r="51" spans="1:13" ht="21.95" customHeight="1" x14ac:dyDescent="0.15">
      <c r="A51" s="53">
        <f t="shared" si="0"/>
        <v>0</v>
      </c>
      <c r="B51" s="632"/>
      <c r="C51" s="54" t="str">
        <f t="shared" si="5"/>
        <v/>
      </c>
      <c r="D51" s="642"/>
      <c r="E51" s="643"/>
      <c r="F51" s="644"/>
      <c r="G51" s="645"/>
      <c r="H51" s="646"/>
      <c r="I51" s="647"/>
      <c r="J51" s="644"/>
      <c r="K51" s="646"/>
      <c r="L51" s="648"/>
      <c r="M51" s="184">
        <f t="shared" si="4"/>
        <v>0</v>
      </c>
    </row>
    <row r="52" spans="1:13" ht="21.95" customHeight="1" x14ac:dyDescent="0.15">
      <c r="A52" s="53">
        <f t="shared" si="0"/>
        <v>0</v>
      </c>
      <c r="B52" s="632"/>
      <c r="C52" s="54" t="str">
        <f t="shared" si="5"/>
        <v/>
      </c>
      <c r="D52" s="642"/>
      <c r="E52" s="643"/>
      <c r="F52" s="644"/>
      <c r="G52" s="645"/>
      <c r="H52" s="646"/>
      <c r="I52" s="647"/>
      <c r="J52" s="644"/>
      <c r="K52" s="646"/>
      <c r="L52" s="648"/>
      <c r="M52" s="184">
        <f t="shared" si="4"/>
        <v>0</v>
      </c>
    </row>
    <row r="53" spans="1:13" ht="21.95" customHeight="1" x14ac:dyDescent="0.15">
      <c r="A53" s="53">
        <f t="shared" si="0"/>
        <v>0</v>
      </c>
      <c r="B53" s="632"/>
      <c r="C53" s="54" t="str">
        <f t="shared" si="5"/>
        <v/>
      </c>
      <c r="D53" s="642"/>
      <c r="E53" s="643"/>
      <c r="F53" s="644"/>
      <c r="G53" s="645"/>
      <c r="H53" s="646"/>
      <c r="I53" s="647"/>
      <c r="J53" s="644"/>
      <c r="K53" s="646"/>
      <c r="L53" s="648"/>
      <c r="M53" s="184">
        <f t="shared" si="4"/>
        <v>0</v>
      </c>
    </row>
    <row r="54" spans="1:13" ht="21.95" customHeight="1" x14ac:dyDescent="0.15">
      <c r="A54" s="53">
        <f t="shared" si="0"/>
        <v>0</v>
      </c>
      <c r="B54" s="632"/>
      <c r="C54" s="54" t="str">
        <f t="shared" si="5"/>
        <v/>
      </c>
      <c r="D54" s="642"/>
      <c r="E54" s="643"/>
      <c r="F54" s="644"/>
      <c r="G54" s="645"/>
      <c r="H54" s="646"/>
      <c r="I54" s="647"/>
      <c r="J54" s="644"/>
      <c r="K54" s="646"/>
      <c r="L54" s="648"/>
      <c r="M54" s="184">
        <f t="shared" si="4"/>
        <v>0</v>
      </c>
    </row>
    <row r="55" spans="1:13" ht="21.95" customHeight="1" x14ac:dyDescent="0.15">
      <c r="A55" s="53">
        <f t="shared" si="0"/>
        <v>0</v>
      </c>
      <c r="B55" s="632"/>
      <c r="C55" s="54" t="str">
        <f t="shared" si="5"/>
        <v/>
      </c>
      <c r="D55" s="642"/>
      <c r="E55" s="643"/>
      <c r="F55" s="644"/>
      <c r="G55" s="645"/>
      <c r="H55" s="646"/>
      <c r="I55" s="647"/>
      <c r="J55" s="644"/>
      <c r="K55" s="646"/>
      <c r="L55" s="648"/>
      <c r="M55" s="184">
        <f t="shared" si="4"/>
        <v>0</v>
      </c>
    </row>
    <row r="56" spans="1:13" ht="21.95" customHeight="1" x14ac:dyDescent="0.15">
      <c r="A56" s="53">
        <f t="shared" si="0"/>
        <v>0</v>
      </c>
      <c r="B56" s="632"/>
      <c r="C56" s="54" t="str">
        <f t="shared" si="5"/>
        <v/>
      </c>
      <c r="D56" s="642"/>
      <c r="E56" s="643"/>
      <c r="F56" s="644"/>
      <c r="G56" s="645"/>
      <c r="H56" s="646"/>
      <c r="I56" s="647"/>
      <c r="J56" s="644"/>
      <c r="K56" s="646"/>
      <c r="L56" s="648"/>
      <c r="M56" s="184">
        <f t="shared" si="4"/>
        <v>0</v>
      </c>
    </row>
    <row r="57" spans="1:13" ht="21.95" customHeight="1" x14ac:dyDescent="0.15">
      <c r="A57" s="53">
        <f t="shared" si="0"/>
        <v>0</v>
      </c>
      <c r="B57" s="632"/>
      <c r="C57" s="54" t="str">
        <f t="shared" si="5"/>
        <v/>
      </c>
      <c r="D57" s="642"/>
      <c r="E57" s="643"/>
      <c r="F57" s="644"/>
      <c r="G57" s="645"/>
      <c r="H57" s="646"/>
      <c r="I57" s="647"/>
      <c r="J57" s="644"/>
      <c r="K57" s="646"/>
      <c r="L57" s="648"/>
      <c r="M57" s="184">
        <f t="shared" si="4"/>
        <v>0</v>
      </c>
    </row>
    <row r="58" spans="1:13" ht="21.95" customHeight="1" x14ac:dyDescent="0.15">
      <c r="A58" s="53">
        <f t="shared" si="0"/>
        <v>0</v>
      </c>
      <c r="B58" s="632"/>
      <c r="C58" s="54" t="str">
        <f t="shared" si="5"/>
        <v/>
      </c>
      <c r="D58" s="642"/>
      <c r="E58" s="643"/>
      <c r="F58" s="644"/>
      <c r="G58" s="645"/>
      <c r="H58" s="646"/>
      <c r="I58" s="647"/>
      <c r="J58" s="644"/>
      <c r="K58" s="646"/>
      <c r="L58" s="648"/>
      <c r="M58" s="184">
        <f t="shared" si="4"/>
        <v>0</v>
      </c>
    </row>
    <row r="59" spans="1:13" ht="21.95" customHeight="1" x14ac:dyDescent="0.15">
      <c r="A59" s="53">
        <f t="shared" si="0"/>
        <v>0</v>
      </c>
      <c r="B59" s="632"/>
      <c r="C59" s="54" t="str">
        <f t="shared" si="5"/>
        <v/>
      </c>
      <c r="D59" s="642"/>
      <c r="E59" s="643"/>
      <c r="F59" s="644"/>
      <c r="G59" s="645"/>
      <c r="H59" s="646"/>
      <c r="I59" s="647"/>
      <c r="J59" s="644"/>
      <c r="K59" s="646"/>
      <c r="L59" s="648"/>
      <c r="M59" s="184">
        <f t="shared" si="4"/>
        <v>0</v>
      </c>
    </row>
    <row r="60" spans="1:13" ht="21.95" customHeight="1" x14ac:dyDescent="0.15">
      <c r="A60" s="53">
        <f t="shared" si="0"/>
        <v>0</v>
      </c>
      <c r="B60" s="632"/>
      <c r="C60" s="54" t="str">
        <f t="shared" si="5"/>
        <v/>
      </c>
      <c r="D60" s="642"/>
      <c r="E60" s="643"/>
      <c r="F60" s="644"/>
      <c r="G60" s="645"/>
      <c r="H60" s="646"/>
      <c r="I60" s="647"/>
      <c r="J60" s="644"/>
      <c r="K60" s="646"/>
      <c r="L60" s="648"/>
      <c r="M60" s="184">
        <f t="shared" si="4"/>
        <v>0</v>
      </c>
    </row>
    <row r="61" spans="1:13" ht="21.95" customHeight="1" x14ac:dyDescent="0.15">
      <c r="A61" s="53">
        <f t="shared" si="0"/>
        <v>0</v>
      </c>
      <c r="B61" s="632"/>
      <c r="C61" s="54" t="str">
        <f t="shared" si="5"/>
        <v/>
      </c>
      <c r="D61" s="642"/>
      <c r="E61" s="643"/>
      <c r="F61" s="644"/>
      <c r="G61" s="645"/>
      <c r="H61" s="646"/>
      <c r="I61" s="647"/>
      <c r="J61" s="644"/>
      <c r="K61" s="646"/>
      <c r="L61" s="648"/>
      <c r="M61" s="184">
        <f t="shared" si="4"/>
        <v>0</v>
      </c>
    </row>
    <row r="62" spans="1:13" ht="21.95" customHeight="1" x14ac:dyDescent="0.15">
      <c r="A62" s="53">
        <f t="shared" si="0"/>
        <v>0</v>
      </c>
      <c r="B62" s="632"/>
      <c r="C62" s="54" t="str">
        <f t="shared" si="5"/>
        <v/>
      </c>
      <c r="D62" s="642"/>
      <c r="E62" s="643"/>
      <c r="F62" s="644"/>
      <c r="G62" s="645"/>
      <c r="H62" s="646"/>
      <c r="I62" s="647"/>
      <c r="J62" s="644"/>
      <c r="K62" s="646"/>
      <c r="L62" s="648"/>
      <c r="M62" s="184">
        <f t="shared" si="4"/>
        <v>0</v>
      </c>
    </row>
    <row r="63" spans="1:13" ht="21.95" customHeight="1" x14ac:dyDescent="0.15">
      <c r="A63" s="53">
        <f t="shared" si="0"/>
        <v>0</v>
      </c>
      <c r="B63" s="632"/>
      <c r="C63" s="54" t="str">
        <f t="shared" si="5"/>
        <v/>
      </c>
      <c r="D63" s="642"/>
      <c r="E63" s="643"/>
      <c r="F63" s="644"/>
      <c r="G63" s="645"/>
      <c r="H63" s="646"/>
      <c r="I63" s="647"/>
      <c r="J63" s="644"/>
      <c r="K63" s="646"/>
      <c r="L63" s="648"/>
      <c r="M63" s="184">
        <f t="shared" si="4"/>
        <v>0</v>
      </c>
    </row>
    <row r="64" spans="1:13" ht="21.95" customHeight="1" x14ac:dyDescent="0.15">
      <c r="A64" s="53">
        <f t="shared" si="0"/>
        <v>0</v>
      </c>
      <c r="B64" s="632"/>
      <c r="C64" s="54" t="str">
        <f t="shared" si="5"/>
        <v/>
      </c>
      <c r="D64" s="642"/>
      <c r="E64" s="643"/>
      <c r="F64" s="644"/>
      <c r="G64" s="645"/>
      <c r="H64" s="646"/>
      <c r="I64" s="647"/>
      <c r="J64" s="644"/>
      <c r="K64" s="646"/>
      <c r="L64" s="648"/>
      <c r="M64" s="184">
        <f t="shared" si="4"/>
        <v>0</v>
      </c>
    </row>
    <row r="65" spans="1:13" ht="21.95" customHeight="1" x14ac:dyDescent="0.15">
      <c r="A65" s="53">
        <f t="shared" si="0"/>
        <v>0</v>
      </c>
      <c r="B65" s="632"/>
      <c r="C65" s="54" t="str">
        <f t="shared" si="5"/>
        <v/>
      </c>
      <c r="D65" s="642"/>
      <c r="E65" s="643"/>
      <c r="F65" s="644"/>
      <c r="G65" s="645"/>
      <c r="H65" s="646"/>
      <c r="I65" s="647"/>
      <c r="J65" s="644"/>
      <c r="K65" s="646"/>
      <c r="L65" s="648"/>
      <c r="M65" s="184">
        <f t="shared" si="4"/>
        <v>0</v>
      </c>
    </row>
    <row r="66" spans="1:13" ht="21.95" customHeight="1" x14ac:dyDescent="0.15">
      <c r="A66" s="53">
        <f t="shared" si="0"/>
        <v>0</v>
      </c>
      <c r="B66" s="632"/>
      <c r="C66" s="54" t="str">
        <f t="shared" si="5"/>
        <v/>
      </c>
      <c r="D66" s="642"/>
      <c r="E66" s="643"/>
      <c r="F66" s="644"/>
      <c r="G66" s="645"/>
      <c r="H66" s="646"/>
      <c r="I66" s="647"/>
      <c r="J66" s="644"/>
      <c r="K66" s="646"/>
      <c r="L66" s="648"/>
      <c r="M66" s="184">
        <f t="shared" si="4"/>
        <v>0</v>
      </c>
    </row>
    <row r="67" spans="1:13" ht="21.95" customHeight="1" x14ac:dyDescent="0.15">
      <c r="A67" s="53">
        <f t="shared" si="0"/>
        <v>0</v>
      </c>
      <c r="B67" s="632"/>
      <c r="C67" s="54" t="str">
        <f t="shared" si="5"/>
        <v/>
      </c>
      <c r="D67" s="642"/>
      <c r="E67" s="643"/>
      <c r="F67" s="644"/>
      <c r="G67" s="645"/>
      <c r="H67" s="646"/>
      <c r="I67" s="647"/>
      <c r="J67" s="644"/>
      <c r="K67" s="646"/>
      <c r="L67" s="648"/>
      <c r="M67" s="184">
        <f t="shared" si="4"/>
        <v>0</v>
      </c>
    </row>
    <row r="68" spans="1:13" ht="21.95" customHeight="1" x14ac:dyDescent="0.15">
      <c r="A68" s="53">
        <f t="shared" si="0"/>
        <v>0</v>
      </c>
      <c r="B68" s="632"/>
      <c r="C68" s="54" t="str">
        <f t="shared" si="5"/>
        <v/>
      </c>
      <c r="D68" s="642"/>
      <c r="E68" s="643"/>
      <c r="F68" s="644"/>
      <c r="G68" s="645"/>
      <c r="H68" s="646"/>
      <c r="I68" s="647"/>
      <c r="J68" s="644"/>
      <c r="K68" s="646"/>
      <c r="L68" s="648"/>
      <c r="M68" s="184">
        <f t="shared" si="4"/>
        <v>0</v>
      </c>
    </row>
    <row r="69" spans="1:13" ht="21.95" customHeight="1" x14ac:dyDescent="0.15">
      <c r="A69" s="53">
        <f t="shared" si="0"/>
        <v>0</v>
      </c>
      <c r="B69" s="632"/>
      <c r="C69" s="54" t="str">
        <f t="shared" si="5"/>
        <v/>
      </c>
      <c r="D69" s="642"/>
      <c r="E69" s="643"/>
      <c r="F69" s="644"/>
      <c r="G69" s="645"/>
      <c r="H69" s="646"/>
      <c r="I69" s="647"/>
      <c r="J69" s="644"/>
      <c r="K69" s="646"/>
      <c r="L69" s="648"/>
      <c r="M69" s="184">
        <f t="shared" si="4"/>
        <v>0</v>
      </c>
    </row>
    <row r="70" spans="1:13" ht="21.95" customHeight="1" x14ac:dyDescent="0.15">
      <c r="A70" s="53">
        <f t="shared" si="0"/>
        <v>0</v>
      </c>
      <c r="B70" s="632"/>
      <c r="C70" s="54" t="str">
        <f t="shared" si="5"/>
        <v/>
      </c>
      <c r="D70" s="642"/>
      <c r="E70" s="643"/>
      <c r="F70" s="644"/>
      <c r="G70" s="645"/>
      <c r="H70" s="646"/>
      <c r="I70" s="647"/>
      <c r="J70" s="644"/>
      <c r="K70" s="646"/>
      <c r="L70" s="648"/>
      <c r="M70" s="184">
        <f t="shared" si="4"/>
        <v>0</v>
      </c>
    </row>
    <row r="71" spans="1:13" ht="21.95" customHeight="1" x14ac:dyDescent="0.15">
      <c r="A71" s="53">
        <f t="shared" si="0"/>
        <v>0</v>
      </c>
      <c r="B71" s="632"/>
      <c r="C71" s="54" t="str">
        <f t="shared" si="5"/>
        <v/>
      </c>
      <c r="D71" s="642"/>
      <c r="E71" s="643"/>
      <c r="F71" s="644"/>
      <c r="G71" s="645"/>
      <c r="H71" s="646"/>
      <c r="I71" s="647"/>
      <c r="J71" s="644"/>
      <c r="K71" s="646"/>
      <c r="L71" s="648"/>
      <c r="M71" s="184">
        <f t="shared" si="4"/>
        <v>0</v>
      </c>
    </row>
    <row r="72" spans="1:13" ht="21.95" customHeight="1" x14ac:dyDescent="0.15">
      <c r="A72" s="53">
        <f t="shared" si="0"/>
        <v>0</v>
      </c>
      <c r="B72" s="632"/>
      <c r="C72" s="54" t="str">
        <f t="shared" si="5"/>
        <v/>
      </c>
      <c r="D72" s="642"/>
      <c r="E72" s="643"/>
      <c r="F72" s="644"/>
      <c r="G72" s="645"/>
      <c r="H72" s="646"/>
      <c r="I72" s="647"/>
      <c r="J72" s="644"/>
      <c r="K72" s="646"/>
      <c r="L72" s="648"/>
      <c r="M72" s="184">
        <f t="shared" si="4"/>
        <v>0</v>
      </c>
    </row>
    <row r="73" spans="1:13" ht="21.95" customHeight="1" x14ac:dyDescent="0.15">
      <c r="A73" s="53">
        <f t="shared" si="0"/>
        <v>0</v>
      </c>
      <c r="B73" s="632"/>
      <c r="C73" s="54" t="str">
        <f t="shared" si="5"/>
        <v/>
      </c>
      <c r="D73" s="642"/>
      <c r="E73" s="643"/>
      <c r="F73" s="644"/>
      <c r="G73" s="645"/>
      <c r="H73" s="646"/>
      <c r="I73" s="647"/>
      <c r="J73" s="644"/>
      <c r="K73" s="646"/>
      <c r="L73" s="648"/>
      <c r="M73" s="184">
        <f t="shared" si="4"/>
        <v>0</v>
      </c>
    </row>
    <row r="74" spans="1:13" ht="21.95" customHeight="1" x14ac:dyDescent="0.15">
      <c r="A74" s="53">
        <f t="shared" si="0"/>
        <v>0</v>
      </c>
      <c r="B74" s="632"/>
      <c r="C74" s="54" t="str">
        <f t="shared" si="5"/>
        <v/>
      </c>
      <c r="D74" s="642"/>
      <c r="E74" s="643"/>
      <c r="F74" s="644"/>
      <c r="G74" s="645"/>
      <c r="H74" s="646"/>
      <c r="I74" s="647"/>
      <c r="J74" s="644"/>
      <c r="K74" s="646"/>
      <c r="L74" s="648"/>
      <c r="M74" s="184">
        <f t="shared" ref="M74:M101" si="6">IF(B74&gt;0,1,0)</f>
        <v>0</v>
      </c>
    </row>
    <row r="75" spans="1:13" ht="21.95" customHeight="1" x14ac:dyDescent="0.15">
      <c r="A75" s="53">
        <f t="shared" si="0"/>
        <v>0</v>
      </c>
      <c r="B75" s="632"/>
      <c r="C75" s="54" t="str">
        <f t="shared" ref="C75:C101" si="7">IF(B75&gt;0,B75+$E$3-1,"")</f>
        <v/>
      </c>
      <c r="D75" s="642"/>
      <c r="E75" s="643"/>
      <c r="F75" s="644"/>
      <c r="G75" s="645"/>
      <c r="H75" s="646"/>
      <c r="I75" s="647"/>
      <c r="J75" s="644"/>
      <c r="K75" s="646"/>
      <c r="L75" s="648"/>
      <c r="M75" s="184">
        <f t="shared" si="6"/>
        <v>0</v>
      </c>
    </row>
    <row r="76" spans="1:13" ht="21.95" customHeight="1" x14ac:dyDescent="0.15">
      <c r="A76" s="53">
        <f t="shared" si="0"/>
        <v>0</v>
      </c>
      <c r="B76" s="632"/>
      <c r="C76" s="54" t="str">
        <f t="shared" si="7"/>
        <v/>
      </c>
      <c r="D76" s="642"/>
      <c r="E76" s="643"/>
      <c r="F76" s="644"/>
      <c r="G76" s="645"/>
      <c r="H76" s="646"/>
      <c r="I76" s="647"/>
      <c r="J76" s="644"/>
      <c r="K76" s="646"/>
      <c r="L76" s="648"/>
      <c r="M76" s="184">
        <f t="shared" si="6"/>
        <v>0</v>
      </c>
    </row>
    <row r="77" spans="1:13" ht="21.95" customHeight="1" x14ac:dyDescent="0.15">
      <c r="A77" s="53">
        <f t="shared" si="0"/>
        <v>0</v>
      </c>
      <c r="B77" s="632"/>
      <c r="C77" s="54" t="str">
        <f t="shared" si="7"/>
        <v/>
      </c>
      <c r="D77" s="642"/>
      <c r="E77" s="643"/>
      <c r="F77" s="644"/>
      <c r="G77" s="645"/>
      <c r="H77" s="646"/>
      <c r="I77" s="647"/>
      <c r="J77" s="644"/>
      <c r="K77" s="646"/>
      <c r="L77" s="648"/>
      <c r="M77" s="184">
        <f t="shared" si="6"/>
        <v>0</v>
      </c>
    </row>
    <row r="78" spans="1:13" ht="21.95" customHeight="1" x14ac:dyDescent="0.15">
      <c r="A78" s="53">
        <f t="shared" si="0"/>
        <v>0</v>
      </c>
      <c r="B78" s="632"/>
      <c r="C78" s="54" t="str">
        <f t="shared" si="7"/>
        <v/>
      </c>
      <c r="D78" s="642"/>
      <c r="E78" s="643"/>
      <c r="F78" s="644"/>
      <c r="G78" s="645"/>
      <c r="H78" s="646"/>
      <c r="I78" s="647"/>
      <c r="J78" s="644"/>
      <c r="K78" s="646"/>
      <c r="L78" s="648"/>
      <c r="M78" s="184">
        <f t="shared" si="6"/>
        <v>0</v>
      </c>
    </row>
    <row r="79" spans="1:13" ht="21.95" customHeight="1" x14ac:dyDescent="0.15">
      <c r="A79" s="53">
        <f t="shared" si="0"/>
        <v>0</v>
      </c>
      <c r="B79" s="632"/>
      <c r="C79" s="54" t="str">
        <f t="shared" si="7"/>
        <v/>
      </c>
      <c r="D79" s="642"/>
      <c r="E79" s="643"/>
      <c r="F79" s="644"/>
      <c r="G79" s="645"/>
      <c r="H79" s="646"/>
      <c r="I79" s="647"/>
      <c r="J79" s="644"/>
      <c r="K79" s="646"/>
      <c r="L79" s="648"/>
      <c r="M79" s="184">
        <f t="shared" si="6"/>
        <v>0</v>
      </c>
    </row>
    <row r="80" spans="1:13" ht="21.95" customHeight="1" x14ac:dyDescent="0.15">
      <c r="A80" s="53">
        <f t="shared" si="0"/>
        <v>0</v>
      </c>
      <c r="B80" s="632"/>
      <c r="C80" s="54" t="str">
        <f t="shared" si="7"/>
        <v/>
      </c>
      <c r="D80" s="642"/>
      <c r="E80" s="643"/>
      <c r="F80" s="644"/>
      <c r="G80" s="645"/>
      <c r="H80" s="646"/>
      <c r="I80" s="647"/>
      <c r="J80" s="644"/>
      <c r="K80" s="646"/>
      <c r="L80" s="648"/>
      <c r="M80" s="184">
        <f t="shared" si="6"/>
        <v>0</v>
      </c>
    </row>
    <row r="81" spans="1:13" ht="21.95" customHeight="1" x14ac:dyDescent="0.15">
      <c r="A81" s="53">
        <f t="shared" si="0"/>
        <v>0</v>
      </c>
      <c r="B81" s="632"/>
      <c r="C81" s="54" t="str">
        <f t="shared" si="7"/>
        <v/>
      </c>
      <c r="D81" s="642"/>
      <c r="E81" s="643"/>
      <c r="F81" s="644"/>
      <c r="G81" s="645"/>
      <c r="H81" s="646"/>
      <c r="I81" s="647"/>
      <c r="J81" s="644"/>
      <c r="K81" s="646"/>
      <c r="L81" s="648"/>
      <c r="M81" s="184">
        <f t="shared" si="6"/>
        <v>0</v>
      </c>
    </row>
    <row r="82" spans="1:13" ht="21.95" customHeight="1" x14ac:dyDescent="0.15">
      <c r="A82" s="53">
        <f t="shared" si="0"/>
        <v>0</v>
      </c>
      <c r="B82" s="632"/>
      <c r="C82" s="54" t="str">
        <f t="shared" si="7"/>
        <v/>
      </c>
      <c r="D82" s="642"/>
      <c r="E82" s="643"/>
      <c r="F82" s="644"/>
      <c r="G82" s="645"/>
      <c r="H82" s="646"/>
      <c r="I82" s="647"/>
      <c r="J82" s="644"/>
      <c r="K82" s="646"/>
      <c r="L82" s="648"/>
      <c r="M82" s="184">
        <f t="shared" si="6"/>
        <v>0</v>
      </c>
    </row>
    <row r="83" spans="1:13" ht="21.95" customHeight="1" x14ac:dyDescent="0.15">
      <c r="A83" s="53">
        <f t="shared" si="0"/>
        <v>0</v>
      </c>
      <c r="B83" s="632"/>
      <c r="C83" s="54" t="str">
        <f t="shared" si="7"/>
        <v/>
      </c>
      <c r="D83" s="642"/>
      <c r="E83" s="643"/>
      <c r="F83" s="644"/>
      <c r="G83" s="645"/>
      <c r="H83" s="646"/>
      <c r="I83" s="647"/>
      <c r="J83" s="644"/>
      <c r="K83" s="646"/>
      <c r="L83" s="648"/>
      <c r="M83" s="184">
        <f t="shared" si="6"/>
        <v>0</v>
      </c>
    </row>
    <row r="84" spans="1:13" ht="21.95" customHeight="1" x14ac:dyDescent="0.15">
      <c r="A84" s="53">
        <f t="shared" si="0"/>
        <v>0</v>
      </c>
      <c r="B84" s="632"/>
      <c r="C84" s="54" t="str">
        <f t="shared" si="7"/>
        <v/>
      </c>
      <c r="D84" s="642"/>
      <c r="E84" s="643"/>
      <c r="F84" s="644"/>
      <c r="G84" s="645"/>
      <c r="H84" s="646"/>
      <c r="I84" s="647"/>
      <c r="J84" s="644"/>
      <c r="K84" s="646"/>
      <c r="L84" s="648"/>
      <c r="M84" s="184">
        <f t="shared" si="6"/>
        <v>0</v>
      </c>
    </row>
    <row r="85" spans="1:13" ht="21.95" customHeight="1" x14ac:dyDescent="0.15">
      <c r="A85" s="53">
        <f t="shared" si="0"/>
        <v>0</v>
      </c>
      <c r="B85" s="632"/>
      <c r="C85" s="54" t="str">
        <f t="shared" si="7"/>
        <v/>
      </c>
      <c r="D85" s="642"/>
      <c r="E85" s="643"/>
      <c r="F85" s="644"/>
      <c r="G85" s="645"/>
      <c r="H85" s="646"/>
      <c r="I85" s="647"/>
      <c r="J85" s="644"/>
      <c r="K85" s="646"/>
      <c r="L85" s="648"/>
      <c r="M85" s="184">
        <f t="shared" si="6"/>
        <v>0</v>
      </c>
    </row>
    <row r="86" spans="1:13" ht="21.95" customHeight="1" x14ac:dyDescent="0.15">
      <c r="A86" s="53">
        <f t="shared" si="0"/>
        <v>0</v>
      </c>
      <c r="B86" s="632"/>
      <c r="C86" s="54" t="str">
        <f t="shared" si="7"/>
        <v/>
      </c>
      <c r="D86" s="642"/>
      <c r="E86" s="643"/>
      <c r="F86" s="644"/>
      <c r="G86" s="645"/>
      <c r="H86" s="646"/>
      <c r="I86" s="647"/>
      <c r="J86" s="644"/>
      <c r="K86" s="646"/>
      <c r="L86" s="648"/>
      <c r="M86" s="184">
        <f t="shared" si="6"/>
        <v>0</v>
      </c>
    </row>
    <row r="87" spans="1:13" ht="21.95" customHeight="1" x14ac:dyDescent="0.15">
      <c r="A87" s="53">
        <f t="shared" si="0"/>
        <v>0</v>
      </c>
      <c r="B87" s="632"/>
      <c r="C87" s="54" t="str">
        <f t="shared" si="7"/>
        <v/>
      </c>
      <c r="D87" s="642"/>
      <c r="E87" s="643"/>
      <c r="F87" s="644"/>
      <c r="G87" s="645"/>
      <c r="H87" s="646"/>
      <c r="I87" s="647"/>
      <c r="J87" s="644"/>
      <c r="K87" s="646"/>
      <c r="L87" s="648"/>
      <c r="M87" s="184">
        <f t="shared" si="6"/>
        <v>0</v>
      </c>
    </row>
    <row r="88" spans="1:13" ht="21.95" customHeight="1" x14ac:dyDescent="0.15">
      <c r="A88" s="53">
        <f t="shared" si="0"/>
        <v>0</v>
      </c>
      <c r="B88" s="632"/>
      <c r="C88" s="54" t="str">
        <f t="shared" si="7"/>
        <v/>
      </c>
      <c r="D88" s="642"/>
      <c r="E88" s="643"/>
      <c r="F88" s="644"/>
      <c r="G88" s="645"/>
      <c r="H88" s="646"/>
      <c r="I88" s="647"/>
      <c r="J88" s="644"/>
      <c r="K88" s="646"/>
      <c r="L88" s="648"/>
      <c r="M88" s="184">
        <f t="shared" si="6"/>
        <v>0</v>
      </c>
    </row>
    <row r="89" spans="1:13" ht="21.95" customHeight="1" x14ac:dyDescent="0.15">
      <c r="A89" s="53">
        <f t="shared" si="0"/>
        <v>0</v>
      </c>
      <c r="B89" s="632"/>
      <c r="C89" s="54" t="str">
        <f t="shared" si="7"/>
        <v/>
      </c>
      <c r="D89" s="642"/>
      <c r="E89" s="643"/>
      <c r="F89" s="644"/>
      <c r="G89" s="645"/>
      <c r="H89" s="646"/>
      <c r="I89" s="647"/>
      <c r="J89" s="644"/>
      <c r="K89" s="646"/>
      <c r="L89" s="648"/>
      <c r="M89" s="184">
        <f t="shared" si="6"/>
        <v>0</v>
      </c>
    </row>
    <row r="90" spans="1:13" ht="21.95" customHeight="1" x14ac:dyDescent="0.15">
      <c r="A90" s="53">
        <f t="shared" si="0"/>
        <v>0</v>
      </c>
      <c r="B90" s="632"/>
      <c r="C90" s="54" t="str">
        <f t="shared" si="7"/>
        <v/>
      </c>
      <c r="D90" s="642"/>
      <c r="E90" s="643"/>
      <c r="F90" s="644"/>
      <c r="G90" s="645"/>
      <c r="H90" s="646"/>
      <c r="I90" s="647"/>
      <c r="J90" s="644"/>
      <c r="K90" s="646"/>
      <c r="L90" s="648"/>
      <c r="M90" s="184">
        <f t="shared" si="6"/>
        <v>0</v>
      </c>
    </row>
    <row r="91" spans="1:13" ht="21.95" customHeight="1" x14ac:dyDescent="0.15">
      <c r="A91" s="53">
        <f t="shared" si="0"/>
        <v>0</v>
      </c>
      <c r="B91" s="632"/>
      <c r="C91" s="54" t="str">
        <f t="shared" si="7"/>
        <v/>
      </c>
      <c r="D91" s="642"/>
      <c r="E91" s="643"/>
      <c r="F91" s="644"/>
      <c r="G91" s="645"/>
      <c r="H91" s="646"/>
      <c r="I91" s="647"/>
      <c r="J91" s="644"/>
      <c r="K91" s="646"/>
      <c r="L91" s="648"/>
      <c r="M91" s="184">
        <f t="shared" si="6"/>
        <v>0</v>
      </c>
    </row>
    <row r="92" spans="1:13" ht="21.95" customHeight="1" x14ac:dyDescent="0.15">
      <c r="A92" s="53">
        <f t="shared" si="0"/>
        <v>0</v>
      </c>
      <c r="B92" s="632"/>
      <c r="C92" s="54" t="str">
        <f t="shared" si="7"/>
        <v/>
      </c>
      <c r="D92" s="642"/>
      <c r="E92" s="643"/>
      <c r="F92" s="644"/>
      <c r="G92" s="645"/>
      <c r="H92" s="646"/>
      <c r="I92" s="647"/>
      <c r="J92" s="644"/>
      <c r="K92" s="646"/>
      <c r="L92" s="648"/>
      <c r="M92" s="184">
        <f t="shared" si="6"/>
        <v>0</v>
      </c>
    </row>
    <row r="93" spans="1:13" ht="21.95" customHeight="1" x14ac:dyDescent="0.15">
      <c r="A93" s="53">
        <f t="shared" si="0"/>
        <v>0</v>
      </c>
      <c r="B93" s="632"/>
      <c r="C93" s="54" t="str">
        <f t="shared" si="7"/>
        <v/>
      </c>
      <c r="D93" s="642"/>
      <c r="E93" s="643"/>
      <c r="F93" s="644"/>
      <c r="G93" s="645"/>
      <c r="H93" s="646"/>
      <c r="I93" s="647"/>
      <c r="J93" s="644"/>
      <c r="K93" s="646"/>
      <c r="L93" s="648"/>
      <c r="M93" s="184">
        <f t="shared" si="6"/>
        <v>0</v>
      </c>
    </row>
    <row r="94" spans="1:13" ht="21.95" customHeight="1" x14ac:dyDescent="0.15">
      <c r="A94" s="53">
        <f t="shared" si="0"/>
        <v>0</v>
      </c>
      <c r="B94" s="632"/>
      <c r="C94" s="54" t="str">
        <f t="shared" si="7"/>
        <v/>
      </c>
      <c r="D94" s="642"/>
      <c r="E94" s="643"/>
      <c r="F94" s="644"/>
      <c r="G94" s="645"/>
      <c r="H94" s="646"/>
      <c r="I94" s="647"/>
      <c r="J94" s="644"/>
      <c r="K94" s="646"/>
      <c r="L94" s="648"/>
      <c r="M94" s="184">
        <f t="shared" si="6"/>
        <v>0</v>
      </c>
    </row>
    <row r="95" spans="1:13" ht="21.95" customHeight="1" x14ac:dyDescent="0.15">
      <c r="A95" s="53">
        <f t="shared" si="0"/>
        <v>0</v>
      </c>
      <c r="B95" s="632"/>
      <c r="C95" s="54" t="str">
        <f t="shared" si="7"/>
        <v/>
      </c>
      <c r="D95" s="642"/>
      <c r="E95" s="643"/>
      <c r="F95" s="644"/>
      <c r="G95" s="645"/>
      <c r="H95" s="646"/>
      <c r="I95" s="647"/>
      <c r="J95" s="644"/>
      <c r="K95" s="646"/>
      <c r="L95" s="648"/>
      <c r="M95" s="184">
        <f t="shared" si="6"/>
        <v>0</v>
      </c>
    </row>
    <row r="96" spans="1:13" ht="21.95" customHeight="1" x14ac:dyDescent="0.15">
      <c r="A96" s="53">
        <f t="shared" si="0"/>
        <v>0</v>
      </c>
      <c r="B96" s="632"/>
      <c r="C96" s="54" t="str">
        <f t="shared" si="7"/>
        <v/>
      </c>
      <c r="D96" s="642"/>
      <c r="E96" s="643"/>
      <c r="F96" s="644"/>
      <c r="G96" s="645"/>
      <c r="H96" s="646"/>
      <c r="I96" s="647"/>
      <c r="J96" s="644"/>
      <c r="K96" s="646"/>
      <c r="L96" s="648"/>
      <c r="M96" s="184">
        <f t="shared" si="6"/>
        <v>0</v>
      </c>
    </row>
    <row r="97" spans="1:13" ht="21.95" customHeight="1" x14ac:dyDescent="0.15">
      <c r="A97" s="53">
        <f t="shared" si="0"/>
        <v>0</v>
      </c>
      <c r="B97" s="632"/>
      <c r="C97" s="54" t="str">
        <f t="shared" si="7"/>
        <v/>
      </c>
      <c r="D97" s="642"/>
      <c r="E97" s="643"/>
      <c r="F97" s="644"/>
      <c r="G97" s="645"/>
      <c r="H97" s="646"/>
      <c r="I97" s="647"/>
      <c r="J97" s="644"/>
      <c r="K97" s="646"/>
      <c r="L97" s="648"/>
      <c r="M97" s="184">
        <f t="shared" si="6"/>
        <v>0</v>
      </c>
    </row>
    <row r="98" spans="1:13" ht="21.95" customHeight="1" x14ac:dyDescent="0.15">
      <c r="A98" s="53">
        <f t="shared" si="0"/>
        <v>0</v>
      </c>
      <c r="B98" s="632"/>
      <c r="C98" s="54" t="str">
        <f t="shared" si="7"/>
        <v/>
      </c>
      <c r="D98" s="642"/>
      <c r="E98" s="643"/>
      <c r="F98" s="644"/>
      <c r="G98" s="645"/>
      <c r="H98" s="646"/>
      <c r="I98" s="647"/>
      <c r="J98" s="644"/>
      <c r="K98" s="646"/>
      <c r="L98" s="648"/>
      <c r="M98" s="184">
        <f t="shared" si="6"/>
        <v>0</v>
      </c>
    </row>
    <row r="99" spans="1:13" ht="21.95" customHeight="1" x14ac:dyDescent="0.15">
      <c r="A99" s="53">
        <f t="shared" si="0"/>
        <v>0</v>
      </c>
      <c r="B99" s="632"/>
      <c r="C99" s="54" t="str">
        <f t="shared" si="7"/>
        <v/>
      </c>
      <c r="D99" s="642"/>
      <c r="E99" s="643"/>
      <c r="F99" s="644"/>
      <c r="G99" s="645"/>
      <c r="H99" s="646"/>
      <c r="I99" s="647"/>
      <c r="J99" s="644"/>
      <c r="K99" s="646"/>
      <c r="L99" s="648"/>
      <c r="M99" s="184">
        <f t="shared" si="6"/>
        <v>0</v>
      </c>
    </row>
    <row r="100" spans="1:13" ht="21.95" customHeight="1" x14ac:dyDescent="0.15">
      <c r="A100" s="53">
        <f t="shared" si="0"/>
        <v>0</v>
      </c>
      <c r="B100" s="632"/>
      <c r="C100" s="54" t="str">
        <f t="shared" si="7"/>
        <v/>
      </c>
      <c r="D100" s="642"/>
      <c r="E100" s="643"/>
      <c r="F100" s="644"/>
      <c r="G100" s="645"/>
      <c r="H100" s="646"/>
      <c r="I100" s="647"/>
      <c r="J100" s="644"/>
      <c r="K100" s="646"/>
      <c r="L100" s="648"/>
      <c r="M100" s="184">
        <f t="shared" si="6"/>
        <v>0</v>
      </c>
    </row>
    <row r="101" spans="1:13" ht="21.95" customHeight="1" thickBot="1" x14ac:dyDescent="0.2">
      <c r="A101" s="55">
        <f t="shared" si="0"/>
        <v>0</v>
      </c>
      <c r="B101" s="633"/>
      <c r="C101" s="56" t="str">
        <f t="shared" si="7"/>
        <v/>
      </c>
      <c r="D101" s="649"/>
      <c r="E101" s="650"/>
      <c r="F101" s="651"/>
      <c r="G101" s="652"/>
      <c r="H101" s="653"/>
      <c r="I101" s="654"/>
      <c r="J101" s="651"/>
      <c r="K101" s="653"/>
      <c r="L101" s="655"/>
      <c r="M101" s="184">
        <f t="shared" si="6"/>
        <v>0</v>
      </c>
    </row>
    <row r="102" spans="1:13" ht="15.75" customHeight="1" x14ac:dyDescent="0.15">
      <c r="A102" s="49"/>
      <c r="B102" s="49"/>
      <c r="C102" s="49"/>
      <c r="D102" s="49"/>
      <c r="E102" s="49"/>
      <c r="F102" s="50"/>
      <c r="G102" s="50"/>
      <c r="H102" s="50"/>
      <c r="I102" s="50"/>
      <c r="J102" s="50"/>
      <c r="K102" s="50"/>
      <c r="L102" s="50"/>
    </row>
    <row r="103" spans="1:13" ht="15.75" customHeight="1" x14ac:dyDescent="0.15">
      <c r="A103" s="49"/>
      <c r="B103" s="49"/>
      <c r="C103" s="49"/>
      <c r="D103" s="49"/>
      <c r="E103" s="49"/>
      <c r="F103" s="50"/>
      <c r="G103" s="50"/>
      <c r="H103" s="50"/>
      <c r="I103" s="50"/>
      <c r="J103" s="50"/>
      <c r="K103" s="50"/>
      <c r="L103" s="50"/>
    </row>
    <row r="104" spans="1:13" ht="17.25" x14ac:dyDescent="0.15"/>
    <row r="105" spans="1:13" ht="17.25" x14ac:dyDescent="0.15"/>
    <row r="106" spans="1:13" ht="17.25" x14ac:dyDescent="0.15"/>
    <row r="107" spans="1:13" ht="17.25" x14ac:dyDescent="0.15"/>
  </sheetData>
  <sheetProtection algorithmName="SHA-512" hashValue="wzjVuuMVIKqhTIvb6MNARZPV4MSQqUD3v+OaxMx3obK1itsVJVUStIPvtQLAVGAG2zpoIdZ2BOLty0uRm9Yljw==" saltValue="cltSLfwt9lR1tTBEoGsz2g==" spinCount="100000" sheet="1" objects="1" scenarios="1"/>
  <customSheetViews>
    <customSheetView guid="{2AFB78BD-0AA0-48F7-9FB9-7ECB21AAFE3F}" showGridLines="0" showRowCol="0" zeroValues="0" fitToPage="1" hiddenRows="1" hiddenColumns="1">
      <pane xSplit="4" ySplit="9" topLeftCell="E10" activePane="bottomRight" state="frozen"/>
      <selection pane="bottomRight" activeCell="B10" sqref="B10"/>
      <pageMargins left="0.43307086614173229" right="0.55118110236220474" top="0.51181102362204722" bottom="0.31496062992125984" header="0" footer="0"/>
      <printOptions horizontalCentered="1" verticalCentered="1"/>
      <pageSetup scale="55" orientation="portrait" r:id="rId1"/>
      <headerFooter alignWithMargins="0">
        <oddFooter>&amp;LFecha de Impresión : &amp;D&amp;R&amp;8&amp;Z&amp;F;  &amp;A</oddFooter>
      </headerFooter>
    </customSheetView>
  </customSheetViews>
  <mergeCells count="17">
    <mergeCell ref="E5:F5"/>
    <mergeCell ref="E6:F6"/>
    <mergeCell ref="E4:F4"/>
    <mergeCell ref="H8:I8"/>
    <mergeCell ref="A3:D3"/>
    <mergeCell ref="E2:F2"/>
    <mergeCell ref="G1:J2"/>
    <mergeCell ref="G3:J4"/>
    <mergeCell ref="G5:L7"/>
    <mergeCell ref="A6:D6"/>
    <mergeCell ref="A7:C7"/>
    <mergeCell ref="A4:D4"/>
    <mergeCell ref="E3:F3"/>
    <mergeCell ref="E1:F1"/>
    <mergeCell ref="A1:D1"/>
    <mergeCell ref="A2:D2"/>
    <mergeCell ref="A5:D5"/>
  </mergeCells>
  <dataValidations count="1">
    <dataValidation type="whole" allowBlank="1" showInputMessage="1" showErrorMessage="1" sqref="B10:B101" xr:uid="{00000000-0002-0000-0200-000000000000}">
      <formula1>0</formula1>
      <formula2>140</formula2>
    </dataValidation>
  </dataValidations>
  <printOptions horizontalCentered="1" verticalCentered="1"/>
  <pageMargins left="0.43307086614173229" right="0.55118110236220474" top="0.51181102362204722" bottom="0.31496062992125984" header="0" footer="0"/>
  <pageSetup scale="55" fitToHeight="0" orientation="portrait" r:id="rId2"/>
  <headerFooter alignWithMargins="0">
    <oddFooter>&amp;LFecha de Impresión : &amp;D&amp;R&amp;8&amp;Z&amp;F;  &amp;A</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B2A91-9354-4CBC-B852-ECD77A035893}">
  <sheetPr codeName="Hoja16"/>
  <dimension ref="A1:J215"/>
  <sheetViews>
    <sheetView showGridLines="0" workbookViewId="0">
      <pane ySplit="3" topLeftCell="A155" activePane="bottomLeft" state="frozen"/>
      <selection activeCell="C2" sqref="C2:D2"/>
      <selection pane="bottomLeft" activeCell="B164" sqref="B164"/>
    </sheetView>
  </sheetViews>
  <sheetFormatPr baseColWidth="10" defaultRowHeight="15" x14ac:dyDescent="0.25"/>
  <cols>
    <col min="1" max="1" width="11" style="1493"/>
    <col min="2" max="2" width="11.75" style="1493" customWidth="1"/>
    <col min="3" max="3" width="14.25" style="1493" customWidth="1"/>
    <col min="4" max="4" width="14" style="1493" customWidth="1"/>
    <col min="5" max="5" width="11.375" style="1493" customWidth="1"/>
    <col min="6" max="6" width="10.375" style="1493" customWidth="1"/>
    <col min="7" max="16384" width="11" style="1493"/>
  </cols>
  <sheetData>
    <row r="1" spans="1:10" ht="18.75" x14ac:dyDescent="0.3">
      <c r="B1" s="1772" t="s">
        <v>496</v>
      </c>
      <c r="C1" s="1773"/>
      <c r="D1" s="1773"/>
      <c r="E1" s="1773"/>
      <c r="F1" s="1773"/>
      <c r="G1" s="1494"/>
    </row>
    <row r="2" spans="1:10" x14ac:dyDescent="0.25">
      <c r="B2" s="1494"/>
      <c r="C2" s="1494"/>
      <c r="D2" s="1494"/>
      <c r="E2" s="1494"/>
      <c r="F2" s="1494"/>
      <c r="G2" s="1494"/>
    </row>
    <row r="3" spans="1:10" ht="15.75" x14ac:dyDescent="0.25">
      <c r="A3" s="1495" t="s">
        <v>497</v>
      </c>
      <c r="B3" s="1495" t="s">
        <v>498</v>
      </c>
      <c r="C3" s="1496" t="s">
        <v>499</v>
      </c>
      <c r="D3" s="1496" t="s">
        <v>500</v>
      </c>
      <c r="E3" s="1496" t="s">
        <v>48</v>
      </c>
      <c r="F3" s="1496" t="s">
        <v>501</v>
      </c>
      <c r="G3" s="1494"/>
    </row>
    <row r="4" spans="1:10" x14ac:dyDescent="0.25">
      <c r="A4" s="1493" t="s">
        <v>502</v>
      </c>
      <c r="B4" s="1497">
        <f>DATE(YEAR(Fnac),1,1)</f>
        <v>1</v>
      </c>
      <c r="C4" s="1498">
        <v>0.25763888888888892</v>
      </c>
      <c r="D4" s="1498">
        <v>0.75486111111111109</v>
      </c>
      <c r="E4" s="1499">
        <f>D4-C4</f>
        <v>0.49722222222222218</v>
      </c>
      <c r="F4" s="1500">
        <f>WEEKNUM(Luz_Natural[[#This Row],[Fecha Sem]])</f>
        <v>1</v>
      </c>
      <c r="G4" s="1494"/>
    </row>
    <row r="5" spans="1:10" x14ac:dyDescent="0.25">
      <c r="A5" s="1493" t="s">
        <v>502</v>
      </c>
      <c r="B5" s="1497">
        <f t="shared" ref="B5:B68" si="0">B4+7</f>
        <v>8</v>
      </c>
      <c r="C5" s="1498">
        <v>0.25972222222222224</v>
      </c>
      <c r="D5" s="1498">
        <v>0.75694444444444453</v>
      </c>
      <c r="E5" s="1499">
        <f>D5-C5</f>
        <v>0.49722222222222229</v>
      </c>
      <c r="F5" s="1500">
        <f>WEEKNUM(Luz_Natural[[#This Row],[Fecha Sem]])</f>
        <v>2</v>
      </c>
      <c r="G5" s="1494"/>
      <c r="H5" s="1501"/>
      <c r="I5" s="1501"/>
      <c r="J5" s="1501"/>
    </row>
    <row r="6" spans="1:10" x14ac:dyDescent="0.25">
      <c r="A6" s="1493" t="s">
        <v>502</v>
      </c>
      <c r="B6" s="1497">
        <f t="shared" si="0"/>
        <v>15</v>
      </c>
      <c r="C6" s="1498">
        <v>0.26180555555555557</v>
      </c>
      <c r="D6" s="1498">
        <v>0.75902777777777775</v>
      </c>
      <c r="E6" s="1499">
        <f t="shared" ref="E6:E56" si="1">D6-C6</f>
        <v>0.49722222222222218</v>
      </c>
      <c r="F6" s="1500">
        <f>WEEKNUM(Luz_Natural[[#This Row],[Fecha Sem]])</f>
        <v>3</v>
      </c>
      <c r="G6" s="1494"/>
    </row>
    <row r="7" spans="1:10" x14ac:dyDescent="0.25">
      <c r="A7" s="1493" t="s">
        <v>502</v>
      </c>
      <c r="B7" s="1497">
        <f t="shared" si="0"/>
        <v>22</v>
      </c>
      <c r="C7" s="1498">
        <v>0.26250000000000001</v>
      </c>
      <c r="D7" s="1498">
        <v>0.76111111111111107</v>
      </c>
      <c r="E7" s="1499">
        <f t="shared" si="1"/>
        <v>0.49861111111111106</v>
      </c>
      <c r="F7" s="1500">
        <f>WEEKNUM(Luz_Natural[[#This Row],[Fecha Sem]])</f>
        <v>4</v>
      </c>
      <c r="G7" s="1494"/>
    </row>
    <row r="8" spans="1:10" x14ac:dyDescent="0.25">
      <c r="A8" s="1493" t="s">
        <v>502</v>
      </c>
      <c r="B8" s="1497">
        <f t="shared" si="0"/>
        <v>29</v>
      </c>
      <c r="C8" s="1498">
        <v>0.2638888888888889</v>
      </c>
      <c r="D8" s="1498">
        <v>0.76250000000000007</v>
      </c>
      <c r="E8" s="1499">
        <f t="shared" si="1"/>
        <v>0.49861111111111117</v>
      </c>
      <c r="F8" s="1500">
        <f>WEEKNUM(Luz_Natural[[#This Row],[Fecha Sem]])</f>
        <v>5</v>
      </c>
      <c r="G8" s="1494"/>
    </row>
    <row r="9" spans="1:10" x14ac:dyDescent="0.25">
      <c r="A9" s="1493" t="s">
        <v>502</v>
      </c>
      <c r="B9" s="1497">
        <f t="shared" si="0"/>
        <v>36</v>
      </c>
      <c r="C9" s="1498">
        <v>0.2638888888888889</v>
      </c>
      <c r="D9" s="1498">
        <v>0.7631944444444444</v>
      </c>
      <c r="E9" s="1499">
        <f t="shared" si="1"/>
        <v>0.4993055555555555</v>
      </c>
      <c r="F9" s="1500">
        <f>WEEKNUM(Luz_Natural[[#This Row],[Fecha Sem]])</f>
        <v>6</v>
      </c>
      <c r="G9" s="1494"/>
    </row>
    <row r="10" spans="1:10" x14ac:dyDescent="0.25">
      <c r="A10" s="1493" t="s">
        <v>502</v>
      </c>
      <c r="B10" s="1497">
        <f t="shared" si="0"/>
        <v>43</v>
      </c>
      <c r="C10" s="1498">
        <v>0.2638888888888889</v>
      </c>
      <c r="D10" s="1498">
        <v>0.76388888888888884</v>
      </c>
      <c r="E10" s="1499">
        <f>D10-C10</f>
        <v>0.49999999999999994</v>
      </c>
      <c r="F10" s="1500">
        <f>WEEKNUM(Luz_Natural[[#This Row],[Fecha Sem]])</f>
        <v>7</v>
      </c>
      <c r="G10" s="1494"/>
    </row>
    <row r="11" spans="1:10" x14ac:dyDescent="0.25">
      <c r="A11" s="1493" t="s">
        <v>502</v>
      </c>
      <c r="B11" s="1497">
        <f t="shared" si="0"/>
        <v>50</v>
      </c>
      <c r="C11" s="1498">
        <v>0.26319444444444445</v>
      </c>
      <c r="D11" s="1498">
        <v>0.76388888888888884</v>
      </c>
      <c r="E11" s="1499">
        <f t="shared" si="1"/>
        <v>0.50069444444444433</v>
      </c>
      <c r="F11" s="1500">
        <f>WEEKNUM(Luz_Natural[[#This Row],[Fecha Sem]])</f>
        <v>8</v>
      </c>
      <c r="G11" s="1494"/>
    </row>
    <row r="12" spans="1:10" x14ac:dyDescent="0.25">
      <c r="A12" s="1493" t="s">
        <v>502</v>
      </c>
      <c r="B12" s="1497">
        <f t="shared" si="0"/>
        <v>57</v>
      </c>
      <c r="C12" s="1498">
        <v>0.26180555555555557</v>
      </c>
      <c r="D12" s="1498">
        <v>0.76388888888888884</v>
      </c>
      <c r="E12" s="1499">
        <f t="shared" si="1"/>
        <v>0.50208333333333321</v>
      </c>
      <c r="F12" s="1500">
        <f>WEEKNUM(Luz_Natural[[#This Row],[Fecha Sem]])</f>
        <v>9</v>
      </c>
      <c r="G12" s="1494"/>
    </row>
    <row r="13" spans="1:10" x14ac:dyDescent="0.25">
      <c r="A13" s="1493" t="s">
        <v>502</v>
      </c>
      <c r="B13" s="1497">
        <f t="shared" si="0"/>
        <v>64</v>
      </c>
      <c r="C13" s="1498">
        <v>0.26041666666666669</v>
      </c>
      <c r="D13" s="1498">
        <v>0.7631944444444444</v>
      </c>
      <c r="E13" s="1499">
        <f t="shared" si="1"/>
        <v>0.50277777777777777</v>
      </c>
      <c r="F13" s="1500">
        <f>WEEKNUM(Luz_Natural[[#This Row],[Fecha Sem]])</f>
        <v>10</v>
      </c>
      <c r="G13" s="1494"/>
    </row>
    <row r="14" spans="1:10" x14ac:dyDescent="0.25">
      <c r="A14" s="1493" t="s">
        <v>502</v>
      </c>
      <c r="B14" s="1497">
        <f t="shared" si="0"/>
        <v>71</v>
      </c>
      <c r="C14" s="1498">
        <v>0.2590277777777778</v>
      </c>
      <c r="D14" s="1498">
        <v>0.76250000000000007</v>
      </c>
      <c r="E14" s="1499">
        <f t="shared" si="1"/>
        <v>0.50347222222222232</v>
      </c>
      <c r="F14" s="1500">
        <f>WEEKNUM(Luz_Natural[[#This Row],[Fecha Sem]])</f>
        <v>11</v>
      </c>
      <c r="G14" s="1494"/>
    </row>
    <row r="15" spans="1:10" x14ac:dyDescent="0.25">
      <c r="A15" s="1493" t="s">
        <v>502</v>
      </c>
      <c r="B15" s="1497">
        <f t="shared" si="0"/>
        <v>78</v>
      </c>
      <c r="C15" s="1498">
        <v>0.25694444444444448</v>
      </c>
      <c r="D15" s="1498">
        <v>0.76111111111111107</v>
      </c>
      <c r="E15" s="1499">
        <f t="shared" si="1"/>
        <v>0.50416666666666665</v>
      </c>
      <c r="F15" s="1500">
        <f>WEEKNUM(Luz_Natural[[#This Row],[Fecha Sem]])</f>
        <v>12</v>
      </c>
      <c r="G15" s="1494"/>
    </row>
    <row r="16" spans="1:10" x14ac:dyDescent="0.25">
      <c r="A16" s="1493" t="s">
        <v>502</v>
      </c>
      <c r="B16" s="1497">
        <f t="shared" si="0"/>
        <v>85</v>
      </c>
      <c r="C16" s="1498">
        <v>0.25486111111111109</v>
      </c>
      <c r="D16" s="1498">
        <v>0.76041666666666663</v>
      </c>
      <c r="E16" s="1499">
        <f t="shared" si="1"/>
        <v>0.50555555555555554</v>
      </c>
      <c r="F16" s="1500">
        <f>WEEKNUM(Luz_Natural[[#This Row],[Fecha Sem]])</f>
        <v>13</v>
      </c>
      <c r="G16" s="1494"/>
    </row>
    <row r="17" spans="1:7" x14ac:dyDescent="0.25">
      <c r="A17" s="1493" t="s">
        <v>502</v>
      </c>
      <c r="B17" s="1497">
        <f t="shared" si="0"/>
        <v>92</v>
      </c>
      <c r="C17" s="1502">
        <v>0.25277777777777777</v>
      </c>
      <c r="D17" s="1498">
        <v>0.7597222222222223</v>
      </c>
      <c r="E17" s="1499">
        <f t="shared" si="1"/>
        <v>0.50694444444444453</v>
      </c>
      <c r="F17" s="1500">
        <f>WEEKNUM(Luz_Natural[[#This Row],[Fecha Sem]])</f>
        <v>14</v>
      </c>
      <c r="G17" s="1494"/>
    </row>
    <row r="18" spans="1:7" x14ac:dyDescent="0.25">
      <c r="A18" s="1493" t="s">
        <v>502</v>
      </c>
      <c r="B18" s="1497">
        <f t="shared" si="0"/>
        <v>99</v>
      </c>
      <c r="C18" s="1498">
        <v>0.25138888888888888</v>
      </c>
      <c r="D18" s="1498">
        <v>0.7583333333333333</v>
      </c>
      <c r="E18" s="1499">
        <f t="shared" si="1"/>
        <v>0.50694444444444442</v>
      </c>
      <c r="F18" s="1500">
        <f>WEEKNUM(Luz_Natural[[#This Row],[Fecha Sem]])</f>
        <v>15</v>
      </c>
      <c r="G18" s="1494"/>
    </row>
    <row r="19" spans="1:7" x14ac:dyDescent="0.25">
      <c r="A19" s="1493" t="s">
        <v>502</v>
      </c>
      <c r="B19" s="1497">
        <f t="shared" si="0"/>
        <v>106</v>
      </c>
      <c r="C19" s="1498">
        <v>0.24930555555555556</v>
      </c>
      <c r="D19" s="1498">
        <v>0.75763888888888886</v>
      </c>
      <c r="E19" s="1499">
        <f t="shared" si="1"/>
        <v>0.5083333333333333</v>
      </c>
      <c r="F19" s="1500">
        <f>WEEKNUM(Luz_Natural[[#This Row],[Fecha Sem]])</f>
        <v>16</v>
      </c>
      <c r="G19" s="1494"/>
    </row>
    <row r="20" spans="1:7" x14ac:dyDescent="0.25">
      <c r="A20" s="1493" t="s">
        <v>502</v>
      </c>
      <c r="B20" s="1497">
        <f t="shared" si="0"/>
        <v>113</v>
      </c>
      <c r="C20" s="1503">
        <v>0.24791666666666667</v>
      </c>
      <c r="D20" s="1503">
        <v>0.75694444444444453</v>
      </c>
      <c r="E20" s="1499">
        <f t="shared" si="1"/>
        <v>0.50902777777777786</v>
      </c>
      <c r="F20" s="1500">
        <f>WEEKNUM(Luz_Natural[[#This Row],[Fecha Sem]])</f>
        <v>17</v>
      </c>
      <c r="G20" s="1494"/>
    </row>
    <row r="21" spans="1:7" x14ac:dyDescent="0.25">
      <c r="A21" s="1493" t="s">
        <v>502</v>
      </c>
      <c r="B21" s="1497">
        <f t="shared" si="0"/>
        <v>120</v>
      </c>
      <c r="C21" s="1504">
        <v>0.24722222222222223</v>
      </c>
      <c r="D21" s="1504">
        <v>0.75694444444444453</v>
      </c>
      <c r="E21" s="1499">
        <f t="shared" si="1"/>
        <v>0.5097222222222223</v>
      </c>
      <c r="F21" s="1500">
        <f>WEEKNUM(Luz_Natural[[#This Row],[Fecha Sem]])</f>
        <v>18</v>
      </c>
      <c r="G21" s="1494"/>
    </row>
    <row r="22" spans="1:7" x14ac:dyDescent="0.25">
      <c r="A22" s="1493" t="s">
        <v>502</v>
      </c>
      <c r="B22" s="1497">
        <f t="shared" si="0"/>
        <v>127</v>
      </c>
      <c r="C22" s="1498">
        <v>0.24583333333333335</v>
      </c>
      <c r="D22" s="1498">
        <v>0.75694444444444453</v>
      </c>
      <c r="E22" s="1499">
        <f t="shared" si="1"/>
        <v>0.51111111111111118</v>
      </c>
      <c r="F22" s="1500">
        <f>WEEKNUM(Luz_Natural[[#This Row],[Fecha Sem]])</f>
        <v>19</v>
      </c>
      <c r="G22" s="1494"/>
    </row>
    <row r="23" spans="1:7" x14ac:dyDescent="0.25">
      <c r="A23" s="1493" t="s">
        <v>502</v>
      </c>
      <c r="B23" s="1497">
        <f t="shared" si="0"/>
        <v>134</v>
      </c>
      <c r="C23" s="1498">
        <v>0.24583333333333335</v>
      </c>
      <c r="D23" s="1498">
        <v>0.75694444444444453</v>
      </c>
      <c r="E23" s="1499">
        <f t="shared" si="1"/>
        <v>0.51111111111111118</v>
      </c>
      <c r="F23" s="1500">
        <f>WEEKNUM(Luz_Natural[[#This Row],[Fecha Sem]])</f>
        <v>20</v>
      </c>
      <c r="G23" s="1494"/>
    </row>
    <row r="24" spans="1:7" x14ac:dyDescent="0.25">
      <c r="A24" s="1493" t="s">
        <v>502</v>
      </c>
      <c r="B24" s="1497">
        <f t="shared" si="0"/>
        <v>141</v>
      </c>
      <c r="C24" s="1498">
        <v>0.24583333333333335</v>
      </c>
      <c r="D24" s="1498">
        <v>0.75763888888888886</v>
      </c>
      <c r="E24" s="1499">
        <f t="shared" si="1"/>
        <v>0.51180555555555551</v>
      </c>
      <c r="F24" s="1500">
        <f>WEEKNUM(Luz_Natural[[#This Row],[Fecha Sem]])</f>
        <v>21</v>
      </c>
      <c r="G24" s="1494"/>
    </row>
    <row r="25" spans="1:7" x14ac:dyDescent="0.25">
      <c r="A25" s="1493" t="s">
        <v>502</v>
      </c>
      <c r="B25" s="1497">
        <f t="shared" si="0"/>
        <v>148</v>
      </c>
      <c r="C25" s="1498">
        <v>0.24583333333333335</v>
      </c>
      <c r="D25" s="1498">
        <v>0.7583333333333333</v>
      </c>
      <c r="E25" s="1499">
        <f t="shared" si="1"/>
        <v>0.51249999999999996</v>
      </c>
      <c r="F25" s="1500">
        <f>WEEKNUM(Luz_Natural[[#This Row],[Fecha Sem]])</f>
        <v>22</v>
      </c>
      <c r="G25" s="1494"/>
    </row>
    <row r="26" spans="1:7" x14ac:dyDescent="0.25">
      <c r="A26" s="1493" t="s">
        <v>502</v>
      </c>
      <c r="B26" s="1497">
        <f t="shared" si="0"/>
        <v>155</v>
      </c>
      <c r="C26" s="1498">
        <v>0.24652777777777779</v>
      </c>
      <c r="D26" s="1498">
        <v>0.75902777777777775</v>
      </c>
      <c r="E26" s="1499">
        <f t="shared" si="1"/>
        <v>0.51249999999999996</v>
      </c>
      <c r="F26" s="1500">
        <f>WEEKNUM(Luz_Natural[[#This Row],[Fecha Sem]])</f>
        <v>23</v>
      </c>
      <c r="G26" s="1494"/>
    </row>
    <row r="27" spans="1:7" x14ac:dyDescent="0.25">
      <c r="A27" s="1493" t="s">
        <v>502</v>
      </c>
      <c r="B27" s="1497">
        <f t="shared" si="0"/>
        <v>162</v>
      </c>
      <c r="C27" s="1498">
        <v>0.24722222222222223</v>
      </c>
      <c r="D27" s="1498">
        <v>0.76041666666666663</v>
      </c>
      <c r="E27" s="1499">
        <f t="shared" si="1"/>
        <v>0.5131944444444444</v>
      </c>
      <c r="F27" s="1500">
        <f>WEEKNUM(Luz_Natural[[#This Row],[Fecha Sem]])</f>
        <v>24</v>
      </c>
      <c r="G27" s="1494"/>
    </row>
    <row r="28" spans="1:7" x14ac:dyDescent="0.25">
      <c r="A28" s="1493" t="s">
        <v>502</v>
      </c>
      <c r="B28" s="1497">
        <f t="shared" si="0"/>
        <v>169</v>
      </c>
      <c r="C28" s="1498">
        <v>0.24791666666666667</v>
      </c>
      <c r="D28" s="1498">
        <v>0.76111111111111107</v>
      </c>
      <c r="E28" s="1499">
        <f t="shared" si="1"/>
        <v>0.5131944444444444</v>
      </c>
      <c r="F28" s="1500">
        <f>WEEKNUM(Luz_Natural[[#This Row],[Fecha Sem]])</f>
        <v>25</v>
      </c>
      <c r="G28" s="1494"/>
    </row>
    <row r="29" spans="1:7" x14ac:dyDescent="0.25">
      <c r="A29" s="1493" t="s">
        <v>502</v>
      </c>
      <c r="B29" s="1497">
        <f t="shared" si="0"/>
        <v>176</v>
      </c>
      <c r="C29" s="1498">
        <v>0.24930555555555556</v>
      </c>
      <c r="D29" s="1498">
        <v>0.76250000000000007</v>
      </c>
      <c r="E29" s="1499">
        <f t="shared" si="1"/>
        <v>0.51319444444444451</v>
      </c>
      <c r="F29" s="1500">
        <f>WEEKNUM(Luz_Natural[[#This Row],[Fecha Sem]])</f>
        <v>26</v>
      </c>
      <c r="G29" s="1494"/>
    </row>
    <row r="30" spans="1:7" x14ac:dyDescent="0.25">
      <c r="A30" s="1493" t="s">
        <v>502</v>
      </c>
      <c r="B30" s="1497">
        <f t="shared" si="0"/>
        <v>183</v>
      </c>
      <c r="C30" s="1498">
        <v>0.25</v>
      </c>
      <c r="D30" s="1498">
        <v>0.7631944444444444</v>
      </c>
      <c r="E30" s="1499">
        <f t="shared" si="1"/>
        <v>0.5131944444444444</v>
      </c>
      <c r="F30" s="1500">
        <f>WEEKNUM(Luz_Natural[[#This Row],[Fecha Sem]])</f>
        <v>27</v>
      </c>
      <c r="G30" s="1494"/>
    </row>
    <row r="31" spans="1:7" x14ac:dyDescent="0.25">
      <c r="A31" s="1493" t="s">
        <v>502</v>
      </c>
      <c r="B31" s="1497">
        <f t="shared" si="0"/>
        <v>190</v>
      </c>
      <c r="C31" s="1502">
        <v>0.25069444444444444</v>
      </c>
      <c r="D31" s="1498">
        <v>0.76388888888888884</v>
      </c>
      <c r="E31" s="1499">
        <f t="shared" si="1"/>
        <v>0.5131944444444444</v>
      </c>
      <c r="F31" s="1500">
        <f>WEEKNUM(Luz_Natural[[#This Row],[Fecha Sem]])</f>
        <v>28</v>
      </c>
      <c r="G31" s="1494"/>
    </row>
    <row r="32" spans="1:7" x14ac:dyDescent="0.25">
      <c r="A32" s="1493" t="s">
        <v>502</v>
      </c>
      <c r="B32" s="1497">
        <f t="shared" si="0"/>
        <v>197</v>
      </c>
      <c r="C32" s="1498">
        <v>0.25208333333333333</v>
      </c>
      <c r="D32" s="1498">
        <v>0.76458333333333339</v>
      </c>
      <c r="E32" s="1499">
        <f t="shared" si="1"/>
        <v>0.51250000000000007</v>
      </c>
      <c r="F32" s="1500">
        <f>WEEKNUM(Luz_Natural[[#This Row],[Fecha Sem]])</f>
        <v>29</v>
      </c>
      <c r="G32" s="1494"/>
    </row>
    <row r="33" spans="1:7" x14ac:dyDescent="0.25">
      <c r="A33" s="1493" t="s">
        <v>502</v>
      </c>
      <c r="B33" s="1497">
        <f t="shared" si="0"/>
        <v>204</v>
      </c>
      <c r="C33" s="1502">
        <v>0.25208333333333333</v>
      </c>
      <c r="D33" s="1498">
        <v>0.76458333333333339</v>
      </c>
      <c r="E33" s="1499">
        <f t="shared" si="1"/>
        <v>0.51250000000000007</v>
      </c>
      <c r="F33" s="1500">
        <f>WEEKNUM(Luz_Natural[[#This Row],[Fecha Sem]])</f>
        <v>30</v>
      </c>
      <c r="G33" s="1494"/>
    </row>
    <row r="34" spans="1:7" x14ac:dyDescent="0.25">
      <c r="A34" s="1493" t="s">
        <v>502</v>
      </c>
      <c r="B34" s="1497">
        <f t="shared" si="0"/>
        <v>211</v>
      </c>
      <c r="C34" s="1498">
        <v>0.25277777777777777</v>
      </c>
      <c r="D34" s="1498">
        <v>0.76388888888888884</v>
      </c>
      <c r="E34" s="1499">
        <f t="shared" si="1"/>
        <v>0.51111111111111107</v>
      </c>
      <c r="F34" s="1500">
        <f>WEEKNUM(Luz_Natural[[#This Row],[Fecha Sem]])</f>
        <v>31</v>
      </c>
      <c r="G34" s="1494"/>
    </row>
    <row r="35" spans="1:7" x14ac:dyDescent="0.25">
      <c r="A35" s="1493" t="s">
        <v>502</v>
      </c>
      <c r="B35" s="1497">
        <f t="shared" si="0"/>
        <v>218</v>
      </c>
      <c r="C35" s="1498">
        <v>0.25277777777777777</v>
      </c>
      <c r="D35" s="1498">
        <v>0.7631944444444444</v>
      </c>
      <c r="E35" s="1499">
        <f t="shared" si="1"/>
        <v>0.51041666666666663</v>
      </c>
      <c r="F35" s="1500">
        <f>WEEKNUM(Luz_Natural[[#This Row],[Fecha Sem]])</f>
        <v>32</v>
      </c>
      <c r="G35" s="1494"/>
    </row>
    <row r="36" spans="1:7" x14ac:dyDescent="0.25">
      <c r="A36" s="1493" t="s">
        <v>502</v>
      </c>
      <c r="B36" s="1497">
        <f t="shared" si="0"/>
        <v>225</v>
      </c>
      <c r="C36" s="1498">
        <v>0.25208333333333333</v>
      </c>
      <c r="D36" s="1498">
        <v>0.76180555555555562</v>
      </c>
      <c r="E36" s="1499">
        <f t="shared" si="1"/>
        <v>0.5097222222222223</v>
      </c>
      <c r="F36" s="1500">
        <f>WEEKNUM(Luz_Natural[[#This Row],[Fecha Sem]])</f>
        <v>33</v>
      </c>
      <c r="G36" s="1494"/>
    </row>
    <row r="37" spans="1:7" x14ac:dyDescent="0.25">
      <c r="A37" s="1493" t="s">
        <v>502</v>
      </c>
      <c r="B37" s="1497">
        <f t="shared" si="0"/>
        <v>232</v>
      </c>
      <c r="C37" s="1502">
        <v>0.25138888888888888</v>
      </c>
      <c r="D37" s="1498">
        <v>0.76041666666666663</v>
      </c>
      <c r="E37" s="1499">
        <f t="shared" si="1"/>
        <v>0.50902777777777775</v>
      </c>
      <c r="F37" s="1500">
        <f>WEEKNUM(Luz_Natural[[#This Row],[Fecha Sem]])</f>
        <v>34</v>
      </c>
      <c r="G37" s="1494"/>
    </row>
    <row r="38" spans="1:7" x14ac:dyDescent="0.25">
      <c r="A38" s="1493" t="s">
        <v>502</v>
      </c>
      <c r="B38" s="1497">
        <f t="shared" si="0"/>
        <v>239</v>
      </c>
      <c r="C38" s="1498">
        <v>0.25069444444444444</v>
      </c>
      <c r="D38" s="1498">
        <v>0.75902777777777775</v>
      </c>
      <c r="E38" s="1499">
        <f t="shared" si="1"/>
        <v>0.5083333333333333</v>
      </c>
      <c r="F38" s="1500">
        <f>WEEKNUM(Luz_Natural[[#This Row],[Fecha Sem]])</f>
        <v>35</v>
      </c>
      <c r="G38" s="1494"/>
    </row>
    <row r="39" spans="1:7" x14ac:dyDescent="0.25">
      <c r="A39" s="1493" t="s">
        <v>502</v>
      </c>
      <c r="B39" s="1497">
        <f t="shared" si="0"/>
        <v>246</v>
      </c>
      <c r="C39" s="1498">
        <v>0.25</v>
      </c>
      <c r="D39" s="1498">
        <v>0.75694444444444453</v>
      </c>
      <c r="E39" s="1499">
        <f t="shared" si="1"/>
        <v>0.50694444444444453</v>
      </c>
      <c r="F39" s="1500">
        <f>WEEKNUM(Luz_Natural[[#This Row],[Fecha Sem]])</f>
        <v>36</v>
      </c>
      <c r="G39" s="1494"/>
    </row>
    <row r="40" spans="1:7" x14ac:dyDescent="0.25">
      <c r="A40" s="1493" t="s">
        <v>502</v>
      </c>
      <c r="B40" s="1497">
        <f t="shared" si="0"/>
        <v>253</v>
      </c>
      <c r="C40" s="1498">
        <v>0.24861111111111112</v>
      </c>
      <c r="D40" s="1498">
        <v>0.75486111111111109</v>
      </c>
      <c r="E40" s="1499">
        <f t="shared" si="1"/>
        <v>0.50624999999999998</v>
      </c>
      <c r="F40" s="1500">
        <f>WEEKNUM(Luz_Natural[[#This Row],[Fecha Sem]])</f>
        <v>37</v>
      </c>
      <c r="G40" s="1494"/>
    </row>
    <row r="41" spans="1:7" x14ac:dyDescent="0.25">
      <c r="A41" s="1493" t="s">
        <v>502</v>
      </c>
      <c r="B41" s="1497">
        <f t="shared" si="0"/>
        <v>260</v>
      </c>
      <c r="C41" s="1498">
        <v>0.24722222222222223</v>
      </c>
      <c r="D41" s="1498">
        <v>0.75277777777777777</v>
      </c>
      <c r="E41" s="1499">
        <f t="shared" si="1"/>
        <v>0.50555555555555554</v>
      </c>
      <c r="F41" s="1500">
        <f>WEEKNUM(Luz_Natural[[#This Row],[Fecha Sem]])</f>
        <v>38</v>
      </c>
      <c r="G41" s="1494"/>
    </row>
    <row r="42" spans="1:7" x14ac:dyDescent="0.25">
      <c r="A42" s="1493" t="s">
        <v>502</v>
      </c>
      <c r="B42" s="1497">
        <f t="shared" si="0"/>
        <v>267</v>
      </c>
      <c r="C42" s="1498">
        <v>0.24652777777777779</v>
      </c>
      <c r="D42" s="1498">
        <v>0.75069444444444444</v>
      </c>
      <c r="E42" s="1499">
        <f t="shared" si="1"/>
        <v>0.50416666666666665</v>
      </c>
      <c r="F42" s="1500">
        <f>WEEKNUM(Luz_Natural[[#This Row],[Fecha Sem]])</f>
        <v>39</v>
      </c>
      <c r="G42" s="1494"/>
    </row>
    <row r="43" spans="1:7" x14ac:dyDescent="0.25">
      <c r="A43" s="1493" t="s">
        <v>502</v>
      </c>
      <c r="B43" s="1497">
        <f t="shared" si="0"/>
        <v>274</v>
      </c>
      <c r="C43" s="1498">
        <v>0.24513888888888888</v>
      </c>
      <c r="D43" s="1498">
        <v>0.74861111111111101</v>
      </c>
      <c r="E43" s="1499">
        <f t="shared" si="1"/>
        <v>0.5034722222222221</v>
      </c>
      <c r="F43" s="1500">
        <f>WEEKNUM(Luz_Natural[[#This Row],[Fecha Sem]])</f>
        <v>40</v>
      </c>
      <c r="G43" s="1494"/>
    </row>
    <row r="44" spans="1:7" x14ac:dyDescent="0.25">
      <c r="A44" s="1493" t="s">
        <v>502</v>
      </c>
      <c r="B44" s="1497">
        <f t="shared" si="0"/>
        <v>281</v>
      </c>
      <c r="C44" s="1498">
        <v>0.24374999999999999</v>
      </c>
      <c r="D44" s="1498">
        <v>0.74652777777777779</v>
      </c>
      <c r="E44" s="1499">
        <f t="shared" si="1"/>
        <v>0.50277777777777777</v>
      </c>
      <c r="F44" s="1500">
        <f>WEEKNUM(Luz_Natural[[#This Row],[Fecha Sem]])</f>
        <v>41</v>
      </c>
      <c r="G44" s="1494"/>
    </row>
    <row r="45" spans="1:7" x14ac:dyDescent="0.25">
      <c r="A45" s="1493" t="s">
        <v>502</v>
      </c>
      <c r="B45" s="1497">
        <f t="shared" si="0"/>
        <v>288</v>
      </c>
      <c r="C45" s="1498">
        <v>0.24305555555555555</v>
      </c>
      <c r="D45" s="1498">
        <v>0.74513888888888891</v>
      </c>
      <c r="E45" s="1499">
        <f t="shared" si="1"/>
        <v>0.50208333333333333</v>
      </c>
      <c r="F45" s="1500">
        <f>WEEKNUM(Luz_Natural[[#This Row],[Fecha Sem]])</f>
        <v>42</v>
      </c>
      <c r="G45" s="1494"/>
    </row>
    <row r="46" spans="1:7" x14ac:dyDescent="0.25">
      <c r="A46" s="1493" t="s">
        <v>502</v>
      </c>
      <c r="B46" s="1497">
        <f t="shared" si="0"/>
        <v>295</v>
      </c>
      <c r="C46" s="1503">
        <v>0.24236111111111111</v>
      </c>
      <c r="D46" s="1503">
        <v>0.74375000000000002</v>
      </c>
      <c r="E46" s="1499">
        <f t="shared" si="1"/>
        <v>0.50138888888888888</v>
      </c>
      <c r="F46" s="1500">
        <f>WEEKNUM(Luz_Natural[[#This Row],[Fecha Sem]])</f>
        <v>43</v>
      </c>
      <c r="G46" s="1494"/>
    </row>
    <row r="47" spans="1:7" x14ac:dyDescent="0.25">
      <c r="A47" s="1493" t="s">
        <v>502</v>
      </c>
      <c r="B47" s="1497">
        <f t="shared" si="0"/>
        <v>302</v>
      </c>
      <c r="C47" s="1504">
        <v>0.24236111111111111</v>
      </c>
      <c r="D47" s="1504">
        <v>0.74236111111111114</v>
      </c>
      <c r="E47" s="1499">
        <f t="shared" si="1"/>
        <v>0.5</v>
      </c>
      <c r="F47" s="1500">
        <f>WEEKNUM(Luz_Natural[[#This Row],[Fecha Sem]])</f>
        <v>44</v>
      </c>
      <c r="G47" s="1494"/>
    </row>
    <row r="48" spans="1:7" x14ac:dyDescent="0.25">
      <c r="A48" s="1493" t="s">
        <v>502</v>
      </c>
      <c r="B48" s="1497">
        <f t="shared" si="0"/>
        <v>309</v>
      </c>
      <c r="C48" s="1498">
        <v>0.24236111111111111</v>
      </c>
      <c r="D48" s="1498">
        <v>0.74236111111111114</v>
      </c>
      <c r="E48" s="1499">
        <f t="shared" si="1"/>
        <v>0.5</v>
      </c>
      <c r="F48" s="1500">
        <f>WEEKNUM(Luz_Natural[[#This Row],[Fecha Sem]])</f>
        <v>45</v>
      </c>
      <c r="G48" s="1494"/>
    </row>
    <row r="49" spans="1:7" x14ac:dyDescent="0.25">
      <c r="A49" s="1493" t="s">
        <v>502</v>
      </c>
      <c r="B49" s="1497">
        <f t="shared" si="0"/>
        <v>316</v>
      </c>
      <c r="C49" s="1498">
        <v>0.24305555555555555</v>
      </c>
      <c r="D49" s="1498">
        <v>0.74236111111111114</v>
      </c>
      <c r="E49" s="1499">
        <f t="shared" si="1"/>
        <v>0.49930555555555556</v>
      </c>
      <c r="F49" s="1500">
        <f>WEEKNUM(Luz_Natural[[#This Row],[Fecha Sem]])</f>
        <v>46</v>
      </c>
      <c r="G49" s="1494"/>
    </row>
    <row r="50" spans="1:7" x14ac:dyDescent="0.25">
      <c r="A50" s="1493" t="s">
        <v>502</v>
      </c>
      <c r="B50" s="1497">
        <f t="shared" si="0"/>
        <v>323</v>
      </c>
      <c r="C50" s="1498">
        <v>0.24444444444444446</v>
      </c>
      <c r="D50" s="1498">
        <v>0.74236111111111114</v>
      </c>
      <c r="E50" s="1499">
        <f t="shared" si="1"/>
        <v>0.49791666666666667</v>
      </c>
      <c r="F50" s="1500">
        <f>WEEKNUM(Luz_Natural[[#This Row],[Fecha Sem]])</f>
        <v>47</v>
      </c>
      <c r="G50" s="1494"/>
    </row>
    <row r="51" spans="1:7" x14ac:dyDescent="0.25">
      <c r="A51" s="1493" t="s">
        <v>502</v>
      </c>
      <c r="B51" s="1497">
        <f t="shared" si="0"/>
        <v>330</v>
      </c>
      <c r="C51" s="1498">
        <v>0.24583333333333335</v>
      </c>
      <c r="D51" s="1498">
        <v>0.74375000000000002</v>
      </c>
      <c r="E51" s="1499">
        <f t="shared" si="1"/>
        <v>0.49791666666666667</v>
      </c>
      <c r="F51" s="1500">
        <f>WEEKNUM(Luz_Natural[[#This Row],[Fecha Sem]])</f>
        <v>48</v>
      </c>
      <c r="G51" s="1494"/>
    </row>
    <row r="52" spans="1:7" x14ac:dyDescent="0.25">
      <c r="A52" s="1493" t="s">
        <v>502</v>
      </c>
      <c r="B52" s="1497">
        <f t="shared" si="0"/>
        <v>337</v>
      </c>
      <c r="C52" s="1498">
        <v>0.24791666666666667</v>
      </c>
      <c r="D52" s="1498">
        <v>0.74513888888888891</v>
      </c>
      <c r="E52" s="1499">
        <f t="shared" si="1"/>
        <v>0.49722222222222223</v>
      </c>
      <c r="F52" s="1500">
        <f>WEEKNUM(Luz_Natural[[#This Row],[Fecha Sem]])</f>
        <v>49</v>
      </c>
      <c r="G52" s="1494"/>
    </row>
    <row r="53" spans="1:7" x14ac:dyDescent="0.25">
      <c r="A53" s="1493" t="s">
        <v>502</v>
      </c>
      <c r="B53" s="1497">
        <f t="shared" si="0"/>
        <v>344</v>
      </c>
      <c r="C53" s="1498">
        <v>0.25</v>
      </c>
      <c r="D53" s="1498">
        <v>0.74722222222222223</v>
      </c>
      <c r="E53" s="1499">
        <f t="shared" si="1"/>
        <v>0.49722222222222223</v>
      </c>
      <c r="F53" s="1500">
        <f>WEEKNUM(Luz_Natural[[#This Row],[Fecha Sem]])</f>
        <v>50</v>
      </c>
      <c r="G53" s="1494"/>
    </row>
    <row r="54" spans="1:7" x14ac:dyDescent="0.25">
      <c r="A54" s="1493" t="s">
        <v>502</v>
      </c>
      <c r="B54" s="1497">
        <f t="shared" si="0"/>
        <v>351</v>
      </c>
      <c r="C54" s="1498">
        <v>0.25208333333333333</v>
      </c>
      <c r="D54" s="1498">
        <v>0.74930555555555556</v>
      </c>
      <c r="E54" s="1499">
        <f t="shared" si="1"/>
        <v>0.49722222222222223</v>
      </c>
      <c r="F54" s="1500">
        <f>WEEKNUM(Luz_Natural[[#This Row],[Fecha Sem]])</f>
        <v>51</v>
      </c>
      <c r="G54" s="1494"/>
    </row>
    <row r="55" spans="1:7" x14ac:dyDescent="0.25">
      <c r="A55" s="1493" t="s">
        <v>502</v>
      </c>
      <c r="B55" s="1497">
        <f t="shared" si="0"/>
        <v>358</v>
      </c>
      <c r="C55" s="1498">
        <v>0.25486111111111109</v>
      </c>
      <c r="D55" s="1498">
        <v>0.75208333333333333</v>
      </c>
      <c r="E55" s="1499">
        <f t="shared" si="1"/>
        <v>0.49722222222222223</v>
      </c>
      <c r="F55" s="1500">
        <f>WEEKNUM(Luz_Natural[[#This Row],[Fecha Sem]])</f>
        <v>52</v>
      </c>
      <c r="G55" s="1494"/>
    </row>
    <row r="56" spans="1:7" x14ac:dyDescent="0.25">
      <c r="A56" s="1493" t="s">
        <v>502</v>
      </c>
      <c r="B56" s="1497">
        <f t="shared" si="0"/>
        <v>365</v>
      </c>
      <c r="C56" s="1498">
        <v>0.25694444444444448</v>
      </c>
      <c r="D56" s="1498">
        <v>0.75416666666666676</v>
      </c>
      <c r="E56" s="1499">
        <f t="shared" si="1"/>
        <v>0.49722222222222229</v>
      </c>
      <c r="F56" s="1500">
        <f>WEEKNUM(Luz_Natural[[#This Row],[Fecha Sem]])</f>
        <v>53</v>
      </c>
      <c r="G56" s="1494"/>
    </row>
    <row r="57" spans="1:7" x14ac:dyDescent="0.25">
      <c r="A57" s="1493" t="s">
        <v>503</v>
      </c>
      <c r="B57" s="1497">
        <f>B4</f>
        <v>1</v>
      </c>
      <c r="C57" s="1498">
        <v>0.27291666666666664</v>
      </c>
      <c r="D57" s="1498">
        <v>0.75694444444444453</v>
      </c>
      <c r="E57" s="1499">
        <f>D57-C57</f>
        <v>0.48402777777777789</v>
      </c>
      <c r="F57" s="1500">
        <f>WEEKNUM(Luz_Natural[[#This Row],[Fecha Sem]])</f>
        <v>1</v>
      </c>
    </row>
    <row r="58" spans="1:7" x14ac:dyDescent="0.25">
      <c r="A58" s="1493" t="s">
        <v>503</v>
      </c>
      <c r="B58" s="1497">
        <f t="shared" si="0"/>
        <v>8</v>
      </c>
      <c r="C58" s="1498">
        <v>0.27430555555555552</v>
      </c>
      <c r="D58" s="1498">
        <v>0.75902777777777775</v>
      </c>
      <c r="E58" s="1499">
        <f>D58-C58</f>
        <v>0.48472222222222222</v>
      </c>
      <c r="F58" s="1500">
        <f>WEEKNUM(Luz_Natural[[#This Row],[Fecha Sem]])</f>
        <v>2</v>
      </c>
    </row>
    <row r="59" spans="1:7" x14ac:dyDescent="0.25">
      <c r="A59" s="1493" t="s">
        <v>503</v>
      </c>
      <c r="B59" s="1497">
        <f t="shared" si="0"/>
        <v>15</v>
      </c>
      <c r="C59" s="1498">
        <v>0.27569444444444446</v>
      </c>
      <c r="D59" s="1498">
        <v>0.76180555555555562</v>
      </c>
      <c r="E59" s="1499">
        <f t="shared" ref="E59:E62" si="2">D59-C59</f>
        <v>0.48611111111111116</v>
      </c>
      <c r="F59" s="1500">
        <f>WEEKNUM(Luz_Natural[[#This Row],[Fecha Sem]])</f>
        <v>3</v>
      </c>
    </row>
    <row r="60" spans="1:7" x14ac:dyDescent="0.25">
      <c r="A60" s="1493" t="s">
        <v>503</v>
      </c>
      <c r="B60" s="1497">
        <f t="shared" si="0"/>
        <v>22</v>
      </c>
      <c r="C60" s="1498">
        <v>0.27638888888888885</v>
      </c>
      <c r="D60" s="1498">
        <v>0.76388888888888884</v>
      </c>
      <c r="E60" s="1499">
        <f t="shared" si="2"/>
        <v>0.48749999999999999</v>
      </c>
      <c r="F60" s="1500">
        <f>WEEKNUM(Luz_Natural[[#This Row],[Fecha Sem]])</f>
        <v>4</v>
      </c>
    </row>
    <row r="61" spans="1:7" x14ac:dyDescent="0.25">
      <c r="A61" s="1493" t="s">
        <v>503</v>
      </c>
      <c r="B61" s="1497">
        <f t="shared" si="0"/>
        <v>29</v>
      </c>
      <c r="C61" s="1498">
        <v>0.27708333333333335</v>
      </c>
      <c r="D61" s="1498">
        <v>0.76597222222222217</v>
      </c>
      <c r="E61" s="1499">
        <f t="shared" si="2"/>
        <v>0.48888888888888882</v>
      </c>
      <c r="F61" s="1500">
        <f>WEEKNUM(Luz_Natural[[#This Row],[Fecha Sem]])</f>
        <v>5</v>
      </c>
    </row>
    <row r="62" spans="1:7" x14ac:dyDescent="0.25">
      <c r="A62" s="1493" t="s">
        <v>503</v>
      </c>
      <c r="B62" s="1497">
        <f t="shared" si="0"/>
        <v>36</v>
      </c>
      <c r="C62" s="1498">
        <v>0.27638888888888885</v>
      </c>
      <c r="D62" s="1498">
        <v>0.76736111111111116</v>
      </c>
      <c r="E62" s="1499">
        <f t="shared" si="2"/>
        <v>0.49097222222222231</v>
      </c>
      <c r="F62" s="1500">
        <f>WEEKNUM(Luz_Natural[[#This Row],[Fecha Sem]])</f>
        <v>6</v>
      </c>
    </row>
    <row r="63" spans="1:7" x14ac:dyDescent="0.25">
      <c r="A63" s="1493" t="s">
        <v>503</v>
      </c>
      <c r="B63" s="1497">
        <f t="shared" si="0"/>
        <v>43</v>
      </c>
      <c r="C63" s="1498">
        <v>0.27569444444444446</v>
      </c>
      <c r="D63" s="1498">
        <v>0.76874999999999993</v>
      </c>
      <c r="E63" s="1499">
        <f>D63-C63</f>
        <v>0.49305555555555547</v>
      </c>
      <c r="F63" s="1500">
        <f>WEEKNUM(Luz_Natural[[#This Row],[Fecha Sem]])</f>
        <v>7</v>
      </c>
    </row>
    <row r="64" spans="1:7" x14ac:dyDescent="0.25">
      <c r="A64" s="1493" t="s">
        <v>503</v>
      </c>
      <c r="B64" s="1497">
        <f t="shared" si="0"/>
        <v>50</v>
      </c>
      <c r="C64" s="1498">
        <v>0.27430555555555552</v>
      </c>
      <c r="D64" s="1498">
        <v>0.76944444444444438</v>
      </c>
      <c r="E64" s="1499">
        <f t="shared" ref="E64:E109" si="3">D64-C64</f>
        <v>0.49513888888888885</v>
      </c>
      <c r="F64" s="1500">
        <f>WEEKNUM(Luz_Natural[[#This Row],[Fecha Sem]])</f>
        <v>8</v>
      </c>
    </row>
    <row r="65" spans="1:6" x14ac:dyDescent="0.25">
      <c r="A65" s="1493" t="s">
        <v>503</v>
      </c>
      <c r="B65" s="1497">
        <f t="shared" si="0"/>
        <v>57</v>
      </c>
      <c r="C65" s="1498">
        <v>0.2722222222222222</v>
      </c>
      <c r="D65" s="1498">
        <v>0.76944444444444438</v>
      </c>
      <c r="E65" s="1499">
        <f t="shared" si="3"/>
        <v>0.49722222222222218</v>
      </c>
      <c r="F65" s="1500">
        <f>WEEKNUM(Luz_Natural[[#This Row],[Fecha Sem]])</f>
        <v>9</v>
      </c>
    </row>
    <row r="66" spans="1:6" x14ac:dyDescent="0.25">
      <c r="A66" s="1493" t="s">
        <v>503</v>
      </c>
      <c r="B66" s="1497">
        <f t="shared" si="0"/>
        <v>64</v>
      </c>
      <c r="C66" s="1498">
        <v>0.27013888888888887</v>
      </c>
      <c r="D66" s="1498">
        <v>0.77013888888888893</v>
      </c>
      <c r="E66" s="1499">
        <f t="shared" si="3"/>
        <v>0.5</v>
      </c>
      <c r="F66" s="1500">
        <f>WEEKNUM(Luz_Natural[[#This Row],[Fecha Sem]])</f>
        <v>10</v>
      </c>
    </row>
    <row r="67" spans="1:6" x14ac:dyDescent="0.25">
      <c r="A67" s="1493" t="s">
        <v>503</v>
      </c>
      <c r="B67" s="1497">
        <f t="shared" si="0"/>
        <v>71</v>
      </c>
      <c r="C67" s="1498">
        <v>0.26805555555555555</v>
      </c>
      <c r="D67" s="1498">
        <v>0.77013888888888893</v>
      </c>
      <c r="E67" s="1499">
        <f t="shared" si="3"/>
        <v>0.50208333333333344</v>
      </c>
      <c r="F67" s="1500">
        <f>WEEKNUM(Luz_Natural[[#This Row],[Fecha Sem]])</f>
        <v>11</v>
      </c>
    </row>
    <row r="68" spans="1:6" x14ac:dyDescent="0.25">
      <c r="A68" s="1493" t="s">
        <v>503</v>
      </c>
      <c r="B68" s="1497">
        <f t="shared" si="0"/>
        <v>78</v>
      </c>
      <c r="C68" s="1498">
        <v>0.26527777777777778</v>
      </c>
      <c r="D68" s="1498">
        <v>0.76944444444444438</v>
      </c>
      <c r="E68" s="1499">
        <f t="shared" si="3"/>
        <v>0.50416666666666665</v>
      </c>
      <c r="F68" s="1500">
        <f>WEEKNUM(Luz_Natural[[#This Row],[Fecha Sem]])</f>
        <v>12</v>
      </c>
    </row>
    <row r="69" spans="1:6" x14ac:dyDescent="0.25">
      <c r="A69" s="1493" t="s">
        <v>503</v>
      </c>
      <c r="B69" s="1497">
        <f t="shared" ref="B69:B109" si="4">B68+7</f>
        <v>85</v>
      </c>
      <c r="C69" s="1498">
        <v>0.26250000000000001</v>
      </c>
      <c r="D69" s="1498">
        <v>0.76944444444444438</v>
      </c>
      <c r="E69" s="1499">
        <f t="shared" si="3"/>
        <v>0.50694444444444442</v>
      </c>
      <c r="F69" s="1500">
        <f>WEEKNUM(Luz_Natural[[#This Row],[Fecha Sem]])</f>
        <v>13</v>
      </c>
    </row>
    <row r="70" spans="1:6" x14ac:dyDescent="0.25">
      <c r="A70" s="1493" t="s">
        <v>503</v>
      </c>
      <c r="B70" s="1497">
        <f t="shared" si="4"/>
        <v>92</v>
      </c>
      <c r="C70" s="1498">
        <v>0.26041666666666669</v>
      </c>
      <c r="D70" s="1498">
        <v>0.76944444444444438</v>
      </c>
      <c r="E70" s="1499">
        <f t="shared" si="3"/>
        <v>0.50902777777777763</v>
      </c>
      <c r="F70" s="1500">
        <f>WEEKNUM(Luz_Natural[[#This Row],[Fecha Sem]])</f>
        <v>14</v>
      </c>
    </row>
    <row r="71" spans="1:6" x14ac:dyDescent="0.25">
      <c r="A71" s="1493" t="s">
        <v>503</v>
      </c>
      <c r="B71" s="1497">
        <f t="shared" si="4"/>
        <v>99</v>
      </c>
      <c r="C71" s="1498">
        <v>0.25763888888888892</v>
      </c>
      <c r="D71" s="1498">
        <v>0.76874999999999993</v>
      </c>
      <c r="E71" s="1499">
        <f t="shared" si="3"/>
        <v>0.51111111111111107</v>
      </c>
      <c r="F71" s="1500">
        <f>WEEKNUM(Luz_Natural[[#This Row],[Fecha Sem]])</f>
        <v>15</v>
      </c>
    </row>
    <row r="72" spans="1:6" x14ac:dyDescent="0.25">
      <c r="A72" s="1493" t="s">
        <v>503</v>
      </c>
      <c r="B72" s="1497">
        <f t="shared" si="4"/>
        <v>106</v>
      </c>
      <c r="C72" s="1498">
        <v>0.25486111111111109</v>
      </c>
      <c r="D72" s="1498">
        <v>0.76874999999999993</v>
      </c>
      <c r="E72" s="1499">
        <f t="shared" si="3"/>
        <v>0.51388888888888884</v>
      </c>
      <c r="F72" s="1500">
        <f>WEEKNUM(Luz_Natural[[#This Row],[Fecha Sem]])</f>
        <v>16</v>
      </c>
    </row>
    <row r="73" spans="1:6" x14ac:dyDescent="0.25">
      <c r="A73" s="1493" t="s">
        <v>503</v>
      </c>
      <c r="B73" s="1497">
        <f t="shared" si="4"/>
        <v>113</v>
      </c>
      <c r="C73" s="1498">
        <v>0.25277777777777777</v>
      </c>
      <c r="D73" s="1498">
        <v>0.76874999999999993</v>
      </c>
      <c r="E73" s="1499">
        <f t="shared" si="3"/>
        <v>0.51597222222222217</v>
      </c>
      <c r="F73" s="1500">
        <f>WEEKNUM(Luz_Natural[[#This Row],[Fecha Sem]])</f>
        <v>17</v>
      </c>
    </row>
    <row r="74" spans="1:6" x14ac:dyDescent="0.25">
      <c r="A74" s="1493" t="s">
        <v>503</v>
      </c>
      <c r="B74" s="1497">
        <f t="shared" si="4"/>
        <v>120</v>
      </c>
      <c r="C74" s="1498">
        <v>0.25138888888888888</v>
      </c>
      <c r="D74" s="1498">
        <v>0.76944444444444438</v>
      </c>
      <c r="E74" s="1499">
        <f t="shared" si="3"/>
        <v>0.51805555555555549</v>
      </c>
      <c r="F74" s="1500">
        <f>WEEKNUM(Luz_Natural[[#This Row],[Fecha Sem]])</f>
        <v>18</v>
      </c>
    </row>
    <row r="75" spans="1:6" x14ac:dyDescent="0.25">
      <c r="A75" s="1493" t="s">
        <v>503</v>
      </c>
      <c r="B75" s="1497">
        <f t="shared" si="4"/>
        <v>127</v>
      </c>
      <c r="C75" s="1498">
        <v>0.25</v>
      </c>
      <c r="D75" s="1498">
        <v>0.77013888888888893</v>
      </c>
      <c r="E75" s="1499">
        <f t="shared" si="3"/>
        <v>0.52013888888888893</v>
      </c>
      <c r="F75" s="1500">
        <f>WEEKNUM(Luz_Natural[[#This Row],[Fecha Sem]])</f>
        <v>19</v>
      </c>
    </row>
    <row r="76" spans="1:6" x14ac:dyDescent="0.25">
      <c r="A76" s="1493" t="s">
        <v>503</v>
      </c>
      <c r="B76" s="1497">
        <f t="shared" si="4"/>
        <v>134</v>
      </c>
      <c r="C76" s="1498">
        <v>0.24861111111111112</v>
      </c>
      <c r="D76" s="1498">
        <v>0.77083333333333337</v>
      </c>
      <c r="E76" s="1499">
        <f t="shared" si="3"/>
        <v>0.52222222222222225</v>
      </c>
      <c r="F76" s="1500">
        <f>WEEKNUM(Luz_Natural[[#This Row],[Fecha Sem]])</f>
        <v>20</v>
      </c>
    </row>
    <row r="77" spans="1:6" x14ac:dyDescent="0.25">
      <c r="A77" s="1493" t="s">
        <v>503</v>
      </c>
      <c r="B77" s="1497">
        <f t="shared" si="4"/>
        <v>141</v>
      </c>
      <c r="C77" s="1498">
        <v>0.24791666666666667</v>
      </c>
      <c r="D77" s="1498">
        <v>0.7715277777777777</v>
      </c>
      <c r="E77" s="1499">
        <f t="shared" si="3"/>
        <v>0.52361111111111103</v>
      </c>
      <c r="F77" s="1500">
        <f>WEEKNUM(Luz_Natural[[#This Row],[Fecha Sem]])</f>
        <v>21</v>
      </c>
    </row>
    <row r="78" spans="1:6" x14ac:dyDescent="0.25">
      <c r="A78" s="1493" t="s">
        <v>503</v>
      </c>
      <c r="B78" s="1497">
        <f t="shared" si="4"/>
        <v>148</v>
      </c>
      <c r="C78" s="1498">
        <v>0.24791666666666667</v>
      </c>
      <c r="D78" s="1498">
        <v>0.7729166666666667</v>
      </c>
      <c r="E78" s="1499">
        <f t="shared" si="3"/>
        <v>0.52500000000000002</v>
      </c>
      <c r="F78" s="1500">
        <f>WEEKNUM(Luz_Natural[[#This Row],[Fecha Sem]])</f>
        <v>22</v>
      </c>
    </row>
    <row r="79" spans="1:6" x14ac:dyDescent="0.25">
      <c r="A79" s="1493" t="s">
        <v>503</v>
      </c>
      <c r="B79" s="1497">
        <f t="shared" si="4"/>
        <v>155</v>
      </c>
      <c r="C79" s="1498">
        <v>0.24791666666666667</v>
      </c>
      <c r="D79" s="1498">
        <v>0.77430555555555547</v>
      </c>
      <c r="E79" s="1499">
        <f t="shared" si="3"/>
        <v>0.5263888888888888</v>
      </c>
      <c r="F79" s="1500">
        <f>WEEKNUM(Luz_Natural[[#This Row],[Fecha Sem]])</f>
        <v>23</v>
      </c>
    </row>
    <row r="80" spans="1:6" x14ac:dyDescent="0.25">
      <c r="A80" s="1493" t="s">
        <v>503</v>
      </c>
      <c r="B80" s="1497">
        <f t="shared" si="4"/>
        <v>162</v>
      </c>
      <c r="C80" s="1498">
        <v>0.24861111111111112</v>
      </c>
      <c r="D80" s="1498">
        <v>0.77500000000000002</v>
      </c>
      <c r="E80" s="1499">
        <f t="shared" si="3"/>
        <v>0.52638888888888891</v>
      </c>
      <c r="F80" s="1500">
        <f>WEEKNUM(Luz_Natural[[#This Row],[Fecha Sem]])</f>
        <v>24</v>
      </c>
    </row>
    <row r="81" spans="1:6" x14ac:dyDescent="0.25">
      <c r="A81" s="1493" t="s">
        <v>503</v>
      </c>
      <c r="B81" s="1497">
        <f t="shared" si="4"/>
        <v>169</v>
      </c>
      <c r="C81" s="1498">
        <v>0.24930555555555556</v>
      </c>
      <c r="D81" s="1498">
        <v>0.77638888888888891</v>
      </c>
      <c r="E81" s="1499">
        <f t="shared" si="3"/>
        <v>0.52708333333333335</v>
      </c>
      <c r="F81" s="1500">
        <f>WEEKNUM(Luz_Natural[[#This Row],[Fecha Sem]])</f>
        <v>25</v>
      </c>
    </row>
    <row r="82" spans="1:6" x14ac:dyDescent="0.25">
      <c r="A82" s="1493" t="s">
        <v>503</v>
      </c>
      <c r="B82" s="1497">
        <f t="shared" si="4"/>
        <v>176</v>
      </c>
      <c r="C82" s="1498">
        <v>0.25069444444444444</v>
      </c>
      <c r="D82" s="1498">
        <v>0.77777777777777779</v>
      </c>
      <c r="E82" s="1499">
        <f t="shared" si="3"/>
        <v>0.52708333333333335</v>
      </c>
      <c r="F82" s="1500">
        <f>WEEKNUM(Luz_Natural[[#This Row],[Fecha Sem]])</f>
        <v>26</v>
      </c>
    </row>
    <row r="83" spans="1:6" x14ac:dyDescent="0.25">
      <c r="A83" s="1493" t="s">
        <v>503</v>
      </c>
      <c r="B83" s="1497">
        <f t="shared" si="4"/>
        <v>183</v>
      </c>
      <c r="C83" s="1498">
        <v>0.25138888888888888</v>
      </c>
      <c r="D83" s="1498">
        <v>0.77847222222222223</v>
      </c>
      <c r="E83" s="1499">
        <f t="shared" si="3"/>
        <v>0.52708333333333335</v>
      </c>
      <c r="F83" s="1500">
        <f>WEEKNUM(Luz_Natural[[#This Row],[Fecha Sem]])</f>
        <v>27</v>
      </c>
    </row>
    <row r="84" spans="1:6" x14ac:dyDescent="0.25">
      <c r="A84" s="1493" t="s">
        <v>503</v>
      </c>
      <c r="B84" s="1497">
        <f t="shared" si="4"/>
        <v>190</v>
      </c>
      <c r="C84" s="1498">
        <v>0.25277777777777777</v>
      </c>
      <c r="D84" s="1498">
        <v>0.77847222222222223</v>
      </c>
      <c r="E84" s="1499">
        <f t="shared" si="3"/>
        <v>0.52569444444444446</v>
      </c>
      <c r="F84" s="1500">
        <f>WEEKNUM(Luz_Natural[[#This Row],[Fecha Sem]])</f>
        <v>28</v>
      </c>
    </row>
    <row r="85" spans="1:6" x14ac:dyDescent="0.25">
      <c r="A85" s="1493" t="s">
        <v>503</v>
      </c>
      <c r="B85" s="1497">
        <f t="shared" si="4"/>
        <v>197</v>
      </c>
      <c r="C85" s="1498">
        <v>0.25416666666666665</v>
      </c>
      <c r="D85" s="1498">
        <v>0.77847222222222223</v>
      </c>
      <c r="E85" s="1499">
        <f t="shared" si="3"/>
        <v>0.52430555555555558</v>
      </c>
      <c r="F85" s="1500">
        <f>WEEKNUM(Luz_Natural[[#This Row],[Fecha Sem]])</f>
        <v>29</v>
      </c>
    </row>
    <row r="86" spans="1:6" x14ac:dyDescent="0.25">
      <c r="A86" s="1493" t="s">
        <v>503</v>
      </c>
      <c r="B86" s="1497">
        <f t="shared" si="4"/>
        <v>204</v>
      </c>
      <c r="C86" s="1498">
        <v>0.25486111111111109</v>
      </c>
      <c r="D86" s="1498">
        <v>0.77847222222222223</v>
      </c>
      <c r="E86" s="1499">
        <f t="shared" si="3"/>
        <v>0.52361111111111114</v>
      </c>
      <c r="F86" s="1500">
        <f>WEEKNUM(Luz_Natural[[#This Row],[Fecha Sem]])</f>
        <v>30</v>
      </c>
    </row>
    <row r="87" spans="1:6" x14ac:dyDescent="0.25">
      <c r="A87" s="1493" t="s">
        <v>503</v>
      </c>
      <c r="B87" s="1497">
        <f t="shared" si="4"/>
        <v>211</v>
      </c>
      <c r="C87" s="1498">
        <v>0.25555555555555559</v>
      </c>
      <c r="D87" s="1498">
        <v>0.77777777777777779</v>
      </c>
      <c r="E87" s="1499">
        <f t="shared" si="3"/>
        <v>0.52222222222222214</v>
      </c>
      <c r="F87" s="1500">
        <f>WEEKNUM(Luz_Natural[[#This Row],[Fecha Sem]])</f>
        <v>31</v>
      </c>
    </row>
    <row r="88" spans="1:6" x14ac:dyDescent="0.25">
      <c r="A88" s="1493" t="s">
        <v>503</v>
      </c>
      <c r="B88" s="1497">
        <f t="shared" si="4"/>
        <v>218</v>
      </c>
      <c r="C88" s="1498">
        <v>0.25625000000000003</v>
      </c>
      <c r="D88" s="1498">
        <v>0.77638888888888891</v>
      </c>
      <c r="E88" s="1499">
        <f t="shared" si="3"/>
        <v>0.52013888888888893</v>
      </c>
      <c r="F88" s="1500">
        <f>WEEKNUM(Luz_Natural[[#This Row],[Fecha Sem]])</f>
        <v>32</v>
      </c>
    </row>
    <row r="89" spans="1:6" x14ac:dyDescent="0.25">
      <c r="A89" s="1493" t="s">
        <v>503</v>
      </c>
      <c r="B89" s="1497">
        <f t="shared" si="4"/>
        <v>225</v>
      </c>
      <c r="C89" s="1498">
        <v>0.25625000000000003</v>
      </c>
      <c r="D89" s="1498">
        <v>0.77430555555555547</v>
      </c>
      <c r="E89" s="1499">
        <f t="shared" si="3"/>
        <v>0.51805555555555549</v>
      </c>
      <c r="F89" s="1500">
        <f>WEEKNUM(Luz_Natural[[#This Row],[Fecha Sem]])</f>
        <v>33</v>
      </c>
    </row>
    <row r="90" spans="1:6" x14ac:dyDescent="0.25">
      <c r="A90" s="1493" t="s">
        <v>503</v>
      </c>
      <c r="B90" s="1497">
        <f t="shared" si="4"/>
        <v>232</v>
      </c>
      <c r="C90" s="1498">
        <v>0.25694444444444448</v>
      </c>
      <c r="D90" s="1498">
        <v>0.7729166666666667</v>
      </c>
      <c r="E90" s="1499">
        <f t="shared" si="3"/>
        <v>0.51597222222222228</v>
      </c>
      <c r="F90" s="1500">
        <f>WEEKNUM(Luz_Natural[[#This Row],[Fecha Sem]])</f>
        <v>34</v>
      </c>
    </row>
    <row r="91" spans="1:6" x14ac:dyDescent="0.25">
      <c r="A91" s="1493" t="s">
        <v>503</v>
      </c>
      <c r="B91" s="1497">
        <f t="shared" si="4"/>
        <v>239</v>
      </c>
      <c r="C91" s="1498">
        <v>0.25625000000000003</v>
      </c>
      <c r="D91" s="1498">
        <v>0.77013888888888893</v>
      </c>
      <c r="E91" s="1499">
        <f t="shared" si="3"/>
        <v>0.51388888888888884</v>
      </c>
      <c r="F91" s="1500">
        <f>WEEKNUM(Luz_Natural[[#This Row],[Fecha Sem]])</f>
        <v>35</v>
      </c>
    </row>
    <row r="92" spans="1:6" x14ac:dyDescent="0.25">
      <c r="A92" s="1493" t="s">
        <v>503</v>
      </c>
      <c r="B92" s="1497">
        <f t="shared" si="4"/>
        <v>246</v>
      </c>
      <c r="C92" s="1498">
        <v>0.25625000000000003</v>
      </c>
      <c r="D92" s="1498">
        <v>0.76736111111111116</v>
      </c>
      <c r="E92" s="1499">
        <f t="shared" si="3"/>
        <v>0.51111111111111107</v>
      </c>
      <c r="F92" s="1500">
        <f>WEEKNUM(Luz_Natural[[#This Row],[Fecha Sem]])</f>
        <v>36</v>
      </c>
    </row>
    <row r="93" spans="1:6" x14ac:dyDescent="0.25">
      <c r="A93" s="1493" t="s">
        <v>503</v>
      </c>
      <c r="B93" s="1497">
        <f t="shared" si="4"/>
        <v>253</v>
      </c>
      <c r="C93" s="1498">
        <v>0.25555555555555559</v>
      </c>
      <c r="D93" s="1498">
        <v>0.76458333333333339</v>
      </c>
      <c r="E93" s="1499">
        <f t="shared" si="3"/>
        <v>0.50902777777777786</v>
      </c>
      <c r="F93" s="1500">
        <f>WEEKNUM(Luz_Natural[[#This Row],[Fecha Sem]])</f>
        <v>37</v>
      </c>
    </row>
    <row r="94" spans="1:6" x14ac:dyDescent="0.25">
      <c r="A94" s="1493" t="s">
        <v>503</v>
      </c>
      <c r="B94" s="1497">
        <f t="shared" si="4"/>
        <v>260</v>
      </c>
      <c r="C94" s="1498">
        <v>0.25486111111111109</v>
      </c>
      <c r="D94" s="1498">
        <v>0.76180555555555562</v>
      </c>
      <c r="E94" s="1499">
        <f t="shared" si="3"/>
        <v>0.50694444444444453</v>
      </c>
      <c r="F94" s="1500">
        <f>WEEKNUM(Luz_Natural[[#This Row],[Fecha Sem]])</f>
        <v>38</v>
      </c>
    </row>
    <row r="95" spans="1:6" x14ac:dyDescent="0.25">
      <c r="A95" s="1493" t="s">
        <v>503</v>
      </c>
      <c r="B95" s="1497">
        <f t="shared" si="4"/>
        <v>267</v>
      </c>
      <c r="C95" s="1498">
        <v>0.25486111111111109</v>
      </c>
      <c r="D95" s="1498">
        <v>0.75902777777777775</v>
      </c>
      <c r="E95" s="1499">
        <f t="shared" si="3"/>
        <v>0.50416666666666665</v>
      </c>
      <c r="F95" s="1500">
        <f>WEEKNUM(Luz_Natural[[#This Row],[Fecha Sem]])</f>
        <v>39</v>
      </c>
    </row>
    <row r="96" spans="1:6" x14ac:dyDescent="0.25">
      <c r="A96" s="1493" t="s">
        <v>503</v>
      </c>
      <c r="B96" s="1497">
        <f t="shared" si="4"/>
        <v>274</v>
      </c>
      <c r="C96" s="1498">
        <v>0.25416666666666665</v>
      </c>
      <c r="D96" s="1498">
        <v>0.75624999999999998</v>
      </c>
      <c r="E96" s="1499">
        <f t="shared" si="3"/>
        <v>0.50208333333333333</v>
      </c>
      <c r="F96" s="1500">
        <f>WEEKNUM(Luz_Natural[[#This Row],[Fecha Sem]])</f>
        <v>40</v>
      </c>
    </row>
    <row r="97" spans="1:6" x14ac:dyDescent="0.25">
      <c r="A97" s="1493" t="s">
        <v>503</v>
      </c>
      <c r="B97" s="1497">
        <f t="shared" si="4"/>
        <v>281</v>
      </c>
      <c r="C97" s="1498">
        <v>0.25347222222222221</v>
      </c>
      <c r="D97" s="1498">
        <v>0.75347222222222221</v>
      </c>
      <c r="E97" s="1499">
        <f t="shared" si="3"/>
        <v>0.5</v>
      </c>
      <c r="F97" s="1500">
        <f>WEEKNUM(Luz_Natural[[#This Row],[Fecha Sem]])</f>
        <v>41</v>
      </c>
    </row>
    <row r="98" spans="1:6" x14ac:dyDescent="0.25">
      <c r="A98" s="1493" t="s">
        <v>503</v>
      </c>
      <c r="B98" s="1497">
        <f t="shared" si="4"/>
        <v>288</v>
      </c>
      <c r="C98" s="1498">
        <v>0.25347222222222221</v>
      </c>
      <c r="D98" s="1498">
        <v>0.75069444444444444</v>
      </c>
      <c r="E98" s="1499">
        <f t="shared" si="3"/>
        <v>0.49722222222222223</v>
      </c>
      <c r="F98" s="1500">
        <f>WEEKNUM(Luz_Natural[[#This Row],[Fecha Sem]])</f>
        <v>42</v>
      </c>
    </row>
    <row r="99" spans="1:6" x14ac:dyDescent="0.25">
      <c r="A99" s="1493" t="s">
        <v>503</v>
      </c>
      <c r="B99" s="1497">
        <f t="shared" si="4"/>
        <v>295</v>
      </c>
      <c r="C99" s="1498">
        <v>0.25416666666666665</v>
      </c>
      <c r="D99" s="1498">
        <v>0.74861111111111101</v>
      </c>
      <c r="E99" s="1499">
        <f t="shared" si="3"/>
        <v>0.49444444444444435</v>
      </c>
      <c r="F99" s="1500">
        <f>WEEKNUM(Luz_Natural[[#This Row],[Fecha Sem]])</f>
        <v>43</v>
      </c>
    </row>
    <row r="100" spans="1:6" x14ac:dyDescent="0.25">
      <c r="A100" s="1493" t="s">
        <v>503</v>
      </c>
      <c r="B100" s="1497">
        <f t="shared" si="4"/>
        <v>302</v>
      </c>
      <c r="C100" s="1498">
        <v>0.25416666666666665</v>
      </c>
      <c r="D100" s="1498">
        <v>0.74722222222222223</v>
      </c>
      <c r="E100" s="1499">
        <f t="shared" si="3"/>
        <v>0.49305555555555558</v>
      </c>
      <c r="F100" s="1500">
        <f>WEEKNUM(Luz_Natural[[#This Row],[Fecha Sem]])</f>
        <v>44</v>
      </c>
    </row>
    <row r="101" spans="1:6" x14ac:dyDescent="0.25">
      <c r="A101" s="1493" t="s">
        <v>503</v>
      </c>
      <c r="B101" s="1497">
        <f t="shared" si="4"/>
        <v>309</v>
      </c>
      <c r="C101" s="1498">
        <v>0.25486111111111109</v>
      </c>
      <c r="D101" s="1498">
        <v>0.74583333333333324</v>
      </c>
      <c r="E101" s="1499">
        <f t="shared" si="3"/>
        <v>0.49097222222222214</v>
      </c>
      <c r="F101" s="1500">
        <f>WEEKNUM(Luz_Natural[[#This Row],[Fecha Sem]])</f>
        <v>45</v>
      </c>
    </row>
    <row r="102" spans="1:6" x14ac:dyDescent="0.25">
      <c r="A102" s="1493" t="s">
        <v>503</v>
      </c>
      <c r="B102" s="1497">
        <f t="shared" si="4"/>
        <v>316</v>
      </c>
      <c r="C102" s="1498">
        <v>0.25625000000000003</v>
      </c>
      <c r="D102" s="1498">
        <v>0.74583333333333324</v>
      </c>
      <c r="E102" s="1499">
        <f t="shared" si="3"/>
        <v>0.4895833333333332</v>
      </c>
      <c r="F102" s="1500">
        <f>WEEKNUM(Luz_Natural[[#This Row],[Fecha Sem]])</f>
        <v>46</v>
      </c>
    </row>
    <row r="103" spans="1:6" x14ac:dyDescent="0.25">
      <c r="A103" s="1493" t="s">
        <v>503</v>
      </c>
      <c r="B103" s="1497">
        <f t="shared" si="4"/>
        <v>323</v>
      </c>
      <c r="C103" s="1498">
        <v>0.25833333333333336</v>
      </c>
      <c r="D103" s="1498">
        <v>0.74583333333333324</v>
      </c>
      <c r="E103" s="1499">
        <f t="shared" si="3"/>
        <v>0.48749999999999988</v>
      </c>
      <c r="F103" s="1500">
        <f>WEEKNUM(Luz_Natural[[#This Row],[Fecha Sem]])</f>
        <v>47</v>
      </c>
    </row>
    <row r="104" spans="1:6" x14ac:dyDescent="0.25">
      <c r="A104" s="1493" t="s">
        <v>503</v>
      </c>
      <c r="B104" s="1497">
        <f t="shared" si="4"/>
        <v>330</v>
      </c>
      <c r="C104" s="1498">
        <v>0.26041666666666669</v>
      </c>
      <c r="D104" s="1498">
        <v>0.74583333333333324</v>
      </c>
      <c r="E104" s="1499">
        <f t="shared" si="3"/>
        <v>0.48541666666666655</v>
      </c>
      <c r="F104" s="1500">
        <f>WEEKNUM(Luz_Natural[[#This Row],[Fecha Sem]])</f>
        <v>48</v>
      </c>
    </row>
    <row r="105" spans="1:6" x14ac:dyDescent="0.25">
      <c r="A105" s="1493" t="s">
        <v>503</v>
      </c>
      <c r="B105" s="1497">
        <f t="shared" si="4"/>
        <v>337</v>
      </c>
      <c r="C105" s="1498">
        <v>0.26250000000000001</v>
      </c>
      <c r="D105" s="1498">
        <v>0.74722222222222223</v>
      </c>
      <c r="E105" s="1499">
        <f t="shared" si="3"/>
        <v>0.48472222222222222</v>
      </c>
      <c r="F105" s="1500">
        <f>WEEKNUM(Luz_Natural[[#This Row],[Fecha Sem]])</f>
        <v>49</v>
      </c>
    </row>
    <row r="106" spans="1:6" x14ac:dyDescent="0.25">
      <c r="A106" s="1493" t="s">
        <v>503</v>
      </c>
      <c r="B106" s="1497">
        <f t="shared" si="4"/>
        <v>344</v>
      </c>
      <c r="C106" s="1498">
        <v>0.26458333333333334</v>
      </c>
      <c r="D106" s="1498">
        <v>0.74861111111111101</v>
      </c>
      <c r="E106" s="1499">
        <f t="shared" si="3"/>
        <v>0.48402777777777767</v>
      </c>
      <c r="F106" s="1500">
        <f>WEEKNUM(Luz_Natural[[#This Row],[Fecha Sem]])</f>
        <v>50</v>
      </c>
    </row>
    <row r="107" spans="1:6" x14ac:dyDescent="0.25">
      <c r="A107" s="1493" t="s">
        <v>503</v>
      </c>
      <c r="B107" s="1497">
        <f t="shared" si="4"/>
        <v>351</v>
      </c>
      <c r="C107" s="1498">
        <v>0.2673611111111111</v>
      </c>
      <c r="D107" s="1498">
        <v>0.75069444444444444</v>
      </c>
      <c r="E107" s="1499">
        <f t="shared" si="3"/>
        <v>0.48333333333333334</v>
      </c>
      <c r="F107" s="1500">
        <f>WEEKNUM(Luz_Natural[[#This Row],[Fecha Sem]])</f>
        <v>51</v>
      </c>
    </row>
    <row r="108" spans="1:6" x14ac:dyDescent="0.25">
      <c r="A108" s="1493" t="s">
        <v>503</v>
      </c>
      <c r="B108" s="1497">
        <f t="shared" si="4"/>
        <v>358</v>
      </c>
      <c r="C108" s="1498">
        <v>0.27013888888888887</v>
      </c>
      <c r="D108" s="1498">
        <v>0.75347222222222221</v>
      </c>
      <c r="E108" s="1499">
        <f t="shared" si="3"/>
        <v>0.48333333333333334</v>
      </c>
      <c r="F108" s="1500">
        <f>WEEKNUM(Luz_Natural[[#This Row],[Fecha Sem]])</f>
        <v>52</v>
      </c>
    </row>
    <row r="109" spans="1:6" x14ac:dyDescent="0.25">
      <c r="A109" s="1493" t="s">
        <v>503</v>
      </c>
      <c r="B109" s="1497">
        <f t="shared" si="4"/>
        <v>365</v>
      </c>
      <c r="C109" s="1505">
        <v>0.2722222222222222</v>
      </c>
      <c r="D109" s="1505">
        <v>0.75555555555555554</v>
      </c>
      <c r="E109" s="1499">
        <f t="shared" si="3"/>
        <v>0.48333333333333334</v>
      </c>
      <c r="F109" s="1500">
        <f>WEEKNUM(Luz_Natural[[#This Row],[Fecha Sem]])</f>
        <v>53</v>
      </c>
    </row>
    <row r="110" spans="1:6" x14ac:dyDescent="0.25">
      <c r="A110" s="1493" t="s">
        <v>504</v>
      </c>
      <c r="B110" s="1497">
        <v>44197</v>
      </c>
      <c r="C110" s="1498">
        <v>0.25833333333333336</v>
      </c>
      <c r="D110" s="1498">
        <v>0.76597222222222217</v>
      </c>
      <c r="E110" s="1499">
        <f>D110-C110</f>
        <v>0.50763888888888875</v>
      </c>
      <c r="F110" s="1500">
        <f>WEEKNUM(Luz_Natural[[#This Row],[Fecha Sem]])</f>
        <v>1</v>
      </c>
    </row>
    <row r="111" spans="1:6" x14ac:dyDescent="0.25">
      <c r="A111" s="1493" t="s">
        <v>504</v>
      </c>
      <c r="B111" s="1497">
        <f t="shared" ref="B111:B162" si="5">B110+7</f>
        <v>44204</v>
      </c>
      <c r="C111" s="1498">
        <v>0.26041666666666669</v>
      </c>
      <c r="D111" s="1498">
        <v>0.7680555555555556</v>
      </c>
      <c r="E111" s="1499">
        <f>D111-C111</f>
        <v>0.50763888888888897</v>
      </c>
      <c r="F111" s="1500">
        <f>WEEKNUM(Luz_Natural[[#This Row],[Fecha Sem]])</f>
        <v>2</v>
      </c>
    </row>
    <row r="112" spans="1:6" x14ac:dyDescent="0.25">
      <c r="A112" s="1493" t="s">
        <v>504</v>
      </c>
      <c r="B112" s="1497">
        <f t="shared" si="5"/>
        <v>44211</v>
      </c>
      <c r="C112" s="1498">
        <v>0.26250000000000001</v>
      </c>
      <c r="D112" s="1498">
        <v>0.77013888888888893</v>
      </c>
      <c r="E112" s="1499">
        <f t="shared" ref="E112:E115" si="6">D112-C112</f>
        <v>0.50763888888888897</v>
      </c>
      <c r="F112" s="1500">
        <f>WEEKNUM(Luz_Natural[[#This Row],[Fecha Sem]])</f>
        <v>3</v>
      </c>
    </row>
    <row r="113" spans="1:6" x14ac:dyDescent="0.25">
      <c r="A113" s="1493" t="s">
        <v>504</v>
      </c>
      <c r="B113" s="1497">
        <f t="shared" si="5"/>
        <v>44218</v>
      </c>
      <c r="C113" s="1498">
        <v>0.2638888888888889</v>
      </c>
      <c r="D113" s="1498">
        <v>0.7715277777777777</v>
      </c>
      <c r="E113" s="1499">
        <f t="shared" si="6"/>
        <v>0.50763888888888875</v>
      </c>
      <c r="F113" s="1500">
        <f>WEEKNUM(Luz_Natural[[#This Row],[Fecha Sem]])</f>
        <v>4</v>
      </c>
    </row>
    <row r="114" spans="1:6" x14ac:dyDescent="0.25">
      <c r="A114" s="1493" t="s">
        <v>504</v>
      </c>
      <c r="B114" s="1497">
        <f t="shared" si="5"/>
        <v>44225</v>
      </c>
      <c r="C114" s="1498">
        <v>0.26527777777777778</v>
      </c>
      <c r="D114" s="1498">
        <v>0.77222222222222225</v>
      </c>
      <c r="E114" s="1499">
        <f t="shared" si="6"/>
        <v>0.50694444444444442</v>
      </c>
      <c r="F114" s="1500">
        <f>WEEKNUM(Luz_Natural[[#This Row],[Fecha Sem]])</f>
        <v>5</v>
      </c>
    </row>
    <row r="115" spans="1:6" x14ac:dyDescent="0.25">
      <c r="A115" s="1493" t="s">
        <v>504</v>
      </c>
      <c r="B115" s="1497">
        <f t="shared" si="5"/>
        <v>44232</v>
      </c>
      <c r="C115" s="1498">
        <v>0.26597222222222222</v>
      </c>
      <c r="D115" s="1498">
        <v>0.7729166666666667</v>
      </c>
      <c r="E115" s="1499">
        <f t="shared" si="6"/>
        <v>0.50694444444444442</v>
      </c>
      <c r="F115" s="1500">
        <f>WEEKNUM(Luz_Natural[[#This Row],[Fecha Sem]])</f>
        <v>6</v>
      </c>
    </row>
    <row r="116" spans="1:6" x14ac:dyDescent="0.25">
      <c r="A116" s="1493" t="s">
        <v>504</v>
      </c>
      <c r="B116" s="1497">
        <f t="shared" si="5"/>
        <v>44239</v>
      </c>
      <c r="C116" s="1498">
        <v>0.26666666666666666</v>
      </c>
      <c r="D116" s="1498">
        <v>0.7729166666666667</v>
      </c>
      <c r="E116" s="1499">
        <f>D116-C116</f>
        <v>0.50625000000000009</v>
      </c>
      <c r="F116" s="1500">
        <f>WEEKNUM(Luz_Natural[[#This Row],[Fecha Sem]])</f>
        <v>7</v>
      </c>
    </row>
    <row r="117" spans="1:6" x14ac:dyDescent="0.25">
      <c r="A117" s="1493" t="s">
        <v>504</v>
      </c>
      <c r="B117" s="1497">
        <f t="shared" si="5"/>
        <v>44246</v>
      </c>
      <c r="C117" s="1498">
        <v>0.26597222222222222</v>
      </c>
      <c r="D117" s="1498">
        <v>0.77222222222222225</v>
      </c>
      <c r="E117" s="1499">
        <f t="shared" ref="E117:E162" si="7">D117-C117</f>
        <v>0.50625000000000009</v>
      </c>
      <c r="F117" s="1500">
        <f>WEEKNUM(Luz_Natural[[#This Row],[Fecha Sem]])</f>
        <v>8</v>
      </c>
    </row>
    <row r="118" spans="1:6" x14ac:dyDescent="0.25">
      <c r="A118" s="1493" t="s">
        <v>504</v>
      </c>
      <c r="B118" s="1497">
        <f t="shared" si="5"/>
        <v>44253</v>
      </c>
      <c r="C118" s="1498">
        <v>0.26597222222222222</v>
      </c>
      <c r="D118" s="1498">
        <v>0.7715277777777777</v>
      </c>
      <c r="E118" s="1499">
        <f t="shared" si="7"/>
        <v>0.50555555555555554</v>
      </c>
      <c r="F118" s="1500">
        <f>WEEKNUM(Luz_Natural[[#This Row],[Fecha Sem]])</f>
        <v>9</v>
      </c>
    </row>
    <row r="119" spans="1:6" x14ac:dyDescent="0.25">
      <c r="A119" s="1493" t="s">
        <v>504</v>
      </c>
      <c r="B119" s="1497">
        <f t="shared" si="5"/>
        <v>44260</v>
      </c>
      <c r="C119" s="1498">
        <v>0.26527777777777778</v>
      </c>
      <c r="D119" s="1498">
        <v>0.77013888888888893</v>
      </c>
      <c r="E119" s="1499">
        <f t="shared" si="7"/>
        <v>0.5048611111111112</v>
      </c>
      <c r="F119" s="1500">
        <f>WEEKNUM(Luz_Natural[[#This Row],[Fecha Sem]])</f>
        <v>10</v>
      </c>
    </row>
    <row r="120" spans="1:6" x14ac:dyDescent="0.25">
      <c r="A120" s="1493" t="s">
        <v>504</v>
      </c>
      <c r="B120" s="1497">
        <f t="shared" si="5"/>
        <v>44267</v>
      </c>
      <c r="C120" s="1498">
        <v>0.2638888888888889</v>
      </c>
      <c r="D120" s="1498">
        <v>0.76874999999999993</v>
      </c>
      <c r="E120" s="1499">
        <f t="shared" si="7"/>
        <v>0.50486111111111098</v>
      </c>
      <c r="F120" s="1500">
        <f>WEEKNUM(Luz_Natural[[#This Row],[Fecha Sem]])</f>
        <v>11</v>
      </c>
    </row>
    <row r="121" spans="1:6" x14ac:dyDescent="0.25">
      <c r="A121" s="1493" t="s">
        <v>504</v>
      </c>
      <c r="B121" s="1497">
        <f t="shared" si="5"/>
        <v>44274</v>
      </c>
      <c r="C121" s="1498">
        <v>0.26250000000000001</v>
      </c>
      <c r="D121" s="1498">
        <v>0.76736111111111116</v>
      </c>
      <c r="E121" s="1499">
        <f t="shared" si="7"/>
        <v>0.5048611111111112</v>
      </c>
      <c r="F121" s="1500">
        <f>WEEKNUM(Luz_Natural[[#This Row],[Fecha Sem]])</f>
        <v>12</v>
      </c>
    </row>
    <row r="122" spans="1:6" x14ac:dyDescent="0.25">
      <c r="A122" s="1493" t="s">
        <v>504</v>
      </c>
      <c r="B122" s="1497">
        <f t="shared" si="5"/>
        <v>44281</v>
      </c>
      <c r="C122" s="1498">
        <v>0.26111111111111113</v>
      </c>
      <c r="D122" s="1498">
        <v>0.76597222222222217</v>
      </c>
      <c r="E122" s="1499">
        <f t="shared" si="7"/>
        <v>0.50486111111111098</v>
      </c>
      <c r="F122" s="1500">
        <f>WEEKNUM(Luz_Natural[[#This Row],[Fecha Sem]])</f>
        <v>13</v>
      </c>
    </row>
    <row r="123" spans="1:6" x14ac:dyDescent="0.25">
      <c r="A123" s="1493" t="s">
        <v>504</v>
      </c>
      <c r="B123" s="1497">
        <f t="shared" si="5"/>
        <v>44288</v>
      </c>
      <c r="C123" s="1498">
        <v>0.26041666666666669</v>
      </c>
      <c r="D123" s="1498">
        <v>0.76388888888888884</v>
      </c>
      <c r="E123" s="1499">
        <f t="shared" si="7"/>
        <v>0.5034722222222221</v>
      </c>
      <c r="F123" s="1500">
        <f>WEEKNUM(Luz_Natural[[#This Row],[Fecha Sem]])</f>
        <v>14</v>
      </c>
    </row>
    <row r="124" spans="1:6" x14ac:dyDescent="0.25">
      <c r="A124" s="1493" t="s">
        <v>504</v>
      </c>
      <c r="B124" s="1497">
        <f t="shared" si="5"/>
        <v>44295</v>
      </c>
      <c r="C124" s="1498">
        <v>0.2590277777777778</v>
      </c>
      <c r="D124" s="1498">
        <v>0.76250000000000007</v>
      </c>
      <c r="E124" s="1499">
        <f t="shared" si="7"/>
        <v>0.50347222222222232</v>
      </c>
      <c r="F124" s="1500">
        <f>WEEKNUM(Luz_Natural[[#This Row],[Fecha Sem]])</f>
        <v>15</v>
      </c>
    </row>
    <row r="125" spans="1:6" x14ac:dyDescent="0.25">
      <c r="A125" s="1493" t="s">
        <v>504</v>
      </c>
      <c r="B125" s="1497">
        <f t="shared" si="5"/>
        <v>44302</v>
      </c>
      <c r="C125" s="1498">
        <v>0.25763888888888892</v>
      </c>
      <c r="D125" s="1498">
        <v>0.76111111111111107</v>
      </c>
      <c r="E125" s="1499">
        <f t="shared" si="7"/>
        <v>0.5034722222222221</v>
      </c>
      <c r="F125" s="1500">
        <f>WEEKNUM(Luz_Natural[[#This Row],[Fecha Sem]])</f>
        <v>16</v>
      </c>
    </row>
    <row r="126" spans="1:6" x14ac:dyDescent="0.25">
      <c r="A126" s="1493" t="s">
        <v>504</v>
      </c>
      <c r="B126" s="1497">
        <f t="shared" si="5"/>
        <v>44309</v>
      </c>
      <c r="C126" s="1498">
        <v>0.25694444444444448</v>
      </c>
      <c r="D126" s="1498">
        <v>0.76041666666666663</v>
      </c>
      <c r="E126" s="1499">
        <f t="shared" si="7"/>
        <v>0.5034722222222221</v>
      </c>
      <c r="F126" s="1500">
        <f>WEEKNUM(Luz_Natural[[#This Row],[Fecha Sem]])</f>
        <v>17</v>
      </c>
    </row>
    <row r="127" spans="1:6" x14ac:dyDescent="0.25">
      <c r="A127" s="1493" t="s">
        <v>504</v>
      </c>
      <c r="B127" s="1497">
        <f t="shared" si="5"/>
        <v>44316</v>
      </c>
      <c r="C127" s="1498">
        <v>0.25625000000000003</v>
      </c>
      <c r="D127" s="1498">
        <v>0.75902777777777775</v>
      </c>
      <c r="E127" s="1499">
        <f t="shared" si="7"/>
        <v>0.50277777777777777</v>
      </c>
      <c r="F127" s="1500">
        <f>WEEKNUM(Luz_Natural[[#This Row],[Fecha Sem]])</f>
        <v>18</v>
      </c>
    </row>
    <row r="128" spans="1:6" x14ac:dyDescent="0.25">
      <c r="A128" s="1493" t="s">
        <v>504</v>
      </c>
      <c r="B128" s="1497">
        <f t="shared" si="5"/>
        <v>44323</v>
      </c>
      <c r="C128" s="1498">
        <v>0.25625000000000003</v>
      </c>
      <c r="D128" s="1498">
        <v>0.7583333333333333</v>
      </c>
      <c r="E128" s="1499">
        <f t="shared" si="7"/>
        <v>0.50208333333333321</v>
      </c>
      <c r="F128" s="1500">
        <f>WEEKNUM(Luz_Natural[[#This Row],[Fecha Sem]])</f>
        <v>19</v>
      </c>
    </row>
    <row r="129" spans="1:6" x14ac:dyDescent="0.25">
      <c r="A129" s="1493" t="s">
        <v>504</v>
      </c>
      <c r="B129" s="1497">
        <f t="shared" si="5"/>
        <v>44330</v>
      </c>
      <c r="C129" s="1498">
        <v>0.25555555555555559</v>
      </c>
      <c r="D129" s="1498">
        <v>0.7583333333333333</v>
      </c>
      <c r="E129" s="1499">
        <f t="shared" si="7"/>
        <v>0.50277777777777777</v>
      </c>
      <c r="F129" s="1500">
        <f>WEEKNUM(Luz_Natural[[#This Row],[Fecha Sem]])</f>
        <v>20</v>
      </c>
    </row>
    <row r="130" spans="1:6" x14ac:dyDescent="0.25">
      <c r="A130" s="1493" t="s">
        <v>504</v>
      </c>
      <c r="B130" s="1497">
        <f t="shared" si="5"/>
        <v>44337</v>
      </c>
      <c r="C130" s="1498">
        <v>0.25625000000000003</v>
      </c>
      <c r="D130" s="1498">
        <v>0.7583333333333333</v>
      </c>
      <c r="E130" s="1499">
        <f t="shared" si="7"/>
        <v>0.50208333333333321</v>
      </c>
      <c r="F130" s="1500">
        <f>WEEKNUM(Luz_Natural[[#This Row],[Fecha Sem]])</f>
        <v>21</v>
      </c>
    </row>
    <row r="131" spans="1:6" x14ac:dyDescent="0.25">
      <c r="A131" s="1493" t="s">
        <v>504</v>
      </c>
      <c r="B131" s="1497">
        <f t="shared" si="5"/>
        <v>44344</v>
      </c>
      <c r="C131" s="1498">
        <v>0.25694444444444448</v>
      </c>
      <c r="D131" s="1498">
        <v>0.75902777777777775</v>
      </c>
      <c r="E131" s="1499">
        <f t="shared" si="7"/>
        <v>0.50208333333333321</v>
      </c>
      <c r="F131" s="1500">
        <f>WEEKNUM(Luz_Natural[[#This Row],[Fecha Sem]])</f>
        <v>22</v>
      </c>
    </row>
    <row r="132" spans="1:6" x14ac:dyDescent="0.25">
      <c r="A132" s="1493" t="s">
        <v>504</v>
      </c>
      <c r="B132" s="1497">
        <f t="shared" si="5"/>
        <v>44351</v>
      </c>
      <c r="C132" s="1498">
        <v>0.25763888888888892</v>
      </c>
      <c r="D132" s="1498">
        <v>0.7597222222222223</v>
      </c>
      <c r="E132" s="1499">
        <f t="shared" si="7"/>
        <v>0.50208333333333344</v>
      </c>
      <c r="F132" s="1500">
        <f>WEEKNUM(Luz_Natural[[#This Row],[Fecha Sem]])</f>
        <v>23</v>
      </c>
    </row>
    <row r="133" spans="1:6" x14ac:dyDescent="0.25">
      <c r="A133" s="1493" t="s">
        <v>504</v>
      </c>
      <c r="B133" s="1497">
        <f t="shared" si="5"/>
        <v>44358</v>
      </c>
      <c r="C133" s="1498">
        <v>0.25833333333333336</v>
      </c>
      <c r="D133" s="1498">
        <v>0.76041666666666663</v>
      </c>
      <c r="E133" s="1499">
        <f t="shared" si="7"/>
        <v>0.50208333333333321</v>
      </c>
      <c r="F133" s="1500">
        <f>WEEKNUM(Luz_Natural[[#This Row],[Fecha Sem]])</f>
        <v>24</v>
      </c>
    </row>
    <row r="134" spans="1:6" x14ac:dyDescent="0.25">
      <c r="A134" s="1493" t="s">
        <v>504</v>
      </c>
      <c r="B134" s="1497">
        <f t="shared" si="5"/>
        <v>44365</v>
      </c>
      <c r="C134" s="1498">
        <v>0.25972222222222224</v>
      </c>
      <c r="D134" s="1498">
        <v>0.76180555555555562</v>
      </c>
      <c r="E134" s="1499">
        <f t="shared" si="7"/>
        <v>0.50208333333333344</v>
      </c>
      <c r="F134" s="1500">
        <f>WEEKNUM(Luz_Natural[[#This Row],[Fecha Sem]])</f>
        <v>25</v>
      </c>
    </row>
    <row r="135" spans="1:6" x14ac:dyDescent="0.25">
      <c r="A135" s="1493" t="s">
        <v>504</v>
      </c>
      <c r="B135" s="1497">
        <f t="shared" si="5"/>
        <v>44372</v>
      </c>
      <c r="C135" s="1498">
        <v>0.26041666666666669</v>
      </c>
      <c r="D135" s="1498">
        <v>0.76250000000000007</v>
      </c>
      <c r="E135" s="1499">
        <f t="shared" si="7"/>
        <v>0.50208333333333344</v>
      </c>
      <c r="F135" s="1500">
        <f>WEEKNUM(Luz_Natural[[#This Row],[Fecha Sem]])</f>
        <v>26</v>
      </c>
    </row>
    <row r="136" spans="1:6" x14ac:dyDescent="0.25">
      <c r="A136" s="1493" t="s">
        <v>504</v>
      </c>
      <c r="B136" s="1497">
        <f t="shared" si="5"/>
        <v>44379</v>
      </c>
      <c r="C136" s="1498">
        <v>0.26111111111111113</v>
      </c>
      <c r="D136" s="1498">
        <v>0.7631944444444444</v>
      </c>
      <c r="E136" s="1499">
        <f t="shared" si="7"/>
        <v>0.50208333333333321</v>
      </c>
      <c r="F136" s="1500">
        <f>WEEKNUM(Luz_Natural[[#This Row],[Fecha Sem]])</f>
        <v>27</v>
      </c>
    </row>
    <row r="137" spans="1:6" x14ac:dyDescent="0.25">
      <c r="A137" s="1493" t="s">
        <v>504</v>
      </c>
      <c r="B137" s="1497">
        <f t="shared" si="5"/>
        <v>44386</v>
      </c>
      <c r="C137" s="1498">
        <v>0.26250000000000001</v>
      </c>
      <c r="D137" s="1498">
        <v>0.76458333333333339</v>
      </c>
      <c r="E137" s="1499">
        <f t="shared" si="7"/>
        <v>0.50208333333333344</v>
      </c>
      <c r="F137" s="1500">
        <f>WEEKNUM(Luz_Natural[[#This Row],[Fecha Sem]])</f>
        <v>28</v>
      </c>
    </row>
    <row r="138" spans="1:6" x14ac:dyDescent="0.25">
      <c r="A138" s="1493" t="s">
        <v>504</v>
      </c>
      <c r="B138" s="1497">
        <f t="shared" si="5"/>
        <v>44393</v>
      </c>
      <c r="C138" s="1498">
        <v>0.26250000000000001</v>
      </c>
      <c r="D138" s="1498">
        <v>0.76527777777777783</v>
      </c>
      <c r="E138" s="1499">
        <f t="shared" si="7"/>
        <v>0.50277777777777777</v>
      </c>
      <c r="F138" s="1500">
        <f>WEEKNUM(Luz_Natural[[#This Row],[Fecha Sem]])</f>
        <v>29</v>
      </c>
    </row>
    <row r="139" spans="1:6" x14ac:dyDescent="0.25">
      <c r="A139" s="1493" t="s">
        <v>504</v>
      </c>
      <c r="B139" s="1497">
        <f t="shared" si="5"/>
        <v>44400</v>
      </c>
      <c r="C139" s="1498">
        <v>0.26319444444444445</v>
      </c>
      <c r="D139" s="1498">
        <v>0.76527777777777783</v>
      </c>
      <c r="E139" s="1499">
        <f t="shared" si="7"/>
        <v>0.50208333333333344</v>
      </c>
      <c r="F139" s="1500">
        <f>WEEKNUM(Luz_Natural[[#This Row],[Fecha Sem]])</f>
        <v>30</v>
      </c>
    </row>
    <row r="140" spans="1:6" x14ac:dyDescent="0.25">
      <c r="A140" s="1493" t="s">
        <v>504</v>
      </c>
      <c r="B140" s="1497">
        <f t="shared" si="5"/>
        <v>44407</v>
      </c>
      <c r="C140" s="1498">
        <v>0.26319444444444445</v>
      </c>
      <c r="D140" s="1498">
        <v>0.76527777777777783</v>
      </c>
      <c r="E140" s="1499">
        <f t="shared" si="7"/>
        <v>0.50208333333333344</v>
      </c>
      <c r="F140" s="1500">
        <f>WEEKNUM(Luz_Natural[[#This Row],[Fecha Sem]])</f>
        <v>31</v>
      </c>
    </row>
    <row r="141" spans="1:6" x14ac:dyDescent="0.25">
      <c r="A141" s="1493" t="s">
        <v>504</v>
      </c>
      <c r="B141" s="1497">
        <f t="shared" si="5"/>
        <v>44414</v>
      </c>
      <c r="C141" s="1498">
        <v>0.26250000000000001</v>
      </c>
      <c r="D141" s="1498">
        <v>0.76527777777777783</v>
      </c>
      <c r="E141" s="1499">
        <f t="shared" si="7"/>
        <v>0.50277777777777777</v>
      </c>
      <c r="F141" s="1500">
        <f>WEEKNUM(Luz_Natural[[#This Row],[Fecha Sem]])</f>
        <v>32</v>
      </c>
    </row>
    <row r="142" spans="1:6" x14ac:dyDescent="0.25">
      <c r="A142" s="1493" t="s">
        <v>504</v>
      </c>
      <c r="B142" s="1497">
        <f t="shared" si="5"/>
        <v>44421</v>
      </c>
      <c r="C142" s="1498">
        <v>0.26180555555555557</v>
      </c>
      <c r="D142" s="1498">
        <v>0.76458333333333339</v>
      </c>
      <c r="E142" s="1499">
        <f t="shared" si="7"/>
        <v>0.50277777777777777</v>
      </c>
      <c r="F142" s="1500">
        <f>WEEKNUM(Luz_Natural[[#This Row],[Fecha Sem]])</f>
        <v>33</v>
      </c>
    </row>
    <row r="143" spans="1:6" x14ac:dyDescent="0.25">
      <c r="A143" s="1493" t="s">
        <v>504</v>
      </c>
      <c r="B143" s="1497">
        <f t="shared" si="5"/>
        <v>44428</v>
      </c>
      <c r="C143" s="1498">
        <v>0.26041666666666669</v>
      </c>
      <c r="D143" s="1498">
        <v>0.76388888888888884</v>
      </c>
      <c r="E143" s="1499">
        <f t="shared" si="7"/>
        <v>0.5034722222222221</v>
      </c>
      <c r="F143" s="1500">
        <f>WEEKNUM(Luz_Natural[[#This Row],[Fecha Sem]])</f>
        <v>34</v>
      </c>
    </row>
    <row r="144" spans="1:6" x14ac:dyDescent="0.25">
      <c r="A144" s="1493" t="s">
        <v>504</v>
      </c>
      <c r="B144" s="1497">
        <f t="shared" si="5"/>
        <v>44435</v>
      </c>
      <c r="C144" s="1498">
        <v>0.2590277777777778</v>
      </c>
      <c r="D144" s="1498">
        <v>0.76250000000000007</v>
      </c>
      <c r="E144" s="1499">
        <f t="shared" si="7"/>
        <v>0.50347222222222232</v>
      </c>
      <c r="F144" s="1500">
        <f>WEEKNUM(Luz_Natural[[#This Row],[Fecha Sem]])</f>
        <v>35</v>
      </c>
    </row>
    <row r="145" spans="1:6" x14ac:dyDescent="0.25">
      <c r="A145" s="1493" t="s">
        <v>504</v>
      </c>
      <c r="B145" s="1497">
        <f t="shared" si="5"/>
        <v>44442</v>
      </c>
      <c r="C145" s="1498">
        <v>0.25763888888888892</v>
      </c>
      <c r="D145" s="1498">
        <v>0.76111111111111107</v>
      </c>
      <c r="E145" s="1499">
        <f t="shared" si="7"/>
        <v>0.5034722222222221</v>
      </c>
      <c r="F145" s="1500">
        <f>WEEKNUM(Luz_Natural[[#This Row],[Fecha Sem]])</f>
        <v>36</v>
      </c>
    </row>
    <row r="146" spans="1:6" x14ac:dyDescent="0.25">
      <c r="A146" s="1493" t="s">
        <v>504</v>
      </c>
      <c r="B146" s="1497">
        <f t="shared" si="5"/>
        <v>44449</v>
      </c>
      <c r="C146" s="1498">
        <v>0.25555555555555559</v>
      </c>
      <c r="D146" s="1498">
        <v>0.7597222222222223</v>
      </c>
      <c r="E146" s="1499">
        <f t="shared" si="7"/>
        <v>0.50416666666666665</v>
      </c>
      <c r="F146" s="1500">
        <f>WEEKNUM(Luz_Natural[[#This Row],[Fecha Sem]])</f>
        <v>37</v>
      </c>
    </row>
    <row r="147" spans="1:6" x14ac:dyDescent="0.25">
      <c r="A147" s="1493" t="s">
        <v>504</v>
      </c>
      <c r="B147" s="1497">
        <f t="shared" si="5"/>
        <v>44456</v>
      </c>
      <c r="C147" s="1498">
        <v>0.25416666666666665</v>
      </c>
      <c r="D147" s="1498">
        <v>0.7583333333333333</v>
      </c>
      <c r="E147" s="1499">
        <f t="shared" si="7"/>
        <v>0.50416666666666665</v>
      </c>
      <c r="F147" s="1500">
        <f>WEEKNUM(Luz_Natural[[#This Row],[Fecha Sem]])</f>
        <v>38</v>
      </c>
    </row>
    <row r="148" spans="1:6" x14ac:dyDescent="0.25">
      <c r="A148" s="1493" t="s">
        <v>504</v>
      </c>
      <c r="B148" s="1497">
        <f t="shared" si="5"/>
        <v>44463</v>
      </c>
      <c r="C148" s="1498">
        <v>0.25208333333333333</v>
      </c>
      <c r="D148" s="1498">
        <v>0.75694444444444453</v>
      </c>
      <c r="E148" s="1499">
        <f t="shared" si="7"/>
        <v>0.5048611111111112</v>
      </c>
      <c r="F148" s="1500">
        <f>WEEKNUM(Luz_Natural[[#This Row],[Fecha Sem]])</f>
        <v>39</v>
      </c>
    </row>
    <row r="149" spans="1:6" x14ac:dyDescent="0.25">
      <c r="A149" s="1493" t="s">
        <v>504</v>
      </c>
      <c r="B149" s="1497">
        <f t="shared" si="5"/>
        <v>44470</v>
      </c>
      <c r="C149" s="1498">
        <v>0.25</v>
      </c>
      <c r="D149" s="1498">
        <v>0.75486111111111109</v>
      </c>
      <c r="E149" s="1499">
        <f t="shared" si="7"/>
        <v>0.50486111111111109</v>
      </c>
      <c r="F149" s="1500">
        <f>WEEKNUM(Luz_Natural[[#This Row],[Fecha Sem]])</f>
        <v>40</v>
      </c>
    </row>
    <row r="150" spans="1:6" x14ac:dyDescent="0.25">
      <c r="A150" s="1493" t="s">
        <v>504</v>
      </c>
      <c r="B150" s="1497">
        <f t="shared" si="5"/>
        <v>44477</v>
      </c>
      <c r="C150" s="1498">
        <v>0.24861111111111112</v>
      </c>
      <c r="D150" s="1498">
        <v>0.75416666666666676</v>
      </c>
      <c r="E150" s="1499">
        <f t="shared" si="7"/>
        <v>0.50555555555555565</v>
      </c>
      <c r="F150" s="1500">
        <f>WEEKNUM(Luz_Natural[[#This Row],[Fecha Sem]])</f>
        <v>41</v>
      </c>
    </row>
    <row r="151" spans="1:6" x14ac:dyDescent="0.25">
      <c r="A151" s="1493" t="s">
        <v>504</v>
      </c>
      <c r="B151" s="1497">
        <f t="shared" si="5"/>
        <v>44484</v>
      </c>
      <c r="C151" s="1498">
        <v>0.24722222222222223</v>
      </c>
      <c r="D151" s="1498">
        <v>0.75277777777777777</v>
      </c>
      <c r="E151" s="1499">
        <f t="shared" si="7"/>
        <v>0.50555555555555554</v>
      </c>
      <c r="F151" s="1500">
        <f>WEEKNUM(Luz_Natural[[#This Row],[Fecha Sem]])</f>
        <v>42</v>
      </c>
    </row>
    <row r="152" spans="1:6" x14ac:dyDescent="0.25">
      <c r="A152" s="1493" t="s">
        <v>504</v>
      </c>
      <c r="B152" s="1497">
        <f t="shared" si="5"/>
        <v>44491</v>
      </c>
      <c r="C152" s="1498">
        <v>0.24583333333333335</v>
      </c>
      <c r="D152" s="1498">
        <v>0.75208333333333333</v>
      </c>
      <c r="E152" s="1499">
        <f t="shared" si="7"/>
        <v>0.50624999999999998</v>
      </c>
      <c r="F152" s="1500">
        <f>WEEKNUM(Luz_Natural[[#This Row],[Fecha Sem]])</f>
        <v>43</v>
      </c>
    </row>
    <row r="153" spans="1:6" x14ac:dyDescent="0.25">
      <c r="A153" s="1493" t="s">
        <v>504</v>
      </c>
      <c r="B153" s="1497">
        <f t="shared" si="5"/>
        <v>44498</v>
      </c>
      <c r="C153" s="1498">
        <v>0.24513888888888888</v>
      </c>
      <c r="D153" s="1498">
        <v>0.75138888888888899</v>
      </c>
      <c r="E153" s="1499">
        <f t="shared" si="7"/>
        <v>0.50625000000000009</v>
      </c>
      <c r="F153" s="1500">
        <f>WEEKNUM(Luz_Natural[[#This Row],[Fecha Sem]])</f>
        <v>44</v>
      </c>
    </row>
    <row r="154" spans="1:6" x14ac:dyDescent="0.25">
      <c r="A154" s="1493" t="s">
        <v>504</v>
      </c>
      <c r="B154" s="1497">
        <f t="shared" si="5"/>
        <v>44505</v>
      </c>
      <c r="C154" s="1498">
        <v>0.24513888888888888</v>
      </c>
      <c r="D154" s="1498">
        <v>0.75138888888888899</v>
      </c>
      <c r="E154" s="1499">
        <f t="shared" si="7"/>
        <v>0.50625000000000009</v>
      </c>
      <c r="F154" s="1500">
        <f>WEEKNUM(Luz_Natural[[#This Row],[Fecha Sem]])</f>
        <v>45</v>
      </c>
    </row>
    <row r="155" spans="1:6" x14ac:dyDescent="0.25">
      <c r="A155" s="1493" t="s">
        <v>504</v>
      </c>
      <c r="B155" s="1497">
        <f t="shared" si="5"/>
        <v>44512</v>
      </c>
      <c r="C155" s="1498">
        <v>0.24513888888888888</v>
      </c>
      <c r="D155" s="1498">
        <v>0.75208333333333333</v>
      </c>
      <c r="E155" s="1499">
        <f t="shared" si="7"/>
        <v>0.50694444444444442</v>
      </c>
      <c r="F155" s="1500">
        <f>WEEKNUM(Luz_Natural[[#This Row],[Fecha Sem]])</f>
        <v>46</v>
      </c>
    </row>
    <row r="156" spans="1:6" x14ac:dyDescent="0.25">
      <c r="A156" s="1493" t="s">
        <v>504</v>
      </c>
      <c r="B156" s="1497">
        <f t="shared" si="5"/>
        <v>44519</v>
      </c>
      <c r="C156" s="1498">
        <v>0.24583333333333335</v>
      </c>
      <c r="D156" s="1498">
        <v>0.75277777777777777</v>
      </c>
      <c r="E156" s="1499">
        <f t="shared" si="7"/>
        <v>0.50694444444444442</v>
      </c>
      <c r="F156" s="1500">
        <f>WEEKNUM(Luz_Natural[[#This Row],[Fecha Sem]])</f>
        <v>47</v>
      </c>
    </row>
    <row r="157" spans="1:6" x14ac:dyDescent="0.25">
      <c r="A157" s="1493" t="s">
        <v>504</v>
      </c>
      <c r="B157" s="1497">
        <f t="shared" si="5"/>
        <v>44526</v>
      </c>
      <c r="C157" s="1498">
        <v>0.24652777777777779</v>
      </c>
      <c r="D157" s="1498">
        <v>0.75486111111111109</v>
      </c>
      <c r="E157" s="1499">
        <f t="shared" si="7"/>
        <v>0.5083333333333333</v>
      </c>
      <c r="F157" s="1500">
        <f>WEEKNUM(Luz_Natural[[#This Row],[Fecha Sem]])</f>
        <v>48</v>
      </c>
    </row>
    <row r="158" spans="1:6" x14ac:dyDescent="0.25">
      <c r="A158" s="1493" t="s">
        <v>504</v>
      </c>
      <c r="B158" s="1497">
        <f t="shared" si="5"/>
        <v>44533</v>
      </c>
      <c r="C158" s="1498">
        <v>0.24861111111111112</v>
      </c>
      <c r="D158" s="1498">
        <v>0.75624999999999998</v>
      </c>
      <c r="E158" s="1499">
        <f t="shared" si="7"/>
        <v>0.50763888888888886</v>
      </c>
      <c r="F158" s="1500">
        <f>WEEKNUM(Luz_Natural[[#This Row],[Fecha Sem]])</f>
        <v>49</v>
      </c>
    </row>
    <row r="159" spans="1:6" x14ac:dyDescent="0.25">
      <c r="A159" s="1493" t="s">
        <v>504</v>
      </c>
      <c r="B159" s="1497">
        <f t="shared" si="5"/>
        <v>44540</v>
      </c>
      <c r="C159" s="1498">
        <v>0.25069444444444444</v>
      </c>
      <c r="D159" s="1498">
        <v>0.7583333333333333</v>
      </c>
      <c r="E159" s="1499">
        <f t="shared" si="7"/>
        <v>0.50763888888888886</v>
      </c>
      <c r="F159" s="1500">
        <f>WEEKNUM(Luz_Natural[[#This Row],[Fecha Sem]])</f>
        <v>50</v>
      </c>
    </row>
    <row r="160" spans="1:6" x14ac:dyDescent="0.25">
      <c r="A160" s="1493" t="s">
        <v>504</v>
      </c>
      <c r="B160" s="1497">
        <f t="shared" si="5"/>
        <v>44547</v>
      </c>
      <c r="C160" s="1498">
        <v>0.25277777777777777</v>
      </c>
      <c r="D160" s="1498">
        <v>0.76111111111111107</v>
      </c>
      <c r="E160" s="1499">
        <f t="shared" si="7"/>
        <v>0.5083333333333333</v>
      </c>
      <c r="F160" s="1500">
        <f>WEEKNUM(Luz_Natural[[#This Row],[Fecha Sem]])</f>
        <v>51</v>
      </c>
    </row>
    <row r="161" spans="1:6" x14ac:dyDescent="0.25">
      <c r="A161" s="1493" t="s">
        <v>504</v>
      </c>
      <c r="B161" s="1497">
        <f t="shared" si="5"/>
        <v>44554</v>
      </c>
      <c r="C161" s="1498">
        <v>0.25486111111111109</v>
      </c>
      <c r="D161" s="1498">
        <v>0.7631944444444444</v>
      </c>
      <c r="E161" s="1499">
        <f t="shared" si="7"/>
        <v>0.5083333333333333</v>
      </c>
      <c r="F161" s="1500">
        <f>WEEKNUM(Luz_Natural[[#This Row],[Fecha Sem]])</f>
        <v>52</v>
      </c>
    </row>
    <row r="162" spans="1:6" x14ac:dyDescent="0.25">
      <c r="A162" s="1493" t="s">
        <v>504</v>
      </c>
      <c r="B162" s="1497">
        <f t="shared" si="5"/>
        <v>44561</v>
      </c>
      <c r="C162" s="1505">
        <v>0.25763888888888892</v>
      </c>
      <c r="D162" s="1505">
        <v>0.76527777777777783</v>
      </c>
      <c r="E162" s="1499">
        <f t="shared" si="7"/>
        <v>0.50763888888888897</v>
      </c>
      <c r="F162" s="1500">
        <f>WEEKNUM(Luz_Natural[[#This Row],[Fecha Sem]])</f>
        <v>53</v>
      </c>
    </row>
    <row r="163" spans="1:6" x14ac:dyDescent="0.25">
      <c r="A163" s="1493" t="s">
        <v>505</v>
      </c>
      <c r="B163" s="1506">
        <f>B4</f>
        <v>1</v>
      </c>
      <c r="C163" s="1505">
        <v>0.25069444444444444</v>
      </c>
      <c r="D163" s="1505">
        <v>0.77569444444444446</v>
      </c>
      <c r="E163" s="1499">
        <f>D163-C163</f>
        <v>0.52500000000000002</v>
      </c>
      <c r="F163" s="1500">
        <f>WEEKNUM(Luz_Natural[[#This Row],[Fecha Sem]])</f>
        <v>1</v>
      </c>
    </row>
    <row r="164" spans="1:6" x14ac:dyDescent="0.25">
      <c r="A164" s="1493" t="s">
        <v>505</v>
      </c>
      <c r="B164" s="1506">
        <f>B163+7</f>
        <v>8</v>
      </c>
      <c r="C164" s="1505">
        <v>0.25555555555555554</v>
      </c>
      <c r="D164" s="1505">
        <v>0.77847222222222223</v>
      </c>
      <c r="E164" s="1499">
        <f>D164-C164</f>
        <v>0.5229166666666667</v>
      </c>
      <c r="F164" s="1500">
        <f>WEEKNUM(Luz_Natural[[#This Row],[Fecha Sem]])</f>
        <v>2</v>
      </c>
    </row>
    <row r="165" spans="1:6" x14ac:dyDescent="0.25">
      <c r="A165" s="1493" t="s">
        <v>505</v>
      </c>
      <c r="B165" s="1506">
        <f t="shared" ref="B165:B215" si="8">B164+7</f>
        <v>15</v>
      </c>
      <c r="C165" s="1498">
        <v>0.25833333333333336</v>
      </c>
      <c r="D165" s="1498">
        <v>0.77916666666666667</v>
      </c>
      <c r="E165" s="1499">
        <f t="shared" ref="E165:E215" si="9">D165-C165</f>
        <v>0.52083333333333326</v>
      </c>
      <c r="F165" s="1500">
        <f>WEEKNUM(Luz_Natural[[#This Row],[Fecha Sem]])</f>
        <v>3</v>
      </c>
    </row>
    <row r="166" spans="1:6" x14ac:dyDescent="0.25">
      <c r="A166" s="1493" t="s">
        <v>505</v>
      </c>
      <c r="B166" s="1506">
        <f t="shared" si="8"/>
        <v>22</v>
      </c>
      <c r="C166" s="1498">
        <v>0.25972222222222224</v>
      </c>
      <c r="D166" s="1498">
        <v>0.77986111111111112</v>
      </c>
      <c r="E166" s="1499">
        <f t="shared" si="9"/>
        <v>0.52013888888888893</v>
      </c>
      <c r="F166" s="1500">
        <f>WEEKNUM(Luz_Natural[[#This Row],[Fecha Sem]])</f>
        <v>4</v>
      </c>
    </row>
    <row r="167" spans="1:6" x14ac:dyDescent="0.25">
      <c r="A167" s="1493" t="s">
        <v>505</v>
      </c>
      <c r="B167" s="1506">
        <f t="shared" si="8"/>
        <v>29</v>
      </c>
      <c r="C167" s="1498">
        <v>0.26180555555555557</v>
      </c>
      <c r="D167" s="1498">
        <v>0.77916666666666667</v>
      </c>
      <c r="E167" s="1499">
        <f t="shared" si="9"/>
        <v>0.51736111111111116</v>
      </c>
      <c r="F167" s="1500">
        <f>WEEKNUM(Luz_Natural[[#This Row],[Fecha Sem]])</f>
        <v>5</v>
      </c>
    </row>
    <row r="168" spans="1:6" x14ac:dyDescent="0.25">
      <c r="A168" s="1493" t="s">
        <v>505</v>
      </c>
      <c r="B168" s="1506">
        <f t="shared" si="8"/>
        <v>36</v>
      </c>
      <c r="C168" s="1498">
        <v>0.26250000000000001</v>
      </c>
      <c r="D168" s="1498">
        <v>0.77847222222222223</v>
      </c>
      <c r="E168" s="1499">
        <f t="shared" si="9"/>
        <v>0.51597222222222228</v>
      </c>
      <c r="F168" s="1500">
        <f>WEEKNUM(Luz_Natural[[#This Row],[Fecha Sem]])</f>
        <v>6</v>
      </c>
    </row>
    <row r="169" spans="1:6" x14ac:dyDescent="0.25">
      <c r="A169" s="1493" t="s">
        <v>505</v>
      </c>
      <c r="B169" s="1506">
        <f t="shared" si="8"/>
        <v>43</v>
      </c>
      <c r="C169" s="1498">
        <v>0.26319444444444445</v>
      </c>
      <c r="D169" s="1498">
        <v>0.77708333333333335</v>
      </c>
      <c r="E169" s="1499">
        <f t="shared" si="9"/>
        <v>0.51388888888888884</v>
      </c>
      <c r="F169" s="1500">
        <f>WEEKNUM(Luz_Natural[[#This Row],[Fecha Sem]])</f>
        <v>7</v>
      </c>
    </row>
    <row r="170" spans="1:6" x14ac:dyDescent="0.25">
      <c r="A170" s="1493" t="s">
        <v>505</v>
      </c>
      <c r="B170" s="1506">
        <f t="shared" si="8"/>
        <v>50</v>
      </c>
      <c r="C170" s="1498">
        <v>0.2638888888888889</v>
      </c>
      <c r="D170" s="1498">
        <v>0.77569444444444446</v>
      </c>
      <c r="E170" s="1499">
        <f t="shared" si="9"/>
        <v>0.51180555555555562</v>
      </c>
      <c r="F170" s="1500">
        <f>WEEKNUM(Luz_Natural[[#This Row],[Fecha Sem]])</f>
        <v>8</v>
      </c>
    </row>
    <row r="171" spans="1:6" x14ac:dyDescent="0.25">
      <c r="A171" s="1493" t="s">
        <v>505</v>
      </c>
      <c r="B171" s="1506">
        <f t="shared" si="8"/>
        <v>57</v>
      </c>
      <c r="C171" s="1498">
        <v>0.2638888888888889</v>
      </c>
      <c r="D171" s="1498">
        <v>0.77361111111111114</v>
      </c>
      <c r="E171" s="1499">
        <f t="shared" si="9"/>
        <v>0.50972222222222219</v>
      </c>
      <c r="F171" s="1500">
        <f>WEEKNUM(Luz_Natural[[#This Row],[Fecha Sem]])</f>
        <v>9</v>
      </c>
    </row>
    <row r="172" spans="1:6" x14ac:dyDescent="0.25">
      <c r="A172" s="1493" t="s">
        <v>505</v>
      </c>
      <c r="B172" s="1506">
        <f t="shared" si="8"/>
        <v>64</v>
      </c>
      <c r="C172" s="1498">
        <v>0.2638888888888889</v>
      </c>
      <c r="D172" s="1498">
        <v>0.77083333333333337</v>
      </c>
      <c r="E172" s="1499">
        <f t="shared" si="9"/>
        <v>0.50694444444444442</v>
      </c>
      <c r="F172" s="1500">
        <f>WEEKNUM(Luz_Natural[[#This Row],[Fecha Sem]])</f>
        <v>10</v>
      </c>
    </row>
    <row r="173" spans="1:6" x14ac:dyDescent="0.25">
      <c r="A173" s="1493" t="s">
        <v>505</v>
      </c>
      <c r="B173" s="1506">
        <f t="shared" si="8"/>
        <v>71</v>
      </c>
      <c r="C173" s="1498">
        <v>0.2638888888888889</v>
      </c>
      <c r="D173" s="1498">
        <v>0.76875000000000004</v>
      </c>
      <c r="E173" s="1499">
        <f t="shared" si="9"/>
        <v>0.5048611111111112</v>
      </c>
      <c r="F173" s="1500">
        <f>WEEKNUM(Luz_Natural[[#This Row],[Fecha Sem]])</f>
        <v>11</v>
      </c>
    </row>
    <row r="174" spans="1:6" x14ac:dyDescent="0.25">
      <c r="A174" s="1493" t="s">
        <v>505</v>
      </c>
      <c r="B174" s="1506">
        <f t="shared" si="8"/>
        <v>78</v>
      </c>
      <c r="C174" s="1498">
        <v>0.26319444444444445</v>
      </c>
      <c r="D174" s="1498">
        <v>0.76597222222222228</v>
      </c>
      <c r="E174" s="1499">
        <f t="shared" si="9"/>
        <v>0.50277777777777777</v>
      </c>
      <c r="F174" s="1500">
        <f>WEEKNUM(Luz_Natural[[#This Row],[Fecha Sem]])</f>
        <v>12</v>
      </c>
    </row>
    <row r="175" spans="1:6" x14ac:dyDescent="0.25">
      <c r="A175" s="1493" t="s">
        <v>505</v>
      </c>
      <c r="B175" s="1506">
        <f t="shared" si="8"/>
        <v>85</v>
      </c>
      <c r="C175" s="1498">
        <v>0.26319444444444445</v>
      </c>
      <c r="D175" s="1498">
        <v>0.76388888888888884</v>
      </c>
      <c r="E175" s="1499">
        <f t="shared" si="9"/>
        <v>0.50069444444444433</v>
      </c>
      <c r="F175" s="1500">
        <f>WEEKNUM(Luz_Natural[[#This Row],[Fecha Sem]])</f>
        <v>13</v>
      </c>
    </row>
    <row r="176" spans="1:6" x14ac:dyDescent="0.25">
      <c r="A176" s="1493" t="s">
        <v>505</v>
      </c>
      <c r="B176" s="1506">
        <f t="shared" si="8"/>
        <v>92</v>
      </c>
      <c r="C176" s="1498">
        <v>0.26250000000000001</v>
      </c>
      <c r="D176" s="1498">
        <v>0.76111111111111107</v>
      </c>
      <c r="E176" s="1499">
        <f t="shared" si="9"/>
        <v>0.49861111111111106</v>
      </c>
      <c r="F176" s="1500">
        <f>WEEKNUM(Luz_Natural[[#This Row],[Fecha Sem]])</f>
        <v>14</v>
      </c>
    </row>
    <row r="177" spans="1:6" x14ac:dyDescent="0.25">
      <c r="A177" s="1493" t="s">
        <v>505</v>
      </c>
      <c r="B177" s="1506">
        <f t="shared" si="8"/>
        <v>99</v>
      </c>
      <c r="C177" s="1498">
        <v>0.26250000000000001</v>
      </c>
      <c r="D177" s="1498">
        <v>0.75902777777777775</v>
      </c>
      <c r="E177" s="1499">
        <f t="shared" si="9"/>
        <v>0.49652777777777773</v>
      </c>
      <c r="F177" s="1500">
        <f>WEEKNUM(Luz_Natural[[#This Row],[Fecha Sem]])</f>
        <v>15</v>
      </c>
    </row>
    <row r="178" spans="1:6" x14ac:dyDescent="0.25">
      <c r="A178" s="1493" t="s">
        <v>505</v>
      </c>
      <c r="B178" s="1506">
        <f t="shared" si="8"/>
        <v>106</v>
      </c>
      <c r="C178" s="1498">
        <v>0.26250000000000001</v>
      </c>
      <c r="D178" s="1498">
        <v>0.75694444444444442</v>
      </c>
      <c r="E178" s="1499">
        <f t="shared" si="9"/>
        <v>0.49444444444444441</v>
      </c>
      <c r="F178" s="1500">
        <f>WEEKNUM(Luz_Natural[[#This Row],[Fecha Sem]])</f>
        <v>16</v>
      </c>
    </row>
    <row r="179" spans="1:6" x14ac:dyDescent="0.25">
      <c r="A179" s="1493" t="s">
        <v>505</v>
      </c>
      <c r="B179" s="1506">
        <f t="shared" si="8"/>
        <v>113</v>
      </c>
      <c r="C179" s="1498">
        <v>0.26250000000000001</v>
      </c>
      <c r="D179" s="1498">
        <v>0.75555555555555554</v>
      </c>
      <c r="E179" s="1499">
        <f t="shared" si="9"/>
        <v>0.49305555555555552</v>
      </c>
      <c r="F179" s="1500">
        <f>WEEKNUM(Luz_Natural[[#This Row],[Fecha Sem]])</f>
        <v>17</v>
      </c>
    </row>
    <row r="180" spans="1:6" x14ac:dyDescent="0.25">
      <c r="A180" s="1493" t="s">
        <v>505</v>
      </c>
      <c r="B180" s="1506">
        <f t="shared" si="8"/>
        <v>120</v>
      </c>
      <c r="C180" s="1498">
        <v>0.26250000000000001</v>
      </c>
      <c r="D180" s="1498">
        <v>0.75416666666666665</v>
      </c>
      <c r="E180" s="1499">
        <f t="shared" si="9"/>
        <v>0.49166666666666664</v>
      </c>
      <c r="F180" s="1500">
        <f>WEEKNUM(Luz_Natural[[#This Row],[Fecha Sem]])</f>
        <v>18</v>
      </c>
    </row>
    <row r="181" spans="1:6" x14ac:dyDescent="0.25">
      <c r="A181" s="1493" t="s">
        <v>505</v>
      </c>
      <c r="B181" s="1506">
        <f t="shared" si="8"/>
        <v>127</v>
      </c>
      <c r="C181" s="1498">
        <v>0.26319444444444445</v>
      </c>
      <c r="D181" s="1498">
        <v>0.75277777777777777</v>
      </c>
      <c r="E181" s="1499">
        <f t="shared" si="9"/>
        <v>0.48958333333333331</v>
      </c>
      <c r="F181" s="1500">
        <f>WEEKNUM(Luz_Natural[[#This Row],[Fecha Sem]])</f>
        <v>19</v>
      </c>
    </row>
    <row r="182" spans="1:6" x14ac:dyDescent="0.25">
      <c r="A182" s="1493" t="s">
        <v>505</v>
      </c>
      <c r="B182" s="1506">
        <f t="shared" si="8"/>
        <v>134</v>
      </c>
      <c r="C182" s="1498">
        <v>0.2638888888888889</v>
      </c>
      <c r="D182" s="1498">
        <v>0.75277777777777777</v>
      </c>
      <c r="E182" s="1499">
        <f t="shared" si="9"/>
        <v>0.48888888888888887</v>
      </c>
      <c r="F182" s="1500">
        <f>WEEKNUM(Luz_Natural[[#This Row],[Fecha Sem]])</f>
        <v>20</v>
      </c>
    </row>
    <row r="183" spans="1:6" x14ac:dyDescent="0.25">
      <c r="A183" s="1493" t="s">
        <v>505</v>
      </c>
      <c r="B183" s="1506">
        <f t="shared" si="8"/>
        <v>141</v>
      </c>
      <c r="C183" s="1498">
        <v>0.26527777777777778</v>
      </c>
      <c r="D183" s="1498">
        <v>0.75277777777777777</v>
      </c>
      <c r="E183" s="1499">
        <f t="shared" si="9"/>
        <v>0.48749999999999999</v>
      </c>
      <c r="F183" s="1500">
        <f>WEEKNUM(Luz_Natural[[#This Row],[Fecha Sem]])</f>
        <v>21</v>
      </c>
    </row>
    <row r="184" spans="1:6" x14ac:dyDescent="0.25">
      <c r="A184" s="1493" t="s">
        <v>505</v>
      </c>
      <c r="B184" s="1506">
        <f t="shared" si="8"/>
        <v>148</v>
      </c>
      <c r="C184" s="1498">
        <v>0.26666666666666666</v>
      </c>
      <c r="D184" s="1498">
        <v>0.75277777777777777</v>
      </c>
      <c r="E184" s="1499">
        <f t="shared" si="9"/>
        <v>0.4861111111111111</v>
      </c>
      <c r="F184" s="1500">
        <f>WEEKNUM(Luz_Natural[[#This Row],[Fecha Sem]])</f>
        <v>22</v>
      </c>
    </row>
    <row r="185" spans="1:6" x14ac:dyDescent="0.25">
      <c r="A185" s="1493" t="s">
        <v>505</v>
      </c>
      <c r="B185" s="1506">
        <f t="shared" si="8"/>
        <v>155</v>
      </c>
      <c r="C185" s="1498">
        <v>0.2673611111111111</v>
      </c>
      <c r="D185" s="1498">
        <v>0.75347222222222221</v>
      </c>
      <c r="E185" s="1499">
        <f t="shared" si="9"/>
        <v>0.4861111111111111</v>
      </c>
      <c r="F185" s="1500">
        <f>WEEKNUM(Luz_Natural[[#This Row],[Fecha Sem]])</f>
        <v>23</v>
      </c>
    </row>
    <row r="186" spans="1:6" x14ac:dyDescent="0.25">
      <c r="A186" s="1493" t="s">
        <v>505</v>
      </c>
      <c r="B186" s="1506">
        <f t="shared" si="8"/>
        <v>162</v>
      </c>
      <c r="C186" s="1498">
        <v>0.26874999999999999</v>
      </c>
      <c r="D186" s="1498">
        <v>0.75416666666666665</v>
      </c>
      <c r="E186" s="1499">
        <f t="shared" si="9"/>
        <v>0.48541666666666666</v>
      </c>
      <c r="F186" s="1500">
        <f>WEEKNUM(Luz_Natural[[#This Row],[Fecha Sem]])</f>
        <v>24</v>
      </c>
    </row>
    <row r="187" spans="1:6" x14ac:dyDescent="0.25">
      <c r="A187" s="1493" t="s">
        <v>505</v>
      </c>
      <c r="B187" s="1506">
        <f t="shared" si="8"/>
        <v>169</v>
      </c>
      <c r="C187" s="1498">
        <v>0.27013888888888887</v>
      </c>
      <c r="D187" s="1498">
        <v>0.75555555555555554</v>
      </c>
      <c r="E187" s="1499">
        <f t="shared" si="9"/>
        <v>0.48541666666666666</v>
      </c>
      <c r="F187" s="1500">
        <f>WEEKNUM(Luz_Natural[[#This Row],[Fecha Sem]])</f>
        <v>25</v>
      </c>
    </row>
    <row r="188" spans="1:6" x14ac:dyDescent="0.25">
      <c r="A188" s="1493" t="s">
        <v>505</v>
      </c>
      <c r="B188" s="1506">
        <f t="shared" si="8"/>
        <v>176</v>
      </c>
      <c r="C188" s="1498">
        <v>0.27083333333333331</v>
      </c>
      <c r="D188" s="1498">
        <v>0.75624999999999998</v>
      </c>
      <c r="E188" s="1499">
        <f t="shared" si="9"/>
        <v>0.48541666666666666</v>
      </c>
      <c r="F188" s="1500">
        <f>WEEKNUM(Luz_Natural[[#This Row],[Fecha Sem]])</f>
        <v>26</v>
      </c>
    </row>
    <row r="189" spans="1:6" x14ac:dyDescent="0.25">
      <c r="A189" s="1493" t="s">
        <v>505</v>
      </c>
      <c r="B189" s="1506">
        <f t="shared" si="8"/>
        <v>183</v>
      </c>
      <c r="C189" s="1498">
        <v>0.27083333333333331</v>
      </c>
      <c r="D189" s="1498">
        <v>0.75763888888888886</v>
      </c>
      <c r="E189" s="1499">
        <f t="shared" si="9"/>
        <v>0.48680555555555555</v>
      </c>
      <c r="F189" s="1500">
        <f>WEEKNUM(Luz_Natural[[#This Row],[Fecha Sem]])</f>
        <v>27</v>
      </c>
    </row>
    <row r="190" spans="1:6" x14ac:dyDescent="0.25">
      <c r="A190" s="1493" t="s">
        <v>505</v>
      </c>
      <c r="B190" s="1506">
        <f t="shared" si="8"/>
        <v>190</v>
      </c>
      <c r="C190" s="1498">
        <v>0.27152777777777776</v>
      </c>
      <c r="D190" s="1498">
        <v>0.7583333333333333</v>
      </c>
      <c r="E190" s="1499">
        <f t="shared" si="9"/>
        <v>0.48680555555555555</v>
      </c>
      <c r="F190" s="1500">
        <f>WEEKNUM(Luz_Natural[[#This Row],[Fecha Sem]])</f>
        <v>28</v>
      </c>
    </row>
    <row r="191" spans="1:6" x14ac:dyDescent="0.25">
      <c r="A191" s="1493" t="s">
        <v>505</v>
      </c>
      <c r="B191" s="1506">
        <f t="shared" si="8"/>
        <v>197</v>
      </c>
      <c r="C191" s="1498">
        <v>0.27083333333333331</v>
      </c>
      <c r="D191" s="1498">
        <v>0.75972222222222219</v>
      </c>
      <c r="E191" s="1499">
        <f t="shared" si="9"/>
        <v>0.48888888888888887</v>
      </c>
      <c r="F191" s="1500">
        <f>WEEKNUM(Luz_Natural[[#This Row],[Fecha Sem]])</f>
        <v>29</v>
      </c>
    </row>
    <row r="192" spans="1:6" x14ac:dyDescent="0.25">
      <c r="A192" s="1493" t="s">
        <v>505</v>
      </c>
      <c r="B192" s="1506">
        <f t="shared" si="8"/>
        <v>204</v>
      </c>
      <c r="C192" s="1498">
        <v>0.27013888888888887</v>
      </c>
      <c r="D192" s="1498">
        <v>0.76041666666666663</v>
      </c>
      <c r="E192" s="1499">
        <f t="shared" si="9"/>
        <v>0.49027777777777776</v>
      </c>
      <c r="F192" s="1500">
        <f>WEEKNUM(Luz_Natural[[#This Row],[Fecha Sem]])</f>
        <v>30</v>
      </c>
    </row>
    <row r="193" spans="1:6" x14ac:dyDescent="0.25">
      <c r="A193" s="1493" t="s">
        <v>505</v>
      </c>
      <c r="B193" s="1506">
        <f t="shared" si="8"/>
        <v>211</v>
      </c>
      <c r="C193" s="1498">
        <v>0.26944444444444443</v>
      </c>
      <c r="D193" s="1498">
        <v>0.76041666666666663</v>
      </c>
      <c r="E193" s="1499">
        <f t="shared" si="9"/>
        <v>0.4909722222222222</v>
      </c>
      <c r="F193" s="1500">
        <f>WEEKNUM(Luz_Natural[[#This Row],[Fecha Sem]])</f>
        <v>31</v>
      </c>
    </row>
    <row r="194" spans="1:6" x14ac:dyDescent="0.25">
      <c r="A194" s="1493" t="s">
        <v>505</v>
      </c>
      <c r="B194" s="1506">
        <f t="shared" si="8"/>
        <v>218</v>
      </c>
      <c r="C194" s="1498">
        <v>0.26805555555555555</v>
      </c>
      <c r="D194" s="1498">
        <v>0.76041666666666663</v>
      </c>
      <c r="E194" s="1499">
        <f t="shared" si="9"/>
        <v>0.49236111111111108</v>
      </c>
      <c r="F194" s="1500">
        <f>WEEKNUM(Luz_Natural[[#This Row],[Fecha Sem]])</f>
        <v>32</v>
      </c>
    </row>
    <row r="195" spans="1:6" x14ac:dyDescent="0.25">
      <c r="A195" s="1493" t="s">
        <v>505</v>
      </c>
      <c r="B195" s="1506">
        <f t="shared" si="8"/>
        <v>225</v>
      </c>
      <c r="C195" s="1498">
        <v>0.26597222222222222</v>
      </c>
      <c r="D195" s="1498">
        <v>0.76041666666666663</v>
      </c>
      <c r="E195" s="1499">
        <f t="shared" si="9"/>
        <v>0.49444444444444441</v>
      </c>
      <c r="F195" s="1500">
        <f>WEEKNUM(Luz_Natural[[#This Row],[Fecha Sem]])</f>
        <v>33</v>
      </c>
    </row>
    <row r="196" spans="1:6" x14ac:dyDescent="0.25">
      <c r="A196" s="1493" t="s">
        <v>505</v>
      </c>
      <c r="B196" s="1506">
        <f t="shared" si="8"/>
        <v>232</v>
      </c>
      <c r="C196" s="1498">
        <v>0.2638888888888889</v>
      </c>
      <c r="D196" s="1498">
        <v>0.76041666666666663</v>
      </c>
      <c r="E196" s="1499">
        <f t="shared" si="9"/>
        <v>0.49652777777777773</v>
      </c>
      <c r="F196" s="1500">
        <f>WEEKNUM(Luz_Natural[[#This Row],[Fecha Sem]])</f>
        <v>34</v>
      </c>
    </row>
    <row r="197" spans="1:6" x14ac:dyDescent="0.25">
      <c r="A197" s="1493" t="s">
        <v>505</v>
      </c>
      <c r="B197" s="1506">
        <f t="shared" si="8"/>
        <v>239</v>
      </c>
      <c r="C197" s="1498">
        <v>0.26111111111111113</v>
      </c>
      <c r="D197" s="1498">
        <v>0.75972222222222219</v>
      </c>
      <c r="E197" s="1499">
        <f t="shared" si="9"/>
        <v>0.49861111111111106</v>
      </c>
      <c r="F197" s="1500">
        <f>WEEKNUM(Luz_Natural[[#This Row],[Fecha Sem]])</f>
        <v>35</v>
      </c>
    </row>
    <row r="198" spans="1:6" x14ac:dyDescent="0.25">
      <c r="A198" s="1493" t="s">
        <v>505</v>
      </c>
      <c r="B198" s="1506">
        <f t="shared" si="8"/>
        <v>246</v>
      </c>
      <c r="C198" s="1498">
        <v>0.25833333333333336</v>
      </c>
      <c r="D198" s="1498">
        <v>0.75902777777777775</v>
      </c>
      <c r="E198" s="1499">
        <f t="shared" si="9"/>
        <v>0.50069444444444433</v>
      </c>
      <c r="F198" s="1500">
        <f>WEEKNUM(Luz_Natural[[#This Row],[Fecha Sem]])</f>
        <v>36</v>
      </c>
    </row>
    <row r="199" spans="1:6" x14ac:dyDescent="0.25">
      <c r="A199" s="1493" t="s">
        <v>505</v>
      </c>
      <c r="B199" s="1506">
        <f t="shared" si="8"/>
        <v>253</v>
      </c>
      <c r="C199" s="1498">
        <v>0.25555555555555554</v>
      </c>
      <c r="D199" s="1498">
        <v>0.7583333333333333</v>
      </c>
      <c r="E199" s="1499">
        <f t="shared" si="9"/>
        <v>0.50277777777777777</v>
      </c>
      <c r="F199" s="1500">
        <f>WEEKNUM(Luz_Natural[[#This Row],[Fecha Sem]])</f>
        <v>37</v>
      </c>
    </row>
    <row r="200" spans="1:6" x14ac:dyDescent="0.25">
      <c r="A200" s="1493" t="s">
        <v>505</v>
      </c>
      <c r="B200" s="1506">
        <f t="shared" si="8"/>
        <v>260</v>
      </c>
      <c r="C200" s="1498">
        <v>0.25277777777777777</v>
      </c>
      <c r="D200" s="1498">
        <v>0.75763888888888886</v>
      </c>
      <c r="E200" s="1499">
        <f t="shared" si="9"/>
        <v>0.50486111111111109</v>
      </c>
      <c r="F200" s="1500">
        <f>WEEKNUM(Luz_Natural[[#This Row],[Fecha Sem]])</f>
        <v>38</v>
      </c>
    </row>
    <row r="201" spans="1:6" x14ac:dyDescent="0.25">
      <c r="A201" s="1493" t="s">
        <v>505</v>
      </c>
      <c r="B201" s="1506">
        <f t="shared" si="8"/>
        <v>267</v>
      </c>
      <c r="C201" s="1498">
        <v>0.25</v>
      </c>
      <c r="D201" s="1498">
        <v>0.75694444444444442</v>
      </c>
      <c r="E201" s="1499">
        <f t="shared" si="9"/>
        <v>0.50694444444444442</v>
      </c>
      <c r="F201" s="1500">
        <f>WEEKNUM(Luz_Natural[[#This Row],[Fecha Sem]])</f>
        <v>39</v>
      </c>
    </row>
    <row r="202" spans="1:6" x14ac:dyDescent="0.25">
      <c r="A202" s="1493" t="s">
        <v>505</v>
      </c>
      <c r="B202" s="1506">
        <f t="shared" si="8"/>
        <v>274</v>
      </c>
      <c r="C202" s="1498">
        <v>0.24791666666666667</v>
      </c>
      <c r="D202" s="1498">
        <v>0.75694444444444442</v>
      </c>
      <c r="E202" s="1499">
        <f t="shared" si="9"/>
        <v>0.50902777777777775</v>
      </c>
      <c r="F202" s="1500">
        <f>WEEKNUM(Luz_Natural[[#This Row],[Fecha Sem]])</f>
        <v>40</v>
      </c>
    </row>
    <row r="203" spans="1:6" x14ac:dyDescent="0.25">
      <c r="A203" s="1493" t="s">
        <v>505</v>
      </c>
      <c r="B203" s="1506">
        <f t="shared" si="8"/>
        <v>281</v>
      </c>
      <c r="C203" s="1498">
        <v>0.24513888888888888</v>
      </c>
      <c r="D203" s="1498">
        <v>0.75694444444444442</v>
      </c>
      <c r="E203" s="1499">
        <f t="shared" si="9"/>
        <v>0.51180555555555551</v>
      </c>
      <c r="F203" s="1500">
        <f>WEEKNUM(Luz_Natural[[#This Row],[Fecha Sem]])</f>
        <v>41</v>
      </c>
    </row>
    <row r="204" spans="1:6" x14ac:dyDescent="0.25">
      <c r="A204" s="1493" t="s">
        <v>505</v>
      </c>
      <c r="B204" s="1506">
        <f t="shared" si="8"/>
        <v>288</v>
      </c>
      <c r="C204" s="1498">
        <v>0.24305555555555555</v>
      </c>
      <c r="D204" s="1498">
        <v>0.75694444444444442</v>
      </c>
      <c r="E204" s="1499">
        <f t="shared" si="9"/>
        <v>0.51388888888888884</v>
      </c>
      <c r="F204" s="1500">
        <f>WEEKNUM(Luz_Natural[[#This Row],[Fecha Sem]])</f>
        <v>42</v>
      </c>
    </row>
    <row r="205" spans="1:6" x14ac:dyDescent="0.25">
      <c r="A205" s="1493" t="s">
        <v>505</v>
      </c>
      <c r="B205" s="1506">
        <f t="shared" si="8"/>
        <v>295</v>
      </c>
      <c r="C205" s="1498">
        <v>0.24166666666666667</v>
      </c>
      <c r="D205" s="1498">
        <v>0.75694444444444442</v>
      </c>
      <c r="E205" s="1499">
        <f t="shared" si="9"/>
        <v>0.51527777777777772</v>
      </c>
      <c r="F205" s="1500">
        <f>WEEKNUM(Luz_Natural[[#This Row],[Fecha Sem]])</f>
        <v>43</v>
      </c>
    </row>
    <row r="206" spans="1:6" x14ac:dyDescent="0.25">
      <c r="A206" s="1493" t="s">
        <v>505</v>
      </c>
      <c r="B206" s="1506">
        <f t="shared" si="8"/>
        <v>302</v>
      </c>
      <c r="C206" s="1498">
        <v>0.24027777777777778</v>
      </c>
      <c r="D206" s="1498">
        <v>0.7583333333333333</v>
      </c>
      <c r="E206" s="1499">
        <f t="shared" si="9"/>
        <v>0.51805555555555549</v>
      </c>
      <c r="F206" s="1500">
        <f>WEEKNUM(Luz_Natural[[#This Row],[Fecha Sem]])</f>
        <v>44</v>
      </c>
    </row>
    <row r="207" spans="1:6" x14ac:dyDescent="0.25">
      <c r="A207" s="1493" t="s">
        <v>505</v>
      </c>
      <c r="B207" s="1506">
        <f t="shared" si="8"/>
        <v>309</v>
      </c>
      <c r="C207" s="1498">
        <v>0.24027777777777778</v>
      </c>
      <c r="D207" s="1498">
        <v>0.75972222222222219</v>
      </c>
      <c r="E207" s="1499">
        <f t="shared" si="9"/>
        <v>0.51944444444444438</v>
      </c>
      <c r="F207" s="1500">
        <f>WEEKNUM(Luz_Natural[[#This Row],[Fecha Sem]])</f>
        <v>45</v>
      </c>
    </row>
    <row r="208" spans="1:6" x14ac:dyDescent="0.25">
      <c r="A208" s="1493" t="s">
        <v>505</v>
      </c>
      <c r="B208" s="1506">
        <f t="shared" si="8"/>
        <v>316</v>
      </c>
      <c r="C208" s="1498">
        <v>0.24027777777777778</v>
      </c>
      <c r="D208" s="1498">
        <v>0.76111111111111107</v>
      </c>
      <c r="E208" s="1499">
        <f t="shared" si="9"/>
        <v>0.52083333333333326</v>
      </c>
      <c r="F208" s="1500">
        <f>WEEKNUM(Luz_Natural[[#This Row],[Fecha Sem]])</f>
        <v>46</v>
      </c>
    </row>
    <row r="209" spans="1:6" x14ac:dyDescent="0.25">
      <c r="A209" s="1493" t="s">
        <v>505</v>
      </c>
      <c r="B209" s="1506">
        <f t="shared" si="8"/>
        <v>323</v>
      </c>
      <c r="C209" s="1498">
        <v>0.24097222222222223</v>
      </c>
      <c r="D209" s="1498">
        <v>0.7631944444444444</v>
      </c>
      <c r="E209" s="1499">
        <f t="shared" si="9"/>
        <v>0.52222222222222214</v>
      </c>
      <c r="F209" s="1500">
        <f>WEEKNUM(Luz_Natural[[#This Row],[Fecha Sem]])</f>
        <v>47</v>
      </c>
    </row>
    <row r="210" spans="1:6" x14ac:dyDescent="0.25">
      <c r="A210" s="1493" t="s">
        <v>505</v>
      </c>
      <c r="B210" s="1506">
        <f t="shared" si="8"/>
        <v>330</v>
      </c>
      <c r="C210" s="1498">
        <v>0.24166666666666667</v>
      </c>
      <c r="D210" s="1498">
        <v>0.76527777777777772</v>
      </c>
      <c r="E210" s="1499">
        <f t="shared" si="9"/>
        <v>0.52361111111111103</v>
      </c>
      <c r="F210" s="1500">
        <f>WEEKNUM(Luz_Natural[[#This Row],[Fecha Sem]])</f>
        <v>48</v>
      </c>
    </row>
    <row r="211" spans="1:6" x14ac:dyDescent="0.25">
      <c r="A211" s="1493" t="s">
        <v>505</v>
      </c>
      <c r="B211" s="1506">
        <f t="shared" si="8"/>
        <v>337</v>
      </c>
      <c r="C211" s="1498">
        <v>0.24374999999999999</v>
      </c>
      <c r="D211" s="1498">
        <v>0.7680555555555556</v>
      </c>
      <c r="E211" s="1499">
        <f t="shared" si="9"/>
        <v>0.52430555555555558</v>
      </c>
      <c r="F211" s="1500">
        <f>WEEKNUM(Luz_Natural[[#This Row],[Fecha Sem]])</f>
        <v>49</v>
      </c>
    </row>
    <row r="212" spans="1:6" x14ac:dyDescent="0.25">
      <c r="A212" s="1493" t="s">
        <v>505</v>
      </c>
      <c r="B212" s="1506">
        <f t="shared" si="8"/>
        <v>344</v>
      </c>
      <c r="C212" s="1498">
        <v>0.24583333333333332</v>
      </c>
      <c r="D212" s="1498">
        <v>0.77013888888888893</v>
      </c>
      <c r="E212" s="1499">
        <f t="shared" si="9"/>
        <v>0.52430555555555558</v>
      </c>
      <c r="F212" s="1500">
        <f>WEEKNUM(Luz_Natural[[#This Row],[Fecha Sem]])</f>
        <v>50</v>
      </c>
    </row>
    <row r="213" spans="1:6" x14ac:dyDescent="0.25">
      <c r="A213" s="1493" t="s">
        <v>505</v>
      </c>
      <c r="B213" s="1506">
        <f t="shared" si="8"/>
        <v>351</v>
      </c>
      <c r="C213" s="1498">
        <v>0.24791666666666667</v>
      </c>
      <c r="D213" s="1498">
        <v>0.7729166666666667</v>
      </c>
      <c r="E213" s="1499">
        <f t="shared" si="9"/>
        <v>0.52500000000000002</v>
      </c>
      <c r="F213" s="1500">
        <f>WEEKNUM(Luz_Natural[[#This Row],[Fecha Sem]])</f>
        <v>51</v>
      </c>
    </row>
    <row r="214" spans="1:6" x14ac:dyDescent="0.25">
      <c r="A214" s="1493" t="s">
        <v>505</v>
      </c>
      <c r="B214" s="1506">
        <f t="shared" si="8"/>
        <v>358</v>
      </c>
      <c r="C214" s="1498">
        <v>0.25069444444444444</v>
      </c>
      <c r="D214" s="1498">
        <v>0.77500000000000002</v>
      </c>
      <c r="E214" s="1499">
        <f t="shared" si="9"/>
        <v>0.52430555555555558</v>
      </c>
      <c r="F214" s="1500">
        <f>WEEKNUM(Luz_Natural[[#This Row],[Fecha Sem]])</f>
        <v>52</v>
      </c>
    </row>
    <row r="215" spans="1:6" x14ac:dyDescent="0.25">
      <c r="A215" s="1493" t="s">
        <v>505</v>
      </c>
      <c r="B215" s="1506">
        <f t="shared" si="8"/>
        <v>365</v>
      </c>
      <c r="C215" s="1498">
        <v>0.25277777777777777</v>
      </c>
      <c r="D215" s="1498">
        <v>0.77708333333333335</v>
      </c>
      <c r="E215" s="1499">
        <f t="shared" si="9"/>
        <v>0.52430555555555558</v>
      </c>
      <c r="F215" s="1500">
        <f>WEEKNUM(Luz_Natural[[#This Row],[Fecha Sem]])</f>
        <v>53</v>
      </c>
    </row>
  </sheetData>
  <sheetProtection algorithmName="SHA-512" hashValue="nGc7Zk+k/9o4J4RPyVVTJ9x6flK0zzDfbEKZyxySFd1sKfdOqpt0eYzxCrEAAA7ZsRfVo8/PPELM5rIEdAPUsg==" saltValue="5otFdmBnKIrlJ/DwVVu0Aw==" spinCount="100000" sheet="1" objects="1" scenarios="1"/>
  <mergeCells count="1">
    <mergeCell ref="B1:F1"/>
  </mergeCell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4B6E-415E-46B4-9230-5845AAEE1145}">
  <sheetPr codeName="Hoja3"/>
  <dimension ref="A1:CJ211"/>
  <sheetViews>
    <sheetView showGridLines="0" showRowColHeaders="0" topLeftCell="A3" workbookViewId="0">
      <pane xSplit="1" ySplit="3" topLeftCell="B6" activePane="bottomRight" state="frozen"/>
      <selection activeCell="A3" sqref="A3"/>
      <selection pane="topRight" activeCell="B3" sqref="B3"/>
      <selection pane="bottomLeft" activeCell="A6" sqref="A6"/>
      <selection pane="bottomRight" activeCell="B6" sqref="B6"/>
    </sheetView>
  </sheetViews>
  <sheetFormatPr baseColWidth="10" defaultRowHeight="17.25" x14ac:dyDescent="0.3"/>
  <cols>
    <col min="1" max="1" width="8.75" style="30" customWidth="1"/>
    <col min="2" max="73" width="8" style="30" customWidth="1"/>
    <col min="74" max="74" width="3.625" customWidth="1"/>
    <col min="75" max="75" width="2.875" style="1" customWidth="1"/>
    <col min="76" max="88" width="8.125" customWidth="1"/>
  </cols>
  <sheetData>
    <row r="1" spans="1:88" hidden="1" x14ac:dyDescent="0.3">
      <c r="A1" s="1109"/>
      <c r="B1" s="1109"/>
      <c r="C1" s="1109"/>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09"/>
      <c r="AJ1" s="1109"/>
      <c r="AK1" s="1109"/>
      <c r="AL1" s="1109"/>
      <c r="AM1" s="1109"/>
      <c r="AN1" s="1109"/>
      <c r="AO1" s="1109"/>
      <c r="AP1" s="1109"/>
      <c r="AQ1" s="1109"/>
      <c r="AR1" s="1109"/>
      <c r="AS1" s="1109"/>
      <c r="AT1" s="1109"/>
      <c r="AU1" s="1109"/>
      <c r="AV1" s="1109"/>
      <c r="AW1" s="1109"/>
      <c r="AX1" s="1109"/>
      <c r="AY1" s="1109"/>
      <c r="AZ1" s="1109"/>
      <c r="BA1" s="1109"/>
      <c r="BB1" s="1109"/>
      <c r="BC1" s="1109"/>
      <c r="BD1" s="1109"/>
      <c r="BE1" s="1109"/>
      <c r="BF1" s="1109"/>
      <c r="BG1" s="1109"/>
      <c r="BH1" s="1109"/>
      <c r="BI1" s="1109"/>
      <c r="BJ1" s="1109"/>
      <c r="BK1" s="1109"/>
      <c r="BL1" s="1109"/>
      <c r="BM1" s="1109"/>
      <c r="BN1" s="1109"/>
      <c r="BO1" s="1109"/>
      <c r="BP1" s="1109"/>
      <c r="BQ1" s="1109"/>
      <c r="BR1" s="1109"/>
      <c r="BS1" s="1109"/>
      <c r="BT1" s="1109"/>
      <c r="BU1" s="1109"/>
    </row>
    <row r="2" spans="1:88" hidden="1" x14ac:dyDescent="0.3">
      <c r="A2" s="1109"/>
      <c r="B2" s="1109"/>
      <c r="C2" s="1109"/>
      <c r="D2" s="1109"/>
      <c r="E2" s="1109"/>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1109"/>
      <c r="AZ2" s="1109"/>
      <c r="BA2" s="1109"/>
      <c r="BB2" s="1109"/>
      <c r="BC2" s="1109"/>
      <c r="BD2" s="1109"/>
      <c r="BE2" s="1109"/>
      <c r="BF2" s="1109"/>
      <c r="BG2" s="1109"/>
      <c r="BH2" s="1109"/>
      <c r="BI2" s="1109"/>
      <c r="BJ2" s="1109"/>
      <c r="BK2" s="1109"/>
      <c r="BL2" s="1109"/>
      <c r="BM2" s="1109"/>
      <c r="BN2" s="1109"/>
      <c r="BO2" s="1109"/>
      <c r="BP2" s="1109"/>
      <c r="BQ2" s="1109"/>
      <c r="BR2" s="1109"/>
      <c r="BS2" s="1109"/>
      <c r="BT2" s="1109"/>
      <c r="BU2" s="1109"/>
    </row>
    <row r="3" spans="1:88" x14ac:dyDescent="0.3">
      <c r="A3" s="1109"/>
      <c r="B3" s="1774" t="str">
        <f>Var!$I$2</f>
        <v>Azur</v>
      </c>
      <c r="C3" s="1774"/>
      <c r="D3" s="1774"/>
      <c r="E3" s="1774"/>
      <c r="F3" s="1774"/>
      <c r="G3" s="1774"/>
      <c r="H3" s="1774" t="str">
        <f>Var!$I$3</f>
        <v>Babcock Brown</v>
      </c>
      <c r="I3" s="1774"/>
      <c r="J3" s="1774"/>
      <c r="K3" s="1774"/>
      <c r="L3" s="1774"/>
      <c r="M3" s="1774"/>
      <c r="N3" s="1774" t="str">
        <f>Var!$I$4</f>
        <v>Bovans Black</v>
      </c>
      <c r="O3" s="1774"/>
      <c r="P3" s="1774"/>
      <c r="Q3" s="1774"/>
      <c r="R3" s="1774"/>
      <c r="S3" s="1774"/>
      <c r="T3" s="1774" t="str">
        <f>Var!$I$5</f>
        <v>Bovans Brown</v>
      </c>
      <c r="U3" s="1774"/>
      <c r="V3" s="1774"/>
      <c r="W3" s="1774"/>
      <c r="X3" s="1774"/>
      <c r="Y3" s="1774"/>
      <c r="Z3" s="1774" t="str">
        <f>Var!$I$6</f>
        <v>Bovans White</v>
      </c>
      <c r="AA3" s="1774"/>
      <c r="AB3" s="1774"/>
      <c r="AC3" s="1774"/>
      <c r="AD3" s="1774"/>
      <c r="AE3" s="1774"/>
      <c r="AF3" s="1774" t="str">
        <f>Var!$I$7</f>
        <v>H&amp;N Brown</v>
      </c>
      <c r="AG3" s="1774"/>
      <c r="AH3" s="1774"/>
      <c r="AI3" s="1774"/>
      <c r="AJ3" s="1774"/>
      <c r="AK3" s="1774"/>
      <c r="AL3" s="1774" t="str">
        <f>Var!$I$8</f>
        <v>Hy Line Brown</v>
      </c>
      <c r="AM3" s="1774"/>
      <c r="AN3" s="1774"/>
      <c r="AO3" s="1774"/>
      <c r="AP3" s="1774"/>
      <c r="AQ3" s="1774"/>
      <c r="AR3" s="1774" t="str">
        <f>Var!$I$9</f>
        <v>Hy Line W-80</v>
      </c>
      <c r="AS3" s="1774"/>
      <c r="AT3" s="1774"/>
      <c r="AU3" s="1774"/>
      <c r="AV3" s="1774"/>
      <c r="AW3" s="1774"/>
      <c r="AX3" s="1774" t="str">
        <f>Var!$I$10</f>
        <v>Isa Brown</v>
      </c>
      <c r="AY3" s="1774"/>
      <c r="AZ3" s="1774"/>
      <c r="BA3" s="1774"/>
      <c r="BB3" s="1774"/>
      <c r="BC3" s="1774"/>
      <c r="BD3" s="1774" t="str">
        <f>Var!$I$11</f>
        <v>Lohmann Brown</v>
      </c>
      <c r="BE3" s="1774"/>
      <c r="BF3" s="1774"/>
      <c r="BG3" s="1774"/>
      <c r="BH3" s="1774"/>
      <c r="BI3" s="1774"/>
      <c r="BJ3" s="1774" t="str">
        <f>Var!$I$12</f>
        <v>Lohmann LSL</v>
      </c>
      <c r="BK3" s="1774"/>
      <c r="BL3" s="1774"/>
      <c r="BM3" s="1774"/>
      <c r="BN3" s="1774"/>
      <c r="BO3" s="1774"/>
      <c r="BP3" s="1774" t="str">
        <f>Var!$I$13</f>
        <v>Novogen</v>
      </c>
      <c r="BQ3" s="1774"/>
      <c r="BR3" s="1774"/>
      <c r="BS3" s="1774"/>
      <c r="BT3" s="1774"/>
      <c r="BU3" s="1774"/>
    </row>
    <row r="4" spans="1:88" ht="14.25" thickBot="1" x14ac:dyDescent="0.3">
      <c r="A4" s="60"/>
      <c r="B4" s="1110"/>
      <c r="C4" s="1110"/>
      <c r="D4" s="1110"/>
      <c r="E4" s="1110"/>
      <c r="F4" s="111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43"/>
      <c r="BW4" s="43"/>
    </row>
    <row r="5" spans="1:88" ht="41.25" thickBot="1" x14ac:dyDescent="0.3">
      <c r="A5" s="1117" t="s">
        <v>129</v>
      </c>
      <c r="B5" s="1118" t="s">
        <v>455</v>
      </c>
      <c r="C5" s="1119" t="s">
        <v>456</v>
      </c>
      <c r="D5" s="1120" t="s">
        <v>457</v>
      </c>
      <c r="E5" s="1120" t="s">
        <v>458</v>
      </c>
      <c r="F5" s="1121" t="s">
        <v>459</v>
      </c>
      <c r="G5" s="1122" t="s">
        <v>460</v>
      </c>
      <c r="H5" s="1118" t="str">
        <f>$B$5</f>
        <v>Peso Min</v>
      </c>
      <c r="I5" s="1119" t="str">
        <f>$C$5</f>
        <v>Peso Max</v>
      </c>
      <c r="J5" s="1120" t="str">
        <f>$D$5</f>
        <v>Gr.A.D. TABLA Min</v>
      </c>
      <c r="K5" s="1120" t="str">
        <f>$E$5</f>
        <v>Gr.A.D. TABLA Máx</v>
      </c>
      <c r="L5" s="1121" t="str">
        <f>$F$5</f>
        <v>CONS AC TAB Min</v>
      </c>
      <c r="M5" s="1122" t="str">
        <f>$G$5</f>
        <v>CONS AC TAB Máx</v>
      </c>
      <c r="N5" s="1118" t="str">
        <f>$B$5</f>
        <v>Peso Min</v>
      </c>
      <c r="O5" s="1119" t="str">
        <f>$C$5</f>
        <v>Peso Max</v>
      </c>
      <c r="P5" s="1120" t="str">
        <f>$D$5</f>
        <v>Gr.A.D. TABLA Min</v>
      </c>
      <c r="Q5" s="1120" t="str">
        <f>$E$5</f>
        <v>Gr.A.D. TABLA Máx</v>
      </c>
      <c r="R5" s="1121" t="str">
        <f>$F$5</f>
        <v>CONS AC TAB Min</v>
      </c>
      <c r="S5" s="1122" t="str">
        <f>$G$5</f>
        <v>CONS AC TAB Máx</v>
      </c>
      <c r="T5" s="1118" t="str">
        <f>$B$5</f>
        <v>Peso Min</v>
      </c>
      <c r="U5" s="1119" t="str">
        <f>$C$5</f>
        <v>Peso Max</v>
      </c>
      <c r="V5" s="1120" t="str">
        <f>$D$5</f>
        <v>Gr.A.D. TABLA Min</v>
      </c>
      <c r="W5" s="1120" t="str">
        <f>$E$5</f>
        <v>Gr.A.D. TABLA Máx</v>
      </c>
      <c r="X5" s="1121" t="str">
        <f>$F$5</f>
        <v>CONS AC TAB Min</v>
      </c>
      <c r="Y5" s="1122" t="str">
        <f>$G$5</f>
        <v>CONS AC TAB Máx</v>
      </c>
      <c r="Z5" s="1118" t="str">
        <f>$B$5</f>
        <v>Peso Min</v>
      </c>
      <c r="AA5" s="1119" t="str">
        <f>$C$5</f>
        <v>Peso Max</v>
      </c>
      <c r="AB5" s="1120" t="str">
        <f>$D$5</f>
        <v>Gr.A.D. TABLA Min</v>
      </c>
      <c r="AC5" s="1120" t="str">
        <f>$E$5</f>
        <v>Gr.A.D. TABLA Máx</v>
      </c>
      <c r="AD5" s="1121" t="str">
        <f>$F$5</f>
        <v>CONS AC TAB Min</v>
      </c>
      <c r="AE5" s="1122" t="str">
        <f>$G$5</f>
        <v>CONS AC TAB Máx</v>
      </c>
      <c r="AF5" s="1118" t="str">
        <f>$B$5</f>
        <v>Peso Min</v>
      </c>
      <c r="AG5" s="1119" t="str">
        <f>$C$5</f>
        <v>Peso Max</v>
      </c>
      <c r="AH5" s="1120" t="str">
        <f>$D$5</f>
        <v>Gr.A.D. TABLA Min</v>
      </c>
      <c r="AI5" s="1120" t="str">
        <f>$E$5</f>
        <v>Gr.A.D. TABLA Máx</v>
      </c>
      <c r="AJ5" s="1121" t="str">
        <f>$F$5</f>
        <v>CONS AC TAB Min</v>
      </c>
      <c r="AK5" s="1122" t="str">
        <f>$G$5</f>
        <v>CONS AC TAB Máx</v>
      </c>
      <c r="AL5" s="1118" t="str">
        <f>$B$5</f>
        <v>Peso Min</v>
      </c>
      <c r="AM5" s="1119" t="str">
        <f>$C$5</f>
        <v>Peso Max</v>
      </c>
      <c r="AN5" s="1120" t="str">
        <f>$D$5</f>
        <v>Gr.A.D. TABLA Min</v>
      </c>
      <c r="AO5" s="1120" t="str">
        <f>$E$5</f>
        <v>Gr.A.D. TABLA Máx</v>
      </c>
      <c r="AP5" s="1121" t="str">
        <f>$F$5</f>
        <v>CONS AC TAB Min</v>
      </c>
      <c r="AQ5" s="1122" t="str">
        <f>$G$5</f>
        <v>CONS AC TAB Máx</v>
      </c>
      <c r="AR5" s="1118" t="str">
        <f>$B$5</f>
        <v>Peso Min</v>
      </c>
      <c r="AS5" s="1119" t="str">
        <f>$C$5</f>
        <v>Peso Max</v>
      </c>
      <c r="AT5" s="1120" t="str">
        <f>$D$5</f>
        <v>Gr.A.D. TABLA Min</v>
      </c>
      <c r="AU5" s="1120" t="str">
        <f>$E$5</f>
        <v>Gr.A.D. TABLA Máx</v>
      </c>
      <c r="AV5" s="1121" t="str">
        <f>$F$5</f>
        <v>CONS AC TAB Min</v>
      </c>
      <c r="AW5" s="1122" t="str">
        <f>$G$5</f>
        <v>CONS AC TAB Máx</v>
      </c>
      <c r="AX5" s="1118" t="str">
        <f>$B$5</f>
        <v>Peso Min</v>
      </c>
      <c r="AY5" s="1119" t="str">
        <f>$C$5</f>
        <v>Peso Max</v>
      </c>
      <c r="AZ5" s="1120" t="str">
        <f>$D$5</f>
        <v>Gr.A.D. TABLA Min</v>
      </c>
      <c r="BA5" s="1120" t="str">
        <f>$E$5</f>
        <v>Gr.A.D. TABLA Máx</v>
      </c>
      <c r="BB5" s="1121" t="str">
        <f>$F$5</f>
        <v>CONS AC TAB Min</v>
      </c>
      <c r="BC5" s="1122" t="str">
        <f>$G$5</f>
        <v>CONS AC TAB Máx</v>
      </c>
      <c r="BD5" s="1118" t="str">
        <f>$B$5</f>
        <v>Peso Min</v>
      </c>
      <c r="BE5" s="1119" t="str">
        <f>$C$5</f>
        <v>Peso Max</v>
      </c>
      <c r="BF5" s="1120" t="str">
        <f>$D$5</f>
        <v>Gr.A.D. TABLA Min</v>
      </c>
      <c r="BG5" s="1120" t="str">
        <f>$E$5</f>
        <v>Gr.A.D. TABLA Máx</v>
      </c>
      <c r="BH5" s="1121" t="str">
        <f>$F$5</f>
        <v>CONS AC TAB Min</v>
      </c>
      <c r="BI5" s="1122" t="str">
        <f>$G$5</f>
        <v>CONS AC TAB Máx</v>
      </c>
      <c r="BJ5" s="1118" t="str">
        <f>$B$5</f>
        <v>Peso Min</v>
      </c>
      <c r="BK5" s="1119" t="str">
        <f>$C$5</f>
        <v>Peso Max</v>
      </c>
      <c r="BL5" s="1120" t="str">
        <f>$D$5</f>
        <v>Gr.A.D. TABLA Min</v>
      </c>
      <c r="BM5" s="1120" t="str">
        <f>$E$5</f>
        <v>Gr.A.D. TABLA Máx</v>
      </c>
      <c r="BN5" s="1121" t="str">
        <f>$F$5</f>
        <v>CONS AC TAB Min</v>
      </c>
      <c r="BO5" s="1122" t="str">
        <f>$G$5</f>
        <v>CONS AC TAB Máx</v>
      </c>
      <c r="BP5" s="1118" t="str">
        <f>$B$5</f>
        <v>Peso Min</v>
      </c>
      <c r="BQ5" s="1119" t="str">
        <f>$C$5</f>
        <v>Peso Max</v>
      </c>
      <c r="BR5" s="1120" t="str">
        <f>$D$5</f>
        <v>Gr.A.D. TABLA Min</v>
      </c>
      <c r="BS5" s="1120" t="str">
        <f>$E$5</f>
        <v>Gr.A.D. TABLA Máx</v>
      </c>
      <c r="BT5" s="1121" t="str">
        <f>$F$5</f>
        <v>CONS AC TAB Min</v>
      </c>
      <c r="BU5" s="1122" t="str">
        <f>$G$5</f>
        <v>CONS AC TAB Máx</v>
      </c>
      <c r="BX5" s="1125" t="s">
        <v>261</v>
      </c>
      <c r="BY5" s="1126" t="str">
        <f>B3</f>
        <v>Azur</v>
      </c>
      <c r="BZ5" s="1126" t="str">
        <f>H3</f>
        <v>Babcock Brown</v>
      </c>
      <c r="CA5" s="1126" t="str">
        <f>N3</f>
        <v>Bovans Black</v>
      </c>
      <c r="CB5" s="1126" t="str">
        <f>T3</f>
        <v>Bovans Brown</v>
      </c>
      <c r="CC5" s="1126" t="str">
        <f>Z3</f>
        <v>Bovans White</v>
      </c>
      <c r="CD5" s="1126" t="str">
        <f>AF3</f>
        <v>H&amp;N Brown</v>
      </c>
      <c r="CE5" s="1126" t="str">
        <f>AL3</f>
        <v>Hy Line Brown</v>
      </c>
      <c r="CF5" s="1126" t="str">
        <f>AR3</f>
        <v>Hy Line W-80</v>
      </c>
      <c r="CG5" s="1126" t="str">
        <f>AX3</f>
        <v>Isa Brown</v>
      </c>
      <c r="CH5" s="1126" t="str">
        <f>BD3</f>
        <v>Lohmann Brown</v>
      </c>
      <c r="CI5" s="1126" t="str">
        <f>BJ3</f>
        <v>Lohmann LSL</v>
      </c>
      <c r="CJ5" s="1127" t="str">
        <f>BP3</f>
        <v>Novogen</v>
      </c>
    </row>
    <row r="6" spans="1:88" ht="18" thickTop="1" x14ac:dyDescent="0.3">
      <c r="A6" s="945">
        <v>1</v>
      </c>
      <c r="B6" s="1111">
        <v>59</v>
      </c>
      <c r="C6" s="1111">
        <v>62</v>
      </c>
      <c r="D6" s="1112">
        <v>9</v>
      </c>
      <c r="E6" s="1112">
        <v>11</v>
      </c>
      <c r="F6" s="946">
        <f>D6*7</f>
        <v>63</v>
      </c>
      <c r="G6" s="947">
        <f>E6*7</f>
        <v>77</v>
      </c>
      <c r="H6" s="1111">
        <v>59</v>
      </c>
      <c r="I6" s="1111">
        <v>62</v>
      </c>
      <c r="J6" s="1112">
        <v>10</v>
      </c>
      <c r="K6" s="1112">
        <v>12</v>
      </c>
      <c r="L6" s="946">
        <f>J6*7</f>
        <v>70</v>
      </c>
      <c r="M6" s="947">
        <f>K6*7</f>
        <v>84</v>
      </c>
      <c r="N6" s="1111">
        <v>63</v>
      </c>
      <c r="O6" s="1111">
        <v>67</v>
      </c>
      <c r="P6" s="1112">
        <v>13</v>
      </c>
      <c r="Q6" s="1112">
        <v>15</v>
      </c>
      <c r="R6" s="946">
        <f>P6*7</f>
        <v>91</v>
      </c>
      <c r="S6" s="947">
        <f>Q6*7</f>
        <v>105</v>
      </c>
      <c r="T6" s="1111">
        <v>64</v>
      </c>
      <c r="U6" s="1111">
        <v>67</v>
      </c>
      <c r="V6" s="1112">
        <v>10</v>
      </c>
      <c r="W6" s="1112">
        <v>12</v>
      </c>
      <c r="X6" s="946">
        <f>V6*7</f>
        <v>70</v>
      </c>
      <c r="Y6" s="947">
        <f>W6*7</f>
        <v>84</v>
      </c>
      <c r="Z6" s="1111">
        <v>62</v>
      </c>
      <c r="AA6" s="1111">
        <v>65</v>
      </c>
      <c r="AB6" s="1112">
        <v>6</v>
      </c>
      <c r="AC6" s="1112">
        <v>8</v>
      </c>
      <c r="AD6" s="946">
        <f>AB6*7</f>
        <v>42</v>
      </c>
      <c r="AE6" s="947">
        <f>AC6*7</f>
        <v>56</v>
      </c>
      <c r="AF6" s="1111">
        <v>68</v>
      </c>
      <c r="AG6" s="1111">
        <v>72</v>
      </c>
      <c r="AH6" s="1112">
        <v>9</v>
      </c>
      <c r="AI6" s="1112">
        <v>11</v>
      </c>
      <c r="AJ6" s="946">
        <f>AH6*7</f>
        <v>63</v>
      </c>
      <c r="AK6" s="947">
        <f>AI6*7</f>
        <v>77</v>
      </c>
      <c r="AL6" s="1111">
        <v>70</v>
      </c>
      <c r="AM6" s="1111">
        <v>80</v>
      </c>
      <c r="AN6" s="1112">
        <v>11</v>
      </c>
      <c r="AO6" s="1112">
        <v>14</v>
      </c>
      <c r="AP6" s="946">
        <f>AN6*7</f>
        <v>77</v>
      </c>
      <c r="AQ6" s="947">
        <f>AO6*7</f>
        <v>98</v>
      </c>
      <c r="AR6" s="1111">
        <v>70</v>
      </c>
      <c r="AS6" s="1111">
        <v>80</v>
      </c>
      <c r="AT6" s="1112">
        <v>12</v>
      </c>
      <c r="AU6" s="1112">
        <v>14</v>
      </c>
      <c r="AV6" s="946">
        <f>AT6*7</f>
        <v>84</v>
      </c>
      <c r="AW6" s="947">
        <f>AU6*7</f>
        <v>98</v>
      </c>
      <c r="AX6" s="1111">
        <v>59</v>
      </c>
      <c r="AY6" s="1111">
        <v>62</v>
      </c>
      <c r="AZ6" s="1112">
        <v>9</v>
      </c>
      <c r="BA6" s="1112">
        <v>11</v>
      </c>
      <c r="BB6" s="946">
        <f>AZ6*7</f>
        <v>63</v>
      </c>
      <c r="BC6" s="947">
        <f>BA6*7</f>
        <v>77</v>
      </c>
      <c r="BD6" s="1111">
        <v>73</v>
      </c>
      <c r="BE6" s="1111">
        <v>77</v>
      </c>
      <c r="BF6" s="1112">
        <v>10</v>
      </c>
      <c r="BG6" s="1112">
        <v>12</v>
      </c>
      <c r="BH6" s="946">
        <f>BF6*7</f>
        <v>70</v>
      </c>
      <c r="BI6" s="947">
        <f>BG6*7</f>
        <v>84</v>
      </c>
      <c r="BJ6" s="1111">
        <v>73</v>
      </c>
      <c r="BK6" s="1111">
        <v>77</v>
      </c>
      <c r="BL6" s="1112">
        <v>9</v>
      </c>
      <c r="BM6" s="1112">
        <v>11</v>
      </c>
      <c r="BN6" s="946">
        <f>BL6*7</f>
        <v>63</v>
      </c>
      <c r="BO6" s="947">
        <f>BM6*7</f>
        <v>77</v>
      </c>
      <c r="BP6" s="1111">
        <v>68</v>
      </c>
      <c r="BQ6" s="1111">
        <v>72</v>
      </c>
      <c r="BR6" s="1112">
        <v>11</v>
      </c>
      <c r="BS6" s="1112">
        <v>13</v>
      </c>
      <c r="BT6" s="946">
        <f>BR6*7</f>
        <v>77</v>
      </c>
      <c r="BU6" s="947">
        <f>BS6*7</f>
        <v>91</v>
      </c>
      <c r="BX6" s="1123">
        <v>1</v>
      </c>
      <c r="BY6" s="1128">
        <v>7.8571428571428577</v>
      </c>
      <c r="BZ6" s="1128">
        <v>8.4285714285714288</v>
      </c>
      <c r="CA6" s="1128">
        <v>8.4285714285714288</v>
      </c>
      <c r="CB6" s="1128">
        <v>8.4285714285714288</v>
      </c>
      <c r="CC6" s="1128">
        <v>4</v>
      </c>
      <c r="CD6" s="1128">
        <v>7.4285714285714288</v>
      </c>
      <c r="CE6" s="1128">
        <v>9.7142857142857153</v>
      </c>
      <c r="CF6" s="1128">
        <v>11.285714285714286</v>
      </c>
      <c r="CG6" s="1128">
        <v>7.4285714285714288</v>
      </c>
      <c r="CH6" s="1128">
        <v>8.4285714285714288</v>
      </c>
      <c r="CI6" s="1128">
        <v>7</v>
      </c>
      <c r="CJ6" s="1129">
        <v>9.4285714285714288</v>
      </c>
    </row>
    <row r="7" spans="1:88" x14ac:dyDescent="0.3">
      <c r="A7" s="948">
        <f t="shared" ref="A7:A23" si="0">A6+1</f>
        <v>2</v>
      </c>
      <c r="B7" s="1113">
        <v>117</v>
      </c>
      <c r="C7" s="1113">
        <v>123</v>
      </c>
      <c r="D7" s="1114">
        <v>14</v>
      </c>
      <c r="E7" s="1114">
        <v>16</v>
      </c>
      <c r="F7" s="949">
        <f t="shared" ref="F7:F23" si="1">D7*7+F6</f>
        <v>161</v>
      </c>
      <c r="G7" s="950">
        <f t="shared" ref="G7:G23" si="2">E7*7+G6</f>
        <v>189</v>
      </c>
      <c r="H7" s="1113">
        <v>122</v>
      </c>
      <c r="I7" s="1113">
        <v>128</v>
      </c>
      <c r="J7" s="1114">
        <v>16</v>
      </c>
      <c r="K7" s="1114">
        <v>18</v>
      </c>
      <c r="L7" s="949">
        <f t="shared" ref="L7:L23" si="3">J7*7+L6</f>
        <v>182</v>
      </c>
      <c r="M7" s="950">
        <f t="shared" ref="M7:M23" si="4">K7*7+M6</f>
        <v>210</v>
      </c>
      <c r="N7" s="1113">
        <v>132</v>
      </c>
      <c r="O7" s="1113">
        <v>138</v>
      </c>
      <c r="P7" s="1114">
        <v>26</v>
      </c>
      <c r="Q7" s="1114">
        <v>28</v>
      </c>
      <c r="R7" s="949">
        <f t="shared" ref="R7:R23" si="5">P7*7+R6</f>
        <v>273</v>
      </c>
      <c r="S7" s="950">
        <f t="shared" ref="S7:S23" si="6">Q7*7+S6</f>
        <v>301</v>
      </c>
      <c r="T7" s="1113">
        <v>115</v>
      </c>
      <c r="U7" s="1113">
        <v>121</v>
      </c>
      <c r="V7" s="1114">
        <v>16</v>
      </c>
      <c r="W7" s="1114">
        <v>18</v>
      </c>
      <c r="X7" s="949">
        <f t="shared" ref="X7:X23" si="7">V7*7+X6</f>
        <v>182</v>
      </c>
      <c r="Y7" s="950">
        <f t="shared" ref="Y7:Y23" si="8">W7*7+Y6</f>
        <v>210</v>
      </c>
      <c r="Z7" s="1113">
        <v>126</v>
      </c>
      <c r="AA7" s="1113">
        <v>132</v>
      </c>
      <c r="AB7" s="1114">
        <v>13</v>
      </c>
      <c r="AC7" s="1114">
        <v>15</v>
      </c>
      <c r="AD7" s="949">
        <f t="shared" ref="AD7:AD23" si="9">AB7*7+AD6</f>
        <v>133</v>
      </c>
      <c r="AE7" s="950">
        <f t="shared" ref="AE7:AE23" si="10">AC7*7+AE6</f>
        <v>161</v>
      </c>
      <c r="AF7" s="1113">
        <v>122</v>
      </c>
      <c r="AG7" s="1113">
        <v>128</v>
      </c>
      <c r="AH7" s="1114">
        <v>15</v>
      </c>
      <c r="AI7" s="1114">
        <v>17</v>
      </c>
      <c r="AJ7" s="949">
        <f t="shared" ref="AJ7:AJ23" si="11">AH7*7+AJ6</f>
        <v>168</v>
      </c>
      <c r="AK7" s="950">
        <f t="shared" ref="AK7:AK23" si="12">AI7*7+AK6</f>
        <v>196</v>
      </c>
      <c r="AL7" s="1113">
        <v>115</v>
      </c>
      <c r="AM7" s="1113">
        <v>145</v>
      </c>
      <c r="AN7" s="1114">
        <v>17</v>
      </c>
      <c r="AO7" s="1114">
        <v>21</v>
      </c>
      <c r="AP7" s="949">
        <f t="shared" ref="AP7:AP23" si="13">AN7*7+AP6</f>
        <v>196</v>
      </c>
      <c r="AQ7" s="950">
        <f t="shared" ref="AQ7:AQ23" si="14">AO7*7+AQ6</f>
        <v>245</v>
      </c>
      <c r="AR7" s="1113">
        <v>120</v>
      </c>
      <c r="AS7" s="1113">
        <v>130</v>
      </c>
      <c r="AT7" s="1114">
        <v>15</v>
      </c>
      <c r="AU7" s="1114">
        <v>19</v>
      </c>
      <c r="AV7" s="949">
        <f t="shared" ref="AV7:AV23" si="15">AT7*7+AV6</f>
        <v>189</v>
      </c>
      <c r="AW7" s="950">
        <f t="shared" ref="AW7:AW23" si="16">AU7*7+AW6</f>
        <v>231</v>
      </c>
      <c r="AX7" s="1113">
        <v>117</v>
      </c>
      <c r="AY7" s="1113">
        <v>123</v>
      </c>
      <c r="AZ7" s="1114">
        <v>15</v>
      </c>
      <c r="BA7" s="1114">
        <v>17</v>
      </c>
      <c r="BB7" s="949">
        <f t="shared" ref="BB7:BB23" si="17">AZ7*7+BB6</f>
        <v>168</v>
      </c>
      <c r="BC7" s="950">
        <f t="shared" ref="BC7:BC23" si="18">BA7*7+BC6</f>
        <v>196</v>
      </c>
      <c r="BD7" s="1113">
        <v>126</v>
      </c>
      <c r="BE7" s="1113">
        <v>134</v>
      </c>
      <c r="BF7" s="1114">
        <v>16</v>
      </c>
      <c r="BG7" s="1114">
        <v>18</v>
      </c>
      <c r="BH7" s="949">
        <f t="shared" ref="BH7:BH23" si="19">BF7*7+BH6</f>
        <v>182</v>
      </c>
      <c r="BI7" s="950">
        <f t="shared" ref="BI7:BI23" si="20">BG7*7+BI6</f>
        <v>210</v>
      </c>
      <c r="BJ7" s="1113">
        <v>121</v>
      </c>
      <c r="BK7" s="1113">
        <v>129</v>
      </c>
      <c r="BL7" s="1114">
        <v>16</v>
      </c>
      <c r="BM7" s="1114">
        <v>18</v>
      </c>
      <c r="BN7" s="949">
        <f t="shared" ref="BN7:BN23" si="21">BL7*7+BN6</f>
        <v>175</v>
      </c>
      <c r="BO7" s="950">
        <f t="shared" ref="BO7:BO23" si="22">BM7*7+BO6</f>
        <v>203</v>
      </c>
      <c r="BP7" s="1113">
        <v>117</v>
      </c>
      <c r="BQ7" s="1113">
        <v>123</v>
      </c>
      <c r="BR7" s="1114">
        <v>17</v>
      </c>
      <c r="BS7" s="1114">
        <v>19</v>
      </c>
      <c r="BT7" s="949">
        <f t="shared" ref="BT7:BT23" si="23">BR7*7+BT6</f>
        <v>196</v>
      </c>
      <c r="BU7" s="950">
        <f t="shared" ref="BU7:BU23" si="24">BS7*7+BU6</f>
        <v>224</v>
      </c>
      <c r="BX7" s="1123">
        <f t="shared" ref="BX7:BX38" si="25">BX6+1</f>
        <v>2</v>
      </c>
      <c r="BY7" s="1128">
        <v>8.5714285714285712</v>
      </c>
      <c r="BZ7" s="1128">
        <v>9.2857142857142865</v>
      </c>
      <c r="CA7" s="1128">
        <v>10.285714285714285</v>
      </c>
      <c r="CB7" s="1128">
        <v>9.2857142857142865</v>
      </c>
      <c r="CC7" s="1128">
        <v>5</v>
      </c>
      <c r="CD7" s="1128">
        <v>8.2857142857142865</v>
      </c>
      <c r="CE7" s="1128">
        <v>10.642857142857142</v>
      </c>
      <c r="CF7" s="1128">
        <v>11.857142857142858</v>
      </c>
      <c r="CG7" s="1128">
        <v>8.2857142857142865</v>
      </c>
      <c r="CH7" s="1128">
        <v>9.2857142857142865</v>
      </c>
      <c r="CI7" s="1128">
        <v>8</v>
      </c>
      <c r="CJ7" s="1129">
        <v>10.285714285714286</v>
      </c>
    </row>
    <row r="8" spans="1:88" x14ac:dyDescent="0.3">
      <c r="A8" s="948">
        <f t="shared" si="0"/>
        <v>3</v>
      </c>
      <c r="B8" s="1113">
        <v>190</v>
      </c>
      <c r="C8" s="1113">
        <v>200</v>
      </c>
      <c r="D8" s="1114">
        <v>20</v>
      </c>
      <c r="E8" s="1114">
        <v>22</v>
      </c>
      <c r="F8" s="949">
        <f t="shared" si="1"/>
        <v>301</v>
      </c>
      <c r="G8" s="950">
        <f t="shared" si="2"/>
        <v>343</v>
      </c>
      <c r="H8" s="1113">
        <v>185</v>
      </c>
      <c r="I8" s="1113">
        <v>195</v>
      </c>
      <c r="J8" s="1114">
        <v>24</v>
      </c>
      <c r="K8" s="1114">
        <v>26</v>
      </c>
      <c r="L8" s="949">
        <f t="shared" si="3"/>
        <v>350</v>
      </c>
      <c r="M8" s="950">
        <f t="shared" si="4"/>
        <v>392</v>
      </c>
      <c r="N8" s="1113">
        <v>234</v>
      </c>
      <c r="O8" s="1113">
        <v>246</v>
      </c>
      <c r="P8" s="1114">
        <v>32</v>
      </c>
      <c r="Q8" s="1114">
        <v>34</v>
      </c>
      <c r="R8" s="949">
        <f t="shared" si="5"/>
        <v>497</v>
      </c>
      <c r="S8" s="950">
        <f t="shared" si="6"/>
        <v>539</v>
      </c>
      <c r="T8" s="1113">
        <v>187</v>
      </c>
      <c r="U8" s="1113">
        <v>196</v>
      </c>
      <c r="V8" s="1114">
        <v>24</v>
      </c>
      <c r="W8" s="1114">
        <v>26</v>
      </c>
      <c r="X8" s="949">
        <f t="shared" si="7"/>
        <v>350</v>
      </c>
      <c r="Y8" s="950">
        <f t="shared" si="8"/>
        <v>392</v>
      </c>
      <c r="Z8" s="1113">
        <v>193</v>
      </c>
      <c r="AA8" s="1113">
        <v>203</v>
      </c>
      <c r="AB8" s="1114">
        <v>19</v>
      </c>
      <c r="AC8" s="1114">
        <v>21</v>
      </c>
      <c r="AD8" s="949">
        <f t="shared" si="9"/>
        <v>266</v>
      </c>
      <c r="AE8" s="950">
        <f t="shared" si="10"/>
        <v>308</v>
      </c>
      <c r="AF8" s="1113">
        <v>185</v>
      </c>
      <c r="AG8" s="1113">
        <v>195</v>
      </c>
      <c r="AH8" s="1114">
        <v>21</v>
      </c>
      <c r="AI8" s="1114">
        <v>23</v>
      </c>
      <c r="AJ8" s="949">
        <f t="shared" si="11"/>
        <v>315</v>
      </c>
      <c r="AK8" s="950">
        <f t="shared" si="12"/>
        <v>357</v>
      </c>
      <c r="AL8" s="1113">
        <v>190</v>
      </c>
      <c r="AM8" s="1113">
        <v>220</v>
      </c>
      <c r="AN8" s="1114">
        <v>20</v>
      </c>
      <c r="AO8" s="1114">
        <v>25</v>
      </c>
      <c r="AP8" s="949">
        <f t="shared" si="13"/>
        <v>336</v>
      </c>
      <c r="AQ8" s="950">
        <f t="shared" si="14"/>
        <v>420</v>
      </c>
      <c r="AR8" s="1113">
        <v>180</v>
      </c>
      <c r="AS8" s="1113">
        <v>190</v>
      </c>
      <c r="AT8" s="1114">
        <v>21</v>
      </c>
      <c r="AU8" s="1114">
        <v>25</v>
      </c>
      <c r="AV8" s="949">
        <f t="shared" si="15"/>
        <v>336</v>
      </c>
      <c r="AW8" s="950">
        <f t="shared" si="16"/>
        <v>406</v>
      </c>
      <c r="AX8" s="1113">
        <v>171</v>
      </c>
      <c r="AY8" s="1113">
        <v>179</v>
      </c>
      <c r="AZ8" s="1114">
        <v>23</v>
      </c>
      <c r="BA8" s="1114">
        <v>25</v>
      </c>
      <c r="BB8" s="949">
        <f t="shared" si="17"/>
        <v>329</v>
      </c>
      <c r="BC8" s="950">
        <f t="shared" si="18"/>
        <v>371</v>
      </c>
      <c r="BD8" s="1113">
        <v>189</v>
      </c>
      <c r="BE8" s="1113">
        <v>201</v>
      </c>
      <c r="BF8" s="1114">
        <v>21</v>
      </c>
      <c r="BG8" s="1114">
        <v>23</v>
      </c>
      <c r="BH8" s="949">
        <f t="shared" si="19"/>
        <v>329</v>
      </c>
      <c r="BI8" s="950">
        <f t="shared" si="20"/>
        <v>371</v>
      </c>
      <c r="BJ8" s="1113">
        <v>181</v>
      </c>
      <c r="BK8" s="1113">
        <v>193</v>
      </c>
      <c r="BL8" s="1114">
        <v>22</v>
      </c>
      <c r="BM8" s="1114">
        <v>24</v>
      </c>
      <c r="BN8" s="949">
        <f t="shared" si="21"/>
        <v>329</v>
      </c>
      <c r="BO8" s="950">
        <f t="shared" si="22"/>
        <v>371</v>
      </c>
      <c r="BP8" s="1113">
        <v>185</v>
      </c>
      <c r="BQ8" s="1113">
        <v>195</v>
      </c>
      <c r="BR8" s="1114">
        <v>25</v>
      </c>
      <c r="BS8" s="1114">
        <v>27</v>
      </c>
      <c r="BT8" s="949">
        <f t="shared" si="23"/>
        <v>371</v>
      </c>
      <c r="BU8" s="950">
        <f t="shared" si="24"/>
        <v>413</v>
      </c>
      <c r="BX8" s="1123">
        <f t="shared" si="25"/>
        <v>3</v>
      </c>
      <c r="BY8" s="1128">
        <v>9.2857142857142865</v>
      </c>
      <c r="BZ8" s="1128">
        <v>10.142857142857142</v>
      </c>
      <c r="CA8" s="1128">
        <v>12.142857142857142</v>
      </c>
      <c r="CB8" s="1128">
        <v>10.142857142857142</v>
      </c>
      <c r="CC8" s="1128">
        <v>6</v>
      </c>
      <c r="CD8" s="1128">
        <v>9.1428571428571423</v>
      </c>
      <c r="CE8" s="1128">
        <v>11.571428571428571</v>
      </c>
      <c r="CF8" s="1128">
        <v>12.428571428571429</v>
      </c>
      <c r="CG8" s="1128">
        <v>9.1428571428571423</v>
      </c>
      <c r="CH8" s="1128">
        <v>10.142857142857142</v>
      </c>
      <c r="CI8" s="1128">
        <v>9</v>
      </c>
      <c r="CJ8" s="1129">
        <v>11.142857142857142</v>
      </c>
    </row>
    <row r="9" spans="1:88" x14ac:dyDescent="0.3">
      <c r="A9" s="948">
        <f t="shared" si="0"/>
        <v>4</v>
      </c>
      <c r="B9" s="1113">
        <v>268</v>
      </c>
      <c r="C9" s="1113">
        <v>282</v>
      </c>
      <c r="D9" s="1114">
        <v>25</v>
      </c>
      <c r="E9" s="1114">
        <v>27</v>
      </c>
      <c r="F9" s="949">
        <f t="shared" si="1"/>
        <v>476</v>
      </c>
      <c r="G9" s="950">
        <f t="shared" si="2"/>
        <v>532</v>
      </c>
      <c r="H9" s="1113">
        <v>254</v>
      </c>
      <c r="I9" s="1113">
        <v>267</v>
      </c>
      <c r="J9" s="1114">
        <v>31</v>
      </c>
      <c r="K9" s="1114">
        <v>33</v>
      </c>
      <c r="L9" s="949">
        <f t="shared" si="3"/>
        <v>567</v>
      </c>
      <c r="M9" s="950">
        <f t="shared" si="4"/>
        <v>623</v>
      </c>
      <c r="N9" s="1113">
        <v>322</v>
      </c>
      <c r="O9" s="1113">
        <v>338</v>
      </c>
      <c r="P9" s="1114">
        <v>35</v>
      </c>
      <c r="Q9" s="1114">
        <v>37</v>
      </c>
      <c r="R9" s="949">
        <f t="shared" si="5"/>
        <v>742</v>
      </c>
      <c r="S9" s="950">
        <f t="shared" si="6"/>
        <v>798</v>
      </c>
      <c r="T9" s="1113">
        <v>269</v>
      </c>
      <c r="U9" s="1113">
        <v>282</v>
      </c>
      <c r="V9" s="1114">
        <v>31</v>
      </c>
      <c r="W9" s="1114">
        <v>33</v>
      </c>
      <c r="X9" s="949">
        <f t="shared" si="7"/>
        <v>567</v>
      </c>
      <c r="Y9" s="950">
        <f t="shared" si="8"/>
        <v>623</v>
      </c>
      <c r="Z9" s="1113">
        <v>264</v>
      </c>
      <c r="AA9" s="1113">
        <v>278</v>
      </c>
      <c r="AB9" s="1114">
        <v>25</v>
      </c>
      <c r="AC9" s="1114">
        <v>27</v>
      </c>
      <c r="AD9" s="949">
        <f t="shared" si="9"/>
        <v>441</v>
      </c>
      <c r="AE9" s="950">
        <f t="shared" si="10"/>
        <v>497</v>
      </c>
      <c r="AF9" s="1113">
        <v>263</v>
      </c>
      <c r="AG9" s="1113">
        <v>277</v>
      </c>
      <c r="AH9" s="1114">
        <v>27</v>
      </c>
      <c r="AI9" s="1114">
        <v>29</v>
      </c>
      <c r="AJ9" s="949">
        <f t="shared" si="11"/>
        <v>504</v>
      </c>
      <c r="AK9" s="950">
        <f t="shared" si="12"/>
        <v>560</v>
      </c>
      <c r="AL9" s="1113">
        <v>270</v>
      </c>
      <c r="AM9" s="1113">
        <v>320</v>
      </c>
      <c r="AN9" s="1114">
        <v>25</v>
      </c>
      <c r="AO9" s="1114">
        <v>30</v>
      </c>
      <c r="AP9" s="949">
        <f t="shared" si="13"/>
        <v>511</v>
      </c>
      <c r="AQ9" s="950">
        <f t="shared" si="14"/>
        <v>630</v>
      </c>
      <c r="AR9" s="1113">
        <v>250</v>
      </c>
      <c r="AS9" s="1113">
        <v>260</v>
      </c>
      <c r="AT9" s="1114">
        <v>27</v>
      </c>
      <c r="AU9" s="1114">
        <v>31</v>
      </c>
      <c r="AV9" s="949">
        <f t="shared" si="15"/>
        <v>525</v>
      </c>
      <c r="AW9" s="950">
        <f t="shared" si="16"/>
        <v>623</v>
      </c>
      <c r="AX9" s="1113">
        <v>239</v>
      </c>
      <c r="AY9" s="1113">
        <v>251</v>
      </c>
      <c r="AZ9" s="1114">
        <v>30</v>
      </c>
      <c r="BA9" s="1114">
        <v>32</v>
      </c>
      <c r="BB9" s="949">
        <f t="shared" si="17"/>
        <v>539</v>
      </c>
      <c r="BC9" s="950">
        <f t="shared" si="18"/>
        <v>595</v>
      </c>
      <c r="BD9" s="1113">
        <v>265</v>
      </c>
      <c r="BE9" s="1113">
        <v>281</v>
      </c>
      <c r="BF9" s="1114">
        <v>27</v>
      </c>
      <c r="BG9" s="1114">
        <v>29</v>
      </c>
      <c r="BH9" s="949">
        <f t="shared" si="19"/>
        <v>518</v>
      </c>
      <c r="BI9" s="950">
        <f t="shared" si="20"/>
        <v>574</v>
      </c>
      <c r="BJ9" s="1113">
        <v>249</v>
      </c>
      <c r="BK9" s="1113">
        <v>265</v>
      </c>
      <c r="BL9" s="1114">
        <v>28</v>
      </c>
      <c r="BM9" s="1114">
        <v>30</v>
      </c>
      <c r="BN9" s="949">
        <f t="shared" si="21"/>
        <v>525</v>
      </c>
      <c r="BO9" s="950">
        <f t="shared" si="22"/>
        <v>581</v>
      </c>
      <c r="BP9" s="1113">
        <v>278</v>
      </c>
      <c r="BQ9" s="1113">
        <v>292</v>
      </c>
      <c r="BR9" s="1114">
        <v>32</v>
      </c>
      <c r="BS9" s="1114">
        <v>34</v>
      </c>
      <c r="BT9" s="949">
        <f t="shared" si="23"/>
        <v>595</v>
      </c>
      <c r="BU9" s="950">
        <f t="shared" si="24"/>
        <v>651</v>
      </c>
      <c r="BX9" s="1123">
        <f t="shared" si="25"/>
        <v>4</v>
      </c>
      <c r="BY9" s="1128">
        <v>10</v>
      </c>
      <c r="BZ9" s="1128">
        <v>11</v>
      </c>
      <c r="CA9" s="1128">
        <v>14</v>
      </c>
      <c r="CB9" s="1128">
        <v>11</v>
      </c>
      <c r="CC9" s="1128">
        <v>7</v>
      </c>
      <c r="CD9" s="1128">
        <v>10</v>
      </c>
      <c r="CE9" s="1128">
        <v>12.5</v>
      </c>
      <c r="CF9" s="1128">
        <v>13</v>
      </c>
      <c r="CG9" s="1128">
        <v>10</v>
      </c>
      <c r="CH9" s="1128">
        <v>11</v>
      </c>
      <c r="CI9" s="1128">
        <v>10</v>
      </c>
      <c r="CJ9" s="1129">
        <v>12</v>
      </c>
    </row>
    <row r="10" spans="1:88" x14ac:dyDescent="0.3">
      <c r="A10" s="948">
        <f t="shared" si="0"/>
        <v>5</v>
      </c>
      <c r="B10" s="1113">
        <v>341</v>
      </c>
      <c r="C10" s="1113">
        <v>359</v>
      </c>
      <c r="D10" s="1114">
        <v>30</v>
      </c>
      <c r="E10" s="1114">
        <v>32</v>
      </c>
      <c r="F10" s="949">
        <f t="shared" si="1"/>
        <v>686</v>
      </c>
      <c r="G10" s="950">
        <f t="shared" si="2"/>
        <v>756</v>
      </c>
      <c r="H10" s="1113">
        <v>346</v>
      </c>
      <c r="I10" s="1113">
        <v>364</v>
      </c>
      <c r="J10" s="1114">
        <v>36</v>
      </c>
      <c r="K10" s="1114">
        <v>38</v>
      </c>
      <c r="L10" s="949">
        <f t="shared" si="3"/>
        <v>819</v>
      </c>
      <c r="M10" s="950">
        <f t="shared" si="4"/>
        <v>889</v>
      </c>
      <c r="N10" s="1113">
        <v>414</v>
      </c>
      <c r="O10" s="1113">
        <v>436</v>
      </c>
      <c r="P10" s="1114">
        <v>38</v>
      </c>
      <c r="Q10" s="1114">
        <v>40</v>
      </c>
      <c r="R10" s="949">
        <f t="shared" si="5"/>
        <v>1008</v>
      </c>
      <c r="S10" s="950">
        <f t="shared" si="6"/>
        <v>1078</v>
      </c>
      <c r="T10" s="1113">
        <v>361</v>
      </c>
      <c r="U10" s="1113">
        <v>379</v>
      </c>
      <c r="V10" s="1114">
        <v>36</v>
      </c>
      <c r="W10" s="1114">
        <v>38</v>
      </c>
      <c r="X10" s="949">
        <f t="shared" si="7"/>
        <v>819</v>
      </c>
      <c r="Y10" s="950">
        <f t="shared" si="8"/>
        <v>889</v>
      </c>
      <c r="Z10" s="1113">
        <v>338</v>
      </c>
      <c r="AA10" s="1113">
        <v>356</v>
      </c>
      <c r="AB10" s="1114">
        <v>30</v>
      </c>
      <c r="AC10" s="1114">
        <v>32</v>
      </c>
      <c r="AD10" s="949">
        <f t="shared" si="9"/>
        <v>651</v>
      </c>
      <c r="AE10" s="950">
        <f t="shared" si="10"/>
        <v>721</v>
      </c>
      <c r="AF10" s="1113">
        <v>354</v>
      </c>
      <c r="AG10" s="1113">
        <v>372</v>
      </c>
      <c r="AH10" s="1114">
        <v>33</v>
      </c>
      <c r="AI10" s="1114">
        <v>35</v>
      </c>
      <c r="AJ10" s="949">
        <f t="shared" si="11"/>
        <v>735</v>
      </c>
      <c r="AK10" s="950">
        <f t="shared" si="12"/>
        <v>805</v>
      </c>
      <c r="AL10" s="1113">
        <v>360</v>
      </c>
      <c r="AM10" s="1113">
        <v>420</v>
      </c>
      <c r="AN10" s="1114">
        <v>29</v>
      </c>
      <c r="AO10" s="1114">
        <v>36</v>
      </c>
      <c r="AP10" s="949">
        <f t="shared" si="13"/>
        <v>714</v>
      </c>
      <c r="AQ10" s="950">
        <f t="shared" si="14"/>
        <v>882</v>
      </c>
      <c r="AR10" s="1113">
        <v>320</v>
      </c>
      <c r="AS10" s="1113">
        <v>350</v>
      </c>
      <c r="AT10" s="1114">
        <v>31</v>
      </c>
      <c r="AU10" s="1114">
        <v>35</v>
      </c>
      <c r="AV10" s="949">
        <f t="shared" si="15"/>
        <v>742</v>
      </c>
      <c r="AW10" s="950">
        <f t="shared" si="16"/>
        <v>868</v>
      </c>
      <c r="AX10" s="1113">
        <v>332</v>
      </c>
      <c r="AY10" s="1113">
        <v>349</v>
      </c>
      <c r="AZ10" s="1114">
        <v>35</v>
      </c>
      <c r="BA10" s="1114">
        <v>37</v>
      </c>
      <c r="BB10" s="949">
        <f t="shared" si="17"/>
        <v>784</v>
      </c>
      <c r="BC10" s="950">
        <f t="shared" si="18"/>
        <v>854</v>
      </c>
      <c r="BD10" s="1113">
        <v>355</v>
      </c>
      <c r="BE10" s="1113">
        <v>377</v>
      </c>
      <c r="BF10" s="1114">
        <v>34</v>
      </c>
      <c r="BG10" s="1114">
        <v>36</v>
      </c>
      <c r="BH10" s="949">
        <f t="shared" si="19"/>
        <v>756</v>
      </c>
      <c r="BI10" s="950">
        <f t="shared" si="20"/>
        <v>826</v>
      </c>
      <c r="BJ10" s="1113">
        <v>328</v>
      </c>
      <c r="BK10" s="1113">
        <v>348</v>
      </c>
      <c r="BL10" s="1114">
        <v>33</v>
      </c>
      <c r="BM10" s="1114">
        <v>35</v>
      </c>
      <c r="BN10" s="949">
        <f t="shared" si="21"/>
        <v>756</v>
      </c>
      <c r="BO10" s="950">
        <f t="shared" si="22"/>
        <v>826</v>
      </c>
      <c r="BP10" s="1113">
        <v>375</v>
      </c>
      <c r="BQ10" s="1113">
        <v>395</v>
      </c>
      <c r="BR10" s="1114">
        <v>37</v>
      </c>
      <c r="BS10" s="1114">
        <v>39</v>
      </c>
      <c r="BT10" s="949">
        <f t="shared" si="23"/>
        <v>854</v>
      </c>
      <c r="BU10" s="950">
        <f t="shared" si="24"/>
        <v>924</v>
      </c>
      <c r="BX10" s="1123">
        <f t="shared" si="25"/>
        <v>5</v>
      </c>
      <c r="BY10" s="1128">
        <v>10.714285714285714</v>
      </c>
      <c r="BZ10" s="1128">
        <v>11.857142857142858</v>
      </c>
      <c r="CA10" s="1128">
        <v>15.857142857142858</v>
      </c>
      <c r="CB10" s="1128">
        <v>11.857142857142858</v>
      </c>
      <c r="CC10" s="1128">
        <v>8</v>
      </c>
      <c r="CD10" s="1128">
        <v>10.857142857142858</v>
      </c>
      <c r="CE10" s="1128">
        <v>13.428571428571429</v>
      </c>
      <c r="CF10" s="1128">
        <v>13.571428571428571</v>
      </c>
      <c r="CG10" s="1128">
        <v>10.857142857142858</v>
      </c>
      <c r="CH10" s="1128">
        <v>11.857142857142858</v>
      </c>
      <c r="CI10" s="1128">
        <v>11</v>
      </c>
      <c r="CJ10" s="1129">
        <v>12.857142857142858</v>
      </c>
    </row>
    <row r="11" spans="1:88" x14ac:dyDescent="0.3">
      <c r="A11" s="948">
        <f t="shared" si="0"/>
        <v>6</v>
      </c>
      <c r="B11" s="1113">
        <v>419</v>
      </c>
      <c r="C11" s="1113">
        <v>441</v>
      </c>
      <c r="D11" s="1114">
        <v>35</v>
      </c>
      <c r="E11" s="1114">
        <v>37</v>
      </c>
      <c r="F11" s="949">
        <f t="shared" si="1"/>
        <v>931</v>
      </c>
      <c r="G11" s="950">
        <f t="shared" si="2"/>
        <v>1015</v>
      </c>
      <c r="H11" s="1113">
        <v>439</v>
      </c>
      <c r="I11" s="1113">
        <v>461</v>
      </c>
      <c r="J11" s="1114">
        <v>41</v>
      </c>
      <c r="K11" s="1114">
        <v>43</v>
      </c>
      <c r="L11" s="949">
        <f t="shared" si="3"/>
        <v>1106</v>
      </c>
      <c r="M11" s="950">
        <f t="shared" si="4"/>
        <v>1190</v>
      </c>
      <c r="N11" s="1113">
        <v>507</v>
      </c>
      <c r="O11" s="1113">
        <v>533</v>
      </c>
      <c r="P11" s="1114">
        <v>42</v>
      </c>
      <c r="Q11" s="1114">
        <v>44</v>
      </c>
      <c r="R11" s="949">
        <f t="shared" si="5"/>
        <v>1302</v>
      </c>
      <c r="S11" s="950">
        <f t="shared" si="6"/>
        <v>1386</v>
      </c>
      <c r="T11" s="1113">
        <v>459</v>
      </c>
      <c r="U11" s="1113">
        <v>483</v>
      </c>
      <c r="V11" s="1114">
        <v>41</v>
      </c>
      <c r="W11" s="1114">
        <v>43</v>
      </c>
      <c r="X11" s="949">
        <f t="shared" si="7"/>
        <v>1106</v>
      </c>
      <c r="Y11" s="950">
        <f t="shared" si="8"/>
        <v>1190</v>
      </c>
      <c r="Z11" s="1113">
        <v>415</v>
      </c>
      <c r="AA11" s="1113">
        <v>436</v>
      </c>
      <c r="AB11" s="1114">
        <v>35</v>
      </c>
      <c r="AC11" s="1114">
        <v>37</v>
      </c>
      <c r="AD11" s="949">
        <f t="shared" si="9"/>
        <v>896</v>
      </c>
      <c r="AE11" s="950">
        <f t="shared" si="10"/>
        <v>980</v>
      </c>
      <c r="AF11" s="1113">
        <v>461</v>
      </c>
      <c r="AG11" s="1113">
        <v>489</v>
      </c>
      <c r="AH11" s="1114">
        <v>39</v>
      </c>
      <c r="AI11" s="1114">
        <v>43</v>
      </c>
      <c r="AJ11" s="949">
        <f t="shared" si="11"/>
        <v>1008</v>
      </c>
      <c r="AK11" s="950">
        <f t="shared" si="12"/>
        <v>1106</v>
      </c>
      <c r="AL11" s="1113">
        <v>470</v>
      </c>
      <c r="AM11" s="1113">
        <v>520</v>
      </c>
      <c r="AN11" s="1114">
        <v>35</v>
      </c>
      <c r="AO11" s="1114">
        <v>44</v>
      </c>
      <c r="AP11" s="949">
        <f t="shared" si="13"/>
        <v>959</v>
      </c>
      <c r="AQ11" s="950">
        <f t="shared" si="14"/>
        <v>1190</v>
      </c>
      <c r="AR11" s="1113">
        <v>410</v>
      </c>
      <c r="AS11" s="1113">
        <v>440</v>
      </c>
      <c r="AT11" s="1114">
        <v>35</v>
      </c>
      <c r="AU11" s="1114">
        <v>39</v>
      </c>
      <c r="AV11" s="949">
        <f t="shared" si="15"/>
        <v>987</v>
      </c>
      <c r="AW11" s="950">
        <f t="shared" si="16"/>
        <v>1141</v>
      </c>
      <c r="AX11" s="1113">
        <v>429</v>
      </c>
      <c r="AY11" s="1113">
        <v>451</v>
      </c>
      <c r="AZ11" s="1114">
        <v>40</v>
      </c>
      <c r="BA11" s="1114">
        <v>42</v>
      </c>
      <c r="BB11" s="949">
        <f t="shared" si="17"/>
        <v>1064</v>
      </c>
      <c r="BC11" s="950">
        <f t="shared" si="18"/>
        <v>1148</v>
      </c>
      <c r="BD11" s="1113">
        <v>455</v>
      </c>
      <c r="BE11" s="1113">
        <v>483</v>
      </c>
      <c r="BF11" s="1114">
        <v>40</v>
      </c>
      <c r="BG11" s="1114">
        <v>42</v>
      </c>
      <c r="BH11" s="949">
        <f t="shared" si="19"/>
        <v>1036</v>
      </c>
      <c r="BI11" s="950">
        <f t="shared" si="20"/>
        <v>1120</v>
      </c>
      <c r="BJ11" s="1113">
        <v>419</v>
      </c>
      <c r="BK11" s="1113">
        <v>445</v>
      </c>
      <c r="BL11" s="1114">
        <v>36</v>
      </c>
      <c r="BM11" s="1114">
        <v>38</v>
      </c>
      <c r="BN11" s="949">
        <f t="shared" si="21"/>
        <v>1008</v>
      </c>
      <c r="BO11" s="950">
        <f t="shared" si="22"/>
        <v>1092</v>
      </c>
      <c r="BP11" s="1113">
        <v>483</v>
      </c>
      <c r="BQ11" s="1113">
        <v>507</v>
      </c>
      <c r="BR11" s="1114">
        <v>42</v>
      </c>
      <c r="BS11" s="1114">
        <v>44</v>
      </c>
      <c r="BT11" s="949">
        <f t="shared" si="23"/>
        <v>1148</v>
      </c>
      <c r="BU11" s="950">
        <f t="shared" si="24"/>
        <v>1232</v>
      </c>
      <c r="BX11" s="1123">
        <f t="shared" si="25"/>
        <v>6</v>
      </c>
      <c r="BY11" s="1128">
        <v>11.428571428571429</v>
      </c>
      <c r="BZ11" s="1128">
        <v>12.714285714285714</v>
      </c>
      <c r="CA11" s="1128">
        <v>17.714285714285715</v>
      </c>
      <c r="CB11" s="1128">
        <v>12.714285714285714</v>
      </c>
      <c r="CC11" s="1128">
        <v>9</v>
      </c>
      <c r="CD11" s="1128">
        <v>11.714285714285714</v>
      </c>
      <c r="CE11" s="1128">
        <v>14.357142857142858</v>
      </c>
      <c r="CF11" s="1128">
        <v>14.142857142857142</v>
      </c>
      <c r="CG11" s="1128">
        <v>11.714285714285714</v>
      </c>
      <c r="CH11" s="1128">
        <v>12.714285714285714</v>
      </c>
      <c r="CI11" s="1128">
        <v>12</v>
      </c>
      <c r="CJ11" s="1129">
        <v>13.714285714285714</v>
      </c>
    </row>
    <row r="12" spans="1:88" x14ac:dyDescent="0.3">
      <c r="A12" s="948">
        <f t="shared" si="0"/>
        <v>7</v>
      </c>
      <c r="B12" s="1113">
        <v>497</v>
      </c>
      <c r="C12" s="1113">
        <v>523</v>
      </c>
      <c r="D12" s="1114">
        <v>40</v>
      </c>
      <c r="E12" s="1114">
        <v>42</v>
      </c>
      <c r="F12" s="949">
        <f t="shared" si="1"/>
        <v>1211</v>
      </c>
      <c r="G12" s="950">
        <f t="shared" si="2"/>
        <v>1309</v>
      </c>
      <c r="H12" s="1113">
        <v>536</v>
      </c>
      <c r="I12" s="1113">
        <v>564</v>
      </c>
      <c r="J12" s="1114">
        <v>45</v>
      </c>
      <c r="K12" s="1114">
        <v>47</v>
      </c>
      <c r="L12" s="949">
        <f t="shared" si="3"/>
        <v>1421</v>
      </c>
      <c r="M12" s="950">
        <f t="shared" si="4"/>
        <v>1519</v>
      </c>
      <c r="N12" s="1113">
        <v>600</v>
      </c>
      <c r="O12" s="1113">
        <v>630</v>
      </c>
      <c r="P12" s="1114">
        <v>47</v>
      </c>
      <c r="Q12" s="1114">
        <v>49</v>
      </c>
      <c r="R12" s="949">
        <f t="shared" si="5"/>
        <v>1631</v>
      </c>
      <c r="S12" s="950">
        <f t="shared" si="6"/>
        <v>1729</v>
      </c>
      <c r="T12" s="1113">
        <v>563</v>
      </c>
      <c r="U12" s="1113">
        <v>592</v>
      </c>
      <c r="V12" s="1114">
        <v>45</v>
      </c>
      <c r="W12" s="1114">
        <v>47</v>
      </c>
      <c r="X12" s="949">
        <f t="shared" si="7"/>
        <v>1421</v>
      </c>
      <c r="Y12" s="950">
        <f t="shared" si="8"/>
        <v>1519</v>
      </c>
      <c r="Z12" s="1113">
        <v>493</v>
      </c>
      <c r="AA12" s="1113">
        <v>518</v>
      </c>
      <c r="AB12" s="1114">
        <v>39</v>
      </c>
      <c r="AC12" s="1114">
        <v>41</v>
      </c>
      <c r="AD12" s="949">
        <f t="shared" si="9"/>
        <v>1169</v>
      </c>
      <c r="AE12" s="950">
        <f t="shared" si="10"/>
        <v>1267</v>
      </c>
      <c r="AF12" s="1113">
        <v>575</v>
      </c>
      <c r="AG12" s="1113">
        <v>603</v>
      </c>
      <c r="AH12" s="1114">
        <v>45</v>
      </c>
      <c r="AI12" s="1114">
        <v>47</v>
      </c>
      <c r="AJ12" s="949">
        <f t="shared" si="11"/>
        <v>1323</v>
      </c>
      <c r="AK12" s="950">
        <f t="shared" si="12"/>
        <v>1435</v>
      </c>
      <c r="AL12" s="1113">
        <v>570</v>
      </c>
      <c r="AM12" s="1113">
        <v>640</v>
      </c>
      <c r="AN12" s="1114">
        <v>41</v>
      </c>
      <c r="AO12" s="1114">
        <v>49</v>
      </c>
      <c r="AP12" s="949">
        <f t="shared" si="13"/>
        <v>1246</v>
      </c>
      <c r="AQ12" s="950">
        <f t="shared" si="14"/>
        <v>1533</v>
      </c>
      <c r="AR12" s="1113">
        <v>510</v>
      </c>
      <c r="AS12" s="1113">
        <v>550</v>
      </c>
      <c r="AT12" s="1114">
        <v>39</v>
      </c>
      <c r="AU12" s="1114">
        <v>43</v>
      </c>
      <c r="AV12" s="949">
        <f t="shared" si="15"/>
        <v>1260</v>
      </c>
      <c r="AW12" s="950">
        <f t="shared" si="16"/>
        <v>1442</v>
      </c>
      <c r="AX12" s="1113">
        <v>527</v>
      </c>
      <c r="AY12" s="1113">
        <v>554</v>
      </c>
      <c r="AZ12" s="1114">
        <v>44</v>
      </c>
      <c r="BA12" s="1114">
        <v>46</v>
      </c>
      <c r="BB12" s="949">
        <f t="shared" si="17"/>
        <v>1372</v>
      </c>
      <c r="BC12" s="950">
        <f t="shared" si="18"/>
        <v>1470</v>
      </c>
      <c r="BD12" s="1113">
        <v>556</v>
      </c>
      <c r="BE12" s="1113">
        <v>590</v>
      </c>
      <c r="BF12" s="1114">
        <v>46</v>
      </c>
      <c r="BG12" s="1114">
        <v>48</v>
      </c>
      <c r="BH12" s="949">
        <f t="shared" si="19"/>
        <v>1358</v>
      </c>
      <c r="BI12" s="950">
        <f t="shared" si="20"/>
        <v>1456</v>
      </c>
      <c r="BJ12" s="1113">
        <v>514</v>
      </c>
      <c r="BK12" s="1113">
        <v>546</v>
      </c>
      <c r="BL12" s="1114">
        <v>40</v>
      </c>
      <c r="BM12" s="1114">
        <v>42</v>
      </c>
      <c r="BN12" s="949">
        <f t="shared" si="21"/>
        <v>1288</v>
      </c>
      <c r="BO12" s="950">
        <f t="shared" si="22"/>
        <v>1386</v>
      </c>
      <c r="BP12" s="1113">
        <v>585</v>
      </c>
      <c r="BQ12" s="1113">
        <v>615</v>
      </c>
      <c r="BR12" s="1114">
        <v>46</v>
      </c>
      <c r="BS12" s="1114">
        <v>48</v>
      </c>
      <c r="BT12" s="949">
        <f t="shared" si="23"/>
        <v>1470</v>
      </c>
      <c r="BU12" s="950">
        <f t="shared" si="24"/>
        <v>1568</v>
      </c>
      <c r="BX12" s="1123">
        <f t="shared" si="25"/>
        <v>7</v>
      </c>
      <c r="BY12" s="1128">
        <v>12.142857142857142</v>
      </c>
      <c r="BZ12" s="1128">
        <v>13.571428571428571</v>
      </c>
      <c r="CA12" s="1128">
        <v>19.571428571428569</v>
      </c>
      <c r="CB12" s="1128">
        <v>13.571428571428571</v>
      </c>
      <c r="CC12" s="1128">
        <v>10</v>
      </c>
      <c r="CD12" s="1128">
        <v>12.571428571428571</v>
      </c>
      <c r="CE12" s="1128">
        <v>15.285714285714285</v>
      </c>
      <c r="CF12" s="1128">
        <v>14.714285714285714</v>
      </c>
      <c r="CG12" s="1128">
        <v>12.571428571428571</v>
      </c>
      <c r="CH12" s="1128">
        <v>13.571428571428571</v>
      </c>
      <c r="CI12" s="1128">
        <v>13</v>
      </c>
      <c r="CJ12" s="1129">
        <v>14.571428571428571</v>
      </c>
    </row>
    <row r="13" spans="1:88" x14ac:dyDescent="0.3">
      <c r="A13" s="948">
        <f t="shared" si="0"/>
        <v>8</v>
      </c>
      <c r="B13" s="1113">
        <v>585</v>
      </c>
      <c r="C13" s="1113">
        <v>615</v>
      </c>
      <c r="D13" s="1114">
        <v>44</v>
      </c>
      <c r="E13" s="1114">
        <v>46</v>
      </c>
      <c r="F13" s="949">
        <f t="shared" si="1"/>
        <v>1519</v>
      </c>
      <c r="G13" s="950">
        <f t="shared" si="2"/>
        <v>1631</v>
      </c>
      <c r="H13" s="1113">
        <v>634</v>
      </c>
      <c r="I13" s="1113">
        <v>666</v>
      </c>
      <c r="J13" s="1114">
        <v>49</v>
      </c>
      <c r="K13" s="1114">
        <v>51</v>
      </c>
      <c r="L13" s="949">
        <f t="shared" si="3"/>
        <v>1764</v>
      </c>
      <c r="M13" s="950">
        <f t="shared" si="4"/>
        <v>1876</v>
      </c>
      <c r="N13" s="1113">
        <v>692</v>
      </c>
      <c r="O13" s="1113">
        <v>728</v>
      </c>
      <c r="P13" s="1114">
        <v>51</v>
      </c>
      <c r="Q13" s="1114">
        <v>53</v>
      </c>
      <c r="R13" s="949">
        <f t="shared" si="5"/>
        <v>1988</v>
      </c>
      <c r="S13" s="950">
        <f t="shared" si="6"/>
        <v>2100</v>
      </c>
      <c r="T13" s="1113">
        <v>669</v>
      </c>
      <c r="U13" s="1113">
        <v>704</v>
      </c>
      <c r="V13" s="1114">
        <v>49</v>
      </c>
      <c r="W13" s="1114">
        <v>51</v>
      </c>
      <c r="X13" s="949">
        <f t="shared" si="7"/>
        <v>1764</v>
      </c>
      <c r="Y13" s="950">
        <f t="shared" si="8"/>
        <v>1876</v>
      </c>
      <c r="Z13" s="1113">
        <v>572</v>
      </c>
      <c r="AA13" s="1113">
        <v>602</v>
      </c>
      <c r="AB13" s="1114">
        <v>43</v>
      </c>
      <c r="AC13" s="1114">
        <v>45</v>
      </c>
      <c r="AD13" s="949">
        <f t="shared" si="9"/>
        <v>1470</v>
      </c>
      <c r="AE13" s="950">
        <f t="shared" si="10"/>
        <v>1582</v>
      </c>
      <c r="AF13" s="1113">
        <v>677</v>
      </c>
      <c r="AG13" s="1113">
        <v>711</v>
      </c>
      <c r="AH13" s="1114">
        <v>51</v>
      </c>
      <c r="AI13" s="1114">
        <v>53</v>
      </c>
      <c r="AJ13" s="949">
        <f t="shared" si="11"/>
        <v>1680</v>
      </c>
      <c r="AK13" s="950">
        <f t="shared" si="12"/>
        <v>1806</v>
      </c>
      <c r="AL13" s="1113">
        <v>680</v>
      </c>
      <c r="AM13" s="1113">
        <v>760</v>
      </c>
      <c r="AN13" s="1114">
        <v>47</v>
      </c>
      <c r="AO13" s="1114">
        <v>56</v>
      </c>
      <c r="AP13" s="949">
        <f t="shared" si="13"/>
        <v>1575</v>
      </c>
      <c r="AQ13" s="950">
        <f t="shared" si="14"/>
        <v>1925</v>
      </c>
      <c r="AR13" s="1113">
        <v>600</v>
      </c>
      <c r="AS13" s="1113">
        <v>650</v>
      </c>
      <c r="AT13" s="1114">
        <v>42</v>
      </c>
      <c r="AU13" s="1114">
        <v>46</v>
      </c>
      <c r="AV13" s="949">
        <f t="shared" si="15"/>
        <v>1554</v>
      </c>
      <c r="AW13" s="950">
        <f t="shared" si="16"/>
        <v>1764</v>
      </c>
      <c r="AX13" s="1113">
        <v>614</v>
      </c>
      <c r="AY13" s="1113">
        <v>646</v>
      </c>
      <c r="AZ13" s="1114">
        <v>48</v>
      </c>
      <c r="BA13" s="1114">
        <v>50</v>
      </c>
      <c r="BB13" s="949">
        <f t="shared" si="17"/>
        <v>1708</v>
      </c>
      <c r="BC13" s="950">
        <f t="shared" si="18"/>
        <v>1820</v>
      </c>
      <c r="BD13" s="1113">
        <v>657</v>
      </c>
      <c r="BE13" s="1113">
        <v>697</v>
      </c>
      <c r="BF13" s="1114">
        <v>50</v>
      </c>
      <c r="BG13" s="1114">
        <v>52</v>
      </c>
      <c r="BH13" s="949">
        <f t="shared" si="19"/>
        <v>1708</v>
      </c>
      <c r="BI13" s="950">
        <f t="shared" si="20"/>
        <v>1820</v>
      </c>
      <c r="BJ13" s="1113">
        <v>608</v>
      </c>
      <c r="BK13" s="1113">
        <v>646</v>
      </c>
      <c r="BL13" s="1114">
        <v>44</v>
      </c>
      <c r="BM13" s="1114">
        <v>46</v>
      </c>
      <c r="BN13" s="949">
        <f t="shared" si="21"/>
        <v>1596</v>
      </c>
      <c r="BO13" s="950">
        <f t="shared" si="22"/>
        <v>1708</v>
      </c>
      <c r="BP13" s="1113">
        <v>678</v>
      </c>
      <c r="BQ13" s="1113">
        <v>712</v>
      </c>
      <c r="BR13" s="1114">
        <v>50</v>
      </c>
      <c r="BS13" s="1114">
        <v>52</v>
      </c>
      <c r="BT13" s="949">
        <f t="shared" si="23"/>
        <v>1820</v>
      </c>
      <c r="BU13" s="950">
        <f t="shared" si="24"/>
        <v>1932</v>
      </c>
      <c r="BX13" s="1123">
        <f t="shared" si="25"/>
        <v>8</v>
      </c>
      <c r="BY13" s="1128">
        <v>12.428571428571429</v>
      </c>
      <c r="BZ13" s="1128">
        <v>13.571428571428571</v>
      </c>
      <c r="CA13" s="1128">
        <v>24.428571428571431</v>
      </c>
      <c r="CB13" s="1128">
        <v>13.571428571428571</v>
      </c>
      <c r="CC13" s="1128">
        <v>11.428571428571429</v>
      </c>
      <c r="CD13" s="1128">
        <v>13.428571428571429</v>
      </c>
      <c r="CE13" s="1128">
        <v>17.5</v>
      </c>
      <c r="CF13" s="1128">
        <v>14.428571428571429</v>
      </c>
      <c r="CG13" s="1128">
        <v>12.571428571428571</v>
      </c>
      <c r="CH13" s="1128">
        <v>14.857142857142858</v>
      </c>
      <c r="CI13" s="1128">
        <v>14.428571428571429</v>
      </c>
      <c r="CJ13" s="1129">
        <v>14.571428571428571</v>
      </c>
    </row>
    <row r="14" spans="1:88" x14ac:dyDescent="0.3">
      <c r="A14" s="948">
        <f t="shared" si="0"/>
        <v>9</v>
      </c>
      <c r="B14" s="1113">
        <v>663</v>
      </c>
      <c r="C14" s="1113">
        <v>697</v>
      </c>
      <c r="D14" s="1114">
        <v>47</v>
      </c>
      <c r="E14" s="1114">
        <v>49</v>
      </c>
      <c r="F14" s="949">
        <f t="shared" si="1"/>
        <v>1848</v>
      </c>
      <c r="G14" s="950">
        <f t="shared" si="2"/>
        <v>1974</v>
      </c>
      <c r="H14" s="1113">
        <v>726</v>
      </c>
      <c r="I14" s="1113">
        <v>764</v>
      </c>
      <c r="J14" s="1114">
        <v>53</v>
      </c>
      <c r="K14" s="1114">
        <v>55</v>
      </c>
      <c r="L14" s="949">
        <f t="shared" si="3"/>
        <v>2135</v>
      </c>
      <c r="M14" s="950">
        <f t="shared" si="4"/>
        <v>2261</v>
      </c>
      <c r="N14" s="1113">
        <v>780</v>
      </c>
      <c r="O14" s="1113">
        <v>820</v>
      </c>
      <c r="P14" s="1114">
        <v>54</v>
      </c>
      <c r="Q14" s="1114">
        <v>56</v>
      </c>
      <c r="R14" s="949">
        <f t="shared" si="5"/>
        <v>2366</v>
      </c>
      <c r="S14" s="950">
        <f t="shared" si="6"/>
        <v>2492</v>
      </c>
      <c r="T14" s="1113">
        <v>774</v>
      </c>
      <c r="U14" s="1113">
        <v>813</v>
      </c>
      <c r="V14" s="1114">
        <v>53</v>
      </c>
      <c r="W14" s="1114">
        <v>55</v>
      </c>
      <c r="X14" s="949">
        <f t="shared" si="7"/>
        <v>2135</v>
      </c>
      <c r="Y14" s="950">
        <f t="shared" si="8"/>
        <v>2261</v>
      </c>
      <c r="Z14" s="1113">
        <v>652</v>
      </c>
      <c r="AA14" s="1113">
        <v>686</v>
      </c>
      <c r="AB14" s="1114">
        <v>46</v>
      </c>
      <c r="AC14" s="1114">
        <v>48</v>
      </c>
      <c r="AD14" s="949">
        <f t="shared" si="9"/>
        <v>1792</v>
      </c>
      <c r="AE14" s="950">
        <f t="shared" si="10"/>
        <v>1918</v>
      </c>
      <c r="AF14" s="1113">
        <v>769</v>
      </c>
      <c r="AG14" s="1113">
        <v>809</v>
      </c>
      <c r="AH14" s="1114">
        <v>56</v>
      </c>
      <c r="AI14" s="1114">
        <v>58</v>
      </c>
      <c r="AJ14" s="949">
        <f t="shared" si="11"/>
        <v>2072</v>
      </c>
      <c r="AK14" s="950">
        <f t="shared" si="12"/>
        <v>2212</v>
      </c>
      <c r="AL14" s="1113">
        <v>780</v>
      </c>
      <c r="AM14" s="1113">
        <v>880</v>
      </c>
      <c r="AN14" s="1114">
        <v>52</v>
      </c>
      <c r="AO14" s="1114">
        <v>61</v>
      </c>
      <c r="AP14" s="949">
        <f t="shared" si="13"/>
        <v>1939</v>
      </c>
      <c r="AQ14" s="950">
        <f t="shared" si="14"/>
        <v>2352</v>
      </c>
      <c r="AR14" s="1113">
        <v>700</v>
      </c>
      <c r="AS14" s="1113">
        <v>740</v>
      </c>
      <c r="AT14" s="1114">
        <v>44</v>
      </c>
      <c r="AU14" s="1114">
        <v>50</v>
      </c>
      <c r="AV14" s="949">
        <f t="shared" si="15"/>
        <v>1862</v>
      </c>
      <c r="AW14" s="950">
        <f t="shared" si="16"/>
        <v>2114</v>
      </c>
      <c r="AX14" s="1113">
        <v>702</v>
      </c>
      <c r="AY14" s="1113">
        <v>738</v>
      </c>
      <c r="AZ14" s="1114">
        <v>52</v>
      </c>
      <c r="BA14" s="1114">
        <v>54</v>
      </c>
      <c r="BB14" s="949">
        <f t="shared" si="17"/>
        <v>2072</v>
      </c>
      <c r="BC14" s="950">
        <f t="shared" si="18"/>
        <v>2198</v>
      </c>
      <c r="BD14" s="1113">
        <v>754</v>
      </c>
      <c r="BE14" s="1113">
        <v>800</v>
      </c>
      <c r="BF14" s="1114">
        <v>54</v>
      </c>
      <c r="BG14" s="1114">
        <v>56</v>
      </c>
      <c r="BH14" s="949">
        <f t="shared" si="19"/>
        <v>2086</v>
      </c>
      <c r="BI14" s="950">
        <f t="shared" si="20"/>
        <v>2212</v>
      </c>
      <c r="BJ14" s="1113">
        <v>700</v>
      </c>
      <c r="BK14" s="1113">
        <v>744</v>
      </c>
      <c r="BL14" s="1114">
        <v>48</v>
      </c>
      <c r="BM14" s="1114">
        <v>50</v>
      </c>
      <c r="BN14" s="949">
        <f t="shared" si="21"/>
        <v>1932</v>
      </c>
      <c r="BO14" s="950">
        <f t="shared" si="22"/>
        <v>2058</v>
      </c>
      <c r="BP14" s="1113">
        <v>770</v>
      </c>
      <c r="BQ14" s="1113">
        <v>810</v>
      </c>
      <c r="BR14" s="1114">
        <v>54</v>
      </c>
      <c r="BS14" s="1114">
        <v>56</v>
      </c>
      <c r="BT14" s="949">
        <f t="shared" si="23"/>
        <v>2198</v>
      </c>
      <c r="BU14" s="950">
        <f t="shared" si="24"/>
        <v>2324</v>
      </c>
      <c r="BX14" s="1123">
        <f t="shared" si="25"/>
        <v>9</v>
      </c>
      <c r="BY14" s="1128">
        <v>13.285714285714286</v>
      </c>
      <c r="BZ14" s="1128">
        <v>14.714285714285715</v>
      </c>
      <c r="CA14" s="1128">
        <v>25.285714285714285</v>
      </c>
      <c r="CB14" s="1128">
        <v>14.714285714285715</v>
      </c>
      <c r="CC14" s="1128">
        <v>12.285714285714286</v>
      </c>
      <c r="CD14" s="1128">
        <v>14.285714285714286</v>
      </c>
      <c r="CE14" s="1128">
        <v>18</v>
      </c>
      <c r="CF14" s="1128">
        <v>15.285714285714286</v>
      </c>
      <c r="CG14" s="1128">
        <v>13.714285714285715</v>
      </c>
      <c r="CH14" s="1128">
        <v>15.571428571428571</v>
      </c>
      <c r="CI14" s="1128">
        <v>15.285714285714286</v>
      </c>
      <c r="CJ14" s="1129">
        <v>15.714285714285715</v>
      </c>
    </row>
    <row r="15" spans="1:88" x14ac:dyDescent="0.3">
      <c r="A15" s="948">
        <f t="shared" si="0"/>
        <v>10</v>
      </c>
      <c r="B15" s="1113">
        <v>741</v>
      </c>
      <c r="C15" s="1113">
        <v>779</v>
      </c>
      <c r="D15" s="1114">
        <v>50</v>
      </c>
      <c r="E15" s="1114">
        <v>52</v>
      </c>
      <c r="F15" s="949">
        <f t="shared" si="1"/>
        <v>2198</v>
      </c>
      <c r="G15" s="950">
        <f t="shared" si="2"/>
        <v>2338</v>
      </c>
      <c r="H15" s="1113">
        <v>814</v>
      </c>
      <c r="I15" s="1113">
        <v>856</v>
      </c>
      <c r="J15" s="1114">
        <v>57</v>
      </c>
      <c r="K15" s="1114">
        <v>59</v>
      </c>
      <c r="L15" s="949">
        <f t="shared" si="3"/>
        <v>2534</v>
      </c>
      <c r="M15" s="950">
        <f t="shared" si="4"/>
        <v>2674</v>
      </c>
      <c r="N15" s="1113">
        <v>868</v>
      </c>
      <c r="O15" s="1113">
        <v>912</v>
      </c>
      <c r="P15" s="1114">
        <v>57</v>
      </c>
      <c r="Q15" s="1114">
        <v>59</v>
      </c>
      <c r="R15" s="949">
        <f t="shared" si="5"/>
        <v>2765</v>
      </c>
      <c r="S15" s="950">
        <f t="shared" si="6"/>
        <v>2905</v>
      </c>
      <c r="T15" s="1113">
        <v>872</v>
      </c>
      <c r="U15" s="1113">
        <v>917</v>
      </c>
      <c r="V15" s="1114">
        <v>57</v>
      </c>
      <c r="W15" s="1114">
        <v>59</v>
      </c>
      <c r="X15" s="949">
        <f t="shared" si="7"/>
        <v>2534</v>
      </c>
      <c r="Y15" s="950">
        <f t="shared" si="8"/>
        <v>2674</v>
      </c>
      <c r="Z15" s="1113">
        <v>733</v>
      </c>
      <c r="AA15" s="1113">
        <v>770</v>
      </c>
      <c r="AB15" s="1114">
        <v>50</v>
      </c>
      <c r="AC15" s="1114">
        <v>52</v>
      </c>
      <c r="AD15" s="949">
        <f t="shared" si="9"/>
        <v>2142</v>
      </c>
      <c r="AE15" s="950">
        <f t="shared" si="10"/>
        <v>2282</v>
      </c>
      <c r="AF15" s="1113">
        <v>858</v>
      </c>
      <c r="AG15" s="1113">
        <v>902</v>
      </c>
      <c r="AH15" s="1114">
        <v>60</v>
      </c>
      <c r="AI15" s="1114">
        <v>62</v>
      </c>
      <c r="AJ15" s="949">
        <f t="shared" si="11"/>
        <v>2492</v>
      </c>
      <c r="AK15" s="950">
        <f t="shared" si="12"/>
        <v>2646</v>
      </c>
      <c r="AL15" s="1113">
        <v>885</v>
      </c>
      <c r="AM15" s="1113">
        <v>995</v>
      </c>
      <c r="AN15" s="1114">
        <v>56</v>
      </c>
      <c r="AO15" s="1114">
        <v>64</v>
      </c>
      <c r="AP15" s="949">
        <f t="shared" si="13"/>
        <v>2331</v>
      </c>
      <c r="AQ15" s="950">
        <f t="shared" si="14"/>
        <v>2800</v>
      </c>
      <c r="AR15" s="1113">
        <v>780</v>
      </c>
      <c r="AS15" s="1113">
        <v>840</v>
      </c>
      <c r="AT15" s="1114">
        <v>48</v>
      </c>
      <c r="AU15" s="1114">
        <v>53</v>
      </c>
      <c r="AV15" s="949">
        <f t="shared" si="15"/>
        <v>2198</v>
      </c>
      <c r="AW15" s="950">
        <f t="shared" si="16"/>
        <v>2485</v>
      </c>
      <c r="AX15" s="1113">
        <v>790</v>
      </c>
      <c r="AY15" s="1113">
        <v>830</v>
      </c>
      <c r="AZ15" s="1114">
        <v>56</v>
      </c>
      <c r="BA15" s="1114">
        <v>58</v>
      </c>
      <c r="BB15" s="949">
        <f t="shared" si="17"/>
        <v>2464</v>
      </c>
      <c r="BC15" s="950">
        <f t="shared" si="18"/>
        <v>2604</v>
      </c>
      <c r="BD15" s="1113">
        <v>847</v>
      </c>
      <c r="BE15" s="1113">
        <v>899</v>
      </c>
      <c r="BF15" s="1114">
        <v>57</v>
      </c>
      <c r="BG15" s="1114">
        <v>59</v>
      </c>
      <c r="BH15" s="949">
        <f t="shared" si="19"/>
        <v>2485</v>
      </c>
      <c r="BI15" s="950">
        <f t="shared" si="20"/>
        <v>2625</v>
      </c>
      <c r="BJ15" s="1113">
        <v>790</v>
      </c>
      <c r="BK15" s="1113">
        <v>838</v>
      </c>
      <c r="BL15" s="1114">
        <v>52</v>
      </c>
      <c r="BM15" s="1114">
        <v>54</v>
      </c>
      <c r="BN15" s="949">
        <f t="shared" si="21"/>
        <v>2296</v>
      </c>
      <c r="BO15" s="950">
        <f t="shared" si="22"/>
        <v>2436</v>
      </c>
      <c r="BP15" s="1113">
        <v>878</v>
      </c>
      <c r="BQ15" s="1113">
        <v>923</v>
      </c>
      <c r="BR15" s="1114">
        <v>58</v>
      </c>
      <c r="BS15" s="1114">
        <v>60</v>
      </c>
      <c r="BT15" s="949">
        <f t="shared" si="23"/>
        <v>2604</v>
      </c>
      <c r="BU15" s="950">
        <f t="shared" si="24"/>
        <v>2744</v>
      </c>
      <c r="BX15" s="1123">
        <f t="shared" si="25"/>
        <v>10</v>
      </c>
      <c r="BY15" s="1128">
        <v>14.142857142857142</v>
      </c>
      <c r="BZ15" s="1128">
        <v>15.857142857142858</v>
      </c>
      <c r="CA15" s="1128">
        <v>26.142857142857142</v>
      </c>
      <c r="CB15" s="1128">
        <v>15.857142857142858</v>
      </c>
      <c r="CC15" s="1128">
        <v>13.142857142857142</v>
      </c>
      <c r="CD15" s="1128">
        <v>15.142857142857142</v>
      </c>
      <c r="CE15" s="1128">
        <v>18.5</v>
      </c>
      <c r="CF15" s="1128">
        <v>16.142857142857142</v>
      </c>
      <c r="CG15" s="1128">
        <v>14.857142857142858</v>
      </c>
      <c r="CH15" s="1128">
        <v>16.285714285714285</v>
      </c>
      <c r="CI15" s="1128">
        <v>16.142857142857142</v>
      </c>
      <c r="CJ15" s="1129">
        <v>16.857142857142858</v>
      </c>
    </row>
    <row r="16" spans="1:88" x14ac:dyDescent="0.3">
      <c r="A16" s="948">
        <f t="shared" si="0"/>
        <v>11</v>
      </c>
      <c r="B16" s="1113">
        <v>824</v>
      </c>
      <c r="C16" s="1113">
        <v>866</v>
      </c>
      <c r="D16" s="1114">
        <v>53</v>
      </c>
      <c r="E16" s="1114">
        <v>55</v>
      </c>
      <c r="F16" s="949">
        <f t="shared" si="1"/>
        <v>2569</v>
      </c>
      <c r="G16" s="950">
        <f t="shared" si="2"/>
        <v>2723</v>
      </c>
      <c r="H16" s="1113">
        <v>907</v>
      </c>
      <c r="I16" s="1113">
        <v>953</v>
      </c>
      <c r="J16" s="1114">
        <v>60</v>
      </c>
      <c r="K16" s="1114">
        <v>62</v>
      </c>
      <c r="L16" s="949">
        <f t="shared" si="3"/>
        <v>2954</v>
      </c>
      <c r="M16" s="950">
        <f t="shared" si="4"/>
        <v>3108</v>
      </c>
      <c r="N16" s="1113">
        <v>956</v>
      </c>
      <c r="O16" s="1113">
        <v>1005</v>
      </c>
      <c r="P16" s="1114">
        <v>60</v>
      </c>
      <c r="Q16" s="1114">
        <v>62</v>
      </c>
      <c r="R16" s="949">
        <f t="shared" si="5"/>
        <v>3185</v>
      </c>
      <c r="S16" s="950">
        <f t="shared" si="6"/>
        <v>3339</v>
      </c>
      <c r="T16" s="1113">
        <v>964</v>
      </c>
      <c r="U16" s="1113">
        <v>1014</v>
      </c>
      <c r="V16" s="1114">
        <v>60</v>
      </c>
      <c r="W16" s="1114">
        <v>62</v>
      </c>
      <c r="X16" s="949">
        <f t="shared" si="7"/>
        <v>2954</v>
      </c>
      <c r="Y16" s="950">
        <f t="shared" si="8"/>
        <v>3108</v>
      </c>
      <c r="Z16" s="1113">
        <v>812</v>
      </c>
      <c r="AA16" s="1113">
        <v>854</v>
      </c>
      <c r="AB16" s="1114">
        <v>53</v>
      </c>
      <c r="AC16" s="1114">
        <v>55</v>
      </c>
      <c r="AD16" s="949">
        <f t="shared" si="9"/>
        <v>2513</v>
      </c>
      <c r="AE16" s="950">
        <f t="shared" si="10"/>
        <v>2667</v>
      </c>
      <c r="AF16" s="1113">
        <v>943</v>
      </c>
      <c r="AG16" s="1113">
        <v>991</v>
      </c>
      <c r="AH16" s="1114">
        <v>63</v>
      </c>
      <c r="AI16" s="1114">
        <v>65</v>
      </c>
      <c r="AJ16" s="949">
        <f t="shared" si="11"/>
        <v>2933</v>
      </c>
      <c r="AK16" s="950">
        <f t="shared" si="12"/>
        <v>3101</v>
      </c>
      <c r="AL16" s="1113">
        <v>995</v>
      </c>
      <c r="AM16" s="1113">
        <v>1105</v>
      </c>
      <c r="AN16" s="1114">
        <v>60</v>
      </c>
      <c r="AO16" s="1114">
        <v>69</v>
      </c>
      <c r="AP16" s="949">
        <f t="shared" si="13"/>
        <v>2751</v>
      </c>
      <c r="AQ16" s="950">
        <f t="shared" si="14"/>
        <v>3283</v>
      </c>
      <c r="AR16" s="1113">
        <v>860</v>
      </c>
      <c r="AS16" s="1113">
        <v>910</v>
      </c>
      <c r="AT16" s="1114">
        <v>51</v>
      </c>
      <c r="AU16" s="1114">
        <v>56</v>
      </c>
      <c r="AV16" s="949">
        <f t="shared" si="15"/>
        <v>2555</v>
      </c>
      <c r="AW16" s="950">
        <f t="shared" si="16"/>
        <v>2877</v>
      </c>
      <c r="AX16" s="1113">
        <v>878</v>
      </c>
      <c r="AY16" s="1113">
        <v>923</v>
      </c>
      <c r="AZ16" s="1114">
        <v>59</v>
      </c>
      <c r="BA16" s="1114">
        <v>61</v>
      </c>
      <c r="BB16" s="949">
        <f t="shared" si="17"/>
        <v>2877</v>
      </c>
      <c r="BC16" s="950">
        <f t="shared" si="18"/>
        <v>3031</v>
      </c>
      <c r="BD16" s="1113">
        <v>934</v>
      </c>
      <c r="BE16" s="1113">
        <v>992</v>
      </c>
      <c r="BF16" s="1114">
        <v>59</v>
      </c>
      <c r="BG16" s="1114">
        <v>61</v>
      </c>
      <c r="BH16" s="949">
        <f t="shared" si="19"/>
        <v>2898</v>
      </c>
      <c r="BI16" s="950">
        <f t="shared" si="20"/>
        <v>3052</v>
      </c>
      <c r="BJ16" s="1113">
        <v>874</v>
      </c>
      <c r="BK16" s="1113">
        <v>928</v>
      </c>
      <c r="BL16" s="1114">
        <v>55</v>
      </c>
      <c r="BM16" s="1114">
        <v>57</v>
      </c>
      <c r="BN16" s="949">
        <f t="shared" si="21"/>
        <v>2681</v>
      </c>
      <c r="BO16" s="950">
        <f t="shared" si="22"/>
        <v>2835</v>
      </c>
      <c r="BP16" s="1113">
        <v>965</v>
      </c>
      <c r="BQ16" s="1113">
        <v>1015</v>
      </c>
      <c r="BR16" s="1114">
        <v>63</v>
      </c>
      <c r="BS16" s="1114">
        <v>65</v>
      </c>
      <c r="BT16" s="949">
        <f t="shared" si="23"/>
        <v>3045</v>
      </c>
      <c r="BU16" s="950">
        <f t="shared" si="24"/>
        <v>3199</v>
      </c>
      <c r="BX16" s="1123">
        <f t="shared" si="25"/>
        <v>11</v>
      </c>
      <c r="BY16" s="1128">
        <v>15</v>
      </c>
      <c r="BZ16" s="1128">
        <v>17</v>
      </c>
      <c r="CA16" s="1128">
        <v>27</v>
      </c>
      <c r="CB16" s="1128">
        <v>17</v>
      </c>
      <c r="CC16" s="1128">
        <v>14</v>
      </c>
      <c r="CD16" s="1128">
        <v>16</v>
      </c>
      <c r="CE16" s="1128">
        <v>19</v>
      </c>
      <c r="CF16" s="1128">
        <v>17</v>
      </c>
      <c r="CG16" s="1128">
        <v>16</v>
      </c>
      <c r="CH16" s="1128">
        <v>17</v>
      </c>
      <c r="CI16" s="1128">
        <v>17</v>
      </c>
      <c r="CJ16" s="1129">
        <v>18</v>
      </c>
    </row>
    <row r="17" spans="1:88" x14ac:dyDescent="0.3">
      <c r="A17" s="948">
        <f t="shared" si="0"/>
        <v>12</v>
      </c>
      <c r="B17" s="1113">
        <v>902</v>
      </c>
      <c r="C17" s="1113">
        <v>948</v>
      </c>
      <c r="D17" s="1114">
        <v>56</v>
      </c>
      <c r="E17" s="1114">
        <v>58</v>
      </c>
      <c r="F17" s="949">
        <f t="shared" si="1"/>
        <v>2961</v>
      </c>
      <c r="G17" s="950">
        <f t="shared" si="2"/>
        <v>3129</v>
      </c>
      <c r="H17" s="1113">
        <v>999</v>
      </c>
      <c r="I17" s="1113">
        <v>1051</v>
      </c>
      <c r="J17" s="1114">
        <v>63</v>
      </c>
      <c r="K17" s="1114">
        <v>65</v>
      </c>
      <c r="L17" s="949">
        <f t="shared" si="3"/>
        <v>3395</v>
      </c>
      <c r="M17" s="950">
        <f t="shared" si="4"/>
        <v>3563</v>
      </c>
      <c r="N17" s="1113">
        <v>1043</v>
      </c>
      <c r="O17" s="1113">
        <v>1097</v>
      </c>
      <c r="P17" s="1114">
        <v>63</v>
      </c>
      <c r="Q17" s="1114">
        <v>65</v>
      </c>
      <c r="R17" s="949">
        <f t="shared" si="5"/>
        <v>3626</v>
      </c>
      <c r="S17" s="950">
        <f t="shared" si="6"/>
        <v>3794</v>
      </c>
      <c r="T17" s="1113">
        <v>1050</v>
      </c>
      <c r="U17" s="1113">
        <v>1103</v>
      </c>
      <c r="V17" s="1114">
        <v>63</v>
      </c>
      <c r="W17" s="1114">
        <v>65</v>
      </c>
      <c r="X17" s="949">
        <f t="shared" si="7"/>
        <v>3395</v>
      </c>
      <c r="Y17" s="950">
        <f t="shared" si="8"/>
        <v>3563</v>
      </c>
      <c r="Z17" s="1113">
        <v>891</v>
      </c>
      <c r="AA17" s="1113">
        <v>937</v>
      </c>
      <c r="AB17" s="1114">
        <v>56</v>
      </c>
      <c r="AC17" s="1114">
        <v>58</v>
      </c>
      <c r="AD17" s="949">
        <f t="shared" si="9"/>
        <v>2905</v>
      </c>
      <c r="AE17" s="950">
        <f t="shared" si="10"/>
        <v>3073</v>
      </c>
      <c r="AF17" s="1113">
        <v>1026</v>
      </c>
      <c r="AG17" s="1113">
        <v>1078</v>
      </c>
      <c r="AH17" s="1114">
        <v>65</v>
      </c>
      <c r="AI17" s="1114">
        <v>67</v>
      </c>
      <c r="AJ17" s="949">
        <f t="shared" si="11"/>
        <v>3388</v>
      </c>
      <c r="AK17" s="950">
        <f t="shared" si="12"/>
        <v>3570</v>
      </c>
      <c r="AL17" s="1113">
        <v>1095</v>
      </c>
      <c r="AM17" s="1113">
        <v>1205</v>
      </c>
      <c r="AN17" s="1114">
        <v>62</v>
      </c>
      <c r="AO17" s="1114">
        <v>72</v>
      </c>
      <c r="AP17" s="949">
        <f t="shared" si="13"/>
        <v>3185</v>
      </c>
      <c r="AQ17" s="950">
        <f t="shared" si="14"/>
        <v>3787</v>
      </c>
      <c r="AR17" s="1113">
        <v>920</v>
      </c>
      <c r="AS17" s="1113">
        <v>990</v>
      </c>
      <c r="AT17" s="1114">
        <v>54</v>
      </c>
      <c r="AU17" s="1114">
        <v>59</v>
      </c>
      <c r="AV17" s="949">
        <f t="shared" si="15"/>
        <v>2933</v>
      </c>
      <c r="AW17" s="950">
        <f t="shared" si="16"/>
        <v>3290</v>
      </c>
      <c r="AX17" s="1113">
        <v>975</v>
      </c>
      <c r="AY17" s="1113">
        <v>1025</v>
      </c>
      <c r="AZ17" s="1114">
        <v>62</v>
      </c>
      <c r="BA17" s="1114">
        <v>64</v>
      </c>
      <c r="BB17" s="949">
        <f t="shared" si="17"/>
        <v>3311</v>
      </c>
      <c r="BC17" s="950">
        <f t="shared" si="18"/>
        <v>3479</v>
      </c>
      <c r="BD17" s="1113">
        <v>1016</v>
      </c>
      <c r="BE17" s="1113">
        <v>1078</v>
      </c>
      <c r="BF17" s="1114">
        <v>63</v>
      </c>
      <c r="BG17" s="1114">
        <v>65</v>
      </c>
      <c r="BH17" s="949">
        <f t="shared" si="19"/>
        <v>3339</v>
      </c>
      <c r="BI17" s="950">
        <f t="shared" si="20"/>
        <v>3507</v>
      </c>
      <c r="BJ17" s="1113">
        <v>947</v>
      </c>
      <c r="BK17" s="1113">
        <v>1005</v>
      </c>
      <c r="BL17" s="1114">
        <v>59</v>
      </c>
      <c r="BM17" s="1114">
        <v>61</v>
      </c>
      <c r="BN17" s="949">
        <f t="shared" si="21"/>
        <v>3094</v>
      </c>
      <c r="BO17" s="950">
        <f t="shared" si="22"/>
        <v>3262</v>
      </c>
      <c r="BP17" s="1113">
        <v>1063</v>
      </c>
      <c r="BQ17" s="1113">
        <v>1117</v>
      </c>
      <c r="BR17" s="1114">
        <v>68</v>
      </c>
      <c r="BS17" s="1114">
        <v>70</v>
      </c>
      <c r="BT17" s="949">
        <f t="shared" si="23"/>
        <v>3521</v>
      </c>
      <c r="BU17" s="950">
        <f t="shared" si="24"/>
        <v>3689</v>
      </c>
      <c r="BX17" s="1123">
        <f t="shared" si="25"/>
        <v>12</v>
      </c>
      <c r="BY17" s="1128">
        <v>15.857142857142858</v>
      </c>
      <c r="BZ17" s="1128">
        <v>18.142857142857142</v>
      </c>
      <c r="CA17" s="1128">
        <v>27.857142857142858</v>
      </c>
      <c r="CB17" s="1128">
        <v>18.142857142857142</v>
      </c>
      <c r="CC17" s="1128">
        <v>14.857142857142858</v>
      </c>
      <c r="CD17" s="1128">
        <v>16.857142857142858</v>
      </c>
      <c r="CE17" s="1128">
        <v>19.5</v>
      </c>
      <c r="CF17" s="1128">
        <v>17.857142857142858</v>
      </c>
      <c r="CG17" s="1128">
        <v>17.142857142857142</v>
      </c>
      <c r="CH17" s="1128">
        <v>17.714285714285715</v>
      </c>
      <c r="CI17" s="1128">
        <v>17.857142857142858</v>
      </c>
      <c r="CJ17" s="1129">
        <v>19.142857142857142</v>
      </c>
    </row>
    <row r="18" spans="1:88" x14ac:dyDescent="0.3">
      <c r="A18" s="948">
        <f t="shared" si="0"/>
        <v>13</v>
      </c>
      <c r="B18" s="1113">
        <v>975</v>
      </c>
      <c r="C18" s="1113">
        <v>1025</v>
      </c>
      <c r="D18" s="1114">
        <v>59</v>
      </c>
      <c r="E18" s="1114">
        <v>61</v>
      </c>
      <c r="F18" s="949">
        <f t="shared" si="1"/>
        <v>3374</v>
      </c>
      <c r="G18" s="950">
        <f t="shared" si="2"/>
        <v>3556</v>
      </c>
      <c r="H18" s="1113">
        <v>1092</v>
      </c>
      <c r="I18" s="1113">
        <v>1148</v>
      </c>
      <c r="J18" s="1114">
        <v>66</v>
      </c>
      <c r="K18" s="1114">
        <v>68</v>
      </c>
      <c r="L18" s="949">
        <f t="shared" si="3"/>
        <v>3857</v>
      </c>
      <c r="M18" s="950">
        <f t="shared" si="4"/>
        <v>4039</v>
      </c>
      <c r="N18" s="1113">
        <v>1136</v>
      </c>
      <c r="O18" s="1113">
        <v>1194</v>
      </c>
      <c r="P18" s="1114">
        <v>66</v>
      </c>
      <c r="Q18" s="1114">
        <v>68</v>
      </c>
      <c r="R18" s="949">
        <f t="shared" si="5"/>
        <v>4088</v>
      </c>
      <c r="S18" s="950">
        <f t="shared" si="6"/>
        <v>4270</v>
      </c>
      <c r="T18" s="1113">
        <v>1132</v>
      </c>
      <c r="U18" s="1113">
        <v>1190</v>
      </c>
      <c r="V18" s="1114">
        <v>66</v>
      </c>
      <c r="W18" s="1114">
        <v>68</v>
      </c>
      <c r="X18" s="949">
        <f t="shared" si="7"/>
        <v>3857</v>
      </c>
      <c r="Y18" s="950">
        <f t="shared" si="8"/>
        <v>4039</v>
      </c>
      <c r="Z18" s="1113">
        <v>968</v>
      </c>
      <c r="AA18" s="1113">
        <v>1017</v>
      </c>
      <c r="AB18" s="1114">
        <v>59</v>
      </c>
      <c r="AC18" s="1114">
        <v>61</v>
      </c>
      <c r="AD18" s="949">
        <f t="shared" si="9"/>
        <v>3318</v>
      </c>
      <c r="AE18" s="950">
        <f t="shared" si="10"/>
        <v>3500</v>
      </c>
      <c r="AF18" s="1113">
        <v>1106</v>
      </c>
      <c r="AG18" s="1113">
        <v>1162</v>
      </c>
      <c r="AH18" s="1114">
        <v>66</v>
      </c>
      <c r="AI18" s="1114">
        <v>68</v>
      </c>
      <c r="AJ18" s="949">
        <f t="shared" si="11"/>
        <v>3850</v>
      </c>
      <c r="AK18" s="950">
        <f t="shared" si="12"/>
        <v>4046</v>
      </c>
      <c r="AL18" s="1113">
        <v>1175</v>
      </c>
      <c r="AM18" s="1113">
        <v>1295</v>
      </c>
      <c r="AN18" s="1114">
        <v>64</v>
      </c>
      <c r="AO18" s="1114">
        <v>74</v>
      </c>
      <c r="AP18" s="949">
        <f t="shared" si="13"/>
        <v>3633</v>
      </c>
      <c r="AQ18" s="950">
        <f t="shared" si="14"/>
        <v>4305</v>
      </c>
      <c r="AR18" s="1113">
        <v>980</v>
      </c>
      <c r="AS18" s="1113">
        <v>1050</v>
      </c>
      <c r="AT18" s="1114">
        <v>57</v>
      </c>
      <c r="AU18" s="1114">
        <v>62</v>
      </c>
      <c r="AV18" s="949">
        <f t="shared" si="15"/>
        <v>3332</v>
      </c>
      <c r="AW18" s="950">
        <f t="shared" si="16"/>
        <v>3724</v>
      </c>
      <c r="AX18" s="1113">
        <v>1068</v>
      </c>
      <c r="AY18" s="1113">
        <v>1122</v>
      </c>
      <c r="AZ18" s="1114">
        <v>65</v>
      </c>
      <c r="BA18" s="1114">
        <v>67</v>
      </c>
      <c r="BB18" s="949">
        <f t="shared" si="17"/>
        <v>3766</v>
      </c>
      <c r="BC18" s="950">
        <f t="shared" si="18"/>
        <v>3948</v>
      </c>
      <c r="BD18" s="1113">
        <v>1094</v>
      </c>
      <c r="BE18" s="1113">
        <v>1162</v>
      </c>
      <c r="BF18" s="1114">
        <v>64</v>
      </c>
      <c r="BG18" s="1114">
        <v>66</v>
      </c>
      <c r="BH18" s="949">
        <f t="shared" si="19"/>
        <v>3787</v>
      </c>
      <c r="BI18" s="950">
        <f t="shared" si="20"/>
        <v>3969</v>
      </c>
      <c r="BJ18" s="1113">
        <v>1010</v>
      </c>
      <c r="BK18" s="1113">
        <v>1072</v>
      </c>
      <c r="BL18" s="1114">
        <v>63</v>
      </c>
      <c r="BM18" s="1114">
        <v>65</v>
      </c>
      <c r="BN18" s="949">
        <f t="shared" si="21"/>
        <v>3535</v>
      </c>
      <c r="BO18" s="950">
        <f t="shared" si="22"/>
        <v>3717</v>
      </c>
      <c r="BP18" s="1113">
        <v>1151</v>
      </c>
      <c r="BQ18" s="1113">
        <v>1210</v>
      </c>
      <c r="BR18" s="1114">
        <v>69</v>
      </c>
      <c r="BS18" s="1114">
        <v>71</v>
      </c>
      <c r="BT18" s="949">
        <f t="shared" si="23"/>
        <v>4004</v>
      </c>
      <c r="BU18" s="950">
        <f t="shared" si="24"/>
        <v>4186</v>
      </c>
      <c r="BX18" s="1123">
        <f t="shared" si="25"/>
        <v>13</v>
      </c>
      <c r="BY18" s="1128">
        <v>16.714285714285715</v>
      </c>
      <c r="BZ18" s="1128">
        <v>19.285714285714285</v>
      </c>
      <c r="CA18" s="1128">
        <v>28.714285714285715</v>
      </c>
      <c r="CB18" s="1128">
        <v>19.285714285714285</v>
      </c>
      <c r="CC18" s="1128">
        <v>15.714285714285714</v>
      </c>
      <c r="CD18" s="1128">
        <v>17.714285714285715</v>
      </c>
      <c r="CE18" s="1128">
        <v>20</v>
      </c>
      <c r="CF18" s="1128">
        <v>18.714285714285715</v>
      </c>
      <c r="CG18" s="1128">
        <v>18.285714285714285</v>
      </c>
      <c r="CH18" s="1128">
        <v>18.428571428571427</v>
      </c>
      <c r="CI18" s="1128">
        <v>18.714285714285715</v>
      </c>
      <c r="CJ18" s="1129">
        <v>20.285714285714285</v>
      </c>
    </row>
    <row r="19" spans="1:88" x14ac:dyDescent="0.3">
      <c r="A19" s="948">
        <f t="shared" si="0"/>
        <v>14</v>
      </c>
      <c r="B19" s="1113">
        <v>1043</v>
      </c>
      <c r="C19" s="1113">
        <v>1097</v>
      </c>
      <c r="D19" s="1114">
        <v>62</v>
      </c>
      <c r="E19" s="1114">
        <v>64</v>
      </c>
      <c r="F19" s="949">
        <f t="shared" si="1"/>
        <v>3808</v>
      </c>
      <c r="G19" s="950">
        <f t="shared" si="2"/>
        <v>4004</v>
      </c>
      <c r="H19" s="1113">
        <v>1175</v>
      </c>
      <c r="I19" s="1113">
        <v>1235</v>
      </c>
      <c r="J19" s="1114">
        <v>69</v>
      </c>
      <c r="K19" s="1114">
        <v>71</v>
      </c>
      <c r="L19" s="949">
        <f t="shared" si="3"/>
        <v>4340</v>
      </c>
      <c r="M19" s="950">
        <f t="shared" si="4"/>
        <v>4536</v>
      </c>
      <c r="N19" s="1113">
        <v>1229</v>
      </c>
      <c r="O19" s="1113">
        <v>1292</v>
      </c>
      <c r="P19" s="1114">
        <v>69</v>
      </c>
      <c r="Q19" s="1114">
        <v>71</v>
      </c>
      <c r="R19" s="949">
        <f t="shared" si="5"/>
        <v>4571</v>
      </c>
      <c r="S19" s="950">
        <f t="shared" si="6"/>
        <v>4767</v>
      </c>
      <c r="T19" s="1113">
        <v>1207</v>
      </c>
      <c r="U19" s="1113">
        <v>1268</v>
      </c>
      <c r="V19" s="1114">
        <v>69</v>
      </c>
      <c r="W19" s="1114">
        <v>71</v>
      </c>
      <c r="X19" s="949">
        <f t="shared" si="7"/>
        <v>4340</v>
      </c>
      <c r="Y19" s="950">
        <f t="shared" si="8"/>
        <v>4536</v>
      </c>
      <c r="Z19" s="1113">
        <v>1042</v>
      </c>
      <c r="AA19" s="1113">
        <v>1096</v>
      </c>
      <c r="AB19" s="1114">
        <v>61</v>
      </c>
      <c r="AC19" s="1114">
        <v>63</v>
      </c>
      <c r="AD19" s="949">
        <f t="shared" si="9"/>
        <v>3745</v>
      </c>
      <c r="AE19" s="950">
        <f t="shared" si="10"/>
        <v>3941</v>
      </c>
      <c r="AF19" s="1113">
        <v>1183</v>
      </c>
      <c r="AG19" s="1113">
        <v>1243</v>
      </c>
      <c r="AH19" s="1114">
        <v>67</v>
      </c>
      <c r="AI19" s="1114">
        <v>71</v>
      </c>
      <c r="AJ19" s="949">
        <f t="shared" si="11"/>
        <v>4319</v>
      </c>
      <c r="AK19" s="950">
        <f t="shared" si="12"/>
        <v>4543</v>
      </c>
      <c r="AL19" s="1113">
        <v>1265</v>
      </c>
      <c r="AM19" s="1113">
        <v>1365</v>
      </c>
      <c r="AN19" s="1114">
        <v>66</v>
      </c>
      <c r="AO19" s="1114">
        <v>77</v>
      </c>
      <c r="AP19" s="949">
        <f t="shared" si="13"/>
        <v>4095</v>
      </c>
      <c r="AQ19" s="950">
        <f t="shared" si="14"/>
        <v>4844</v>
      </c>
      <c r="AR19" s="1113">
        <v>1030</v>
      </c>
      <c r="AS19" s="1113">
        <v>1110</v>
      </c>
      <c r="AT19" s="1114">
        <v>60</v>
      </c>
      <c r="AU19" s="1114">
        <v>65</v>
      </c>
      <c r="AV19" s="949">
        <f t="shared" si="15"/>
        <v>3752</v>
      </c>
      <c r="AW19" s="950">
        <f t="shared" si="16"/>
        <v>4179</v>
      </c>
      <c r="AX19" s="1113">
        <v>1151</v>
      </c>
      <c r="AY19" s="1113">
        <v>1210</v>
      </c>
      <c r="AZ19" s="1114">
        <v>68</v>
      </c>
      <c r="BA19" s="1114">
        <v>70</v>
      </c>
      <c r="BB19" s="949">
        <f t="shared" si="17"/>
        <v>4242</v>
      </c>
      <c r="BC19" s="950">
        <f t="shared" si="18"/>
        <v>4438</v>
      </c>
      <c r="BD19" s="1113">
        <v>1169</v>
      </c>
      <c r="BE19" s="1113">
        <v>1241</v>
      </c>
      <c r="BF19" s="1114">
        <v>67</v>
      </c>
      <c r="BG19" s="1114">
        <v>69</v>
      </c>
      <c r="BH19" s="949">
        <f t="shared" si="19"/>
        <v>4256</v>
      </c>
      <c r="BI19" s="950">
        <f t="shared" si="20"/>
        <v>4452</v>
      </c>
      <c r="BJ19" s="1113">
        <v>1069</v>
      </c>
      <c r="BK19" s="1113">
        <v>1135</v>
      </c>
      <c r="BL19" s="1114">
        <v>66</v>
      </c>
      <c r="BM19" s="1114">
        <v>68</v>
      </c>
      <c r="BN19" s="949">
        <f t="shared" si="21"/>
        <v>3997</v>
      </c>
      <c r="BO19" s="950">
        <f t="shared" si="22"/>
        <v>4193</v>
      </c>
      <c r="BP19" s="1113">
        <v>1224</v>
      </c>
      <c r="BQ19" s="1113">
        <v>1286</v>
      </c>
      <c r="BR19" s="1114">
        <v>72</v>
      </c>
      <c r="BS19" s="1114">
        <v>74</v>
      </c>
      <c r="BT19" s="949">
        <f t="shared" si="23"/>
        <v>4508</v>
      </c>
      <c r="BU19" s="950">
        <f t="shared" si="24"/>
        <v>4704</v>
      </c>
      <c r="BX19" s="1123">
        <f t="shared" si="25"/>
        <v>14</v>
      </c>
      <c r="BY19" s="1128">
        <v>17.571428571428569</v>
      </c>
      <c r="BZ19" s="1128">
        <v>20.428571428571427</v>
      </c>
      <c r="CA19" s="1128">
        <v>29.571428571428569</v>
      </c>
      <c r="CB19" s="1128">
        <v>20.428571428571427</v>
      </c>
      <c r="CC19" s="1128">
        <v>16.571428571428569</v>
      </c>
      <c r="CD19" s="1128">
        <v>18.571428571428569</v>
      </c>
      <c r="CE19" s="1128">
        <v>20.5</v>
      </c>
      <c r="CF19" s="1128">
        <v>19.571428571428569</v>
      </c>
      <c r="CG19" s="1128">
        <v>19.428571428571427</v>
      </c>
      <c r="CH19" s="1128">
        <v>19.142857142857142</v>
      </c>
      <c r="CI19" s="1128">
        <v>19.571428571428569</v>
      </c>
      <c r="CJ19" s="1129">
        <v>21.428571428571427</v>
      </c>
    </row>
    <row r="20" spans="1:88" x14ac:dyDescent="0.3">
      <c r="A20" s="948">
        <f t="shared" si="0"/>
        <v>15</v>
      </c>
      <c r="B20" s="1113">
        <v>1107</v>
      </c>
      <c r="C20" s="1113">
        <v>1163</v>
      </c>
      <c r="D20" s="1114">
        <v>65</v>
      </c>
      <c r="E20" s="1114">
        <v>67</v>
      </c>
      <c r="F20" s="949">
        <f t="shared" si="1"/>
        <v>4263</v>
      </c>
      <c r="G20" s="950">
        <f t="shared" si="2"/>
        <v>4473</v>
      </c>
      <c r="H20" s="1113">
        <v>1258</v>
      </c>
      <c r="I20" s="1113">
        <v>1322</v>
      </c>
      <c r="J20" s="1114">
        <v>72</v>
      </c>
      <c r="K20" s="1114">
        <v>74</v>
      </c>
      <c r="L20" s="949">
        <f t="shared" si="3"/>
        <v>4844</v>
      </c>
      <c r="M20" s="950">
        <f t="shared" si="4"/>
        <v>5054</v>
      </c>
      <c r="N20" s="1113">
        <v>1321</v>
      </c>
      <c r="O20" s="1113">
        <v>1389</v>
      </c>
      <c r="P20" s="1114">
        <v>72</v>
      </c>
      <c r="Q20" s="1114">
        <v>74</v>
      </c>
      <c r="R20" s="949">
        <f t="shared" si="5"/>
        <v>5075</v>
      </c>
      <c r="S20" s="950">
        <f t="shared" si="6"/>
        <v>5285</v>
      </c>
      <c r="T20" s="1113">
        <v>1275</v>
      </c>
      <c r="U20" s="1113">
        <v>1340</v>
      </c>
      <c r="V20" s="1114">
        <v>72</v>
      </c>
      <c r="W20" s="1114">
        <v>74</v>
      </c>
      <c r="X20" s="949">
        <f t="shared" si="7"/>
        <v>4844</v>
      </c>
      <c r="Y20" s="950">
        <f t="shared" si="8"/>
        <v>5054</v>
      </c>
      <c r="Z20" s="1113">
        <v>1114</v>
      </c>
      <c r="AA20" s="1113">
        <v>1171</v>
      </c>
      <c r="AB20" s="1114">
        <v>64</v>
      </c>
      <c r="AC20" s="1114">
        <v>66</v>
      </c>
      <c r="AD20" s="949">
        <f t="shared" si="9"/>
        <v>4193</v>
      </c>
      <c r="AE20" s="950">
        <f t="shared" si="10"/>
        <v>4403</v>
      </c>
      <c r="AF20" s="1113">
        <v>1259</v>
      </c>
      <c r="AG20" s="1113">
        <v>1323</v>
      </c>
      <c r="AH20" s="1114">
        <v>70</v>
      </c>
      <c r="AI20" s="1114">
        <v>72</v>
      </c>
      <c r="AJ20" s="949">
        <f t="shared" si="11"/>
        <v>4809</v>
      </c>
      <c r="AK20" s="950">
        <f t="shared" si="12"/>
        <v>5047</v>
      </c>
      <c r="AL20" s="1113">
        <v>1345</v>
      </c>
      <c r="AM20" s="1113">
        <v>1445</v>
      </c>
      <c r="AN20" s="1114">
        <v>68</v>
      </c>
      <c r="AO20" s="1114">
        <v>79</v>
      </c>
      <c r="AP20" s="949">
        <f t="shared" si="13"/>
        <v>4571</v>
      </c>
      <c r="AQ20" s="950">
        <f t="shared" si="14"/>
        <v>5397</v>
      </c>
      <c r="AR20" s="1113">
        <v>1080</v>
      </c>
      <c r="AS20" s="1113">
        <v>1160</v>
      </c>
      <c r="AT20" s="1114">
        <v>63</v>
      </c>
      <c r="AU20" s="1114">
        <v>68</v>
      </c>
      <c r="AV20" s="949">
        <f t="shared" si="15"/>
        <v>4193</v>
      </c>
      <c r="AW20" s="950">
        <f t="shared" si="16"/>
        <v>4655</v>
      </c>
      <c r="AX20" s="1113">
        <v>1233</v>
      </c>
      <c r="AY20" s="1113">
        <v>1297</v>
      </c>
      <c r="AZ20" s="1114">
        <v>71</v>
      </c>
      <c r="BA20" s="1114">
        <v>73</v>
      </c>
      <c r="BB20" s="949">
        <f t="shared" si="17"/>
        <v>4739</v>
      </c>
      <c r="BC20" s="950">
        <f t="shared" si="18"/>
        <v>4949</v>
      </c>
      <c r="BD20" s="1113">
        <v>1241</v>
      </c>
      <c r="BE20" s="1113">
        <v>1317</v>
      </c>
      <c r="BF20" s="1114">
        <v>69</v>
      </c>
      <c r="BG20" s="1114">
        <v>71</v>
      </c>
      <c r="BH20" s="949">
        <f t="shared" si="19"/>
        <v>4739</v>
      </c>
      <c r="BI20" s="950">
        <f t="shared" si="20"/>
        <v>4949</v>
      </c>
      <c r="BJ20" s="1113">
        <v>1124</v>
      </c>
      <c r="BK20" s="1113">
        <v>1194</v>
      </c>
      <c r="BL20" s="1114">
        <v>69</v>
      </c>
      <c r="BM20" s="1114">
        <v>71</v>
      </c>
      <c r="BN20" s="949">
        <f t="shared" si="21"/>
        <v>4480</v>
      </c>
      <c r="BO20" s="950">
        <f t="shared" si="22"/>
        <v>4690</v>
      </c>
      <c r="BP20" s="1113">
        <v>1307</v>
      </c>
      <c r="BQ20" s="1113">
        <v>1374</v>
      </c>
      <c r="BR20" s="1114">
        <v>75</v>
      </c>
      <c r="BS20" s="1114">
        <v>77</v>
      </c>
      <c r="BT20" s="949">
        <f t="shared" si="23"/>
        <v>5033</v>
      </c>
      <c r="BU20" s="950">
        <f t="shared" si="24"/>
        <v>5243</v>
      </c>
      <c r="BX20" s="1123">
        <f t="shared" si="25"/>
        <v>15</v>
      </c>
      <c r="BY20" s="1128">
        <v>18.857142857142858</v>
      </c>
      <c r="BZ20" s="1128">
        <v>22</v>
      </c>
      <c r="CA20" s="1128">
        <v>31.714285714285715</v>
      </c>
      <c r="CB20" s="1128">
        <v>22</v>
      </c>
      <c r="CC20" s="1128">
        <v>17.428571428571431</v>
      </c>
      <c r="CD20" s="1128">
        <v>19.428571428571431</v>
      </c>
      <c r="CE20" s="1128">
        <v>20.357142857142858</v>
      </c>
      <c r="CF20" s="1128">
        <v>20.428571428571431</v>
      </c>
      <c r="CG20" s="1128">
        <v>21</v>
      </c>
      <c r="CH20" s="1128">
        <v>19.428571428571431</v>
      </c>
      <c r="CI20" s="1128">
        <v>20.428571428571431</v>
      </c>
      <c r="CJ20" s="1129">
        <v>23</v>
      </c>
    </row>
    <row r="21" spans="1:88" x14ac:dyDescent="0.3">
      <c r="A21" s="948">
        <f t="shared" si="0"/>
        <v>16</v>
      </c>
      <c r="B21" s="1113">
        <v>1170</v>
      </c>
      <c r="C21" s="1113">
        <v>1230</v>
      </c>
      <c r="D21" s="1114">
        <v>68</v>
      </c>
      <c r="E21" s="1114">
        <v>70</v>
      </c>
      <c r="F21" s="949">
        <f t="shared" si="1"/>
        <v>4739</v>
      </c>
      <c r="G21" s="950">
        <f t="shared" si="2"/>
        <v>4963</v>
      </c>
      <c r="H21" s="1113">
        <v>1346</v>
      </c>
      <c r="I21" s="1113">
        <v>1415</v>
      </c>
      <c r="J21" s="1114">
        <v>76</v>
      </c>
      <c r="K21" s="1114">
        <v>78</v>
      </c>
      <c r="L21" s="949">
        <f t="shared" si="3"/>
        <v>5376</v>
      </c>
      <c r="M21" s="950">
        <f t="shared" si="4"/>
        <v>5600</v>
      </c>
      <c r="N21" s="1113">
        <v>1414</v>
      </c>
      <c r="O21" s="1113">
        <v>1487</v>
      </c>
      <c r="P21" s="1114">
        <v>76</v>
      </c>
      <c r="Q21" s="1114">
        <v>78</v>
      </c>
      <c r="R21" s="949">
        <f t="shared" si="5"/>
        <v>5607</v>
      </c>
      <c r="S21" s="950">
        <f t="shared" si="6"/>
        <v>5831</v>
      </c>
      <c r="T21" s="1113">
        <v>1343</v>
      </c>
      <c r="U21" s="1113">
        <v>1412</v>
      </c>
      <c r="V21" s="1114">
        <v>75</v>
      </c>
      <c r="W21" s="1114">
        <v>77</v>
      </c>
      <c r="X21" s="949">
        <f t="shared" si="7"/>
        <v>5369</v>
      </c>
      <c r="Y21" s="950">
        <f t="shared" si="8"/>
        <v>5593</v>
      </c>
      <c r="Z21" s="1113">
        <v>1181</v>
      </c>
      <c r="AA21" s="1113">
        <v>1242</v>
      </c>
      <c r="AB21" s="1114">
        <v>67</v>
      </c>
      <c r="AC21" s="1114">
        <v>69</v>
      </c>
      <c r="AD21" s="949">
        <f t="shared" si="9"/>
        <v>4662</v>
      </c>
      <c r="AE21" s="950">
        <f t="shared" si="10"/>
        <v>4886</v>
      </c>
      <c r="AF21" s="1113">
        <v>1334</v>
      </c>
      <c r="AG21" s="1113">
        <v>1400</v>
      </c>
      <c r="AH21" s="1114">
        <v>72</v>
      </c>
      <c r="AI21" s="1114">
        <v>76</v>
      </c>
      <c r="AJ21" s="949">
        <f t="shared" si="11"/>
        <v>5313</v>
      </c>
      <c r="AK21" s="950">
        <f t="shared" si="12"/>
        <v>5579</v>
      </c>
      <c r="AL21" s="1113">
        <v>1410</v>
      </c>
      <c r="AM21" s="1113">
        <v>1510</v>
      </c>
      <c r="AN21" s="1114">
        <v>70</v>
      </c>
      <c r="AO21" s="1114">
        <v>82</v>
      </c>
      <c r="AP21" s="949">
        <f t="shared" si="13"/>
        <v>5061</v>
      </c>
      <c r="AQ21" s="950">
        <f t="shared" si="14"/>
        <v>5971</v>
      </c>
      <c r="AR21" s="1113">
        <v>1130</v>
      </c>
      <c r="AS21" s="1113">
        <v>1210</v>
      </c>
      <c r="AT21" s="1114">
        <v>67</v>
      </c>
      <c r="AU21" s="1114">
        <v>72</v>
      </c>
      <c r="AV21" s="949">
        <f t="shared" si="15"/>
        <v>4662</v>
      </c>
      <c r="AW21" s="950">
        <f t="shared" si="16"/>
        <v>5159</v>
      </c>
      <c r="AX21" s="1113">
        <v>1316</v>
      </c>
      <c r="AY21" s="1113">
        <v>1384</v>
      </c>
      <c r="AZ21" s="1114">
        <v>75</v>
      </c>
      <c r="BA21" s="1114">
        <v>77</v>
      </c>
      <c r="BB21" s="949">
        <f t="shared" si="17"/>
        <v>5264</v>
      </c>
      <c r="BC21" s="950">
        <f t="shared" si="18"/>
        <v>5488</v>
      </c>
      <c r="BD21" s="1113">
        <v>1310</v>
      </c>
      <c r="BE21" s="1113">
        <v>1392</v>
      </c>
      <c r="BF21" s="1114">
        <v>70</v>
      </c>
      <c r="BG21" s="1114">
        <v>72</v>
      </c>
      <c r="BH21" s="949">
        <f t="shared" si="19"/>
        <v>5229</v>
      </c>
      <c r="BI21" s="950">
        <f t="shared" si="20"/>
        <v>5453</v>
      </c>
      <c r="BJ21" s="1113">
        <v>1179</v>
      </c>
      <c r="BK21" s="1113">
        <v>1251</v>
      </c>
      <c r="BL21" s="1114">
        <v>72</v>
      </c>
      <c r="BM21" s="1114">
        <v>74</v>
      </c>
      <c r="BN21" s="949">
        <f t="shared" si="21"/>
        <v>4984</v>
      </c>
      <c r="BO21" s="950">
        <f t="shared" si="22"/>
        <v>5208</v>
      </c>
      <c r="BP21" s="1113">
        <v>1389</v>
      </c>
      <c r="BQ21" s="1113">
        <v>1461</v>
      </c>
      <c r="BR21" s="1114">
        <v>78</v>
      </c>
      <c r="BS21" s="1114">
        <v>80</v>
      </c>
      <c r="BT21" s="949">
        <f t="shared" si="23"/>
        <v>5579</v>
      </c>
      <c r="BU21" s="950">
        <f t="shared" si="24"/>
        <v>5803</v>
      </c>
      <c r="BX21" s="1123">
        <f t="shared" si="25"/>
        <v>16</v>
      </c>
      <c r="BY21" s="1128">
        <v>19.571428571428573</v>
      </c>
      <c r="BZ21" s="1128">
        <v>23</v>
      </c>
      <c r="CA21" s="1128">
        <v>32.142857142857146</v>
      </c>
      <c r="CB21" s="1128">
        <v>23</v>
      </c>
      <c r="CC21" s="1128">
        <v>18.285714285714285</v>
      </c>
      <c r="CD21" s="1128">
        <v>20.285714285714285</v>
      </c>
      <c r="CE21" s="1128">
        <v>21.071428571428573</v>
      </c>
      <c r="CF21" s="1128">
        <v>21.285714285714285</v>
      </c>
      <c r="CG21" s="1128">
        <v>22</v>
      </c>
      <c r="CH21" s="1128">
        <v>20.285714285714285</v>
      </c>
      <c r="CI21" s="1128">
        <v>21.285714285714285</v>
      </c>
      <c r="CJ21" s="1129">
        <v>24</v>
      </c>
    </row>
    <row r="22" spans="1:88" x14ac:dyDescent="0.3">
      <c r="A22" s="948">
        <f t="shared" si="0"/>
        <v>17</v>
      </c>
      <c r="B22" s="1113">
        <v>1224</v>
      </c>
      <c r="C22" s="1113">
        <v>1286</v>
      </c>
      <c r="D22" s="1114">
        <v>72</v>
      </c>
      <c r="E22" s="1114">
        <v>74</v>
      </c>
      <c r="F22" s="949">
        <f t="shared" si="1"/>
        <v>5243</v>
      </c>
      <c r="G22" s="950">
        <f t="shared" si="2"/>
        <v>5481</v>
      </c>
      <c r="H22" s="1113">
        <v>1419</v>
      </c>
      <c r="I22" s="1113">
        <v>1491</v>
      </c>
      <c r="J22" s="1114">
        <v>82</v>
      </c>
      <c r="K22" s="1114">
        <v>84</v>
      </c>
      <c r="L22" s="949">
        <f t="shared" si="3"/>
        <v>5950</v>
      </c>
      <c r="M22" s="950">
        <f t="shared" si="4"/>
        <v>6188</v>
      </c>
      <c r="N22" s="1113">
        <v>1512</v>
      </c>
      <c r="O22" s="1113">
        <v>1589</v>
      </c>
      <c r="P22" s="1114">
        <v>80</v>
      </c>
      <c r="Q22" s="1114">
        <v>82</v>
      </c>
      <c r="R22" s="949">
        <f t="shared" si="5"/>
        <v>6167</v>
      </c>
      <c r="S22" s="950">
        <f t="shared" si="6"/>
        <v>6405</v>
      </c>
      <c r="T22" s="1113">
        <v>1404</v>
      </c>
      <c r="U22" s="1113">
        <v>1475</v>
      </c>
      <c r="V22" s="1114">
        <v>83</v>
      </c>
      <c r="W22" s="1114">
        <v>85</v>
      </c>
      <c r="X22" s="949">
        <f t="shared" si="7"/>
        <v>5950</v>
      </c>
      <c r="Y22" s="950">
        <f t="shared" si="8"/>
        <v>6188</v>
      </c>
      <c r="Z22" s="1113">
        <v>1244</v>
      </c>
      <c r="AA22" s="1113">
        <v>1308</v>
      </c>
      <c r="AB22" s="1114">
        <v>70</v>
      </c>
      <c r="AC22" s="1114">
        <v>72</v>
      </c>
      <c r="AD22" s="949">
        <f t="shared" si="9"/>
        <v>5152</v>
      </c>
      <c r="AE22" s="950">
        <f t="shared" si="10"/>
        <v>5390</v>
      </c>
      <c r="AF22" s="1113">
        <v>1405</v>
      </c>
      <c r="AG22" s="1113">
        <v>1475</v>
      </c>
      <c r="AH22" s="1114">
        <v>76</v>
      </c>
      <c r="AI22" s="1114">
        <v>80</v>
      </c>
      <c r="AJ22" s="949">
        <f t="shared" si="11"/>
        <v>5845</v>
      </c>
      <c r="AK22" s="950">
        <f t="shared" si="12"/>
        <v>6139</v>
      </c>
      <c r="AL22" s="1113">
        <v>1485</v>
      </c>
      <c r="AM22" s="1113">
        <v>1590</v>
      </c>
      <c r="AN22" s="1114">
        <v>72</v>
      </c>
      <c r="AO22" s="1114">
        <v>85</v>
      </c>
      <c r="AP22" s="949">
        <f t="shared" si="13"/>
        <v>5565</v>
      </c>
      <c r="AQ22" s="950">
        <f t="shared" si="14"/>
        <v>6566</v>
      </c>
      <c r="AR22" s="1113">
        <v>1170</v>
      </c>
      <c r="AS22" s="1113">
        <v>1250</v>
      </c>
      <c r="AT22" s="1114">
        <v>70</v>
      </c>
      <c r="AU22" s="1114">
        <v>75</v>
      </c>
      <c r="AV22" s="949">
        <f t="shared" si="15"/>
        <v>5152</v>
      </c>
      <c r="AW22" s="950">
        <f t="shared" si="16"/>
        <v>5684</v>
      </c>
      <c r="AX22" s="1113">
        <v>1389</v>
      </c>
      <c r="AY22" s="1113">
        <v>1461</v>
      </c>
      <c r="AZ22" s="1114">
        <v>80</v>
      </c>
      <c r="BA22" s="1114">
        <v>82</v>
      </c>
      <c r="BB22" s="949">
        <f t="shared" si="17"/>
        <v>5824</v>
      </c>
      <c r="BC22" s="950">
        <f t="shared" si="18"/>
        <v>6062</v>
      </c>
      <c r="BD22" s="1113">
        <v>1378</v>
      </c>
      <c r="BE22" s="1113">
        <v>1464</v>
      </c>
      <c r="BF22" s="1114">
        <v>71</v>
      </c>
      <c r="BG22" s="1114">
        <v>73</v>
      </c>
      <c r="BH22" s="949">
        <f t="shared" si="19"/>
        <v>5726</v>
      </c>
      <c r="BI22" s="950">
        <f t="shared" si="20"/>
        <v>5964</v>
      </c>
      <c r="BJ22" s="1113">
        <v>1230</v>
      </c>
      <c r="BK22" s="1113">
        <v>1306</v>
      </c>
      <c r="BL22" s="1114">
        <v>75</v>
      </c>
      <c r="BM22" s="1114">
        <v>77</v>
      </c>
      <c r="BN22" s="949">
        <f t="shared" si="21"/>
        <v>5509</v>
      </c>
      <c r="BO22" s="950">
        <f t="shared" si="22"/>
        <v>5747</v>
      </c>
      <c r="BP22" s="1113">
        <v>1472</v>
      </c>
      <c r="BQ22" s="1113">
        <v>1548</v>
      </c>
      <c r="BR22" s="1114">
        <v>80</v>
      </c>
      <c r="BS22" s="1114">
        <v>82</v>
      </c>
      <c r="BT22" s="949">
        <f t="shared" si="23"/>
        <v>6139</v>
      </c>
      <c r="BU22" s="950">
        <f t="shared" si="24"/>
        <v>6377</v>
      </c>
      <c r="BX22" s="1123">
        <f t="shared" si="25"/>
        <v>17</v>
      </c>
      <c r="BY22" s="1128">
        <v>20.285714285714285</v>
      </c>
      <c r="BZ22" s="1128">
        <v>24</v>
      </c>
      <c r="CA22" s="1128">
        <v>32.571428571428569</v>
      </c>
      <c r="CB22" s="1128">
        <v>24</v>
      </c>
      <c r="CC22" s="1128">
        <v>19.142857142857142</v>
      </c>
      <c r="CD22" s="1128">
        <v>21.142857142857142</v>
      </c>
      <c r="CE22" s="1128">
        <v>21.785714285714285</v>
      </c>
      <c r="CF22" s="1128">
        <v>22.142857142857142</v>
      </c>
      <c r="CG22" s="1128">
        <v>23</v>
      </c>
      <c r="CH22" s="1128">
        <v>21.142857142857142</v>
      </c>
      <c r="CI22" s="1128">
        <v>22.142857142857142</v>
      </c>
      <c r="CJ22" s="1129">
        <v>25</v>
      </c>
    </row>
    <row r="23" spans="1:88" ht="18" thickBot="1" x14ac:dyDescent="0.35">
      <c r="A23" s="951">
        <f t="shared" si="0"/>
        <v>18</v>
      </c>
      <c r="B23" s="1115">
        <v>1268</v>
      </c>
      <c r="C23" s="1115">
        <v>1333</v>
      </c>
      <c r="D23" s="1116">
        <v>77</v>
      </c>
      <c r="E23" s="1116">
        <v>79</v>
      </c>
      <c r="F23" s="952">
        <f t="shared" si="1"/>
        <v>5782</v>
      </c>
      <c r="G23" s="953">
        <f t="shared" si="2"/>
        <v>6034</v>
      </c>
      <c r="H23" s="1115">
        <v>1482</v>
      </c>
      <c r="I23" s="1115">
        <v>1558</v>
      </c>
      <c r="J23" s="1116">
        <v>89</v>
      </c>
      <c r="K23" s="1116">
        <v>91</v>
      </c>
      <c r="L23" s="952">
        <f t="shared" si="3"/>
        <v>6573</v>
      </c>
      <c r="M23" s="953">
        <f t="shared" si="4"/>
        <v>6825</v>
      </c>
      <c r="N23" s="1115">
        <v>1609</v>
      </c>
      <c r="O23" s="1115">
        <v>1692</v>
      </c>
      <c r="P23" s="1116">
        <v>84</v>
      </c>
      <c r="Q23" s="1116">
        <v>86</v>
      </c>
      <c r="R23" s="952">
        <f t="shared" si="5"/>
        <v>6755</v>
      </c>
      <c r="S23" s="953">
        <f t="shared" si="6"/>
        <v>7007</v>
      </c>
      <c r="T23" s="1115">
        <v>1463</v>
      </c>
      <c r="U23" s="1115">
        <v>1538</v>
      </c>
      <c r="V23" s="1116">
        <v>84</v>
      </c>
      <c r="W23" s="1116">
        <v>86</v>
      </c>
      <c r="X23" s="952">
        <f t="shared" si="7"/>
        <v>6538</v>
      </c>
      <c r="Y23" s="953">
        <f t="shared" si="8"/>
        <v>6790</v>
      </c>
      <c r="Z23" s="1115">
        <v>1302</v>
      </c>
      <c r="AA23" s="1115">
        <v>1369</v>
      </c>
      <c r="AB23" s="1116">
        <v>76</v>
      </c>
      <c r="AC23" s="1116">
        <v>78</v>
      </c>
      <c r="AD23" s="952">
        <f t="shared" si="9"/>
        <v>5684</v>
      </c>
      <c r="AE23" s="953">
        <f t="shared" si="10"/>
        <v>5936</v>
      </c>
      <c r="AF23" s="1115">
        <v>1479</v>
      </c>
      <c r="AG23" s="1115">
        <v>1553</v>
      </c>
      <c r="AH23" s="1116">
        <v>79</v>
      </c>
      <c r="AI23" s="1116">
        <v>83</v>
      </c>
      <c r="AJ23" s="952">
        <f t="shared" si="11"/>
        <v>6398</v>
      </c>
      <c r="AK23" s="953">
        <f t="shared" si="12"/>
        <v>6720</v>
      </c>
      <c r="AL23" s="1115">
        <v>1550</v>
      </c>
      <c r="AM23" s="1115">
        <v>1670</v>
      </c>
      <c r="AN23" s="1116">
        <v>85</v>
      </c>
      <c r="AO23" s="1116">
        <v>91</v>
      </c>
      <c r="AP23" s="952">
        <f t="shared" si="13"/>
        <v>6160</v>
      </c>
      <c r="AQ23" s="953">
        <f t="shared" si="14"/>
        <v>7203</v>
      </c>
      <c r="AR23" s="1115">
        <v>1250</v>
      </c>
      <c r="AS23" s="1115">
        <v>1270</v>
      </c>
      <c r="AT23" s="1116">
        <v>74</v>
      </c>
      <c r="AU23" s="1116">
        <v>81</v>
      </c>
      <c r="AV23" s="952">
        <f t="shared" si="15"/>
        <v>5670</v>
      </c>
      <c r="AW23" s="953">
        <f t="shared" si="16"/>
        <v>6251</v>
      </c>
      <c r="AX23" s="1115">
        <v>1438</v>
      </c>
      <c r="AY23" s="1115">
        <v>1512</v>
      </c>
      <c r="AZ23" s="1116">
        <v>88</v>
      </c>
      <c r="BA23" s="1116">
        <v>90</v>
      </c>
      <c r="BB23" s="952">
        <f t="shared" si="17"/>
        <v>6440</v>
      </c>
      <c r="BC23" s="953">
        <f t="shared" si="18"/>
        <v>6692</v>
      </c>
      <c r="BD23" s="1115">
        <v>1448</v>
      </c>
      <c r="BE23" s="1115">
        <v>1538</v>
      </c>
      <c r="BF23" s="1116">
        <v>74</v>
      </c>
      <c r="BG23" s="1116">
        <v>76</v>
      </c>
      <c r="BH23" s="952">
        <f t="shared" si="19"/>
        <v>6244</v>
      </c>
      <c r="BI23" s="953">
        <f t="shared" si="20"/>
        <v>6496</v>
      </c>
      <c r="BJ23" s="1115">
        <v>1280</v>
      </c>
      <c r="BK23" s="1115">
        <v>1360</v>
      </c>
      <c r="BL23" s="1116">
        <v>78</v>
      </c>
      <c r="BM23" s="1116">
        <v>80</v>
      </c>
      <c r="BN23" s="952">
        <f t="shared" si="21"/>
        <v>6055</v>
      </c>
      <c r="BO23" s="953">
        <f t="shared" si="22"/>
        <v>6307</v>
      </c>
      <c r="BP23" s="1115">
        <v>1541</v>
      </c>
      <c r="BQ23" s="1115">
        <v>1620</v>
      </c>
      <c r="BR23" s="1116">
        <v>82</v>
      </c>
      <c r="BS23" s="1116">
        <v>84</v>
      </c>
      <c r="BT23" s="952">
        <f t="shared" si="23"/>
        <v>6713</v>
      </c>
      <c r="BU23" s="953">
        <f t="shared" si="24"/>
        <v>6965</v>
      </c>
      <c r="BX23" s="1123">
        <f t="shared" si="25"/>
        <v>18</v>
      </c>
      <c r="BY23" s="1128">
        <v>21</v>
      </c>
      <c r="BZ23" s="1128">
        <v>25</v>
      </c>
      <c r="CA23" s="1128">
        <v>33</v>
      </c>
      <c r="CB23" s="1128">
        <v>25</v>
      </c>
      <c r="CC23" s="1128">
        <v>20</v>
      </c>
      <c r="CD23" s="1128">
        <v>22</v>
      </c>
      <c r="CE23" s="1128">
        <v>22.5</v>
      </c>
      <c r="CF23" s="1128">
        <v>23</v>
      </c>
      <c r="CG23" s="1128">
        <v>24</v>
      </c>
      <c r="CH23" s="1128">
        <v>22</v>
      </c>
      <c r="CI23" s="1128">
        <v>23</v>
      </c>
      <c r="CJ23" s="1129">
        <v>26</v>
      </c>
    </row>
    <row r="24" spans="1:88" x14ac:dyDescent="0.3">
      <c r="BX24" s="1123">
        <f t="shared" si="25"/>
        <v>19</v>
      </c>
      <c r="BY24" s="1128">
        <v>21.714285714285715</v>
      </c>
      <c r="BZ24" s="1128">
        <v>26</v>
      </c>
      <c r="CA24" s="1128">
        <v>33.428571428571431</v>
      </c>
      <c r="CB24" s="1128">
        <v>26</v>
      </c>
      <c r="CC24" s="1128">
        <v>20.857142857142858</v>
      </c>
      <c r="CD24" s="1128">
        <v>22.857142857142858</v>
      </c>
      <c r="CE24" s="1128">
        <v>23.214285714285715</v>
      </c>
      <c r="CF24" s="1128">
        <v>23.857142857142858</v>
      </c>
      <c r="CG24" s="1128">
        <v>25</v>
      </c>
      <c r="CH24" s="1128">
        <v>22.857142857142858</v>
      </c>
      <c r="CI24" s="1128">
        <v>23.857142857142858</v>
      </c>
      <c r="CJ24" s="1129">
        <v>27</v>
      </c>
    </row>
    <row r="25" spans="1:88" x14ac:dyDescent="0.3">
      <c r="AG25"/>
      <c r="AH25"/>
      <c r="AI25"/>
      <c r="AJ25"/>
      <c r="AK25"/>
      <c r="AL25"/>
      <c r="AM25"/>
      <c r="AN25"/>
      <c r="AO25"/>
      <c r="AP25"/>
      <c r="AQ25"/>
      <c r="AR25"/>
      <c r="AS25"/>
      <c r="AT25"/>
      <c r="AU25"/>
      <c r="AV25"/>
      <c r="AW25"/>
      <c r="AX25"/>
      <c r="AY25"/>
      <c r="AZ25"/>
      <c r="BA25"/>
      <c r="BB25"/>
      <c r="BC25"/>
      <c r="BX25" s="1123">
        <f t="shared" si="25"/>
        <v>20</v>
      </c>
      <c r="BY25" s="1128">
        <v>22.428571428571427</v>
      </c>
      <c r="BZ25" s="1128">
        <v>27</v>
      </c>
      <c r="CA25" s="1128">
        <v>33.857142857142854</v>
      </c>
      <c r="CB25" s="1128">
        <v>27</v>
      </c>
      <c r="CC25" s="1128">
        <v>21.714285714285715</v>
      </c>
      <c r="CD25" s="1128">
        <v>23.714285714285715</v>
      </c>
      <c r="CE25" s="1128">
        <v>23.928571428571427</v>
      </c>
      <c r="CF25" s="1128">
        <v>24.714285714285715</v>
      </c>
      <c r="CG25" s="1128">
        <v>26</v>
      </c>
      <c r="CH25" s="1128">
        <v>23.714285714285715</v>
      </c>
      <c r="CI25" s="1128">
        <v>24.714285714285715</v>
      </c>
      <c r="CJ25" s="1129">
        <v>28</v>
      </c>
    </row>
    <row r="26" spans="1:88" x14ac:dyDescent="0.3">
      <c r="AG26"/>
      <c r="AH26"/>
      <c r="AI26"/>
      <c r="AJ26"/>
      <c r="AK26"/>
      <c r="AL26"/>
      <c r="AM26"/>
      <c r="AN26"/>
      <c r="AO26"/>
      <c r="AP26"/>
      <c r="AQ26"/>
      <c r="AR26"/>
      <c r="AS26"/>
      <c r="AT26"/>
      <c r="AU26"/>
      <c r="AV26"/>
      <c r="AW26"/>
      <c r="AX26"/>
      <c r="AY26"/>
      <c r="AZ26"/>
      <c r="BA26"/>
      <c r="BB26"/>
      <c r="BC26"/>
      <c r="BX26" s="1123">
        <f t="shared" si="25"/>
        <v>21</v>
      </c>
      <c r="BY26" s="1128">
        <v>23.142857142857142</v>
      </c>
      <c r="BZ26" s="1128">
        <v>28</v>
      </c>
      <c r="CA26" s="1128">
        <v>34.285714285714285</v>
      </c>
      <c r="CB26" s="1128">
        <v>28</v>
      </c>
      <c r="CC26" s="1128">
        <v>22.571428571428569</v>
      </c>
      <c r="CD26" s="1128">
        <v>24.571428571428569</v>
      </c>
      <c r="CE26" s="1128">
        <v>24.642857142857142</v>
      </c>
      <c r="CF26" s="1128">
        <v>25.571428571428569</v>
      </c>
      <c r="CG26" s="1128">
        <v>27</v>
      </c>
      <c r="CH26" s="1128">
        <v>24.571428571428569</v>
      </c>
      <c r="CI26" s="1128">
        <v>25.571428571428569</v>
      </c>
      <c r="CJ26" s="1129">
        <v>29</v>
      </c>
    </row>
    <row r="27" spans="1:88" x14ac:dyDescent="0.3">
      <c r="AG27"/>
      <c r="AH27"/>
      <c r="AI27"/>
      <c r="AJ27"/>
      <c r="AK27"/>
      <c r="AL27"/>
      <c r="AM27"/>
      <c r="AN27"/>
      <c r="AO27"/>
      <c r="AP27"/>
      <c r="AQ27"/>
      <c r="AR27"/>
      <c r="AS27"/>
      <c r="AT27"/>
      <c r="AU27"/>
      <c r="AV27"/>
      <c r="AW27"/>
      <c r="AX27"/>
      <c r="AY27"/>
      <c r="AZ27"/>
      <c r="BA27"/>
      <c r="BB27"/>
      <c r="BC27"/>
      <c r="BX27" s="1123">
        <f t="shared" si="25"/>
        <v>22</v>
      </c>
      <c r="BY27" s="1128">
        <v>23.857142857142858</v>
      </c>
      <c r="BZ27" s="1128">
        <v>29.857142857142858</v>
      </c>
      <c r="CA27" s="1128">
        <v>34.714285714285715</v>
      </c>
      <c r="CB27" s="1128">
        <v>29.857142857142858</v>
      </c>
      <c r="CC27" s="1128">
        <v>23.857142857142858</v>
      </c>
      <c r="CD27" s="1128">
        <v>25.428571428571431</v>
      </c>
      <c r="CE27" s="1128">
        <v>25.357142857142858</v>
      </c>
      <c r="CF27" s="1128">
        <v>27.285714285714285</v>
      </c>
      <c r="CG27" s="1128">
        <v>28.857142857142858</v>
      </c>
      <c r="CH27" s="1128">
        <v>25</v>
      </c>
      <c r="CI27" s="1128">
        <v>26.857142857142858</v>
      </c>
      <c r="CJ27" s="1129">
        <v>30.857142857142858</v>
      </c>
    </row>
    <row r="28" spans="1:88" x14ac:dyDescent="0.3">
      <c r="AG28"/>
      <c r="AH28"/>
      <c r="AI28"/>
      <c r="AJ28"/>
      <c r="AK28"/>
      <c r="AL28"/>
      <c r="AM28"/>
      <c r="AN28"/>
      <c r="AO28"/>
      <c r="AP28"/>
      <c r="AQ28"/>
      <c r="AR28"/>
      <c r="AS28"/>
      <c r="AT28"/>
      <c r="AU28"/>
      <c r="AV28"/>
      <c r="AW28"/>
      <c r="AX28"/>
      <c r="AY28"/>
      <c r="AZ28"/>
      <c r="BA28"/>
      <c r="BB28"/>
      <c r="BC28"/>
      <c r="BX28" s="1123">
        <f t="shared" si="25"/>
        <v>23</v>
      </c>
      <c r="BY28" s="1128">
        <v>24.571428571428573</v>
      </c>
      <c r="BZ28" s="1128">
        <v>30.571428571428573</v>
      </c>
      <c r="CA28" s="1128">
        <v>35.142857142857146</v>
      </c>
      <c r="CB28" s="1128">
        <v>30.571428571428573</v>
      </c>
      <c r="CC28" s="1128">
        <v>24.571428571428573</v>
      </c>
      <c r="CD28" s="1128">
        <v>26.285714285714285</v>
      </c>
      <c r="CE28" s="1128">
        <v>26.071428571428573</v>
      </c>
      <c r="CF28" s="1128">
        <v>27.857142857142858</v>
      </c>
      <c r="CG28" s="1128">
        <v>29.571428571428573</v>
      </c>
      <c r="CH28" s="1128">
        <v>26</v>
      </c>
      <c r="CI28" s="1128">
        <v>27.571428571428573</v>
      </c>
      <c r="CJ28" s="1129">
        <v>31.571428571428573</v>
      </c>
    </row>
    <row r="29" spans="1:88" x14ac:dyDescent="0.3">
      <c r="AG29"/>
      <c r="AH29"/>
      <c r="AI29"/>
      <c r="AJ29"/>
      <c r="AK29"/>
      <c r="AL29"/>
      <c r="AM29"/>
      <c r="AN29"/>
      <c r="AO29"/>
      <c r="AP29"/>
      <c r="AQ29"/>
      <c r="AR29"/>
      <c r="AS29"/>
      <c r="AT29"/>
      <c r="AU29"/>
      <c r="AV29"/>
      <c r="AW29"/>
      <c r="AX29"/>
      <c r="AY29"/>
      <c r="AZ29"/>
      <c r="BA29"/>
      <c r="BB29"/>
      <c r="BC29"/>
      <c r="BX29" s="1123">
        <f t="shared" si="25"/>
        <v>24</v>
      </c>
      <c r="BY29" s="1128">
        <v>25.285714285714285</v>
      </c>
      <c r="BZ29" s="1128">
        <v>31.285714285714285</v>
      </c>
      <c r="CA29" s="1128">
        <v>35.571428571428569</v>
      </c>
      <c r="CB29" s="1128">
        <v>31.285714285714285</v>
      </c>
      <c r="CC29" s="1128">
        <v>25.285714285714285</v>
      </c>
      <c r="CD29" s="1128">
        <v>27.142857142857142</v>
      </c>
      <c r="CE29" s="1128">
        <v>26.785714285714285</v>
      </c>
      <c r="CF29" s="1128">
        <v>28.428571428571427</v>
      </c>
      <c r="CG29" s="1128">
        <v>30.285714285714285</v>
      </c>
      <c r="CH29" s="1128">
        <v>27</v>
      </c>
      <c r="CI29" s="1128">
        <v>28.285714285714285</v>
      </c>
      <c r="CJ29" s="1129">
        <v>32.285714285714285</v>
      </c>
    </row>
    <row r="30" spans="1:88" x14ac:dyDescent="0.3">
      <c r="AG30"/>
      <c r="AH30"/>
      <c r="AI30"/>
      <c r="AJ30"/>
      <c r="AK30"/>
      <c r="AL30"/>
      <c r="AM30"/>
      <c r="AN30"/>
      <c r="AO30"/>
      <c r="AP30"/>
      <c r="AQ30"/>
      <c r="AR30"/>
      <c r="AS30"/>
      <c r="AT30"/>
      <c r="AU30"/>
      <c r="AV30"/>
      <c r="AW30"/>
      <c r="AX30"/>
      <c r="AY30"/>
      <c r="AZ30"/>
      <c r="BA30"/>
      <c r="BB30"/>
      <c r="BC30"/>
      <c r="BX30" s="1123">
        <f t="shared" si="25"/>
        <v>25</v>
      </c>
      <c r="BY30" s="1128">
        <v>26</v>
      </c>
      <c r="BZ30" s="1128">
        <v>32</v>
      </c>
      <c r="CA30" s="1128">
        <v>36</v>
      </c>
      <c r="CB30" s="1128">
        <v>32</v>
      </c>
      <c r="CC30" s="1128">
        <v>26</v>
      </c>
      <c r="CD30" s="1128">
        <v>28</v>
      </c>
      <c r="CE30" s="1128">
        <v>27.5</v>
      </c>
      <c r="CF30" s="1128">
        <v>29</v>
      </c>
      <c r="CG30" s="1128">
        <v>31</v>
      </c>
      <c r="CH30" s="1128">
        <v>28</v>
      </c>
      <c r="CI30" s="1128">
        <v>29</v>
      </c>
      <c r="CJ30" s="1129">
        <v>33</v>
      </c>
    </row>
    <row r="31" spans="1:88" x14ac:dyDescent="0.3">
      <c r="AG31"/>
      <c r="AH31"/>
      <c r="AI31"/>
      <c r="AJ31"/>
      <c r="AK31"/>
      <c r="AL31"/>
      <c r="AM31"/>
      <c r="AN31"/>
      <c r="AO31"/>
      <c r="AP31"/>
      <c r="AQ31"/>
      <c r="AR31"/>
      <c r="AS31"/>
      <c r="AT31"/>
      <c r="AU31"/>
      <c r="AV31"/>
      <c r="AW31"/>
      <c r="AX31"/>
      <c r="AY31"/>
      <c r="AZ31"/>
      <c r="BA31"/>
      <c r="BB31"/>
      <c r="BC31"/>
      <c r="BX31" s="1123">
        <f t="shared" si="25"/>
        <v>26</v>
      </c>
      <c r="BY31" s="1128">
        <v>26.714285714285715</v>
      </c>
      <c r="BZ31" s="1128">
        <v>32.714285714285715</v>
      </c>
      <c r="CA31" s="1128">
        <v>36.428571428571431</v>
      </c>
      <c r="CB31" s="1128">
        <v>32.714285714285715</v>
      </c>
      <c r="CC31" s="1128">
        <v>26.714285714285715</v>
      </c>
      <c r="CD31" s="1128">
        <v>28.857142857142858</v>
      </c>
      <c r="CE31" s="1128">
        <v>28.214285714285715</v>
      </c>
      <c r="CF31" s="1128">
        <v>29.571428571428573</v>
      </c>
      <c r="CG31" s="1128">
        <v>31.714285714285715</v>
      </c>
      <c r="CH31" s="1128">
        <v>29</v>
      </c>
      <c r="CI31" s="1128">
        <v>29.714285714285715</v>
      </c>
      <c r="CJ31" s="1129">
        <v>33.714285714285715</v>
      </c>
    </row>
    <row r="32" spans="1:88" x14ac:dyDescent="0.3">
      <c r="AG32"/>
      <c r="AH32"/>
      <c r="AI32"/>
      <c r="AJ32"/>
      <c r="AK32"/>
      <c r="AL32"/>
      <c r="AM32"/>
      <c r="AN32"/>
      <c r="AO32"/>
      <c r="AP32"/>
      <c r="AQ32"/>
      <c r="AR32"/>
      <c r="AS32"/>
      <c r="AT32"/>
      <c r="AU32"/>
      <c r="AV32"/>
      <c r="AW32"/>
      <c r="AX32"/>
      <c r="AY32"/>
      <c r="AZ32"/>
      <c r="BA32"/>
      <c r="BB32"/>
      <c r="BC32"/>
      <c r="BX32" s="1123">
        <f t="shared" si="25"/>
        <v>27</v>
      </c>
      <c r="BY32" s="1128">
        <v>27.428571428571427</v>
      </c>
      <c r="BZ32" s="1128">
        <v>33.428571428571431</v>
      </c>
      <c r="CA32" s="1128">
        <v>36.857142857142854</v>
      </c>
      <c r="CB32" s="1128">
        <v>33.428571428571431</v>
      </c>
      <c r="CC32" s="1128">
        <v>27.428571428571427</v>
      </c>
      <c r="CD32" s="1128">
        <v>29.714285714285715</v>
      </c>
      <c r="CE32" s="1128">
        <v>28.928571428571427</v>
      </c>
      <c r="CF32" s="1128">
        <v>30.142857142857142</v>
      </c>
      <c r="CG32" s="1128">
        <v>32.428571428571431</v>
      </c>
      <c r="CH32" s="1128">
        <v>30</v>
      </c>
      <c r="CI32" s="1128">
        <v>30.428571428571427</v>
      </c>
      <c r="CJ32" s="1129">
        <v>34.428571428571431</v>
      </c>
    </row>
    <row r="33" spans="33:88" x14ac:dyDescent="0.3">
      <c r="AG33"/>
      <c r="AH33"/>
      <c r="AI33"/>
      <c r="AJ33"/>
      <c r="AK33"/>
      <c r="AL33"/>
      <c r="AM33"/>
      <c r="AN33"/>
      <c r="AO33"/>
      <c r="AP33"/>
      <c r="AQ33"/>
      <c r="AR33"/>
      <c r="AS33"/>
      <c r="AT33"/>
      <c r="AU33"/>
      <c r="AV33"/>
      <c r="AW33"/>
      <c r="AX33"/>
      <c r="AY33"/>
      <c r="AZ33"/>
      <c r="BA33"/>
      <c r="BB33"/>
      <c r="BC33"/>
      <c r="BX33" s="1123">
        <f t="shared" si="25"/>
        <v>28</v>
      </c>
      <c r="BY33" s="1128">
        <v>28.142857142857142</v>
      </c>
      <c r="BZ33" s="1128">
        <v>34.142857142857146</v>
      </c>
      <c r="CA33" s="1128">
        <v>37.285714285714285</v>
      </c>
      <c r="CB33" s="1128">
        <v>34.142857142857146</v>
      </c>
      <c r="CC33" s="1128">
        <v>28.142857142857142</v>
      </c>
      <c r="CD33" s="1128">
        <v>30.571428571428569</v>
      </c>
      <c r="CE33" s="1128">
        <v>29.642857142857142</v>
      </c>
      <c r="CF33" s="1128">
        <v>30.714285714285715</v>
      </c>
      <c r="CG33" s="1128">
        <v>33.142857142857146</v>
      </c>
      <c r="CH33" s="1128">
        <v>31</v>
      </c>
      <c r="CI33" s="1128">
        <v>31.142857142857142</v>
      </c>
      <c r="CJ33" s="1129">
        <v>35.142857142857146</v>
      </c>
    </row>
    <row r="34" spans="33:88" x14ac:dyDescent="0.3">
      <c r="AG34"/>
      <c r="AH34"/>
      <c r="AI34"/>
      <c r="AJ34"/>
      <c r="AK34"/>
      <c r="AL34"/>
      <c r="AM34"/>
      <c r="AN34"/>
      <c r="AO34"/>
      <c r="AP34"/>
      <c r="AQ34"/>
      <c r="AR34"/>
      <c r="AS34"/>
      <c r="AT34"/>
      <c r="AU34"/>
      <c r="AV34"/>
      <c r="AW34"/>
      <c r="AX34"/>
      <c r="AY34"/>
      <c r="AZ34"/>
      <c r="BA34"/>
      <c r="BB34"/>
      <c r="BC34"/>
      <c r="BX34" s="1123">
        <f t="shared" si="25"/>
        <v>29</v>
      </c>
      <c r="BY34" s="1128">
        <v>28.857142857142858</v>
      </c>
      <c r="BZ34" s="1128">
        <v>34.857142857142854</v>
      </c>
      <c r="CA34" s="1128">
        <v>37.285714285714285</v>
      </c>
      <c r="CB34" s="1128">
        <v>34.857142857142854</v>
      </c>
      <c r="CC34" s="1128">
        <v>28.857142857142858</v>
      </c>
      <c r="CD34" s="1128">
        <v>31</v>
      </c>
      <c r="CE34" s="1128">
        <v>29.5</v>
      </c>
      <c r="CF34" s="1128">
        <v>31.285714285714285</v>
      </c>
      <c r="CG34" s="1128">
        <v>33.857142857142854</v>
      </c>
      <c r="CH34" s="1128">
        <v>32.428571428571431</v>
      </c>
      <c r="CI34" s="1128">
        <v>32.714285714285715</v>
      </c>
      <c r="CJ34" s="1129">
        <v>35.857142857142854</v>
      </c>
    </row>
    <row r="35" spans="33:88" x14ac:dyDescent="0.3">
      <c r="BX35" s="1123">
        <f t="shared" si="25"/>
        <v>30</v>
      </c>
      <c r="BY35" s="1128">
        <v>29.571428571428573</v>
      </c>
      <c r="BZ35" s="1128">
        <v>35.571428571428569</v>
      </c>
      <c r="CA35" s="1128">
        <v>37.857142857142854</v>
      </c>
      <c r="CB35" s="1128">
        <v>35.571428571428569</v>
      </c>
      <c r="CC35" s="1128">
        <v>29.571428571428573</v>
      </c>
      <c r="CD35" s="1128">
        <v>32</v>
      </c>
      <c r="CE35" s="1128">
        <v>30.5</v>
      </c>
      <c r="CF35" s="1128">
        <v>31.857142857142858</v>
      </c>
      <c r="CG35" s="1128">
        <v>34.571428571428569</v>
      </c>
      <c r="CH35" s="1128">
        <v>33.285714285714285</v>
      </c>
      <c r="CI35" s="1128">
        <v>33.142857142857146</v>
      </c>
      <c r="CJ35" s="1129">
        <v>36.571428571428569</v>
      </c>
    </row>
    <row r="36" spans="33:88" x14ac:dyDescent="0.3">
      <c r="BX36" s="1123">
        <f t="shared" si="25"/>
        <v>31</v>
      </c>
      <c r="BY36" s="1128">
        <v>30.285714285714285</v>
      </c>
      <c r="BZ36" s="1128">
        <v>36.285714285714285</v>
      </c>
      <c r="CA36" s="1128">
        <v>38.428571428571431</v>
      </c>
      <c r="CB36" s="1128">
        <v>36.285714285714285</v>
      </c>
      <c r="CC36" s="1128">
        <v>30.285714285714285</v>
      </c>
      <c r="CD36" s="1128">
        <v>33</v>
      </c>
      <c r="CE36" s="1128">
        <v>31.5</v>
      </c>
      <c r="CF36" s="1128">
        <v>32.428571428571431</v>
      </c>
      <c r="CG36" s="1128">
        <v>35.285714285714285</v>
      </c>
      <c r="CH36" s="1128">
        <v>34.142857142857146</v>
      </c>
      <c r="CI36" s="1128">
        <v>33.571428571428569</v>
      </c>
      <c r="CJ36" s="1129">
        <v>37.285714285714285</v>
      </c>
    </row>
    <row r="37" spans="33:88" x14ac:dyDescent="0.3">
      <c r="BX37" s="1123">
        <f t="shared" si="25"/>
        <v>32</v>
      </c>
      <c r="BY37" s="1128">
        <v>31</v>
      </c>
      <c r="BZ37" s="1128">
        <v>37</v>
      </c>
      <c r="CA37" s="1128">
        <v>39</v>
      </c>
      <c r="CB37" s="1128">
        <v>37</v>
      </c>
      <c r="CC37" s="1128">
        <v>31</v>
      </c>
      <c r="CD37" s="1128">
        <v>34</v>
      </c>
      <c r="CE37" s="1128">
        <v>32.5</v>
      </c>
      <c r="CF37" s="1128">
        <v>33</v>
      </c>
      <c r="CG37" s="1128">
        <v>36</v>
      </c>
      <c r="CH37" s="1128">
        <v>35</v>
      </c>
      <c r="CI37" s="1128">
        <v>34</v>
      </c>
      <c r="CJ37" s="1129">
        <v>38</v>
      </c>
    </row>
    <row r="38" spans="33:88" x14ac:dyDescent="0.3">
      <c r="BX38" s="1123">
        <f t="shared" si="25"/>
        <v>33</v>
      </c>
      <c r="BY38" s="1128">
        <v>31.714285714285715</v>
      </c>
      <c r="BZ38" s="1128">
        <v>37.714285714285715</v>
      </c>
      <c r="CA38" s="1128">
        <v>39.571428571428569</v>
      </c>
      <c r="CB38" s="1128">
        <v>37.714285714285715</v>
      </c>
      <c r="CC38" s="1128">
        <v>31.714285714285715</v>
      </c>
      <c r="CD38" s="1128">
        <v>35</v>
      </c>
      <c r="CE38" s="1128">
        <v>33.5</v>
      </c>
      <c r="CF38" s="1128">
        <v>33.571428571428569</v>
      </c>
      <c r="CG38" s="1128">
        <v>36.714285714285715</v>
      </c>
      <c r="CH38" s="1128">
        <v>35.857142857142854</v>
      </c>
      <c r="CI38" s="1128">
        <v>34.428571428571431</v>
      </c>
      <c r="CJ38" s="1129">
        <v>38.714285714285715</v>
      </c>
    </row>
    <row r="39" spans="33:88" x14ac:dyDescent="0.3">
      <c r="BX39" s="1123">
        <f t="shared" ref="BX39:BX70" si="26">BX38+1</f>
        <v>34</v>
      </c>
      <c r="BY39" s="1128">
        <v>32.428571428571431</v>
      </c>
      <c r="BZ39" s="1128">
        <v>38.428571428571431</v>
      </c>
      <c r="CA39" s="1128">
        <v>40.142857142857146</v>
      </c>
      <c r="CB39" s="1128">
        <v>38.428571428571431</v>
      </c>
      <c r="CC39" s="1128">
        <v>32.428571428571431</v>
      </c>
      <c r="CD39" s="1128">
        <v>36</v>
      </c>
      <c r="CE39" s="1128">
        <v>34.5</v>
      </c>
      <c r="CF39" s="1128">
        <v>34.142857142857146</v>
      </c>
      <c r="CG39" s="1128">
        <v>37.428571428571431</v>
      </c>
      <c r="CH39" s="1128">
        <v>36.714285714285715</v>
      </c>
      <c r="CI39" s="1128">
        <v>34.857142857142854</v>
      </c>
      <c r="CJ39" s="1129">
        <v>39.428571428571431</v>
      </c>
    </row>
    <row r="40" spans="33:88" x14ac:dyDescent="0.3">
      <c r="BX40" s="1123">
        <f t="shared" si="26"/>
        <v>35</v>
      </c>
      <c r="BY40" s="1128">
        <v>33.142857142857146</v>
      </c>
      <c r="BZ40" s="1128">
        <v>39.142857142857146</v>
      </c>
      <c r="CA40" s="1128">
        <v>40.714285714285715</v>
      </c>
      <c r="CB40" s="1128">
        <v>39.142857142857146</v>
      </c>
      <c r="CC40" s="1128">
        <v>33.142857142857146</v>
      </c>
      <c r="CD40" s="1128">
        <v>37</v>
      </c>
      <c r="CE40" s="1128">
        <v>35.5</v>
      </c>
      <c r="CF40" s="1128">
        <v>34.714285714285715</v>
      </c>
      <c r="CG40" s="1128">
        <v>38.142857142857146</v>
      </c>
      <c r="CH40" s="1128">
        <v>37.571428571428569</v>
      </c>
      <c r="CI40" s="1128">
        <v>35.285714285714285</v>
      </c>
      <c r="CJ40" s="1129">
        <v>40.142857142857146</v>
      </c>
    </row>
    <row r="41" spans="33:88" x14ac:dyDescent="0.3">
      <c r="BX41" s="1123">
        <f t="shared" si="26"/>
        <v>36</v>
      </c>
      <c r="BY41" s="1128">
        <v>33.857142857142854</v>
      </c>
      <c r="BZ41" s="1128">
        <v>40.285714285714285</v>
      </c>
      <c r="CA41" s="1128">
        <v>40.857142857142854</v>
      </c>
      <c r="CB41" s="1128">
        <v>40.285714285714285</v>
      </c>
      <c r="CC41" s="1128">
        <v>34.285714285714285</v>
      </c>
      <c r="CD41" s="1128">
        <v>38.857142857142854</v>
      </c>
      <c r="CE41" s="1128">
        <v>37.142857142857146</v>
      </c>
      <c r="CF41" s="1128">
        <v>35.285714285714285</v>
      </c>
      <c r="CG41" s="1128">
        <v>39.285714285714285</v>
      </c>
      <c r="CH41" s="1128">
        <v>38.428571428571431</v>
      </c>
      <c r="CI41" s="1128">
        <v>35.285714285714285</v>
      </c>
      <c r="CJ41" s="1129">
        <v>41.285714285714285</v>
      </c>
    </row>
    <row r="42" spans="33:88" x14ac:dyDescent="0.3">
      <c r="BX42" s="1123">
        <f t="shared" si="26"/>
        <v>37</v>
      </c>
      <c r="BY42" s="1128">
        <v>34.571428571428569</v>
      </c>
      <c r="BZ42" s="1128">
        <v>40.857142857142854</v>
      </c>
      <c r="CA42" s="1128">
        <v>41.571428571428569</v>
      </c>
      <c r="CB42" s="1128">
        <v>40.857142857142854</v>
      </c>
      <c r="CC42" s="1128">
        <v>34.857142857142854</v>
      </c>
      <c r="CD42" s="1128">
        <v>39.571428571428569</v>
      </c>
      <c r="CE42" s="1128">
        <v>37.928571428571431</v>
      </c>
      <c r="CF42" s="1128">
        <v>35.857142857142854</v>
      </c>
      <c r="CG42" s="1128">
        <v>39.857142857142854</v>
      </c>
      <c r="CH42" s="1128">
        <v>39.285714285714285</v>
      </c>
      <c r="CI42" s="1128">
        <v>35.857142857142854</v>
      </c>
      <c r="CJ42" s="1129">
        <v>41.857142857142854</v>
      </c>
    </row>
    <row r="43" spans="33:88" x14ac:dyDescent="0.3">
      <c r="BX43" s="1123">
        <f t="shared" si="26"/>
        <v>38</v>
      </c>
      <c r="BY43" s="1128">
        <v>35.285714285714285</v>
      </c>
      <c r="BZ43" s="1128">
        <v>41.428571428571431</v>
      </c>
      <c r="CA43" s="1128">
        <v>42.285714285714285</v>
      </c>
      <c r="CB43" s="1128">
        <v>41.428571428571431</v>
      </c>
      <c r="CC43" s="1128">
        <v>35.428571428571431</v>
      </c>
      <c r="CD43" s="1128">
        <v>40.285714285714285</v>
      </c>
      <c r="CE43" s="1128">
        <v>38.714285714285715</v>
      </c>
      <c r="CF43" s="1128">
        <v>36.428571428571431</v>
      </c>
      <c r="CG43" s="1128">
        <v>40.428571428571431</v>
      </c>
      <c r="CH43" s="1128">
        <v>40.142857142857146</v>
      </c>
      <c r="CI43" s="1128">
        <v>36.428571428571431</v>
      </c>
      <c r="CJ43" s="1129">
        <v>42.428571428571431</v>
      </c>
    </row>
    <row r="44" spans="33:88" x14ac:dyDescent="0.3">
      <c r="BX44" s="1123">
        <f t="shared" si="26"/>
        <v>39</v>
      </c>
      <c r="BY44" s="1128">
        <v>36</v>
      </c>
      <c r="BZ44" s="1128">
        <v>42</v>
      </c>
      <c r="CA44" s="1128">
        <v>43</v>
      </c>
      <c r="CB44" s="1128">
        <v>42</v>
      </c>
      <c r="CC44" s="1128">
        <v>36</v>
      </c>
      <c r="CD44" s="1128">
        <v>41</v>
      </c>
      <c r="CE44" s="1128">
        <v>39.5</v>
      </c>
      <c r="CF44" s="1128">
        <v>37</v>
      </c>
      <c r="CG44" s="1128">
        <v>41</v>
      </c>
      <c r="CH44" s="1128">
        <v>41</v>
      </c>
      <c r="CI44" s="1128">
        <v>37</v>
      </c>
      <c r="CJ44" s="1129">
        <v>43</v>
      </c>
    </row>
    <row r="45" spans="33:88" x14ac:dyDescent="0.3">
      <c r="BX45" s="1123">
        <f t="shared" si="26"/>
        <v>40</v>
      </c>
      <c r="BY45" s="1128">
        <v>36.714285714285715</v>
      </c>
      <c r="BZ45" s="1128">
        <v>42.571428571428569</v>
      </c>
      <c r="CA45" s="1128">
        <v>43.714285714285715</v>
      </c>
      <c r="CB45" s="1128">
        <v>42.571428571428569</v>
      </c>
      <c r="CC45" s="1128">
        <v>36.571428571428569</v>
      </c>
      <c r="CD45" s="1128">
        <v>41.714285714285715</v>
      </c>
      <c r="CE45" s="1128">
        <v>40.285714285714285</v>
      </c>
      <c r="CF45" s="1128">
        <v>37.571428571428569</v>
      </c>
      <c r="CG45" s="1128">
        <v>41.571428571428569</v>
      </c>
      <c r="CH45" s="1128">
        <v>41.857142857142854</v>
      </c>
      <c r="CI45" s="1128">
        <v>37.571428571428569</v>
      </c>
      <c r="CJ45" s="1129">
        <v>43.571428571428569</v>
      </c>
    </row>
    <row r="46" spans="33:88" x14ac:dyDescent="0.3">
      <c r="BX46" s="1123">
        <f t="shared" si="26"/>
        <v>41</v>
      </c>
      <c r="BY46" s="1128">
        <v>37.428571428571431</v>
      </c>
      <c r="BZ46" s="1128">
        <v>43.142857142857146</v>
      </c>
      <c r="CA46" s="1128">
        <v>44.428571428571431</v>
      </c>
      <c r="CB46" s="1128">
        <v>43.142857142857146</v>
      </c>
      <c r="CC46" s="1128">
        <v>37.142857142857146</v>
      </c>
      <c r="CD46" s="1128">
        <v>42.428571428571431</v>
      </c>
      <c r="CE46" s="1128">
        <v>41.071428571428569</v>
      </c>
      <c r="CF46" s="1128">
        <v>38.142857142857146</v>
      </c>
      <c r="CG46" s="1128">
        <v>42.142857142857146</v>
      </c>
      <c r="CH46" s="1128">
        <v>42.714285714285715</v>
      </c>
      <c r="CI46" s="1128">
        <v>38.142857142857146</v>
      </c>
      <c r="CJ46" s="1129">
        <v>44.142857142857146</v>
      </c>
    </row>
    <row r="47" spans="33:88" x14ac:dyDescent="0.3">
      <c r="BX47" s="1123">
        <f t="shared" si="26"/>
        <v>42</v>
      </c>
      <c r="BY47" s="1128">
        <v>38.142857142857146</v>
      </c>
      <c r="BZ47" s="1128">
        <v>43.714285714285715</v>
      </c>
      <c r="CA47" s="1128">
        <v>45.142857142857146</v>
      </c>
      <c r="CB47" s="1128">
        <v>43.714285714285715</v>
      </c>
      <c r="CC47" s="1128">
        <v>37.714285714285715</v>
      </c>
      <c r="CD47" s="1128">
        <v>43.142857142857146</v>
      </c>
      <c r="CE47" s="1128">
        <v>41.857142857142854</v>
      </c>
      <c r="CF47" s="1128">
        <v>38.714285714285715</v>
      </c>
      <c r="CG47" s="1128">
        <v>42.714285714285715</v>
      </c>
      <c r="CH47" s="1128">
        <v>43.571428571428569</v>
      </c>
      <c r="CI47" s="1128">
        <v>38.714285714285715</v>
      </c>
      <c r="CJ47" s="1129">
        <v>44.714285714285715</v>
      </c>
    </row>
    <row r="48" spans="33:88" x14ac:dyDescent="0.3">
      <c r="BX48" s="1123">
        <f t="shared" si="26"/>
        <v>43</v>
      </c>
      <c r="BY48" s="1128">
        <v>39.285714285714285</v>
      </c>
      <c r="BZ48" s="1128">
        <v>44.285714285714285</v>
      </c>
      <c r="CA48" s="1128">
        <v>46.285714285714285</v>
      </c>
      <c r="CB48" s="1128">
        <v>44.285714285714285</v>
      </c>
      <c r="CC48" s="1128">
        <v>38.285714285714285</v>
      </c>
      <c r="CD48" s="1128">
        <v>43.428571428571431</v>
      </c>
      <c r="CE48" s="1128">
        <v>42.214285714285715</v>
      </c>
      <c r="CF48" s="1128">
        <v>39.714285714285715</v>
      </c>
      <c r="CG48" s="1128">
        <v>43.285714285714285</v>
      </c>
      <c r="CH48" s="1128">
        <v>45.285714285714285</v>
      </c>
      <c r="CI48" s="1128">
        <v>39.285714285714285</v>
      </c>
      <c r="CJ48" s="1129">
        <v>45.285714285714285</v>
      </c>
    </row>
    <row r="49" spans="76:88" x14ac:dyDescent="0.3">
      <c r="BX49" s="1123">
        <f t="shared" si="26"/>
        <v>44</v>
      </c>
      <c r="BY49" s="1128">
        <v>39.857142857142854</v>
      </c>
      <c r="BZ49" s="1128">
        <v>44.857142857142854</v>
      </c>
      <c r="CA49" s="1128">
        <v>46.857142857142854</v>
      </c>
      <c r="CB49" s="1128">
        <v>44.857142857142854</v>
      </c>
      <c r="CC49" s="1128">
        <v>38.857142857142854</v>
      </c>
      <c r="CD49" s="1128">
        <v>44.285714285714285</v>
      </c>
      <c r="CE49" s="1128">
        <v>43.142857142857146</v>
      </c>
      <c r="CF49" s="1128">
        <v>40.142857142857146</v>
      </c>
      <c r="CG49" s="1128">
        <v>43.857142857142854</v>
      </c>
      <c r="CH49" s="1128">
        <v>45.857142857142854</v>
      </c>
      <c r="CI49" s="1128">
        <v>39.857142857142854</v>
      </c>
      <c r="CJ49" s="1129">
        <v>45.857142857142854</v>
      </c>
    </row>
    <row r="50" spans="76:88" x14ac:dyDescent="0.3">
      <c r="BX50" s="1123">
        <f t="shared" si="26"/>
        <v>45</v>
      </c>
      <c r="BY50" s="1128">
        <v>40.428571428571431</v>
      </c>
      <c r="BZ50" s="1128">
        <v>45.428571428571431</v>
      </c>
      <c r="CA50" s="1128">
        <v>47.428571428571431</v>
      </c>
      <c r="CB50" s="1128">
        <v>45.428571428571431</v>
      </c>
      <c r="CC50" s="1128">
        <v>39.428571428571431</v>
      </c>
      <c r="CD50" s="1128">
        <v>45.142857142857146</v>
      </c>
      <c r="CE50" s="1128">
        <v>44.071428571428569</v>
      </c>
      <c r="CF50" s="1128">
        <v>40.571428571428569</v>
      </c>
      <c r="CG50" s="1128">
        <v>44.428571428571431</v>
      </c>
      <c r="CH50" s="1128">
        <v>46.428571428571431</v>
      </c>
      <c r="CI50" s="1128">
        <v>40.428571428571431</v>
      </c>
      <c r="CJ50" s="1129">
        <v>46.428571428571431</v>
      </c>
    </row>
    <row r="51" spans="76:88" x14ac:dyDescent="0.3">
      <c r="BX51" s="1123">
        <f t="shared" si="26"/>
        <v>46</v>
      </c>
      <c r="BY51" s="1128">
        <v>41</v>
      </c>
      <c r="BZ51" s="1128">
        <v>46</v>
      </c>
      <c r="CA51" s="1128">
        <v>48</v>
      </c>
      <c r="CB51" s="1128">
        <v>46</v>
      </c>
      <c r="CC51" s="1128">
        <v>40</v>
      </c>
      <c r="CD51" s="1128">
        <v>46</v>
      </c>
      <c r="CE51" s="1128">
        <v>45</v>
      </c>
      <c r="CF51" s="1128">
        <v>41</v>
      </c>
      <c r="CG51" s="1128">
        <v>45</v>
      </c>
      <c r="CH51" s="1128">
        <v>47</v>
      </c>
      <c r="CI51" s="1128">
        <v>41</v>
      </c>
      <c r="CJ51" s="1129">
        <v>47</v>
      </c>
    </row>
    <row r="52" spans="76:88" x14ac:dyDescent="0.3">
      <c r="BX52" s="1123">
        <f t="shared" si="26"/>
        <v>47</v>
      </c>
      <c r="BY52" s="1128">
        <v>41.571428571428569</v>
      </c>
      <c r="BZ52" s="1128">
        <v>46.571428571428569</v>
      </c>
      <c r="CA52" s="1128">
        <v>48.571428571428569</v>
      </c>
      <c r="CB52" s="1128">
        <v>46.571428571428569</v>
      </c>
      <c r="CC52" s="1128">
        <v>40.571428571428569</v>
      </c>
      <c r="CD52" s="1128">
        <v>46.857142857142854</v>
      </c>
      <c r="CE52" s="1128">
        <v>45.928571428571431</v>
      </c>
      <c r="CF52" s="1128">
        <v>41.428571428571431</v>
      </c>
      <c r="CG52" s="1128">
        <v>45.571428571428569</v>
      </c>
      <c r="CH52" s="1128">
        <v>47.571428571428569</v>
      </c>
      <c r="CI52" s="1128">
        <v>41.571428571428569</v>
      </c>
      <c r="CJ52" s="1129">
        <v>47.571428571428569</v>
      </c>
    </row>
    <row r="53" spans="76:88" x14ac:dyDescent="0.3">
      <c r="BX53" s="1123">
        <f t="shared" si="26"/>
        <v>48</v>
      </c>
      <c r="BY53" s="1128">
        <v>42.142857142857146</v>
      </c>
      <c r="BZ53" s="1128">
        <v>47.142857142857146</v>
      </c>
      <c r="CA53" s="1128">
        <v>49.142857142857146</v>
      </c>
      <c r="CB53" s="1128">
        <v>47.142857142857146</v>
      </c>
      <c r="CC53" s="1128">
        <v>41.142857142857146</v>
      </c>
      <c r="CD53" s="1128">
        <v>47.714285714285715</v>
      </c>
      <c r="CE53" s="1128">
        <v>46.857142857142854</v>
      </c>
      <c r="CF53" s="1128">
        <v>41.857142857142854</v>
      </c>
      <c r="CG53" s="1128">
        <v>46.142857142857146</v>
      </c>
      <c r="CH53" s="1128">
        <v>48.142857142857146</v>
      </c>
      <c r="CI53" s="1128">
        <v>42.142857142857146</v>
      </c>
      <c r="CJ53" s="1129">
        <v>48.142857142857146</v>
      </c>
    </row>
    <row r="54" spans="76:88" x14ac:dyDescent="0.3">
      <c r="BX54" s="1123">
        <f t="shared" si="26"/>
        <v>49</v>
      </c>
      <c r="BY54" s="1128">
        <v>42.714285714285715</v>
      </c>
      <c r="BZ54" s="1128">
        <v>47.714285714285715</v>
      </c>
      <c r="CA54" s="1128">
        <v>49.714285714285715</v>
      </c>
      <c r="CB54" s="1128">
        <v>47.714285714285715</v>
      </c>
      <c r="CC54" s="1128">
        <v>41.714285714285715</v>
      </c>
      <c r="CD54" s="1128">
        <v>48.571428571428569</v>
      </c>
      <c r="CE54" s="1128">
        <v>47.785714285714285</v>
      </c>
      <c r="CF54" s="1128">
        <v>42.285714285714285</v>
      </c>
      <c r="CG54" s="1128">
        <v>46.714285714285715</v>
      </c>
      <c r="CH54" s="1128">
        <v>48.714285714285715</v>
      </c>
      <c r="CI54" s="1128">
        <v>42.714285714285715</v>
      </c>
      <c r="CJ54" s="1129">
        <v>48.714285714285715</v>
      </c>
    </row>
    <row r="55" spans="76:88" x14ac:dyDescent="0.3">
      <c r="BX55" s="1123">
        <f t="shared" si="26"/>
        <v>50</v>
      </c>
      <c r="BY55" s="1128">
        <v>43.714285714285715</v>
      </c>
      <c r="BZ55" s="1128">
        <v>48.285714285714285</v>
      </c>
      <c r="CA55" s="1128">
        <v>50.714285714285715</v>
      </c>
      <c r="CB55" s="1128">
        <v>48.285714285714285</v>
      </c>
      <c r="CC55" s="1128">
        <v>42.714285714285715</v>
      </c>
      <c r="CD55" s="1128">
        <v>49.857142857142854</v>
      </c>
      <c r="CE55" s="1128">
        <v>49.357142857142854</v>
      </c>
      <c r="CF55" s="1128">
        <v>42.714285714285715</v>
      </c>
      <c r="CG55" s="1128">
        <v>47.285714285714285</v>
      </c>
      <c r="CH55" s="1128">
        <v>49.285714285714285</v>
      </c>
      <c r="CI55" s="1128">
        <v>43.285714285714285</v>
      </c>
      <c r="CJ55" s="1129">
        <v>49.285714285714285</v>
      </c>
    </row>
    <row r="56" spans="76:88" x14ac:dyDescent="0.3">
      <c r="BX56" s="1123">
        <f t="shared" si="26"/>
        <v>51</v>
      </c>
      <c r="BY56" s="1128">
        <v>44.142857142857146</v>
      </c>
      <c r="BZ56" s="1128">
        <v>48.857142857142854</v>
      </c>
      <c r="CA56" s="1128">
        <v>51.142857142857146</v>
      </c>
      <c r="CB56" s="1128">
        <v>48.857142857142854</v>
      </c>
      <c r="CC56" s="1128">
        <v>43.142857142857146</v>
      </c>
      <c r="CD56" s="1128">
        <v>50.571428571428569</v>
      </c>
      <c r="CE56" s="1128">
        <v>50.071428571428569</v>
      </c>
      <c r="CF56" s="1128">
        <v>43.142857142857146</v>
      </c>
      <c r="CG56" s="1128">
        <v>47.857142857142854</v>
      </c>
      <c r="CH56" s="1128">
        <v>49.857142857142854</v>
      </c>
      <c r="CI56" s="1128">
        <v>43.857142857142854</v>
      </c>
      <c r="CJ56" s="1129">
        <v>49.857142857142854</v>
      </c>
    </row>
    <row r="57" spans="76:88" x14ac:dyDescent="0.3">
      <c r="BX57" s="1123">
        <f t="shared" si="26"/>
        <v>52</v>
      </c>
      <c r="BY57" s="1128">
        <v>44.571428571428569</v>
      </c>
      <c r="BZ57" s="1128">
        <v>49.428571428571431</v>
      </c>
      <c r="CA57" s="1128">
        <v>51.571428571428569</v>
      </c>
      <c r="CB57" s="1128">
        <v>49.428571428571431</v>
      </c>
      <c r="CC57" s="1128">
        <v>43.571428571428569</v>
      </c>
      <c r="CD57" s="1128">
        <v>51.285714285714285</v>
      </c>
      <c r="CE57" s="1128">
        <v>50.785714285714285</v>
      </c>
      <c r="CF57" s="1128">
        <v>43.571428571428569</v>
      </c>
      <c r="CG57" s="1128">
        <v>48.428571428571431</v>
      </c>
      <c r="CH57" s="1128">
        <v>50.428571428571431</v>
      </c>
      <c r="CI57" s="1128">
        <v>44.428571428571431</v>
      </c>
      <c r="CJ57" s="1129">
        <v>50.428571428571431</v>
      </c>
    </row>
    <row r="58" spans="76:88" x14ac:dyDescent="0.3">
      <c r="BX58" s="1123">
        <f t="shared" si="26"/>
        <v>53</v>
      </c>
      <c r="BY58" s="1128">
        <v>45</v>
      </c>
      <c r="BZ58" s="1128">
        <v>50</v>
      </c>
      <c r="CA58" s="1128">
        <v>52</v>
      </c>
      <c r="CB58" s="1128">
        <v>50</v>
      </c>
      <c r="CC58" s="1128">
        <v>44</v>
      </c>
      <c r="CD58" s="1128">
        <v>52</v>
      </c>
      <c r="CE58" s="1128">
        <v>51.5</v>
      </c>
      <c r="CF58" s="1128">
        <v>44</v>
      </c>
      <c r="CG58" s="1128">
        <v>49</v>
      </c>
      <c r="CH58" s="1128">
        <v>51</v>
      </c>
      <c r="CI58" s="1128">
        <v>45</v>
      </c>
      <c r="CJ58" s="1129">
        <v>51</v>
      </c>
    </row>
    <row r="59" spans="76:88" x14ac:dyDescent="0.3">
      <c r="BX59" s="1123">
        <f t="shared" si="26"/>
        <v>54</v>
      </c>
      <c r="BY59" s="1128">
        <v>45.428571428571431</v>
      </c>
      <c r="BZ59" s="1128">
        <v>50.571428571428569</v>
      </c>
      <c r="CA59" s="1128">
        <v>52.428571428571431</v>
      </c>
      <c r="CB59" s="1128">
        <v>50.571428571428569</v>
      </c>
      <c r="CC59" s="1128">
        <v>44.428571428571431</v>
      </c>
      <c r="CD59" s="1128">
        <v>52.714285714285715</v>
      </c>
      <c r="CE59" s="1128">
        <v>52.214285714285715</v>
      </c>
      <c r="CF59" s="1128">
        <v>44.428571428571431</v>
      </c>
      <c r="CG59" s="1128">
        <v>49.571428571428569</v>
      </c>
      <c r="CH59" s="1128">
        <v>51.571428571428569</v>
      </c>
      <c r="CI59" s="1128">
        <v>45.571428571428569</v>
      </c>
      <c r="CJ59" s="1129">
        <v>51.571428571428569</v>
      </c>
    </row>
    <row r="60" spans="76:88" x14ac:dyDescent="0.3">
      <c r="BX60" s="1123">
        <f t="shared" si="26"/>
        <v>55</v>
      </c>
      <c r="BY60" s="1128">
        <v>45.857142857142854</v>
      </c>
      <c r="BZ60" s="1128">
        <v>51.142857142857146</v>
      </c>
      <c r="CA60" s="1128">
        <v>52.857142857142854</v>
      </c>
      <c r="CB60" s="1128">
        <v>51.142857142857146</v>
      </c>
      <c r="CC60" s="1128">
        <v>44.857142857142854</v>
      </c>
      <c r="CD60" s="1128">
        <v>53.428571428571431</v>
      </c>
      <c r="CE60" s="1128">
        <v>52.928571428571431</v>
      </c>
      <c r="CF60" s="1128">
        <v>44.857142857142854</v>
      </c>
      <c r="CG60" s="1128">
        <v>50.142857142857146</v>
      </c>
      <c r="CH60" s="1128">
        <v>52.142857142857146</v>
      </c>
      <c r="CI60" s="1128">
        <v>46.142857142857146</v>
      </c>
      <c r="CJ60" s="1129">
        <v>52.142857142857146</v>
      </c>
    </row>
    <row r="61" spans="76:88" x14ac:dyDescent="0.3">
      <c r="BX61" s="1123">
        <f t="shared" si="26"/>
        <v>56</v>
      </c>
      <c r="BY61" s="1128">
        <v>46.285714285714285</v>
      </c>
      <c r="BZ61" s="1128">
        <v>51.714285714285715</v>
      </c>
      <c r="CA61" s="1128">
        <v>53.285714285714285</v>
      </c>
      <c r="CB61" s="1128">
        <v>51.714285714285715</v>
      </c>
      <c r="CC61" s="1128">
        <v>45.285714285714285</v>
      </c>
      <c r="CD61" s="1128">
        <v>54.142857142857146</v>
      </c>
      <c r="CE61" s="1128">
        <v>53.642857142857146</v>
      </c>
      <c r="CF61" s="1128">
        <v>45.285714285714285</v>
      </c>
      <c r="CG61" s="1128">
        <v>50.714285714285715</v>
      </c>
      <c r="CH61" s="1128">
        <v>52.714285714285715</v>
      </c>
      <c r="CI61" s="1128">
        <v>46.714285714285715</v>
      </c>
      <c r="CJ61" s="1129">
        <v>52.714285714285715</v>
      </c>
    </row>
    <row r="62" spans="76:88" x14ac:dyDescent="0.3">
      <c r="BX62" s="1123">
        <f t="shared" si="26"/>
        <v>57</v>
      </c>
      <c r="BY62" s="1128">
        <v>46.714285714285715</v>
      </c>
      <c r="BZ62" s="1128">
        <v>52.285714285714285</v>
      </c>
      <c r="CA62" s="1128">
        <v>53.714285714285715</v>
      </c>
      <c r="CB62" s="1128">
        <v>52.285714285714285</v>
      </c>
      <c r="CC62" s="1128">
        <v>45.285714285714285</v>
      </c>
      <c r="CD62" s="1128">
        <v>55.285714285714285</v>
      </c>
      <c r="CE62" s="1128">
        <v>55</v>
      </c>
      <c r="CF62" s="1128">
        <v>45.5</v>
      </c>
      <c r="CG62" s="1128">
        <v>51.285714285714285</v>
      </c>
      <c r="CH62" s="1128">
        <v>53.714285714285715</v>
      </c>
      <c r="CI62" s="1128">
        <v>47.285714285714285</v>
      </c>
      <c r="CJ62" s="1129">
        <v>53.285714285714285</v>
      </c>
    </row>
    <row r="63" spans="76:88" x14ac:dyDescent="0.3">
      <c r="BX63" s="1123">
        <f t="shared" si="26"/>
        <v>58</v>
      </c>
      <c r="BY63" s="1128">
        <v>47.142857142857146</v>
      </c>
      <c r="BZ63" s="1128">
        <v>52.857142857142854</v>
      </c>
      <c r="CA63" s="1128">
        <v>54.142857142857146</v>
      </c>
      <c r="CB63" s="1128">
        <v>52.857142857142854</v>
      </c>
      <c r="CC63" s="1128">
        <v>45.857142857142854</v>
      </c>
      <c r="CD63" s="1128">
        <v>55.857142857142854</v>
      </c>
      <c r="CE63" s="1128">
        <v>55.5</v>
      </c>
      <c r="CF63" s="1128">
        <v>46</v>
      </c>
      <c r="CG63" s="1128">
        <v>51.857142857142854</v>
      </c>
      <c r="CH63" s="1128">
        <v>54.142857142857146</v>
      </c>
      <c r="CI63" s="1128">
        <v>47.857142857142854</v>
      </c>
      <c r="CJ63" s="1129">
        <v>53.857142857142854</v>
      </c>
    </row>
    <row r="64" spans="76:88" x14ac:dyDescent="0.3">
      <c r="BX64" s="1123">
        <f t="shared" si="26"/>
        <v>59</v>
      </c>
      <c r="BY64" s="1128">
        <v>47.571428571428569</v>
      </c>
      <c r="BZ64" s="1128">
        <v>53.428571428571431</v>
      </c>
      <c r="CA64" s="1128">
        <v>54.571428571428569</v>
      </c>
      <c r="CB64" s="1128">
        <v>53.428571428571431</v>
      </c>
      <c r="CC64" s="1128">
        <v>46.428571428571431</v>
      </c>
      <c r="CD64" s="1128">
        <v>56.428571428571431</v>
      </c>
      <c r="CE64" s="1128">
        <v>56</v>
      </c>
      <c r="CF64" s="1128">
        <v>46.5</v>
      </c>
      <c r="CG64" s="1128">
        <v>52.428571428571431</v>
      </c>
      <c r="CH64" s="1128">
        <v>54.571428571428569</v>
      </c>
      <c r="CI64" s="1128">
        <v>48.428571428571431</v>
      </c>
      <c r="CJ64" s="1129">
        <v>54.428571428571431</v>
      </c>
    </row>
    <row r="65" spans="76:88" x14ac:dyDescent="0.3">
      <c r="BX65" s="1123">
        <f t="shared" si="26"/>
        <v>60</v>
      </c>
      <c r="BY65" s="1128">
        <v>48</v>
      </c>
      <c r="BZ65" s="1128">
        <v>54</v>
      </c>
      <c r="CA65" s="1128">
        <v>55</v>
      </c>
      <c r="CB65" s="1128">
        <v>54</v>
      </c>
      <c r="CC65" s="1128">
        <v>47</v>
      </c>
      <c r="CD65" s="1128">
        <v>57</v>
      </c>
      <c r="CE65" s="1128">
        <v>56.5</v>
      </c>
      <c r="CF65" s="1128">
        <v>47</v>
      </c>
      <c r="CG65" s="1128">
        <v>53</v>
      </c>
      <c r="CH65" s="1128">
        <v>55</v>
      </c>
      <c r="CI65" s="1128">
        <v>49</v>
      </c>
      <c r="CJ65" s="1129">
        <v>55</v>
      </c>
    </row>
    <row r="66" spans="76:88" x14ac:dyDescent="0.3">
      <c r="BX66" s="1123">
        <f t="shared" si="26"/>
        <v>61</v>
      </c>
      <c r="BY66" s="1128">
        <v>48.428571428571431</v>
      </c>
      <c r="BZ66" s="1128">
        <v>54.571428571428569</v>
      </c>
      <c r="CA66" s="1128">
        <v>55.428571428571431</v>
      </c>
      <c r="CB66" s="1128">
        <v>54.571428571428569</v>
      </c>
      <c r="CC66" s="1128">
        <v>47.571428571428569</v>
      </c>
      <c r="CD66" s="1128">
        <v>57.571428571428569</v>
      </c>
      <c r="CE66" s="1128">
        <v>57</v>
      </c>
      <c r="CF66" s="1128">
        <v>47.5</v>
      </c>
      <c r="CG66" s="1128">
        <v>53.571428571428569</v>
      </c>
      <c r="CH66" s="1128">
        <v>55.428571428571431</v>
      </c>
      <c r="CI66" s="1128">
        <v>49.571428571428569</v>
      </c>
      <c r="CJ66" s="1129">
        <v>55.571428571428569</v>
      </c>
    </row>
    <row r="67" spans="76:88" x14ac:dyDescent="0.3">
      <c r="BX67" s="1123">
        <f t="shared" si="26"/>
        <v>62</v>
      </c>
      <c r="BY67" s="1128">
        <v>48.857142857142854</v>
      </c>
      <c r="BZ67" s="1128">
        <v>55.142857142857146</v>
      </c>
      <c r="CA67" s="1128">
        <v>55.857142857142854</v>
      </c>
      <c r="CB67" s="1128">
        <v>55.142857142857146</v>
      </c>
      <c r="CC67" s="1128">
        <v>48.142857142857146</v>
      </c>
      <c r="CD67" s="1128">
        <v>58.142857142857146</v>
      </c>
      <c r="CE67" s="1128">
        <v>57.5</v>
      </c>
      <c r="CF67" s="1128">
        <v>48</v>
      </c>
      <c r="CG67" s="1128">
        <v>54.142857142857146</v>
      </c>
      <c r="CH67" s="1128">
        <v>55.857142857142854</v>
      </c>
      <c r="CI67" s="1128">
        <v>50.142857142857146</v>
      </c>
      <c r="CJ67" s="1129">
        <v>56.142857142857146</v>
      </c>
    </row>
    <row r="68" spans="76:88" x14ac:dyDescent="0.3">
      <c r="BX68" s="1123">
        <f t="shared" si="26"/>
        <v>63</v>
      </c>
      <c r="BY68" s="1128">
        <v>49.285714285714285</v>
      </c>
      <c r="BZ68" s="1128">
        <v>55.714285714285715</v>
      </c>
      <c r="CA68" s="1128">
        <v>56.285714285714285</v>
      </c>
      <c r="CB68" s="1128">
        <v>55.714285714285715</v>
      </c>
      <c r="CC68" s="1128">
        <v>48.714285714285715</v>
      </c>
      <c r="CD68" s="1128">
        <v>58.714285714285715</v>
      </c>
      <c r="CE68" s="1128">
        <v>58</v>
      </c>
      <c r="CF68" s="1128">
        <v>48.5</v>
      </c>
      <c r="CG68" s="1128">
        <v>54.714285714285715</v>
      </c>
      <c r="CH68" s="1128">
        <v>56.285714285714285</v>
      </c>
      <c r="CI68" s="1128">
        <v>50.714285714285715</v>
      </c>
      <c r="CJ68" s="1129">
        <v>56.714285714285715</v>
      </c>
    </row>
    <row r="69" spans="76:88" x14ac:dyDescent="0.3">
      <c r="BX69" s="1123">
        <f t="shared" si="26"/>
        <v>64</v>
      </c>
      <c r="BY69" s="1128">
        <v>49.714285714285715</v>
      </c>
      <c r="BZ69" s="1128">
        <v>56.714285714285715</v>
      </c>
      <c r="CA69" s="1128">
        <v>56.714285714285715</v>
      </c>
      <c r="CB69" s="1128">
        <v>56.714285714285715</v>
      </c>
      <c r="CC69" s="1128">
        <v>49.714285714285715</v>
      </c>
      <c r="CD69" s="1128">
        <v>59.714285714285715</v>
      </c>
      <c r="CE69" s="1128">
        <v>58.071428571428569</v>
      </c>
      <c r="CF69" s="1128">
        <v>49.214285714285715</v>
      </c>
      <c r="CG69" s="1128">
        <v>55.714285714285715</v>
      </c>
      <c r="CH69" s="1128">
        <v>57.142857142857146</v>
      </c>
      <c r="CI69" s="1128">
        <v>51.714285714285715</v>
      </c>
      <c r="CJ69" s="1129">
        <v>56.857142857142854</v>
      </c>
    </row>
    <row r="70" spans="76:88" x14ac:dyDescent="0.3">
      <c r="BX70" s="1123">
        <f t="shared" si="26"/>
        <v>65</v>
      </c>
      <c r="BY70" s="1128">
        <v>50.142857142857146</v>
      </c>
      <c r="BZ70" s="1128">
        <v>57.142857142857146</v>
      </c>
      <c r="CA70" s="1128">
        <v>57.142857142857146</v>
      </c>
      <c r="CB70" s="1128">
        <v>57.142857142857146</v>
      </c>
      <c r="CC70" s="1128">
        <v>50.142857142857146</v>
      </c>
      <c r="CD70" s="1128">
        <v>60.142857142857146</v>
      </c>
      <c r="CE70" s="1128">
        <v>58.714285714285715</v>
      </c>
      <c r="CF70" s="1128">
        <v>49.642857142857146</v>
      </c>
      <c r="CG70" s="1128">
        <v>56.142857142857146</v>
      </c>
      <c r="CH70" s="1128">
        <v>57.428571428571431</v>
      </c>
      <c r="CI70" s="1128">
        <v>52.142857142857146</v>
      </c>
      <c r="CJ70" s="1129">
        <v>57.571428571428569</v>
      </c>
    </row>
    <row r="71" spans="76:88" x14ac:dyDescent="0.3">
      <c r="BX71" s="1123">
        <f t="shared" ref="BX71:BX102" si="27">BX70+1</f>
        <v>66</v>
      </c>
      <c r="BY71" s="1128">
        <v>50.571428571428569</v>
      </c>
      <c r="BZ71" s="1128">
        <v>57.571428571428569</v>
      </c>
      <c r="CA71" s="1128">
        <v>57.571428571428569</v>
      </c>
      <c r="CB71" s="1128">
        <v>57.571428571428569</v>
      </c>
      <c r="CC71" s="1128">
        <v>50.571428571428569</v>
      </c>
      <c r="CD71" s="1128">
        <v>60.571428571428569</v>
      </c>
      <c r="CE71" s="1128">
        <v>59.357142857142854</v>
      </c>
      <c r="CF71" s="1128">
        <v>50.071428571428569</v>
      </c>
      <c r="CG71" s="1128">
        <v>56.571428571428569</v>
      </c>
      <c r="CH71" s="1128">
        <v>57.714285714285715</v>
      </c>
      <c r="CI71" s="1128">
        <v>52.571428571428569</v>
      </c>
      <c r="CJ71" s="1129">
        <v>58.285714285714285</v>
      </c>
    </row>
    <row r="72" spans="76:88" x14ac:dyDescent="0.3">
      <c r="BX72" s="1123">
        <f t="shared" si="27"/>
        <v>67</v>
      </c>
      <c r="BY72" s="1128">
        <v>51</v>
      </c>
      <c r="BZ72" s="1128">
        <v>58</v>
      </c>
      <c r="CA72" s="1128">
        <v>58</v>
      </c>
      <c r="CB72" s="1128">
        <v>58</v>
      </c>
      <c r="CC72" s="1128">
        <v>51</v>
      </c>
      <c r="CD72" s="1128">
        <v>61</v>
      </c>
      <c r="CE72" s="1128">
        <v>60</v>
      </c>
      <c r="CF72" s="1128">
        <v>50.5</v>
      </c>
      <c r="CG72" s="1128">
        <v>57</v>
      </c>
      <c r="CH72" s="1128">
        <v>58</v>
      </c>
      <c r="CI72" s="1128">
        <v>53</v>
      </c>
      <c r="CJ72" s="1129">
        <v>59</v>
      </c>
    </row>
    <row r="73" spans="76:88" x14ac:dyDescent="0.3">
      <c r="BX73" s="1123">
        <f t="shared" si="27"/>
        <v>68</v>
      </c>
      <c r="BY73" s="1128">
        <v>51.428571428571431</v>
      </c>
      <c r="BZ73" s="1128">
        <v>58.428571428571431</v>
      </c>
      <c r="CA73" s="1128">
        <v>58.428571428571431</v>
      </c>
      <c r="CB73" s="1128">
        <v>58.428571428571431</v>
      </c>
      <c r="CC73" s="1128">
        <v>51.428571428571431</v>
      </c>
      <c r="CD73" s="1128">
        <v>61.428571428571431</v>
      </c>
      <c r="CE73" s="1128">
        <v>60.642857142857146</v>
      </c>
      <c r="CF73" s="1128">
        <v>50.928571428571431</v>
      </c>
      <c r="CG73" s="1128">
        <v>57.428571428571431</v>
      </c>
      <c r="CH73" s="1128">
        <v>58.285714285714285</v>
      </c>
      <c r="CI73" s="1128">
        <v>53.428571428571431</v>
      </c>
      <c r="CJ73" s="1129">
        <v>59.714285714285715</v>
      </c>
    </row>
    <row r="74" spans="76:88" x14ac:dyDescent="0.3">
      <c r="BX74" s="1123">
        <f t="shared" si="27"/>
        <v>69</v>
      </c>
      <c r="BY74" s="1128">
        <v>51.857142857142854</v>
      </c>
      <c r="BZ74" s="1128">
        <v>58.857142857142854</v>
      </c>
      <c r="CA74" s="1128">
        <v>58.857142857142854</v>
      </c>
      <c r="CB74" s="1128">
        <v>58.857142857142854</v>
      </c>
      <c r="CC74" s="1128">
        <v>51.857142857142854</v>
      </c>
      <c r="CD74" s="1128">
        <v>61.857142857142854</v>
      </c>
      <c r="CE74" s="1128">
        <v>61.285714285714285</v>
      </c>
      <c r="CF74" s="1128">
        <v>51.357142857142854</v>
      </c>
      <c r="CG74" s="1128">
        <v>57.857142857142854</v>
      </c>
      <c r="CH74" s="1128">
        <v>58.571428571428569</v>
      </c>
      <c r="CI74" s="1128">
        <v>53.857142857142854</v>
      </c>
      <c r="CJ74" s="1129">
        <v>60.428571428571431</v>
      </c>
    </row>
    <row r="75" spans="76:88" x14ac:dyDescent="0.3">
      <c r="BX75" s="1123">
        <f t="shared" si="27"/>
        <v>70</v>
      </c>
      <c r="BY75" s="1128">
        <v>52.285714285714285</v>
      </c>
      <c r="BZ75" s="1128">
        <v>59.285714285714285</v>
      </c>
      <c r="CA75" s="1128">
        <v>59.285714285714285</v>
      </c>
      <c r="CB75" s="1128">
        <v>59.285714285714285</v>
      </c>
      <c r="CC75" s="1128">
        <v>52.285714285714285</v>
      </c>
      <c r="CD75" s="1128">
        <v>62.285714285714285</v>
      </c>
      <c r="CE75" s="1128">
        <v>61.928571428571431</v>
      </c>
      <c r="CF75" s="1128">
        <v>51.785714285714285</v>
      </c>
      <c r="CG75" s="1128">
        <v>58.285714285714285</v>
      </c>
      <c r="CH75" s="1128">
        <v>58.857142857142854</v>
      </c>
      <c r="CI75" s="1128">
        <v>54.285714285714285</v>
      </c>
      <c r="CJ75" s="1129">
        <v>61.142857142857146</v>
      </c>
    </row>
    <row r="76" spans="76:88" x14ac:dyDescent="0.3">
      <c r="BX76" s="1123">
        <f t="shared" si="27"/>
        <v>71</v>
      </c>
      <c r="BY76" s="1128">
        <v>52.714285714285715</v>
      </c>
      <c r="BZ76" s="1128">
        <v>59.714285714285715</v>
      </c>
      <c r="CA76" s="1128">
        <v>59.714285714285715</v>
      </c>
      <c r="CB76" s="1128">
        <v>59.714285714285715</v>
      </c>
      <c r="CC76" s="1128">
        <v>52.714285714285715</v>
      </c>
      <c r="CD76" s="1128">
        <v>63.142857142857146</v>
      </c>
      <c r="CE76" s="1128">
        <v>63.428571428571431</v>
      </c>
      <c r="CF76" s="1128">
        <v>52.214285714285715</v>
      </c>
      <c r="CG76" s="1128">
        <v>58.714285714285715</v>
      </c>
      <c r="CH76" s="1128">
        <v>58.285714285714285</v>
      </c>
      <c r="CI76" s="1128">
        <v>54.285714285714285</v>
      </c>
      <c r="CJ76" s="1129">
        <v>61.857142857142854</v>
      </c>
    </row>
    <row r="77" spans="76:88" x14ac:dyDescent="0.3">
      <c r="BX77" s="1123">
        <f t="shared" si="27"/>
        <v>72</v>
      </c>
      <c r="BY77" s="1128">
        <v>53.142857142857146</v>
      </c>
      <c r="BZ77" s="1128">
        <v>60.142857142857146</v>
      </c>
      <c r="CA77" s="1128">
        <v>60.142857142857146</v>
      </c>
      <c r="CB77" s="1128">
        <v>60.142857142857146</v>
      </c>
      <c r="CC77" s="1128">
        <v>53.142857142857146</v>
      </c>
      <c r="CD77" s="1128">
        <v>63.428571428571431</v>
      </c>
      <c r="CE77" s="1128">
        <v>63.785714285714285</v>
      </c>
      <c r="CF77" s="1128">
        <v>52.642857142857146</v>
      </c>
      <c r="CG77" s="1128">
        <v>59.142857142857146</v>
      </c>
      <c r="CH77" s="1128">
        <v>58.857142857142854</v>
      </c>
      <c r="CI77" s="1128">
        <v>54.857142857142854</v>
      </c>
      <c r="CJ77" s="1129">
        <v>62.571428571428569</v>
      </c>
    </row>
    <row r="78" spans="76:88" x14ac:dyDescent="0.3">
      <c r="BX78" s="1123">
        <f t="shared" si="27"/>
        <v>73</v>
      </c>
      <c r="BY78" s="1128">
        <v>53.571428571428569</v>
      </c>
      <c r="BZ78" s="1128">
        <v>60.571428571428569</v>
      </c>
      <c r="CA78" s="1128">
        <v>60.571428571428569</v>
      </c>
      <c r="CB78" s="1128">
        <v>60.571428571428569</v>
      </c>
      <c r="CC78" s="1128">
        <v>53.571428571428569</v>
      </c>
      <c r="CD78" s="1128">
        <v>63.714285714285715</v>
      </c>
      <c r="CE78" s="1128">
        <v>64.142857142857139</v>
      </c>
      <c r="CF78" s="1128">
        <v>53.071428571428569</v>
      </c>
      <c r="CG78" s="1128">
        <v>59.571428571428569</v>
      </c>
      <c r="CH78" s="1128">
        <v>59.428571428571431</v>
      </c>
      <c r="CI78" s="1128">
        <v>55.428571428571431</v>
      </c>
      <c r="CJ78" s="1129">
        <v>63.285714285714285</v>
      </c>
    </row>
    <row r="79" spans="76:88" x14ac:dyDescent="0.3">
      <c r="BX79" s="1123">
        <f t="shared" si="27"/>
        <v>74</v>
      </c>
      <c r="BY79" s="1128">
        <v>54</v>
      </c>
      <c r="BZ79" s="1128">
        <v>61</v>
      </c>
      <c r="CA79" s="1128">
        <v>61</v>
      </c>
      <c r="CB79" s="1128">
        <v>61</v>
      </c>
      <c r="CC79" s="1128">
        <v>54</v>
      </c>
      <c r="CD79" s="1128">
        <v>64</v>
      </c>
      <c r="CE79" s="1128">
        <v>64.5</v>
      </c>
      <c r="CF79" s="1128">
        <v>53.5</v>
      </c>
      <c r="CG79" s="1128">
        <v>60</v>
      </c>
      <c r="CH79" s="1128">
        <v>60</v>
      </c>
      <c r="CI79" s="1128">
        <v>56</v>
      </c>
      <c r="CJ79" s="1129">
        <v>64</v>
      </c>
    </row>
    <row r="80" spans="76:88" x14ac:dyDescent="0.3">
      <c r="BX80" s="1123">
        <f t="shared" si="27"/>
        <v>75</v>
      </c>
      <c r="BY80" s="1128">
        <v>54.428571428571431</v>
      </c>
      <c r="BZ80" s="1128">
        <v>61.428571428571431</v>
      </c>
      <c r="CA80" s="1128">
        <v>61.428571428571431</v>
      </c>
      <c r="CB80" s="1128">
        <v>61.428571428571431</v>
      </c>
      <c r="CC80" s="1128">
        <v>54.428571428571431</v>
      </c>
      <c r="CD80" s="1128">
        <v>64.285714285714292</v>
      </c>
      <c r="CE80" s="1128">
        <v>64.857142857142861</v>
      </c>
      <c r="CF80" s="1128">
        <v>53.928571428571431</v>
      </c>
      <c r="CG80" s="1128">
        <v>60.428571428571431</v>
      </c>
      <c r="CH80" s="1128">
        <v>60.571428571428569</v>
      </c>
      <c r="CI80" s="1128">
        <v>56.571428571428569</v>
      </c>
      <c r="CJ80" s="1129">
        <v>64.714285714285708</v>
      </c>
    </row>
    <row r="81" spans="76:88" x14ac:dyDescent="0.3">
      <c r="BX81" s="1123">
        <f t="shared" si="27"/>
        <v>76</v>
      </c>
      <c r="BY81" s="1128">
        <v>54.857142857142854</v>
      </c>
      <c r="BZ81" s="1128">
        <v>61.857142857142854</v>
      </c>
      <c r="CA81" s="1128">
        <v>61.857142857142854</v>
      </c>
      <c r="CB81" s="1128">
        <v>61.857142857142854</v>
      </c>
      <c r="CC81" s="1128">
        <v>54.857142857142854</v>
      </c>
      <c r="CD81" s="1128">
        <v>64.571428571428569</v>
      </c>
      <c r="CE81" s="1128">
        <v>65.214285714285708</v>
      </c>
      <c r="CF81" s="1128">
        <v>54.357142857142854</v>
      </c>
      <c r="CG81" s="1128">
        <v>60.857142857142854</v>
      </c>
      <c r="CH81" s="1128">
        <v>61.142857142857146</v>
      </c>
      <c r="CI81" s="1128">
        <v>57.142857142857146</v>
      </c>
      <c r="CJ81" s="1129">
        <v>65.428571428571431</v>
      </c>
    </row>
    <row r="82" spans="76:88" x14ac:dyDescent="0.3">
      <c r="BX82" s="1123">
        <f t="shared" si="27"/>
        <v>77</v>
      </c>
      <c r="BY82" s="1128">
        <v>55.285714285714285</v>
      </c>
      <c r="BZ82" s="1128">
        <v>62.285714285714285</v>
      </c>
      <c r="CA82" s="1128">
        <v>62.285714285714285</v>
      </c>
      <c r="CB82" s="1128">
        <v>62.285714285714285</v>
      </c>
      <c r="CC82" s="1128">
        <v>55.285714285714285</v>
      </c>
      <c r="CD82" s="1128">
        <v>64.857142857142861</v>
      </c>
      <c r="CE82" s="1128">
        <v>65.571428571428569</v>
      </c>
      <c r="CF82" s="1128">
        <v>54.785714285714285</v>
      </c>
      <c r="CG82" s="1128">
        <v>61.285714285714285</v>
      </c>
      <c r="CH82" s="1128">
        <v>61.714285714285715</v>
      </c>
      <c r="CI82" s="1128">
        <v>57.714285714285715</v>
      </c>
      <c r="CJ82" s="1129">
        <v>66.142857142857139</v>
      </c>
    </row>
    <row r="83" spans="76:88" x14ac:dyDescent="0.3">
      <c r="BX83" s="1123">
        <f t="shared" si="27"/>
        <v>78</v>
      </c>
      <c r="BY83" s="1128">
        <v>55.714285714285715</v>
      </c>
      <c r="BZ83" s="1128">
        <v>62.714285714285715</v>
      </c>
      <c r="CA83" s="1128">
        <v>62.714285714285715</v>
      </c>
      <c r="CB83" s="1128">
        <v>62.714285714285715</v>
      </c>
      <c r="CC83" s="1128">
        <v>55.714285714285715</v>
      </c>
      <c r="CD83" s="1128">
        <v>65.571428571428569</v>
      </c>
      <c r="CE83" s="1128">
        <v>66.142857142857139</v>
      </c>
      <c r="CF83" s="1128">
        <v>55.214285714285715</v>
      </c>
      <c r="CG83" s="1128">
        <v>61.714285714285715</v>
      </c>
      <c r="CH83" s="1128">
        <v>63.571428571428569</v>
      </c>
      <c r="CI83" s="1128">
        <v>58.285714285714285</v>
      </c>
      <c r="CJ83" s="1129">
        <v>68.571428571428569</v>
      </c>
    </row>
    <row r="84" spans="76:88" x14ac:dyDescent="0.3">
      <c r="BX84" s="1123">
        <f t="shared" si="27"/>
        <v>79</v>
      </c>
      <c r="BY84" s="1128">
        <v>56.142857142857146</v>
      </c>
      <c r="BZ84" s="1128">
        <v>63.142857142857146</v>
      </c>
      <c r="CA84" s="1128">
        <v>63.142857142857146</v>
      </c>
      <c r="CB84" s="1128">
        <v>63.142857142857146</v>
      </c>
      <c r="CC84" s="1128">
        <v>56.142857142857146</v>
      </c>
      <c r="CD84" s="1128">
        <v>65.714285714285708</v>
      </c>
      <c r="CE84" s="1128">
        <v>66.428571428571431</v>
      </c>
      <c r="CF84" s="1128">
        <v>55.642857142857146</v>
      </c>
      <c r="CG84" s="1128">
        <v>62.142857142857146</v>
      </c>
      <c r="CH84" s="1128">
        <v>63.714285714285715</v>
      </c>
      <c r="CI84" s="1128">
        <v>58.857142857142854</v>
      </c>
      <c r="CJ84" s="1129">
        <v>68.714285714285708</v>
      </c>
    </row>
    <row r="85" spans="76:88" x14ac:dyDescent="0.3">
      <c r="BX85" s="1123">
        <f t="shared" si="27"/>
        <v>80</v>
      </c>
      <c r="BY85" s="1128">
        <v>56.571428571428569</v>
      </c>
      <c r="BZ85" s="1128">
        <v>63.571428571428569</v>
      </c>
      <c r="CA85" s="1128">
        <v>63.571428571428569</v>
      </c>
      <c r="CB85" s="1128">
        <v>63.571428571428569</v>
      </c>
      <c r="CC85" s="1128">
        <v>56.571428571428569</v>
      </c>
      <c r="CD85" s="1128">
        <v>65.857142857142861</v>
      </c>
      <c r="CE85" s="1128">
        <v>66.714285714285708</v>
      </c>
      <c r="CF85" s="1128">
        <v>56.071428571428569</v>
      </c>
      <c r="CG85" s="1128">
        <v>62.571428571428569</v>
      </c>
      <c r="CH85" s="1128">
        <v>63.857142857142854</v>
      </c>
      <c r="CI85" s="1128">
        <v>59.428571428571431</v>
      </c>
      <c r="CJ85" s="1129">
        <v>68.857142857142861</v>
      </c>
    </row>
    <row r="86" spans="76:88" x14ac:dyDescent="0.3">
      <c r="BX86" s="1123">
        <f t="shared" si="27"/>
        <v>81</v>
      </c>
      <c r="BY86" s="1128">
        <v>57</v>
      </c>
      <c r="BZ86" s="1128">
        <v>64</v>
      </c>
      <c r="CA86" s="1128">
        <v>64</v>
      </c>
      <c r="CB86" s="1128">
        <v>64</v>
      </c>
      <c r="CC86" s="1128">
        <v>57</v>
      </c>
      <c r="CD86" s="1128">
        <v>66</v>
      </c>
      <c r="CE86" s="1128">
        <v>67</v>
      </c>
      <c r="CF86" s="1128">
        <v>56.5</v>
      </c>
      <c r="CG86" s="1128">
        <v>63</v>
      </c>
      <c r="CH86" s="1128">
        <v>64</v>
      </c>
      <c r="CI86" s="1128">
        <v>60</v>
      </c>
      <c r="CJ86" s="1129">
        <v>69</v>
      </c>
    </row>
    <row r="87" spans="76:88" x14ac:dyDescent="0.3">
      <c r="BX87" s="1123">
        <f t="shared" si="27"/>
        <v>82</v>
      </c>
      <c r="BY87" s="1128">
        <v>57.428571428571431</v>
      </c>
      <c r="BZ87" s="1128">
        <v>64.428571428571431</v>
      </c>
      <c r="CA87" s="1128">
        <v>64.428571428571431</v>
      </c>
      <c r="CB87" s="1128">
        <v>64.428571428571431</v>
      </c>
      <c r="CC87" s="1128">
        <v>57.428571428571431</v>
      </c>
      <c r="CD87" s="1128">
        <v>66.142857142857139</v>
      </c>
      <c r="CE87" s="1128">
        <v>67.285714285714292</v>
      </c>
      <c r="CF87" s="1128">
        <v>56.928571428571431</v>
      </c>
      <c r="CG87" s="1128">
        <v>63.428571428571431</v>
      </c>
      <c r="CH87" s="1128">
        <v>64.142857142857139</v>
      </c>
      <c r="CI87" s="1128">
        <v>60.571428571428569</v>
      </c>
      <c r="CJ87" s="1129">
        <v>69.142857142857139</v>
      </c>
    </row>
    <row r="88" spans="76:88" x14ac:dyDescent="0.3">
      <c r="BX88" s="1123">
        <f t="shared" si="27"/>
        <v>83</v>
      </c>
      <c r="BY88" s="1128">
        <v>57.857142857142854</v>
      </c>
      <c r="BZ88" s="1128">
        <v>64.857142857142861</v>
      </c>
      <c r="CA88" s="1128">
        <v>64.857142857142861</v>
      </c>
      <c r="CB88" s="1128">
        <v>64.857142857142861</v>
      </c>
      <c r="CC88" s="1128">
        <v>57.857142857142854</v>
      </c>
      <c r="CD88" s="1128">
        <v>66.285714285714292</v>
      </c>
      <c r="CE88" s="1128">
        <v>67.571428571428569</v>
      </c>
      <c r="CF88" s="1128">
        <v>57.357142857142854</v>
      </c>
      <c r="CG88" s="1128">
        <v>63.857142857142854</v>
      </c>
      <c r="CH88" s="1128">
        <v>64.285714285714292</v>
      </c>
      <c r="CI88" s="1128">
        <v>61.142857142857146</v>
      </c>
      <c r="CJ88" s="1129">
        <v>69.285714285714292</v>
      </c>
    </row>
    <row r="89" spans="76:88" x14ac:dyDescent="0.3">
      <c r="BX89" s="1123">
        <f t="shared" si="27"/>
        <v>84</v>
      </c>
      <c r="BY89" s="1128">
        <v>58.285714285714285</v>
      </c>
      <c r="BZ89" s="1128">
        <v>65.285714285714292</v>
      </c>
      <c r="CA89" s="1128">
        <v>65.285714285714292</v>
      </c>
      <c r="CB89" s="1128">
        <v>65.285714285714292</v>
      </c>
      <c r="CC89" s="1128">
        <v>58.285714285714285</v>
      </c>
      <c r="CD89" s="1128">
        <v>66.428571428571431</v>
      </c>
      <c r="CE89" s="1128">
        <v>67.857142857142861</v>
      </c>
      <c r="CF89" s="1128">
        <v>57.785714285714285</v>
      </c>
      <c r="CG89" s="1128">
        <v>64.285714285714292</v>
      </c>
      <c r="CH89" s="1128">
        <v>64.428571428571431</v>
      </c>
      <c r="CI89" s="1128">
        <v>61.714285714285715</v>
      </c>
      <c r="CJ89" s="1129">
        <v>69.428571428571431</v>
      </c>
    </row>
    <row r="90" spans="76:88" x14ac:dyDescent="0.3">
      <c r="BX90" s="1123">
        <f t="shared" si="27"/>
        <v>85</v>
      </c>
      <c r="BY90" s="1128">
        <v>58.714285714285715</v>
      </c>
      <c r="BZ90" s="1128">
        <v>65.714285714285708</v>
      </c>
      <c r="CA90" s="1128">
        <v>65.714285714285708</v>
      </c>
      <c r="CB90" s="1128">
        <v>65.714285714285708</v>
      </c>
      <c r="CC90" s="1128">
        <v>59.142857142857146</v>
      </c>
      <c r="CD90" s="1128">
        <v>66.142857142857139</v>
      </c>
      <c r="CE90" s="1128">
        <v>67.928571428571431</v>
      </c>
      <c r="CF90" s="1128">
        <v>58.214285714285715</v>
      </c>
      <c r="CG90" s="1128">
        <v>64.714285714285708</v>
      </c>
      <c r="CH90" s="1128">
        <v>63.714285714285715</v>
      </c>
      <c r="CI90" s="1128">
        <v>62.714285714285715</v>
      </c>
      <c r="CJ90" s="1129">
        <v>68.714285714285708</v>
      </c>
    </row>
    <row r="91" spans="76:88" x14ac:dyDescent="0.3">
      <c r="BX91" s="1123">
        <f t="shared" si="27"/>
        <v>86</v>
      </c>
      <c r="BY91" s="1128">
        <v>59.142857142857146</v>
      </c>
      <c r="BZ91" s="1128">
        <v>66.142857142857139</v>
      </c>
      <c r="CA91" s="1128">
        <v>66.142857142857139</v>
      </c>
      <c r="CB91" s="1128">
        <v>66.142857142857139</v>
      </c>
      <c r="CC91" s="1128">
        <v>59.428571428571431</v>
      </c>
      <c r="CD91" s="1128">
        <v>66.428571428571431</v>
      </c>
      <c r="CE91" s="1128">
        <v>68.285714285714292</v>
      </c>
      <c r="CF91" s="1128">
        <v>58.642857142857146</v>
      </c>
      <c r="CG91" s="1128">
        <v>65.142857142857139</v>
      </c>
      <c r="CH91" s="1128">
        <v>64.142857142857139</v>
      </c>
      <c r="CI91" s="1128">
        <v>63.142857142857146</v>
      </c>
      <c r="CJ91" s="1129">
        <v>69.142857142857139</v>
      </c>
    </row>
    <row r="92" spans="76:88" x14ac:dyDescent="0.3">
      <c r="BX92" s="1123">
        <f t="shared" si="27"/>
        <v>87</v>
      </c>
      <c r="BY92" s="1128">
        <v>59.571428571428569</v>
      </c>
      <c r="BZ92" s="1128">
        <v>66.571428571428569</v>
      </c>
      <c r="CA92" s="1128">
        <v>66.571428571428569</v>
      </c>
      <c r="CB92" s="1128">
        <v>66.571428571428569</v>
      </c>
      <c r="CC92" s="1128">
        <v>59.714285714285715</v>
      </c>
      <c r="CD92" s="1128">
        <v>66.714285714285708</v>
      </c>
      <c r="CE92" s="1128">
        <v>68.642857142857139</v>
      </c>
      <c r="CF92" s="1128">
        <v>59.071428571428569</v>
      </c>
      <c r="CG92" s="1128">
        <v>65.571428571428569</v>
      </c>
      <c r="CH92" s="1128">
        <v>64.571428571428569</v>
      </c>
      <c r="CI92" s="1128">
        <v>63.571428571428569</v>
      </c>
      <c r="CJ92" s="1129">
        <v>69.571428571428569</v>
      </c>
    </row>
    <row r="93" spans="76:88" x14ac:dyDescent="0.3">
      <c r="BX93" s="1123">
        <f t="shared" si="27"/>
        <v>88</v>
      </c>
      <c r="BY93" s="1128">
        <v>60</v>
      </c>
      <c r="BZ93" s="1128">
        <v>67</v>
      </c>
      <c r="CA93" s="1128">
        <v>67</v>
      </c>
      <c r="CB93" s="1128">
        <v>67</v>
      </c>
      <c r="CC93" s="1128">
        <v>60</v>
      </c>
      <c r="CD93" s="1128">
        <v>67</v>
      </c>
      <c r="CE93" s="1128">
        <v>69</v>
      </c>
      <c r="CF93" s="1128">
        <v>59.5</v>
      </c>
      <c r="CG93" s="1128">
        <v>66</v>
      </c>
      <c r="CH93" s="1128">
        <v>65</v>
      </c>
      <c r="CI93" s="1128">
        <v>64</v>
      </c>
      <c r="CJ93" s="1129">
        <v>70</v>
      </c>
    </row>
    <row r="94" spans="76:88" x14ac:dyDescent="0.3">
      <c r="BX94" s="1123">
        <f t="shared" si="27"/>
        <v>89</v>
      </c>
      <c r="BY94" s="1128">
        <v>60.428571428571431</v>
      </c>
      <c r="BZ94" s="1128">
        <v>67.428571428571431</v>
      </c>
      <c r="CA94" s="1128">
        <v>67.428571428571431</v>
      </c>
      <c r="CB94" s="1128">
        <v>67.428571428571431</v>
      </c>
      <c r="CC94" s="1128">
        <v>60.285714285714285</v>
      </c>
      <c r="CD94" s="1128">
        <v>67.285714285714292</v>
      </c>
      <c r="CE94" s="1128">
        <v>69.357142857142861</v>
      </c>
      <c r="CF94" s="1128">
        <v>59.928571428571431</v>
      </c>
      <c r="CG94" s="1128">
        <v>66.428571428571431</v>
      </c>
      <c r="CH94" s="1128">
        <v>65.428571428571431</v>
      </c>
      <c r="CI94" s="1128">
        <v>64.428571428571431</v>
      </c>
      <c r="CJ94" s="1129">
        <v>70.428571428571431</v>
      </c>
    </row>
    <row r="95" spans="76:88" x14ac:dyDescent="0.3">
      <c r="BX95" s="1123">
        <f t="shared" si="27"/>
        <v>90</v>
      </c>
      <c r="BY95" s="1128">
        <v>60.857142857142854</v>
      </c>
      <c r="BZ95" s="1128">
        <v>67.857142857142861</v>
      </c>
      <c r="CA95" s="1128">
        <v>67.857142857142861</v>
      </c>
      <c r="CB95" s="1128">
        <v>67.857142857142861</v>
      </c>
      <c r="CC95" s="1128">
        <v>60.571428571428569</v>
      </c>
      <c r="CD95" s="1128">
        <v>67.571428571428569</v>
      </c>
      <c r="CE95" s="1128">
        <v>69.714285714285708</v>
      </c>
      <c r="CF95" s="1128">
        <v>60.357142857142854</v>
      </c>
      <c r="CG95" s="1128">
        <v>66.857142857142861</v>
      </c>
      <c r="CH95" s="1128">
        <v>65.857142857142861</v>
      </c>
      <c r="CI95" s="1128">
        <v>64.857142857142861</v>
      </c>
      <c r="CJ95" s="1129">
        <v>70.857142857142861</v>
      </c>
    </row>
    <row r="96" spans="76:88" x14ac:dyDescent="0.3">
      <c r="BX96" s="1123">
        <f t="shared" si="27"/>
        <v>91</v>
      </c>
      <c r="BY96" s="1128">
        <v>61.285714285714285</v>
      </c>
      <c r="BZ96" s="1128">
        <v>68.285714285714292</v>
      </c>
      <c r="CA96" s="1128">
        <v>68.285714285714292</v>
      </c>
      <c r="CB96" s="1128">
        <v>68.285714285714292</v>
      </c>
      <c r="CC96" s="1128">
        <v>60.857142857142854</v>
      </c>
      <c r="CD96" s="1128">
        <v>67.857142857142861</v>
      </c>
      <c r="CE96" s="1128">
        <v>70.071428571428569</v>
      </c>
      <c r="CF96" s="1128">
        <v>60.785714285714285</v>
      </c>
      <c r="CG96" s="1128">
        <v>67.285714285714292</v>
      </c>
      <c r="CH96" s="1128">
        <v>66.285714285714292</v>
      </c>
      <c r="CI96" s="1128">
        <v>65.285714285714292</v>
      </c>
      <c r="CJ96" s="1129">
        <v>71.285714285714292</v>
      </c>
    </row>
    <row r="97" spans="76:88" x14ac:dyDescent="0.3">
      <c r="BX97" s="1123">
        <f t="shared" si="27"/>
        <v>92</v>
      </c>
      <c r="BY97" s="1128">
        <v>61.714285714285715</v>
      </c>
      <c r="BZ97" s="1128">
        <v>68.714285714285708</v>
      </c>
      <c r="CA97" s="1128">
        <v>68.714285714285708</v>
      </c>
      <c r="CB97" s="1128">
        <v>68.714285714285708</v>
      </c>
      <c r="CC97" s="1128">
        <v>60.714285714285715</v>
      </c>
      <c r="CD97" s="1128">
        <v>68.142857142857139</v>
      </c>
      <c r="CE97" s="1128">
        <v>70.642857142857139</v>
      </c>
      <c r="CF97" s="1128">
        <v>61.214285714285715</v>
      </c>
      <c r="CG97" s="1128">
        <v>67.714285714285708</v>
      </c>
      <c r="CH97" s="1128">
        <v>67.142857142857139</v>
      </c>
      <c r="CI97" s="1128">
        <v>65.714285714285708</v>
      </c>
      <c r="CJ97" s="1129">
        <v>71.714285714285708</v>
      </c>
    </row>
    <row r="98" spans="76:88" x14ac:dyDescent="0.3">
      <c r="BX98" s="1123">
        <f t="shared" si="27"/>
        <v>93</v>
      </c>
      <c r="BY98" s="1128">
        <v>62.142857142857146</v>
      </c>
      <c r="BZ98" s="1128">
        <v>69.142857142857139</v>
      </c>
      <c r="CA98" s="1128">
        <v>69.142857142857139</v>
      </c>
      <c r="CB98" s="1128">
        <v>69.142857142857139</v>
      </c>
      <c r="CC98" s="1128">
        <v>61.142857142857146</v>
      </c>
      <c r="CD98" s="1128">
        <v>68.428571428571431</v>
      </c>
      <c r="CE98" s="1128">
        <v>70.928571428571431</v>
      </c>
      <c r="CF98" s="1128">
        <v>61.642857142857146</v>
      </c>
      <c r="CG98" s="1128">
        <v>68.142857142857139</v>
      </c>
      <c r="CH98" s="1128">
        <v>67.428571428571431</v>
      </c>
      <c r="CI98" s="1128">
        <v>66.142857142857139</v>
      </c>
      <c r="CJ98" s="1129">
        <v>72.142857142857139</v>
      </c>
    </row>
    <row r="99" spans="76:88" x14ac:dyDescent="0.3">
      <c r="BX99" s="1123">
        <f t="shared" si="27"/>
        <v>94</v>
      </c>
      <c r="BY99" s="1128">
        <v>62.571428571428569</v>
      </c>
      <c r="BZ99" s="1128">
        <v>69.571428571428569</v>
      </c>
      <c r="CA99" s="1128">
        <v>69.571428571428569</v>
      </c>
      <c r="CB99" s="1128">
        <v>69.571428571428569</v>
      </c>
      <c r="CC99" s="1128">
        <v>61.571428571428569</v>
      </c>
      <c r="CD99" s="1128">
        <v>68.714285714285708</v>
      </c>
      <c r="CE99" s="1128">
        <v>71.214285714285708</v>
      </c>
      <c r="CF99" s="1128">
        <v>62.071428571428569</v>
      </c>
      <c r="CG99" s="1128">
        <v>68.571428571428569</v>
      </c>
      <c r="CH99" s="1128">
        <v>67.714285714285708</v>
      </c>
      <c r="CI99" s="1128">
        <v>66.571428571428569</v>
      </c>
      <c r="CJ99" s="1129">
        <v>72.571428571428569</v>
      </c>
    </row>
    <row r="100" spans="76:88" x14ac:dyDescent="0.3">
      <c r="BX100" s="1123">
        <f t="shared" si="27"/>
        <v>95</v>
      </c>
      <c r="BY100" s="1128">
        <v>63</v>
      </c>
      <c r="BZ100" s="1128">
        <v>70</v>
      </c>
      <c r="CA100" s="1128">
        <v>70</v>
      </c>
      <c r="CB100" s="1128">
        <v>70</v>
      </c>
      <c r="CC100" s="1128">
        <v>62</v>
      </c>
      <c r="CD100" s="1128">
        <v>69</v>
      </c>
      <c r="CE100" s="1128">
        <v>71.5</v>
      </c>
      <c r="CF100" s="1128">
        <v>62.5</v>
      </c>
      <c r="CG100" s="1128">
        <v>69</v>
      </c>
      <c r="CH100" s="1128">
        <v>68</v>
      </c>
      <c r="CI100" s="1128">
        <v>67</v>
      </c>
      <c r="CJ100" s="1129">
        <v>73</v>
      </c>
    </row>
    <row r="101" spans="76:88" x14ac:dyDescent="0.3">
      <c r="BX101" s="1123">
        <f t="shared" si="27"/>
        <v>96</v>
      </c>
      <c r="BY101" s="1128">
        <v>63.428571428571431</v>
      </c>
      <c r="BZ101" s="1128">
        <v>70.428571428571431</v>
      </c>
      <c r="CA101" s="1128">
        <v>70.428571428571431</v>
      </c>
      <c r="CB101" s="1128">
        <v>70.428571428571431</v>
      </c>
      <c r="CC101" s="1128">
        <v>62.428571428571431</v>
      </c>
      <c r="CD101" s="1128">
        <v>69.285714285714292</v>
      </c>
      <c r="CE101" s="1128">
        <v>71.785714285714292</v>
      </c>
      <c r="CF101" s="1128">
        <v>62.928571428571431</v>
      </c>
      <c r="CG101" s="1128">
        <v>69.428571428571431</v>
      </c>
      <c r="CH101" s="1128">
        <v>68.285714285714292</v>
      </c>
      <c r="CI101" s="1128">
        <v>67.428571428571431</v>
      </c>
      <c r="CJ101" s="1129">
        <v>73.428571428571431</v>
      </c>
    </row>
    <row r="102" spans="76:88" x14ac:dyDescent="0.3">
      <c r="BX102" s="1123">
        <f t="shared" si="27"/>
        <v>97</v>
      </c>
      <c r="BY102" s="1128">
        <v>63.857142857142854</v>
      </c>
      <c r="BZ102" s="1128">
        <v>70.857142857142861</v>
      </c>
      <c r="CA102" s="1128">
        <v>70.857142857142861</v>
      </c>
      <c r="CB102" s="1128">
        <v>70.857142857142861</v>
      </c>
      <c r="CC102" s="1128">
        <v>62.857142857142854</v>
      </c>
      <c r="CD102" s="1128">
        <v>69.571428571428569</v>
      </c>
      <c r="CE102" s="1128">
        <v>72.071428571428569</v>
      </c>
      <c r="CF102" s="1128">
        <v>63.357142857142854</v>
      </c>
      <c r="CG102" s="1128">
        <v>69.857142857142861</v>
      </c>
      <c r="CH102" s="1128">
        <v>68.571428571428569</v>
      </c>
      <c r="CI102" s="1128">
        <v>67.857142857142861</v>
      </c>
      <c r="CJ102" s="1129">
        <v>73.857142857142861</v>
      </c>
    </row>
    <row r="103" spans="76:88" x14ac:dyDescent="0.3">
      <c r="BX103" s="1123">
        <f t="shared" ref="BX103:BX131" si="28">BX102+1</f>
        <v>98</v>
      </c>
      <c r="BY103" s="1128">
        <v>64.285714285714292</v>
      </c>
      <c r="BZ103" s="1128">
        <v>71.285714285714292</v>
      </c>
      <c r="CA103" s="1128">
        <v>71.285714285714292</v>
      </c>
      <c r="CB103" s="1128">
        <v>71.285714285714292</v>
      </c>
      <c r="CC103" s="1128">
        <v>63.285714285714285</v>
      </c>
      <c r="CD103" s="1128">
        <v>69.857142857142861</v>
      </c>
      <c r="CE103" s="1128">
        <v>72.357142857142861</v>
      </c>
      <c r="CF103" s="1128">
        <v>63.785714285714285</v>
      </c>
      <c r="CG103" s="1128">
        <v>70.285714285714292</v>
      </c>
      <c r="CH103" s="1128">
        <v>68.857142857142861</v>
      </c>
      <c r="CI103" s="1128">
        <v>68.285714285714292</v>
      </c>
      <c r="CJ103" s="1129">
        <v>74.285714285714292</v>
      </c>
    </row>
    <row r="104" spans="76:88" x14ac:dyDescent="0.3">
      <c r="BX104" s="1123">
        <f t="shared" si="28"/>
        <v>99</v>
      </c>
      <c r="BY104" s="1128">
        <v>64.714285714285708</v>
      </c>
      <c r="BZ104" s="1128">
        <v>71.285714285714292</v>
      </c>
      <c r="CA104" s="1128">
        <v>71.285714285714292</v>
      </c>
      <c r="CB104" s="1128">
        <v>71.714285714285708</v>
      </c>
      <c r="CC104" s="1128">
        <v>63.714285714285715</v>
      </c>
      <c r="CD104" s="1128">
        <v>69.714285714285708</v>
      </c>
      <c r="CE104" s="1128">
        <v>72.428571428571431</v>
      </c>
      <c r="CF104" s="1128">
        <v>63.785714285714285</v>
      </c>
      <c r="CG104" s="1128">
        <v>70.285714285714292</v>
      </c>
      <c r="CH104" s="1128">
        <v>69.571428571428569</v>
      </c>
      <c r="CI104" s="1128">
        <v>68.714285714285708</v>
      </c>
      <c r="CJ104" s="1129">
        <v>74.714285714285708</v>
      </c>
    </row>
    <row r="105" spans="76:88" x14ac:dyDescent="0.3">
      <c r="BX105" s="1123">
        <f t="shared" si="28"/>
        <v>100</v>
      </c>
      <c r="BY105" s="1128">
        <v>65.142857142857139</v>
      </c>
      <c r="BZ105" s="1128">
        <v>71.857142857142861</v>
      </c>
      <c r="CA105" s="1128">
        <v>71.857142857142861</v>
      </c>
      <c r="CB105" s="1128">
        <v>72.142857142857139</v>
      </c>
      <c r="CC105" s="1128">
        <v>64.142857142857139</v>
      </c>
      <c r="CD105" s="1128">
        <v>70.142857142857139</v>
      </c>
      <c r="CE105" s="1128">
        <v>72.785714285714292</v>
      </c>
      <c r="CF105" s="1128">
        <v>64.357142857142861</v>
      </c>
      <c r="CG105" s="1128">
        <v>70.857142857142861</v>
      </c>
      <c r="CH105" s="1128">
        <v>69.714285714285708</v>
      </c>
      <c r="CI105" s="1128">
        <v>69.142857142857139</v>
      </c>
      <c r="CJ105" s="1129">
        <v>75.142857142857139</v>
      </c>
    </row>
    <row r="106" spans="76:88" x14ac:dyDescent="0.3">
      <c r="BX106" s="1123">
        <f t="shared" si="28"/>
        <v>101</v>
      </c>
      <c r="BY106" s="1128">
        <v>65.571428571428569</v>
      </c>
      <c r="BZ106" s="1128">
        <v>72.428571428571431</v>
      </c>
      <c r="CA106" s="1128">
        <v>72.428571428571431</v>
      </c>
      <c r="CB106" s="1128">
        <v>72.571428571428569</v>
      </c>
      <c r="CC106" s="1128">
        <v>64.571428571428569</v>
      </c>
      <c r="CD106" s="1128">
        <v>70.571428571428569</v>
      </c>
      <c r="CE106" s="1128">
        <v>73.142857142857139</v>
      </c>
      <c r="CF106" s="1128">
        <v>64.928571428571431</v>
      </c>
      <c r="CG106" s="1128">
        <v>71.428571428571431</v>
      </c>
      <c r="CH106" s="1128">
        <v>69.857142857142861</v>
      </c>
      <c r="CI106" s="1128">
        <v>69.571428571428569</v>
      </c>
      <c r="CJ106" s="1129">
        <v>75.571428571428569</v>
      </c>
    </row>
    <row r="107" spans="76:88" x14ac:dyDescent="0.3">
      <c r="BX107" s="1123">
        <f t="shared" si="28"/>
        <v>102</v>
      </c>
      <c r="BY107" s="1128">
        <v>66</v>
      </c>
      <c r="BZ107" s="1128">
        <v>73</v>
      </c>
      <c r="CA107" s="1128">
        <v>73</v>
      </c>
      <c r="CB107" s="1128">
        <v>73</v>
      </c>
      <c r="CC107" s="1128">
        <v>65</v>
      </c>
      <c r="CD107" s="1128">
        <v>71</v>
      </c>
      <c r="CE107" s="1128">
        <v>73.5</v>
      </c>
      <c r="CF107" s="1128">
        <v>65.5</v>
      </c>
      <c r="CG107" s="1128">
        <v>72</v>
      </c>
      <c r="CH107" s="1128">
        <v>70</v>
      </c>
      <c r="CI107" s="1128">
        <v>70</v>
      </c>
      <c r="CJ107" s="1129">
        <v>76</v>
      </c>
    </row>
    <row r="108" spans="76:88" x14ac:dyDescent="0.3">
      <c r="BX108" s="1123">
        <f t="shared" si="28"/>
        <v>103</v>
      </c>
      <c r="BY108" s="1128">
        <v>66.428571428571431</v>
      </c>
      <c r="BZ108" s="1128">
        <v>73.571428571428569</v>
      </c>
      <c r="CA108" s="1128">
        <v>73.571428571428569</v>
      </c>
      <c r="CB108" s="1128">
        <v>73.428571428571431</v>
      </c>
      <c r="CC108" s="1128">
        <v>65.428571428571431</v>
      </c>
      <c r="CD108" s="1128">
        <v>71.428571428571431</v>
      </c>
      <c r="CE108" s="1128">
        <v>73.857142857142861</v>
      </c>
      <c r="CF108" s="1128">
        <v>66.071428571428569</v>
      </c>
      <c r="CG108" s="1128">
        <v>72.571428571428569</v>
      </c>
      <c r="CH108" s="1128">
        <v>70.142857142857139</v>
      </c>
      <c r="CI108" s="1128">
        <v>70.428571428571431</v>
      </c>
      <c r="CJ108" s="1129">
        <v>76.428571428571431</v>
      </c>
    </row>
    <row r="109" spans="76:88" x14ac:dyDescent="0.3">
      <c r="BX109" s="1123">
        <f t="shared" si="28"/>
        <v>104</v>
      </c>
      <c r="BY109" s="1128">
        <v>66.857142857142861</v>
      </c>
      <c r="BZ109" s="1128">
        <v>74.142857142857139</v>
      </c>
      <c r="CA109" s="1128">
        <v>74.142857142857139</v>
      </c>
      <c r="CB109" s="1128">
        <v>73.857142857142861</v>
      </c>
      <c r="CC109" s="1128">
        <v>65.857142857142861</v>
      </c>
      <c r="CD109" s="1128">
        <v>71.857142857142861</v>
      </c>
      <c r="CE109" s="1128">
        <v>74.214285714285708</v>
      </c>
      <c r="CF109" s="1128">
        <v>66.642857142857139</v>
      </c>
      <c r="CG109" s="1128">
        <v>73.142857142857139</v>
      </c>
      <c r="CH109" s="1128">
        <v>70.285714285714292</v>
      </c>
      <c r="CI109" s="1128">
        <v>70.857142857142861</v>
      </c>
      <c r="CJ109" s="1129">
        <v>76.857142857142861</v>
      </c>
    </row>
    <row r="110" spans="76:88" x14ac:dyDescent="0.3">
      <c r="BX110" s="1123">
        <f t="shared" si="28"/>
        <v>105</v>
      </c>
      <c r="BY110" s="1128">
        <v>67.285714285714292</v>
      </c>
      <c r="BZ110" s="1128">
        <v>74.714285714285708</v>
      </c>
      <c r="CA110" s="1128">
        <v>74.714285714285708</v>
      </c>
      <c r="CB110" s="1128">
        <v>74.285714285714292</v>
      </c>
      <c r="CC110" s="1128">
        <v>66.285714285714292</v>
      </c>
      <c r="CD110" s="1128">
        <v>72.285714285714292</v>
      </c>
      <c r="CE110" s="1128">
        <v>74.571428571428569</v>
      </c>
      <c r="CF110" s="1128">
        <v>67.214285714285708</v>
      </c>
      <c r="CG110" s="1128">
        <v>73.714285714285708</v>
      </c>
      <c r="CH110" s="1128">
        <v>70.428571428571431</v>
      </c>
      <c r="CI110" s="1128">
        <v>71.285714285714292</v>
      </c>
      <c r="CJ110" s="1129">
        <v>77.285714285714292</v>
      </c>
    </row>
    <row r="111" spans="76:88" x14ac:dyDescent="0.3">
      <c r="BX111" s="1123">
        <f t="shared" si="28"/>
        <v>106</v>
      </c>
      <c r="BY111" s="1128">
        <v>67.285714285714292</v>
      </c>
      <c r="BZ111" s="1128">
        <v>74.428571428571431</v>
      </c>
      <c r="CA111" s="1128">
        <v>75.285714285714292</v>
      </c>
      <c r="CB111" s="1128">
        <v>72.571428571428569</v>
      </c>
      <c r="CC111" s="1128">
        <v>66.714285714285708</v>
      </c>
      <c r="CD111" s="1128">
        <v>72.285714285714292</v>
      </c>
      <c r="CE111" s="1128">
        <v>74.928571428571431</v>
      </c>
      <c r="CF111" s="1128">
        <v>68.214285714285708</v>
      </c>
      <c r="CG111" s="1128">
        <v>73.857142857142861</v>
      </c>
      <c r="CH111" s="1128">
        <v>70.571428571428569</v>
      </c>
      <c r="CI111" s="1128">
        <v>71.714285714285708</v>
      </c>
      <c r="CJ111" s="1129">
        <v>78.142857142857139</v>
      </c>
    </row>
    <row r="112" spans="76:88" x14ac:dyDescent="0.3">
      <c r="BX112" s="1123">
        <f t="shared" si="28"/>
        <v>107</v>
      </c>
      <c r="BY112" s="1128">
        <v>67.857142857142861</v>
      </c>
      <c r="BZ112" s="1128">
        <v>75.285714285714292</v>
      </c>
      <c r="CA112" s="1128">
        <v>75.857142857142861</v>
      </c>
      <c r="CB112" s="1128">
        <v>73.714285714285708</v>
      </c>
      <c r="CC112" s="1128">
        <v>67.142857142857139</v>
      </c>
      <c r="CD112" s="1128">
        <v>72.857142857142861</v>
      </c>
      <c r="CE112" s="1128">
        <v>75.285714285714292</v>
      </c>
      <c r="CF112" s="1128">
        <v>68.642857142857139</v>
      </c>
      <c r="CG112" s="1128">
        <v>74.571428571428569</v>
      </c>
      <c r="CH112" s="1128">
        <v>70.714285714285708</v>
      </c>
      <c r="CI112" s="1128">
        <v>72.142857142857139</v>
      </c>
      <c r="CJ112" s="1129">
        <v>78.428571428571431</v>
      </c>
    </row>
    <row r="113" spans="76:88" x14ac:dyDescent="0.3">
      <c r="BX113" s="1123">
        <f t="shared" si="28"/>
        <v>108</v>
      </c>
      <c r="BY113" s="1128">
        <v>68.428571428571431</v>
      </c>
      <c r="BZ113" s="1128">
        <v>76.142857142857139</v>
      </c>
      <c r="CA113" s="1128">
        <v>76.428571428571431</v>
      </c>
      <c r="CB113" s="1128">
        <v>74.857142857142861</v>
      </c>
      <c r="CC113" s="1128">
        <v>67.571428571428569</v>
      </c>
      <c r="CD113" s="1128">
        <v>73.428571428571431</v>
      </c>
      <c r="CE113" s="1128">
        <v>75.642857142857139</v>
      </c>
      <c r="CF113" s="1128">
        <v>69.071428571428569</v>
      </c>
      <c r="CG113" s="1128">
        <v>75.285714285714292</v>
      </c>
      <c r="CH113" s="1128">
        <v>70.857142857142861</v>
      </c>
      <c r="CI113" s="1128">
        <v>72.571428571428569</v>
      </c>
      <c r="CJ113" s="1129">
        <v>78.714285714285708</v>
      </c>
    </row>
    <row r="114" spans="76:88" x14ac:dyDescent="0.3">
      <c r="BX114" s="1123">
        <f t="shared" si="28"/>
        <v>109</v>
      </c>
      <c r="BY114" s="1128">
        <v>69</v>
      </c>
      <c r="BZ114" s="1128">
        <v>77</v>
      </c>
      <c r="CA114" s="1128">
        <v>77</v>
      </c>
      <c r="CB114" s="1128">
        <v>76</v>
      </c>
      <c r="CC114" s="1128">
        <v>68</v>
      </c>
      <c r="CD114" s="1128">
        <v>74</v>
      </c>
      <c r="CE114" s="1128">
        <v>76</v>
      </c>
      <c r="CF114" s="1128">
        <v>69.5</v>
      </c>
      <c r="CG114" s="1128">
        <v>76</v>
      </c>
      <c r="CH114" s="1128">
        <v>71</v>
      </c>
      <c r="CI114" s="1128">
        <v>73</v>
      </c>
      <c r="CJ114" s="1129">
        <v>79</v>
      </c>
    </row>
    <row r="115" spans="76:88" x14ac:dyDescent="0.3">
      <c r="BX115" s="1123">
        <f t="shared" si="28"/>
        <v>110</v>
      </c>
      <c r="BY115" s="1128">
        <v>69.571428571428569</v>
      </c>
      <c r="BZ115" s="1128">
        <v>77.857142857142861</v>
      </c>
      <c r="CA115" s="1128">
        <v>77.571428571428569</v>
      </c>
      <c r="CB115" s="1128">
        <v>77.142857142857139</v>
      </c>
      <c r="CC115" s="1128">
        <v>68.428571428571431</v>
      </c>
      <c r="CD115" s="1128">
        <v>74.571428571428569</v>
      </c>
      <c r="CE115" s="1128">
        <v>76.357142857142861</v>
      </c>
      <c r="CF115" s="1128">
        <v>69.928571428571431</v>
      </c>
      <c r="CG115" s="1128">
        <v>76.714285714285708</v>
      </c>
      <c r="CH115" s="1128">
        <v>71.142857142857139</v>
      </c>
      <c r="CI115" s="1128">
        <v>73.428571428571431</v>
      </c>
      <c r="CJ115" s="1129">
        <v>79.285714285714292</v>
      </c>
    </row>
    <row r="116" spans="76:88" x14ac:dyDescent="0.3">
      <c r="BX116" s="1123">
        <f t="shared" si="28"/>
        <v>111</v>
      </c>
      <c r="BY116" s="1128">
        <v>70.142857142857139</v>
      </c>
      <c r="BZ116" s="1128">
        <v>78.714285714285708</v>
      </c>
      <c r="CA116" s="1128">
        <v>78.142857142857139</v>
      </c>
      <c r="CB116" s="1128">
        <v>78.285714285714292</v>
      </c>
      <c r="CC116" s="1128">
        <v>68.857142857142861</v>
      </c>
      <c r="CD116" s="1128">
        <v>75.142857142857139</v>
      </c>
      <c r="CE116" s="1128">
        <v>76.714285714285708</v>
      </c>
      <c r="CF116" s="1128">
        <v>70.357142857142861</v>
      </c>
      <c r="CG116" s="1128">
        <v>77.428571428571431</v>
      </c>
      <c r="CH116" s="1128">
        <v>71.285714285714292</v>
      </c>
      <c r="CI116" s="1128">
        <v>73.857142857142861</v>
      </c>
      <c r="CJ116" s="1129">
        <v>79.571428571428569</v>
      </c>
    </row>
    <row r="117" spans="76:88" x14ac:dyDescent="0.3">
      <c r="BX117" s="1123">
        <f t="shared" si="28"/>
        <v>112</v>
      </c>
      <c r="BY117" s="1128">
        <v>70.714285714285708</v>
      </c>
      <c r="BZ117" s="1128">
        <v>79.571428571428569</v>
      </c>
      <c r="CA117" s="1128">
        <v>78.714285714285708</v>
      </c>
      <c r="CB117" s="1128">
        <v>79.428571428571431</v>
      </c>
      <c r="CC117" s="1128">
        <v>69.285714285714292</v>
      </c>
      <c r="CD117" s="1128">
        <v>75.714285714285708</v>
      </c>
      <c r="CE117" s="1128">
        <v>77.071428571428569</v>
      </c>
      <c r="CF117" s="1128">
        <v>70.785714285714292</v>
      </c>
      <c r="CG117" s="1128">
        <v>78.142857142857139</v>
      </c>
      <c r="CH117" s="1128">
        <v>71.428571428571431</v>
      </c>
      <c r="CI117" s="1128">
        <v>74.285714285714292</v>
      </c>
      <c r="CJ117" s="1129">
        <v>79.857142857142861</v>
      </c>
    </row>
    <row r="118" spans="76:88" x14ac:dyDescent="0.3">
      <c r="BX118" s="1123">
        <f t="shared" si="28"/>
        <v>113</v>
      </c>
      <c r="BY118" s="1128">
        <v>70.857142857142861</v>
      </c>
      <c r="BZ118" s="1128">
        <v>80</v>
      </c>
      <c r="CA118" s="1128">
        <v>79.285714285714292</v>
      </c>
      <c r="CB118" s="1128">
        <v>83.571428571428569</v>
      </c>
      <c r="CC118" s="1128">
        <v>68.428571428571431</v>
      </c>
      <c r="CD118" s="1128">
        <v>76.714285714285708</v>
      </c>
      <c r="CE118" s="1128">
        <v>74.428571428571431</v>
      </c>
      <c r="CF118" s="1128">
        <v>70.357142857142861</v>
      </c>
      <c r="CG118" s="1128">
        <v>77.571428571428569</v>
      </c>
      <c r="CH118" s="1128">
        <v>70.714285714285708</v>
      </c>
      <c r="CI118" s="1128">
        <v>74.714285714285708</v>
      </c>
      <c r="CJ118" s="1129">
        <v>80.142857142857139</v>
      </c>
    </row>
    <row r="119" spans="76:88" x14ac:dyDescent="0.3">
      <c r="BX119" s="1123">
        <f t="shared" si="28"/>
        <v>114</v>
      </c>
      <c r="BY119" s="1128">
        <v>71.571428571428569</v>
      </c>
      <c r="BZ119" s="1128">
        <v>81</v>
      </c>
      <c r="CA119" s="1128">
        <v>79.857142857142861</v>
      </c>
      <c r="CB119" s="1128">
        <v>83.714285714285708</v>
      </c>
      <c r="CC119" s="1128">
        <v>69.285714285714292</v>
      </c>
      <c r="CD119" s="1128">
        <v>77.142857142857139</v>
      </c>
      <c r="CE119" s="1128">
        <v>75.785714285714292</v>
      </c>
      <c r="CF119" s="1128">
        <v>71.071428571428569</v>
      </c>
      <c r="CG119" s="1128">
        <v>78.714285714285708</v>
      </c>
      <c r="CH119" s="1128">
        <v>71.142857142857139</v>
      </c>
      <c r="CI119" s="1128">
        <v>75.142857142857139</v>
      </c>
      <c r="CJ119" s="1129">
        <v>80.428571428571431</v>
      </c>
    </row>
    <row r="120" spans="76:88" x14ac:dyDescent="0.3">
      <c r="BX120" s="1123">
        <f t="shared" si="28"/>
        <v>115</v>
      </c>
      <c r="BY120" s="1128">
        <v>72.285714285714292</v>
      </c>
      <c r="BZ120" s="1128">
        <v>82</v>
      </c>
      <c r="CA120" s="1128">
        <v>80.428571428571431</v>
      </c>
      <c r="CB120" s="1128">
        <v>83.857142857142861</v>
      </c>
      <c r="CC120" s="1128">
        <v>70.142857142857139</v>
      </c>
      <c r="CD120" s="1128">
        <v>77.571428571428569</v>
      </c>
      <c r="CE120" s="1128">
        <v>77.142857142857139</v>
      </c>
      <c r="CF120" s="1128">
        <v>71.785714285714292</v>
      </c>
      <c r="CG120" s="1128">
        <v>79.857142857142861</v>
      </c>
      <c r="CH120" s="1128">
        <v>71.571428571428569</v>
      </c>
      <c r="CI120" s="1128">
        <v>75.571428571428569</v>
      </c>
      <c r="CJ120" s="1129">
        <v>80.714285714285708</v>
      </c>
    </row>
    <row r="121" spans="76:88" x14ac:dyDescent="0.3">
      <c r="BX121" s="1123">
        <f t="shared" si="28"/>
        <v>116</v>
      </c>
      <c r="BY121" s="1128">
        <v>73</v>
      </c>
      <c r="BZ121" s="1128">
        <v>83</v>
      </c>
      <c r="CA121" s="1128">
        <v>81</v>
      </c>
      <c r="CB121" s="1128">
        <v>84</v>
      </c>
      <c r="CC121" s="1128">
        <v>71</v>
      </c>
      <c r="CD121" s="1128">
        <v>78</v>
      </c>
      <c r="CE121" s="1128">
        <v>78.5</v>
      </c>
      <c r="CF121" s="1128">
        <v>72.5</v>
      </c>
      <c r="CG121" s="1128">
        <v>81</v>
      </c>
      <c r="CH121" s="1128">
        <v>72</v>
      </c>
      <c r="CI121" s="1128">
        <v>76</v>
      </c>
      <c r="CJ121" s="1129">
        <v>81</v>
      </c>
    </row>
    <row r="122" spans="76:88" x14ac:dyDescent="0.3">
      <c r="BX122" s="1123">
        <f t="shared" si="28"/>
        <v>117</v>
      </c>
      <c r="BY122" s="1128">
        <v>73.714285714285708</v>
      </c>
      <c r="BZ122" s="1128">
        <v>84</v>
      </c>
      <c r="CA122" s="1128">
        <v>81.571428571428569</v>
      </c>
      <c r="CB122" s="1128">
        <v>84.142857142857139</v>
      </c>
      <c r="CC122" s="1128">
        <v>71.857142857142861</v>
      </c>
      <c r="CD122" s="1128">
        <v>78.428571428571431</v>
      </c>
      <c r="CE122" s="1128">
        <v>79.857142857142861</v>
      </c>
      <c r="CF122" s="1128">
        <v>73.214285714285708</v>
      </c>
      <c r="CG122" s="1128">
        <v>82.142857142857139</v>
      </c>
      <c r="CH122" s="1128">
        <v>72.428571428571431</v>
      </c>
      <c r="CI122" s="1128">
        <v>76.428571428571431</v>
      </c>
      <c r="CJ122" s="1129">
        <v>81.285714285714292</v>
      </c>
    </row>
    <row r="123" spans="76:88" x14ac:dyDescent="0.3">
      <c r="BX123" s="1123">
        <f t="shared" si="28"/>
        <v>118</v>
      </c>
      <c r="BY123" s="1128">
        <v>74.428571428571431</v>
      </c>
      <c r="BZ123" s="1128">
        <v>85</v>
      </c>
      <c r="CA123" s="1128">
        <v>82.142857142857139</v>
      </c>
      <c r="CB123" s="1128">
        <v>84.285714285714292</v>
      </c>
      <c r="CC123" s="1128">
        <v>72.714285714285708</v>
      </c>
      <c r="CD123" s="1128">
        <v>78.857142857142861</v>
      </c>
      <c r="CE123" s="1128">
        <v>81.214285714285708</v>
      </c>
      <c r="CF123" s="1128">
        <v>73.928571428571431</v>
      </c>
      <c r="CG123" s="1128">
        <v>83.285714285714292</v>
      </c>
      <c r="CH123" s="1128">
        <v>72.857142857142861</v>
      </c>
      <c r="CI123" s="1128">
        <v>76.857142857142861</v>
      </c>
      <c r="CJ123" s="1129">
        <v>81.571428571428569</v>
      </c>
    </row>
    <row r="124" spans="76:88" x14ac:dyDescent="0.3">
      <c r="BX124" s="1123">
        <f t="shared" si="28"/>
        <v>119</v>
      </c>
      <c r="BY124" s="1128">
        <v>75.142857142857139</v>
      </c>
      <c r="BZ124" s="1128">
        <v>86</v>
      </c>
      <c r="CA124" s="1128">
        <v>82.714285714285708</v>
      </c>
      <c r="CB124" s="1128">
        <v>84.428571428571431</v>
      </c>
      <c r="CC124" s="1128">
        <v>73.571428571428569</v>
      </c>
      <c r="CD124" s="1128">
        <v>79.285714285714292</v>
      </c>
      <c r="CE124" s="1128">
        <v>82.571428571428569</v>
      </c>
      <c r="CF124" s="1128">
        <v>74.642857142857139</v>
      </c>
      <c r="CG124" s="1128">
        <v>84.428571428571431</v>
      </c>
      <c r="CH124" s="1128">
        <v>73.285714285714292</v>
      </c>
      <c r="CI124" s="1128">
        <v>77.285714285714292</v>
      </c>
      <c r="CJ124" s="1129">
        <v>81.857142857142861</v>
      </c>
    </row>
    <row r="125" spans="76:88" x14ac:dyDescent="0.3">
      <c r="BX125" s="1123">
        <f t="shared" si="28"/>
        <v>120</v>
      </c>
      <c r="BY125" s="1128">
        <v>75.857142857142861</v>
      </c>
      <c r="BZ125" s="1128">
        <v>87.571428571428569</v>
      </c>
      <c r="CA125" s="1128">
        <v>83.285714285714292</v>
      </c>
      <c r="CB125" s="1128">
        <v>83.285714285714292</v>
      </c>
      <c r="CC125" s="1128">
        <v>75.285714285714292</v>
      </c>
      <c r="CD125" s="1128">
        <v>79.571428571428569</v>
      </c>
      <c r="CE125" s="1128">
        <v>85.928571428571431</v>
      </c>
      <c r="CF125" s="1128">
        <v>75.785714285714292</v>
      </c>
      <c r="CG125" s="1128">
        <v>86.571428571428569</v>
      </c>
      <c r="CH125" s="1128">
        <v>74.285714285714278</v>
      </c>
      <c r="CI125" s="1128">
        <v>77.714285714285708</v>
      </c>
      <c r="CJ125" s="1129">
        <v>82</v>
      </c>
    </row>
    <row r="126" spans="76:88" x14ac:dyDescent="0.3">
      <c r="BX126" s="1123">
        <f t="shared" si="28"/>
        <v>121</v>
      </c>
      <c r="BY126" s="1128">
        <v>76.571428571428569</v>
      </c>
      <c r="BZ126" s="1128">
        <v>88.38095238095238</v>
      </c>
      <c r="CA126" s="1128">
        <v>83.857142857142861</v>
      </c>
      <c r="CB126" s="1128">
        <v>83.857142857142861</v>
      </c>
      <c r="CC126" s="1128">
        <v>75.857142857142861</v>
      </c>
      <c r="CD126" s="1128">
        <v>80.047619047619051</v>
      </c>
      <c r="CE126" s="1128">
        <v>86.61904761904762</v>
      </c>
      <c r="CF126" s="1128">
        <v>76.357142857142861</v>
      </c>
      <c r="CG126" s="1128">
        <v>87.38095238095238</v>
      </c>
      <c r="CH126" s="1128">
        <v>74.523809523809518</v>
      </c>
      <c r="CI126" s="1128">
        <v>78.142857142857139</v>
      </c>
      <c r="CJ126" s="1129">
        <v>82.333333333333329</v>
      </c>
    </row>
    <row r="127" spans="76:88" x14ac:dyDescent="0.3">
      <c r="BX127" s="1123">
        <f t="shared" si="28"/>
        <v>122</v>
      </c>
      <c r="BY127" s="1128">
        <v>77.285714285714292</v>
      </c>
      <c r="BZ127" s="1128">
        <v>89.19047619047619</v>
      </c>
      <c r="CA127" s="1128">
        <v>84.428571428571431</v>
      </c>
      <c r="CB127" s="1128">
        <v>84.428571428571431</v>
      </c>
      <c r="CC127" s="1128">
        <v>76.428571428571431</v>
      </c>
      <c r="CD127" s="1128">
        <v>80.523809523809518</v>
      </c>
      <c r="CE127" s="1128">
        <v>87.30952380952381</v>
      </c>
      <c r="CF127" s="1128">
        <v>76.928571428571431</v>
      </c>
      <c r="CG127" s="1128">
        <v>88.19047619047619</v>
      </c>
      <c r="CH127" s="1128">
        <v>74.761904761904759</v>
      </c>
      <c r="CI127" s="1128">
        <v>78.571428571428569</v>
      </c>
      <c r="CJ127" s="1129">
        <v>82.666666666666671</v>
      </c>
    </row>
    <row r="128" spans="76:88" x14ac:dyDescent="0.3">
      <c r="BX128" s="1123">
        <f t="shared" si="28"/>
        <v>123</v>
      </c>
      <c r="BY128" s="1128">
        <v>78</v>
      </c>
      <c r="BZ128" s="1128">
        <v>90</v>
      </c>
      <c r="CA128" s="1128">
        <v>85</v>
      </c>
      <c r="CB128" s="1128">
        <v>85</v>
      </c>
      <c r="CC128" s="1128">
        <v>77</v>
      </c>
      <c r="CD128" s="1128">
        <v>81</v>
      </c>
      <c r="CE128" s="1128">
        <v>88</v>
      </c>
      <c r="CF128" s="1128">
        <v>77.5</v>
      </c>
      <c r="CG128" s="1128">
        <v>89</v>
      </c>
      <c r="CH128" s="1128">
        <v>75</v>
      </c>
      <c r="CI128" s="1128">
        <v>79</v>
      </c>
      <c r="CJ128" s="1129">
        <v>83</v>
      </c>
    </row>
    <row r="129" spans="76:88" x14ac:dyDescent="0.3">
      <c r="BX129" s="1123">
        <f t="shared" si="28"/>
        <v>124</v>
      </c>
      <c r="BY129" s="1128">
        <v>78.714285714285708</v>
      </c>
      <c r="BZ129" s="1128">
        <v>90.80952380952381</v>
      </c>
      <c r="CA129" s="1128">
        <v>85.571428571428569</v>
      </c>
      <c r="CB129" s="1128">
        <v>85.571428571428569</v>
      </c>
      <c r="CC129" s="1128">
        <v>77.571428571428569</v>
      </c>
      <c r="CD129" s="1128">
        <v>81.476190476190482</v>
      </c>
      <c r="CE129" s="1128">
        <v>88.69047619047619</v>
      </c>
      <c r="CF129" s="1128">
        <v>78.071428571428569</v>
      </c>
      <c r="CG129" s="1128">
        <v>89.80952380952381</v>
      </c>
      <c r="CH129" s="1128">
        <v>75.238095238095241</v>
      </c>
      <c r="CI129" s="1128">
        <v>79.428571428571431</v>
      </c>
      <c r="CJ129" s="1129">
        <v>83.333333333333329</v>
      </c>
    </row>
    <row r="130" spans="76:88" x14ac:dyDescent="0.3">
      <c r="BX130" s="1123">
        <f t="shared" si="28"/>
        <v>125</v>
      </c>
      <c r="BY130" s="1128">
        <v>79.428571428571431</v>
      </c>
      <c r="BZ130" s="1128">
        <v>91.61904761904762</v>
      </c>
      <c r="CA130" s="1128">
        <v>86.142857142857139</v>
      </c>
      <c r="CB130" s="1128">
        <v>86.142857142857139</v>
      </c>
      <c r="CC130" s="1128">
        <v>78.142857142857139</v>
      </c>
      <c r="CD130" s="1128">
        <v>81.952380952380949</v>
      </c>
      <c r="CE130" s="1128">
        <v>89.38095238095238</v>
      </c>
      <c r="CF130" s="1128">
        <v>78.642857142857139</v>
      </c>
      <c r="CG130" s="1128">
        <v>90.61904761904762</v>
      </c>
      <c r="CH130" s="1128">
        <v>75.476190476190482</v>
      </c>
      <c r="CI130" s="1128">
        <v>79.857142857142861</v>
      </c>
      <c r="CJ130" s="1129">
        <v>83.666666666666671</v>
      </c>
    </row>
    <row r="131" spans="76:88" ht="18" thickBot="1" x14ac:dyDescent="0.35">
      <c r="BX131" s="1124">
        <f t="shared" si="28"/>
        <v>126</v>
      </c>
      <c r="BY131" s="1130">
        <v>80.142857142857139</v>
      </c>
      <c r="BZ131" s="1130">
        <v>92.428571428571431</v>
      </c>
      <c r="CA131" s="1130">
        <v>86.714285714285708</v>
      </c>
      <c r="CB131" s="1130">
        <v>86.714285714285708</v>
      </c>
      <c r="CC131" s="1130">
        <v>78.714285714285708</v>
      </c>
      <c r="CD131" s="1130">
        <v>82.428571428571431</v>
      </c>
      <c r="CE131" s="1130">
        <v>90.071428571428569</v>
      </c>
      <c r="CF131" s="1130">
        <v>79.214285714285708</v>
      </c>
      <c r="CG131" s="1130">
        <v>91.428571428571431</v>
      </c>
      <c r="CH131" s="1130">
        <v>75.714285714285722</v>
      </c>
      <c r="CI131" s="1130">
        <v>80.285714285714292</v>
      </c>
      <c r="CJ131" s="1131">
        <v>84</v>
      </c>
    </row>
    <row r="152" spans="2:30" x14ac:dyDescent="0.3">
      <c r="B152" s="82"/>
      <c r="C152" s="82"/>
      <c r="D152" s="82"/>
      <c r="E152" s="82"/>
      <c r="F152" s="82"/>
      <c r="G152" s="82"/>
      <c r="J152" s="82"/>
      <c r="K152" s="82"/>
      <c r="L152" s="82"/>
      <c r="M152" s="82"/>
      <c r="N152" s="82"/>
      <c r="O152" s="82"/>
      <c r="P152" s="82"/>
      <c r="Q152" s="82"/>
      <c r="R152" s="82"/>
      <c r="AB152" s="33"/>
      <c r="AC152" s="33"/>
      <c r="AD152" s="33"/>
    </row>
    <row r="153" spans="2:30" x14ac:dyDescent="0.3">
      <c r="AB153" s="33"/>
      <c r="AC153" s="33"/>
      <c r="AD153" s="33"/>
    </row>
    <row r="154" spans="2:30" x14ac:dyDescent="0.3">
      <c r="AB154" s="33"/>
      <c r="AC154" s="33"/>
      <c r="AD154" s="33"/>
    </row>
    <row r="155" spans="2:30" x14ac:dyDescent="0.3">
      <c r="AB155" s="33"/>
      <c r="AC155" s="33"/>
      <c r="AD155" s="33"/>
    </row>
    <row r="156" spans="2:30" x14ac:dyDescent="0.3">
      <c r="AB156" s="33"/>
      <c r="AC156" s="33"/>
      <c r="AD156" s="33"/>
    </row>
    <row r="157" spans="2:30" x14ac:dyDescent="0.3">
      <c r="AB157" s="33"/>
      <c r="AC157" s="33"/>
      <c r="AD157" s="33"/>
    </row>
    <row r="158" spans="2:30" x14ac:dyDescent="0.3">
      <c r="AB158" s="33"/>
      <c r="AC158" s="33"/>
      <c r="AD158" s="33"/>
    </row>
    <row r="159" spans="2:30" x14ac:dyDescent="0.3">
      <c r="AB159" s="33"/>
      <c r="AC159" s="33"/>
      <c r="AD159" s="33"/>
    </row>
    <row r="160" spans="2:30" x14ac:dyDescent="0.3">
      <c r="AB160" s="33"/>
      <c r="AC160" s="33"/>
      <c r="AD160" s="33"/>
    </row>
    <row r="161" spans="28:30" x14ac:dyDescent="0.3">
      <c r="AB161" s="33"/>
      <c r="AC161" s="33"/>
      <c r="AD161" s="33"/>
    </row>
    <row r="162" spans="28:30" x14ac:dyDescent="0.3">
      <c r="AB162" s="33"/>
      <c r="AC162" s="33"/>
      <c r="AD162" s="33"/>
    </row>
    <row r="163" spans="28:30" x14ac:dyDescent="0.3">
      <c r="AB163" s="33"/>
      <c r="AC163" s="33"/>
      <c r="AD163" s="33"/>
    </row>
    <row r="164" spans="28:30" x14ac:dyDescent="0.3">
      <c r="AB164" s="33"/>
      <c r="AC164" s="33"/>
      <c r="AD164" s="33"/>
    </row>
    <row r="165" spans="28:30" x14ac:dyDescent="0.3">
      <c r="AB165" s="33"/>
      <c r="AC165" s="33"/>
      <c r="AD165" s="33"/>
    </row>
    <row r="166" spans="28:30" x14ac:dyDescent="0.3">
      <c r="AB166" s="33"/>
      <c r="AC166" s="33"/>
      <c r="AD166" s="33"/>
    </row>
    <row r="167" spans="28:30" x14ac:dyDescent="0.3">
      <c r="AB167" s="33"/>
      <c r="AC167" s="33"/>
      <c r="AD167" s="33"/>
    </row>
    <row r="168" spans="28:30" x14ac:dyDescent="0.3">
      <c r="AB168" s="33"/>
      <c r="AC168" s="33"/>
      <c r="AD168" s="33"/>
    </row>
    <row r="169" spans="28:30" x14ac:dyDescent="0.3">
      <c r="AB169" s="33"/>
      <c r="AC169" s="33"/>
      <c r="AD169" s="33"/>
    </row>
    <row r="170" spans="28:30" x14ac:dyDescent="0.3">
      <c r="AB170" s="33"/>
      <c r="AC170" s="33"/>
      <c r="AD170" s="33"/>
    </row>
    <row r="171" spans="28:30" x14ac:dyDescent="0.3">
      <c r="AB171" s="33"/>
      <c r="AC171" s="33"/>
      <c r="AD171" s="33"/>
    </row>
    <row r="172" spans="28:30" x14ac:dyDescent="0.3">
      <c r="AB172" s="33"/>
      <c r="AC172" s="33"/>
      <c r="AD172" s="33"/>
    </row>
    <row r="173" spans="28:30" x14ac:dyDescent="0.3">
      <c r="AB173" s="33"/>
      <c r="AC173" s="33"/>
      <c r="AD173" s="33"/>
    </row>
    <row r="174" spans="28:30" x14ac:dyDescent="0.3">
      <c r="AB174" s="33"/>
      <c r="AC174" s="33"/>
      <c r="AD174" s="33"/>
    </row>
    <row r="175" spans="28:30" x14ac:dyDescent="0.3">
      <c r="AB175" s="33"/>
      <c r="AC175" s="33"/>
      <c r="AD175" s="33"/>
    </row>
    <row r="176" spans="28:30" x14ac:dyDescent="0.3">
      <c r="AB176" s="33"/>
      <c r="AC176" s="33"/>
      <c r="AD176" s="33"/>
    </row>
    <row r="177" spans="28:30" x14ac:dyDescent="0.3">
      <c r="AB177" s="33"/>
      <c r="AC177" s="33"/>
      <c r="AD177" s="33"/>
    </row>
    <row r="178" spans="28:30" x14ac:dyDescent="0.3">
      <c r="AB178" s="33"/>
      <c r="AC178" s="33"/>
      <c r="AD178" s="33"/>
    </row>
    <row r="179" spans="28:30" x14ac:dyDescent="0.3">
      <c r="AB179" s="33"/>
      <c r="AC179" s="33"/>
      <c r="AD179" s="33"/>
    </row>
    <row r="180" spans="28:30" x14ac:dyDescent="0.3">
      <c r="AB180" s="33"/>
      <c r="AC180" s="33"/>
      <c r="AD180" s="33"/>
    </row>
    <row r="181" spans="28:30" x14ac:dyDescent="0.3">
      <c r="AB181" s="33"/>
      <c r="AC181" s="33"/>
      <c r="AD181" s="33"/>
    </row>
    <row r="182" spans="28:30" x14ac:dyDescent="0.3">
      <c r="AB182" s="33"/>
      <c r="AC182" s="33"/>
      <c r="AD182" s="33"/>
    </row>
    <row r="183" spans="28:30" x14ac:dyDescent="0.3">
      <c r="AB183" s="33"/>
      <c r="AC183" s="33"/>
      <c r="AD183" s="33"/>
    </row>
    <row r="184" spans="28:30" x14ac:dyDescent="0.3">
      <c r="AB184" s="33"/>
      <c r="AC184" s="33"/>
      <c r="AD184" s="33"/>
    </row>
    <row r="185" spans="28:30" x14ac:dyDescent="0.3">
      <c r="AB185" s="33"/>
      <c r="AC185" s="33"/>
      <c r="AD185" s="33"/>
    </row>
    <row r="186" spans="28:30" x14ac:dyDescent="0.3">
      <c r="AB186" s="33"/>
      <c r="AC186" s="33"/>
      <c r="AD186" s="33"/>
    </row>
    <row r="187" spans="28:30" x14ac:dyDescent="0.3">
      <c r="AB187" s="33"/>
      <c r="AC187" s="33"/>
      <c r="AD187" s="33"/>
    </row>
    <row r="188" spans="28:30" x14ac:dyDescent="0.3">
      <c r="AB188" s="33"/>
      <c r="AC188" s="33"/>
      <c r="AD188" s="33"/>
    </row>
    <row r="189" spans="28:30" x14ac:dyDescent="0.3">
      <c r="AB189" s="33"/>
      <c r="AC189" s="33"/>
      <c r="AD189" s="33"/>
    </row>
    <row r="190" spans="28:30" x14ac:dyDescent="0.3">
      <c r="AB190" s="33"/>
      <c r="AC190" s="33"/>
      <c r="AD190" s="33"/>
    </row>
    <row r="191" spans="28:30" x14ac:dyDescent="0.3">
      <c r="AB191" s="33"/>
      <c r="AC191" s="33"/>
      <c r="AD191" s="33"/>
    </row>
    <row r="192" spans="28:30" x14ac:dyDescent="0.3">
      <c r="AB192" s="33"/>
      <c r="AC192" s="33"/>
      <c r="AD192" s="33"/>
    </row>
    <row r="193" spans="28:30" x14ac:dyDescent="0.3">
      <c r="AB193" s="33"/>
      <c r="AC193" s="33"/>
      <c r="AD193" s="33"/>
    </row>
    <row r="194" spans="28:30" x14ac:dyDescent="0.3">
      <c r="AB194" s="33"/>
      <c r="AC194" s="33"/>
      <c r="AD194" s="33"/>
    </row>
    <row r="195" spans="28:30" x14ac:dyDescent="0.3">
      <c r="AB195" s="33"/>
      <c r="AC195" s="33"/>
      <c r="AD195" s="33"/>
    </row>
    <row r="196" spans="28:30" x14ac:dyDescent="0.3">
      <c r="AB196" s="33"/>
      <c r="AC196" s="33"/>
      <c r="AD196" s="33"/>
    </row>
    <row r="197" spans="28:30" x14ac:dyDescent="0.3">
      <c r="AB197" s="33"/>
      <c r="AC197" s="33"/>
      <c r="AD197" s="33"/>
    </row>
    <row r="198" spans="28:30" x14ac:dyDescent="0.3">
      <c r="AB198" s="33"/>
      <c r="AC198" s="33"/>
      <c r="AD198" s="33"/>
    </row>
    <row r="199" spans="28:30" x14ac:dyDescent="0.3">
      <c r="AB199" s="33"/>
      <c r="AC199" s="33"/>
      <c r="AD199" s="33"/>
    </row>
    <row r="200" spans="28:30" x14ac:dyDescent="0.3">
      <c r="AB200" s="33"/>
      <c r="AC200" s="33"/>
      <c r="AD200" s="33"/>
    </row>
    <row r="201" spans="28:30" x14ac:dyDescent="0.3">
      <c r="AB201" s="33"/>
      <c r="AC201" s="33"/>
      <c r="AD201" s="33"/>
    </row>
    <row r="202" spans="28:30" x14ac:dyDescent="0.3">
      <c r="AB202" s="33"/>
      <c r="AC202" s="33"/>
      <c r="AD202" s="33"/>
    </row>
    <row r="203" spans="28:30" x14ac:dyDescent="0.3">
      <c r="AB203" s="33"/>
      <c r="AC203" s="33"/>
      <c r="AD203" s="33"/>
    </row>
    <row r="204" spans="28:30" x14ac:dyDescent="0.3">
      <c r="AB204" s="33"/>
      <c r="AC204" s="33"/>
      <c r="AD204" s="33"/>
    </row>
    <row r="205" spans="28:30" x14ac:dyDescent="0.3">
      <c r="AB205" s="33"/>
      <c r="AC205" s="33"/>
      <c r="AD205" s="33"/>
    </row>
    <row r="206" spans="28:30" x14ac:dyDescent="0.3">
      <c r="AB206" s="33"/>
      <c r="AC206" s="33"/>
      <c r="AD206" s="33"/>
    </row>
    <row r="207" spans="28:30" x14ac:dyDescent="0.3">
      <c r="AB207" s="33"/>
      <c r="AC207" s="33"/>
      <c r="AD207" s="33"/>
    </row>
    <row r="208" spans="28:30" x14ac:dyDescent="0.3">
      <c r="AB208" s="33"/>
      <c r="AC208" s="33"/>
      <c r="AD208" s="33"/>
    </row>
    <row r="209" spans="28:30" x14ac:dyDescent="0.3">
      <c r="AB209" s="33"/>
      <c r="AC209" s="33"/>
      <c r="AD209" s="33"/>
    </row>
    <row r="210" spans="28:30" x14ac:dyDescent="0.3">
      <c r="AB210" s="33"/>
      <c r="AC210" s="33"/>
      <c r="AD210" s="33"/>
    </row>
    <row r="211" spans="28:30" x14ac:dyDescent="0.3">
      <c r="AB211" s="33"/>
      <c r="AC211" s="33"/>
      <c r="AD211" s="33"/>
    </row>
  </sheetData>
  <sheetProtection algorithmName="SHA-512" hashValue="F3KlEyh8YBEBpKTdwfx49v6MKhhDhLsSr/risVJmAKNRt864zejFAurU2OVmWbp+aXaE1FsuUbSnVVTxnyOodg==" saltValue="7X7SviIQ4G+PZopaDJKVzA==" spinCount="100000" sheet="1" objects="1" scenarios="1"/>
  <mergeCells count="12">
    <mergeCell ref="BP3:BU3"/>
    <mergeCell ref="B3:G3"/>
    <mergeCell ref="N3:S3"/>
    <mergeCell ref="Z3:AE3"/>
    <mergeCell ref="AF3:AK3"/>
    <mergeCell ref="H3:M3"/>
    <mergeCell ref="T3:Y3"/>
    <mergeCell ref="AR3:AW3"/>
    <mergeCell ref="AL3:AQ3"/>
    <mergeCell ref="AX3:BC3"/>
    <mergeCell ref="BD3:BI3"/>
    <mergeCell ref="BJ3:B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BS161"/>
  <sheetViews>
    <sheetView showGridLines="0" showRowColHeaders="0" showZeros="0" zoomScaleNormal="100" workbookViewId="0">
      <pane xSplit="4" ySplit="5" topLeftCell="E6" activePane="bottomRight" state="frozen"/>
      <selection pane="topRight" activeCell="E1" sqref="E1"/>
      <selection pane="bottomLeft" activeCell="A6" sqref="A6"/>
      <selection pane="bottomRight" activeCell="J4" sqref="J4"/>
    </sheetView>
  </sheetViews>
  <sheetFormatPr baseColWidth="10" defaultColWidth="0" defaultRowHeight="13.5" zeroHeight="1" x14ac:dyDescent="0.25"/>
  <cols>
    <col min="1" max="1" width="1.25" style="215" customWidth="1"/>
    <col min="2" max="2" width="3.875" style="215" bestFit="1" customWidth="1"/>
    <col min="3" max="3" width="13.125" style="215" customWidth="1"/>
    <col min="4" max="4" width="8.375" style="215" hidden="1" customWidth="1"/>
    <col min="5" max="5" width="5.875" style="215" customWidth="1"/>
    <col min="6" max="6" width="6.875" style="215" customWidth="1"/>
    <col min="7" max="7" width="6.5" style="215" customWidth="1"/>
    <col min="8" max="8" width="7.375" style="215" customWidth="1"/>
    <col min="9" max="9" width="18.125" style="215" customWidth="1"/>
    <col min="10" max="10" width="9.75" style="215" customWidth="1"/>
    <col min="11" max="11" width="8.625" style="215" customWidth="1"/>
    <col min="12" max="12" width="12.125" style="215" customWidth="1"/>
    <col min="13" max="13" width="9.625" style="215" bestFit="1" customWidth="1"/>
    <col min="14" max="15" width="7" style="215" customWidth="1"/>
    <col min="16" max="16" width="6.375" style="215" customWidth="1"/>
    <col min="17" max="17" width="6.125" style="215" customWidth="1"/>
    <col min="18" max="19" width="7" style="215" customWidth="1"/>
    <col min="20" max="21" width="7" style="215" hidden="1" customWidth="1"/>
    <col min="22" max="22" width="7" style="215" customWidth="1"/>
    <col min="23" max="23" width="10.875" style="215" customWidth="1"/>
    <col min="24" max="24" width="7.125" style="215" customWidth="1"/>
    <col min="25" max="25" width="7" style="215" customWidth="1"/>
    <col min="26" max="26" width="6.25" style="215" customWidth="1"/>
    <col min="27" max="27" width="7" style="215" customWidth="1"/>
    <col min="28" max="28" width="7.25" style="215" customWidth="1"/>
    <col min="29" max="29" width="8.375" style="215" customWidth="1"/>
    <col min="30" max="30" width="8.25" style="215" customWidth="1"/>
    <col min="31" max="31" width="9.25" style="215" customWidth="1"/>
    <col min="32" max="32" width="17.875" style="215" customWidth="1"/>
    <col min="33" max="33" width="33.625" style="215" customWidth="1"/>
    <col min="34" max="34" width="5" style="215" customWidth="1"/>
    <col min="35" max="35" width="5.75" style="215" customWidth="1"/>
    <col min="36" max="36" width="4.875" style="215" customWidth="1"/>
    <col min="37" max="37" width="5.125" style="215" customWidth="1"/>
    <col min="38" max="38" width="5.75" customWidth="1"/>
    <col min="39" max="39" width="5" customWidth="1"/>
    <col min="40" max="40" width="6.375" style="215" customWidth="1"/>
    <col min="41" max="71" width="0" style="215" hidden="1" customWidth="1"/>
    <col min="72" max="16384" width="11.5" style="215" hidden="1"/>
  </cols>
  <sheetData>
    <row r="1" spans="1:40" ht="15.75" x14ac:dyDescent="0.25">
      <c r="B1" s="214">
        <f>IF(O4&gt;0,IF(O4=CONCATENATE("Cons ",Var!P3),40000,IF(O4=CONCATENATE("Cons ",Var!P4),50000,1000)),0)</f>
        <v>1000</v>
      </c>
      <c r="C1" s="243"/>
      <c r="D1" s="243"/>
      <c r="E1" s="1831" t="str">
        <f>CONCATENATE(Iniciar!B2," : ")</f>
        <v xml:space="preserve">Nombre / Razón Social  : </v>
      </c>
      <c r="F1" s="1832"/>
      <c r="G1" s="1832"/>
      <c r="H1" s="1832"/>
      <c r="I1" s="1835" t="str">
        <f>Iniciar!C2</f>
        <v xml:space="preserve"> </v>
      </c>
      <c r="J1" s="1835"/>
      <c r="K1" s="1906" t="str">
        <f>Iniciar!B12</f>
        <v xml:space="preserve">Total Pollitas Recibidas : </v>
      </c>
      <c r="L1" s="1907"/>
      <c r="M1" s="1907"/>
      <c r="N1" s="1908">
        <f>Levante!J4-SUMIF(Levante!G6:G12,"&lt;0")-SUMIF(Levante!G13:G19,"&lt;0")</f>
        <v>0</v>
      </c>
      <c r="O1" s="1908"/>
      <c r="P1" s="1908"/>
      <c r="Q1" s="1909"/>
      <c r="R1" s="1906" t="s">
        <v>350</v>
      </c>
      <c r="S1" s="1907"/>
      <c r="T1" s="1907"/>
      <c r="U1" s="1907"/>
      <c r="V1" s="251">
        <f>LOTE</f>
        <v>0</v>
      </c>
      <c r="W1" s="1837" t="s">
        <v>185</v>
      </c>
      <c r="X1" s="1807"/>
      <c r="Y1" s="1811">
        <f>Iniciar!C18</f>
        <v>0</v>
      </c>
      <c r="Z1" s="1812"/>
      <c r="AA1" s="1806" t="str">
        <f>Iniciar!B7</f>
        <v xml:space="preserve">Asesor Técnico : </v>
      </c>
      <c r="AB1" s="1807"/>
      <c r="AC1" s="1807"/>
      <c r="AD1" s="1807"/>
      <c r="AE1" s="1813">
        <f>Iniciar!C7</f>
        <v>0</v>
      </c>
      <c r="AF1" s="1814"/>
      <c r="AG1" s="1802" t="str">
        <f>CONCATENATE(Iniciar!B16,Iniciar!C16)</f>
        <v xml:space="preserve">Altura sobre el nivel del mar : </v>
      </c>
      <c r="AH1" s="1803"/>
      <c r="AK1" s="216"/>
      <c r="AN1" s="217"/>
    </row>
    <row r="2" spans="1:40" ht="16.5" thickBot="1" x14ac:dyDescent="0.3">
      <c r="B2" s="214"/>
      <c r="C2" s="243"/>
      <c r="D2" s="243"/>
      <c r="E2" s="1833" t="str">
        <f>Iniciar!B14</f>
        <v xml:space="preserve">Nombre de la Granja : </v>
      </c>
      <c r="F2" s="1834"/>
      <c r="G2" s="1834"/>
      <c r="H2" s="1834"/>
      <c r="I2" s="1836">
        <f>GRANJALEV</f>
        <v>0</v>
      </c>
      <c r="J2" s="1836"/>
      <c r="K2" s="1900" t="str">
        <f>Iniciar!B3</f>
        <v xml:space="preserve">Estirpe / Línea : </v>
      </c>
      <c r="L2" s="1901"/>
      <c r="M2" s="1901"/>
      <c r="N2" s="1910">
        <f>Linea</f>
        <v>0</v>
      </c>
      <c r="O2" s="1910"/>
      <c r="P2" s="1910"/>
      <c r="Q2" s="1911"/>
      <c r="R2" s="1900" t="s">
        <v>353</v>
      </c>
      <c r="S2" s="1901"/>
      <c r="T2" s="1901"/>
      <c r="U2" s="1901"/>
      <c r="V2" s="1901"/>
      <c r="W2" s="1901"/>
      <c r="X2" s="1804">
        <f>Fnac</f>
        <v>0</v>
      </c>
      <c r="Y2" s="1804"/>
      <c r="Z2" s="1805"/>
      <c r="AA2" s="1808" t="str">
        <f>_xlfn.CONCAT(Iniciar!B20,Iniciar!C20)</f>
        <v xml:space="preserve">Manejo de la Luz : </v>
      </c>
      <c r="AB2" s="1809"/>
      <c r="AC2" s="1809"/>
      <c r="AD2" s="1809"/>
      <c r="AE2" s="1809" t="str">
        <f>_xlfn.CONCAT(Iniciar!B21,Iniciar!C21)</f>
        <v xml:space="preserve">Equipo de Comederos : </v>
      </c>
      <c r="AF2" s="1810"/>
      <c r="AG2" s="1800" t="str">
        <f>CONCATENATE(Iniciar!B17,Iniciar!C17)</f>
        <v xml:space="preserve">Clima : </v>
      </c>
      <c r="AH2" s="1801"/>
      <c r="AK2" s="216"/>
      <c r="AN2" s="217"/>
    </row>
    <row r="3" spans="1:40" ht="15" customHeight="1" x14ac:dyDescent="0.3">
      <c r="B3" s="214"/>
      <c r="C3" s="248"/>
      <c r="D3" s="243"/>
      <c r="E3" s="250">
        <v>2</v>
      </c>
      <c r="F3" s="1843" t="str">
        <f>PROD!D3</f>
        <v>Seguimiento Inventario de Aves</v>
      </c>
      <c r="G3" s="1843"/>
      <c r="H3" s="1843"/>
      <c r="I3" s="1843"/>
      <c r="J3" s="1844"/>
      <c r="K3" s="1897" t="str">
        <f>PROD!R3</f>
        <v>Control de Consumo Alimento y Agua</v>
      </c>
      <c r="L3" s="1898"/>
      <c r="M3" s="1898"/>
      <c r="N3" s="1898"/>
      <c r="O3" s="1898"/>
      <c r="P3" s="1898"/>
      <c r="Q3" s="1898"/>
      <c r="R3" s="1898"/>
      <c r="S3" s="1898"/>
      <c r="T3" s="1898"/>
      <c r="U3" s="1898"/>
      <c r="V3" s="1898"/>
      <c r="W3" s="1898"/>
      <c r="X3" s="1898"/>
      <c r="Y3" s="1898"/>
      <c r="Z3" s="1899"/>
      <c r="AA3" s="508" t="s">
        <v>402</v>
      </c>
      <c r="AB3" s="668" t="s">
        <v>403</v>
      </c>
      <c r="AC3" s="1797" t="str">
        <f>INVENTARIOS!$E$2</f>
        <v>Control Sacos - Empaques</v>
      </c>
      <c r="AD3" s="1797"/>
      <c r="AE3" s="1797"/>
      <c r="AF3" s="1797"/>
      <c r="AG3" s="1818" t="s">
        <v>187</v>
      </c>
      <c r="AH3" s="1815" t="str">
        <f>B5</f>
        <v>Sem</v>
      </c>
      <c r="AN3" s="217"/>
    </row>
    <row r="4" spans="1:40" ht="13.5" customHeight="1" thickBot="1" x14ac:dyDescent="0.3">
      <c r="B4" s="218"/>
      <c r="C4" s="249"/>
      <c r="D4" s="244"/>
      <c r="E4" s="1895" t="s">
        <v>300</v>
      </c>
      <c r="F4" s="1895" t="s">
        <v>301</v>
      </c>
      <c r="G4" s="1868" t="s">
        <v>171</v>
      </c>
      <c r="H4" s="1870" t="s">
        <v>172</v>
      </c>
      <c r="I4" s="247" t="s">
        <v>186</v>
      </c>
      <c r="J4" s="738"/>
      <c r="K4" s="1876" t="s">
        <v>416</v>
      </c>
      <c r="L4" s="1841" t="s">
        <v>338</v>
      </c>
      <c r="M4" s="1841" t="str">
        <f>CONCATENATE("Valor $ ",Iniciar!C10)</f>
        <v>Valor $ Kilos</v>
      </c>
      <c r="N4" s="1851" t="str">
        <f>CONCATENATE("Entran ",Iniciar!C$10)</f>
        <v>Entran Kilos</v>
      </c>
      <c r="O4" s="1868" t="str">
        <f>CONCATENATE("Cons ",Iniciar!C$10)</f>
        <v>Cons Kilos</v>
      </c>
      <c r="P4" s="1853" t="str">
        <f>CONCATENATE(Iniciar!C10," Tab")</f>
        <v>Kilos Tab</v>
      </c>
      <c r="Q4" s="1874" t="str">
        <f>CONCATENATE("Trasl ",Iniciar!C$10)</f>
        <v>Trasl Kilos</v>
      </c>
      <c r="R4" s="1854" t="str">
        <f>CONCATENATE("Saldo ",Iniciar!C$10)</f>
        <v>Saldo Kilos</v>
      </c>
      <c r="S4" s="1862" t="s">
        <v>170</v>
      </c>
      <c r="T4" s="1847" t="s">
        <v>303</v>
      </c>
      <c r="U4" s="1847" t="s">
        <v>302</v>
      </c>
      <c r="V4" s="1849" t="str">
        <f>CONCATENATE(S4," Tab")</f>
        <v>Gr. Ave Dia Tab</v>
      </c>
      <c r="W4" s="1845" t="s">
        <v>307</v>
      </c>
      <c r="X4" s="1846"/>
      <c r="Y4" s="1846"/>
      <c r="Z4" s="1846"/>
      <c r="AA4" s="1893" t="str">
        <f>INVENTARIOS!C3</f>
        <v>Entr Sacos</v>
      </c>
      <c r="AB4" s="1874" t="str">
        <f>INVENTARIOS!D3</f>
        <v>Otros Ingr.</v>
      </c>
      <c r="AC4" s="1874" t="str">
        <f>INVENTARIOS!E3</f>
        <v>Salida Sacos</v>
      </c>
      <c r="AD4" s="1874" t="str">
        <f>INVENTARIOS!F3</f>
        <v>Saldo Sacos</v>
      </c>
      <c r="AE4" s="1874" t="str">
        <f>INVENTARIOS!G3</f>
        <v>$ venta</v>
      </c>
      <c r="AF4" s="1890" t="s">
        <v>351</v>
      </c>
      <c r="AG4" s="1819"/>
      <c r="AH4" s="1816"/>
      <c r="AI4" s="217"/>
      <c r="AJ4" s="217"/>
      <c r="AK4" s="217"/>
      <c r="AN4" s="216"/>
    </row>
    <row r="5" spans="1:40" s="221" customFormat="1" ht="18" customHeight="1" thickBot="1" x14ac:dyDescent="0.3">
      <c r="B5" s="739" t="s">
        <v>0</v>
      </c>
      <c r="C5" s="740" t="s">
        <v>267</v>
      </c>
      <c r="D5" s="220" t="s">
        <v>304</v>
      </c>
      <c r="E5" s="1896"/>
      <c r="F5" s="1896"/>
      <c r="G5" s="1869"/>
      <c r="H5" s="1871"/>
      <c r="I5" s="1872" t="s">
        <v>168</v>
      </c>
      <c r="J5" s="1873"/>
      <c r="K5" s="1877"/>
      <c r="L5" s="1842"/>
      <c r="M5" s="1842"/>
      <c r="N5" s="1852"/>
      <c r="O5" s="1869"/>
      <c r="P5" s="1853"/>
      <c r="Q5" s="1875"/>
      <c r="R5" s="1855"/>
      <c r="S5" s="1863"/>
      <c r="T5" s="1848"/>
      <c r="U5" s="1848"/>
      <c r="V5" s="1850"/>
      <c r="W5" s="741" t="s">
        <v>169</v>
      </c>
      <c r="X5" s="736" t="s">
        <v>12</v>
      </c>
      <c r="Y5" s="737" t="s">
        <v>181</v>
      </c>
      <c r="Z5" s="991" t="s">
        <v>461</v>
      </c>
      <c r="AA5" s="1894"/>
      <c r="AB5" s="1848"/>
      <c r="AC5" s="1848"/>
      <c r="AD5" s="1848"/>
      <c r="AE5" s="1848"/>
      <c r="AF5" s="1891"/>
      <c r="AG5" s="1820"/>
      <c r="AH5" s="1817"/>
      <c r="AI5" s="217"/>
      <c r="AJ5" s="217"/>
      <c r="AK5" s="217"/>
      <c r="AL5"/>
      <c r="AM5"/>
      <c r="AN5" s="216"/>
    </row>
    <row r="6" spans="1:40" s="219" customFormat="1" ht="15" customHeight="1" thickTop="1" x14ac:dyDescent="0.3">
      <c r="A6" s="534">
        <f>B6</f>
        <v>1</v>
      </c>
      <c r="B6" s="1892">
        <v>1</v>
      </c>
      <c r="C6" s="222" t="str">
        <f>IF(Fnac=0,"",Fnac)</f>
        <v/>
      </c>
      <c r="D6" s="223" t="e">
        <f t="shared" ref="D6:D37" si="0">IF(C6=0,0,(C6-Fnac+1)/7)</f>
        <v>#VALUE!</v>
      </c>
      <c r="E6" s="656"/>
      <c r="F6" s="656"/>
      <c r="G6" s="657"/>
      <c r="H6" s="245">
        <f>$J$4-SUM(E6:G6)</f>
        <v>0</v>
      </c>
      <c r="I6" s="1207" t="s">
        <v>174</v>
      </c>
      <c r="J6" s="1208">
        <f>SUMIF(E6:G12,"&gt;0")</f>
        <v>0</v>
      </c>
      <c r="K6" s="1087"/>
      <c r="L6" s="660"/>
      <c r="M6" s="1085"/>
      <c r="N6" s="661"/>
      <c r="O6" s="662"/>
      <c r="P6" s="224">
        <f t="shared" ref="P6:P37" si="1">V6*H6/$B$1</f>
        <v>0</v>
      </c>
      <c r="Q6" s="662"/>
      <c r="R6" s="225">
        <f>N6-O6-Q6</f>
        <v>0</v>
      </c>
      <c r="S6" s="226">
        <f>IF(Levante!$N$1&gt;0,O6*$B$1/H6,0)</f>
        <v>0</v>
      </c>
      <c r="T6" s="228">
        <f>IF(SUM(H6:H6)&gt;0,SUM(U6:U6)/SUM(H6:H6),0)</f>
        <v>0</v>
      </c>
      <c r="U6" s="229">
        <f t="shared" ref="U6:U37" si="2">S6*H6</f>
        <v>0</v>
      </c>
      <c r="V6" s="1209">
        <f>IF(Fnac="",0,IFERROR(LOOKUP(Linea,TL!$BY$5:$CJ$5,TL!BY6:CJ6),0))</f>
        <v>0</v>
      </c>
      <c r="W6" s="1880" t="s">
        <v>264</v>
      </c>
      <c r="X6" s="1882">
        <f>IF(AND(COUNT(O6:O11)&gt;0,O12&gt;0),T12,S12)</f>
        <v>0</v>
      </c>
      <c r="Y6" s="996">
        <f>IFERROR(LOOKUP(B6,TL!$A$6:$A$23,GSh!$O$6:$O$23),0)</f>
        <v>0</v>
      </c>
      <c r="Z6" s="1912">
        <f>IF(AND(Y6&gt;0,Y7&gt;0,X6&gt;0),(X6-(IF(X6&gt;Y7,Y7,IF(X6&lt;Y6,Y6,X6))))/(IF(X6&gt;Y7,Y7,IF(X6&lt;Y6,Y6,X6)))*100,0)</f>
        <v>0</v>
      </c>
      <c r="AA6" s="1220">
        <f>IF($AB$3="NO",0,ROUNDDOWN(O6/IF(Iniciar!$C$10="kilos",40,1),0))</f>
        <v>0</v>
      </c>
      <c r="AB6" s="666"/>
      <c r="AC6" s="666"/>
      <c r="AD6" s="227">
        <f>AA6+AB6-AC6</f>
        <v>0</v>
      </c>
      <c r="AE6" s="669"/>
      <c r="AF6" s="1221"/>
      <c r="AG6" s="1864"/>
      <c r="AH6" s="1856">
        <f>B6</f>
        <v>1</v>
      </c>
      <c r="AI6" s="538">
        <f>SUMPRODUCT(O6:O12,M6:M12)</f>
        <v>0</v>
      </c>
      <c r="AJ6" s="199">
        <f>VLOOKUP(C6,Manejos!$C$10:$M$101,11,FALSE)</f>
        <v>0</v>
      </c>
      <c r="AK6" s="998">
        <f t="shared" ref="AK6:AK69" si="3">M6*O6</f>
        <v>0</v>
      </c>
      <c r="AL6"/>
      <c r="AM6"/>
    </row>
    <row r="7" spans="1:40" s="219" customFormat="1" ht="13.5" customHeight="1" x14ac:dyDescent="0.3">
      <c r="A7" s="534">
        <f t="shared" ref="A7:A70" si="4">A6</f>
        <v>1</v>
      </c>
      <c r="B7" s="1839"/>
      <c r="C7" s="230" t="str">
        <f t="shared" ref="C7:C22" si="5">IF(C6="","",C6+1)</f>
        <v/>
      </c>
      <c r="D7" s="231" t="e">
        <f t="shared" si="0"/>
        <v>#VALUE!</v>
      </c>
      <c r="E7" s="658"/>
      <c r="F7" s="658"/>
      <c r="G7" s="659"/>
      <c r="H7" s="246">
        <f t="shared" ref="H7:H38" si="6">H6-SUM(E7:G7)</f>
        <v>0</v>
      </c>
      <c r="I7" s="1210" t="s">
        <v>175</v>
      </c>
      <c r="J7" s="1211">
        <f>J6</f>
        <v>0</v>
      </c>
      <c r="K7" s="1088"/>
      <c r="L7" s="663"/>
      <c r="M7" s="1086"/>
      <c r="N7" s="664"/>
      <c r="O7" s="665"/>
      <c r="P7" s="232">
        <f t="shared" si="1"/>
        <v>0</v>
      </c>
      <c r="Q7" s="665"/>
      <c r="R7" s="233">
        <f t="shared" ref="R7:R38" si="7">R6+N7-O7-Q7</f>
        <v>0</v>
      </c>
      <c r="S7" s="234">
        <f>IF(Levante!$N$1&gt;0,O7*$B$1/H7,0)</f>
        <v>0</v>
      </c>
      <c r="T7" s="237">
        <f>IF(SUM(H6:H7)&gt;0,SUM(U6:U7)/SUM(H6:H7),0)</f>
        <v>0</v>
      </c>
      <c r="U7" s="238">
        <f t="shared" si="2"/>
        <v>0</v>
      </c>
      <c r="V7" s="1212">
        <f>IF(Fnac="",0,IFERROR(LOOKUP(Linea,TL!$BY$5:$CJ$5,TL!BY7:CJ7),0))</f>
        <v>0</v>
      </c>
      <c r="W7" s="1881"/>
      <c r="X7" s="1883"/>
      <c r="Y7" s="996">
        <f>IFERROR(LOOKUP(B6,TL!$A$6:$A$23,GSh!$P$6:$P$23),0)</f>
        <v>0</v>
      </c>
      <c r="Z7" s="1913">
        <f>IF(AND(X7&gt;0,Y7&gt;0,W7&gt;0),(W7-(IF(W7&gt;Y7,Y7,IF(W7&lt;X7,X7,W7))))/(IF(W7&gt;Y7,Y7,IF(W7&lt;X7,X7,W7)))*100,0)</f>
        <v>0</v>
      </c>
      <c r="AA7" s="235">
        <f>IF($AB$3="NO",0,ROUNDDOWN(SUM($O$6:O7)/IF(Iniciar!$C$10="kilos",40,1),0)-SUM($AA$6:$AA6))</f>
        <v>0</v>
      </c>
      <c r="AB7" s="667"/>
      <c r="AC7" s="667"/>
      <c r="AD7" s="236">
        <f t="shared" ref="AD7:AD38" si="8">AD6+AA7+AB7-AC7</f>
        <v>0</v>
      </c>
      <c r="AE7" s="670"/>
      <c r="AF7" s="1222"/>
      <c r="AG7" s="1865"/>
      <c r="AH7" s="1857"/>
      <c r="AI7" s="199"/>
      <c r="AJ7" s="199">
        <f>VLOOKUP(C7,Manejos!$C$10:$M$101,11,FALSE)</f>
        <v>0</v>
      </c>
      <c r="AK7" s="998">
        <f t="shared" si="3"/>
        <v>0</v>
      </c>
      <c r="AL7"/>
      <c r="AM7"/>
    </row>
    <row r="8" spans="1:40" s="219" customFormat="1" ht="13.5" customHeight="1" x14ac:dyDescent="0.25">
      <c r="A8" s="534">
        <f t="shared" si="4"/>
        <v>1</v>
      </c>
      <c r="B8" s="1839"/>
      <c r="C8" s="230" t="str">
        <f t="shared" si="5"/>
        <v/>
      </c>
      <c r="D8" s="231" t="e">
        <f t="shared" si="0"/>
        <v>#VALUE!</v>
      </c>
      <c r="E8" s="658"/>
      <c r="F8" s="658"/>
      <c r="G8" s="659"/>
      <c r="H8" s="246">
        <f t="shared" si="6"/>
        <v>0</v>
      </c>
      <c r="I8" s="1213" t="str">
        <f>CONCATENATE(H4," :")</f>
        <v>Saldo Aves :</v>
      </c>
      <c r="J8" s="1214">
        <f>H12</f>
        <v>0</v>
      </c>
      <c r="K8" s="1088"/>
      <c r="L8" s="663"/>
      <c r="M8" s="1086"/>
      <c r="N8" s="664"/>
      <c r="O8" s="665"/>
      <c r="P8" s="232">
        <f t="shared" si="1"/>
        <v>0</v>
      </c>
      <c r="Q8" s="665"/>
      <c r="R8" s="233">
        <f t="shared" si="7"/>
        <v>0</v>
      </c>
      <c r="S8" s="234">
        <f>IF(Levante!$N$1&gt;0,O8*$B$1/H8,0)</f>
        <v>0</v>
      </c>
      <c r="T8" s="237">
        <f>IF(SUM(H6:H8)&gt;0,SUM(U6:U8)/SUM(H6:H8),0)</f>
        <v>0</v>
      </c>
      <c r="U8" s="238">
        <f t="shared" si="2"/>
        <v>0</v>
      </c>
      <c r="V8" s="1212">
        <f>IF(Fnac="",0,IFERROR(LOOKUP(Linea,TL!$BY$5:$CJ$5,TL!BY8:CJ8),0))</f>
        <v>0</v>
      </c>
      <c r="W8" s="1884" t="s">
        <v>265</v>
      </c>
      <c r="X8" s="1886">
        <f>X6*7</f>
        <v>0</v>
      </c>
      <c r="Y8" s="994">
        <f>IFERROR(LOOKUP(B6,TL!$A$6:$A$23,GSh!$V$6:$V$23),0)</f>
        <v>0</v>
      </c>
      <c r="Z8" s="1777">
        <f>IF(AND(Y8&gt;0,Y9&gt;0,X8&gt;0),(X8-(IF(X8&gt;Y9,Y9,IF(X8&lt;Y8,Y8,X8))))/(IF(X8&gt;Y9,Y9,IF(X8&lt;Y8,Y8,X8)))*100,0)</f>
        <v>0</v>
      </c>
      <c r="AA8" s="235">
        <f>IF($AB$3="NO",0,ROUNDDOWN(SUM($O$6:O8)/IF(Iniciar!$C$10="kilos",40,1),0)-SUM($AA$6:$AA7))</f>
        <v>0</v>
      </c>
      <c r="AB8" s="667"/>
      <c r="AC8" s="667"/>
      <c r="AD8" s="236">
        <f t="shared" si="8"/>
        <v>0</v>
      </c>
      <c r="AE8" s="670"/>
      <c r="AF8" s="1222"/>
      <c r="AG8" s="1865"/>
      <c r="AH8" s="1857"/>
      <c r="AI8" s="199"/>
      <c r="AJ8" s="199">
        <f>VLOOKUP(C8,Manejos!$C$10:$M$101,11,FALSE)</f>
        <v>0</v>
      </c>
      <c r="AK8" s="998">
        <f t="shared" si="3"/>
        <v>0</v>
      </c>
      <c r="AL8"/>
      <c r="AM8"/>
    </row>
    <row r="9" spans="1:40" s="219" customFormat="1" ht="13.5" customHeight="1" x14ac:dyDescent="0.25">
      <c r="A9" s="534">
        <f t="shared" si="4"/>
        <v>1</v>
      </c>
      <c r="B9" s="1839"/>
      <c r="C9" s="230" t="str">
        <f t="shared" si="5"/>
        <v/>
      </c>
      <c r="D9" s="231" t="e">
        <f t="shared" si="0"/>
        <v>#VALUE!</v>
      </c>
      <c r="E9" s="658"/>
      <c r="F9" s="658"/>
      <c r="G9" s="659"/>
      <c r="H9" s="246">
        <f t="shared" si="6"/>
        <v>0</v>
      </c>
      <c r="I9" s="1215" t="str">
        <f>CONCATENATE("% ",$E$4,"/",$F$4," Sem :")</f>
        <v>% Mort/Sel Sem :</v>
      </c>
      <c r="J9" s="1216">
        <f>IF(Levante!$N$1&gt;0,SUM(E6:F12)/Levante!$N$1,0)</f>
        <v>0</v>
      </c>
      <c r="K9" s="1088"/>
      <c r="L9" s="663"/>
      <c r="M9" s="1086"/>
      <c r="N9" s="664"/>
      <c r="O9" s="665"/>
      <c r="P9" s="232">
        <f t="shared" si="1"/>
        <v>0</v>
      </c>
      <c r="Q9" s="665"/>
      <c r="R9" s="233">
        <f t="shared" si="7"/>
        <v>0</v>
      </c>
      <c r="S9" s="234">
        <f>IF(Levante!$N$1&gt;0,O9*$B$1/H9,0)</f>
        <v>0</v>
      </c>
      <c r="T9" s="237">
        <f>IF(SUM(H6:H9)&gt;0,SUM(U6:U9)/SUM(H6:H9),0)</f>
        <v>0</v>
      </c>
      <c r="U9" s="238">
        <f t="shared" si="2"/>
        <v>0</v>
      </c>
      <c r="V9" s="1212">
        <f>IF(Fnac="",0,IFERROR(LOOKUP(Linea,TL!$BY$5:$CJ$5,TL!BY9:CJ9),0))</f>
        <v>0</v>
      </c>
      <c r="W9" s="1885"/>
      <c r="X9" s="1887"/>
      <c r="Y9" s="995">
        <f>IFERROR(LOOKUP(B6,TL!$A$6:$A$23,GSh!$W$6:$W$23),0)</f>
        <v>0</v>
      </c>
      <c r="Z9" s="1778">
        <f>IF(AND(X9&gt;0,Y9&gt;0,W9&gt;0),(W9-(IF(W9&gt;Y9,Y9,IF(W9&lt;X9,X9,W9))))/(IF(W9&gt;Y9,Y9,IF(W9&lt;X9,X9,W9)))*100,0)</f>
        <v>0</v>
      </c>
      <c r="AA9" s="235">
        <f>IF($AB$3="NO",0,ROUNDDOWN(SUM($O$6:O9)/IF(Iniciar!$C$10="kilos",40,1),0)-SUM($AA$6:$AA8))</f>
        <v>0</v>
      </c>
      <c r="AB9" s="667"/>
      <c r="AC9" s="667"/>
      <c r="AD9" s="236">
        <f t="shared" si="8"/>
        <v>0</v>
      </c>
      <c r="AE9" s="670"/>
      <c r="AF9" s="1222"/>
      <c r="AG9" s="1865"/>
      <c r="AH9" s="1857"/>
      <c r="AI9" s="199"/>
      <c r="AJ9" s="199">
        <f>VLOOKUP(C9,Manejos!$C$10:$M$101,11,FALSE)</f>
        <v>0</v>
      </c>
      <c r="AK9" s="998">
        <f t="shared" si="3"/>
        <v>0</v>
      </c>
      <c r="AL9"/>
      <c r="AM9"/>
    </row>
    <row r="10" spans="1:40" s="219" customFormat="1" ht="13.5" customHeight="1" x14ac:dyDescent="0.3">
      <c r="A10" s="534">
        <f t="shared" si="4"/>
        <v>1</v>
      </c>
      <c r="B10" s="1839"/>
      <c r="C10" s="230" t="str">
        <f t="shared" si="5"/>
        <v/>
      </c>
      <c r="D10" s="231" t="e">
        <f t="shared" si="0"/>
        <v>#VALUE!</v>
      </c>
      <c r="E10" s="658"/>
      <c r="F10" s="658"/>
      <c r="G10" s="659"/>
      <c r="H10" s="246">
        <f t="shared" si="6"/>
        <v>0</v>
      </c>
      <c r="I10" s="1217" t="s">
        <v>176</v>
      </c>
      <c r="J10" s="1216">
        <f>J12</f>
        <v>5.0000000000000001E-3</v>
      </c>
      <c r="K10" s="1088"/>
      <c r="L10" s="663"/>
      <c r="M10" s="1086"/>
      <c r="N10" s="664"/>
      <c r="O10" s="665"/>
      <c r="P10" s="232">
        <f t="shared" si="1"/>
        <v>0</v>
      </c>
      <c r="Q10" s="665"/>
      <c r="R10" s="233">
        <f t="shared" si="7"/>
        <v>0</v>
      </c>
      <c r="S10" s="234">
        <f>IF(Levante!$N$1&gt;0,O10*$B$1/H10,0)</f>
        <v>0</v>
      </c>
      <c r="T10" s="237">
        <f>IF(SUM(H6:H10)&gt;0,SUM(U6:U10)/SUM(H6:H10),0)</f>
        <v>0</v>
      </c>
      <c r="U10" s="238">
        <f t="shared" si="2"/>
        <v>0</v>
      </c>
      <c r="V10" s="1212">
        <f>IF(Fnac="",0,IFERROR(LOOKUP(Linea,TL!$BY$5:$CJ$5,TL!BY10:CJ10),0))</f>
        <v>0</v>
      </c>
      <c r="W10" s="1793" t="s">
        <v>425</v>
      </c>
      <c r="X10" s="1794"/>
      <c r="Y10" s="1787">
        <f>SUM(K6:K12)</f>
        <v>0</v>
      </c>
      <c r="Z10" s="1788"/>
      <c r="AA10" s="235">
        <f>IF($AB$3="NO",0,ROUNDDOWN(SUM($O$6:O10)/IF(Iniciar!$C$10="kilos",40,1),0)-SUM($AA$6:$AA9))</f>
        <v>0</v>
      </c>
      <c r="AB10" s="667"/>
      <c r="AC10" s="667"/>
      <c r="AD10" s="236">
        <f t="shared" si="8"/>
        <v>0</v>
      </c>
      <c r="AE10" s="670"/>
      <c r="AF10" s="1222"/>
      <c r="AG10" s="1865"/>
      <c r="AH10" s="1857"/>
      <c r="AI10" s="199"/>
      <c r="AJ10" s="199">
        <f>VLOOKUP(C10,Manejos!$C$10:$M$101,11,FALSE)</f>
        <v>0</v>
      </c>
      <c r="AK10" s="998">
        <f t="shared" si="3"/>
        <v>0</v>
      </c>
      <c r="AL10"/>
      <c r="AM10"/>
    </row>
    <row r="11" spans="1:40" s="219" customFormat="1" ht="13.5" customHeight="1" x14ac:dyDescent="0.3">
      <c r="A11" s="534">
        <f t="shared" si="4"/>
        <v>1</v>
      </c>
      <c r="B11" s="1839"/>
      <c r="C11" s="230" t="str">
        <f t="shared" si="5"/>
        <v/>
      </c>
      <c r="D11" s="231" t="e">
        <f t="shared" si="0"/>
        <v>#VALUE!</v>
      </c>
      <c r="E11" s="658"/>
      <c r="F11" s="658"/>
      <c r="G11" s="659"/>
      <c r="H11" s="246">
        <f t="shared" si="6"/>
        <v>0</v>
      </c>
      <c r="I11" s="1217" t="str">
        <f>CONCATENATE("% ",$E$4,"/",$F$4," Acum :")</f>
        <v>% Mort/Sel Acum :</v>
      </c>
      <c r="J11" s="1216">
        <f>IF(Levante!$N$1&gt;0,SUM($E$6:F12)/Levante!$N$1,0)</f>
        <v>0</v>
      </c>
      <c r="K11" s="1088"/>
      <c r="L11" s="663"/>
      <c r="M11" s="1086"/>
      <c r="N11" s="664"/>
      <c r="O11" s="665"/>
      <c r="P11" s="232">
        <f t="shared" si="1"/>
        <v>0</v>
      </c>
      <c r="Q11" s="665"/>
      <c r="R11" s="233">
        <f t="shared" si="7"/>
        <v>0</v>
      </c>
      <c r="S11" s="234">
        <f>IF(Levante!$N$1&gt;0,O11*$B$1/H11,0)</f>
        <v>0</v>
      </c>
      <c r="T11" s="237">
        <f>IF(SUM(H6:H11)&gt;0,SUM(U6:U11)/SUM(H6:H11),0)</f>
        <v>0</v>
      </c>
      <c r="U11" s="238">
        <f t="shared" si="2"/>
        <v>0</v>
      </c>
      <c r="V11" s="1212">
        <f>IF(Fnac="",0,IFERROR(LOOKUP(Linea,TL!$BY$5:$CJ$5,TL!BY11:CJ11),0))</f>
        <v>0</v>
      </c>
      <c r="W11" s="1795" t="s">
        <v>420</v>
      </c>
      <c r="X11" s="1796"/>
      <c r="Y11" s="1789">
        <f>IFERROR(Y10/7*1000/H12,0)</f>
        <v>0</v>
      </c>
      <c r="Z11" s="1790"/>
      <c r="AA11" s="235">
        <f>IF($AB$3="NO",0,ROUNDDOWN(SUM($O$6:O11)/IF(Iniciar!$C$10="kilos",40,1),0)-SUM($AA$6:$AA10))</f>
        <v>0</v>
      </c>
      <c r="AB11" s="667"/>
      <c r="AC11" s="667"/>
      <c r="AD11" s="236">
        <f t="shared" si="8"/>
        <v>0</v>
      </c>
      <c r="AE11" s="670"/>
      <c r="AF11" s="1222"/>
      <c r="AG11" s="1865"/>
      <c r="AH11" s="1857"/>
      <c r="AI11" s="199"/>
      <c r="AJ11" s="199">
        <f>VLOOKUP(C11,Manejos!$C$10:$M$101,11,FALSE)</f>
        <v>0</v>
      </c>
      <c r="AK11" s="998">
        <f t="shared" si="3"/>
        <v>0</v>
      </c>
      <c r="AL11"/>
      <c r="AM11"/>
    </row>
    <row r="12" spans="1:40" s="219" customFormat="1" ht="13.5" customHeight="1" x14ac:dyDescent="0.3">
      <c r="A12" s="534">
        <f t="shared" si="4"/>
        <v>1</v>
      </c>
      <c r="B12" s="1839"/>
      <c r="C12" s="230" t="str">
        <f t="shared" si="5"/>
        <v/>
      </c>
      <c r="D12" s="231" t="e">
        <f t="shared" si="0"/>
        <v>#VALUE!</v>
      </c>
      <c r="E12" s="658"/>
      <c r="F12" s="658"/>
      <c r="G12" s="659"/>
      <c r="H12" s="246">
        <f t="shared" si="6"/>
        <v>0</v>
      </c>
      <c r="I12" s="1217" t="s">
        <v>177</v>
      </c>
      <c r="J12" s="1216">
        <f>$E$3*0.0025</f>
        <v>5.0000000000000001E-3</v>
      </c>
      <c r="K12" s="1088"/>
      <c r="L12" s="663"/>
      <c r="M12" s="1086"/>
      <c r="N12" s="664"/>
      <c r="O12" s="665"/>
      <c r="P12" s="232">
        <f t="shared" si="1"/>
        <v>0</v>
      </c>
      <c r="Q12" s="665"/>
      <c r="R12" s="233">
        <f t="shared" si="7"/>
        <v>0</v>
      </c>
      <c r="S12" s="234">
        <f>IF(Levante!$N$1&gt;0,O12/IF(SUM(O6:O11)=0,7,1)*$B$1/H12,0)</f>
        <v>0</v>
      </c>
      <c r="T12" s="237">
        <f>IF(SUM(H6:H12)&gt;0,SUM(U6:U12)/SUM(H6:H12),0)</f>
        <v>0</v>
      </c>
      <c r="U12" s="238">
        <f t="shared" si="2"/>
        <v>0</v>
      </c>
      <c r="V12" s="1212">
        <f>IF(Fnac="",0,IFERROR(LOOKUP(Linea,TL!$BY$5:$CJ$5,TL!BY12:CJ12),0))</f>
        <v>0</v>
      </c>
      <c r="W12" s="1866" t="s">
        <v>421</v>
      </c>
      <c r="X12" s="1867"/>
      <c r="Y12" s="1878">
        <f>IFERROR(Y11/X6,0)</f>
        <v>0</v>
      </c>
      <c r="Z12" s="1879"/>
      <c r="AA12" s="235">
        <f>IF($AB$3="NO",0,ROUNDDOWN(SUM($O$6:O12)/IF(Iniciar!$C$10="kilos",40,1),0)-SUM($AA$6:$AA11))</f>
        <v>0</v>
      </c>
      <c r="AB12" s="667"/>
      <c r="AC12" s="667"/>
      <c r="AD12" s="236">
        <f t="shared" si="8"/>
        <v>0</v>
      </c>
      <c r="AE12" s="670"/>
      <c r="AF12" s="1222"/>
      <c r="AG12" s="1865"/>
      <c r="AH12" s="1857"/>
      <c r="AI12" s="199">
        <f>IF(OR(J6&gt;0,X6&gt;0),B6,0)</f>
        <v>0</v>
      </c>
      <c r="AJ12" s="199">
        <f>VLOOKUP(C12,Manejos!$C$10:$M$101,11,FALSE)</f>
        <v>0</v>
      </c>
      <c r="AK12" s="998">
        <f t="shared" si="3"/>
        <v>0</v>
      </c>
      <c r="AL12"/>
      <c r="AM12"/>
    </row>
    <row r="13" spans="1:40" s="219" customFormat="1" ht="14.25" customHeight="1" x14ac:dyDescent="0.3">
      <c r="A13" s="534">
        <f>B13</f>
        <v>2</v>
      </c>
      <c r="B13" s="1838">
        <f>B6+1</f>
        <v>2</v>
      </c>
      <c r="C13" s="230" t="str">
        <f t="shared" si="5"/>
        <v/>
      </c>
      <c r="D13" s="231" t="e">
        <f t="shared" si="0"/>
        <v>#VALUE!</v>
      </c>
      <c r="E13" s="658"/>
      <c r="F13" s="658"/>
      <c r="G13" s="659"/>
      <c r="H13" s="246">
        <f t="shared" si="6"/>
        <v>0</v>
      </c>
      <c r="I13" s="1210" t="str">
        <f>$I$6</f>
        <v>T. Salidas Sem :</v>
      </c>
      <c r="J13" s="1211">
        <f>SUMIF(E13:G19,"&gt;0")</f>
        <v>0</v>
      </c>
      <c r="K13" s="1088"/>
      <c r="L13" s="663"/>
      <c r="M13" s="1086"/>
      <c r="N13" s="664"/>
      <c r="O13" s="665"/>
      <c r="P13" s="232">
        <f t="shared" si="1"/>
        <v>0</v>
      </c>
      <c r="Q13" s="665"/>
      <c r="R13" s="233">
        <f t="shared" si="7"/>
        <v>0</v>
      </c>
      <c r="S13" s="234">
        <f>IF(Levante!$N$1&gt;0,O13*$B$1/H13,0)</f>
        <v>0</v>
      </c>
      <c r="T13" s="238">
        <f>IF(SUM(H13:H13)&gt;0,SUM(U13:U13)/SUM(H13:H13),0)</f>
        <v>0</v>
      </c>
      <c r="U13" s="238">
        <f t="shared" si="2"/>
        <v>0</v>
      </c>
      <c r="V13" s="1212">
        <f>IF(Fnac="",0,IFERROR(LOOKUP(Linea,TL!$BY$5:$CJ$5,TL!BY13:CJ13),0))</f>
        <v>0</v>
      </c>
      <c r="W13" s="1779" t="str">
        <f>$W$6</f>
        <v xml:space="preserve">Gr. Ave Dia : </v>
      </c>
      <c r="X13" s="1781">
        <f>IF(AND(COUNT(O13:O18)&gt;0,O19&gt;0),T19,S19)</f>
        <v>0</v>
      </c>
      <c r="Y13" s="1219">
        <f>IFERROR(LOOKUP(B13,TL!$A$6:$A$23,GSh!$O$6:$O$23),0)</f>
        <v>0</v>
      </c>
      <c r="Z13" s="1783">
        <f>IF(AND(Y13&gt;0,Y14&gt;0,X13&gt;0),(X13-(IF(X13&gt;Y14,Y14,IF(X13&lt;Y13,Y13,X13))))/(IF(X13&gt;Y14,Y14,IF(X13&lt;Y13,Y13,X13)))*100,0)</f>
        <v>0</v>
      </c>
      <c r="AA13" s="235">
        <f>IF($AB$3="NO",0,ROUNDDOWN(SUM($O$6:O13)/IF(Iniciar!$C$10="kilos",40,1),0)-SUM($AA$6:$AA12))</f>
        <v>0</v>
      </c>
      <c r="AB13" s="667"/>
      <c r="AC13" s="667"/>
      <c r="AD13" s="236">
        <f t="shared" si="8"/>
        <v>0</v>
      </c>
      <c r="AE13" s="670"/>
      <c r="AF13" s="1222"/>
      <c r="AG13" s="1822"/>
      <c r="AH13" s="1821">
        <f>AH6+1</f>
        <v>2</v>
      </c>
      <c r="AI13" s="538">
        <f>SUMPRODUCT(O13:O19,M13:M19)</f>
        <v>0</v>
      </c>
      <c r="AJ13" s="199">
        <f>VLOOKUP(C13,Manejos!$C$10:$M$101,11,FALSE)</f>
        <v>0</v>
      </c>
      <c r="AK13" s="998">
        <f t="shared" si="3"/>
        <v>0</v>
      </c>
      <c r="AL13"/>
      <c r="AM13"/>
    </row>
    <row r="14" spans="1:40" s="219" customFormat="1" ht="13.5" customHeight="1" x14ac:dyDescent="0.3">
      <c r="A14" s="534">
        <f t="shared" si="4"/>
        <v>2</v>
      </c>
      <c r="B14" s="1839"/>
      <c r="C14" s="230" t="str">
        <f t="shared" si="5"/>
        <v/>
      </c>
      <c r="D14" s="231" t="e">
        <f t="shared" si="0"/>
        <v>#VALUE!</v>
      </c>
      <c r="E14" s="658"/>
      <c r="F14" s="658"/>
      <c r="G14" s="659"/>
      <c r="H14" s="246">
        <f t="shared" si="6"/>
        <v>0</v>
      </c>
      <c r="I14" s="1210" t="str">
        <f>$I$7</f>
        <v>T. Salidas Acm :</v>
      </c>
      <c r="J14" s="1211">
        <f>J7+J13</f>
        <v>0</v>
      </c>
      <c r="K14" s="1088"/>
      <c r="L14" s="663"/>
      <c r="M14" s="1086"/>
      <c r="N14" s="664"/>
      <c r="O14" s="665"/>
      <c r="P14" s="232">
        <f t="shared" si="1"/>
        <v>0</v>
      </c>
      <c r="Q14" s="665"/>
      <c r="R14" s="233">
        <f t="shared" si="7"/>
        <v>0</v>
      </c>
      <c r="S14" s="234">
        <f>IF(Levante!$N$1&gt;0,O14*$B$1/H14,0)</f>
        <v>0</v>
      </c>
      <c r="T14" s="238">
        <f>IF(SUM(H13:H14)&gt;0,SUM(U13:U14)/SUM(H13:H14),0)</f>
        <v>0</v>
      </c>
      <c r="U14" s="238">
        <f t="shared" si="2"/>
        <v>0</v>
      </c>
      <c r="V14" s="1212">
        <f>IF(Fnac="",0,IFERROR(LOOKUP(Linea,TL!$BY$5:$CJ$5,TL!BY14:CJ14),0))</f>
        <v>0</v>
      </c>
      <c r="W14" s="1780"/>
      <c r="X14" s="1782"/>
      <c r="Y14" s="997">
        <f>IFERROR(LOOKUP(B13,TL!$A$6:$A$23,GSh!$P$6:$P$23),0)</f>
        <v>0</v>
      </c>
      <c r="Z14" s="1784">
        <f>IF(AND(X14&gt;0,Y14&gt;0,W14&gt;0),(W14-(IF(W14&gt;Y14,Y14,IF(W14&lt;X14,X14,W14))))/(IF(W14&gt;Y14,Y14,IF(W14&lt;X14,X14,W14)))*100,0)</f>
        <v>0</v>
      </c>
      <c r="AA14" s="235">
        <f>IF($AB$3="NO",0,ROUNDDOWN(SUM($O$6:O14)/IF(Iniciar!$C$10="kilos",40,1),0)-SUM($AA$6:$AA13))</f>
        <v>0</v>
      </c>
      <c r="AB14" s="667"/>
      <c r="AC14" s="667"/>
      <c r="AD14" s="236">
        <f t="shared" si="8"/>
        <v>0</v>
      </c>
      <c r="AE14" s="670"/>
      <c r="AF14" s="1222"/>
      <c r="AG14" s="1822"/>
      <c r="AH14" s="1821"/>
      <c r="AI14" s="199"/>
      <c r="AJ14" s="199">
        <f>VLOOKUP(C14,Manejos!$C$10:$M$101,11,FALSE)</f>
        <v>0</v>
      </c>
      <c r="AK14" s="998">
        <f t="shared" si="3"/>
        <v>0</v>
      </c>
      <c r="AL14"/>
      <c r="AM14"/>
    </row>
    <row r="15" spans="1:40" s="219" customFormat="1" ht="13.5" customHeight="1" x14ac:dyDescent="0.25">
      <c r="A15" s="534">
        <f t="shared" si="4"/>
        <v>2</v>
      </c>
      <c r="B15" s="1839"/>
      <c r="C15" s="230" t="str">
        <f t="shared" si="5"/>
        <v/>
      </c>
      <c r="D15" s="231" t="e">
        <f t="shared" si="0"/>
        <v>#VALUE!</v>
      </c>
      <c r="E15" s="658"/>
      <c r="F15" s="658"/>
      <c r="G15" s="659"/>
      <c r="H15" s="246">
        <f t="shared" si="6"/>
        <v>0</v>
      </c>
      <c r="I15" s="1213" t="str">
        <f>$I$8</f>
        <v>Saldo Aves :</v>
      </c>
      <c r="J15" s="1214">
        <f>H19</f>
        <v>0</v>
      </c>
      <c r="K15" s="1088"/>
      <c r="L15" s="663"/>
      <c r="M15" s="1086"/>
      <c r="N15" s="664"/>
      <c r="O15" s="665"/>
      <c r="P15" s="232">
        <f t="shared" si="1"/>
        <v>0</v>
      </c>
      <c r="Q15" s="665"/>
      <c r="R15" s="233">
        <f t="shared" si="7"/>
        <v>0</v>
      </c>
      <c r="S15" s="234">
        <f>IF(Levante!$N$1&gt;0,O15*$B$1/H15,0)</f>
        <v>0</v>
      </c>
      <c r="T15" s="238">
        <f>IF(SUM(H13:H15)&gt;0,SUM(U13:U15)/SUM(H13:H15),0)</f>
        <v>0</v>
      </c>
      <c r="U15" s="238">
        <f t="shared" si="2"/>
        <v>0</v>
      </c>
      <c r="V15" s="1212">
        <f>IF(Fnac="",0,IFERROR(LOOKUP(Linea,TL!$BY$5:$CJ$5,TL!BY15:CJ15),0))</f>
        <v>0</v>
      </c>
      <c r="W15" s="1785" t="str">
        <f>$W$8</f>
        <v xml:space="preserve">Gr. Ave Acu : </v>
      </c>
      <c r="X15" s="1775">
        <f>X8+X13*7</f>
        <v>0</v>
      </c>
      <c r="Y15" s="992">
        <f>IFERROR(LOOKUP(B13,TL!$A$6:$A$23,GSh!$V$6:$V$23),0)</f>
        <v>0</v>
      </c>
      <c r="Z15" s="1777">
        <f>IF(AND(Y15&gt;0,Y16&gt;0,X15&gt;0),(X15-(IF(X15&gt;Y16,Y16,IF(X15&lt;Y15,Y15,X15))))/(IF(X15&gt;Y16,Y16,IF(X15&lt;Y15,Y15,X15)))*100,0)</f>
        <v>0</v>
      </c>
      <c r="AA15" s="235">
        <f>IF($AB$3="NO",0,ROUNDDOWN(SUM($O$6:O15)/IF(Iniciar!$C$10="kilos",40,1),0)-SUM($AA$6:$AA14))</f>
        <v>0</v>
      </c>
      <c r="AB15" s="667"/>
      <c r="AC15" s="667"/>
      <c r="AD15" s="236">
        <f t="shared" si="8"/>
        <v>0</v>
      </c>
      <c r="AE15" s="670"/>
      <c r="AF15" s="1222"/>
      <c r="AG15" s="1822"/>
      <c r="AH15" s="1821"/>
      <c r="AI15" s="199"/>
      <c r="AJ15" s="199">
        <f>VLOOKUP(C15,Manejos!$C$10:$M$101,11,FALSE)</f>
        <v>0</v>
      </c>
      <c r="AK15" s="998">
        <f t="shared" si="3"/>
        <v>0</v>
      </c>
      <c r="AL15"/>
      <c r="AM15"/>
    </row>
    <row r="16" spans="1:40" s="219" customFormat="1" ht="13.5" customHeight="1" x14ac:dyDescent="0.3">
      <c r="A16" s="534">
        <f t="shared" si="4"/>
        <v>2</v>
      </c>
      <c r="B16" s="1839"/>
      <c r="C16" s="230" t="str">
        <f t="shared" si="5"/>
        <v/>
      </c>
      <c r="D16" s="231" t="e">
        <f t="shared" si="0"/>
        <v>#VALUE!</v>
      </c>
      <c r="E16" s="658"/>
      <c r="F16" s="658"/>
      <c r="G16" s="659"/>
      <c r="H16" s="246">
        <f t="shared" si="6"/>
        <v>0</v>
      </c>
      <c r="I16" s="1217" t="str">
        <f>$I$9</f>
        <v>% Mort/Sel Sem :</v>
      </c>
      <c r="J16" s="1216">
        <f>IF(Levante!$N$1&gt;0,SUM(E13:F19)/Levante!$N$1,0)</f>
        <v>0</v>
      </c>
      <c r="K16" s="1088"/>
      <c r="L16" s="663"/>
      <c r="M16" s="1086"/>
      <c r="N16" s="664"/>
      <c r="O16" s="665"/>
      <c r="P16" s="232">
        <f t="shared" si="1"/>
        <v>0</v>
      </c>
      <c r="Q16" s="665"/>
      <c r="R16" s="233">
        <f t="shared" si="7"/>
        <v>0</v>
      </c>
      <c r="S16" s="234">
        <f>IF(Levante!$N$1&gt;0,O16*$B$1/H16,0)</f>
        <v>0</v>
      </c>
      <c r="T16" s="238">
        <f>IF(SUM(H13:H16)&gt;0,SUM(U13:U16)/SUM(H13:H16),0)</f>
        <v>0</v>
      </c>
      <c r="U16" s="238">
        <f t="shared" si="2"/>
        <v>0</v>
      </c>
      <c r="V16" s="1212">
        <f>IF(Fnac="",0,IFERROR(LOOKUP(Linea,TL!$BY$5:$CJ$5,TL!BY16:CJ16),0))</f>
        <v>0</v>
      </c>
      <c r="W16" s="1786"/>
      <c r="X16" s="1776"/>
      <c r="Y16" s="993">
        <f>IFERROR(LOOKUP(B13,TL!$A$6:$A$23,GSh!$W$6:$W$23),0)</f>
        <v>0</v>
      </c>
      <c r="Z16" s="1778">
        <f>IF(AND(X16&gt;0,Y16&gt;0,W16&gt;0),(W16-(IF(W16&gt;Y16,Y16,IF(W16&lt;X16,X16,W16))))/(IF(W16&gt;Y16,Y16,IF(W16&lt;X16,X16,W16)))*100,0)</f>
        <v>0</v>
      </c>
      <c r="AA16" s="235">
        <f>IF($AB$3="NO",0,ROUNDDOWN(SUM($O$6:O16)/IF(Iniciar!$C$10="kilos",40,1),0)-SUM($AA$6:$AA15))</f>
        <v>0</v>
      </c>
      <c r="AB16" s="667"/>
      <c r="AC16" s="667"/>
      <c r="AD16" s="236">
        <f t="shared" si="8"/>
        <v>0</v>
      </c>
      <c r="AE16" s="670"/>
      <c r="AF16" s="1222"/>
      <c r="AG16" s="1822"/>
      <c r="AH16" s="1821"/>
      <c r="AI16" s="199"/>
      <c r="AJ16" s="199">
        <f>VLOOKUP(C16,Manejos!$C$10:$M$101,11,FALSE)</f>
        <v>0</v>
      </c>
      <c r="AK16" s="998">
        <f t="shared" si="3"/>
        <v>0</v>
      </c>
      <c r="AL16"/>
      <c r="AM16"/>
    </row>
    <row r="17" spans="1:39" s="219" customFormat="1" ht="13.5" customHeight="1" x14ac:dyDescent="0.3">
      <c r="A17" s="534">
        <f t="shared" si="4"/>
        <v>2</v>
      </c>
      <c r="B17" s="1839"/>
      <c r="C17" s="230" t="str">
        <f t="shared" si="5"/>
        <v/>
      </c>
      <c r="D17" s="231" t="e">
        <f t="shared" si="0"/>
        <v>#VALUE!</v>
      </c>
      <c r="E17" s="658"/>
      <c r="F17" s="658"/>
      <c r="G17" s="659"/>
      <c r="H17" s="246">
        <f t="shared" si="6"/>
        <v>0</v>
      </c>
      <c r="I17" s="1217" t="str">
        <f>$I$10</f>
        <v>% Mort/Sel Sem Tab :</v>
      </c>
      <c r="J17" s="1216">
        <f>J19-J12</f>
        <v>3.0000000000000001E-3</v>
      </c>
      <c r="K17" s="1088"/>
      <c r="L17" s="663"/>
      <c r="M17" s="1086"/>
      <c r="N17" s="664"/>
      <c r="O17" s="665"/>
      <c r="P17" s="232">
        <f t="shared" si="1"/>
        <v>0</v>
      </c>
      <c r="Q17" s="665"/>
      <c r="R17" s="233">
        <f t="shared" si="7"/>
        <v>0</v>
      </c>
      <c r="S17" s="234">
        <f>IF(Levante!$N$1&gt;0,O17*$B$1/H17,0)</f>
        <v>0</v>
      </c>
      <c r="T17" s="238">
        <f>IF(SUM(H13:H17)&gt;0,SUM(U13:U17)/SUM(H13:H17),0)</f>
        <v>0</v>
      </c>
      <c r="U17" s="238">
        <f t="shared" si="2"/>
        <v>0</v>
      </c>
      <c r="V17" s="1212">
        <f>IF(Fnac="",0,IFERROR(LOOKUP(Linea,TL!$BY$5:$CJ$5,TL!BY17:CJ17),0))</f>
        <v>0</v>
      </c>
      <c r="W17" s="1793" t="str">
        <f>$W$10</f>
        <v xml:space="preserve">Total Litros Sem: </v>
      </c>
      <c r="X17" s="1794"/>
      <c r="Y17" s="1787">
        <f>SUM(K13:K19)</f>
        <v>0</v>
      </c>
      <c r="Z17" s="1788"/>
      <c r="AA17" s="235">
        <f>IF($AB$3="NO",0,ROUNDDOWN(SUM($O$6:O17)/IF(Iniciar!$C$10="kilos",40,1),0)-SUM($AA$6:$AA16))</f>
        <v>0</v>
      </c>
      <c r="AB17" s="667"/>
      <c r="AC17" s="667"/>
      <c r="AD17" s="236">
        <f t="shared" si="8"/>
        <v>0</v>
      </c>
      <c r="AE17" s="670"/>
      <c r="AF17" s="1222"/>
      <c r="AG17" s="1822"/>
      <c r="AH17" s="1821"/>
      <c r="AI17" s="199"/>
      <c r="AJ17" s="199">
        <f>VLOOKUP(C17,Manejos!$C$10:$M$101,11,FALSE)</f>
        <v>0</v>
      </c>
      <c r="AK17" s="998">
        <f t="shared" si="3"/>
        <v>0</v>
      </c>
      <c r="AL17"/>
      <c r="AM17"/>
    </row>
    <row r="18" spans="1:39" s="219" customFormat="1" ht="13.5" customHeight="1" x14ac:dyDescent="0.3">
      <c r="A18" s="534">
        <f t="shared" si="4"/>
        <v>2</v>
      </c>
      <c r="B18" s="1839"/>
      <c r="C18" s="230" t="str">
        <f t="shared" si="5"/>
        <v/>
      </c>
      <c r="D18" s="231" t="e">
        <f t="shared" si="0"/>
        <v>#VALUE!</v>
      </c>
      <c r="E18" s="658"/>
      <c r="F18" s="658"/>
      <c r="G18" s="659"/>
      <c r="H18" s="246">
        <f t="shared" si="6"/>
        <v>0</v>
      </c>
      <c r="I18" s="1217" t="str">
        <f>$I$11</f>
        <v>% Mort/Sel Acum :</v>
      </c>
      <c r="J18" s="1216">
        <f>IF(Levante!$N$1&gt;0,SUM($E$6:F19)/Levante!$N$1,0)</f>
        <v>0</v>
      </c>
      <c r="K18" s="1088"/>
      <c r="L18" s="663"/>
      <c r="M18" s="1086"/>
      <c r="N18" s="664"/>
      <c r="O18" s="665"/>
      <c r="P18" s="232">
        <f t="shared" si="1"/>
        <v>0</v>
      </c>
      <c r="Q18" s="665"/>
      <c r="R18" s="233">
        <f t="shared" si="7"/>
        <v>0</v>
      </c>
      <c r="S18" s="234">
        <f>IF(Levante!$N$1&gt;0,O18*$B$1/H18,0)</f>
        <v>0</v>
      </c>
      <c r="T18" s="238">
        <f>IF(SUM(H13:H18)&gt;0,SUM(U13:U18)/SUM(H13:H18),0)</f>
        <v>0</v>
      </c>
      <c r="U18" s="238">
        <f t="shared" si="2"/>
        <v>0</v>
      </c>
      <c r="V18" s="1212">
        <f>IF(Fnac="",0,IFERROR(LOOKUP(Linea,TL!$BY$5:$CJ$5,TL!BY18:CJ18),0))</f>
        <v>0</v>
      </c>
      <c r="W18" s="1795" t="str">
        <f>$W$11</f>
        <v xml:space="preserve">Cons ml /ave día: </v>
      </c>
      <c r="X18" s="1796"/>
      <c r="Y18" s="1789">
        <f>IFERROR(Y17/7*1000/H19,0)</f>
        <v>0</v>
      </c>
      <c r="Z18" s="1790"/>
      <c r="AA18" s="235">
        <f>IF($AB$3="NO",0,ROUNDDOWN(SUM($O$6:O18)/IF(Iniciar!$C$10="kilos",40,1),0)-SUM($AA$6:$AA17))</f>
        <v>0</v>
      </c>
      <c r="AB18" s="667"/>
      <c r="AC18" s="667"/>
      <c r="AD18" s="236">
        <f t="shared" si="8"/>
        <v>0</v>
      </c>
      <c r="AE18" s="670"/>
      <c r="AF18" s="1222"/>
      <c r="AG18" s="1822"/>
      <c r="AH18" s="1821"/>
      <c r="AI18" s="199"/>
      <c r="AJ18" s="199">
        <f>VLOOKUP(C18,Manejos!$C$10:$M$101,11,FALSE)</f>
        <v>0</v>
      </c>
      <c r="AK18" s="998">
        <f t="shared" si="3"/>
        <v>0</v>
      </c>
      <c r="AL18"/>
      <c r="AM18"/>
    </row>
    <row r="19" spans="1:39" s="219" customFormat="1" ht="13.5" customHeight="1" x14ac:dyDescent="0.3">
      <c r="A19" s="534">
        <f t="shared" si="4"/>
        <v>2</v>
      </c>
      <c r="B19" s="1840"/>
      <c r="C19" s="230" t="str">
        <f t="shared" si="5"/>
        <v/>
      </c>
      <c r="D19" s="231" t="e">
        <f t="shared" si="0"/>
        <v>#VALUE!</v>
      </c>
      <c r="E19" s="658"/>
      <c r="F19" s="658"/>
      <c r="G19" s="659"/>
      <c r="H19" s="246">
        <f t="shared" si="6"/>
        <v>0</v>
      </c>
      <c r="I19" s="1218" t="str">
        <f>$I$12</f>
        <v>% Mort/Sel Acm Tab :</v>
      </c>
      <c r="J19" s="1216">
        <f>$E$3*0.004</f>
        <v>8.0000000000000002E-3</v>
      </c>
      <c r="K19" s="1088"/>
      <c r="L19" s="663"/>
      <c r="M19" s="1086"/>
      <c r="N19" s="664"/>
      <c r="O19" s="665"/>
      <c r="P19" s="232">
        <f t="shared" si="1"/>
        <v>0</v>
      </c>
      <c r="Q19" s="665"/>
      <c r="R19" s="233">
        <f t="shared" si="7"/>
        <v>0</v>
      </c>
      <c r="S19" s="234">
        <f>IF(Levante!$N$1&gt;0,O19/IF(SUM(O13:O18)=0,7,1)*$B$1/H19,0)</f>
        <v>0</v>
      </c>
      <c r="T19" s="238">
        <f>IF(SUM(H13:H19)&gt;0,SUM(U13:U19)/SUM(H13:H19),0)</f>
        <v>0</v>
      </c>
      <c r="U19" s="238">
        <f t="shared" si="2"/>
        <v>0</v>
      </c>
      <c r="V19" s="1212">
        <f>IF(Fnac="",0,IFERROR(LOOKUP(Linea,TL!$BY$5:$CJ$5,TL!BY19:CJ19),0))</f>
        <v>0</v>
      </c>
      <c r="W19" s="1825" t="str">
        <f>$W$12</f>
        <v xml:space="preserve">Relación Agua /Alimto: </v>
      </c>
      <c r="X19" s="1826"/>
      <c r="Y19" s="1791">
        <f>IFERROR(Y18/X13,0)</f>
        <v>0</v>
      </c>
      <c r="Z19" s="1792"/>
      <c r="AA19" s="235">
        <f>IF($AB$3="NO",0,ROUNDDOWN(SUM($O$6:O19)/IF(Iniciar!$C$10="kilos",40,1),0)-SUM($AA$6:$AA18))</f>
        <v>0</v>
      </c>
      <c r="AB19" s="667"/>
      <c r="AC19" s="667"/>
      <c r="AD19" s="236">
        <f t="shared" si="8"/>
        <v>0</v>
      </c>
      <c r="AE19" s="670"/>
      <c r="AF19" s="1222"/>
      <c r="AG19" s="1822"/>
      <c r="AH19" s="1821"/>
      <c r="AI19" s="199">
        <f>IF(OR(J13&gt;0,X13&gt;0),B12,AI12)</f>
        <v>0</v>
      </c>
      <c r="AJ19" s="199">
        <f>VLOOKUP(C19,Manejos!$C$10:$M$101,11,FALSE)</f>
        <v>0</v>
      </c>
      <c r="AK19" s="998">
        <f t="shared" si="3"/>
        <v>0</v>
      </c>
      <c r="AL19"/>
      <c r="AM19"/>
    </row>
    <row r="20" spans="1:39" s="219" customFormat="1" ht="14.25" customHeight="1" x14ac:dyDescent="0.3">
      <c r="A20" s="534">
        <f>B20</f>
        <v>3</v>
      </c>
      <c r="B20" s="1838">
        <f>B13+1</f>
        <v>3</v>
      </c>
      <c r="C20" s="230" t="str">
        <f t="shared" si="5"/>
        <v/>
      </c>
      <c r="D20" s="231" t="e">
        <f t="shared" si="0"/>
        <v>#VALUE!</v>
      </c>
      <c r="E20" s="658"/>
      <c r="F20" s="658"/>
      <c r="G20" s="659"/>
      <c r="H20" s="246">
        <f t="shared" si="6"/>
        <v>0</v>
      </c>
      <c r="I20" s="1210" t="str">
        <f>$I$6</f>
        <v>T. Salidas Sem :</v>
      </c>
      <c r="J20" s="1211">
        <f>SUMIF(E20:G26,"&gt;0")</f>
        <v>0</v>
      </c>
      <c r="K20" s="1088"/>
      <c r="L20" s="663"/>
      <c r="M20" s="1086"/>
      <c r="N20" s="664"/>
      <c r="O20" s="665"/>
      <c r="P20" s="232">
        <f t="shared" si="1"/>
        <v>0</v>
      </c>
      <c r="Q20" s="665"/>
      <c r="R20" s="233">
        <f t="shared" si="7"/>
        <v>0</v>
      </c>
      <c r="S20" s="234">
        <f>IF(Levante!$N$1&gt;0,O20*$B$1/H20,0)</f>
        <v>0</v>
      </c>
      <c r="T20" s="238">
        <f>IF(SUM(H20:H20)&gt;0,SUM(U20:U20)/SUM(H20:H20),0)</f>
        <v>0</v>
      </c>
      <c r="U20" s="238">
        <f t="shared" si="2"/>
        <v>0</v>
      </c>
      <c r="V20" s="1212">
        <f>IF(Fnac="",0,IFERROR(LOOKUP(Linea,TL!$BY$5:$CJ$5,TL!BY20:CJ20),0))</f>
        <v>0</v>
      </c>
      <c r="W20" s="1779" t="str">
        <f>$W$6</f>
        <v xml:space="preserve">Gr. Ave Dia : </v>
      </c>
      <c r="X20" s="1781">
        <f>IF(AND(COUNT(O20:O25)&gt;0,O26&gt;0),T26,S26)</f>
        <v>0</v>
      </c>
      <c r="Y20" s="1219">
        <f>IFERROR(LOOKUP(B20,TL!$A$6:$A$23,GSh!$O$6:$O$23),0)</f>
        <v>0</v>
      </c>
      <c r="Z20" s="1783">
        <f>IF(AND(Y20&gt;0,Y21&gt;0,X20&gt;0),(X20-(IF(X20&gt;Y21,Y21,IF(X20&lt;Y20,Y20,X20))))/(IF(X20&gt;Y21,Y21,IF(X20&lt;Y20,Y20,X20)))*100,0)</f>
        <v>0</v>
      </c>
      <c r="AA20" s="235">
        <f>IF($AB$3="NO",0,ROUNDDOWN(SUM($O$6:O20)/IF(Iniciar!$C$10="kilos",40,1),0)-SUM($AA$6:$AA19))</f>
        <v>0</v>
      </c>
      <c r="AB20" s="667"/>
      <c r="AC20" s="667"/>
      <c r="AD20" s="236">
        <f t="shared" si="8"/>
        <v>0</v>
      </c>
      <c r="AE20" s="670"/>
      <c r="AF20" s="1222"/>
      <c r="AG20" s="1822"/>
      <c r="AH20" s="1821">
        <f>AH13+1</f>
        <v>3</v>
      </c>
      <c r="AI20" s="538">
        <f>SUMPRODUCT(O20:O26,M20:M26)</f>
        <v>0</v>
      </c>
      <c r="AJ20" s="199">
        <f>VLOOKUP(C20,Manejos!$C$10:$M$101,11,FALSE)</f>
        <v>0</v>
      </c>
      <c r="AK20" s="998">
        <f t="shared" si="3"/>
        <v>0</v>
      </c>
      <c r="AL20"/>
      <c r="AM20"/>
    </row>
    <row r="21" spans="1:39" s="219" customFormat="1" ht="13.5" customHeight="1" x14ac:dyDescent="0.3">
      <c r="A21" s="534">
        <f t="shared" si="4"/>
        <v>3</v>
      </c>
      <c r="B21" s="1839"/>
      <c r="C21" s="230" t="str">
        <f t="shared" si="5"/>
        <v/>
      </c>
      <c r="D21" s="231" t="e">
        <f t="shared" si="0"/>
        <v>#VALUE!</v>
      </c>
      <c r="E21" s="658"/>
      <c r="F21" s="658"/>
      <c r="G21" s="659"/>
      <c r="H21" s="246">
        <f t="shared" si="6"/>
        <v>0</v>
      </c>
      <c r="I21" s="1210" t="str">
        <f>$I$7</f>
        <v>T. Salidas Acm :</v>
      </c>
      <c r="J21" s="1211">
        <f>J14+J20</f>
        <v>0</v>
      </c>
      <c r="K21" s="1088"/>
      <c r="L21" s="663"/>
      <c r="M21" s="1086"/>
      <c r="N21" s="664"/>
      <c r="O21" s="665"/>
      <c r="P21" s="232">
        <f t="shared" si="1"/>
        <v>0</v>
      </c>
      <c r="Q21" s="665"/>
      <c r="R21" s="233">
        <f t="shared" si="7"/>
        <v>0</v>
      </c>
      <c r="S21" s="234">
        <f>IF(Levante!$N$1&gt;0,O21*$B$1/H21,0)</f>
        <v>0</v>
      </c>
      <c r="T21" s="238">
        <f>IF(SUM(H20:H21)&gt;0,SUM(U20:U21)/SUM(H20:H21),0)</f>
        <v>0</v>
      </c>
      <c r="U21" s="238">
        <f t="shared" si="2"/>
        <v>0</v>
      </c>
      <c r="V21" s="1212">
        <f>IF(Fnac="",0,IFERROR(LOOKUP(Linea,TL!$BY$5:$CJ$5,TL!BY21:CJ21),0))</f>
        <v>0</v>
      </c>
      <c r="W21" s="1780"/>
      <c r="X21" s="1782"/>
      <c r="Y21" s="997">
        <f>IFERROR(LOOKUP(B20,TL!$A$6:$A$23,GSh!$P$6:$P$23),0)</f>
        <v>0</v>
      </c>
      <c r="Z21" s="1784">
        <f>IF(AND(X21&gt;0,Y21&gt;0,W21&gt;0),(W21-(IF(W21&gt;Y21,Y21,IF(W21&lt;X21,X21,W21))))/(IF(W21&gt;Y21,Y21,IF(W21&lt;X21,X21,W21)))*100,0)</f>
        <v>0</v>
      </c>
      <c r="AA21" s="235">
        <f>IF($AB$3="NO",0,ROUNDDOWN(SUM($O$6:O21)/IF(Iniciar!$C$10="kilos",40,1),0)-SUM($AA$6:$AA20))</f>
        <v>0</v>
      </c>
      <c r="AB21" s="667"/>
      <c r="AC21" s="667"/>
      <c r="AD21" s="236">
        <f t="shared" si="8"/>
        <v>0</v>
      </c>
      <c r="AE21" s="670"/>
      <c r="AF21" s="1222"/>
      <c r="AG21" s="1822"/>
      <c r="AH21" s="1821"/>
      <c r="AI21" s="199"/>
      <c r="AJ21" s="199">
        <f>VLOOKUP(C21,Manejos!$C$10:$M$101,11,FALSE)</f>
        <v>0</v>
      </c>
      <c r="AK21" s="998">
        <f t="shared" si="3"/>
        <v>0</v>
      </c>
      <c r="AL21"/>
      <c r="AM21"/>
    </row>
    <row r="22" spans="1:39" s="219" customFormat="1" ht="13.5" customHeight="1" x14ac:dyDescent="0.25">
      <c r="A22" s="534">
        <f t="shared" si="4"/>
        <v>3</v>
      </c>
      <c r="B22" s="1839"/>
      <c r="C22" s="230" t="str">
        <f t="shared" si="5"/>
        <v/>
      </c>
      <c r="D22" s="231" t="e">
        <f t="shared" si="0"/>
        <v>#VALUE!</v>
      </c>
      <c r="E22" s="658"/>
      <c r="F22" s="658"/>
      <c r="G22" s="659"/>
      <c r="H22" s="246">
        <f t="shared" si="6"/>
        <v>0</v>
      </c>
      <c r="I22" s="1213" t="str">
        <f>$I$8</f>
        <v>Saldo Aves :</v>
      </c>
      <c r="J22" s="1214">
        <f>H26</f>
        <v>0</v>
      </c>
      <c r="K22" s="1088"/>
      <c r="L22" s="663"/>
      <c r="M22" s="1086"/>
      <c r="N22" s="664"/>
      <c r="O22" s="665"/>
      <c r="P22" s="232">
        <f t="shared" si="1"/>
        <v>0</v>
      </c>
      <c r="Q22" s="665"/>
      <c r="R22" s="233">
        <f t="shared" si="7"/>
        <v>0</v>
      </c>
      <c r="S22" s="234">
        <f>IF(Levante!$N$1&gt;0,O22*$B$1/H22,0)</f>
        <v>0</v>
      </c>
      <c r="T22" s="238">
        <f>IF(SUM(H20:H22)&gt;0,SUM(U20:U22)/SUM(H20:H22),0)</f>
        <v>0</v>
      </c>
      <c r="U22" s="238">
        <f t="shared" si="2"/>
        <v>0</v>
      </c>
      <c r="V22" s="1212">
        <f>IF(Fnac="",0,IFERROR(LOOKUP(Linea,TL!$BY$5:$CJ$5,TL!BY22:CJ22),0))</f>
        <v>0</v>
      </c>
      <c r="W22" s="1785" t="str">
        <f>$W$8</f>
        <v xml:space="preserve">Gr. Ave Acu : </v>
      </c>
      <c r="X22" s="1775">
        <f>X15+X20*7</f>
        <v>0</v>
      </c>
      <c r="Y22" s="992">
        <f>IFERROR(LOOKUP(B20,TL!$A$6:$A$23,GSh!$V$6:$V$23),0)</f>
        <v>0</v>
      </c>
      <c r="Z22" s="1777">
        <f>IF(AND(Y22&gt;0,Y23&gt;0,X22&gt;0),(X22-(IF(X22&gt;Y23,Y23,IF(X22&lt;Y22,Y22,X22))))/(IF(X22&gt;Y23,Y23,IF(X22&lt;Y22,Y22,X22)))*100,0)</f>
        <v>0</v>
      </c>
      <c r="AA22" s="235">
        <f>IF($AB$3="NO",0,ROUNDDOWN(SUM($O$6:O22)/IF(Iniciar!$C$10="kilos",40,1),0)-SUM($AA$6:$AA21))</f>
        <v>0</v>
      </c>
      <c r="AB22" s="667"/>
      <c r="AC22" s="667"/>
      <c r="AD22" s="236">
        <f t="shared" si="8"/>
        <v>0</v>
      </c>
      <c r="AE22" s="670"/>
      <c r="AF22" s="1222"/>
      <c r="AG22" s="1822"/>
      <c r="AH22" s="1821"/>
      <c r="AI22" s="199"/>
      <c r="AJ22" s="199">
        <f>VLOOKUP(C22,Manejos!$C$10:$M$101,11,FALSE)</f>
        <v>0</v>
      </c>
      <c r="AK22" s="998">
        <f t="shared" si="3"/>
        <v>0</v>
      </c>
      <c r="AL22"/>
      <c r="AM22"/>
    </row>
    <row r="23" spans="1:39" s="219" customFormat="1" ht="13.5" customHeight="1" x14ac:dyDescent="0.3">
      <c r="A23" s="534">
        <f t="shared" si="4"/>
        <v>3</v>
      </c>
      <c r="B23" s="1839"/>
      <c r="C23" s="230" t="str">
        <f t="shared" ref="C23:C76" si="9">IF(C22="","",C22+1)</f>
        <v/>
      </c>
      <c r="D23" s="231" t="e">
        <f t="shared" si="0"/>
        <v>#VALUE!</v>
      </c>
      <c r="E23" s="658"/>
      <c r="F23" s="658"/>
      <c r="G23" s="659"/>
      <c r="H23" s="246">
        <f t="shared" si="6"/>
        <v>0</v>
      </c>
      <c r="I23" s="1217" t="str">
        <f>$I$9</f>
        <v>% Mort/Sel Sem :</v>
      </c>
      <c r="J23" s="1216">
        <f>IF(Levante!$N$1&gt;0,SUM(E20:F26)/Levante!$N$1,0)</f>
        <v>0</v>
      </c>
      <c r="K23" s="1088"/>
      <c r="L23" s="663"/>
      <c r="M23" s="1086"/>
      <c r="N23" s="664"/>
      <c r="O23" s="665"/>
      <c r="P23" s="232">
        <f t="shared" si="1"/>
        <v>0</v>
      </c>
      <c r="Q23" s="665"/>
      <c r="R23" s="233">
        <f t="shared" si="7"/>
        <v>0</v>
      </c>
      <c r="S23" s="234">
        <f>IF(Levante!$N$1&gt;0,O23*$B$1/H23,0)</f>
        <v>0</v>
      </c>
      <c r="T23" s="238">
        <f>IF(SUM(H20:H23)&gt;0,SUM(U20:U23)/SUM(H20:H23),0)</f>
        <v>0</v>
      </c>
      <c r="U23" s="238">
        <f t="shared" si="2"/>
        <v>0</v>
      </c>
      <c r="V23" s="1212">
        <f>IF(Fnac="",0,IFERROR(LOOKUP(Linea,TL!$BY$5:$CJ$5,TL!BY23:CJ23),0))</f>
        <v>0</v>
      </c>
      <c r="W23" s="1786"/>
      <c r="X23" s="1776"/>
      <c r="Y23" s="993">
        <f>IFERROR(LOOKUP(B20,TL!$A$6:$A$23,GSh!$W$6:$W$23),0)</f>
        <v>0</v>
      </c>
      <c r="Z23" s="1778">
        <f>IF(AND(X23&gt;0,Y23&gt;0,W23&gt;0),(W23-(IF(W23&gt;Y23,Y23,IF(W23&lt;X23,X23,W23))))/(IF(W23&gt;Y23,Y23,IF(W23&lt;X23,X23,W23)))*100,0)</f>
        <v>0</v>
      </c>
      <c r="AA23" s="235">
        <f>IF($AB$3="NO",0,ROUNDDOWN(SUM($O$6:O23)/IF(Iniciar!$C$10="kilos",40,1),0)-SUM($AA$6:$AA22))</f>
        <v>0</v>
      </c>
      <c r="AB23" s="667"/>
      <c r="AC23" s="667"/>
      <c r="AD23" s="236">
        <f t="shared" si="8"/>
        <v>0</v>
      </c>
      <c r="AE23" s="670"/>
      <c r="AF23" s="1222"/>
      <c r="AG23" s="1822"/>
      <c r="AH23" s="1821"/>
      <c r="AI23" s="199"/>
      <c r="AJ23" s="199">
        <f>VLOOKUP(C23,Manejos!$C$10:$M$101,11,FALSE)</f>
        <v>0</v>
      </c>
      <c r="AK23" s="998">
        <f t="shared" si="3"/>
        <v>0</v>
      </c>
      <c r="AL23"/>
      <c r="AM23"/>
    </row>
    <row r="24" spans="1:39" s="219" customFormat="1" ht="13.5" customHeight="1" x14ac:dyDescent="0.3">
      <c r="A24" s="534">
        <f t="shared" si="4"/>
        <v>3</v>
      </c>
      <c r="B24" s="1839"/>
      <c r="C24" s="230" t="str">
        <f t="shared" si="9"/>
        <v/>
      </c>
      <c r="D24" s="231" t="e">
        <f t="shared" si="0"/>
        <v>#VALUE!</v>
      </c>
      <c r="E24" s="658"/>
      <c r="F24" s="658"/>
      <c r="G24" s="659"/>
      <c r="H24" s="246">
        <f t="shared" si="6"/>
        <v>0</v>
      </c>
      <c r="I24" s="1217" t="str">
        <f>$I$10</f>
        <v>% Mort/Sel Sem Tab :</v>
      </c>
      <c r="J24" s="1216">
        <f>J26-J19</f>
        <v>8.0000000000000036E-4</v>
      </c>
      <c r="K24" s="1088"/>
      <c r="L24" s="663"/>
      <c r="M24" s="1086"/>
      <c r="N24" s="664"/>
      <c r="O24" s="665"/>
      <c r="P24" s="232">
        <f t="shared" si="1"/>
        <v>0</v>
      </c>
      <c r="Q24" s="665"/>
      <c r="R24" s="233">
        <f t="shared" si="7"/>
        <v>0</v>
      </c>
      <c r="S24" s="234">
        <f>IF(Levante!$N$1&gt;0,O24*$B$1/H24,0)</f>
        <v>0</v>
      </c>
      <c r="T24" s="238">
        <f>IF(SUM(H20:H24)&gt;0,SUM(U20:U24)/SUM(H20:H24),0)</f>
        <v>0</v>
      </c>
      <c r="U24" s="238">
        <f t="shared" si="2"/>
        <v>0</v>
      </c>
      <c r="V24" s="1212">
        <f>IF(Fnac="",0,IFERROR(LOOKUP(Linea,TL!$BY$5:$CJ$5,TL!BY24:CJ24),0))</f>
        <v>0</v>
      </c>
      <c r="W24" s="1793" t="str">
        <f>$W$10</f>
        <v xml:space="preserve">Total Litros Sem: </v>
      </c>
      <c r="X24" s="1794"/>
      <c r="Y24" s="1787">
        <f>SUM(K20:K26)</f>
        <v>0</v>
      </c>
      <c r="Z24" s="1788"/>
      <c r="AA24" s="235">
        <f>IF($AB$3="NO",0,ROUNDDOWN(SUM($O$6:O24)/IF(Iniciar!$C$10="kilos",40,1),0)-SUM($AA$6:$AA23))</f>
        <v>0</v>
      </c>
      <c r="AB24" s="667"/>
      <c r="AC24" s="667"/>
      <c r="AD24" s="236">
        <f t="shared" si="8"/>
        <v>0</v>
      </c>
      <c r="AE24" s="670"/>
      <c r="AF24" s="1222"/>
      <c r="AG24" s="1822"/>
      <c r="AH24" s="1821"/>
      <c r="AI24" s="199"/>
      <c r="AJ24" s="199">
        <f>VLOOKUP(C24,Manejos!$C$10:$M$101,11,FALSE)</f>
        <v>0</v>
      </c>
      <c r="AK24" s="998">
        <f t="shared" si="3"/>
        <v>0</v>
      </c>
      <c r="AL24"/>
      <c r="AM24"/>
    </row>
    <row r="25" spans="1:39" s="219" customFormat="1" ht="13.5" customHeight="1" x14ac:dyDescent="0.3">
      <c r="A25" s="534">
        <f t="shared" si="4"/>
        <v>3</v>
      </c>
      <c r="B25" s="1839"/>
      <c r="C25" s="230" t="str">
        <f t="shared" si="9"/>
        <v/>
      </c>
      <c r="D25" s="231" t="e">
        <f t="shared" si="0"/>
        <v>#VALUE!</v>
      </c>
      <c r="E25" s="658"/>
      <c r="F25" s="658"/>
      <c r="G25" s="659"/>
      <c r="H25" s="246">
        <f t="shared" si="6"/>
        <v>0</v>
      </c>
      <c r="I25" s="1217" t="str">
        <f>$I$11</f>
        <v>% Mort/Sel Acum :</v>
      </c>
      <c r="J25" s="1216">
        <f>IF(Levante!$N$1&gt;0,SUM($E$6:F26)/Levante!$N$1,0)</f>
        <v>0</v>
      </c>
      <c r="K25" s="1088"/>
      <c r="L25" s="663"/>
      <c r="M25" s="1086"/>
      <c r="N25" s="664"/>
      <c r="O25" s="665"/>
      <c r="P25" s="232">
        <f t="shared" si="1"/>
        <v>0</v>
      </c>
      <c r="Q25" s="665"/>
      <c r="R25" s="233">
        <f t="shared" si="7"/>
        <v>0</v>
      </c>
      <c r="S25" s="234">
        <f>IF(Levante!$N$1&gt;0,O25*$B$1/H25,0)</f>
        <v>0</v>
      </c>
      <c r="T25" s="238">
        <f>IF(SUM(H20:H25)&gt;0,SUM(U20:U25)/SUM(H20:H25),0)</f>
        <v>0</v>
      </c>
      <c r="U25" s="238">
        <f t="shared" si="2"/>
        <v>0</v>
      </c>
      <c r="V25" s="1212">
        <f>IF(Fnac="",0,IFERROR(LOOKUP(Linea,TL!$BY$5:$CJ$5,TL!BY25:CJ25),0))</f>
        <v>0</v>
      </c>
      <c r="W25" s="1795" t="str">
        <f>$W$11</f>
        <v xml:space="preserve">Cons ml /ave día: </v>
      </c>
      <c r="X25" s="1796"/>
      <c r="Y25" s="1789">
        <f>IFERROR(Y24/7*1000/H26,0)</f>
        <v>0</v>
      </c>
      <c r="Z25" s="1790"/>
      <c r="AA25" s="235">
        <f>IF($AB$3="NO",0,ROUNDDOWN(SUM($O$6:O25)/IF(Iniciar!$C$10="kilos",40,1),0)-SUM($AA$6:$AA24))</f>
        <v>0</v>
      </c>
      <c r="AB25" s="667"/>
      <c r="AC25" s="667"/>
      <c r="AD25" s="236">
        <f t="shared" si="8"/>
        <v>0</v>
      </c>
      <c r="AE25" s="670"/>
      <c r="AF25" s="1222"/>
      <c r="AG25" s="1822"/>
      <c r="AH25" s="1821"/>
      <c r="AI25" s="199"/>
      <c r="AJ25" s="199">
        <f>VLOOKUP(C25,Manejos!$C$10:$M$101,11,FALSE)</f>
        <v>0</v>
      </c>
      <c r="AK25" s="998">
        <f t="shared" si="3"/>
        <v>0</v>
      </c>
      <c r="AL25"/>
      <c r="AM25"/>
    </row>
    <row r="26" spans="1:39" s="219" customFormat="1" ht="13.5" customHeight="1" x14ac:dyDescent="0.3">
      <c r="A26" s="534">
        <f t="shared" si="4"/>
        <v>3</v>
      </c>
      <c r="B26" s="1840"/>
      <c r="C26" s="230" t="str">
        <f t="shared" si="9"/>
        <v/>
      </c>
      <c r="D26" s="231" t="e">
        <f t="shared" si="0"/>
        <v>#VALUE!</v>
      </c>
      <c r="E26" s="658"/>
      <c r="F26" s="658"/>
      <c r="G26" s="659"/>
      <c r="H26" s="246">
        <f t="shared" si="6"/>
        <v>0</v>
      </c>
      <c r="I26" s="1217" t="str">
        <f>$I$12</f>
        <v>% Mort/Sel Acm Tab :</v>
      </c>
      <c r="J26" s="1216">
        <f>$E$3*0.0044</f>
        <v>8.8000000000000005E-3</v>
      </c>
      <c r="K26" s="1088"/>
      <c r="L26" s="663"/>
      <c r="M26" s="1086"/>
      <c r="N26" s="664"/>
      <c r="O26" s="665"/>
      <c r="P26" s="232">
        <f t="shared" si="1"/>
        <v>0</v>
      </c>
      <c r="Q26" s="665"/>
      <c r="R26" s="233">
        <f t="shared" si="7"/>
        <v>0</v>
      </c>
      <c r="S26" s="234">
        <f>IF(Levante!$N$1&gt;0,O26/IF(SUM(O20:O25)=0,7,1)*$B$1/H26,0)</f>
        <v>0</v>
      </c>
      <c r="T26" s="238">
        <f>IF(SUM(H20:H26)&gt;0,SUM(U20:U26)/SUM(H20:H26),0)</f>
        <v>0</v>
      </c>
      <c r="U26" s="238">
        <f t="shared" si="2"/>
        <v>0</v>
      </c>
      <c r="V26" s="1212">
        <f>IF(Fnac="",0,IFERROR(LOOKUP(Linea,TL!$BY$5:$CJ$5,TL!BY26:CJ26),0))</f>
        <v>0</v>
      </c>
      <c r="W26" s="1825" t="str">
        <f>$W$12</f>
        <v xml:space="preserve">Relación Agua /Alimto: </v>
      </c>
      <c r="X26" s="1826"/>
      <c r="Y26" s="1791">
        <f>IFERROR(Y25/X20,0)</f>
        <v>0</v>
      </c>
      <c r="Z26" s="1792"/>
      <c r="AA26" s="235">
        <f>IF($AB$3="NO",0,ROUNDDOWN(SUM($O$6:O26)/IF(Iniciar!$C$10="kilos",40,1),0)-SUM($AA$6:$AA25))</f>
        <v>0</v>
      </c>
      <c r="AB26" s="667"/>
      <c r="AC26" s="667"/>
      <c r="AD26" s="236">
        <f t="shared" si="8"/>
        <v>0</v>
      </c>
      <c r="AE26" s="670"/>
      <c r="AF26" s="1222"/>
      <c r="AG26" s="1822"/>
      <c r="AH26" s="1821"/>
      <c r="AI26" s="199">
        <f>IF(OR(J20&gt;0,X20&gt;0),B19,AI19)</f>
        <v>0</v>
      </c>
      <c r="AJ26" s="199">
        <f>VLOOKUP(C26,Manejos!$C$10:$M$101,11,FALSE)</f>
        <v>0</v>
      </c>
      <c r="AK26" s="998">
        <f t="shared" si="3"/>
        <v>0</v>
      </c>
      <c r="AL26"/>
      <c r="AM26"/>
    </row>
    <row r="27" spans="1:39" s="219" customFormat="1" ht="14.25" customHeight="1" x14ac:dyDescent="0.3">
      <c r="A27" s="534">
        <f>B27</f>
        <v>4</v>
      </c>
      <c r="B27" s="1838">
        <f>B20+1</f>
        <v>4</v>
      </c>
      <c r="C27" s="230" t="str">
        <f t="shared" si="9"/>
        <v/>
      </c>
      <c r="D27" s="231" t="e">
        <f t="shared" si="0"/>
        <v>#VALUE!</v>
      </c>
      <c r="E27" s="658"/>
      <c r="F27" s="658"/>
      <c r="G27" s="659"/>
      <c r="H27" s="246">
        <f t="shared" si="6"/>
        <v>0</v>
      </c>
      <c r="I27" s="1210" t="str">
        <f>$I$6</f>
        <v>T. Salidas Sem :</v>
      </c>
      <c r="J27" s="1211">
        <f>SUMIF(E27:G33,"&gt;0")</f>
        <v>0</v>
      </c>
      <c r="K27" s="1088"/>
      <c r="L27" s="663"/>
      <c r="M27" s="1086"/>
      <c r="N27" s="664"/>
      <c r="O27" s="665"/>
      <c r="P27" s="232">
        <f t="shared" si="1"/>
        <v>0</v>
      </c>
      <c r="Q27" s="665"/>
      <c r="R27" s="233">
        <f t="shared" si="7"/>
        <v>0</v>
      </c>
      <c r="S27" s="234">
        <f>IF(Levante!$N$1&gt;0,O27*$B$1/H27,0)</f>
        <v>0</v>
      </c>
      <c r="T27" s="238">
        <f>IF(SUM(H27:H27)&gt;0,SUM(U27:U27)/SUM(H27:H27),0)</f>
        <v>0</v>
      </c>
      <c r="U27" s="238">
        <f t="shared" si="2"/>
        <v>0</v>
      </c>
      <c r="V27" s="1212">
        <f>IF(Fnac="",0,IFERROR(LOOKUP(Linea,TL!$BY$5:$CJ$5,TL!BY27:CJ27),0))</f>
        <v>0</v>
      </c>
      <c r="W27" s="1779" t="str">
        <f>$W$6</f>
        <v xml:space="preserve">Gr. Ave Dia : </v>
      </c>
      <c r="X27" s="1781">
        <f>IF(AND(COUNT(O27:O32)&gt;0,O33&gt;0),T33,S33)</f>
        <v>0</v>
      </c>
      <c r="Y27" s="1219">
        <f>IFERROR(LOOKUP(B27,TL!$A$6:$A$23,GSh!$O$6:$O$23),0)</f>
        <v>0</v>
      </c>
      <c r="Z27" s="1783">
        <f>IF(AND(Y27&gt;0,Y28&gt;0,X27&gt;0),(X27-(IF(X27&gt;Y28,Y28,IF(X27&lt;Y27,Y27,X27))))/(IF(X27&gt;Y28,Y28,IF(X27&lt;Y27,Y27,X27)))*100,0)</f>
        <v>0</v>
      </c>
      <c r="AA27" s="235">
        <f>IF($AB$3="NO",0,ROUNDDOWN(SUM($O$6:O27)/IF(Iniciar!$C$10="kilos",40,1),0)-SUM($AA$6:$AA26))</f>
        <v>0</v>
      </c>
      <c r="AB27" s="667"/>
      <c r="AC27" s="667"/>
      <c r="AD27" s="236">
        <f t="shared" si="8"/>
        <v>0</v>
      </c>
      <c r="AE27" s="670"/>
      <c r="AF27" s="1222"/>
      <c r="AG27" s="1822"/>
      <c r="AH27" s="1821">
        <f>AH20+1</f>
        <v>4</v>
      </c>
      <c r="AI27" s="538">
        <f>SUMPRODUCT(O27:O33,M27:M33)</f>
        <v>0</v>
      </c>
      <c r="AJ27" s="199">
        <f>VLOOKUP(C27,Manejos!$C$10:$M$101,11,FALSE)</f>
        <v>0</v>
      </c>
      <c r="AK27" s="998">
        <f t="shared" si="3"/>
        <v>0</v>
      </c>
      <c r="AL27"/>
      <c r="AM27"/>
    </row>
    <row r="28" spans="1:39" s="219" customFormat="1" ht="13.5" customHeight="1" x14ac:dyDescent="0.3">
      <c r="A28" s="534">
        <f t="shared" si="4"/>
        <v>4</v>
      </c>
      <c r="B28" s="1839"/>
      <c r="C28" s="230" t="str">
        <f t="shared" si="9"/>
        <v/>
      </c>
      <c r="D28" s="231" t="e">
        <f t="shared" si="0"/>
        <v>#VALUE!</v>
      </c>
      <c r="E28" s="658"/>
      <c r="F28" s="658"/>
      <c r="G28" s="659"/>
      <c r="H28" s="246">
        <f t="shared" si="6"/>
        <v>0</v>
      </c>
      <c r="I28" s="1210" t="str">
        <f>$I$7</f>
        <v>T. Salidas Acm :</v>
      </c>
      <c r="J28" s="1211">
        <f>J21+J27</f>
        <v>0</v>
      </c>
      <c r="K28" s="1088"/>
      <c r="L28" s="663"/>
      <c r="M28" s="1086"/>
      <c r="N28" s="664"/>
      <c r="O28" s="665"/>
      <c r="P28" s="232">
        <f t="shared" si="1"/>
        <v>0</v>
      </c>
      <c r="Q28" s="665"/>
      <c r="R28" s="233">
        <f t="shared" si="7"/>
        <v>0</v>
      </c>
      <c r="S28" s="234">
        <f>IF(Levante!$N$1&gt;0,O28*$B$1/H28,0)</f>
        <v>0</v>
      </c>
      <c r="T28" s="238">
        <f>IF(SUM(H27:H28)&gt;0,SUM(U27:U28)/SUM(H27:H28),0)</f>
        <v>0</v>
      </c>
      <c r="U28" s="238">
        <f t="shared" si="2"/>
        <v>0</v>
      </c>
      <c r="V28" s="1212">
        <f>IF(Fnac="",0,IFERROR(LOOKUP(Linea,TL!$BY$5:$CJ$5,TL!BY28:CJ28),0))</f>
        <v>0</v>
      </c>
      <c r="W28" s="1780"/>
      <c r="X28" s="1782"/>
      <c r="Y28" s="997">
        <f>IFERROR(LOOKUP(B27,TL!$A$6:$A$23,GSh!$P$6:$P$23),0)</f>
        <v>0</v>
      </c>
      <c r="Z28" s="1784">
        <f>IF(AND(X28&gt;0,Y28&gt;0,W28&gt;0),(W28-(IF(W28&gt;Y28,Y28,IF(W28&lt;X28,X28,W28))))/(IF(W28&gt;Y28,Y28,IF(W28&lt;X28,X28,W28)))*100,0)</f>
        <v>0</v>
      </c>
      <c r="AA28" s="235">
        <f>IF($AB$3="NO",0,ROUNDDOWN(SUM($O$6:O28)/IF(Iniciar!$C$10="kilos",40,1),0)-SUM($AA$6:$AA27))</f>
        <v>0</v>
      </c>
      <c r="AB28" s="667"/>
      <c r="AC28" s="667"/>
      <c r="AD28" s="236">
        <f t="shared" si="8"/>
        <v>0</v>
      </c>
      <c r="AE28" s="670"/>
      <c r="AF28" s="1222"/>
      <c r="AG28" s="1822"/>
      <c r="AH28" s="1821"/>
      <c r="AI28" s="199"/>
      <c r="AJ28" s="199">
        <f>VLOOKUP(C28,Manejos!$C$10:$M$101,11,FALSE)</f>
        <v>0</v>
      </c>
      <c r="AK28" s="998">
        <f t="shared" si="3"/>
        <v>0</v>
      </c>
      <c r="AL28"/>
      <c r="AM28"/>
    </row>
    <row r="29" spans="1:39" s="219" customFormat="1" ht="13.5" customHeight="1" x14ac:dyDescent="0.25">
      <c r="A29" s="534">
        <f t="shared" si="4"/>
        <v>4</v>
      </c>
      <c r="B29" s="1839"/>
      <c r="C29" s="230" t="str">
        <f t="shared" si="9"/>
        <v/>
      </c>
      <c r="D29" s="231" t="e">
        <f t="shared" si="0"/>
        <v>#VALUE!</v>
      </c>
      <c r="E29" s="658"/>
      <c r="F29" s="658"/>
      <c r="G29" s="659"/>
      <c r="H29" s="246">
        <f t="shared" si="6"/>
        <v>0</v>
      </c>
      <c r="I29" s="1213" t="str">
        <f>$I$8</f>
        <v>Saldo Aves :</v>
      </c>
      <c r="J29" s="1214">
        <f>H33</f>
        <v>0</v>
      </c>
      <c r="K29" s="1088"/>
      <c r="L29" s="663"/>
      <c r="M29" s="1086"/>
      <c r="N29" s="664"/>
      <c r="O29" s="665"/>
      <c r="P29" s="232">
        <f t="shared" si="1"/>
        <v>0</v>
      </c>
      <c r="Q29" s="665"/>
      <c r="R29" s="233">
        <f t="shared" si="7"/>
        <v>0</v>
      </c>
      <c r="S29" s="234">
        <f>IF(Levante!$N$1&gt;0,O29*$B$1/H29,0)</f>
        <v>0</v>
      </c>
      <c r="T29" s="238">
        <f>IF(SUM(H27:H29)&gt;0,SUM(U27:U29)/SUM(H27:H29),0)</f>
        <v>0</v>
      </c>
      <c r="U29" s="238">
        <f t="shared" si="2"/>
        <v>0</v>
      </c>
      <c r="V29" s="1212">
        <f>IF(Fnac="",0,IFERROR(LOOKUP(Linea,TL!$BY$5:$CJ$5,TL!BY29:CJ29),0))</f>
        <v>0</v>
      </c>
      <c r="W29" s="1785" t="str">
        <f>$W$8</f>
        <v xml:space="preserve">Gr. Ave Acu : </v>
      </c>
      <c r="X29" s="1775">
        <f>X22+X27*7</f>
        <v>0</v>
      </c>
      <c r="Y29" s="992">
        <f>IFERROR(LOOKUP(B27,TL!$A$6:$A$23,GSh!$V$6:$V$23),0)</f>
        <v>0</v>
      </c>
      <c r="Z29" s="1777">
        <f>IF(AND(Y29&gt;0,Y30&gt;0,X29&gt;0),(X29-(IF(X29&gt;Y30,Y30,IF(X29&lt;Y29,Y29,X29))))/(IF(X29&gt;Y30,Y30,IF(X29&lt;Y29,Y29,X29)))*100,0)</f>
        <v>0</v>
      </c>
      <c r="AA29" s="235">
        <f>IF($AB$3="NO",0,ROUNDDOWN(SUM($O$6:O29)/IF(Iniciar!$C$10="kilos",40,1),0)-SUM($AA$6:$AA28))</f>
        <v>0</v>
      </c>
      <c r="AB29" s="667"/>
      <c r="AC29" s="667"/>
      <c r="AD29" s="236">
        <f t="shared" si="8"/>
        <v>0</v>
      </c>
      <c r="AE29" s="670"/>
      <c r="AF29" s="1222"/>
      <c r="AG29" s="1822"/>
      <c r="AH29" s="1821"/>
      <c r="AI29" s="199"/>
      <c r="AJ29" s="199">
        <f>VLOOKUP(C29,Manejos!$C$10:$M$101,11,FALSE)</f>
        <v>0</v>
      </c>
      <c r="AK29" s="998">
        <f t="shared" si="3"/>
        <v>0</v>
      </c>
      <c r="AL29"/>
      <c r="AM29"/>
    </row>
    <row r="30" spans="1:39" s="219" customFormat="1" ht="13.5" customHeight="1" x14ac:dyDescent="0.3">
      <c r="A30" s="534">
        <f t="shared" si="4"/>
        <v>4</v>
      </c>
      <c r="B30" s="1839"/>
      <c r="C30" s="230" t="str">
        <f t="shared" si="9"/>
        <v/>
      </c>
      <c r="D30" s="231" t="e">
        <f t="shared" si="0"/>
        <v>#VALUE!</v>
      </c>
      <c r="E30" s="658"/>
      <c r="F30" s="658"/>
      <c r="G30" s="659"/>
      <c r="H30" s="246">
        <f t="shared" si="6"/>
        <v>0</v>
      </c>
      <c r="I30" s="1217" t="str">
        <f>$I$9</f>
        <v>% Mort/Sel Sem :</v>
      </c>
      <c r="J30" s="1216">
        <f>IF(Levante!$N$1&gt;0,SUM(E27:F33)/Levante!$N$1,0)</f>
        <v>0</v>
      </c>
      <c r="K30" s="1088"/>
      <c r="L30" s="663"/>
      <c r="M30" s="1086"/>
      <c r="N30" s="664"/>
      <c r="O30" s="665"/>
      <c r="P30" s="232">
        <f t="shared" si="1"/>
        <v>0</v>
      </c>
      <c r="Q30" s="665"/>
      <c r="R30" s="233">
        <f t="shared" si="7"/>
        <v>0</v>
      </c>
      <c r="S30" s="234">
        <f>IF(Levante!$N$1&gt;0,O30*$B$1/H30,0)</f>
        <v>0</v>
      </c>
      <c r="T30" s="238">
        <f>IF(SUM(H27:H30)&gt;0,SUM(U27:U30)/SUM(H27:H30),0)</f>
        <v>0</v>
      </c>
      <c r="U30" s="238">
        <f t="shared" si="2"/>
        <v>0</v>
      </c>
      <c r="V30" s="1212">
        <f>IF(Fnac="",0,IFERROR(LOOKUP(Linea,TL!$BY$5:$CJ$5,TL!BY30:CJ30),0))</f>
        <v>0</v>
      </c>
      <c r="W30" s="1786"/>
      <c r="X30" s="1776"/>
      <c r="Y30" s="993">
        <f>IFERROR(LOOKUP(B27,TL!$A$6:$A$23,GSh!$W$6:$W$23),0)</f>
        <v>0</v>
      </c>
      <c r="Z30" s="1778">
        <f>IF(AND(X30&gt;0,Y30&gt;0,W30&gt;0),(W30-(IF(W30&gt;Y30,Y30,IF(W30&lt;X30,X30,W30))))/(IF(W30&gt;Y30,Y30,IF(W30&lt;X30,X30,W30)))*100,0)</f>
        <v>0</v>
      </c>
      <c r="AA30" s="235">
        <f>IF($AB$3="NO",0,ROUNDDOWN(SUM($O$6:O30)/IF(Iniciar!$C$10="kilos",40,1),0)-SUM($AA$6:$AA29))</f>
        <v>0</v>
      </c>
      <c r="AB30" s="667"/>
      <c r="AC30" s="667"/>
      <c r="AD30" s="236">
        <f t="shared" si="8"/>
        <v>0</v>
      </c>
      <c r="AE30" s="670"/>
      <c r="AF30" s="1222"/>
      <c r="AG30" s="1822"/>
      <c r="AH30" s="1821"/>
      <c r="AI30" s="199"/>
      <c r="AJ30" s="199">
        <f>VLOOKUP(C30,Manejos!$C$10:$M$101,11,FALSE)</f>
        <v>0</v>
      </c>
      <c r="AK30" s="998">
        <f t="shared" si="3"/>
        <v>0</v>
      </c>
      <c r="AL30"/>
      <c r="AM30"/>
    </row>
    <row r="31" spans="1:39" s="219" customFormat="1" ht="13.5" customHeight="1" x14ac:dyDescent="0.3">
      <c r="A31" s="534">
        <f t="shared" si="4"/>
        <v>4</v>
      </c>
      <c r="B31" s="1839"/>
      <c r="C31" s="230" t="str">
        <f t="shared" si="9"/>
        <v/>
      </c>
      <c r="D31" s="231" t="e">
        <f t="shared" si="0"/>
        <v>#VALUE!</v>
      </c>
      <c r="E31" s="658"/>
      <c r="F31" s="658"/>
      <c r="G31" s="659"/>
      <c r="H31" s="246">
        <f t="shared" si="6"/>
        <v>0</v>
      </c>
      <c r="I31" s="1217" t="str">
        <f>$I$10</f>
        <v>% Mort/Sel Sem Tab :</v>
      </c>
      <c r="J31" s="1216">
        <f>J33-J26</f>
        <v>7.9999999999999863E-4</v>
      </c>
      <c r="K31" s="1088"/>
      <c r="L31" s="663"/>
      <c r="M31" s="1086"/>
      <c r="N31" s="664"/>
      <c r="O31" s="665"/>
      <c r="P31" s="232">
        <f t="shared" si="1"/>
        <v>0</v>
      </c>
      <c r="Q31" s="665"/>
      <c r="R31" s="233">
        <f t="shared" si="7"/>
        <v>0</v>
      </c>
      <c r="S31" s="234">
        <f>IF(Levante!$N$1&gt;0,O31*$B$1/H31,0)</f>
        <v>0</v>
      </c>
      <c r="T31" s="238">
        <f>IF(SUM(H27:H31)&gt;0,SUM(U27:U31)/SUM(H27:H31),0)</f>
        <v>0</v>
      </c>
      <c r="U31" s="238">
        <f t="shared" si="2"/>
        <v>0</v>
      </c>
      <c r="V31" s="1212">
        <f>IF(Fnac="",0,IFERROR(LOOKUP(Linea,TL!$BY$5:$CJ$5,TL!BY31:CJ31),0))</f>
        <v>0</v>
      </c>
      <c r="W31" s="1793" t="str">
        <f>$W$10</f>
        <v xml:space="preserve">Total Litros Sem: </v>
      </c>
      <c r="X31" s="1794"/>
      <c r="Y31" s="1787">
        <f>SUM(K27:K33)</f>
        <v>0</v>
      </c>
      <c r="Z31" s="1788"/>
      <c r="AA31" s="235">
        <f>IF($AB$3="NO",0,ROUNDDOWN(SUM($O$6:O31)/IF(Iniciar!$C$10="kilos",40,1),0)-SUM($AA$6:$AA30))</f>
        <v>0</v>
      </c>
      <c r="AB31" s="667"/>
      <c r="AC31" s="667"/>
      <c r="AD31" s="236">
        <f t="shared" si="8"/>
        <v>0</v>
      </c>
      <c r="AE31" s="670"/>
      <c r="AF31" s="1222"/>
      <c r="AG31" s="1822"/>
      <c r="AH31" s="1821"/>
      <c r="AI31" s="199"/>
      <c r="AJ31" s="199">
        <f>VLOOKUP(C31,Manejos!$C$10:$M$101,11,FALSE)</f>
        <v>0</v>
      </c>
      <c r="AK31" s="998">
        <f t="shared" si="3"/>
        <v>0</v>
      </c>
      <c r="AL31"/>
      <c r="AM31"/>
    </row>
    <row r="32" spans="1:39" s="219" customFormat="1" ht="13.5" customHeight="1" x14ac:dyDescent="0.3">
      <c r="A32" s="534">
        <f t="shared" si="4"/>
        <v>4</v>
      </c>
      <c r="B32" s="1839"/>
      <c r="C32" s="230" t="str">
        <f t="shared" si="9"/>
        <v/>
      </c>
      <c r="D32" s="231" t="e">
        <f t="shared" si="0"/>
        <v>#VALUE!</v>
      </c>
      <c r="E32" s="658"/>
      <c r="F32" s="658"/>
      <c r="G32" s="659"/>
      <c r="H32" s="246">
        <f t="shared" si="6"/>
        <v>0</v>
      </c>
      <c r="I32" s="1217" t="str">
        <f>$I$11</f>
        <v>% Mort/Sel Acum :</v>
      </c>
      <c r="J32" s="1216">
        <f>IF(Levante!$N$1&gt;0,SUM($E$6:F33)/Levante!$N$1,0)</f>
        <v>0</v>
      </c>
      <c r="K32" s="1088"/>
      <c r="L32" s="663"/>
      <c r="M32" s="1086"/>
      <c r="N32" s="664"/>
      <c r="O32" s="665"/>
      <c r="P32" s="232">
        <f t="shared" si="1"/>
        <v>0</v>
      </c>
      <c r="Q32" s="665"/>
      <c r="R32" s="233">
        <f t="shared" si="7"/>
        <v>0</v>
      </c>
      <c r="S32" s="234">
        <f>IF(Levante!$N$1&gt;0,O32*$B$1/H32,0)</f>
        <v>0</v>
      </c>
      <c r="T32" s="238">
        <f>IF(SUM(H27:H32)&gt;0,SUM(U27:U32)/SUM(H27:H32),0)</f>
        <v>0</v>
      </c>
      <c r="U32" s="238">
        <f t="shared" si="2"/>
        <v>0</v>
      </c>
      <c r="V32" s="1212">
        <f>IF(Fnac="",0,IFERROR(LOOKUP(Linea,TL!$BY$5:$CJ$5,TL!BY32:CJ32),0))</f>
        <v>0</v>
      </c>
      <c r="W32" s="1795" t="str">
        <f>$W$11</f>
        <v xml:space="preserve">Cons ml /ave día: </v>
      </c>
      <c r="X32" s="1796"/>
      <c r="Y32" s="1789">
        <f>IFERROR(Y31/7*1000/H33,0)</f>
        <v>0</v>
      </c>
      <c r="Z32" s="1790"/>
      <c r="AA32" s="235">
        <f>IF($AB$3="NO",0,ROUNDDOWN(SUM($O$6:O32)/IF(Iniciar!$C$10="kilos",40,1),0)-SUM($AA$6:$AA31))</f>
        <v>0</v>
      </c>
      <c r="AB32" s="667"/>
      <c r="AC32" s="667"/>
      <c r="AD32" s="236">
        <f t="shared" si="8"/>
        <v>0</v>
      </c>
      <c r="AE32" s="670"/>
      <c r="AF32" s="1222"/>
      <c r="AG32" s="1822"/>
      <c r="AH32" s="1821"/>
      <c r="AI32" s="199"/>
      <c r="AJ32" s="199">
        <f>VLOOKUP(C32,Manejos!$C$10:$M$101,11,FALSE)</f>
        <v>0</v>
      </c>
      <c r="AK32" s="998">
        <f t="shared" si="3"/>
        <v>0</v>
      </c>
      <c r="AL32"/>
      <c r="AM32"/>
    </row>
    <row r="33" spans="1:39" s="219" customFormat="1" ht="13.5" customHeight="1" x14ac:dyDescent="0.3">
      <c r="A33" s="534">
        <f t="shared" si="4"/>
        <v>4</v>
      </c>
      <c r="B33" s="1840"/>
      <c r="C33" s="230" t="str">
        <f t="shared" si="9"/>
        <v/>
      </c>
      <c r="D33" s="231" t="e">
        <f t="shared" si="0"/>
        <v>#VALUE!</v>
      </c>
      <c r="E33" s="658"/>
      <c r="F33" s="658"/>
      <c r="G33" s="659"/>
      <c r="H33" s="246">
        <f t="shared" si="6"/>
        <v>0</v>
      </c>
      <c r="I33" s="1217" t="str">
        <f>$I$12</f>
        <v>% Mort/Sel Acm Tab :</v>
      </c>
      <c r="J33" s="1216">
        <f>$E$3*0.0048</f>
        <v>9.5999999999999992E-3</v>
      </c>
      <c r="K33" s="1088"/>
      <c r="L33" s="663"/>
      <c r="M33" s="1086"/>
      <c r="N33" s="664"/>
      <c r="O33" s="665"/>
      <c r="P33" s="232">
        <f t="shared" si="1"/>
        <v>0</v>
      </c>
      <c r="Q33" s="665"/>
      <c r="R33" s="233">
        <f t="shared" si="7"/>
        <v>0</v>
      </c>
      <c r="S33" s="234">
        <f>IF(Levante!$N$1&gt;0,O33/IF(SUM(O27:O32)=0,7,1)*$B$1/H33,0)</f>
        <v>0</v>
      </c>
      <c r="T33" s="238">
        <f>IF(SUM(H27:H33)&gt;0,SUM(U27:U33)/SUM(H27:H33),0)</f>
        <v>0</v>
      </c>
      <c r="U33" s="238">
        <f t="shared" si="2"/>
        <v>0</v>
      </c>
      <c r="V33" s="1212">
        <f>IF(Fnac="",0,IFERROR(LOOKUP(Linea,TL!$BY$5:$CJ$5,TL!BY33:CJ33),0))</f>
        <v>0</v>
      </c>
      <c r="W33" s="1825" t="str">
        <f>$W$12</f>
        <v xml:space="preserve">Relación Agua /Alimto: </v>
      </c>
      <c r="X33" s="1826"/>
      <c r="Y33" s="1791">
        <f>IFERROR(Y32/X27,0)</f>
        <v>0</v>
      </c>
      <c r="Z33" s="1792"/>
      <c r="AA33" s="235">
        <f>IF($AB$3="NO",0,ROUNDDOWN(SUM($O$6:O33)/IF(Iniciar!$C$10="kilos",40,1),0)-SUM($AA$6:$AA32))</f>
        <v>0</v>
      </c>
      <c r="AB33" s="667"/>
      <c r="AC33" s="667"/>
      <c r="AD33" s="236">
        <f t="shared" si="8"/>
        <v>0</v>
      </c>
      <c r="AE33" s="670"/>
      <c r="AF33" s="1222"/>
      <c r="AG33" s="1822"/>
      <c r="AH33" s="1821"/>
      <c r="AI33" s="199">
        <f>IF(OR(J27&gt;0,X27&gt;0),B26,AI26)</f>
        <v>0</v>
      </c>
      <c r="AJ33" s="199">
        <f>VLOOKUP(C33,Manejos!$C$10:$M$101,11,FALSE)</f>
        <v>0</v>
      </c>
      <c r="AK33" s="998">
        <f t="shared" si="3"/>
        <v>0</v>
      </c>
      <c r="AL33"/>
      <c r="AM33"/>
    </row>
    <row r="34" spans="1:39" s="219" customFormat="1" ht="14.25" customHeight="1" x14ac:dyDescent="0.3">
      <c r="A34" s="534">
        <f>B34</f>
        <v>5</v>
      </c>
      <c r="B34" s="1838">
        <f>B27+1</f>
        <v>5</v>
      </c>
      <c r="C34" s="230" t="str">
        <f t="shared" si="9"/>
        <v/>
      </c>
      <c r="D34" s="231" t="e">
        <f t="shared" si="0"/>
        <v>#VALUE!</v>
      </c>
      <c r="E34" s="658"/>
      <c r="F34" s="658"/>
      <c r="G34" s="659"/>
      <c r="H34" s="246">
        <f t="shared" si="6"/>
        <v>0</v>
      </c>
      <c r="I34" s="1210" t="str">
        <f>$I$6</f>
        <v>T. Salidas Sem :</v>
      </c>
      <c r="J34" s="1211">
        <f>SUMIF(E34:G40,"&gt;0")</f>
        <v>0</v>
      </c>
      <c r="K34" s="1088"/>
      <c r="L34" s="663"/>
      <c r="M34" s="1086"/>
      <c r="N34" s="664"/>
      <c r="O34" s="665"/>
      <c r="P34" s="232">
        <f t="shared" si="1"/>
        <v>0</v>
      </c>
      <c r="Q34" s="665"/>
      <c r="R34" s="233">
        <f t="shared" si="7"/>
        <v>0</v>
      </c>
      <c r="S34" s="234">
        <f>IF(Levante!$N$1&gt;0,O34*$B$1/H34,0)</f>
        <v>0</v>
      </c>
      <c r="T34" s="238">
        <f>IF(SUM(H34:H34)&gt;0,SUM(U34:U34)/SUM(H34:H34),0)</f>
        <v>0</v>
      </c>
      <c r="U34" s="238">
        <f t="shared" si="2"/>
        <v>0</v>
      </c>
      <c r="V34" s="1212">
        <f>IF(Fnac="",0,IFERROR(LOOKUP(Linea,TL!$BY$5:$CJ$5,TL!BY34:CJ34),0))</f>
        <v>0</v>
      </c>
      <c r="W34" s="1779" t="str">
        <f>$W$6</f>
        <v xml:space="preserve">Gr. Ave Dia : </v>
      </c>
      <c r="X34" s="1781">
        <f>IF(AND(COUNT(O34:O39)&gt;0,O40&gt;0),T40,S40)</f>
        <v>0</v>
      </c>
      <c r="Y34" s="1219">
        <f>IFERROR(LOOKUP(B34,TL!$A$6:$A$23,GSh!$O$6:$O$23),0)</f>
        <v>0</v>
      </c>
      <c r="Z34" s="1783">
        <f>IF(AND(Y34&gt;0,Y35&gt;0,X34&gt;0),(X34-(IF(X34&gt;Y35,Y35,IF(X34&lt;Y34,Y34,X34))))/(IF(X34&gt;Y35,Y35,IF(X34&lt;Y34,Y34,X34)))*100,0)</f>
        <v>0</v>
      </c>
      <c r="AA34" s="235">
        <f>IF($AB$3="NO",0,ROUNDDOWN(SUM($O$6:O34)/IF(Iniciar!$C$10="kilos",40,1),0)-SUM($AA$6:$AA33))</f>
        <v>0</v>
      </c>
      <c r="AB34" s="667"/>
      <c r="AC34" s="667"/>
      <c r="AD34" s="236">
        <f t="shared" si="8"/>
        <v>0</v>
      </c>
      <c r="AE34" s="670"/>
      <c r="AF34" s="1222"/>
      <c r="AG34" s="1822"/>
      <c r="AH34" s="1821">
        <f>AH27+1</f>
        <v>5</v>
      </c>
      <c r="AI34" s="538">
        <f>SUMPRODUCT(O34:O40,M34:M40)</f>
        <v>0</v>
      </c>
      <c r="AJ34" s="199">
        <f>VLOOKUP(C34,Manejos!$C$10:$M$101,11,FALSE)</f>
        <v>0</v>
      </c>
      <c r="AK34" s="998">
        <f t="shared" si="3"/>
        <v>0</v>
      </c>
      <c r="AL34"/>
      <c r="AM34"/>
    </row>
    <row r="35" spans="1:39" s="219" customFormat="1" ht="13.5" customHeight="1" x14ac:dyDescent="0.3">
      <c r="A35" s="534">
        <f t="shared" si="4"/>
        <v>5</v>
      </c>
      <c r="B35" s="1839"/>
      <c r="C35" s="230" t="str">
        <f t="shared" si="9"/>
        <v/>
      </c>
      <c r="D35" s="231" t="e">
        <f t="shared" si="0"/>
        <v>#VALUE!</v>
      </c>
      <c r="E35" s="658"/>
      <c r="F35" s="658"/>
      <c r="G35" s="659"/>
      <c r="H35" s="246">
        <f t="shared" si="6"/>
        <v>0</v>
      </c>
      <c r="I35" s="1210" t="str">
        <f>$I$7</f>
        <v>T. Salidas Acm :</v>
      </c>
      <c r="J35" s="1211">
        <f>J28+J34</f>
        <v>0</v>
      </c>
      <c r="K35" s="1088"/>
      <c r="L35" s="663"/>
      <c r="M35" s="1086"/>
      <c r="N35" s="664"/>
      <c r="O35" s="665"/>
      <c r="P35" s="232">
        <f t="shared" si="1"/>
        <v>0</v>
      </c>
      <c r="Q35" s="665"/>
      <c r="R35" s="233">
        <f t="shared" si="7"/>
        <v>0</v>
      </c>
      <c r="S35" s="234">
        <f>IF(Levante!$N$1&gt;0,O35*$B$1/H35,0)</f>
        <v>0</v>
      </c>
      <c r="T35" s="238">
        <f>IF(SUM(H34:H35)&gt;0,SUM(U34:U35)/SUM(H34:H35),0)</f>
        <v>0</v>
      </c>
      <c r="U35" s="238">
        <f t="shared" si="2"/>
        <v>0</v>
      </c>
      <c r="V35" s="1212">
        <f>IF(Fnac="",0,IFERROR(LOOKUP(Linea,TL!$BY$5:$CJ$5,TL!BY35:CJ35),0))</f>
        <v>0</v>
      </c>
      <c r="W35" s="1780"/>
      <c r="X35" s="1782"/>
      <c r="Y35" s="997">
        <f>IFERROR(LOOKUP(B34,TL!$A$6:$A$23,GSh!$P$6:$P$23),0)</f>
        <v>0</v>
      </c>
      <c r="Z35" s="1784">
        <f>IF(AND(X35&gt;0,Y35&gt;0,W35&gt;0),(W35-(IF(W35&gt;Y35,Y35,IF(W35&lt;X35,X35,W35))))/(IF(W35&gt;Y35,Y35,IF(W35&lt;X35,X35,W35)))*100,0)</f>
        <v>0</v>
      </c>
      <c r="AA35" s="235">
        <f>IF($AB$3="NO",0,ROUNDDOWN(SUM($O$6:O35)/IF(Iniciar!$C$10="kilos",40,1),0)-SUM($AA$6:$AA34))</f>
        <v>0</v>
      </c>
      <c r="AB35" s="667"/>
      <c r="AC35" s="667"/>
      <c r="AD35" s="236">
        <f t="shared" si="8"/>
        <v>0</v>
      </c>
      <c r="AE35" s="670"/>
      <c r="AF35" s="1222"/>
      <c r="AG35" s="1822"/>
      <c r="AH35" s="1821"/>
      <c r="AI35" s="199"/>
      <c r="AJ35" s="199">
        <f>VLOOKUP(C35,Manejos!$C$10:$M$101,11,FALSE)</f>
        <v>0</v>
      </c>
      <c r="AK35" s="998">
        <f t="shared" si="3"/>
        <v>0</v>
      </c>
      <c r="AL35"/>
      <c r="AM35"/>
    </row>
    <row r="36" spans="1:39" s="219" customFormat="1" ht="13.5" customHeight="1" x14ac:dyDescent="0.25">
      <c r="A36" s="534">
        <f t="shared" si="4"/>
        <v>5</v>
      </c>
      <c r="B36" s="1839"/>
      <c r="C36" s="230" t="str">
        <f t="shared" si="9"/>
        <v/>
      </c>
      <c r="D36" s="231" t="e">
        <f t="shared" si="0"/>
        <v>#VALUE!</v>
      </c>
      <c r="E36" s="658"/>
      <c r="F36" s="658"/>
      <c r="G36" s="659"/>
      <c r="H36" s="246">
        <f t="shared" si="6"/>
        <v>0</v>
      </c>
      <c r="I36" s="1213" t="str">
        <f>$I$8</f>
        <v>Saldo Aves :</v>
      </c>
      <c r="J36" s="1214">
        <f>H40</f>
        <v>0</v>
      </c>
      <c r="K36" s="1088"/>
      <c r="L36" s="663"/>
      <c r="M36" s="1086"/>
      <c r="N36" s="664"/>
      <c r="O36" s="665"/>
      <c r="P36" s="232">
        <f t="shared" si="1"/>
        <v>0</v>
      </c>
      <c r="Q36" s="665"/>
      <c r="R36" s="233">
        <f t="shared" si="7"/>
        <v>0</v>
      </c>
      <c r="S36" s="234">
        <f>IF(Levante!$N$1&gt;0,O36*$B$1/H36,0)</f>
        <v>0</v>
      </c>
      <c r="T36" s="238">
        <f>IF(SUM(H34:H36)&gt;0,SUM(U34:U36)/SUM(H34:H36),0)</f>
        <v>0</v>
      </c>
      <c r="U36" s="238">
        <f t="shared" si="2"/>
        <v>0</v>
      </c>
      <c r="V36" s="1212">
        <f>IF(Fnac="",0,IFERROR(LOOKUP(Linea,TL!$BY$5:$CJ$5,TL!BY36:CJ36),0))</f>
        <v>0</v>
      </c>
      <c r="W36" s="1785" t="str">
        <f>$W$8</f>
        <v xml:space="preserve">Gr. Ave Acu : </v>
      </c>
      <c r="X36" s="1775">
        <f>X29+X34*7</f>
        <v>0</v>
      </c>
      <c r="Y36" s="992">
        <f>IFERROR(LOOKUP(B34,TL!$A$6:$A$23,GSh!$V$6:$V$23),0)</f>
        <v>0</v>
      </c>
      <c r="Z36" s="1777">
        <f>IF(AND(Y36&gt;0,Y37&gt;0,X36&gt;0),(X36-(IF(X36&gt;Y37,Y37,IF(X36&lt;Y36,Y36,X36))))/(IF(X36&gt;Y37,Y37,IF(X36&lt;Y36,Y36,X36)))*100,0)</f>
        <v>0</v>
      </c>
      <c r="AA36" s="235">
        <f>IF($AB$3="NO",0,ROUNDDOWN(SUM($O$6:O36)/IF(Iniciar!$C$10="kilos",40,1),0)-SUM($AA$6:$AA35))</f>
        <v>0</v>
      </c>
      <c r="AB36" s="667"/>
      <c r="AC36" s="667"/>
      <c r="AD36" s="236">
        <f t="shared" si="8"/>
        <v>0</v>
      </c>
      <c r="AE36" s="670"/>
      <c r="AF36" s="1222"/>
      <c r="AG36" s="1822"/>
      <c r="AH36" s="1821"/>
      <c r="AI36" s="199"/>
      <c r="AJ36" s="199">
        <f>VLOOKUP(C36,Manejos!$C$10:$M$101,11,FALSE)</f>
        <v>0</v>
      </c>
      <c r="AK36" s="998">
        <f t="shared" si="3"/>
        <v>0</v>
      </c>
      <c r="AL36"/>
      <c r="AM36"/>
    </row>
    <row r="37" spans="1:39" s="219" customFormat="1" ht="13.5" customHeight="1" x14ac:dyDescent="0.3">
      <c r="A37" s="534">
        <f t="shared" si="4"/>
        <v>5</v>
      </c>
      <c r="B37" s="1839"/>
      <c r="C37" s="230" t="str">
        <f t="shared" si="9"/>
        <v/>
      </c>
      <c r="D37" s="231" t="e">
        <f t="shared" si="0"/>
        <v>#VALUE!</v>
      </c>
      <c r="E37" s="658"/>
      <c r="F37" s="658"/>
      <c r="G37" s="659"/>
      <c r="H37" s="246">
        <f t="shared" si="6"/>
        <v>0</v>
      </c>
      <c r="I37" s="1217" t="str">
        <f>$I$9</f>
        <v>% Mort/Sel Sem :</v>
      </c>
      <c r="J37" s="1216">
        <f>IF(Levante!$N$1&gt;0,SUM(E34:F40)/Levante!$N$1,0)</f>
        <v>0</v>
      </c>
      <c r="K37" s="1088"/>
      <c r="L37" s="663"/>
      <c r="M37" s="1086"/>
      <c r="N37" s="664"/>
      <c r="O37" s="665"/>
      <c r="P37" s="232">
        <f t="shared" si="1"/>
        <v>0</v>
      </c>
      <c r="Q37" s="665"/>
      <c r="R37" s="233">
        <f t="shared" si="7"/>
        <v>0</v>
      </c>
      <c r="S37" s="234">
        <f>IF(Levante!$N$1&gt;0,O37*$B$1/H37,0)</f>
        <v>0</v>
      </c>
      <c r="T37" s="238">
        <f>IF(SUM(H34:H37)&gt;0,SUM(U34:U37)/SUM(H34:H37),0)</f>
        <v>0</v>
      </c>
      <c r="U37" s="238">
        <f t="shared" si="2"/>
        <v>0</v>
      </c>
      <c r="V37" s="1212">
        <f>IF(Fnac="",0,IFERROR(LOOKUP(Linea,TL!$BY$5:$CJ$5,TL!BY37:CJ37),0))</f>
        <v>0</v>
      </c>
      <c r="W37" s="1786"/>
      <c r="X37" s="1776"/>
      <c r="Y37" s="993">
        <f>IFERROR(LOOKUP(B34,TL!$A$6:$A$23,GSh!$W$6:$W$23),0)</f>
        <v>0</v>
      </c>
      <c r="Z37" s="1778">
        <f>IF(AND(X37&gt;0,Y37&gt;0,W37&gt;0),(W37-(IF(W37&gt;Y37,Y37,IF(W37&lt;X37,X37,W37))))/(IF(W37&gt;Y37,Y37,IF(W37&lt;X37,X37,W37)))*100,0)</f>
        <v>0</v>
      </c>
      <c r="AA37" s="235">
        <f>IF($AB$3="NO",0,ROUNDDOWN(SUM($O$6:O37)/IF(Iniciar!$C$10="kilos",40,1),0)-SUM($AA$6:$AA36))</f>
        <v>0</v>
      </c>
      <c r="AB37" s="667"/>
      <c r="AC37" s="667"/>
      <c r="AD37" s="236">
        <f t="shared" si="8"/>
        <v>0</v>
      </c>
      <c r="AE37" s="670"/>
      <c r="AF37" s="1222"/>
      <c r="AG37" s="1822"/>
      <c r="AH37" s="1821"/>
      <c r="AI37" s="199"/>
      <c r="AJ37" s="199">
        <f>VLOOKUP(C37,Manejos!$C$10:$M$101,11,FALSE)</f>
        <v>0</v>
      </c>
      <c r="AK37" s="998">
        <f t="shared" si="3"/>
        <v>0</v>
      </c>
      <c r="AL37"/>
      <c r="AM37"/>
    </row>
    <row r="38" spans="1:39" s="219" customFormat="1" ht="13.5" customHeight="1" x14ac:dyDescent="0.3">
      <c r="A38" s="534">
        <f t="shared" si="4"/>
        <v>5</v>
      </c>
      <c r="B38" s="1839"/>
      <c r="C38" s="230" t="str">
        <f t="shared" si="9"/>
        <v/>
      </c>
      <c r="D38" s="231" t="e">
        <f t="shared" ref="D38:D69" si="10">IF(C38=0,0,(C38-Fnac+1)/7)</f>
        <v>#VALUE!</v>
      </c>
      <c r="E38" s="658"/>
      <c r="F38" s="658"/>
      <c r="G38" s="659"/>
      <c r="H38" s="246">
        <f t="shared" si="6"/>
        <v>0</v>
      </c>
      <c r="I38" s="1217" t="str">
        <f>$I$10</f>
        <v>% Mort/Sel Sem Tab :</v>
      </c>
      <c r="J38" s="1216">
        <f>J40-J33</f>
        <v>1.2000000000000014E-3</v>
      </c>
      <c r="K38" s="1088"/>
      <c r="L38" s="663"/>
      <c r="M38" s="1086"/>
      <c r="N38" s="664"/>
      <c r="O38" s="665"/>
      <c r="P38" s="232">
        <f t="shared" ref="P38:P69" si="11">V38*H38/$B$1</f>
        <v>0</v>
      </c>
      <c r="Q38" s="665"/>
      <c r="R38" s="233">
        <f t="shared" si="7"/>
        <v>0</v>
      </c>
      <c r="S38" s="234">
        <f>IF(Levante!$N$1&gt;0,O38*$B$1/H38,0)</f>
        <v>0</v>
      </c>
      <c r="T38" s="238">
        <f>IF(SUM(H34:H38)&gt;0,SUM(U34:U38)/SUM(H34:H38),0)</f>
        <v>0</v>
      </c>
      <c r="U38" s="238">
        <f t="shared" ref="U38:U69" si="12">S38*H38</f>
        <v>0</v>
      </c>
      <c r="V38" s="1212">
        <f>IF(Fnac="",0,IFERROR(LOOKUP(Linea,TL!$BY$5:$CJ$5,TL!BY38:CJ38),0))</f>
        <v>0</v>
      </c>
      <c r="W38" s="1793" t="str">
        <f>$W$10</f>
        <v xml:space="preserve">Total Litros Sem: </v>
      </c>
      <c r="X38" s="1794"/>
      <c r="Y38" s="1787">
        <f>SUM(K34:K40)</f>
        <v>0</v>
      </c>
      <c r="Z38" s="1788"/>
      <c r="AA38" s="235">
        <f>IF($AB$3="NO",0,ROUNDDOWN(SUM($O$6:O38)/IF(Iniciar!$C$10="kilos",40,1),0)-SUM($AA$6:$AA37))</f>
        <v>0</v>
      </c>
      <c r="AB38" s="667"/>
      <c r="AC38" s="667"/>
      <c r="AD38" s="236">
        <f t="shared" si="8"/>
        <v>0</v>
      </c>
      <c r="AE38" s="670"/>
      <c r="AF38" s="1222"/>
      <c r="AG38" s="1822"/>
      <c r="AH38" s="1821"/>
      <c r="AI38" s="199"/>
      <c r="AJ38" s="199">
        <f>VLOOKUP(C38,Manejos!$C$10:$M$101,11,FALSE)</f>
        <v>0</v>
      </c>
      <c r="AK38" s="998">
        <f t="shared" si="3"/>
        <v>0</v>
      </c>
      <c r="AL38"/>
      <c r="AM38"/>
    </row>
    <row r="39" spans="1:39" s="219" customFormat="1" ht="13.5" customHeight="1" x14ac:dyDescent="0.3">
      <c r="A39" s="534">
        <f t="shared" si="4"/>
        <v>5</v>
      </c>
      <c r="B39" s="1839"/>
      <c r="C39" s="230" t="str">
        <f t="shared" si="9"/>
        <v/>
      </c>
      <c r="D39" s="231" t="e">
        <f t="shared" si="10"/>
        <v>#VALUE!</v>
      </c>
      <c r="E39" s="658"/>
      <c r="F39" s="658"/>
      <c r="G39" s="659"/>
      <c r="H39" s="246">
        <f t="shared" ref="H39:H70" si="13">H38-SUM(E39:G39)</f>
        <v>0</v>
      </c>
      <c r="I39" s="1217" t="str">
        <f>$I$11</f>
        <v>% Mort/Sel Acum :</v>
      </c>
      <c r="J39" s="1216">
        <f>IF(Levante!$N$1&gt;0,SUM($E$6:F40)/Levante!$N$1,0)</f>
        <v>0</v>
      </c>
      <c r="K39" s="1088"/>
      <c r="L39" s="663"/>
      <c r="M39" s="1086"/>
      <c r="N39" s="664"/>
      <c r="O39" s="665"/>
      <c r="P39" s="232">
        <f t="shared" si="11"/>
        <v>0</v>
      </c>
      <c r="Q39" s="665"/>
      <c r="R39" s="233">
        <f t="shared" ref="R39:R70" si="14">R38+N39-O39-Q39</f>
        <v>0</v>
      </c>
      <c r="S39" s="234">
        <f>IF(Levante!$N$1&gt;0,O39*$B$1/H39,0)</f>
        <v>0</v>
      </c>
      <c r="T39" s="238">
        <f>IF(SUM(H34:H39)&gt;0,SUM(U34:U39)/SUM(H34:H39),0)</f>
        <v>0</v>
      </c>
      <c r="U39" s="238">
        <f t="shared" si="12"/>
        <v>0</v>
      </c>
      <c r="V39" s="1212">
        <f>IF(Fnac="",0,IFERROR(LOOKUP(Linea,TL!$BY$5:$CJ$5,TL!BY39:CJ39),0))</f>
        <v>0</v>
      </c>
      <c r="W39" s="1795" t="str">
        <f>$W$11</f>
        <v xml:space="preserve">Cons ml /ave día: </v>
      </c>
      <c r="X39" s="1796"/>
      <c r="Y39" s="1789">
        <f>IFERROR(Y38/7*1000/H40,0)</f>
        <v>0</v>
      </c>
      <c r="Z39" s="1790"/>
      <c r="AA39" s="235">
        <f>IF($AB$3="NO",0,ROUNDDOWN(SUM($O$6:O39)/IF(Iniciar!$C$10="kilos",40,1),0)-SUM($AA$6:$AA38))</f>
        <v>0</v>
      </c>
      <c r="AB39" s="667"/>
      <c r="AC39" s="667"/>
      <c r="AD39" s="236">
        <f t="shared" ref="AD39:AD70" si="15">AD38+AA39+AB39-AC39</f>
        <v>0</v>
      </c>
      <c r="AE39" s="670"/>
      <c r="AF39" s="1222"/>
      <c r="AG39" s="1822"/>
      <c r="AH39" s="1821"/>
      <c r="AI39" s="199"/>
      <c r="AJ39" s="199">
        <f>VLOOKUP(C39,Manejos!$C$10:$M$101,11,FALSE)</f>
        <v>0</v>
      </c>
      <c r="AK39" s="998">
        <f t="shared" si="3"/>
        <v>0</v>
      </c>
      <c r="AL39"/>
      <c r="AM39"/>
    </row>
    <row r="40" spans="1:39" s="219" customFormat="1" ht="13.5" customHeight="1" x14ac:dyDescent="0.3">
      <c r="A40" s="534">
        <f t="shared" si="4"/>
        <v>5</v>
      </c>
      <c r="B40" s="1840"/>
      <c r="C40" s="230" t="str">
        <f t="shared" si="9"/>
        <v/>
      </c>
      <c r="D40" s="231" t="e">
        <f t="shared" si="10"/>
        <v>#VALUE!</v>
      </c>
      <c r="E40" s="658"/>
      <c r="F40" s="658"/>
      <c r="G40" s="659"/>
      <c r="H40" s="246">
        <f t="shared" si="13"/>
        <v>0</v>
      </c>
      <c r="I40" s="1217" t="str">
        <f>$I$12</f>
        <v>% Mort/Sel Acm Tab :</v>
      </c>
      <c r="J40" s="1216">
        <f>$E$3*0.0054</f>
        <v>1.0800000000000001E-2</v>
      </c>
      <c r="K40" s="1088"/>
      <c r="L40" s="663"/>
      <c r="M40" s="1086"/>
      <c r="N40" s="664"/>
      <c r="O40" s="665"/>
      <c r="P40" s="232">
        <f t="shared" si="11"/>
        <v>0</v>
      </c>
      <c r="Q40" s="665"/>
      <c r="R40" s="233">
        <f t="shared" si="14"/>
        <v>0</v>
      </c>
      <c r="S40" s="234">
        <f>IF(Levante!$N$1&gt;0,O40/IF(SUM(O34:O39)=0,7,1)*$B$1/H40,0)</f>
        <v>0</v>
      </c>
      <c r="T40" s="238">
        <f>IF(SUM(H34:H40)&gt;0,SUM(U34:U40)/SUM(H34:H40),0)</f>
        <v>0</v>
      </c>
      <c r="U40" s="238">
        <f t="shared" si="12"/>
        <v>0</v>
      </c>
      <c r="V40" s="1212">
        <f>IF(Fnac="",0,IFERROR(LOOKUP(Linea,TL!$BY$5:$CJ$5,TL!BY40:CJ40),0))</f>
        <v>0</v>
      </c>
      <c r="W40" s="1825" t="str">
        <f>$W$12</f>
        <v xml:space="preserve">Relación Agua /Alimto: </v>
      </c>
      <c r="X40" s="1826"/>
      <c r="Y40" s="1791">
        <f>IFERROR(Y39/X34,0)</f>
        <v>0</v>
      </c>
      <c r="Z40" s="1792"/>
      <c r="AA40" s="235">
        <f>IF($AB$3="NO",0,ROUNDDOWN(SUM($O$6:O40)/IF(Iniciar!$C$10="kilos",40,1),0)-SUM($AA$6:$AA39))</f>
        <v>0</v>
      </c>
      <c r="AB40" s="667"/>
      <c r="AC40" s="667"/>
      <c r="AD40" s="236">
        <f t="shared" si="15"/>
        <v>0</v>
      </c>
      <c r="AE40" s="670"/>
      <c r="AF40" s="1222"/>
      <c r="AG40" s="1822"/>
      <c r="AH40" s="1821"/>
      <c r="AI40" s="199">
        <f>IF(OR(J34&gt;0,X34&gt;0),B33,AI33)</f>
        <v>0</v>
      </c>
      <c r="AJ40" s="199">
        <f>VLOOKUP(C40,Manejos!$C$10:$M$101,11,FALSE)</f>
        <v>0</v>
      </c>
      <c r="AK40" s="998">
        <f t="shared" si="3"/>
        <v>0</v>
      </c>
      <c r="AL40"/>
      <c r="AM40"/>
    </row>
    <row r="41" spans="1:39" s="219" customFormat="1" ht="13.5" customHeight="1" x14ac:dyDescent="0.3">
      <c r="A41" s="534">
        <f>B41</f>
        <v>6</v>
      </c>
      <c r="B41" s="1838">
        <f>B34+1</f>
        <v>6</v>
      </c>
      <c r="C41" s="230" t="str">
        <f t="shared" si="9"/>
        <v/>
      </c>
      <c r="D41" s="231" t="e">
        <f t="shared" si="10"/>
        <v>#VALUE!</v>
      </c>
      <c r="E41" s="658"/>
      <c r="F41" s="658"/>
      <c r="G41" s="659"/>
      <c r="H41" s="246">
        <f t="shared" si="13"/>
        <v>0</v>
      </c>
      <c r="I41" s="1210" t="str">
        <f>$I$6</f>
        <v>T. Salidas Sem :</v>
      </c>
      <c r="J41" s="1211">
        <f>SUMIF(E41:G47,"&gt;0")</f>
        <v>0</v>
      </c>
      <c r="K41" s="1088"/>
      <c r="L41" s="663"/>
      <c r="M41" s="1086"/>
      <c r="N41" s="664"/>
      <c r="O41" s="665"/>
      <c r="P41" s="232">
        <f t="shared" si="11"/>
        <v>0</v>
      </c>
      <c r="Q41" s="665"/>
      <c r="R41" s="233">
        <f t="shared" si="14"/>
        <v>0</v>
      </c>
      <c r="S41" s="234">
        <f>IF(Levante!$N$1&gt;0,O41*$B$1/H41,0)</f>
        <v>0</v>
      </c>
      <c r="T41" s="238">
        <f>IF(SUM(H41:H41)&gt;0,SUM(U41:U41)/SUM(H41:H41),0)</f>
        <v>0</v>
      </c>
      <c r="U41" s="238">
        <f t="shared" si="12"/>
        <v>0</v>
      </c>
      <c r="V41" s="1212">
        <f>IF(Fnac="",0,IFERROR(LOOKUP(Linea,TL!$BY$5:$CJ$5,TL!BY41:CJ41),0))</f>
        <v>0</v>
      </c>
      <c r="W41" s="1779" t="str">
        <f>$W$6</f>
        <v xml:space="preserve">Gr. Ave Dia : </v>
      </c>
      <c r="X41" s="1781">
        <f>IF(AND(COUNT(O41:O46)&gt;0,O47&gt;0),T47,S47)</f>
        <v>0</v>
      </c>
      <c r="Y41" s="1219">
        <f>IFERROR(LOOKUP(B41,TL!$A$6:$A$23,GSh!$O$6:$O$23),0)</f>
        <v>0</v>
      </c>
      <c r="Z41" s="1783">
        <f>IF(AND(Y41&gt;0,Y42&gt;0,X41&gt;0),(X41-(IF(X41&gt;Y42,Y42,IF(X41&lt;Y41,Y41,X41))))/(IF(X41&gt;Y42,Y42,IF(X41&lt;Y41,Y41,X41)))*100,0)</f>
        <v>0</v>
      </c>
      <c r="AA41" s="235">
        <f>IF($AB$3="NO",0,ROUNDDOWN(SUM($O$6:O41)/IF(Iniciar!$C$10="kilos",40,1),0)-SUM($AA$6:$AA40))</f>
        <v>0</v>
      </c>
      <c r="AB41" s="667"/>
      <c r="AC41" s="667"/>
      <c r="AD41" s="236">
        <f t="shared" si="15"/>
        <v>0</v>
      </c>
      <c r="AE41" s="670"/>
      <c r="AF41" s="1222"/>
      <c r="AG41" s="1822"/>
      <c r="AH41" s="1821">
        <f>AH34+1</f>
        <v>6</v>
      </c>
      <c r="AI41" s="538">
        <f>SUMPRODUCT(O41:O47,M41:M47)</f>
        <v>0</v>
      </c>
      <c r="AJ41" s="199">
        <f>VLOOKUP(C41,Manejos!$C$10:$M$101,11,FALSE)</f>
        <v>0</v>
      </c>
      <c r="AK41" s="998">
        <f t="shared" si="3"/>
        <v>0</v>
      </c>
      <c r="AL41"/>
      <c r="AM41"/>
    </row>
    <row r="42" spans="1:39" s="219" customFormat="1" ht="14.25" customHeight="1" x14ac:dyDescent="0.3">
      <c r="A42" s="534">
        <f t="shared" si="4"/>
        <v>6</v>
      </c>
      <c r="B42" s="1839"/>
      <c r="C42" s="230" t="str">
        <f t="shared" si="9"/>
        <v/>
      </c>
      <c r="D42" s="231" t="e">
        <f t="shared" si="10"/>
        <v>#VALUE!</v>
      </c>
      <c r="E42" s="658"/>
      <c r="F42" s="658"/>
      <c r="G42" s="659"/>
      <c r="H42" s="246">
        <f t="shared" si="13"/>
        <v>0</v>
      </c>
      <c r="I42" s="1210" t="str">
        <f>$I$7</f>
        <v>T. Salidas Acm :</v>
      </c>
      <c r="J42" s="1211">
        <f>J35+J41</f>
        <v>0</v>
      </c>
      <c r="K42" s="1088"/>
      <c r="L42" s="663"/>
      <c r="M42" s="1086"/>
      <c r="N42" s="664"/>
      <c r="O42" s="665"/>
      <c r="P42" s="232">
        <f t="shared" si="11"/>
        <v>0</v>
      </c>
      <c r="Q42" s="665"/>
      <c r="R42" s="233">
        <f t="shared" si="14"/>
        <v>0</v>
      </c>
      <c r="S42" s="234">
        <f>IF(Levante!$N$1&gt;0,O42*$B$1/H42,0)</f>
        <v>0</v>
      </c>
      <c r="T42" s="238">
        <f>IF(SUM(H41:H42)&gt;0,SUM(U41:U42)/SUM(H41:H42),0)</f>
        <v>0</v>
      </c>
      <c r="U42" s="238">
        <f t="shared" si="12"/>
        <v>0</v>
      </c>
      <c r="V42" s="1212">
        <f>IF(Fnac="",0,IFERROR(LOOKUP(Linea,TL!$BY$5:$CJ$5,TL!BY42:CJ42),0))</f>
        <v>0</v>
      </c>
      <c r="W42" s="1780"/>
      <c r="X42" s="1782"/>
      <c r="Y42" s="997">
        <f>IFERROR(LOOKUP(B41,TL!$A$6:$A$23,GSh!$P$6:$P$23),0)</f>
        <v>0</v>
      </c>
      <c r="Z42" s="1784">
        <f>IF(AND(X42&gt;0,Y42&gt;0,W42&gt;0),(W42-(IF(W42&gt;Y42,Y42,IF(W42&lt;X42,X42,W42))))/(IF(W42&gt;Y42,Y42,IF(W42&lt;X42,X42,W42)))*100,0)</f>
        <v>0</v>
      </c>
      <c r="AA42" s="235">
        <f>IF($AB$3="NO",0,ROUNDDOWN(SUM($O$6:O42)/IF(Iniciar!$C$10="kilos",40,1),0)-SUM($AA$6:$AA41))</f>
        <v>0</v>
      </c>
      <c r="AB42" s="667"/>
      <c r="AC42" s="667"/>
      <c r="AD42" s="236">
        <f t="shared" si="15"/>
        <v>0</v>
      </c>
      <c r="AE42" s="670"/>
      <c r="AF42" s="1222"/>
      <c r="AG42" s="1822"/>
      <c r="AH42" s="1821"/>
      <c r="AI42" s="199"/>
      <c r="AJ42" s="199">
        <f>VLOOKUP(C42,Manejos!$C$10:$M$101,11,FALSE)</f>
        <v>0</v>
      </c>
      <c r="AK42" s="998">
        <f t="shared" si="3"/>
        <v>0</v>
      </c>
      <c r="AL42"/>
      <c r="AM42"/>
    </row>
    <row r="43" spans="1:39" s="219" customFormat="1" ht="13.5" customHeight="1" x14ac:dyDescent="0.25">
      <c r="A43" s="534">
        <f t="shared" si="4"/>
        <v>6</v>
      </c>
      <c r="B43" s="1839"/>
      <c r="C43" s="230" t="str">
        <f t="shared" si="9"/>
        <v/>
      </c>
      <c r="D43" s="231" t="e">
        <f t="shared" si="10"/>
        <v>#VALUE!</v>
      </c>
      <c r="E43" s="658"/>
      <c r="F43" s="658"/>
      <c r="G43" s="659"/>
      <c r="H43" s="246">
        <f t="shared" si="13"/>
        <v>0</v>
      </c>
      <c r="I43" s="1213" t="str">
        <f>$I$8</f>
        <v>Saldo Aves :</v>
      </c>
      <c r="J43" s="1214">
        <f>H47</f>
        <v>0</v>
      </c>
      <c r="K43" s="1088"/>
      <c r="L43" s="663"/>
      <c r="M43" s="1086"/>
      <c r="N43" s="664"/>
      <c r="O43" s="665"/>
      <c r="P43" s="232">
        <f t="shared" si="11"/>
        <v>0</v>
      </c>
      <c r="Q43" s="665"/>
      <c r="R43" s="233">
        <f t="shared" si="14"/>
        <v>0</v>
      </c>
      <c r="S43" s="234">
        <f>IF(Levante!$N$1&gt;0,O43*$B$1/H43,0)</f>
        <v>0</v>
      </c>
      <c r="T43" s="238">
        <f>IF(SUM(H41:H43)&gt;0,SUM(U41:U43)/SUM(H41:H43),0)</f>
        <v>0</v>
      </c>
      <c r="U43" s="238">
        <f t="shared" si="12"/>
        <v>0</v>
      </c>
      <c r="V43" s="1212">
        <f>IF(Fnac="",0,IFERROR(LOOKUP(Linea,TL!$BY$5:$CJ$5,TL!BY43:CJ43),0))</f>
        <v>0</v>
      </c>
      <c r="W43" s="1785" t="str">
        <f>$W$8</f>
        <v xml:space="preserve">Gr. Ave Acu : </v>
      </c>
      <c r="X43" s="1775">
        <f>X36+X41*7</f>
        <v>0</v>
      </c>
      <c r="Y43" s="992">
        <f>IFERROR(LOOKUP(B41,TL!$A$6:$A$23,GSh!$V$6:$V$23),0)</f>
        <v>0</v>
      </c>
      <c r="Z43" s="1777">
        <f>IF(AND(Y43&gt;0,Y44&gt;0,X43&gt;0),(X43-(IF(X43&gt;Y44,Y44,IF(X43&lt;Y43,Y43,X43))))/(IF(X43&gt;Y44,Y44,IF(X43&lt;Y43,Y43,X43)))*100,0)</f>
        <v>0</v>
      </c>
      <c r="AA43" s="235">
        <f>IF($AB$3="NO",0,ROUNDDOWN(SUM($O$6:O43)/IF(Iniciar!$C$10="kilos",40,1),0)-SUM($AA$6:$AA42))</f>
        <v>0</v>
      </c>
      <c r="AB43" s="667"/>
      <c r="AC43" s="667"/>
      <c r="AD43" s="236">
        <f t="shared" si="15"/>
        <v>0</v>
      </c>
      <c r="AE43" s="670"/>
      <c r="AF43" s="1222"/>
      <c r="AG43" s="1822"/>
      <c r="AH43" s="1821"/>
      <c r="AI43" s="199"/>
      <c r="AJ43" s="199">
        <f>VLOOKUP(C43,Manejos!$C$10:$M$101,11,FALSE)</f>
        <v>0</v>
      </c>
      <c r="AK43" s="998">
        <f t="shared" si="3"/>
        <v>0</v>
      </c>
      <c r="AL43"/>
      <c r="AM43"/>
    </row>
    <row r="44" spans="1:39" s="219" customFormat="1" ht="13.5" customHeight="1" x14ac:dyDescent="0.3">
      <c r="A44" s="534">
        <f t="shared" si="4"/>
        <v>6</v>
      </c>
      <c r="B44" s="1839"/>
      <c r="C44" s="230" t="str">
        <f t="shared" si="9"/>
        <v/>
      </c>
      <c r="D44" s="231" t="e">
        <f t="shared" si="10"/>
        <v>#VALUE!</v>
      </c>
      <c r="E44" s="658"/>
      <c r="F44" s="658"/>
      <c r="G44" s="659"/>
      <c r="H44" s="246">
        <f t="shared" si="13"/>
        <v>0</v>
      </c>
      <c r="I44" s="1217" t="str">
        <f>$I$9</f>
        <v>% Mort/Sel Sem :</v>
      </c>
      <c r="J44" s="1216">
        <f>IF(Levante!$N$1&gt;0,SUM(E41:F47)/Levante!$N$1,0)</f>
        <v>0</v>
      </c>
      <c r="K44" s="1088"/>
      <c r="L44" s="663"/>
      <c r="M44" s="1086"/>
      <c r="N44" s="664"/>
      <c r="O44" s="665"/>
      <c r="P44" s="232">
        <f t="shared" si="11"/>
        <v>0</v>
      </c>
      <c r="Q44" s="665"/>
      <c r="R44" s="233">
        <f t="shared" si="14"/>
        <v>0</v>
      </c>
      <c r="S44" s="234">
        <f>IF(Levante!$N$1&gt;0,O44*$B$1/H44,0)</f>
        <v>0</v>
      </c>
      <c r="T44" s="238">
        <f>IF(SUM(H41:H44)&gt;0,SUM(U41:U44)/SUM(H41:H44),0)</f>
        <v>0</v>
      </c>
      <c r="U44" s="238">
        <f t="shared" si="12"/>
        <v>0</v>
      </c>
      <c r="V44" s="1212">
        <f>IF(Fnac="",0,IFERROR(LOOKUP(Linea,TL!$BY$5:$CJ$5,TL!BY44:CJ44),0))</f>
        <v>0</v>
      </c>
      <c r="W44" s="1786"/>
      <c r="X44" s="1776"/>
      <c r="Y44" s="993">
        <f>IFERROR(LOOKUP(B41,TL!$A$6:$A$23,GSh!$W$6:$W$23),0)</f>
        <v>0</v>
      </c>
      <c r="Z44" s="1778">
        <f>IF(AND(X44&gt;0,Y44&gt;0,W44&gt;0),(W44-(IF(W44&gt;Y44,Y44,IF(W44&lt;X44,X44,W44))))/(IF(W44&gt;Y44,Y44,IF(W44&lt;X44,X44,W44)))*100,0)</f>
        <v>0</v>
      </c>
      <c r="AA44" s="235">
        <f>IF($AB$3="NO",0,ROUNDDOWN(SUM($O$6:O44)/IF(Iniciar!$C$10="kilos",40,1),0)-SUM($AA$6:$AA43))</f>
        <v>0</v>
      </c>
      <c r="AB44" s="667"/>
      <c r="AC44" s="667"/>
      <c r="AD44" s="236">
        <f t="shared" si="15"/>
        <v>0</v>
      </c>
      <c r="AE44" s="670"/>
      <c r="AF44" s="1222"/>
      <c r="AG44" s="1822"/>
      <c r="AH44" s="1821"/>
      <c r="AI44" s="199"/>
      <c r="AJ44" s="199">
        <f>VLOOKUP(C44,Manejos!$C$10:$M$101,11,FALSE)</f>
        <v>0</v>
      </c>
      <c r="AK44" s="998">
        <f t="shared" si="3"/>
        <v>0</v>
      </c>
      <c r="AL44"/>
      <c r="AM44"/>
    </row>
    <row r="45" spans="1:39" s="219" customFormat="1" ht="13.5" customHeight="1" x14ac:dyDescent="0.3">
      <c r="A45" s="534">
        <f t="shared" si="4"/>
        <v>6</v>
      </c>
      <c r="B45" s="1839"/>
      <c r="C45" s="230" t="str">
        <f t="shared" si="9"/>
        <v/>
      </c>
      <c r="D45" s="231" t="e">
        <f t="shared" si="10"/>
        <v>#VALUE!</v>
      </c>
      <c r="E45" s="658"/>
      <c r="F45" s="658"/>
      <c r="G45" s="659"/>
      <c r="H45" s="246">
        <f t="shared" si="13"/>
        <v>0</v>
      </c>
      <c r="I45" s="1217" t="str">
        <f>$I$10</f>
        <v>% Mort/Sel Sem Tab :</v>
      </c>
      <c r="J45" s="1216">
        <f>J47-J40</f>
        <v>1.1999999999999997E-3</v>
      </c>
      <c r="K45" s="1088"/>
      <c r="L45" s="663"/>
      <c r="M45" s="1086"/>
      <c r="N45" s="664"/>
      <c r="O45" s="665"/>
      <c r="P45" s="232">
        <f t="shared" si="11"/>
        <v>0</v>
      </c>
      <c r="Q45" s="665"/>
      <c r="R45" s="233">
        <f t="shared" si="14"/>
        <v>0</v>
      </c>
      <c r="S45" s="234">
        <f>IF(Levante!$N$1&gt;0,O45*$B$1/H45,0)</f>
        <v>0</v>
      </c>
      <c r="T45" s="238">
        <f>IF(SUM(H41:H45)&gt;0,SUM(U41:U45)/SUM(H41:H45),0)</f>
        <v>0</v>
      </c>
      <c r="U45" s="238">
        <f t="shared" si="12"/>
        <v>0</v>
      </c>
      <c r="V45" s="1212">
        <f>IF(Fnac="",0,IFERROR(LOOKUP(Linea,TL!$BY$5:$CJ$5,TL!BY45:CJ45),0))</f>
        <v>0</v>
      </c>
      <c r="W45" s="1793" t="str">
        <f>$W$10</f>
        <v xml:space="preserve">Total Litros Sem: </v>
      </c>
      <c r="X45" s="1794"/>
      <c r="Y45" s="1787">
        <f>SUM(K41:K47)</f>
        <v>0</v>
      </c>
      <c r="Z45" s="1788"/>
      <c r="AA45" s="235">
        <f>IF($AB$3="NO",0,ROUNDDOWN(SUM($O$6:O45)/IF(Iniciar!$C$10="kilos",40,1),0)-SUM($AA$6:$AA44))</f>
        <v>0</v>
      </c>
      <c r="AB45" s="667"/>
      <c r="AC45" s="667"/>
      <c r="AD45" s="236">
        <f t="shared" si="15"/>
        <v>0</v>
      </c>
      <c r="AE45" s="670"/>
      <c r="AF45" s="1222"/>
      <c r="AG45" s="1822"/>
      <c r="AH45" s="1821"/>
      <c r="AI45" s="199"/>
      <c r="AJ45" s="199">
        <f>VLOOKUP(C45,Manejos!$C$10:$M$101,11,FALSE)</f>
        <v>0</v>
      </c>
      <c r="AK45" s="998">
        <f t="shared" si="3"/>
        <v>0</v>
      </c>
      <c r="AL45"/>
      <c r="AM45"/>
    </row>
    <row r="46" spans="1:39" s="219" customFormat="1" ht="13.5" customHeight="1" x14ac:dyDescent="0.3">
      <c r="A46" s="534">
        <f t="shared" si="4"/>
        <v>6</v>
      </c>
      <c r="B46" s="1839"/>
      <c r="C46" s="230" t="str">
        <f t="shared" si="9"/>
        <v/>
      </c>
      <c r="D46" s="231" t="e">
        <f t="shared" si="10"/>
        <v>#VALUE!</v>
      </c>
      <c r="E46" s="658"/>
      <c r="F46" s="658"/>
      <c r="G46" s="659"/>
      <c r="H46" s="246">
        <f t="shared" si="13"/>
        <v>0</v>
      </c>
      <c r="I46" s="1217" t="str">
        <f>$I$11</f>
        <v>% Mort/Sel Acum :</v>
      </c>
      <c r="J46" s="1216">
        <f>IF(Levante!$N$1&gt;0,SUM($E$6:F47)/Levante!$N$1,0)</f>
        <v>0</v>
      </c>
      <c r="K46" s="1088"/>
      <c r="L46" s="663"/>
      <c r="M46" s="1086"/>
      <c r="N46" s="664"/>
      <c r="O46" s="665"/>
      <c r="P46" s="232">
        <f t="shared" si="11"/>
        <v>0</v>
      </c>
      <c r="Q46" s="665"/>
      <c r="R46" s="233">
        <f t="shared" si="14"/>
        <v>0</v>
      </c>
      <c r="S46" s="234">
        <f>IF(Levante!$N$1&gt;0,O46*$B$1/H46,0)</f>
        <v>0</v>
      </c>
      <c r="T46" s="238">
        <f>IF(SUM(H41:H46)&gt;0,SUM(U41:U46)/SUM(H41:H46),0)</f>
        <v>0</v>
      </c>
      <c r="U46" s="238">
        <f t="shared" si="12"/>
        <v>0</v>
      </c>
      <c r="V46" s="1212">
        <f>IF(Fnac="",0,IFERROR(LOOKUP(Linea,TL!$BY$5:$CJ$5,TL!BY46:CJ46),0))</f>
        <v>0</v>
      </c>
      <c r="W46" s="1795" t="str">
        <f>$W$11</f>
        <v xml:space="preserve">Cons ml /ave día: </v>
      </c>
      <c r="X46" s="1796"/>
      <c r="Y46" s="1789">
        <f>IFERROR(Y45/7*1000/H47,0)</f>
        <v>0</v>
      </c>
      <c r="Z46" s="1790"/>
      <c r="AA46" s="235">
        <f>IF($AB$3="NO",0,ROUNDDOWN(SUM($O$6:O46)/IF(Iniciar!$C$10="kilos",40,1),0)-SUM($AA$6:$AA45))</f>
        <v>0</v>
      </c>
      <c r="AB46" s="667"/>
      <c r="AC46" s="667"/>
      <c r="AD46" s="236">
        <f t="shared" si="15"/>
        <v>0</v>
      </c>
      <c r="AE46" s="670"/>
      <c r="AF46" s="1222"/>
      <c r="AG46" s="1822"/>
      <c r="AH46" s="1821"/>
      <c r="AI46" s="199"/>
      <c r="AJ46" s="199">
        <f>VLOOKUP(C46,Manejos!$C$10:$M$101,11,FALSE)</f>
        <v>0</v>
      </c>
      <c r="AK46" s="998">
        <f t="shared" si="3"/>
        <v>0</v>
      </c>
      <c r="AL46"/>
      <c r="AM46"/>
    </row>
    <row r="47" spans="1:39" s="219" customFormat="1" ht="13.5" customHeight="1" x14ac:dyDescent="0.3">
      <c r="A47" s="534">
        <f t="shared" si="4"/>
        <v>6</v>
      </c>
      <c r="B47" s="1840"/>
      <c r="C47" s="230" t="str">
        <f t="shared" si="9"/>
        <v/>
      </c>
      <c r="D47" s="231" t="e">
        <f t="shared" si="10"/>
        <v>#VALUE!</v>
      </c>
      <c r="E47" s="658"/>
      <c r="F47" s="658"/>
      <c r="G47" s="659"/>
      <c r="H47" s="246">
        <f t="shared" si="13"/>
        <v>0</v>
      </c>
      <c r="I47" s="1217" t="str">
        <f>$I$12</f>
        <v>% Mort/Sel Acm Tab :</v>
      </c>
      <c r="J47" s="1216">
        <f>$E$3*0.006</f>
        <v>1.2E-2</v>
      </c>
      <c r="K47" s="1088"/>
      <c r="L47" s="663"/>
      <c r="M47" s="1086"/>
      <c r="N47" s="664"/>
      <c r="O47" s="665"/>
      <c r="P47" s="232">
        <f t="shared" si="11"/>
        <v>0</v>
      </c>
      <c r="Q47" s="665"/>
      <c r="R47" s="233">
        <f t="shared" si="14"/>
        <v>0</v>
      </c>
      <c r="S47" s="234">
        <f>IF(Levante!$N$1&gt;0,O47/IF(SUM(O41:O46)=0,7,1)*$B$1/H47,0)</f>
        <v>0</v>
      </c>
      <c r="T47" s="238">
        <f>IF(SUM(H41:H47)&gt;0,SUM(U41:U47)/SUM(H41:H47),0)</f>
        <v>0</v>
      </c>
      <c r="U47" s="238">
        <f t="shared" si="12"/>
        <v>0</v>
      </c>
      <c r="V47" s="1212">
        <f>IF(Fnac="",0,IFERROR(LOOKUP(Linea,TL!$BY$5:$CJ$5,TL!BY47:CJ47),0))</f>
        <v>0</v>
      </c>
      <c r="W47" s="1825" t="str">
        <f>$W$12</f>
        <v xml:space="preserve">Relación Agua /Alimto: </v>
      </c>
      <c r="X47" s="1826"/>
      <c r="Y47" s="1791">
        <f>IFERROR(Y46/X41,0)</f>
        <v>0</v>
      </c>
      <c r="Z47" s="1792"/>
      <c r="AA47" s="235">
        <f>IF($AB$3="NO",0,ROUNDDOWN(SUM($O$6:O47)/IF(Iniciar!$C$10="kilos",40,1),0)-SUM($AA$6:$AA46))</f>
        <v>0</v>
      </c>
      <c r="AB47" s="667"/>
      <c r="AC47" s="667"/>
      <c r="AD47" s="236">
        <f t="shared" si="15"/>
        <v>0</v>
      </c>
      <c r="AE47" s="670"/>
      <c r="AF47" s="1222"/>
      <c r="AG47" s="1822"/>
      <c r="AH47" s="1821"/>
      <c r="AI47" s="199">
        <f>IF(OR(J41&gt;0,X41&gt;0),B40,AI40)</f>
        <v>0</v>
      </c>
      <c r="AJ47" s="199">
        <f>VLOOKUP(C47,Manejos!$C$10:$M$101,11,FALSE)</f>
        <v>0</v>
      </c>
      <c r="AK47" s="998">
        <f t="shared" si="3"/>
        <v>0</v>
      </c>
      <c r="AL47"/>
      <c r="AM47"/>
    </row>
    <row r="48" spans="1:39" s="219" customFormat="1" ht="13.5" customHeight="1" x14ac:dyDescent="0.3">
      <c r="A48" s="534">
        <f>B48</f>
        <v>7</v>
      </c>
      <c r="B48" s="1838">
        <f>B41+1</f>
        <v>7</v>
      </c>
      <c r="C48" s="230" t="str">
        <f t="shared" si="9"/>
        <v/>
      </c>
      <c r="D48" s="231" t="e">
        <f t="shared" si="10"/>
        <v>#VALUE!</v>
      </c>
      <c r="E48" s="658"/>
      <c r="F48" s="658"/>
      <c r="G48" s="659"/>
      <c r="H48" s="246">
        <f t="shared" si="13"/>
        <v>0</v>
      </c>
      <c r="I48" s="1210" t="str">
        <f>$I$6</f>
        <v>T. Salidas Sem :</v>
      </c>
      <c r="J48" s="1211">
        <f>SUMIF(E48:G54,"&gt;0")</f>
        <v>0</v>
      </c>
      <c r="K48" s="1088"/>
      <c r="L48" s="663"/>
      <c r="M48" s="1086"/>
      <c r="N48" s="664"/>
      <c r="O48" s="665"/>
      <c r="P48" s="232">
        <f t="shared" si="11"/>
        <v>0</v>
      </c>
      <c r="Q48" s="665"/>
      <c r="R48" s="233">
        <f t="shared" si="14"/>
        <v>0</v>
      </c>
      <c r="S48" s="234">
        <f>IF(Levante!$N$1&gt;0,O48*$B$1/H48,0)</f>
        <v>0</v>
      </c>
      <c r="T48" s="238">
        <f>IF(SUM(H48:H48)&gt;0,SUM(U48:U48)/SUM(H48:H48),0)</f>
        <v>0</v>
      </c>
      <c r="U48" s="238">
        <f t="shared" si="12"/>
        <v>0</v>
      </c>
      <c r="V48" s="1212">
        <f>IF(Fnac="",0,IFERROR(LOOKUP(Linea,TL!$BY$5:$CJ$5,TL!BY48:CJ48),0))</f>
        <v>0</v>
      </c>
      <c r="W48" s="1779" t="str">
        <f>$W$6</f>
        <v xml:space="preserve">Gr. Ave Dia : </v>
      </c>
      <c r="X48" s="1781">
        <f>IF(AND(COUNT(O48:O53)&gt;0,O54&gt;0),T54,S54)</f>
        <v>0</v>
      </c>
      <c r="Y48" s="1219">
        <f>IFERROR(LOOKUP(B48,TL!$A$6:$A$23,GSh!$O$6:$O$23),0)</f>
        <v>0</v>
      </c>
      <c r="Z48" s="1783">
        <f>IF(AND(Y48&gt;0,Y49&gt;0,X48&gt;0),(X48-(IF(X48&gt;Y49,Y49,IF(X48&lt;Y48,Y48,X48))))/(IF(X48&gt;Y49,Y49,IF(X48&lt;Y48,Y48,X48)))*100,0)</f>
        <v>0</v>
      </c>
      <c r="AA48" s="235">
        <f>IF($AB$3="NO",0,ROUNDDOWN(SUM($O$6:O48)/IF(Iniciar!$C$10="kilos",40,1),0)-SUM($AA$6:$AA47))</f>
        <v>0</v>
      </c>
      <c r="AB48" s="667"/>
      <c r="AC48" s="667"/>
      <c r="AD48" s="236">
        <f t="shared" si="15"/>
        <v>0</v>
      </c>
      <c r="AE48" s="670"/>
      <c r="AF48" s="1222"/>
      <c r="AG48" s="1822"/>
      <c r="AH48" s="1821">
        <f>AH41+1</f>
        <v>7</v>
      </c>
      <c r="AI48" s="538">
        <f>SUMPRODUCT(O48:O54,M48:M54)</f>
        <v>0</v>
      </c>
      <c r="AJ48" s="199">
        <f>VLOOKUP(C48,Manejos!$C$10:$M$101,11,FALSE)</f>
        <v>0</v>
      </c>
      <c r="AK48" s="998">
        <f t="shared" si="3"/>
        <v>0</v>
      </c>
      <c r="AL48"/>
      <c r="AM48"/>
    </row>
    <row r="49" spans="1:39" s="219" customFormat="1" ht="13.5" customHeight="1" x14ac:dyDescent="0.3">
      <c r="A49" s="534">
        <f t="shared" si="4"/>
        <v>7</v>
      </c>
      <c r="B49" s="1839"/>
      <c r="C49" s="230" t="str">
        <f t="shared" si="9"/>
        <v/>
      </c>
      <c r="D49" s="231" t="e">
        <f t="shared" si="10"/>
        <v>#VALUE!</v>
      </c>
      <c r="E49" s="658"/>
      <c r="F49" s="658"/>
      <c r="G49" s="659"/>
      <c r="H49" s="246">
        <f t="shared" si="13"/>
        <v>0</v>
      </c>
      <c r="I49" s="1210" t="str">
        <f>$I$7</f>
        <v>T. Salidas Acm :</v>
      </c>
      <c r="J49" s="1211">
        <f>J42+J48</f>
        <v>0</v>
      </c>
      <c r="K49" s="1088"/>
      <c r="L49" s="663"/>
      <c r="M49" s="1086"/>
      <c r="N49" s="664"/>
      <c r="O49" s="665"/>
      <c r="P49" s="232">
        <f t="shared" si="11"/>
        <v>0</v>
      </c>
      <c r="Q49" s="665"/>
      <c r="R49" s="233">
        <f t="shared" si="14"/>
        <v>0</v>
      </c>
      <c r="S49" s="234">
        <f>IF(Levante!$N$1&gt;0,O49*$B$1/H49,0)</f>
        <v>0</v>
      </c>
      <c r="T49" s="238">
        <f>IF(SUM(H48:H49)&gt;0,SUM(U48:U49)/SUM(H48:H49),0)</f>
        <v>0</v>
      </c>
      <c r="U49" s="238">
        <f t="shared" si="12"/>
        <v>0</v>
      </c>
      <c r="V49" s="1212">
        <f>IF(Fnac="",0,IFERROR(LOOKUP(Linea,TL!$BY$5:$CJ$5,TL!BY49:CJ49),0))</f>
        <v>0</v>
      </c>
      <c r="W49" s="1780"/>
      <c r="X49" s="1782"/>
      <c r="Y49" s="997">
        <f>IFERROR(LOOKUP(B48,TL!$A$6:$A$23,GSh!$P$6:$P$23),0)</f>
        <v>0</v>
      </c>
      <c r="Z49" s="1784">
        <f>IF(AND(X49&gt;0,Y49&gt;0,W49&gt;0),(W49-(IF(W49&gt;Y49,Y49,IF(W49&lt;X49,X49,W49))))/(IF(W49&gt;Y49,Y49,IF(W49&lt;X49,X49,W49)))*100,0)</f>
        <v>0</v>
      </c>
      <c r="AA49" s="235">
        <f>IF($AB$3="NO",0,ROUNDDOWN(SUM($O$6:O49)/IF(Iniciar!$C$10="kilos",40,1),0)-SUM($AA$6:$AA48))</f>
        <v>0</v>
      </c>
      <c r="AB49" s="667"/>
      <c r="AC49" s="667"/>
      <c r="AD49" s="236">
        <f t="shared" si="15"/>
        <v>0</v>
      </c>
      <c r="AE49" s="670"/>
      <c r="AF49" s="1222"/>
      <c r="AG49" s="1822"/>
      <c r="AH49" s="1821"/>
      <c r="AI49" s="199"/>
      <c r="AJ49" s="199">
        <f>VLOOKUP(C49,Manejos!$C$10:$M$101,11,FALSE)</f>
        <v>0</v>
      </c>
      <c r="AK49" s="998">
        <f t="shared" si="3"/>
        <v>0</v>
      </c>
      <c r="AL49"/>
      <c r="AM49"/>
    </row>
    <row r="50" spans="1:39" s="219" customFormat="1" ht="14.25" customHeight="1" x14ac:dyDescent="0.25">
      <c r="A50" s="534">
        <f t="shared" si="4"/>
        <v>7</v>
      </c>
      <c r="B50" s="1839"/>
      <c r="C50" s="230" t="str">
        <f t="shared" si="9"/>
        <v/>
      </c>
      <c r="D50" s="231" t="e">
        <f t="shared" si="10"/>
        <v>#VALUE!</v>
      </c>
      <c r="E50" s="658"/>
      <c r="F50" s="658"/>
      <c r="G50" s="659"/>
      <c r="H50" s="246">
        <f t="shared" si="13"/>
        <v>0</v>
      </c>
      <c r="I50" s="1213" t="str">
        <f>$I$8</f>
        <v>Saldo Aves :</v>
      </c>
      <c r="J50" s="1214">
        <f>H54</f>
        <v>0</v>
      </c>
      <c r="K50" s="1088"/>
      <c r="L50" s="663"/>
      <c r="M50" s="1086"/>
      <c r="N50" s="664"/>
      <c r="O50" s="665"/>
      <c r="P50" s="232">
        <f t="shared" si="11"/>
        <v>0</v>
      </c>
      <c r="Q50" s="665"/>
      <c r="R50" s="233">
        <f t="shared" si="14"/>
        <v>0</v>
      </c>
      <c r="S50" s="234">
        <f>IF(Levante!$N$1&gt;0,O50*$B$1/H50,0)</f>
        <v>0</v>
      </c>
      <c r="T50" s="238">
        <f>IF(SUM(H48:H50)&gt;0,SUM(U48:U50)/SUM(H48:H50),0)</f>
        <v>0</v>
      </c>
      <c r="U50" s="238">
        <f t="shared" si="12"/>
        <v>0</v>
      </c>
      <c r="V50" s="1212">
        <f>IF(Fnac="",0,IFERROR(LOOKUP(Linea,TL!$BY$5:$CJ$5,TL!BY50:CJ50),0))</f>
        <v>0</v>
      </c>
      <c r="W50" s="1785" t="str">
        <f>$W$8</f>
        <v xml:space="preserve">Gr. Ave Acu : </v>
      </c>
      <c r="X50" s="1775">
        <f>X43+X48*7</f>
        <v>0</v>
      </c>
      <c r="Y50" s="992">
        <f>IFERROR(LOOKUP(B48,TL!$A$6:$A$23,GSh!$V$6:$V$23),0)</f>
        <v>0</v>
      </c>
      <c r="Z50" s="1777">
        <f>IF(AND(Y50&gt;0,Y51&gt;0,X50&gt;0),(X50-(IF(X50&gt;Y51,Y51,IF(X50&lt;Y50,Y50,X50))))/(IF(X50&gt;Y51,Y51,IF(X50&lt;Y50,Y50,X50)))*100,0)</f>
        <v>0</v>
      </c>
      <c r="AA50" s="235">
        <f>IF($AB$3="NO",0,ROUNDDOWN(SUM($O$6:O50)/IF(Iniciar!$C$10="kilos",40,1),0)-SUM($AA$6:$AA49))</f>
        <v>0</v>
      </c>
      <c r="AB50" s="667"/>
      <c r="AC50" s="667"/>
      <c r="AD50" s="236">
        <f t="shared" si="15"/>
        <v>0</v>
      </c>
      <c r="AE50" s="670"/>
      <c r="AF50" s="1222"/>
      <c r="AG50" s="1822"/>
      <c r="AH50" s="1821"/>
      <c r="AI50" s="199"/>
      <c r="AJ50" s="199">
        <f>VLOOKUP(C50,Manejos!$C$10:$M$101,11,FALSE)</f>
        <v>0</v>
      </c>
      <c r="AK50" s="998">
        <f t="shared" si="3"/>
        <v>0</v>
      </c>
      <c r="AL50"/>
      <c r="AM50"/>
    </row>
    <row r="51" spans="1:39" s="219" customFormat="1" ht="13.5" customHeight="1" x14ac:dyDescent="0.3">
      <c r="A51" s="534">
        <f t="shared" si="4"/>
        <v>7</v>
      </c>
      <c r="B51" s="1839"/>
      <c r="C51" s="230" t="str">
        <f t="shared" si="9"/>
        <v/>
      </c>
      <c r="D51" s="231" t="e">
        <f t="shared" si="10"/>
        <v>#VALUE!</v>
      </c>
      <c r="E51" s="658"/>
      <c r="F51" s="658"/>
      <c r="G51" s="659"/>
      <c r="H51" s="246">
        <f t="shared" si="13"/>
        <v>0</v>
      </c>
      <c r="I51" s="1217" t="str">
        <f>$I$9</f>
        <v>% Mort/Sel Sem :</v>
      </c>
      <c r="J51" s="1216">
        <f>IF(Levante!$N$1&gt;0,SUM(E48:F54)/Levante!$N$1,0)</f>
        <v>0</v>
      </c>
      <c r="K51" s="1088"/>
      <c r="L51" s="663"/>
      <c r="M51" s="1086"/>
      <c r="N51" s="664"/>
      <c r="O51" s="665"/>
      <c r="P51" s="232">
        <f t="shared" si="11"/>
        <v>0</v>
      </c>
      <c r="Q51" s="665"/>
      <c r="R51" s="233">
        <f t="shared" si="14"/>
        <v>0</v>
      </c>
      <c r="S51" s="234">
        <f>IF(Levante!$N$1&gt;0,O51*$B$1/H51,0)</f>
        <v>0</v>
      </c>
      <c r="T51" s="238">
        <f>IF(SUM(H48:H51)&gt;0,SUM(U48:U51)/SUM(H48:H51),0)</f>
        <v>0</v>
      </c>
      <c r="U51" s="238">
        <f t="shared" si="12"/>
        <v>0</v>
      </c>
      <c r="V51" s="1212">
        <f>IF(Fnac="",0,IFERROR(LOOKUP(Linea,TL!$BY$5:$CJ$5,TL!BY51:CJ51),0))</f>
        <v>0</v>
      </c>
      <c r="W51" s="1786"/>
      <c r="X51" s="1776"/>
      <c r="Y51" s="993">
        <f>IFERROR(LOOKUP(B48,TL!$A$6:$A$23,GSh!$W$6:$W$23),0)</f>
        <v>0</v>
      </c>
      <c r="Z51" s="1778">
        <f>IF(AND(X51&gt;0,Y51&gt;0,W51&gt;0),(W51-(IF(W51&gt;Y51,Y51,IF(W51&lt;X51,X51,W51))))/(IF(W51&gt;Y51,Y51,IF(W51&lt;X51,X51,W51)))*100,0)</f>
        <v>0</v>
      </c>
      <c r="AA51" s="235">
        <f>IF($AB$3="NO",0,ROUNDDOWN(SUM($O$6:O51)/IF(Iniciar!$C$10="kilos",40,1),0)-SUM($AA$6:$AA50))</f>
        <v>0</v>
      </c>
      <c r="AB51" s="667"/>
      <c r="AC51" s="667"/>
      <c r="AD51" s="236">
        <f t="shared" si="15"/>
        <v>0</v>
      </c>
      <c r="AE51" s="670"/>
      <c r="AF51" s="1222"/>
      <c r="AG51" s="1822"/>
      <c r="AH51" s="1821"/>
      <c r="AI51" s="199"/>
      <c r="AJ51" s="199">
        <f>VLOOKUP(C51,Manejos!$C$10:$M$101,11,FALSE)</f>
        <v>0</v>
      </c>
      <c r="AK51" s="998">
        <f t="shared" si="3"/>
        <v>0</v>
      </c>
      <c r="AL51"/>
      <c r="AM51"/>
    </row>
    <row r="52" spans="1:39" s="219" customFormat="1" ht="13.5" customHeight="1" x14ac:dyDescent="0.3">
      <c r="A52" s="534">
        <f t="shared" si="4"/>
        <v>7</v>
      </c>
      <c r="B52" s="1839"/>
      <c r="C52" s="230" t="str">
        <f t="shared" si="9"/>
        <v/>
      </c>
      <c r="D52" s="231" t="e">
        <f t="shared" si="10"/>
        <v>#VALUE!</v>
      </c>
      <c r="E52" s="658"/>
      <c r="F52" s="658"/>
      <c r="G52" s="659"/>
      <c r="H52" s="246">
        <f t="shared" si="13"/>
        <v>0</v>
      </c>
      <c r="I52" s="1217" t="str">
        <f>$I$10</f>
        <v>% Mort/Sel Sem Tab :</v>
      </c>
      <c r="J52" s="1216">
        <f>J54-J47</f>
        <v>8.0000000000000036E-4</v>
      </c>
      <c r="K52" s="1088"/>
      <c r="L52" s="663"/>
      <c r="M52" s="1086"/>
      <c r="N52" s="664"/>
      <c r="O52" s="665"/>
      <c r="P52" s="232">
        <f t="shared" si="11"/>
        <v>0</v>
      </c>
      <c r="Q52" s="665"/>
      <c r="R52" s="233">
        <f t="shared" si="14"/>
        <v>0</v>
      </c>
      <c r="S52" s="234">
        <f>IF(Levante!$N$1&gt;0,O52*$B$1/H52,0)</f>
        <v>0</v>
      </c>
      <c r="T52" s="238">
        <f>IF(SUM(H48:H52)&gt;0,SUM(U48:U52)/SUM(H48:H52),0)</f>
        <v>0</v>
      </c>
      <c r="U52" s="238">
        <f t="shared" si="12"/>
        <v>0</v>
      </c>
      <c r="V52" s="1212">
        <f>IF(Fnac="",0,IFERROR(LOOKUP(Linea,TL!$BY$5:$CJ$5,TL!BY52:CJ52),0))</f>
        <v>0</v>
      </c>
      <c r="W52" s="1793" t="str">
        <f>$W$10</f>
        <v xml:space="preserve">Total Litros Sem: </v>
      </c>
      <c r="X52" s="1794"/>
      <c r="Y52" s="1787">
        <f>SUM(K48:K54)</f>
        <v>0</v>
      </c>
      <c r="Z52" s="1788"/>
      <c r="AA52" s="235">
        <f>IF($AB$3="NO",0,ROUNDDOWN(SUM($O$6:O52)/IF(Iniciar!$C$10="kilos",40,1),0)-SUM($AA$6:$AA51))</f>
        <v>0</v>
      </c>
      <c r="AB52" s="667"/>
      <c r="AC52" s="667"/>
      <c r="AD52" s="236">
        <f t="shared" si="15"/>
        <v>0</v>
      </c>
      <c r="AE52" s="670"/>
      <c r="AF52" s="1222"/>
      <c r="AG52" s="1822"/>
      <c r="AH52" s="1821"/>
      <c r="AI52" s="199"/>
      <c r="AJ52" s="199">
        <f>VLOOKUP(C52,Manejos!$C$10:$M$101,11,FALSE)</f>
        <v>0</v>
      </c>
      <c r="AK52" s="998">
        <f t="shared" si="3"/>
        <v>0</v>
      </c>
      <c r="AL52"/>
      <c r="AM52"/>
    </row>
    <row r="53" spans="1:39" s="219" customFormat="1" ht="13.5" customHeight="1" x14ac:dyDescent="0.3">
      <c r="A53" s="534">
        <f t="shared" si="4"/>
        <v>7</v>
      </c>
      <c r="B53" s="1839"/>
      <c r="C53" s="230" t="str">
        <f t="shared" si="9"/>
        <v/>
      </c>
      <c r="D53" s="231" t="e">
        <f t="shared" si="10"/>
        <v>#VALUE!</v>
      </c>
      <c r="E53" s="658"/>
      <c r="F53" s="658"/>
      <c r="G53" s="659"/>
      <c r="H53" s="246">
        <f t="shared" si="13"/>
        <v>0</v>
      </c>
      <c r="I53" s="1217" t="str">
        <f>$I$11</f>
        <v>% Mort/Sel Acum :</v>
      </c>
      <c r="J53" s="1216">
        <f>IF(Levante!$N$1&gt;0,SUM($E$6:F54)/Levante!$N$1,0)</f>
        <v>0</v>
      </c>
      <c r="K53" s="1088"/>
      <c r="L53" s="663"/>
      <c r="M53" s="1086"/>
      <c r="N53" s="664"/>
      <c r="O53" s="665"/>
      <c r="P53" s="232">
        <f t="shared" si="11"/>
        <v>0</v>
      </c>
      <c r="Q53" s="665"/>
      <c r="R53" s="233">
        <f t="shared" si="14"/>
        <v>0</v>
      </c>
      <c r="S53" s="234">
        <f>IF(Levante!$N$1&gt;0,O53*$B$1/H53,0)</f>
        <v>0</v>
      </c>
      <c r="T53" s="238">
        <f>IF(SUM(H48:H53)&gt;0,SUM(U48:U53)/SUM(H48:H53),0)</f>
        <v>0</v>
      </c>
      <c r="U53" s="238">
        <f t="shared" si="12"/>
        <v>0</v>
      </c>
      <c r="V53" s="1212">
        <f>IF(Fnac="",0,IFERROR(LOOKUP(Linea,TL!$BY$5:$CJ$5,TL!BY53:CJ53),0))</f>
        <v>0</v>
      </c>
      <c r="W53" s="1795" t="str">
        <f>$W$11</f>
        <v xml:space="preserve">Cons ml /ave día: </v>
      </c>
      <c r="X53" s="1796"/>
      <c r="Y53" s="1789">
        <f>IFERROR(Y52/7*1000/H54,0)</f>
        <v>0</v>
      </c>
      <c r="Z53" s="1790"/>
      <c r="AA53" s="235">
        <f>IF($AB$3="NO",0,ROUNDDOWN(SUM($O$6:O53)/IF(Iniciar!$C$10="kilos",40,1),0)-SUM($AA$6:$AA52))</f>
        <v>0</v>
      </c>
      <c r="AB53" s="667"/>
      <c r="AC53" s="667"/>
      <c r="AD53" s="236">
        <f t="shared" si="15"/>
        <v>0</v>
      </c>
      <c r="AE53" s="670"/>
      <c r="AF53" s="1222"/>
      <c r="AG53" s="1822"/>
      <c r="AH53" s="1821"/>
      <c r="AI53" s="199"/>
      <c r="AJ53" s="199">
        <f>VLOOKUP(C53,Manejos!$C$10:$M$101,11,FALSE)</f>
        <v>0</v>
      </c>
      <c r="AK53" s="998">
        <f t="shared" si="3"/>
        <v>0</v>
      </c>
      <c r="AL53"/>
      <c r="AM53"/>
    </row>
    <row r="54" spans="1:39" s="219" customFormat="1" ht="13.5" customHeight="1" x14ac:dyDescent="0.3">
      <c r="A54" s="534">
        <f t="shared" si="4"/>
        <v>7</v>
      </c>
      <c r="B54" s="1840"/>
      <c r="C54" s="230" t="str">
        <f t="shared" si="9"/>
        <v/>
      </c>
      <c r="D54" s="231" t="e">
        <f t="shared" si="10"/>
        <v>#VALUE!</v>
      </c>
      <c r="E54" s="658"/>
      <c r="F54" s="658"/>
      <c r="G54" s="659"/>
      <c r="H54" s="246">
        <f t="shared" si="13"/>
        <v>0</v>
      </c>
      <c r="I54" s="1217" t="str">
        <f>$I$12</f>
        <v>% Mort/Sel Acm Tab :</v>
      </c>
      <c r="J54" s="1216">
        <f>$E$3*0.0064</f>
        <v>1.2800000000000001E-2</v>
      </c>
      <c r="K54" s="1088"/>
      <c r="L54" s="663"/>
      <c r="M54" s="1086"/>
      <c r="N54" s="664"/>
      <c r="O54" s="665"/>
      <c r="P54" s="232">
        <f t="shared" si="11"/>
        <v>0</v>
      </c>
      <c r="Q54" s="665"/>
      <c r="R54" s="233">
        <f t="shared" si="14"/>
        <v>0</v>
      </c>
      <c r="S54" s="234">
        <f>IF(Levante!$N$1&gt;0,O54/IF(SUM(O48:O53)=0,7,1)*$B$1/H54,0)</f>
        <v>0</v>
      </c>
      <c r="T54" s="238">
        <f>IF(SUM(H48:H54)&gt;0,SUM(U48:U54)/SUM(H48:H54),0)</f>
        <v>0</v>
      </c>
      <c r="U54" s="238">
        <f t="shared" si="12"/>
        <v>0</v>
      </c>
      <c r="V54" s="1212">
        <f>IF(Fnac="",0,IFERROR(LOOKUP(Linea,TL!$BY$5:$CJ$5,TL!BY54:CJ54),0))</f>
        <v>0</v>
      </c>
      <c r="W54" s="1825" t="str">
        <f>$W$12</f>
        <v xml:space="preserve">Relación Agua /Alimto: </v>
      </c>
      <c r="X54" s="1826"/>
      <c r="Y54" s="1791">
        <f>IFERROR(Y53/X48,0)</f>
        <v>0</v>
      </c>
      <c r="Z54" s="1792"/>
      <c r="AA54" s="235">
        <f>IF($AB$3="NO",0,ROUNDDOWN(SUM($O$6:O54)/IF(Iniciar!$C$10="kilos",40,1),0)-SUM($AA$6:$AA53))</f>
        <v>0</v>
      </c>
      <c r="AB54" s="667"/>
      <c r="AC54" s="667"/>
      <c r="AD54" s="236">
        <f t="shared" si="15"/>
        <v>0</v>
      </c>
      <c r="AE54" s="670"/>
      <c r="AF54" s="1222"/>
      <c r="AG54" s="1822"/>
      <c r="AH54" s="1821"/>
      <c r="AI54" s="199">
        <f>IF(OR(J48&gt;0,X48&gt;0),B47,AI47)</f>
        <v>0</v>
      </c>
      <c r="AJ54" s="199">
        <f>VLOOKUP(C54,Manejos!$C$10:$M$101,11,FALSE)</f>
        <v>0</v>
      </c>
      <c r="AK54" s="998">
        <f t="shared" si="3"/>
        <v>0</v>
      </c>
      <c r="AL54"/>
      <c r="AM54"/>
    </row>
    <row r="55" spans="1:39" s="219" customFormat="1" ht="13.5" customHeight="1" x14ac:dyDescent="0.3">
      <c r="A55" s="534">
        <f>B55</f>
        <v>8</v>
      </c>
      <c r="B55" s="1838">
        <f>B48+1</f>
        <v>8</v>
      </c>
      <c r="C55" s="230" t="str">
        <f t="shared" si="9"/>
        <v/>
      </c>
      <c r="D55" s="231" t="e">
        <f t="shared" si="10"/>
        <v>#VALUE!</v>
      </c>
      <c r="E55" s="658"/>
      <c r="F55" s="658"/>
      <c r="G55" s="659"/>
      <c r="H55" s="246">
        <f t="shared" si="13"/>
        <v>0</v>
      </c>
      <c r="I55" s="1210" t="str">
        <f>$I$6</f>
        <v>T. Salidas Sem :</v>
      </c>
      <c r="J55" s="1211">
        <f>SUMIF(E55:G61,"&gt;0")</f>
        <v>0</v>
      </c>
      <c r="K55" s="1088"/>
      <c r="L55" s="663"/>
      <c r="M55" s="1086"/>
      <c r="N55" s="664"/>
      <c r="O55" s="665"/>
      <c r="P55" s="232">
        <f t="shared" si="11"/>
        <v>0</v>
      </c>
      <c r="Q55" s="665"/>
      <c r="R55" s="233">
        <f t="shared" si="14"/>
        <v>0</v>
      </c>
      <c r="S55" s="234">
        <f>IF(Levante!$N$1&gt;0,O55*$B$1/H55,0)</f>
        <v>0</v>
      </c>
      <c r="T55" s="238">
        <f>IF(SUM(H55:H55)&gt;0,SUM(U55:U55)/SUM(H55:H55),0)</f>
        <v>0</v>
      </c>
      <c r="U55" s="238">
        <f t="shared" si="12"/>
        <v>0</v>
      </c>
      <c r="V55" s="1212">
        <f>IF(Fnac="",0,IFERROR(LOOKUP(Linea,TL!$BY$5:$CJ$5,TL!BY55:CJ55),0))</f>
        <v>0</v>
      </c>
      <c r="W55" s="1779" t="str">
        <f>$W$6</f>
        <v xml:space="preserve">Gr. Ave Dia : </v>
      </c>
      <c r="X55" s="1781">
        <f>IF(AND(COUNT(O55:O60)&gt;0,O61&gt;0),T61,S61)</f>
        <v>0</v>
      </c>
      <c r="Y55" s="1219">
        <f>IFERROR(LOOKUP(B55,TL!$A$6:$A$23,GSh!$O$6:$O$23),0)</f>
        <v>0</v>
      </c>
      <c r="Z55" s="1783">
        <f>IF(AND(Y55&gt;0,Y56&gt;0,X55&gt;0),(X55-(IF(X55&gt;Y56,Y56,IF(X55&lt;Y55,Y55,X55))))/(IF(X55&gt;Y56,Y56,IF(X55&lt;Y55,Y55,X55)))*100,0)</f>
        <v>0</v>
      </c>
      <c r="AA55" s="235">
        <f>IF($AB$3="NO",0,ROUNDDOWN(SUM($O$6:O55)/IF(Iniciar!$C$10="kilos",40,1),0)-SUM($AA$6:$AA54))</f>
        <v>0</v>
      </c>
      <c r="AB55" s="667"/>
      <c r="AC55" s="667"/>
      <c r="AD55" s="236">
        <f t="shared" si="15"/>
        <v>0</v>
      </c>
      <c r="AE55" s="670"/>
      <c r="AF55" s="1222"/>
      <c r="AG55" s="1822"/>
      <c r="AH55" s="1821">
        <f>AH48+1</f>
        <v>8</v>
      </c>
      <c r="AI55" s="538">
        <f>SUMPRODUCT(O55:O61,M55:M61)</f>
        <v>0</v>
      </c>
      <c r="AJ55" s="199">
        <f>VLOOKUP(C55,Manejos!$C$10:$M$101,11,FALSE)</f>
        <v>0</v>
      </c>
      <c r="AK55" s="998">
        <f t="shared" si="3"/>
        <v>0</v>
      </c>
      <c r="AL55"/>
      <c r="AM55"/>
    </row>
    <row r="56" spans="1:39" s="219" customFormat="1" ht="13.5" customHeight="1" x14ac:dyDescent="0.3">
      <c r="A56" s="534">
        <f t="shared" si="4"/>
        <v>8</v>
      </c>
      <c r="B56" s="1839"/>
      <c r="C56" s="230" t="str">
        <f t="shared" si="9"/>
        <v/>
      </c>
      <c r="D56" s="231" t="e">
        <f t="shared" si="10"/>
        <v>#VALUE!</v>
      </c>
      <c r="E56" s="658"/>
      <c r="F56" s="658"/>
      <c r="G56" s="659"/>
      <c r="H56" s="246">
        <f t="shared" si="13"/>
        <v>0</v>
      </c>
      <c r="I56" s="1210" t="str">
        <f>$I$7</f>
        <v>T. Salidas Acm :</v>
      </c>
      <c r="J56" s="1211">
        <f>J49+J55</f>
        <v>0</v>
      </c>
      <c r="K56" s="1088"/>
      <c r="L56" s="663"/>
      <c r="M56" s="1086"/>
      <c r="N56" s="664"/>
      <c r="O56" s="665"/>
      <c r="P56" s="232">
        <f t="shared" si="11"/>
        <v>0</v>
      </c>
      <c r="Q56" s="665"/>
      <c r="R56" s="233">
        <f t="shared" si="14"/>
        <v>0</v>
      </c>
      <c r="S56" s="234">
        <f>IF(Levante!$N$1&gt;0,O56*$B$1/H56,0)</f>
        <v>0</v>
      </c>
      <c r="T56" s="238">
        <f>IF(SUM(H55:H56)&gt;0,SUM(U55:U56)/SUM(H55:H56),0)</f>
        <v>0</v>
      </c>
      <c r="U56" s="238">
        <f t="shared" si="12"/>
        <v>0</v>
      </c>
      <c r="V56" s="1212">
        <f>IF(Fnac="",0,IFERROR(LOOKUP(Linea,TL!$BY$5:$CJ$5,TL!BY56:CJ56),0))</f>
        <v>0</v>
      </c>
      <c r="W56" s="1780"/>
      <c r="X56" s="1782"/>
      <c r="Y56" s="997">
        <f>IFERROR(LOOKUP(B55,TL!$A$6:$A$23,GSh!$P$6:$P$23),0)</f>
        <v>0</v>
      </c>
      <c r="Z56" s="1784">
        <f>IF(AND(X56&gt;0,Y56&gt;0,W56&gt;0),(W56-(IF(W56&gt;Y56,Y56,IF(W56&lt;X56,X56,W56))))/(IF(W56&gt;Y56,Y56,IF(W56&lt;X56,X56,W56)))*100,0)</f>
        <v>0</v>
      </c>
      <c r="AA56" s="235">
        <f>IF($AB$3="NO",0,ROUNDDOWN(SUM($O$6:O56)/IF(Iniciar!$C$10="kilos",40,1),0)-SUM($AA$6:$AA55))</f>
        <v>0</v>
      </c>
      <c r="AB56" s="667"/>
      <c r="AC56" s="667"/>
      <c r="AD56" s="236">
        <f t="shared" si="15"/>
        <v>0</v>
      </c>
      <c r="AE56" s="670"/>
      <c r="AF56" s="1222"/>
      <c r="AG56" s="1822"/>
      <c r="AH56" s="1821"/>
      <c r="AI56" s="199"/>
      <c r="AJ56" s="199">
        <f>VLOOKUP(C56,Manejos!$C$10:$M$101,11,FALSE)</f>
        <v>0</v>
      </c>
      <c r="AK56" s="998">
        <f t="shared" si="3"/>
        <v>0</v>
      </c>
      <c r="AL56"/>
      <c r="AM56"/>
    </row>
    <row r="57" spans="1:39" s="219" customFormat="1" ht="13.5" customHeight="1" x14ac:dyDescent="0.25">
      <c r="A57" s="534">
        <f t="shared" si="4"/>
        <v>8</v>
      </c>
      <c r="B57" s="1839"/>
      <c r="C57" s="230" t="str">
        <f t="shared" si="9"/>
        <v/>
      </c>
      <c r="D57" s="231" t="e">
        <f t="shared" si="10"/>
        <v>#VALUE!</v>
      </c>
      <c r="E57" s="658"/>
      <c r="F57" s="658"/>
      <c r="G57" s="659"/>
      <c r="H57" s="246">
        <f t="shared" si="13"/>
        <v>0</v>
      </c>
      <c r="I57" s="1213" t="str">
        <f>$I$8</f>
        <v>Saldo Aves :</v>
      </c>
      <c r="J57" s="1214">
        <f>H61</f>
        <v>0</v>
      </c>
      <c r="K57" s="1088"/>
      <c r="L57" s="663"/>
      <c r="M57" s="1086"/>
      <c r="N57" s="664"/>
      <c r="O57" s="665"/>
      <c r="P57" s="232">
        <f t="shared" si="11"/>
        <v>0</v>
      </c>
      <c r="Q57" s="665"/>
      <c r="R57" s="233">
        <f t="shared" si="14"/>
        <v>0</v>
      </c>
      <c r="S57" s="234">
        <f>IF(Levante!$N$1&gt;0,O57*$B$1/H57,0)</f>
        <v>0</v>
      </c>
      <c r="T57" s="238">
        <f>IF(SUM(H55:H57)&gt;0,SUM(U55:U57)/SUM(H55:H57),0)</f>
        <v>0</v>
      </c>
      <c r="U57" s="238">
        <f t="shared" si="12"/>
        <v>0</v>
      </c>
      <c r="V57" s="1212">
        <f>IF(Fnac="",0,IFERROR(LOOKUP(Linea,TL!$BY$5:$CJ$5,TL!BY57:CJ57),0))</f>
        <v>0</v>
      </c>
      <c r="W57" s="1785" t="str">
        <f>$W$8</f>
        <v xml:space="preserve">Gr. Ave Acu : </v>
      </c>
      <c r="X57" s="1775">
        <f>X50+X55*7</f>
        <v>0</v>
      </c>
      <c r="Y57" s="992">
        <f>IFERROR(LOOKUP(B55,TL!$A$6:$A$23,GSh!$V$6:$V$23),0)</f>
        <v>0</v>
      </c>
      <c r="Z57" s="1777">
        <f>IF(AND(Y57&gt;0,Y58&gt;0,X57&gt;0),(X57-(IF(X57&gt;Y58,Y58,IF(X57&lt;Y57,Y57,X57))))/(IF(X57&gt;Y58,Y58,IF(X57&lt;Y57,Y57,X57)))*100,0)</f>
        <v>0</v>
      </c>
      <c r="AA57" s="235">
        <f>IF($AB$3="NO",0,ROUNDDOWN(SUM($O$6:O57)/IF(Iniciar!$C$10="kilos",40,1),0)-SUM($AA$6:$AA56))</f>
        <v>0</v>
      </c>
      <c r="AB57" s="667"/>
      <c r="AC57" s="667"/>
      <c r="AD57" s="236">
        <f t="shared" si="15"/>
        <v>0</v>
      </c>
      <c r="AE57" s="670"/>
      <c r="AF57" s="1222"/>
      <c r="AG57" s="1822"/>
      <c r="AH57" s="1821"/>
      <c r="AI57" s="199"/>
      <c r="AJ57" s="199">
        <f>VLOOKUP(C57,Manejos!$C$10:$M$101,11,FALSE)</f>
        <v>0</v>
      </c>
      <c r="AK57" s="998">
        <f t="shared" si="3"/>
        <v>0</v>
      </c>
      <c r="AL57"/>
      <c r="AM57"/>
    </row>
    <row r="58" spans="1:39" s="219" customFormat="1" ht="14.25" customHeight="1" x14ac:dyDescent="0.3">
      <c r="A58" s="534">
        <f t="shared" si="4"/>
        <v>8</v>
      </c>
      <c r="B58" s="1839"/>
      <c r="C58" s="230" t="str">
        <f t="shared" si="9"/>
        <v/>
      </c>
      <c r="D58" s="231" t="e">
        <f t="shared" si="10"/>
        <v>#VALUE!</v>
      </c>
      <c r="E58" s="658"/>
      <c r="F58" s="658"/>
      <c r="G58" s="659"/>
      <c r="H58" s="246">
        <f t="shared" si="13"/>
        <v>0</v>
      </c>
      <c r="I58" s="1217" t="str">
        <f>$I$9</f>
        <v>% Mort/Sel Sem :</v>
      </c>
      <c r="J58" s="1216">
        <f>IF(Levante!$N$1&gt;0,SUM(E55:F61)/Levante!$N$1,0)</f>
        <v>0</v>
      </c>
      <c r="K58" s="1088"/>
      <c r="L58" s="663"/>
      <c r="M58" s="1086"/>
      <c r="N58" s="664"/>
      <c r="O58" s="665"/>
      <c r="P58" s="232">
        <f t="shared" si="11"/>
        <v>0</v>
      </c>
      <c r="Q58" s="665"/>
      <c r="R58" s="233">
        <f t="shared" si="14"/>
        <v>0</v>
      </c>
      <c r="S58" s="234">
        <f>IF(Levante!$N$1&gt;0,O58*$B$1/H58,0)</f>
        <v>0</v>
      </c>
      <c r="T58" s="238">
        <f>IF(SUM(H55:H58)&gt;0,SUM(U55:U58)/SUM(H55:H58),0)</f>
        <v>0</v>
      </c>
      <c r="U58" s="238">
        <f t="shared" si="12"/>
        <v>0</v>
      </c>
      <c r="V58" s="1212">
        <f>IF(Fnac="",0,IFERROR(LOOKUP(Linea,TL!$BY$5:$CJ$5,TL!BY58:CJ58),0))</f>
        <v>0</v>
      </c>
      <c r="W58" s="1786"/>
      <c r="X58" s="1776"/>
      <c r="Y58" s="993">
        <f>IFERROR(LOOKUP(B55,TL!$A$6:$A$23,GSh!$W$6:$W$23),0)</f>
        <v>0</v>
      </c>
      <c r="Z58" s="1778">
        <f>IF(AND(X58&gt;0,Y58&gt;0,W58&gt;0),(W58-(IF(W58&gt;Y58,Y58,IF(W58&lt;X58,X58,W58))))/(IF(W58&gt;Y58,Y58,IF(W58&lt;X58,X58,W58)))*100,0)</f>
        <v>0</v>
      </c>
      <c r="AA58" s="235">
        <f>IF($AB$3="NO",0,ROUNDDOWN(SUM($O$6:O58)/IF(Iniciar!$C$10="kilos",40,1),0)-SUM($AA$6:$AA57))</f>
        <v>0</v>
      </c>
      <c r="AB58" s="667"/>
      <c r="AC58" s="667"/>
      <c r="AD58" s="236">
        <f t="shared" si="15"/>
        <v>0</v>
      </c>
      <c r="AE58" s="670"/>
      <c r="AF58" s="1222"/>
      <c r="AG58" s="1822"/>
      <c r="AH58" s="1821"/>
      <c r="AI58" s="199"/>
      <c r="AJ58" s="199">
        <f>VLOOKUP(C58,Manejos!$C$10:$M$101,11,FALSE)</f>
        <v>0</v>
      </c>
      <c r="AK58" s="998">
        <f t="shared" si="3"/>
        <v>0</v>
      </c>
      <c r="AL58"/>
      <c r="AM58"/>
    </row>
    <row r="59" spans="1:39" s="219" customFormat="1" ht="13.5" customHeight="1" x14ac:dyDescent="0.3">
      <c r="A59" s="534">
        <f t="shared" si="4"/>
        <v>8</v>
      </c>
      <c r="B59" s="1839"/>
      <c r="C59" s="230" t="str">
        <f t="shared" si="9"/>
        <v/>
      </c>
      <c r="D59" s="231" t="e">
        <f t="shared" si="10"/>
        <v>#VALUE!</v>
      </c>
      <c r="E59" s="658"/>
      <c r="F59" s="658"/>
      <c r="G59" s="659"/>
      <c r="H59" s="246">
        <f t="shared" si="13"/>
        <v>0</v>
      </c>
      <c r="I59" s="1217" t="str">
        <f>$I$10</f>
        <v>% Mort/Sel Sem Tab :</v>
      </c>
      <c r="J59" s="1216">
        <f>J61-J54</f>
        <v>7.9999999999999863E-4</v>
      </c>
      <c r="K59" s="1088"/>
      <c r="L59" s="663"/>
      <c r="M59" s="1086"/>
      <c r="N59" s="664"/>
      <c r="O59" s="665"/>
      <c r="P59" s="232">
        <f t="shared" si="11"/>
        <v>0</v>
      </c>
      <c r="Q59" s="665"/>
      <c r="R59" s="233">
        <f t="shared" si="14"/>
        <v>0</v>
      </c>
      <c r="S59" s="234">
        <f>IF(Levante!$N$1&gt;0,O59*$B$1/H59,0)</f>
        <v>0</v>
      </c>
      <c r="T59" s="238">
        <f>IF(SUM(H55:H59)&gt;0,SUM(U55:U59)/SUM(H55:H59),0)</f>
        <v>0</v>
      </c>
      <c r="U59" s="238">
        <f t="shared" si="12"/>
        <v>0</v>
      </c>
      <c r="V59" s="1212">
        <f>IF(Fnac="",0,IFERROR(LOOKUP(Linea,TL!$BY$5:$CJ$5,TL!BY59:CJ59),0))</f>
        <v>0</v>
      </c>
      <c r="W59" s="1793" t="str">
        <f>$W$10</f>
        <v xml:space="preserve">Total Litros Sem: </v>
      </c>
      <c r="X59" s="1794"/>
      <c r="Y59" s="1787">
        <f>SUM(K55:K61)</f>
        <v>0</v>
      </c>
      <c r="Z59" s="1788"/>
      <c r="AA59" s="235">
        <f>IF($AB$3="NO",0,ROUNDDOWN(SUM($O$6:O59)/IF(Iniciar!$C$10="kilos",40,1),0)-SUM($AA$6:$AA58))</f>
        <v>0</v>
      </c>
      <c r="AB59" s="667"/>
      <c r="AC59" s="667"/>
      <c r="AD59" s="236">
        <f t="shared" si="15"/>
        <v>0</v>
      </c>
      <c r="AE59" s="670"/>
      <c r="AF59" s="1222"/>
      <c r="AG59" s="1822"/>
      <c r="AH59" s="1821"/>
      <c r="AI59" s="199"/>
      <c r="AJ59" s="199">
        <f>VLOOKUP(C59,Manejos!$C$10:$M$101,11,FALSE)</f>
        <v>0</v>
      </c>
      <c r="AK59" s="998">
        <f t="shared" si="3"/>
        <v>0</v>
      </c>
      <c r="AL59"/>
      <c r="AM59"/>
    </row>
    <row r="60" spans="1:39" s="219" customFormat="1" ht="13.5" customHeight="1" x14ac:dyDescent="0.3">
      <c r="A60" s="534">
        <f t="shared" si="4"/>
        <v>8</v>
      </c>
      <c r="B60" s="1839"/>
      <c r="C60" s="230" t="str">
        <f t="shared" si="9"/>
        <v/>
      </c>
      <c r="D60" s="231" t="e">
        <f t="shared" si="10"/>
        <v>#VALUE!</v>
      </c>
      <c r="E60" s="658"/>
      <c r="F60" s="658"/>
      <c r="G60" s="659"/>
      <c r="H60" s="246">
        <f t="shared" si="13"/>
        <v>0</v>
      </c>
      <c r="I60" s="1217" t="str">
        <f>$I$11</f>
        <v>% Mort/Sel Acum :</v>
      </c>
      <c r="J60" s="1216">
        <f>IF(Levante!$N$1&gt;0,SUM($E$6:F61)/Levante!$N$1,0)</f>
        <v>0</v>
      </c>
      <c r="K60" s="1088"/>
      <c r="L60" s="663"/>
      <c r="M60" s="1086"/>
      <c r="N60" s="664"/>
      <c r="O60" s="665"/>
      <c r="P60" s="232">
        <f t="shared" si="11"/>
        <v>0</v>
      </c>
      <c r="Q60" s="665"/>
      <c r="R60" s="233">
        <f t="shared" si="14"/>
        <v>0</v>
      </c>
      <c r="S60" s="234">
        <f>IF(Levante!$N$1&gt;0,O60*$B$1/H60,0)</f>
        <v>0</v>
      </c>
      <c r="T60" s="238">
        <f>IF(SUM(H55:H60)&gt;0,SUM(U55:U60)/SUM(H55:H60),0)</f>
        <v>0</v>
      </c>
      <c r="U60" s="238">
        <f t="shared" si="12"/>
        <v>0</v>
      </c>
      <c r="V60" s="1212">
        <f>IF(Fnac="",0,IFERROR(LOOKUP(Linea,TL!$BY$5:$CJ$5,TL!BY60:CJ60),0))</f>
        <v>0</v>
      </c>
      <c r="W60" s="1795" t="str">
        <f>$W$11</f>
        <v xml:space="preserve">Cons ml /ave día: </v>
      </c>
      <c r="X60" s="1796"/>
      <c r="Y60" s="1789">
        <f>IFERROR(Y59/7*1000/H61,0)</f>
        <v>0</v>
      </c>
      <c r="Z60" s="1790"/>
      <c r="AA60" s="235">
        <f>IF($AB$3="NO",0,ROUNDDOWN(SUM($O$6:O60)/IF(Iniciar!$C$10="kilos",40,1),0)-SUM($AA$6:$AA59))</f>
        <v>0</v>
      </c>
      <c r="AB60" s="667"/>
      <c r="AC60" s="667"/>
      <c r="AD60" s="236">
        <f t="shared" si="15"/>
        <v>0</v>
      </c>
      <c r="AE60" s="670"/>
      <c r="AF60" s="1222"/>
      <c r="AG60" s="1822"/>
      <c r="AH60" s="1821"/>
      <c r="AI60" s="199"/>
      <c r="AJ60" s="199">
        <f>VLOOKUP(C60,Manejos!$C$10:$M$101,11,FALSE)</f>
        <v>0</v>
      </c>
      <c r="AK60" s="998">
        <f t="shared" si="3"/>
        <v>0</v>
      </c>
      <c r="AL60"/>
      <c r="AM60"/>
    </row>
    <row r="61" spans="1:39" s="219" customFormat="1" ht="13.5" customHeight="1" x14ac:dyDescent="0.3">
      <c r="A61" s="534">
        <f t="shared" si="4"/>
        <v>8</v>
      </c>
      <c r="B61" s="1840"/>
      <c r="C61" s="230" t="str">
        <f t="shared" si="9"/>
        <v/>
      </c>
      <c r="D61" s="231" t="e">
        <f t="shared" si="10"/>
        <v>#VALUE!</v>
      </c>
      <c r="E61" s="658"/>
      <c r="F61" s="658"/>
      <c r="G61" s="659"/>
      <c r="H61" s="246">
        <f t="shared" si="13"/>
        <v>0</v>
      </c>
      <c r="I61" s="1217" t="str">
        <f>$I$12</f>
        <v>% Mort/Sel Acm Tab :</v>
      </c>
      <c r="J61" s="1216">
        <f>$E$3*0.0068</f>
        <v>1.3599999999999999E-2</v>
      </c>
      <c r="K61" s="1088"/>
      <c r="L61" s="663"/>
      <c r="M61" s="1086"/>
      <c r="N61" s="664"/>
      <c r="O61" s="665"/>
      <c r="P61" s="232">
        <f t="shared" si="11"/>
        <v>0</v>
      </c>
      <c r="Q61" s="665"/>
      <c r="R61" s="233">
        <f t="shared" si="14"/>
        <v>0</v>
      </c>
      <c r="S61" s="234">
        <f>IF(Levante!$N$1&gt;0,O61/IF(SUM(O55:O60)=0,7,1)*$B$1/H61,0)</f>
        <v>0</v>
      </c>
      <c r="T61" s="238">
        <f>IF(SUM(H55:H61)&gt;0,SUM(U55:U61)/SUM(H55:H61),0)</f>
        <v>0</v>
      </c>
      <c r="U61" s="238">
        <f t="shared" si="12"/>
        <v>0</v>
      </c>
      <c r="V61" s="1212">
        <f>IF(Fnac="",0,IFERROR(LOOKUP(Linea,TL!$BY$5:$CJ$5,TL!BY61:CJ61),0))</f>
        <v>0</v>
      </c>
      <c r="W61" s="1825" t="str">
        <f>$W$12</f>
        <v xml:space="preserve">Relación Agua /Alimto: </v>
      </c>
      <c r="X61" s="1826"/>
      <c r="Y61" s="1791">
        <f>IFERROR(Y60/X55,0)</f>
        <v>0</v>
      </c>
      <c r="Z61" s="1792"/>
      <c r="AA61" s="235">
        <f>IF($AB$3="NO",0,ROUNDDOWN(SUM($O$6:O61)/IF(Iniciar!$C$10="kilos",40,1),0)-SUM($AA$6:$AA60))</f>
        <v>0</v>
      </c>
      <c r="AB61" s="667"/>
      <c r="AC61" s="667"/>
      <c r="AD61" s="236">
        <f t="shared" si="15"/>
        <v>0</v>
      </c>
      <c r="AE61" s="670"/>
      <c r="AF61" s="1222"/>
      <c r="AG61" s="1822"/>
      <c r="AH61" s="1821"/>
      <c r="AI61" s="199">
        <f>IF(OR(J55&gt;0,X55&gt;0),B54,AI54)</f>
        <v>0</v>
      </c>
      <c r="AJ61" s="199">
        <f>VLOOKUP(C61,Manejos!$C$10:$M$101,11,FALSE)</f>
        <v>0</v>
      </c>
      <c r="AK61" s="998">
        <f t="shared" si="3"/>
        <v>0</v>
      </c>
      <c r="AL61"/>
      <c r="AM61"/>
    </row>
    <row r="62" spans="1:39" s="219" customFormat="1" ht="13.5" customHeight="1" x14ac:dyDescent="0.3">
      <c r="A62" s="534">
        <f>B62</f>
        <v>9</v>
      </c>
      <c r="B62" s="1838">
        <f>B55+1</f>
        <v>9</v>
      </c>
      <c r="C62" s="230" t="str">
        <f t="shared" si="9"/>
        <v/>
      </c>
      <c r="D62" s="231" t="e">
        <f t="shared" si="10"/>
        <v>#VALUE!</v>
      </c>
      <c r="E62" s="658"/>
      <c r="F62" s="658"/>
      <c r="G62" s="659"/>
      <c r="H62" s="246">
        <f t="shared" si="13"/>
        <v>0</v>
      </c>
      <c r="I62" s="1210" t="str">
        <f>$I$6</f>
        <v>T. Salidas Sem :</v>
      </c>
      <c r="J62" s="1211">
        <f>SUMIF(E62:G68,"&gt;0")</f>
        <v>0</v>
      </c>
      <c r="K62" s="1088"/>
      <c r="L62" s="663"/>
      <c r="M62" s="1086"/>
      <c r="N62" s="664"/>
      <c r="O62" s="665"/>
      <c r="P62" s="232">
        <f t="shared" si="11"/>
        <v>0</v>
      </c>
      <c r="Q62" s="665"/>
      <c r="R62" s="233">
        <f t="shared" si="14"/>
        <v>0</v>
      </c>
      <c r="S62" s="234">
        <f>IF(Levante!$N$1&gt;0,O62*$B$1/H62,0)</f>
        <v>0</v>
      </c>
      <c r="T62" s="238">
        <f>IF(SUM(H62:H62)&gt;0,SUM(U62:U62)/SUM(H62:H62),0)</f>
        <v>0</v>
      </c>
      <c r="U62" s="238">
        <f t="shared" si="12"/>
        <v>0</v>
      </c>
      <c r="V62" s="1212">
        <f>IF(Fnac="",0,IFERROR(LOOKUP(Linea,TL!$BY$5:$CJ$5,TL!BY62:CJ62),0))</f>
        <v>0</v>
      </c>
      <c r="W62" s="1779" t="str">
        <f>$W$6</f>
        <v xml:space="preserve">Gr. Ave Dia : </v>
      </c>
      <c r="X62" s="1781">
        <f>IF(AND(COUNT(O62:O67)&gt;0,O68&gt;0),T68,S68)</f>
        <v>0</v>
      </c>
      <c r="Y62" s="1219">
        <f>IFERROR(LOOKUP(B62,TL!$A$6:$A$23,GSh!$O$6:$O$23),0)</f>
        <v>0</v>
      </c>
      <c r="Z62" s="1783">
        <f>IF(AND(Y62&gt;0,Y63&gt;0,X62&gt;0),(X62-(IF(X62&gt;Y63,Y63,IF(X62&lt;Y62,Y62,X62))))/(IF(X62&gt;Y63,Y63,IF(X62&lt;Y62,Y62,X62)))*100,0)</f>
        <v>0</v>
      </c>
      <c r="AA62" s="235">
        <f>IF($AB$3="NO",0,ROUNDDOWN(SUM($O$6:O62)/IF(Iniciar!$C$10="kilos",40,1),0)-SUM($AA$6:$AA61))</f>
        <v>0</v>
      </c>
      <c r="AB62" s="667"/>
      <c r="AC62" s="667"/>
      <c r="AD62" s="236">
        <f t="shared" si="15"/>
        <v>0</v>
      </c>
      <c r="AE62" s="670"/>
      <c r="AF62" s="1222"/>
      <c r="AG62" s="1822"/>
      <c r="AH62" s="1821">
        <f>AH55+1</f>
        <v>9</v>
      </c>
      <c r="AI62" s="538">
        <f>SUMPRODUCT(O62:O68,M62:M68)</f>
        <v>0</v>
      </c>
      <c r="AJ62" s="199">
        <f>VLOOKUP(C62,Manejos!$C$10:$M$101,11,FALSE)</f>
        <v>0</v>
      </c>
      <c r="AK62" s="998">
        <f t="shared" si="3"/>
        <v>0</v>
      </c>
      <c r="AL62"/>
      <c r="AM62"/>
    </row>
    <row r="63" spans="1:39" s="219" customFormat="1" ht="13.5" customHeight="1" x14ac:dyDescent="0.3">
      <c r="A63" s="534">
        <f t="shared" si="4"/>
        <v>9</v>
      </c>
      <c r="B63" s="1839"/>
      <c r="C63" s="230" t="str">
        <f t="shared" si="9"/>
        <v/>
      </c>
      <c r="D63" s="231" t="e">
        <f t="shared" si="10"/>
        <v>#VALUE!</v>
      </c>
      <c r="E63" s="658"/>
      <c r="F63" s="658"/>
      <c r="G63" s="659"/>
      <c r="H63" s="246">
        <f t="shared" si="13"/>
        <v>0</v>
      </c>
      <c r="I63" s="1210" t="str">
        <f>$I$7</f>
        <v>T. Salidas Acm :</v>
      </c>
      <c r="J63" s="1211">
        <f>J56+J62</f>
        <v>0</v>
      </c>
      <c r="K63" s="1088"/>
      <c r="L63" s="663"/>
      <c r="M63" s="1086"/>
      <c r="N63" s="664"/>
      <c r="O63" s="665"/>
      <c r="P63" s="232">
        <f t="shared" si="11"/>
        <v>0</v>
      </c>
      <c r="Q63" s="665"/>
      <c r="R63" s="233">
        <f t="shared" si="14"/>
        <v>0</v>
      </c>
      <c r="S63" s="234">
        <f>IF(Levante!$N$1&gt;0,O63*$B$1/H63,0)</f>
        <v>0</v>
      </c>
      <c r="T63" s="238">
        <f>IF(SUM(H62:H63)&gt;0,SUM(U62:U63)/SUM(H62:H63),0)</f>
        <v>0</v>
      </c>
      <c r="U63" s="238">
        <f t="shared" si="12"/>
        <v>0</v>
      </c>
      <c r="V63" s="1212">
        <f>IF(Fnac="",0,IFERROR(LOOKUP(Linea,TL!$BY$5:$CJ$5,TL!BY63:CJ63),0))</f>
        <v>0</v>
      </c>
      <c r="W63" s="1780"/>
      <c r="X63" s="1782"/>
      <c r="Y63" s="997">
        <f>IFERROR(LOOKUP(B62,TL!$A$6:$A$23,GSh!$P$6:$P$23),0)</f>
        <v>0</v>
      </c>
      <c r="Z63" s="1784">
        <f>IF(AND(X63&gt;0,Y63&gt;0,W63&gt;0),(W63-(IF(W63&gt;Y63,Y63,IF(W63&lt;X63,X63,W63))))/(IF(W63&gt;Y63,Y63,IF(W63&lt;X63,X63,W63)))*100,0)</f>
        <v>0</v>
      </c>
      <c r="AA63" s="235">
        <f>IF($AB$3="NO",0,ROUNDDOWN(SUM($O$6:O63)/IF(Iniciar!$C$10="kilos",40,1),0)-SUM($AA$6:$AA62))</f>
        <v>0</v>
      </c>
      <c r="AB63" s="667"/>
      <c r="AC63" s="667"/>
      <c r="AD63" s="236">
        <f t="shared" si="15"/>
        <v>0</v>
      </c>
      <c r="AE63" s="670"/>
      <c r="AF63" s="1222"/>
      <c r="AG63" s="1822"/>
      <c r="AH63" s="1821"/>
      <c r="AI63" s="199"/>
      <c r="AJ63" s="199">
        <f>VLOOKUP(C63,Manejos!$C$10:$M$101,11,FALSE)</f>
        <v>0</v>
      </c>
      <c r="AK63" s="998">
        <f t="shared" si="3"/>
        <v>0</v>
      </c>
      <c r="AL63"/>
      <c r="AM63"/>
    </row>
    <row r="64" spans="1:39" s="219" customFormat="1" ht="13.5" customHeight="1" x14ac:dyDescent="0.25">
      <c r="A64" s="534">
        <f t="shared" si="4"/>
        <v>9</v>
      </c>
      <c r="B64" s="1839"/>
      <c r="C64" s="230" t="str">
        <f t="shared" si="9"/>
        <v/>
      </c>
      <c r="D64" s="231" t="e">
        <f t="shared" si="10"/>
        <v>#VALUE!</v>
      </c>
      <c r="E64" s="658"/>
      <c r="F64" s="658"/>
      <c r="G64" s="659"/>
      <c r="H64" s="246">
        <f t="shared" si="13"/>
        <v>0</v>
      </c>
      <c r="I64" s="1213" t="str">
        <f>$I$8</f>
        <v>Saldo Aves :</v>
      </c>
      <c r="J64" s="1214">
        <f>H68</f>
        <v>0</v>
      </c>
      <c r="K64" s="1088"/>
      <c r="L64" s="663"/>
      <c r="M64" s="1086"/>
      <c r="N64" s="664"/>
      <c r="O64" s="665"/>
      <c r="P64" s="232">
        <f t="shared" si="11"/>
        <v>0</v>
      </c>
      <c r="Q64" s="665"/>
      <c r="R64" s="233">
        <f t="shared" si="14"/>
        <v>0</v>
      </c>
      <c r="S64" s="234">
        <f>IF(Levante!$N$1&gt;0,O64*$B$1/H64,0)</f>
        <v>0</v>
      </c>
      <c r="T64" s="238">
        <f>IF(SUM(H62:H64)&gt;0,SUM(U62:U64)/SUM(H62:H64),0)</f>
        <v>0</v>
      </c>
      <c r="U64" s="238">
        <f t="shared" si="12"/>
        <v>0</v>
      </c>
      <c r="V64" s="1212">
        <f>IF(Fnac="",0,IFERROR(LOOKUP(Linea,TL!$BY$5:$CJ$5,TL!BY64:CJ64),0))</f>
        <v>0</v>
      </c>
      <c r="W64" s="1785" t="str">
        <f>$W$8</f>
        <v xml:space="preserve">Gr. Ave Acu : </v>
      </c>
      <c r="X64" s="1775">
        <f>X57+X62*7</f>
        <v>0</v>
      </c>
      <c r="Y64" s="992">
        <f>IFERROR(LOOKUP(B62,TL!$A$6:$A$23,GSh!$V$6:$V$23),0)</f>
        <v>0</v>
      </c>
      <c r="Z64" s="1777">
        <f>IF(AND(Y64&gt;0,Y65&gt;0,X64&gt;0),(X64-(IF(X64&gt;Y65,Y65,IF(X64&lt;Y64,Y64,X64))))/(IF(X64&gt;Y65,Y65,IF(X64&lt;Y64,Y64,X64)))*100,0)</f>
        <v>0</v>
      </c>
      <c r="AA64" s="235">
        <f>IF($AB$3="NO",0,ROUNDDOWN(SUM($O$6:O64)/IF(Iniciar!$C$10="kilos",40,1),0)-SUM($AA$6:$AA63))</f>
        <v>0</v>
      </c>
      <c r="AB64" s="667"/>
      <c r="AC64" s="667"/>
      <c r="AD64" s="236">
        <f t="shared" si="15"/>
        <v>0</v>
      </c>
      <c r="AE64" s="670"/>
      <c r="AF64" s="1222"/>
      <c r="AG64" s="1822"/>
      <c r="AH64" s="1821"/>
      <c r="AI64" s="199"/>
      <c r="AJ64" s="199">
        <f>VLOOKUP(C64,Manejos!$C$10:$M$101,11,FALSE)</f>
        <v>0</v>
      </c>
      <c r="AK64" s="998">
        <f t="shared" si="3"/>
        <v>0</v>
      </c>
      <c r="AL64"/>
      <c r="AM64"/>
    </row>
    <row r="65" spans="1:39" s="219" customFormat="1" ht="13.5" customHeight="1" x14ac:dyDescent="0.3">
      <c r="A65" s="534">
        <f t="shared" si="4"/>
        <v>9</v>
      </c>
      <c r="B65" s="1839"/>
      <c r="C65" s="230" t="str">
        <f t="shared" si="9"/>
        <v/>
      </c>
      <c r="D65" s="231" t="e">
        <f t="shared" si="10"/>
        <v>#VALUE!</v>
      </c>
      <c r="E65" s="658"/>
      <c r="F65" s="658"/>
      <c r="G65" s="659"/>
      <c r="H65" s="246">
        <f t="shared" si="13"/>
        <v>0</v>
      </c>
      <c r="I65" s="1217" t="str">
        <f>$I$9</f>
        <v>% Mort/Sel Sem :</v>
      </c>
      <c r="J65" s="1216">
        <f>IF(Levante!$N$1&gt;0,SUM(E62:F68)/Levante!$N$1,0)</f>
        <v>0</v>
      </c>
      <c r="K65" s="1088"/>
      <c r="L65" s="663"/>
      <c r="M65" s="1086"/>
      <c r="N65" s="664"/>
      <c r="O65" s="665"/>
      <c r="P65" s="232">
        <f t="shared" si="11"/>
        <v>0</v>
      </c>
      <c r="Q65" s="665"/>
      <c r="R65" s="233">
        <f t="shared" si="14"/>
        <v>0</v>
      </c>
      <c r="S65" s="234">
        <f>IF(Levante!$N$1&gt;0,O65*$B$1/H65,0)</f>
        <v>0</v>
      </c>
      <c r="T65" s="238">
        <f>IF(SUM(H62:H65)&gt;0,SUM(U62:U65)/SUM(H62:H65),0)</f>
        <v>0</v>
      </c>
      <c r="U65" s="238">
        <f t="shared" si="12"/>
        <v>0</v>
      </c>
      <c r="V65" s="1212">
        <f>IF(Fnac="",0,IFERROR(LOOKUP(Linea,TL!$BY$5:$CJ$5,TL!BY65:CJ65),0))</f>
        <v>0</v>
      </c>
      <c r="W65" s="1786"/>
      <c r="X65" s="1776"/>
      <c r="Y65" s="993">
        <f>IFERROR(LOOKUP(B62,TL!$A$6:$A$23,GSh!$W$6:$W$23),0)</f>
        <v>0</v>
      </c>
      <c r="Z65" s="1778">
        <f>IF(AND(X65&gt;0,Y65&gt;0,W65&gt;0),(W65-(IF(W65&gt;Y65,Y65,IF(W65&lt;X65,X65,W65))))/(IF(W65&gt;Y65,Y65,IF(W65&lt;X65,X65,W65)))*100,0)</f>
        <v>0</v>
      </c>
      <c r="AA65" s="235">
        <f>IF($AB$3="NO",0,ROUNDDOWN(SUM($O$6:O65)/IF(Iniciar!$C$10="kilos",40,1),0)-SUM($AA$6:$AA64))</f>
        <v>0</v>
      </c>
      <c r="AB65" s="667"/>
      <c r="AC65" s="667"/>
      <c r="AD65" s="236">
        <f t="shared" si="15"/>
        <v>0</v>
      </c>
      <c r="AE65" s="670"/>
      <c r="AF65" s="1222"/>
      <c r="AG65" s="1822"/>
      <c r="AH65" s="1821"/>
      <c r="AI65" s="199"/>
      <c r="AJ65" s="199">
        <f>VLOOKUP(C65,Manejos!$C$10:$M$101,11,FALSE)</f>
        <v>0</v>
      </c>
      <c r="AK65" s="998">
        <f t="shared" si="3"/>
        <v>0</v>
      </c>
      <c r="AL65"/>
      <c r="AM65"/>
    </row>
    <row r="66" spans="1:39" s="219" customFormat="1" ht="14.25" customHeight="1" x14ac:dyDescent="0.3">
      <c r="A66" s="534">
        <f t="shared" si="4"/>
        <v>9</v>
      </c>
      <c r="B66" s="1839"/>
      <c r="C66" s="230" t="str">
        <f t="shared" si="9"/>
        <v/>
      </c>
      <c r="D66" s="231" t="e">
        <f t="shared" si="10"/>
        <v>#VALUE!</v>
      </c>
      <c r="E66" s="658"/>
      <c r="F66" s="658"/>
      <c r="G66" s="659"/>
      <c r="H66" s="246">
        <f t="shared" si="13"/>
        <v>0</v>
      </c>
      <c r="I66" s="1217" t="str">
        <f>$I$10</f>
        <v>% Mort/Sel Sem Tab :</v>
      </c>
      <c r="J66" s="1216">
        <f>J68-J61</f>
        <v>6.0000000000000157E-4</v>
      </c>
      <c r="K66" s="1088"/>
      <c r="L66" s="663"/>
      <c r="M66" s="1086"/>
      <c r="N66" s="664"/>
      <c r="O66" s="665"/>
      <c r="P66" s="232">
        <f t="shared" si="11"/>
        <v>0</v>
      </c>
      <c r="Q66" s="665"/>
      <c r="R66" s="233">
        <f t="shared" si="14"/>
        <v>0</v>
      </c>
      <c r="S66" s="234">
        <f>IF(Levante!$N$1&gt;0,O66*$B$1/H66,0)</f>
        <v>0</v>
      </c>
      <c r="T66" s="238">
        <f>IF(SUM(H62:H66)&gt;0,SUM(U62:U66)/SUM(H62:H66),0)</f>
        <v>0</v>
      </c>
      <c r="U66" s="238">
        <f t="shared" si="12"/>
        <v>0</v>
      </c>
      <c r="V66" s="1212">
        <f>IF(Fnac="",0,IFERROR(LOOKUP(Linea,TL!$BY$5:$CJ$5,TL!BY66:CJ66),0))</f>
        <v>0</v>
      </c>
      <c r="W66" s="1793" t="str">
        <f>$W$10</f>
        <v xml:space="preserve">Total Litros Sem: </v>
      </c>
      <c r="X66" s="1794"/>
      <c r="Y66" s="1787">
        <f>SUM(K62:K68)</f>
        <v>0</v>
      </c>
      <c r="Z66" s="1788"/>
      <c r="AA66" s="235">
        <f>IF($AB$3="NO",0,ROUNDDOWN(SUM($O$6:O66)/IF(Iniciar!$C$10="kilos",40,1),0)-SUM($AA$6:$AA65))</f>
        <v>0</v>
      </c>
      <c r="AB66" s="667"/>
      <c r="AC66" s="667"/>
      <c r="AD66" s="236">
        <f t="shared" si="15"/>
        <v>0</v>
      </c>
      <c r="AE66" s="670"/>
      <c r="AF66" s="1222"/>
      <c r="AG66" s="1822"/>
      <c r="AH66" s="1821"/>
      <c r="AI66" s="199"/>
      <c r="AJ66" s="199">
        <f>VLOOKUP(C66,Manejos!$C$10:$M$101,11,FALSE)</f>
        <v>0</v>
      </c>
      <c r="AK66" s="998">
        <f t="shared" si="3"/>
        <v>0</v>
      </c>
      <c r="AL66"/>
      <c r="AM66"/>
    </row>
    <row r="67" spans="1:39" s="219" customFormat="1" ht="13.5" customHeight="1" x14ac:dyDescent="0.3">
      <c r="A67" s="534">
        <f t="shared" si="4"/>
        <v>9</v>
      </c>
      <c r="B67" s="1839"/>
      <c r="C67" s="230" t="str">
        <f t="shared" si="9"/>
        <v/>
      </c>
      <c r="D67" s="231" t="e">
        <f t="shared" si="10"/>
        <v>#VALUE!</v>
      </c>
      <c r="E67" s="658"/>
      <c r="F67" s="658"/>
      <c r="G67" s="659"/>
      <c r="H67" s="246">
        <f t="shared" si="13"/>
        <v>0</v>
      </c>
      <c r="I67" s="1217" t="str">
        <f>$I$11</f>
        <v>% Mort/Sel Acum :</v>
      </c>
      <c r="J67" s="1216">
        <f>IF(Levante!$N$1&gt;0,SUM($E$6:F68)/Levante!$N$1,0)</f>
        <v>0</v>
      </c>
      <c r="K67" s="1088"/>
      <c r="L67" s="663"/>
      <c r="M67" s="1086"/>
      <c r="N67" s="664"/>
      <c r="O67" s="665"/>
      <c r="P67" s="232">
        <f t="shared" si="11"/>
        <v>0</v>
      </c>
      <c r="Q67" s="665"/>
      <c r="R67" s="233">
        <f t="shared" si="14"/>
        <v>0</v>
      </c>
      <c r="S67" s="234">
        <f>IF(Levante!$N$1&gt;0,O67*$B$1/H67,0)</f>
        <v>0</v>
      </c>
      <c r="T67" s="238">
        <f>IF(SUM(H62:H67)&gt;0,SUM(U62:U67)/SUM(H62:H67),0)</f>
        <v>0</v>
      </c>
      <c r="U67" s="238">
        <f t="shared" si="12"/>
        <v>0</v>
      </c>
      <c r="V67" s="1212">
        <f>IF(Fnac="",0,IFERROR(LOOKUP(Linea,TL!$BY$5:$CJ$5,TL!BY67:CJ67),0))</f>
        <v>0</v>
      </c>
      <c r="W67" s="1795" t="str">
        <f>$W$11</f>
        <v xml:space="preserve">Cons ml /ave día: </v>
      </c>
      <c r="X67" s="1796"/>
      <c r="Y67" s="1789">
        <f>IFERROR(Y66/7*1000/H68,0)</f>
        <v>0</v>
      </c>
      <c r="Z67" s="1790"/>
      <c r="AA67" s="235">
        <f>IF($AB$3="NO",0,ROUNDDOWN(SUM($O$6:O67)/IF(Iniciar!$C$10="kilos",40,1),0)-SUM($AA$6:$AA66))</f>
        <v>0</v>
      </c>
      <c r="AB67" s="667"/>
      <c r="AC67" s="667"/>
      <c r="AD67" s="236">
        <f t="shared" si="15"/>
        <v>0</v>
      </c>
      <c r="AE67" s="670"/>
      <c r="AF67" s="1222"/>
      <c r="AG67" s="1822"/>
      <c r="AH67" s="1821"/>
      <c r="AI67" s="199"/>
      <c r="AJ67" s="199">
        <f>VLOOKUP(C67,Manejos!$C$10:$M$101,11,FALSE)</f>
        <v>0</v>
      </c>
      <c r="AK67" s="998">
        <f t="shared" si="3"/>
        <v>0</v>
      </c>
      <c r="AL67"/>
      <c r="AM67"/>
    </row>
    <row r="68" spans="1:39" s="219" customFormat="1" ht="13.5" customHeight="1" x14ac:dyDescent="0.3">
      <c r="A68" s="534">
        <f t="shared" si="4"/>
        <v>9</v>
      </c>
      <c r="B68" s="1840"/>
      <c r="C68" s="230" t="str">
        <f t="shared" si="9"/>
        <v/>
      </c>
      <c r="D68" s="231" t="e">
        <f t="shared" si="10"/>
        <v>#VALUE!</v>
      </c>
      <c r="E68" s="658"/>
      <c r="F68" s="658"/>
      <c r="G68" s="659"/>
      <c r="H68" s="246">
        <f t="shared" si="13"/>
        <v>0</v>
      </c>
      <c r="I68" s="1217" t="str">
        <f>$I$12</f>
        <v>% Mort/Sel Acm Tab :</v>
      </c>
      <c r="J68" s="1216">
        <f>$E$3*0.0071</f>
        <v>1.4200000000000001E-2</v>
      </c>
      <c r="K68" s="1088"/>
      <c r="L68" s="663"/>
      <c r="M68" s="1086"/>
      <c r="N68" s="664"/>
      <c r="O68" s="665"/>
      <c r="P68" s="232">
        <f t="shared" si="11"/>
        <v>0</v>
      </c>
      <c r="Q68" s="665"/>
      <c r="R68" s="233">
        <f t="shared" si="14"/>
        <v>0</v>
      </c>
      <c r="S68" s="234">
        <f>IF(Levante!$N$1&gt;0,O68/IF(SUM(O62:O67)=0,7,1)*$B$1/H68,0)</f>
        <v>0</v>
      </c>
      <c r="T68" s="238">
        <f>IF(SUM(H62:H68)&gt;0,SUM(U62:U68)/SUM(H62:H68),0)</f>
        <v>0</v>
      </c>
      <c r="U68" s="238">
        <f t="shared" si="12"/>
        <v>0</v>
      </c>
      <c r="V68" s="1212">
        <f>IF(Fnac="",0,IFERROR(LOOKUP(Linea,TL!$BY$5:$CJ$5,TL!BY68:CJ68),0))</f>
        <v>0</v>
      </c>
      <c r="W68" s="1825" t="str">
        <f>$W$12</f>
        <v xml:space="preserve">Relación Agua /Alimto: </v>
      </c>
      <c r="X68" s="1826"/>
      <c r="Y68" s="1791">
        <f>IFERROR(Y67/X62,0)</f>
        <v>0</v>
      </c>
      <c r="Z68" s="1792"/>
      <c r="AA68" s="235">
        <f>IF($AB$3="NO",0,ROUNDDOWN(SUM($O$6:O68)/IF(Iniciar!$C$10="kilos",40,1),0)-SUM($AA$6:$AA67))</f>
        <v>0</v>
      </c>
      <c r="AB68" s="667"/>
      <c r="AC68" s="667"/>
      <c r="AD68" s="236">
        <f t="shared" si="15"/>
        <v>0</v>
      </c>
      <c r="AE68" s="670"/>
      <c r="AF68" s="1222"/>
      <c r="AG68" s="1822"/>
      <c r="AH68" s="1821"/>
      <c r="AI68" s="199">
        <f>IF(OR(J62&gt;0,X62&gt;0),B61,AI61)</f>
        <v>0</v>
      </c>
      <c r="AJ68" s="199">
        <f>VLOOKUP(C68,Manejos!$C$10:$M$101,11,FALSE)</f>
        <v>0</v>
      </c>
      <c r="AK68" s="998">
        <f t="shared" si="3"/>
        <v>0</v>
      </c>
      <c r="AL68"/>
      <c r="AM68"/>
    </row>
    <row r="69" spans="1:39" s="219" customFormat="1" ht="13.5" customHeight="1" x14ac:dyDescent="0.3">
      <c r="A69" s="534">
        <f>B69</f>
        <v>10</v>
      </c>
      <c r="B69" s="1838">
        <f>B62+1</f>
        <v>10</v>
      </c>
      <c r="C69" s="230" t="str">
        <f t="shared" si="9"/>
        <v/>
      </c>
      <c r="D69" s="231" t="e">
        <f t="shared" si="10"/>
        <v>#VALUE!</v>
      </c>
      <c r="E69" s="658"/>
      <c r="F69" s="658"/>
      <c r="G69" s="659"/>
      <c r="H69" s="246">
        <f t="shared" si="13"/>
        <v>0</v>
      </c>
      <c r="I69" s="1210" t="str">
        <f>$I$6</f>
        <v>T. Salidas Sem :</v>
      </c>
      <c r="J69" s="1211">
        <f>SUMIF(E69:G75,"&gt;0")</f>
        <v>0</v>
      </c>
      <c r="K69" s="1088"/>
      <c r="L69" s="663"/>
      <c r="M69" s="1086"/>
      <c r="N69" s="664"/>
      <c r="O69" s="665"/>
      <c r="P69" s="232">
        <f t="shared" si="11"/>
        <v>0</v>
      </c>
      <c r="Q69" s="665"/>
      <c r="R69" s="233">
        <f t="shared" si="14"/>
        <v>0</v>
      </c>
      <c r="S69" s="234">
        <f>IF(Levante!$N$1&gt;0,O69*$B$1/H69,0)</f>
        <v>0</v>
      </c>
      <c r="T69" s="238">
        <f>IF(SUM(H69:H69)&gt;0,SUM(U69:U69)/SUM(H69:H69),0)</f>
        <v>0</v>
      </c>
      <c r="U69" s="238">
        <f t="shared" si="12"/>
        <v>0</v>
      </c>
      <c r="V69" s="1212">
        <f>IF(Fnac="",0,IFERROR(LOOKUP(Linea,TL!$BY$5:$CJ$5,TL!BY69:CJ69),0))</f>
        <v>0</v>
      </c>
      <c r="W69" s="1779" t="str">
        <f>$W$6</f>
        <v xml:space="preserve">Gr. Ave Dia : </v>
      </c>
      <c r="X69" s="1781">
        <f>IF(AND(COUNT(O69:O74)&gt;0,O75&gt;0),T75,S75)</f>
        <v>0</v>
      </c>
      <c r="Y69" s="1219">
        <f>IFERROR(LOOKUP(B69,TL!$A$6:$A$23,GSh!$O$6:$O$23),0)</f>
        <v>0</v>
      </c>
      <c r="Z69" s="1783">
        <f>IF(AND(Y69&gt;0,Y70&gt;0,X69&gt;0),(X69-(IF(X69&gt;Y70,Y70,IF(X69&lt;Y69,Y69,X69))))/(IF(X69&gt;Y70,Y70,IF(X69&lt;Y69,Y69,X69)))*100,0)</f>
        <v>0</v>
      </c>
      <c r="AA69" s="235">
        <f>IF($AB$3="NO",0,ROUNDDOWN(SUM($O$6:O69)/IF(Iniciar!$C$10="kilos",40,1),0)-SUM($AA$6:$AA68))</f>
        <v>0</v>
      </c>
      <c r="AB69" s="667"/>
      <c r="AC69" s="667"/>
      <c r="AD69" s="236">
        <f t="shared" si="15"/>
        <v>0</v>
      </c>
      <c r="AE69" s="670"/>
      <c r="AF69" s="1222"/>
      <c r="AG69" s="1822"/>
      <c r="AH69" s="1821">
        <f>AH62+1</f>
        <v>10</v>
      </c>
      <c r="AI69" s="538">
        <f>SUMPRODUCT(O69:O75,M69:M75)</f>
        <v>0</v>
      </c>
      <c r="AJ69" s="199">
        <f>VLOOKUP(C69,Manejos!$C$10:$M$101,11,FALSE)</f>
        <v>0</v>
      </c>
      <c r="AK69" s="998">
        <f t="shared" si="3"/>
        <v>0</v>
      </c>
      <c r="AL69"/>
      <c r="AM69"/>
    </row>
    <row r="70" spans="1:39" s="219" customFormat="1" ht="13.5" customHeight="1" x14ac:dyDescent="0.3">
      <c r="A70" s="534">
        <f t="shared" si="4"/>
        <v>10</v>
      </c>
      <c r="B70" s="1839"/>
      <c r="C70" s="230" t="str">
        <f t="shared" si="9"/>
        <v/>
      </c>
      <c r="D70" s="231" t="e">
        <f t="shared" ref="D70:D101" si="16">IF(C70=0,0,(C70-Fnac+1)/7)</f>
        <v>#VALUE!</v>
      </c>
      <c r="E70" s="658"/>
      <c r="F70" s="658"/>
      <c r="G70" s="659"/>
      <c r="H70" s="246">
        <f t="shared" si="13"/>
        <v>0</v>
      </c>
      <c r="I70" s="1210" t="str">
        <f>$I$7</f>
        <v>T. Salidas Acm :</v>
      </c>
      <c r="J70" s="1211">
        <f>J63+J69</f>
        <v>0</v>
      </c>
      <c r="K70" s="1088"/>
      <c r="L70" s="663"/>
      <c r="M70" s="1086"/>
      <c r="N70" s="664"/>
      <c r="O70" s="665"/>
      <c r="P70" s="232">
        <f t="shared" ref="P70:P101" si="17">V70*H70/$B$1</f>
        <v>0</v>
      </c>
      <c r="Q70" s="665"/>
      <c r="R70" s="233">
        <f t="shared" si="14"/>
        <v>0</v>
      </c>
      <c r="S70" s="234">
        <f>IF(Levante!$N$1&gt;0,O70*$B$1/H70,0)</f>
        <v>0</v>
      </c>
      <c r="T70" s="238">
        <f>IF(SUM(H69:H70)&gt;0,SUM(U69:U70)/SUM(H69:H70),0)</f>
        <v>0</v>
      </c>
      <c r="U70" s="238">
        <f t="shared" ref="U70:U101" si="18">S70*H70</f>
        <v>0</v>
      </c>
      <c r="V70" s="1212">
        <f>IF(Fnac="",0,IFERROR(LOOKUP(Linea,TL!$BY$5:$CJ$5,TL!BY70:CJ70),0))</f>
        <v>0</v>
      </c>
      <c r="W70" s="1780"/>
      <c r="X70" s="1782"/>
      <c r="Y70" s="997">
        <f>IFERROR(LOOKUP(B69,TL!$A$6:$A$23,GSh!$P$6:$P$23),0)</f>
        <v>0</v>
      </c>
      <c r="Z70" s="1784">
        <f>IF(AND(X70&gt;0,Y70&gt;0,W70&gt;0),(W70-(IF(W70&gt;Y70,Y70,IF(W70&lt;X70,X70,W70))))/(IF(W70&gt;Y70,Y70,IF(W70&lt;X70,X70,W70)))*100,0)</f>
        <v>0</v>
      </c>
      <c r="AA70" s="235">
        <f>IF($AB$3="NO",0,ROUNDDOWN(SUM($O$6:O70)/IF(Iniciar!$C$10="kilos",40,1),0)-SUM($AA$6:$AA69))</f>
        <v>0</v>
      </c>
      <c r="AB70" s="667"/>
      <c r="AC70" s="667"/>
      <c r="AD70" s="236">
        <f t="shared" si="15"/>
        <v>0</v>
      </c>
      <c r="AE70" s="670"/>
      <c r="AF70" s="1222"/>
      <c r="AG70" s="1822"/>
      <c r="AH70" s="1821"/>
      <c r="AI70" s="199"/>
      <c r="AJ70" s="199">
        <f>VLOOKUP(C70,Manejos!$C$10:$M$101,11,FALSE)</f>
        <v>0</v>
      </c>
      <c r="AK70" s="998">
        <f t="shared" ref="AK70:AK131" si="19">M70*O70</f>
        <v>0</v>
      </c>
      <c r="AL70"/>
      <c r="AM70"/>
    </row>
    <row r="71" spans="1:39" s="219" customFormat="1" ht="13.5" customHeight="1" x14ac:dyDescent="0.25">
      <c r="A71" s="534">
        <f t="shared" ref="A71:A131" si="20">A70</f>
        <v>10</v>
      </c>
      <c r="B71" s="1839"/>
      <c r="C71" s="230" t="str">
        <f t="shared" si="9"/>
        <v/>
      </c>
      <c r="D71" s="231" t="e">
        <f t="shared" si="16"/>
        <v>#VALUE!</v>
      </c>
      <c r="E71" s="658"/>
      <c r="F71" s="658"/>
      <c r="G71" s="659"/>
      <c r="H71" s="246">
        <f t="shared" ref="H71:H102" si="21">H70-SUM(E71:G71)</f>
        <v>0</v>
      </c>
      <c r="I71" s="1213" t="str">
        <f>$I$8</f>
        <v>Saldo Aves :</v>
      </c>
      <c r="J71" s="1214">
        <f>H75</f>
        <v>0</v>
      </c>
      <c r="K71" s="1088"/>
      <c r="L71" s="663"/>
      <c r="M71" s="1086"/>
      <c r="N71" s="664"/>
      <c r="O71" s="665"/>
      <c r="P71" s="232">
        <f t="shared" si="17"/>
        <v>0</v>
      </c>
      <c r="Q71" s="665"/>
      <c r="R71" s="233">
        <f t="shared" ref="R71:R102" si="22">R70+N71-O71-Q71</f>
        <v>0</v>
      </c>
      <c r="S71" s="234">
        <f>IF(Levante!$N$1&gt;0,O71*$B$1/H71,0)</f>
        <v>0</v>
      </c>
      <c r="T71" s="238">
        <f>IF(SUM(H69:H71)&gt;0,SUM(U69:U71)/SUM(H69:H71),0)</f>
        <v>0</v>
      </c>
      <c r="U71" s="238">
        <f t="shared" si="18"/>
        <v>0</v>
      </c>
      <c r="V71" s="1212">
        <f>IF(Fnac="",0,IFERROR(LOOKUP(Linea,TL!$BY$5:$CJ$5,TL!BY71:CJ71),0))</f>
        <v>0</v>
      </c>
      <c r="W71" s="1785" t="str">
        <f>$W$8</f>
        <v xml:space="preserve">Gr. Ave Acu : </v>
      </c>
      <c r="X71" s="1775">
        <f>X64+X69*7</f>
        <v>0</v>
      </c>
      <c r="Y71" s="992">
        <f>IFERROR(LOOKUP(B69,TL!$A$6:$A$23,GSh!$V$6:$V$23),0)</f>
        <v>0</v>
      </c>
      <c r="Z71" s="1777">
        <f>IF(AND(Y71&gt;0,Y72&gt;0,X71&gt;0),(X71-(IF(X71&gt;Y72,Y72,IF(X71&lt;Y71,Y71,X71))))/(IF(X71&gt;Y72,Y72,IF(X71&lt;Y71,Y71,X71)))*100,0)</f>
        <v>0</v>
      </c>
      <c r="AA71" s="235">
        <f>IF($AB$3="NO",0,ROUNDDOWN(SUM($O$6:O71)/IF(Iniciar!$C$10="kilos",40,1),0)-SUM($AA$6:$AA70))</f>
        <v>0</v>
      </c>
      <c r="AB71" s="667"/>
      <c r="AC71" s="667"/>
      <c r="AD71" s="236">
        <f t="shared" ref="AD71:AD102" si="23">AD70+AA71+AB71-AC71</f>
        <v>0</v>
      </c>
      <c r="AE71" s="670"/>
      <c r="AF71" s="1222"/>
      <c r="AG71" s="1822"/>
      <c r="AH71" s="1821"/>
      <c r="AI71" s="199"/>
      <c r="AJ71" s="199">
        <f>VLOOKUP(C71,Manejos!$C$10:$M$101,11,FALSE)</f>
        <v>0</v>
      </c>
      <c r="AK71" s="998">
        <f t="shared" si="19"/>
        <v>0</v>
      </c>
      <c r="AL71"/>
      <c r="AM71"/>
    </row>
    <row r="72" spans="1:39" s="219" customFormat="1" ht="13.5" customHeight="1" x14ac:dyDescent="0.3">
      <c r="A72" s="534">
        <f t="shared" si="20"/>
        <v>10</v>
      </c>
      <c r="B72" s="1839"/>
      <c r="C72" s="230" t="str">
        <f t="shared" si="9"/>
        <v/>
      </c>
      <c r="D72" s="231" t="e">
        <f t="shared" si="16"/>
        <v>#VALUE!</v>
      </c>
      <c r="E72" s="658"/>
      <c r="F72" s="658"/>
      <c r="G72" s="659"/>
      <c r="H72" s="246">
        <f t="shared" si="21"/>
        <v>0</v>
      </c>
      <c r="I72" s="1217" t="str">
        <f>$I$9</f>
        <v>% Mort/Sel Sem :</v>
      </c>
      <c r="J72" s="1216">
        <f>IF(Levante!$N$1&gt;0,SUM(E69:F75)/Levante!$N$1,0)</f>
        <v>0</v>
      </c>
      <c r="K72" s="1088"/>
      <c r="L72" s="663"/>
      <c r="M72" s="1086"/>
      <c r="N72" s="664"/>
      <c r="O72" s="665"/>
      <c r="P72" s="232">
        <f t="shared" si="17"/>
        <v>0</v>
      </c>
      <c r="Q72" s="665"/>
      <c r="R72" s="233">
        <f t="shared" si="22"/>
        <v>0</v>
      </c>
      <c r="S72" s="234">
        <f>IF(Levante!$N$1&gt;0,O72*$B$1/H72,0)</f>
        <v>0</v>
      </c>
      <c r="T72" s="238">
        <f>IF(SUM(H69:H72)&gt;0,SUM(U69:U72)/SUM(H69:H72),0)</f>
        <v>0</v>
      </c>
      <c r="U72" s="238">
        <f t="shared" si="18"/>
        <v>0</v>
      </c>
      <c r="V72" s="1212">
        <f>IF(Fnac="",0,IFERROR(LOOKUP(Linea,TL!$BY$5:$CJ$5,TL!BY72:CJ72),0))</f>
        <v>0</v>
      </c>
      <c r="W72" s="1786"/>
      <c r="X72" s="1776"/>
      <c r="Y72" s="993">
        <f>IFERROR(LOOKUP(B69,TL!$A$6:$A$23,GSh!$W$6:$W$23),0)</f>
        <v>0</v>
      </c>
      <c r="Z72" s="1778">
        <f>IF(AND(X72&gt;0,Y72&gt;0,W72&gt;0),(W72-(IF(W72&gt;Y72,Y72,IF(W72&lt;X72,X72,W72))))/(IF(W72&gt;Y72,Y72,IF(W72&lt;X72,X72,W72)))*100,0)</f>
        <v>0</v>
      </c>
      <c r="AA72" s="235">
        <f>IF($AB$3="NO",0,ROUNDDOWN(SUM($O$6:O72)/IF(Iniciar!$C$10="kilos",40,1),0)-SUM($AA$6:$AA71))</f>
        <v>0</v>
      </c>
      <c r="AB72" s="667"/>
      <c r="AC72" s="667"/>
      <c r="AD72" s="236">
        <f t="shared" si="23"/>
        <v>0</v>
      </c>
      <c r="AE72" s="670"/>
      <c r="AF72" s="1222"/>
      <c r="AG72" s="1822"/>
      <c r="AH72" s="1821"/>
      <c r="AI72" s="199"/>
      <c r="AJ72" s="199">
        <f>VLOOKUP(C72,Manejos!$C$10:$M$101,11,FALSE)</f>
        <v>0</v>
      </c>
      <c r="AK72" s="998">
        <f t="shared" si="19"/>
        <v>0</v>
      </c>
      <c r="AL72"/>
      <c r="AM72"/>
    </row>
    <row r="73" spans="1:39" s="219" customFormat="1" ht="13.5" customHeight="1" x14ac:dyDescent="0.3">
      <c r="A73" s="534">
        <f t="shared" si="20"/>
        <v>10</v>
      </c>
      <c r="B73" s="1839"/>
      <c r="C73" s="230" t="str">
        <f t="shared" si="9"/>
        <v/>
      </c>
      <c r="D73" s="231" t="e">
        <f t="shared" si="16"/>
        <v>#VALUE!</v>
      </c>
      <c r="E73" s="658"/>
      <c r="F73" s="658"/>
      <c r="G73" s="659"/>
      <c r="H73" s="246">
        <f t="shared" si="21"/>
        <v>0</v>
      </c>
      <c r="I73" s="1217" t="str">
        <f>$I$10</f>
        <v>% Mort/Sel Sem Tab :</v>
      </c>
      <c r="J73" s="1216">
        <f>J75-J68</f>
        <v>5.9999999999999984E-4</v>
      </c>
      <c r="K73" s="1088"/>
      <c r="L73" s="663"/>
      <c r="M73" s="1086"/>
      <c r="N73" s="664"/>
      <c r="O73" s="665"/>
      <c r="P73" s="232">
        <f t="shared" si="17"/>
        <v>0</v>
      </c>
      <c r="Q73" s="665"/>
      <c r="R73" s="233">
        <f t="shared" si="22"/>
        <v>0</v>
      </c>
      <c r="S73" s="234">
        <f>IF(Levante!$N$1&gt;0,O73*$B$1/H73,0)</f>
        <v>0</v>
      </c>
      <c r="T73" s="238">
        <f>IF(SUM(H69:H73)&gt;0,SUM(U69:U73)/SUM(H69:H73),0)</f>
        <v>0</v>
      </c>
      <c r="U73" s="238">
        <f t="shared" si="18"/>
        <v>0</v>
      </c>
      <c r="V73" s="1212">
        <f>IF(Fnac="",0,IFERROR(LOOKUP(Linea,TL!$BY$5:$CJ$5,TL!BY73:CJ73),0))</f>
        <v>0</v>
      </c>
      <c r="W73" s="1793" t="str">
        <f>$W$10</f>
        <v xml:space="preserve">Total Litros Sem: </v>
      </c>
      <c r="X73" s="1794"/>
      <c r="Y73" s="1787">
        <f>SUM(K69:K75)</f>
        <v>0</v>
      </c>
      <c r="Z73" s="1788"/>
      <c r="AA73" s="235">
        <f>IF($AB$3="NO",0,ROUNDDOWN(SUM($O$6:O73)/IF(Iniciar!$C$10="kilos",40,1),0)-SUM($AA$6:$AA72))</f>
        <v>0</v>
      </c>
      <c r="AB73" s="667"/>
      <c r="AC73" s="667"/>
      <c r="AD73" s="236">
        <f t="shared" si="23"/>
        <v>0</v>
      </c>
      <c r="AE73" s="670"/>
      <c r="AF73" s="1222"/>
      <c r="AG73" s="1822"/>
      <c r="AH73" s="1821"/>
      <c r="AI73" s="199"/>
      <c r="AJ73" s="199">
        <f>VLOOKUP(C73,Manejos!$C$10:$M$101,11,FALSE)</f>
        <v>0</v>
      </c>
      <c r="AK73" s="998">
        <f t="shared" si="19"/>
        <v>0</v>
      </c>
      <c r="AL73"/>
      <c r="AM73"/>
    </row>
    <row r="74" spans="1:39" s="219" customFormat="1" ht="14.25" customHeight="1" x14ac:dyDescent="0.3">
      <c r="A74" s="534">
        <f t="shared" si="20"/>
        <v>10</v>
      </c>
      <c r="B74" s="1839"/>
      <c r="C74" s="230" t="str">
        <f t="shared" si="9"/>
        <v/>
      </c>
      <c r="D74" s="231" t="e">
        <f t="shared" si="16"/>
        <v>#VALUE!</v>
      </c>
      <c r="E74" s="658"/>
      <c r="F74" s="658"/>
      <c r="G74" s="659"/>
      <c r="H74" s="246">
        <f t="shared" si="21"/>
        <v>0</v>
      </c>
      <c r="I74" s="1217" t="str">
        <f>$I$11</f>
        <v>% Mort/Sel Acum :</v>
      </c>
      <c r="J74" s="1216">
        <f>IF(Levante!$N$1&gt;0,SUM($E$6:F75)/Levante!$N$1,0)</f>
        <v>0</v>
      </c>
      <c r="K74" s="1088"/>
      <c r="L74" s="663"/>
      <c r="M74" s="1086"/>
      <c r="N74" s="664"/>
      <c r="O74" s="665"/>
      <c r="P74" s="232">
        <f t="shared" si="17"/>
        <v>0</v>
      </c>
      <c r="Q74" s="665"/>
      <c r="R74" s="233">
        <f t="shared" si="22"/>
        <v>0</v>
      </c>
      <c r="S74" s="234">
        <f>IF(Levante!$N$1&gt;0,O74*$B$1/H74,0)</f>
        <v>0</v>
      </c>
      <c r="T74" s="238">
        <f>IF(SUM(H69:H74)&gt;0,SUM(U69:U74)/SUM(H69:H74),0)</f>
        <v>0</v>
      </c>
      <c r="U74" s="238">
        <f t="shared" si="18"/>
        <v>0</v>
      </c>
      <c r="V74" s="1212">
        <f>IF(Fnac="",0,IFERROR(LOOKUP(Linea,TL!$BY$5:$CJ$5,TL!BY74:CJ74),0))</f>
        <v>0</v>
      </c>
      <c r="W74" s="1795" t="str">
        <f>$W$11</f>
        <v xml:space="preserve">Cons ml /ave día: </v>
      </c>
      <c r="X74" s="1796"/>
      <c r="Y74" s="1789">
        <f>IFERROR(Y73/7*1000/H75,0)</f>
        <v>0</v>
      </c>
      <c r="Z74" s="1790"/>
      <c r="AA74" s="235">
        <f>IF($AB$3="NO",0,ROUNDDOWN(SUM($O$6:O74)/IF(Iniciar!$C$10="kilos",40,1),0)-SUM($AA$6:$AA73))</f>
        <v>0</v>
      </c>
      <c r="AB74" s="667"/>
      <c r="AC74" s="667"/>
      <c r="AD74" s="236">
        <f t="shared" si="23"/>
        <v>0</v>
      </c>
      <c r="AE74" s="670"/>
      <c r="AF74" s="1222"/>
      <c r="AG74" s="1822"/>
      <c r="AH74" s="1821"/>
      <c r="AI74" s="199"/>
      <c r="AJ74" s="199">
        <f>VLOOKUP(C74,Manejos!$C$10:$M$101,11,FALSE)</f>
        <v>0</v>
      </c>
      <c r="AK74" s="998">
        <f t="shared" si="19"/>
        <v>0</v>
      </c>
      <c r="AL74"/>
      <c r="AM74"/>
    </row>
    <row r="75" spans="1:39" s="219" customFormat="1" ht="13.5" customHeight="1" x14ac:dyDescent="0.3">
      <c r="A75" s="534">
        <f t="shared" si="20"/>
        <v>10</v>
      </c>
      <c r="B75" s="1840"/>
      <c r="C75" s="230" t="str">
        <f t="shared" si="9"/>
        <v/>
      </c>
      <c r="D75" s="231" t="e">
        <f t="shared" si="16"/>
        <v>#VALUE!</v>
      </c>
      <c r="E75" s="658"/>
      <c r="F75" s="658"/>
      <c r="G75" s="659"/>
      <c r="H75" s="246">
        <f t="shared" si="21"/>
        <v>0</v>
      </c>
      <c r="I75" s="1217" t="str">
        <f>$I$12</f>
        <v>% Mort/Sel Acm Tab :</v>
      </c>
      <c r="J75" s="1216">
        <f>$E$3*0.0074</f>
        <v>1.4800000000000001E-2</v>
      </c>
      <c r="K75" s="1088"/>
      <c r="L75" s="663"/>
      <c r="M75" s="1086"/>
      <c r="N75" s="664"/>
      <c r="O75" s="665"/>
      <c r="P75" s="232">
        <f t="shared" si="17"/>
        <v>0</v>
      </c>
      <c r="Q75" s="665"/>
      <c r="R75" s="233">
        <f t="shared" si="22"/>
        <v>0</v>
      </c>
      <c r="S75" s="234">
        <f>IF(Levante!$N$1&gt;0,O75/IF(SUM(O69:O74)=0,7,1)*$B$1/H75,0)</f>
        <v>0</v>
      </c>
      <c r="T75" s="238">
        <f>IF(SUM(H69:H75)&gt;0,SUM(U69:U75)/SUM(H69:H75),0)</f>
        <v>0</v>
      </c>
      <c r="U75" s="238">
        <f t="shared" si="18"/>
        <v>0</v>
      </c>
      <c r="V75" s="1212">
        <f>IF(Fnac="",0,IFERROR(LOOKUP(Linea,TL!$BY$5:$CJ$5,TL!BY75:CJ75),0))</f>
        <v>0</v>
      </c>
      <c r="W75" s="1825" t="str">
        <f>$W$12</f>
        <v xml:space="preserve">Relación Agua /Alimto: </v>
      </c>
      <c r="X75" s="1826"/>
      <c r="Y75" s="1791">
        <f>IFERROR(Y74/X69,0)</f>
        <v>0</v>
      </c>
      <c r="Z75" s="1792"/>
      <c r="AA75" s="235">
        <f>IF($AB$3="NO",0,ROUNDDOWN(SUM($O$6:O75)/IF(Iniciar!$C$10="kilos",40,1),0)-SUM($AA$6:$AA74))</f>
        <v>0</v>
      </c>
      <c r="AB75" s="667"/>
      <c r="AC75" s="667"/>
      <c r="AD75" s="236">
        <f t="shared" si="23"/>
        <v>0</v>
      </c>
      <c r="AE75" s="670"/>
      <c r="AF75" s="1222"/>
      <c r="AG75" s="1822"/>
      <c r="AH75" s="1821"/>
      <c r="AI75" s="199">
        <f>IF(OR(J69&gt;0,X69&gt;0),B68,AI68)</f>
        <v>0</v>
      </c>
      <c r="AJ75" s="199">
        <f>VLOOKUP(C75,Manejos!$C$10:$M$101,11,FALSE)</f>
        <v>0</v>
      </c>
      <c r="AK75" s="998">
        <f t="shared" si="19"/>
        <v>0</v>
      </c>
      <c r="AL75"/>
      <c r="AM75"/>
    </row>
    <row r="76" spans="1:39" s="219" customFormat="1" ht="13.5" customHeight="1" x14ac:dyDescent="0.3">
      <c r="A76" s="534">
        <f>B76</f>
        <v>11</v>
      </c>
      <c r="B76" s="1838">
        <f>B69+1</f>
        <v>11</v>
      </c>
      <c r="C76" s="230" t="str">
        <f t="shared" si="9"/>
        <v/>
      </c>
      <c r="D76" s="231" t="e">
        <f t="shared" si="16"/>
        <v>#VALUE!</v>
      </c>
      <c r="E76" s="658"/>
      <c r="F76" s="658"/>
      <c r="G76" s="659"/>
      <c r="H76" s="246">
        <f t="shared" si="21"/>
        <v>0</v>
      </c>
      <c r="I76" s="1210" t="str">
        <f>$I$6</f>
        <v>T. Salidas Sem :</v>
      </c>
      <c r="J76" s="1211">
        <f>SUMIF(E76:G82,"&gt;0")</f>
        <v>0</v>
      </c>
      <c r="K76" s="1088"/>
      <c r="L76" s="663"/>
      <c r="M76" s="1086"/>
      <c r="N76" s="664"/>
      <c r="O76" s="665"/>
      <c r="P76" s="232">
        <f t="shared" si="17"/>
        <v>0</v>
      </c>
      <c r="Q76" s="665"/>
      <c r="R76" s="233">
        <f t="shared" si="22"/>
        <v>0</v>
      </c>
      <c r="S76" s="234">
        <f>IF(Levante!$N$1&gt;0,O76*$B$1/H76,0)</f>
        <v>0</v>
      </c>
      <c r="T76" s="238">
        <f>IF(SUM(H76:H76)&gt;0,SUM(U76:U76)/SUM(H76:H76),0)</f>
        <v>0</v>
      </c>
      <c r="U76" s="238">
        <f t="shared" si="18"/>
        <v>0</v>
      </c>
      <c r="V76" s="1212">
        <f>IF(Fnac="",0,IFERROR(LOOKUP(Linea,TL!$BY$5:$CJ$5,TL!BY76:CJ76),0))</f>
        <v>0</v>
      </c>
      <c r="W76" s="1779" t="str">
        <f>$W$6</f>
        <v xml:space="preserve">Gr. Ave Dia : </v>
      </c>
      <c r="X76" s="1781">
        <f>IF(AND(COUNT(O76:O81)&gt;0,O82&gt;0),T82,S82)</f>
        <v>0</v>
      </c>
      <c r="Y76" s="1219">
        <f>IFERROR(LOOKUP(B76,TL!$A$6:$A$23,GSh!$O$6:$O$23),0)</f>
        <v>0</v>
      </c>
      <c r="Z76" s="1783">
        <f>IF(AND(Y76&gt;0,Y77&gt;0,X76&gt;0),(X76-(IF(X76&gt;Y77,Y77,IF(X76&lt;Y76,Y76,X76))))/(IF(X76&gt;Y77,Y77,IF(X76&lt;Y76,Y76,X76)))*100,0)</f>
        <v>0</v>
      </c>
      <c r="AA76" s="235">
        <f>IF($AB$3="NO",0,ROUNDDOWN(SUM($O$6:O76)/IF(Iniciar!$C$10="kilos",40,1),0)-SUM($AA$6:$AA75))</f>
        <v>0</v>
      </c>
      <c r="AB76" s="667"/>
      <c r="AC76" s="667"/>
      <c r="AD76" s="236">
        <f t="shared" si="23"/>
        <v>0</v>
      </c>
      <c r="AE76" s="670"/>
      <c r="AF76" s="1222"/>
      <c r="AG76" s="1822"/>
      <c r="AH76" s="1821">
        <f>AH69+1</f>
        <v>11</v>
      </c>
      <c r="AI76" s="538">
        <f>SUMPRODUCT(O76:O82,M76:M82)</f>
        <v>0</v>
      </c>
      <c r="AJ76" s="199">
        <f>VLOOKUP(C76,Manejos!$C$10:$M$101,11,FALSE)</f>
        <v>0</v>
      </c>
      <c r="AK76" s="998">
        <f t="shared" si="19"/>
        <v>0</v>
      </c>
      <c r="AL76"/>
      <c r="AM76"/>
    </row>
    <row r="77" spans="1:39" s="219" customFormat="1" ht="13.5" customHeight="1" x14ac:dyDescent="0.3">
      <c r="A77" s="534">
        <f t="shared" si="20"/>
        <v>11</v>
      </c>
      <c r="B77" s="1839"/>
      <c r="C77" s="230" t="str">
        <f t="shared" ref="C77:C128" si="24">IF(C76="","",C76+1)</f>
        <v/>
      </c>
      <c r="D77" s="231" t="e">
        <f t="shared" si="16"/>
        <v>#VALUE!</v>
      </c>
      <c r="E77" s="658"/>
      <c r="F77" s="658"/>
      <c r="G77" s="659"/>
      <c r="H77" s="246">
        <f t="shared" si="21"/>
        <v>0</v>
      </c>
      <c r="I77" s="1210" t="str">
        <f>$I$7</f>
        <v>T. Salidas Acm :</v>
      </c>
      <c r="J77" s="1211">
        <f>J70+J76</f>
        <v>0</v>
      </c>
      <c r="K77" s="1088"/>
      <c r="L77" s="663"/>
      <c r="M77" s="1086"/>
      <c r="N77" s="664"/>
      <c r="O77" s="665"/>
      <c r="P77" s="232">
        <f t="shared" si="17"/>
        <v>0</v>
      </c>
      <c r="Q77" s="665"/>
      <c r="R77" s="233">
        <f t="shared" si="22"/>
        <v>0</v>
      </c>
      <c r="S77" s="234">
        <f>IF(Levante!$N$1&gt;0,O77*$B$1/H77,0)</f>
        <v>0</v>
      </c>
      <c r="T77" s="238">
        <f>IF(SUM(H76:H77)&gt;0,SUM(U76:U77)/SUM(H76:H77),0)</f>
        <v>0</v>
      </c>
      <c r="U77" s="238">
        <f t="shared" si="18"/>
        <v>0</v>
      </c>
      <c r="V77" s="1212">
        <f>IF(Fnac="",0,IFERROR(LOOKUP(Linea,TL!$BY$5:$CJ$5,TL!BY77:CJ77),0))</f>
        <v>0</v>
      </c>
      <c r="W77" s="1780"/>
      <c r="X77" s="1782"/>
      <c r="Y77" s="997">
        <f>IFERROR(LOOKUP(B76,TL!$A$6:$A$23,GSh!$P$6:$P$23),0)</f>
        <v>0</v>
      </c>
      <c r="Z77" s="1784">
        <f>IF(AND(X77&gt;0,Y77&gt;0,W77&gt;0),(W77-(IF(W77&gt;Y77,Y77,IF(W77&lt;X77,X77,W77))))/(IF(W77&gt;Y77,Y77,IF(W77&lt;X77,X77,W77)))*100,0)</f>
        <v>0</v>
      </c>
      <c r="AA77" s="235">
        <f>IF($AB$3="NO",0,ROUNDDOWN(SUM($O$6:O77)/IF(Iniciar!$C$10="kilos",40,1),0)-SUM($AA$6:$AA76))</f>
        <v>0</v>
      </c>
      <c r="AB77" s="667"/>
      <c r="AC77" s="667"/>
      <c r="AD77" s="236">
        <f t="shared" si="23"/>
        <v>0</v>
      </c>
      <c r="AE77" s="670"/>
      <c r="AF77" s="1222"/>
      <c r="AG77" s="1822"/>
      <c r="AH77" s="1821"/>
      <c r="AI77" s="199"/>
      <c r="AJ77" s="199">
        <f>VLOOKUP(C77,Manejos!$C$10:$M$101,11,FALSE)</f>
        <v>0</v>
      </c>
      <c r="AK77" s="998">
        <f t="shared" si="19"/>
        <v>0</v>
      </c>
      <c r="AL77"/>
      <c r="AM77"/>
    </row>
    <row r="78" spans="1:39" s="219" customFormat="1" ht="13.5" customHeight="1" x14ac:dyDescent="0.25">
      <c r="A78" s="534">
        <f t="shared" si="20"/>
        <v>11</v>
      </c>
      <c r="B78" s="1839"/>
      <c r="C78" s="230" t="str">
        <f t="shared" si="24"/>
        <v/>
      </c>
      <c r="D78" s="231" t="e">
        <f t="shared" si="16"/>
        <v>#VALUE!</v>
      </c>
      <c r="E78" s="658"/>
      <c r="F78" s="658"/>
      <c r="G78" s="659"/>
      <c r="H78" s="246">
        <f t="shared" si="21"/>
        <v>0</v>
      </c>
      <c r="I78" s="1213" t="str">
        <f>$I$8</f>
        <v>Saldo Aves :</v>
      </c>
      <c r="J78" s="1214">
        <f>H82</f>
        <v>0</v>
      </c>
      <c r="K78" s="1088"/>
      <c r="L78" s="663"/>
      <c r="M78" s="1086"/>
      <c r="N78" s="664"/>
      <c r="O78" s="665"/>
      <c r="P78" s="232">
        <f t="shared" si="17"/>
        <v>0</v>
      </c>
      <c r="Q78" s="665"/>
      <c r="R78" s="233">
        <f t="shared" si="22"/>
        <v>0</v>
      </c>
      <c r="S78" s="234">
        <f>IF(Levante!$N$1&gt;0,O78*$B$1/H78,0)</f>
        <v>0</v>
      </c>
      <c r="T78" s="238">
        <f>IF(SUM(H76:H78)&gt;0,SUM(U76:U78)/SUM(H76:H78),0)</f>
        <v>0</v>
      </c>
      <c r="U78" s="238">
        <f t="shared" si="18"/>
        <v>0</v>
      </c>
      <c r="V78" s="1212">
        <f>IF(Fnac="",0,IFERROR(LOOKUP(Linea,TL!$BY$5:$CJ$5,TL!BY78:CJ78),0))</f>
        <v>0</v>
      </c>
      <c r="W78" s="1785" t="str">
        <f>$W$8</f>
        <v xml:space="preserve">Gr. Ave Acu : </v>
      </c>
      <c r="X78" s="1775">
        <f>X71+X76*7</f>
        <v>0</v>
      </c>
      <c r="Y78" s="992">
        <f>IFERROR(LOOKUP(B76,TL!$A$6:$A$23,GSh!$V$6:$V$23),0)</f>
        <v>0</v>
      </c>
      <c r="Z78" s="1777">
        <f>IF(AND(Y78&gt;0,Y79&gt;0,X78&gt;0),(X78-(IF(X78&gt;Y79,Y79,IF(X78&lt;Y78,Y78,X78))))/(IF(X78&gt;Y79,Y79,IF(X78&lt;Y78,Y78,X78)))*100,0)</f>
        <v>0</v>
      </c>
      <c r="AA78" s="235">
        <f>IF($AB$3="NO",0,ROUNDDOWN(SUM($O$6:O78)/IF(Iniciar!$C$10="kilos",40,1),0)-SUM($AA$6:$AA77))</f>
        <v>0</v>
      </c>
      <c r="AB78" s="667"/>
      <c r="AC78" s="667"/>
      <c r="AD78" s="236">
        <f t="shared" si="23"/>
        <v>0</v>
      </c>
      <c r="AE78" s="670"/>
      <c r="AF78" s="1222"/>
      <c r="AG78" s="1822"/>
      <c r="AH78" s="1821"/>
      <c r="AI78" s="199"/>
      <c r="AJ78" s="199">
        <f>VLOOKUP(C78,Manejos!$C$10:$M$101,11,FALSE)</f>
        <v>0</v>
      </c>
      <c r="AK78" s="998">
        <f t="shared" si="19"/>
        <v>0</v>
      </c>
      <c r="AL78"/>
      <c r="AM78"/>
    </row>
    <row r="79" spans="1:39" s="219" customFormat="1" ht="13.5" customHeight="1" x14ac:dyDescent="0.3">
      <c r="A79" s="534">
        <f t="shared" si="20"/>
        <v>11</v>
      </c>
      <c r="B79" s="1839"/>
      <c r="C79" s="230" t="str">
        <f t="shared" si="24"/>
        <v/>
      </c>
      <c r="D79" s="231" t="e">
        <f t="shared" si="16"/>
        <v>#VALUE!</v>
      </c>
      <c r="E79" s="658"/>
      <c r="F79" s="658"/>
      <c r="G79" s="659"/>
      <c r="H79" s="246">
        <f t="shared" si="21"/>
        <v>0</v>
      </c>
      <c r="I79" s="1217" t="str">
        <f>$I$9</f>
        <v>% Mort/Sel Sem :</v>
      </c>
      <c r="J79" s="1216">
        <f>IF(Levante!$N$1&gt;0,SUM(E76:F82)/Levante!$N$1,0)</f>
        <v>0</v>
      </c>
      <c r="K79" s="1088"/>
      <c r="L79" s="663"/>
      <c r="M79" s="1086"/>
      <c r="N79" s="664"/>
      <c r="O79" s="665"/>
      <c r="P79" s="232">
        <f t="shared" si="17"/>
        <v>0</v>
      </c>
      <c r="Q79" s="665"/>
      <c r="R79" s="233">
        <f t="shared" si="22"/>
        <v>0</v>
      </c>
      <c r="S79" s="234">
        <f>IF(Levante!$N$1&gt;0,O79*$B$1/H79,0)</f>
        <v>0</v>
      </c>
      <c r="T79" s="238">
        <f>IF(SUM(H76:H79)&gt;0,SUM(U76:U79)/SUM(H76:H79),0)</f>
        <v>0</v>
      </c>
      <c r="U79" s="238">
        <f t="shared" si="18"/>
        <v>0</v>
      </c>
      <c r="V79" s="1212">
        <f>IF(Fnac="",0,IFERROR(LOOKUP(Linea,TL!$BY$5:$CJ$5,TL!BY79:CJ79),0))</f>
        <v>0</v>
      </c>
      <c r="W79" s="1786"/>
      <c r="X79" s="1776"/>
      <c r="Y79" s="993">
        <f>IFERROR(LOOKUP(B76,TL!$A$6:$A$23,GSh!$W$6:$W$23),0)</f>
        <v>0</v>
      </c>
      <c r="Z79" s="1778">
        <f>IF(AND(X79&gt;0,Y79&gt;0,W79&gt;0),(W79-(IF(W79&gt;Y79,Y79,IF(W79&lt;X79,X79,W79))))/(IF(W79&gt;Y79,Y79,IF(W79&lt;X79,X79,W79)))*100,0)</f>
        <v>0</v>
      </c>
      <c r="AA79" s="235">
        <f>IF($AB$3="NO",0,ROUNDDOWN(SUM($O$6:O79)/IF(Iniciar!$C$10="kilos",40,1),0)-SUM($AA$6:$AA78))</f>
        <v>0</v>
      </c>
      <c r="AB79" s="667"/>
      <c r="AC79" s="667"/>
      <c r="AD79" s="236">
        <f t="shared" si="23"/>
        <v>0</v>
      </c>
      <c r="AE79" s="670"/>
      <c r="AF79" s="1222"/>
      <c r="AG79" s="1822"/>
      <c r="AH79" s="1821"/>
      <c r="AI79" s="199"/>
      <c r="AJ79" s="199">
        <f>VLOOKUP(C79,Manejos!$C$10:$M$101,11,FALSE)</f>
        <v>0</v>
      </c>
      <c r="AK79" s="998">
        <f t="shared" si="19"/>
        <v>0</v>
      </c>
      <c r="AL79"/>
      <c r="AM79"/>
    </row>
    <row r="80" spans="1:39" s="219" customFormat="1" ht="13.5" customHeight="1" x14ac:dyDescent="0.3">
      <c r="A80" s="534">
        <f t="shared" si="20"/>
        <v>11</v>
      </c>
      <c r="B80" s="1839"/>
      <c r="C80" s="230" t="str">
        <f t="shared" si="24"/>
        <v/>
      </c>
      <c r="D80" s="231" t="e">
        <f t="shared" si="16"/>
        <v>#VALUE!</v>
      </c>
      <c r="E80" s="658"/>
      <c r="F80" s="658"/>
      <c r="G80" s="659"/>
      <c r="H80" s="246">
        <f t="shared" si="21"/>
        <v>0</v>
      </c>
      <c r="I80" s="1217" t="str">
        <f>$I$10</f>
        <v>% Mort/Sel Sem Tab :</v>
      </c>
      <c r="J80" s="1216">
        <f>J82-J75</f>
        <v>5.9999999999999984E-4</v>
      </c>
      <c r="K80" s="1088"/>
      <c r="L80" s="663"/>
      <c r="M80" s="1086"/>
      <c r="N80" s="664"/>
      <c r="O80" s="665"/>
      <c r="P80" s="232">
        <f t="shared" si="17"/>
        <v>0</v>
      </c>
      <c r="Q80" s="665"/>
      <c r="R80" s="233">
        <f t="shared" si="22"/>
        <v>0</v>
      </c>
      <c r="S80" s="234">
        <f>IF(Levante!$N$1&gt;0,O80*$B$1/H80,0)</f>
        <v>0</v>
      </c>
      <c r="T80" s="238">
        <f>IF(SUM(H76:H80)&gt;0,SUM(U76:U80)/SUM(H76:H80),0)</f>
        <v>0</v>
      </c>
      <c r="U80" s="238">
        <f t="shared" si="18"/>
        <v>0</v>
      </c>
      <c r="V80" s="1212">
        <f>IF(Fnac="",0,IFERROR(LOOKUP(Linea,TL!$BY$5:$CJ$5,TL!BY80:CJ80),0))</f>
        <v>0</v>
      </c>
      <c r="W80" s="1793" t="str">
        <f>$W$10</f>
        <v xml:space="preserve">Total Litros Sem: </v>
      </c>
      <c r="X80" s="1794"/>
      <c r="Y80" s="1787">
        <f>SUM(K76:K82)</f>
        <v>0</v>
      </c>
      <c r="Z80" s="1788"/>
      <c r="AA80" s="235">
        <f>IF($AB$3="NO",0,ROUNDDOWN(SUM($O$6:O80)/IF(Iniciar!$C$10="kilos",40,1),0)-SUM($AA$6:$AA79))</f>
        <v>0</v>
      </c>
      <c r="AB80" s="667"/>
      <c r="AC80" s="667"/>
      <c r="AD80" s="236">
        <f t="shared" si="23"/>
        <v>0</v>
      </c>
      <c r="AE80" s="670"/>
      <c r="AF80" s="1222"/>
      <c r="AG80" s="1822"/>
      <c r="AH80" s="1821"/>
      <c r="AI80" s="199"/>
      <c r="AJ80" s="199">
        <f>VLOOKUP(C80,Manejos!$C$10:$M$101,11,FALSE)</f>
        <v>0</v>
      </c>
      <c r="AK80" s="998">
        <f t="shared" si="19"/>
        <v>0</v>
      </c>
      <c r="AL80"/>
      <c r="AM80"/>
    </row>
    <row r="81" spans="1:39" s="219" customFormat="1" ht="13.5" customHeight="1" x14ac:dyDescent="0.3">
      <c r="A81" s="534">
        <f t="shared" si="20"/>
        <v>11</v>
      </c>
      <c r="B81" s="1839"/>
      <c r="C81" s="230" t="str">
        <f t="shared" si="24"/>
        <v/>
      </c>
      <c r="D81" s="231" t="e">
        <f t="shared" si="16"/>
        <v>#VALUE!</v>
      </c>
      <c r="E81" s="658"/>
      <c r="F81" s="658"/>
      <c r="G81" s="659"/>
      <c r="H81" s="246">
        <f t="shared" si="21"/>
        <v>0</v>
      </c>
      <c r="I81" s="1217" t="str">
        <f>$I$11</f>
        <v>% Mort/Sel Acum :</v>
      </c>
      <c r="J81" s="1216">
        <f>IF(Levante!$N$1&gt;0,SUM($E$6:F82)/Levante!$N$1,0)</f>
        <v>0</v>
      </c>
      <c r="K81" s="1088"/>
      <c r="L81" s="663"/>
      <c r="M81" s="1086"/>
      <c r="N81" s="664"/>
      <c r="O81" s="665"/>
      <c r="P81" s="232">
        <f t="shared" si="17"/>
        <v>0</v>
      </c>
      <c r="Q81" s="665"/>
      <c r="R81" s="233">
        <f t="shared" si="22"/>
        <v>0</v>
      </c>
      <c r="S81" s="234">
        <f>IF(Levante!$N$1&gt;0,O81*$B$1/H81,0)</f>
        <v>0</v>
      </c>
      <c r="T81" s="238">
        <f>IF(SUM(H76:H81)&gt;0,SUM(U76:U81)/SUM(H76:H81),0)</f>
        <v>0</v>
      </c>
      <c r="U81" s="238">
        <f t="shared" si="18"/>
        <v>0</v>
      </c>
      <c r="V81" s="1212">
        <f>IF(Fnac="",0,IFERROR(LOOKUP(Linea,TL!$BY$5:$CJ$5,TL!BY81:CJ81),0))</f>
        <v>0</v>
      </c>
      <c r="W81" s="1795" t="str">
        <f>$W$11</f>
        <v xml:space="preserve">Cons ml /ave día: </v>
      </c>
      <c r="X81" s="1796"/>
      <c r="Y81" s="1789">
        <f>IFERROR(Y80/7*1000/H82,0)</f>
        <v>0</v>
      </c>
      <c r="Z81" s="1790"/>
      <c r="AA81" s="235">
        <f>IF($AB$3="NO",0,ROUNDDOWN(SUM($O$6:O81)/IF(Iniciar!$C$10="kilos",40,1),0)-SUM($AA$6:$AA80))</f>
        <v>0</v>
      </c>
      <c r="AB81" s="667"/>
      <c r="AC81" s="667"/>
      <c r="AD81" s="236">
        <f t="shared" si="23"/>
        <v>0</v>
      </c>
      <c r="AE81" s="670"/>
      <c r="AF81" s="1222"/>
      <c r="AG81" s="1822"/>
      <c r="AH81" s="1821"/>
      <c r="AI81" s="199"/>
      <c r="AJ81" s="199">
        <f>VLOOKUP(C81,Manejos!$C$10:$M$101,11,FALSE)</f>
        <v>0</v>
      </c>
      <c r="AK81" s="998">
        <f t="shared" si="19"/>
        <v>0</v>
      </c>
      <c r="AL81"/>
      <c r="AM81"/>
    </row>
    <row r="82" spans="1:39" s="219" customFormat="1" ht="14.25" customHeight="1" x14ac:dyDescent="0.3">
      <c r="A82" s="534">
        <f t="shared" si="20"/>
        <v>11</v>
      </c>
      <c r="B82" s="1840"/>
      <c r="C82" s="230" t="str">
        <f t="shared" si="24"/>
        <v/>
      </c>
      <c r="D82" s="231" t="e">
        <f t="shared" si="16"/>
        <v>#VALUE!</v>
      </c>
      <c r="E82" s="658"/>
      <c r="F82" s="658"/>
      <c r="G82" s="659"/>
      <c r="H82" s="246">
        <f t="shared" si="21"/>
        <v>0</v>
      </c>
      <c r="I82" s="1217" t="str">
        <f>$I$12</f>
        <v>% Mort/Sel Acm Tab :</v>
      </c>
      <c r="J82" s="1216">
        <f>$E$3*0.0077</f>
        <v>1.54E-2</v>
      </c>
      <c r="K82" s="1088"/>
      <c r="L82" s="663"/>
      <c r="M82" s="1086"/>
      <c r="N82" s="664"/>
      <c r="O82" s="665"/>
      <c r="P82" s="232">
        <f t="shared" si="17"/>
        <v>0</v>
      </c>
      <c r="Q82" s="665"/>
      <c r="R82" s="233">
        <f t="shared" si="22"/>
        <v>0</v>
      </c>
      <c r="S82" s="234">
        <f>IF(Levante!$N$1&gt;0,O82/IF(SUM(O76:O81)=0,7,1)*$B$1/H82,0)</f>
        <v>0</v>
      </c>
      <c r="T82" s="238">
        <f>IF(SUM(H76:H82)&gt;0,SUM(U76:U82)/SUM(H76:H82),0)</f>
        <v>0</v>
      </c>
      <c r="U82" s="238">
        <f t="shared" si="18"/>
        <v>0</v>
      </c>
      <c r="V82" s="1212">
        <f>IF(Fnac="",0,IFERROR(LOOKUP(Linea,TL!$BY$5:$CJ$5,TL!BY82:CJ82),0))</f>
        <v>0</v>
      </c>
      <c r="W82" s="1825" t="str">
        <f>$W$12</f>
        <v xml:space="preserve">Relación Agua /Alimto: </v>
      </c>
      <c r="X82" s="1826"/>
      <c r="Y82" s="1791">
        <f>IFERROR(Y81/X76,0)</f>
        <v>0</v>
      </c>
      <c r="Z82" s="1792"/>
      <c r="AA82" s="235">
        <f>IF($AB$3="NO",0,ROUNDDOWN(SUM($O$6:O82)/IF(Iniciar!$C$10="kilos",40,1),0)-SUM($AA$6:$AA81))</f>
        <v>0</v>
      </c>
      <c r="AB82" s="667"/>
      <c r="AC82" s="667"/>
      <c r="AD82" s="236">
        <f t="shared" si="23"/>
        <v>0</v>
      </c>
      <c r="AE82" s="670"/>
      <c r="AF82" s="1222"/>
      <c r="AG82" s="1822"/>
      <c r="AH82" s="1821"/>
      <c r="AI82" s="199">
        <f>IF(OR(J76&gt;0,X76&gt;0),B75,AI75)</f>
        <v>0</v>
      </c>
      <c r="AJ82" s="199">
        <f>VLOOKUP(C82,Manejos!$C$10:$M$101,11,FALSE)</f>
        <v>0</v>
      </c>
      <c r="AK82" s="998">
        <f t="shared" si="19"/>
        <v>0</v>
      </c>
      <c r="AL82"/>
      <c r="AM82"/>
    </row>
    <row r="83" spans="1:39" s="219" customFormat="1" ht="13.5" customHeight="1" x14ac:dyDescent="0.3">
      <c r="A83" s="534">
        <f>B83</f>
        <v>12</v>
      </c>
      <c r="B83" s="1838">
        <f>B76+1</f>
        <v>12</v>
      </c>
      <c r="C83" s="230" t="str">
        <f t="shared" si="24"/>
        <v/>
      </c>
      <c r="D83" s="231" t="e">
        <f t="shared" si="16"/>
        <v>#VALUE!</v>
      </c>
      <c r="E83" s="658"/>
      <c r="F83" s="658"/>
      <c r="G83" s="659"/>
      <c r="H83" s="246">
        <f t="shared" si="21"/>
        <v>0</v>
      </c>
      <c r="I83" s="1210" t="str">
        <f>$I$6</f>
        <v>T. Salidas Sem :</v>
      </c>
      <c r="J83" s="1211">
        <f>SUMIF(E83:G89,"&gt;0")</f>
        <v>0</v>
      </c>
      <c r="K83" s="1088"/>
      <c r="L83" s="663"/>
      <c r="M83" s="1086"/>
      <c r="N83" s="664"/>
      <c r="O83" s="665"/>
      <c r="P83" s="232">
        <f t="shared" si="17"/>
        <v>0</v>
      </c>
      <c r="Q83" s="665"/>
      <c r="R83" s="233">
        <f t="shared" si="22"/>
        <v>0</v>
      </c>
      <c r="S83" s="234">
        <f>IF(Levante!$N$1&gt;0,O83*$B$1/H83,0)</f>
        <v>0</v>
      </c>
      <c r="T83" s="238">
        <f>IF(SUM(H83:H83)&gt;0,SUM(U83:U83)/SUM(H83:H83),0)</f>
        <v>0</v>
      </c>
      <c r="U83" s="238">
        <f t="shared" si="18"/>
        <v>0</v>
      </c>
      <c r="V83" s="1212">
        <f>IF(Fnac="",0,IFERROR(LOOKUP(Linea,TL!$BY$5:$CJ$5,TL!BY83:CJ83),0))</f>
        <v>0</v>
      </c>
      <c r="W83" s="1779" t="str">
        <f>$W$6</f>
        <v xml:space="preserve">Gr. Ave Dia : </v>
      </c>
      <c r="X83" s="1781">
        <f>IF(AND(COUNT(O83:O88)&gt;0,O89&gt;0),T89,S89)</f>
        <v>0</v>
      </c>
      <c r="Y83" s="1219">
        <f>IFERROR(LOOKUP(B83,TL!$A$6:$A$23,GSh!$O$6:$O$23),0)</f>
        <v>0</v>
      </c>
      <c r="Z83" s="1783">
        <f>IF(AND(Y83&gt;0,Y84&gt;0,X83&gt;0),(X83-(IF(X83&gt;Y84,Y84,IF(X83&lt;Y83,Y83,X83))))/(IF(X83&gt;Y84,Y84,IF(X83&lt;Y83,Y83,X83)))*100,0)</f>
        <v>0</v>
      </c>
      <c r="AA83" s="235">
        <f>IF($AB$3="NO",0,ROUNDDOWN(SUM($O$6:O83)/IF(Iniciar!$C$10="kilos",40,1),0)-SUM($AA$6:$AA82))</f>
        <v>0</v>
      </c>
      <c r="AB83" s="667"/>
      <c r="AC83" s="667"/>
      <c r="AD83" s="236">
        <f t="shared" si="23"/>
        <v>0</v>
      </c>
      <c r="AE83" s="670"/>
      <c r="AF83" s="1222"/>
      <c r="AG83" s="1822"/>
      <c r="AH83" s="1821">
        <f>AH76+1</f>
        <v>12</v>
      </c>
      <c r="AI83" s="538">
        <f>SUMPRODUCT(O83:O89,M83:M89)</f>
        <v>0</v>
      </c>
      <c r="AJ83" s="199">
        <f>VLOOKUP(C83,Manejos!$C$10:$M$101,11,FALSE)</f>
        <v>0</v>
      </c>
      <c r="AK83" s="998">
        <f t="shared" si="19"/>
        <v>0</v>
      </c>
      <c r="AL83"/>
      <c r="AM83"/>
    </row>
    <row r="84" spans="1:39" s="219" customFormat="1" ht="13.5" customHeight="1" x14ac:dyDescent="0.3">
      <c r="A84" s="534">
        <f t="shared" si="20"/>
        <v>12</v>
      </c>
      <c r="B84" s="1839"/>
      <c r="C84" s="230" t="str">
        <f t="shared" si="24"/>
        <v/>
      </c>
      <c r="D84" s="231" t="e">
        <f t="shared" si="16"/>
        <v>#VALUE!</v>
      </c>
      <c r="E84" s="658"/>
      <c r="F84" s="658"/>
      <c r="G84" s="659"/>
      <c r="H84" s="246">
        <f t="shared" si="21"/>
        <v>0</v>
      </c>
      <c r="I84" s="1210" t="str">
        <f>$I$7</f>
        <v>T. Salidas Acm :</v>
      </c>
      <c r="J84" s="1211">
        <f>J77+J83</f>
        <v>0</v>
      </c>
      <c r="K84" s="1088"/>
      <c r="L84" s="663"/>
      <c r="M84" s="1086"/>
      <c r="N84" s="664"/>
      <c r="O84" s="665"/>
      <c r="P84" s="232">
        <f t="shared" si="17"/>
        <v>0</v>
      </c>
      <c r="Q84" s="665"/>
      <c r="R84" s="233">
        <f t="shared" si="22"/>
        <v>0</v>
      </c>
      <c r="S84" s="234">
        <f>IF(Levante!$N$1&gt;0,O84*$B$1/H84,0)</f>
        <v>0</v>
      </c>
      <c r="T84" s="238">
        <f>IF(SUM(H83:H84)&gt;0,SUM(U83:U84)/SUM(H83:H84),0)</f>
        <v>0</v>
      </c>
      <c r="U84" s="238">
        <f t="shared" si="18"/>
        <v>0</v>
      </c>
      <c r="V84" s="1212">
        <f>IF(Fnac="",0,IFERROR(LOOKUP(Linea,TL!$BY$5:$CJ$5,TL!BY84:CJ84),0))</f>
        <v>0</v>
      </c>
      <c r="W84" s="1780"/>
      <c r="X84" s="1782"/>
      <c r="Y84" s="997">
        <f>IFERROR(LOOKUP(B83,TL!$A$6:$A$23,GSh!$P$6:$P$23),0)</f>
        <v>0</v>
      </c>
      <c r="Z84" s="1784">
        <f>IF(AND(X84&gt;0,Y84&gt;0,W84&gt;0),(W84-(IF(W84&gt;Y84,Y84,IF(W84&lt;X84,X84,W84))))/(IF(W84&gt;Y84,Y84,IF(W84&lt;X84,X84,W84)))*100,0)</f>
        <v>0</v>
      </c>
      <c r="AA84" s="235">
        <f>IF($AB$3="NO",0,ROUNDDOWN(SUM($O$6:O84)/IF(Iniciar!$C$10="kilos",40,1),0)-SUM($AA$6:$AA83))</f>
        <v>0</v>
      </c>
      <c r="AB84" s="667"/>
      <c r="AC84" s="667"/>
      <c r="AD84" s="236">
        <f t="shared" si="23"/>
        <v>0</v>
      </c>
      <c r="AE84" s="670"/>
      <c r="AF84" s="1222"/>
      <c r="AG84" s="1822"/>
      <c r="AH84" s="1821"/>
      <c r="AI84" s="199"/>
      <c r="AJ84" s="199">
        <f>VLOOKUP(C84,Manejos!$C$10:$M$101,11,FALSE)</f>
        <v>0</v>
      </c>
      <c r="AK84" s="998">
        <f t="shared" si="19"/>
        <v>0</v>
      </c>
      <c r="AL84"/>
      <c r="AM84"/>
    </row>
    <row r="85" spans="1:39" s="219" customFormat="1" ht="13.5" customHeight="1" x14ac:dyDescent="0.25">
      <c r="A85" s="534">
        <f t="shared" si="20"/>
        <v>12</v>
      </c>
      <c r="B85" s="1839"/>
      <c r="C85" s="230" t="str">
        <f t="shared" si="24"/>
        <v/>
      </c>
      <c r="D85" s="231" t="e">
        <f t="shared" si="16"/>
        <v>#VALUE!</v>
      </c>
      <c r="E85" s="658"/>
      <c r="F85" s="658"/>
      <c r="G85" s="659"/>
      <c r="H85" s="246">
        <f t="shared" si="21"/>
        <v>0</v>
      </c>
      <c r="I85" s="1213" t="str">
        <f>$I$8</f>
        <v>Saldo Aves :</v>
      </c>
      <c r="J85" s="1214">
        <f>H89</f>
        <v>0</v>
      </c>
      <c r="K85" s="1088"/>
      <c r="L85" s="663"/>
      <c r="M85" s="1086"/>
      <c r="N85" s="664"/>
      <c r="O85" s="665"/>
      <c r="P85" s="232">
        <f t="shared" si="17"/>
        <v>0</v>
      </c>
      <c r="Q85" s="665"/>
      <c r="R85" s="233">
        <f t="shared" si="22"/>
        <v>0</v>
      </c>
      <c r="S85" s="234">
        <f>IF(Levante!$N$1&gt;0,O85*$B$1/H85,0)</f>
        <v>0</v>
      </c>
      <c r="T85" s="238">
        <f>IF(SUM(H83:H85)&gt;0,SUM(U83:U85)/SUM(H83:H85),0)</f>
        <v>0</v>
      </c>
      <c r="U85" s="238">
        <f t="shared" si="18"/>
        <v>0</v>
      </c>
      <c r="V85" s="1212">
        <f>IF(Fnac="",0,IFERROR(LOOKUP(Linea,TL!$BY$5:$CJ$5,TL!BY85:CJ85),0))</f>
        <v>0</v>
      </c>
      <c r="W85" s="1785" t="str">
        <f>$W$8</f>
        <v xml:space="preserve">Gr. Ave Acu : </v>
      </c>
      <c r="X85" s="1775">
        <f>X78+X83*7</f>
        <v>0</v>
      </c>
      <c r="Y85" s="992">
        <f>IFERROR(LOOKUP(B83,TL!$A$6:$A$23,GSh!$V$6:$V$23),0)</f>
        <v>0</v>
      </c>
      <c r="Z85" s="1777">
        <f>IF(AND(Y85&gt;0,Y86&gt;0,X85&gt;0),(X85-(IF(X85&gt;Y86,Y86,IF(X85&lt;Y85,Y85,X85))))/(IF(X85&gt;Y86,Y86,IF(X85&lt;Y85,Y85,X85)))*100,0)</f>
        <v>0</v>
      </c>
      <c r="AA85" s="235">
        <f>IF($AB$3="NO",0,ROUNDDOWN(SUM($O$6:O85)/IF(Iniciar!$C$10="kilos",40,1),0)-SUM($AA$6:$AA84))</f>
        <v>0</v>
      </c>
      <c r="AB85" s="667"/>
      <c r="AC85" s="667"/>
      <c r="AD85" s="236">
        <f t="shared" si="23"/>
        <v>0</v>
      </c>
      <c r="AE85" s="670"/>
      <c r="AF85" s="1222"/>
      <c r="AG85" s="1822"/>
      <c r="AH85" s="1821"/>
      <c r="AI85" s="199"/>
      <c r="AJ85" s="199">
        <f>VLOOKUP(C85,Manejos!$C$10:$M$101,11,FALSE)</f>
        <v>0</v>
      </c>
      <c r="AK85" s="998">
        <f t="shared" si="19"/>
        <v>0</v>
      </c>
      <c r="AL85"/>
      <c r="AM85"/>
    </row>
    <row r="86" spans="1:39" s="219" customFormat="1" ht="13.5" customHeight="1" x14ac:dyDescent="0.3">
      <c r="A86" s="534">
        <f t="shared" si="20"/>
        <v>12</v>
      </c>
      <c r="B86" s="1839"/>
      <c r="C86" s="230" t="str">
        <f t="shared" si="24"/>
        <v/>
      </c>
      <c r="D86" s="231" t="e">
        <f t="shared" si="16"/>
        <v>#VALUE!</v>
      </c>
      <c r="E86" s="658"/>
      <c r="F86" s="658"/>
      <c r="G86" s="659"/>
      <c r="H86" s="246">
        <f t="shared" si="21"/>
        <v>0</v>
      </c>
      <c r="I86" s="1217" t="str">
        <f>$I$9</f>
        <v>% Mort/Sel Sem :</v>
      </c>
      <c r="J86" s="1216">
        <f>IF(Levante!$N$1&gt;0,SUM(E83:F89)/Levante!$N$1,0)</f>
        <v>0</v>
      </c>
      <c r="K86" s="1088"/>
      <c r="L86" s="663"/>
      <c r="M86" s="1086"/>
      <c r="N86" s="664"/>
      <c r="O86" s="665"/>
      <c r="P86" s="232">
        <f t="shared" si="17"/>
        <v>0</v>
      </c>
      <c r="Q86" s="665"/>
      <c r="R86" s="233">
        <f t="shared" si="22"/>
        <v>0</v>
      </c>
      <c r="S86" s="234">
        <f>IF(Levante!$N$1&gt;0,O86*$B$1/H86,0)</f>
        <v>0</v>
      </c>
      <c r="T86" s="238">
        <f>IF(SUM(H83:H86)&gt;0,SUM(U83:U86)/SUM(H83:H86),0)</f>
        <v>0</v>
      </c>
      <c r="U86" s="238">
        <f t="shared" si="18"/>
        <v>0</v>
      </c>
      <c r="V86" s="1212">
        <f>IF(Fnac="",0,IFERROR(LOOKUP(Linea,TL!$BY$5:$CJ$5,TL!BY86:CJ86),0))</f>
        <v>0</v>
      </c>
      <c r="W86" s="1786"/>
      <c r="X86" s="1776"/>
      <c r="Y86" s="993">
        <f>IFERROR(LOOKUP(B83,TL!$A$6:$A$23,GSh!$W$6:$W$23),0)</f>
        <v>0</v>
      </c>
      <c r="Z86" s="1778">
        <f>IF(AND(X86&gt;0,Y86&gt;0,W86&gt;0),(W86-(IF(W86&gt;Y86,Y86,IF(W86&lt;X86,X86,W86))))/(IF(W86&gt;Y86,Y86,IF(W86&lt;X86,X86,W86)))*100,0)</f>
        <v>0</v>
      </c>
      <c r="AA86" s="235">
        <f>IF($AB$3="NO",0,ROUNDDOWN(SUM($O$6:O86)/IF(Iniciar!$C$10="kilos",40,1),0)-SUM($AA$6:$AA85))</f>
        <v>0</v>
      </c>
      <c r="AB86" s="667"/>
      <c r="AC86" s="667"/>
      <c r="AD86" s="236">
        <f t="shared" si="23"/>
        <v>0</v>
      </c>
      <c r="AE86" s="670"/>
      <c r="AF86" s="1222"/>
      <c r="AG86" s="1822"/>
      <c r="AH86" s="1821"/>
      <c r="AI86" s="199"/>
      <c r="AJ86" s="199">
        <f>VLOOKUP(C86,Manejos!$C$10:$M$101,11,FALSE)</f>
        <v>0</v>
      </c>
      <c r="AK86" s="998">
        <f t="shared" si="19"/>
        <v>0</v>
      </c>
      <c r="AL86"/>
      <c r="AM86"/>
    </row>
    <row r="87" spans="1:39" s="219" customFormat="1" ht="13.5" customHeight="1" x14ac:dyDescent="0.3">
      <c r="A87" s="534">
        <f t="shared" si="20"/>
        <v>12</v>
      </c>
      <c r="B87" s="1839"/>
      <c r="C87" s="230" t="str">
        <f t="shared" si="24"/>
        <v/>
      </c>
      <c r="D87" s="231" t="e">
        <f t="shared" si="16"/>
        <v>#VALUE!</v>
      </c>
      <c r="E87" s="658"/>
      <c r="F87" s="658"/>
      <c r="G87" s="659"/>
      <c r="H87" s="246">
        <f t="shared" si="21"/>
        <v>0</v>
      </c>
      <c r="I87" s="1217" t="str">
        <f>$I$10</f>
        <v>% Mort/Sel Sem Tab :</v>
      </c>
      <c r="J87" s="1216">
        <f>J89-J82</f>
        <v>7.9999999999999863E-4</v>
      </c>
      <c r="K87" s="1088"/>
      <c r="L87" s="663"/>
      <c r="M87" s="1086"/>
      <c r="N87" s="664"/>
      <c r="O87" s="665"/>
      <c r="P87" s="232">
        <f t="shared" si="17"/>
        <v>0</v>
      </c>
      <c r="Q87" s="665"/>
      <c r="R87" s="233">
        <f t="shared" si="22"/>
        <v>0</v>
      </c>
      <c r="S87" s="234">
        <f>IF(Levante!$N$1&gt;0,O87*$B$1/H87,0)</f>
        <v>0</v>
      </c>
      <c r="T87" s="238">
        <f>IF(SUM(H83:H87)&gt;0,SUM(U83:U87)/SUM(H83:H87),0)</f>
        <v>0</v>
      </c>
      <c r="U87" s="238">
        <f t="shared" si="18"/>
        <v>0</v>
      </c>
      <c r="V87" s="1212">
        <f>IF(Fnac="",0,IFERROR(LOOKUP(Linea,TL!$BY$5:$CJ$5,TL!BY87:CJ87),0))</f>
        <v>0</v>
      </c>
      <c r="W87" s="1793" t="str">
        <f>$W$10</f>
        <v xml:space="preserve">Total Litros Sem: </v>
      </c>
      <c r="X87" s="1794"/>
      <c r="Y87" s="1787">
        <f>SUM(K83:K89)</f>
        <v>0</v>
      </c>
      <c r="Z87" s="1788"/>
      <c r="AA87" s="235">
        <f>IF($AB$3="NO",0,ROUNDDOWN(SUM($O$6:O87)/IF(Iniciar!$C$10="kilos",40,1),0)-SUM($AA$6:$AA86))</f>
        <v>0</v>
      </c>
      <c r="AB87" s="667"/>
      <c r="AC87" s="667"/>
      <c r="AD87" s="236">
        <f t="shared" si="23"/>
        <v>0</v>
      </c>
      <c r="AE87" s="670"/>
      <c r="AF87" s="1222"/>
      <c r="AG87" s="1822"/>
      <c r="AH87" s="1821"/>
      <c r="AI87" s="199"/>
      <c r="AJ87" s="199">
        <f>VLOOKUP(C87,Manejos!$C$10:$M$101,11,FALSE)</f>
        <v>0</v>
      </c>
      <c r="AK87" s="998">
        <f t="shared" si="19"/>
        <v>0</v>
      </c>
      <c r="AL87"/>
      <c r="AM87"/>
    </row>
    <row r="88" spans="1:39" s="219" customFormat="1" ht="13.5" customHeight="1" x14ac:dyDescent="0.3">
      <c r="A88" s="534">
        <f t="shared" si="20"/>
        <v>12</v>
      </c>
      <c r="B88" s="1839"/>
      <c r="C88" s="230" t="str">
        <f t="shared" si="24"/>
        <v/>
      </c>
      <c r="D88" s="231" t="e">
        <f t="shared" si="16"/>
        <v>#VALUE!</v>
      </c>
      <c r="E88" s="658"/>
      <c r="F88" s="658"/>
      <c r="G88" s="659"/>
      <c r="H88" s="246">
        <f t="shared" si="21"/>
        <v>0</v>
      </c>
      <c r="I88" s="1217" t="str">
        <f>$I$11</f>
        <v>% Mort/Sel Acum :</v>
      </c>
      <c r="J88" s="1216">
        <f>IF(Levante!$N$1&gt;0,SUM($E$6:F89)/Levante!$N$1,0)</f>
        <v>0</v>
      </c>
      <c r="K88" s="1088"/>
      <c r="L88" s="663"/>
      <c r="M88" s="1086"/>
      <c r="N88" s="664"/>
      <c r="O88" s="665"/>
      <c r="P88" s="232">
        <f t="shared" si="17"/>
        <v>0</v>
      </c>
      <c r="Q88" s="665"/>
      <c r="R88" s="233">
        <f t="shared" si="22"/>
        <v>0</v>
      </c>
      <c r="S88" s="234">
        <f>IF(Levante!$N$1&gt;0,O88*$B$1/H88,0)</f>
        <v>0</v>
      </c>
      <c r="T88" s="238">
        <f>IF(SUM(H83:H88)&gt;0,SUM(U83:U88)/SUM(H83:H88),0)</f>
        <v>0</v>
      </c>
      <c r="U88" s="238">
        <f t="shared" si="18"/>
        <v>0</v>
      </c>
      <c r="V88" s="1212">
        <f>IF(Fnac="",0,IFERROR(LOOKUP(Linea,TL!$BY$5:$CJ$5,TL!BY88:CJ88),0))</f>
        <v>0</v>
      </c>
      <c r="W88" s="1795" t="str">
        <f>$W$11</f>
        <v xml:space="preserve">Cons ml /ave día: </v>
      </c>
      <c r="X88" s="1796"/>
      <c r="Y88" s="1789">
        <f>IFERROR(Y87/7*1000/H89,0)</f>
        <v>0</v>
      </c>
      <c r="Z88" s="1790"/>
      <c r="AA88" s="235">
        <f>IF($AB$3="NO",0,ROUNDDOWN(SUM($O$6:O88)/IF(Iniciar!$C$10="kilos",40,1),0)-SUM($AA$6:$AA87))</f>
        <v>0</v>
      </c>
      <c r="AB88" s="667"/>
      <c r="AC88" s="667"/>
      <c r="AD88" s="236">
        <f t="shared" si="23"/>
        <v>0</v>
      </c>
      <c r="AE88" s="670"/>
      <c r="AF88" s="1222"/>
      <c r="AG88" s="1822"/>
      <c r="AH88" s="1821"/>
      <c r="AI88" s="199"/>
      <c r="AJ88" s="199">
        <f>VLOOKUP(C88,Manejos!$C$10:$M$101,11,FALSE)</f>
        <v>0</v>
      </c>
      <c r="AK88" s="998">
        <f t="shared" si="19"/>
        <v>0</v>
      </c>
      <c r="AL88"/>
      <c r="AM88"/>
    </row>
    <row r="89" spans="1:39" s="219" customFormat="1" ht="13.5" customHeight="1" x14ac:dyDescent="0.3">
      <c r="A89" s="534">
        <f t="shared" si="20"/>
        <v>12</v>
      </c>
      <c r="B89" s="1840"/>
      <c r="C89" s="230" t="str">
        <f t="shared" si="24"/>
        <v/>
      </c>
      <c r="D89" s="231" t="e">
        <f t="shared" si="16"/>
        <v>#VALUE!</v>
      </c>
      <c r="E89" s="658"/>
      <c r="F89" s="658"/>
      <c r="G89" s="659"/>
      <c r="H89" s="246">
        <f t="shared" si="21"/>
        <v>0</v>
      </c>
      <c r="I89" s="1217" t="str">
        <f>$I$12</f>
        <v>% Mort/Sel Acm Tab :</v>
      </c>
      <c r="J89" s="1216">
        <f>$E$3*0.0081</f>
        <v>1.6199999999999999E-2</v>
      </c>
      <c r="K89" s="1088"/>
      <c r="L89" s="663"/>
      <c r="M89" s="1086"/>
      <c r="N89" s="664"/>
      <c r="O89" s="665"/>
      <c r="P89" s="232">
        <f t="shared" si="17"/>
        <v>0</v>
      </c>
      <c r="Q89" s="665"/>
      <c r="R89" s="233">
        <f t="shared" si="22"/>
        <v>0</v>
      </c>
      <c r="S89" s="234">
        <f>IF(Levante!$N$1&gt;0,O89/IF(SUM(O83:O88)=0,7,1)*$B$1/H89,0)</f>
        <v>0</v>
      </c>
      <c r="T89" s="238">
        <f>IF(SUM(H83:H89)&gt;0,SUM(U83:U89)/SUM(H83:H89),0)</f>
        <v>0</v>
      </c>
      <c r="U89" s="238">
        <f t="shared" si="18"/>
        <v>0</v>
      </c>
      <c r="V89" s="1212">
        <f>IF(Fnac="",0,IFERROR(LOOKUP(Linea,TL!$BY$5:$CJ$5,TL!BY89:CJ89),0))</f>
        <v>0</v>
      </c>
      <c r="W89" s="1825" t="str">
        <f>$W$12</f>
        <v xml:space="preserve">Relación Agua /Alimto: </v>
      </c>
      <c r="X89" s="1826"/>
      <c r="Y89" s="1791">
        <f>IFERROR(Y88/X83,0)</f>
        <v>0</v>
      </c>
      <c r="Z89" s="1792"/>
      <c r="AA89" s="235">
        <f>IF($AB$3="NO",0,ROUNDDOWN(SUM($O$6:O89)/IF(Iniciar!$C$10="kilos",40,1),0)-SUM($AA$6:$AA88))</f>
        <v>0</v>
      </c>
      <c r="AB89" s="667"/>
      <c r="AC89" s="667"/>
      <c r="AD89" s="236">
        <f t="shared" si="23"/>
        <v>0</v>
      </c>
      <c r="AE89" s="670"/>
      <c r="AF89" s="1222"/>
      <c r="AG89" s="1822"/>
      <c r="AH89" s="1821"/>
      <c r="AI89" s="199">
        <f>IF(OR(J83&gt;0,X83&gt;0),B82,AI82)</f>
        <v>0</v>
      </c>
      <c r="AJ89" s="199">
        <f>VLOOKUP(C89,Manejos!$C$10:$M$101,11,FALSE)</f>
        <v>0</v>
      </c>
      <c r="AK89" s="998">
        <f t="shared" si="19"/>
        <v>0</v>
      </c>
      <c r="AL89"/>
      <c r="AM89"/>
    </row>
    <row r="90" spans="1:39" s="219" customFormat="1" ht="14.25" customHeight="1" x14ac:dyDescent="0.3">
      <c r="A90" s="534">
        <f>B90</f>
        <v>13</v>
      </c>
      <c r="B90" s="1838">
        <f>B83+1</f>
        <v>13</v>
      </c>
      <c r="C90" s="230" t="str">
        <f t="shared" si="24"/>
        <v/>
      </c>
      <c r="D90" s="231" t="e">
        <f t="shared" si="16"/>
        <v>#VALUE!</v>
      </c>
      <c r="E90" s="658"/>
      <c r="F90" s="658"/>
      <c r="G90" s="659"/>
      <c r="H90" s="246">
        <f t="shared" si="21"/>
        <v>0</v>
      </c>
      <c r="I90" s="1210" t="str">
        <f>$I$6</f>
        <v>T. Salidas Sem :</v>
      </c>
      <c r="J90" s="1211">
        <f>SUMIF(E90:G96,"&gt;0")</f>
        <v>0</v>
      </c>
      <c r="K90" s="1088"/>
      <c r="L90" s="663"/>
      <c r="M90" s="1086"/>
      <c r="N90" s="664"/>
      <c r="O90" s="665"/>
      <c r="P90" s="232">
        <f t="shared" si="17"/>
        <v>0</v>
      </c>
      <c r="Q90" s="665"/>
      <c r="R90" s="233">
        <f t="shared" si="22"/>
        <v>0</v>
      </c>
      <c r="S90" s="234">
        <f>IF(Levante!$N$1&gt;0,O90*$B$1/H90,0)</f>
        <v>0</v>
      </c>
      <c r="T90" s="238">
        <f>IF(SUM(H90:H90)&gt;0,SUM(U90:U90)/SUM(H90:H90),0)</f>
        <v>0</v>
      </c>
      <c r="U90" s="238">
        <f t="shared" si="18"/>
        <v>0</v>
      </c>
      <c r="V90" s="1212">
        <f>IF(Fnac="",0,IFERROR(LOOKUP(Linea,TL!$BY$5:$CJ$5,TL!BY90:CJ90),0))</f>
        <v>0</v>
      </c>
      <c r="W90" s="1779" t="str">
        <f>$W$6</f>
        <v xml:space="preserve">Gr. Ave Dia : </v>
      </c>
      <c r="X90" s="1781">
        <f>IF(AND(COUNT(O90:O95)&gt;0,O96&gt;0),T96,S96)</f>
        <v>0</v>
      </c>
      <c r="Y90" s="1219">
        <f>IFERROR(LOOKUP(B90,TL!$A$6:$A$23,GSh!$O$6:$O$23),0)</f>
        <v>0</v>
      </c>
      <c r="Z90" s="1783">
        <f>IF(AND(Y90&gt;0,Y91&gt;0,X90&gt;0),(X90-(IF(X90&gt;Y91,Y91,IF(X90&lt;Y90,Y90,X90))))/(IF(X90&gt;Y91,Y91,IF(X90&lt;Y90,Y90,X90)))*100,0)</f>
        <v>0</v>
      </c>
      <c r="AA90" s="235">
        <f>IF($AB$3="NO",0,ROUNDDOWN(SUM($O$6:O90)/IF(Iniciar!$C$10="kilos",40,1),0)-SUM($AA$6:$AA89))</f>
        <v>0</v>
      </c>
      <c r="AB90" s="667"/>
      <c r="AC90" s="667"/>
      <c r="AD90" s="236">
        <f t="shared" si="23"/>
        <v>0</v>
      </c>
      <c r="AE90" s="670"/>
      <c r="AF90" s="1222"/>
      <c r="AG90" s="1822"/>
      <c r="AH90" s="1821">
        <f>AH83+1</f>
        <v>13</v>
      </c>
      <c r="AI90" s="538">
        <f>SUMPRODUCT(O90:O96,M90:M96)</f>
        <v>0</v>
      </c>
      <c r="AJ90" s="199">
        <f>VLOOKUP(C90,Manejos!$C$10:$M$101,11,FALSE)</f>
        <v>0</v>
      </c>
      <c r="AK90" s="998">
        <f t="shared" si="19"/>
        <v>0</v>
      </c>
      <c r="AL90"/>
      <c r="AM90"/>
    </row>
    <row r="91" spans="1:39" s="219" customFormat="1" ht="13.5" customHeight="1" x14ac:dyDescent="0.3">
      <c r="A91" s="534">
        <f t="shared" si="20"/>
        <v>13</v>
      </c>
      <c r="B91" s="1839"/>
      <c r="C91" s="230" t="str">
        <f t="shared" si="24"/>
        <v/>
      </c>
      <c r="D91" s="231" t="e">
        <f t="shared" si="16"/>
        <v>#VALUE!</v>
      </c>
      <c r="E91" s="658"/>
      <c r="F91" s="658"/>
      <c r="G91" s="659"/>
      <c r="H91" s="246">
        <f t="shared" si="21"/>
        <v>0</v>
      </c>
      <c r="I91" s="1210" t="str">
        <f>$I$7</f>
        <v>T. Salidas Acm :</v>
      </c>
      <c r="J91" s="1211">
        <f>J84+J90</f>
        <v>0</v>
      </c>
      <c r="K91" s="1088"/>
      <c r="L91" s="663"/>
      <c r="M91" s="1086"/>
      <c r="N91" s="664"/>
      <c r="O91" s="665"/>
      <c r="P91" s="232">
        <f t="shared" si="17"/>
        <v>0</v>
      </c>
      <c r="Q91" s="665"/>
      <c r="R91" s="233">
        <f t="shared" si="22"/>
        <v>0</v>
      </c>
      <c r="S91" s="234">
        <f>IF(Levante!$N$1&gt;0,O91*$B$1/H91,0)</f>
        <v>0</v>
      </c>
      <c r="T91" s="238">
        <f>IF(SUM(H90:H91)&gt;0,SUM(U90:U91)/SUM(H90:H91),0)</f>
        <v>0</v>
      </c>
      <c r="U91" s="238">
        <f t="shared" si="18"/>
        <v>0</v>
      </c>
      <c r="V91" s="1212">
        <f>IF(Fnac="",0,IFERROR(LOOKUP(Linea,TL!$BY$5:$CJ$5,TL!BY91:CJ91),0))</f>
        <v>0</v>
      </c>
      <c r="W91" s="1780"/>
      <c r="X91" s="1782"/>
      <c r="Y91" s="997">
        <f>IFERROR(LOOKUP(B90,TL!$A$6:$A$23,GSh!$P$6:$P$23),0)</f>
        <v>0</v>
      </c>
      <c r="Z91" s="1784">
        <f>IF(AND(X91&gt;0,Y91&gt;0,W91&gt;0),(W91-(IF(W91&gt;Y91,Y91,IF(W91&lt;X91,X91,W91))))/(IF(W91&gt;Y91,Y91,IF(W91&lt;X91,X91,W91)))*100,0)</f>
        <v>0</v>
      </c>
      <c r="AA91" s="235">
        <f>IF($AB$3="NO",0,ROUNDDOWN(SUM($O$6:O91)/IF(Iniciar!$C$10="kilos",40,1),0)-SUM($AA$6:$AA90))</f>
        <v>0</v>
      </c>
      <c r="AB91" s="667"/>
      <c r="AC91" s="667"/>
      <c r="AD91" s="236">
        <f t="shared" si="23"/>
        <v>0</v>
      </c>
      <c r="AE91" s="670"/>
      <c r="AF91" s="1222"/>
      <c r="AG91" s="1822"/>
      <c r="AH91" s="1821"/>
      <c r="AI91" s="199"/>
      <c r="AJ91" s="199">
        <f>VLOOKUP(C91,Manejos!$C$10:$M$101,11,FALSE)</f>
        <v>0</v>
      </c>
      <c r="AK91" s="998">
        <f t="shared" si="19"/>
        <v>0</v>
      </c>
      <c r="AL91"/>
      <c r="AM91"/>
    </row>
    <row r="92" spans="1:39" s="219" customFormat="1" ht="13.5" customHeight="1" x14ac:dyDescent="0.25">
      <c r="A92" s="534">
        <f t="shared" si="20"/>
        <v>13</v>
      </c>
      <c r="B92" s="1839"/>
      <c r="C92" s="230" t="str">
        <f t="shared" si="24"/>
        <v/>
      </c>
      <c r="D92" s="231" t="e">
        <f t="shared" si="16"/>
        <v>#VALUE!</v>
      </c>
      <c r="E92" s="658"/>
      <c r="F92" s="658"/>
      <c r="G92" s="659"/>
      <c r="H92" s="246">
        <f t="shared" si="21"/>
        <v>0</v>
      </c>
      <c r="I92" s="1213" t="str">
        <f>$I$8</f>
        <v>Saldo Aves :</v>
      </c>
      <c r="J92" s="1214">
        <f>H96</f>
        <v>0</v>
      </c>
      <c r="K92" s="1088"/>
      <c r="L92" s="663"/>
      <c r="M92" s="1086"/>
      <c r="N92" s="664"/>
      <c r="O92" s="665"/>
      <c r="P92" s="232">
        <f t="shared" si="17"/>
        <v>0</v>
      </c>
      <c r="Q92" s="665"/>
      <c r="R92" s="233">
        <f t="shared" si="22"/>
        <v>0</v>
      </c>
      <c r="S92" s="234">
        <f>IF(Levante!$N$1&gt;0,O92*$B$1/H92,0)</f>
        <v>0</v>
      </c>
      <c r="T92" s="238">
        <f>IF(SUM(H90:H92)&gt;0,SUM(U90:U92)/SUM(H90:H92),0)</f>
        <v>0</v>
      </c>
      <c r="U92" s="238">
        <f t="shared" si="18"/>
        <v>0</v>
      </c>
      <c r="V92" s="1212">
        <f>IF(Fnac="",0,IFERROR(LOOKUP(Linea,TL!$BY$5:$CJ$5,TL!BY92:CJ92),0))</f>
        <v>0</v>
      </c>
      <c r="W92" s="1785" t="str">
        <f>$W$8</f>
        <v xml:space="preserve">Gr. Ave Acu : </v>
      </c>
      <c r="X92" s="1775">
        <f>X85+X90*7</f>
        <v>0</v>
      </c>
      <c r="Y92" s="992">
        <f>IFERROR(LOOKUP(B90,TL!$A$6:$A$23,GSh!$V$6:$V$23),0)</f>
        <v>0</v>
      </c>
      <c r="Z92" s="1777">
        <f>IF(AND(Y92&gt;0,Y93&gt;0,X92&gt;0),(X92-(IF(X92&gt;Y93,Y93,IF(X92&lt;Y92,Y92,X92))))/(IF(X92&gt;Y93,Y93,IF(X92&lt;Y92,Y92,X92)))*100,0)</f>
        <v>0</v>
      </c>
      <c r="AA92" s="235">
        <f>IF($AB$3="NO",0,ROUNDDOWN(SUM($O$6:O92)/IF(Iniciar!$C$10="kilos",40,1),0)-SUM($AA$6:$AA91))</f>
        <v>0</v>
      </c>
      <c r="AB92" s="667"/>
      <c r="AC92" s="667"/>
      <c r="AD92" s="236">
        <f t="shared" si="23"/>
        <v>0</v>
      </c>
      <c r="AE92" s="670"/>
      <c r="AF92" s="1222"/>
      <c r="AG92" s="1822"/>
      <c r="AH92" s="1821"/>
      <c r="AI92" s="199"/>
      <c r="AJ92" s="199">
        <f>VLOOKUP(C92,Manejos!$C$10:$M$101,11,FALSE)</f>
        <v>0</v>
      </c>
      <c r="AK92" s="998">
        <f t="shared" si="19"/>
        <v>0</v>
      </c>
      <c r="AL92"/>
      <c r="AM92"/>
    </row>
    <row r="93" spans="1:39" s="219" customFormat="1" ht="13.5" customHeight="1" x14ac:dyDescent="0.3">
      <c r="A93" s="534">
        <f t="shared" si="20"/>
        <v>13</v>
      </c>
      <c r="B93" s="1839"/>
      <c r="C93" s="230" t="str">
        <f t="shared" si="24"/>
        <v/>
      </c>
      <c r="D93" s="231" t="e">
        <f t="shared" si="16"/>
        <v>#VALUE!</v>
      </c>
      <c r="E93" s="658"/>
      <c r="F93" s="658"/>
      <c r="G93" s="659"/>
      <c r="H93" s="246">
        <f t="shared" si="21"/>
        <v>0</v>
      </c>
      <c r="I93" s="1217" t="str">
        <f>$I$9</f>
        <v>% Mort/Sel Sem :</v>
      </c>
      <c r="J93" s="1216">
        <f>IF(Levante!$N$1&gt;0,SUM(E90:F96)/Levante!$N$1,0)</f>
        <v>0</v>
      </c>
      <c r="K93" s="1088"/>
      <c r="L93" s="663"/>
      <c r="M93" s="1086"/>
      <c r="N93" s="664"/>
      <c r="O93" s="665"/>
      <c r="P93" s="232">
        <f t="shared" si="17"/>
        <v>0</v>
      </c>
      <c r="Q93" s="665"/>
      <c r="R93" s="233">
        <f t="shared" si="22"/>
        <v>0</v>
      </c>
      <c r="S93" s="234">
        <f>IF(Levante!$N$1&gt;0,O93*$B$1/H93,0)</f>
        <v>0</v>
      </c>
      <c r="T93" s="238">
        <f>IF(SUM(H90:H93)&gt;0,SUM(U90:U93)/SUM(H90:H93),0)</f>
        <v>0</v>
      </c>
      <c r="U93" s="238">
        <f t="shared" si="18"/>
        <v>0</v>
      </c>
      <c r="V93" s="1212">
        <f>IF(Fnac="",0,IFERROR(LOOKUP(Linea,TL!$BY$5:$CJ$5,TL!BY93:CJ93),0))</f>
        <v>0</v>
      </c>
      <c r="W93" s="1786"/>
      <c r="X93" s="1776"/>
      <c r="Y93" s="993">
        <f>IFERROR(LOOKUP(B90,TL!$A$6:$A$23,GSh!$W$6:$W$23),0)</f>
        <v>0</v>
      </c>
      <c r="Z93" s="1778">
        <f>IF(AND(X93&gt;0,Y93&gt;0,W93&gt;0),(W93-(IF(W93&gt;Y93,Y93,IF(W93&lt;X93,X93,W93))))/(IF(W93&gt;Y93,Y93,IF(W93&lt;X93,X93,W93)))*100,0)</f>
        <v>0</v>
      </c>
      <c r="AA93" s="235">
        <f>IF($AB$3="NO",0,ROUNDDOWN(SUM($O$6:O93)/IF(Iniciar!$C$10="kilos",40,1),0)-SUM($AA$6:$AA92))</f>
        <v>0</v>
      </c>
      <c r="AB93" s="667"/>
      <c r="AC93" s="667"/>
      <c r="AD93" s="236">
        <f t="shared" si="23"/>
        <v>0</v>
      </c>
      <c r="AE93" s="670"/>
      <c r="AF93" s="1222"/>
      <c r="AG93" s="1822"/>
      <c r="AH93" s="1821"/>
      <c r="AI93" s="199"/>
      <c r="AJ93" s="199">
        <f>VLOOKUP(C93,Manejos!$C$10:$M$101,11,FALSE)</f>
        <v>0</v>
      </c>
      <c r="AK93" s="998">
        <f t="shared" si="19"/>
        <v>0</v>
      </c>
      <c r="AL93"/>
      <c r="AM93"/>
    </row>
    <row r="94" spans="1:39" s="219" customFormat="1" ht="13.5" customHeight="1" x14ac:dyDescent="0.3">
      <c r="A94" s="534">
        <f t="shared" si="20"/>
        <v>13</v>
      </c>
      <c r="B94" s="1839"/>
      <c r="C94" s="230" t="str">
        <f t="shared" si="24"/>
        <v/>
      </c>
      <c r="D94" s="231" t="e">
        <f t="shared" si="16"/>
        <v>#VALUE!</v>
      </c>
      <c r="E94" s="658"/>
      <c r="F94" s="658"/>
      <c r="G94" s="659"/>
      <c r="H94" s="246">
        <f t="shared" si="21"/>
        <v>0</v>
      </c>
      <c r="I94" s="1217" t="str">
        <f>$I$10</f>
        <v>% Mort/Sel Sem Tab :</v>
      </c>
      <c r="J94" s="1216">
        <f>J96-J89</f>
        <v>8.000000000000021E-4</v>
      </c>
      <c r="K94" s="1088"/>
      <c r="L94" s="663"/>
      <c r="M94" s="1086"/>
      <c r="N94" s="664"/>
      <c r="O94" s="665"/>
      <c r="P94" s="232">
        <f t="shared" si="17"/>
        <v>0</v>
      </c>
      <c r="Q94" s="665"/>
      <c r="R94" s="233">
        <f t="shared" si="22"/>
        <v>0</v>
      </c>
      <c r="S94" s="234">
        <f>IF(Levante!$N$1&gt;0,O94*$B$1/H94,0)</f>
        <v>0</v>
      </c>
      <c r="T94" s="238">
        <f>IF(SUM(H90:H94)&gt;0,SUM(U90:U94)/SUM(H90:H94),0)</f>
        <v>0</v>
      </c>
      <c r="U94" s="238">
        <f t="shared" si="18"/>
        <v>0</v>
      </c>
      <c r="V94" s="1212">
        <f>IF(Fnac="",0,IFERROR(LOOKUP(Linea,TL!$BY$5:$CJ$5,TL!BY94:CJ94),0))</f>
        <v>0</v>
      </c>
      <c r="W94" s="1793" t="str">
        <f>$W$10</f>
        <v xml:space="preserve">Total Litros Sem: </v>
      </c>
      <c r="X94" s="1794"/>
      <c r="Y94" s="1787">
        <f>SUM(K90:K96)</f>
        <v>0</v>
      </c>
      <c r="Z94" s="1788"/>
      <c r="AA94" s="235">
        <f>IF($AB$3="NO",0,ROUNDDOWN(SUM($O$6:O94)/IF(Iniciar!$C$10="kilos",40,1),0)-SUM($AA$6:$AA93))</f>
        <v>0</v>
      </c>
      <c r="AB94" s="667"/>
      <c r="AC94" s="667"/>
      <c r="AD94" s="236">
        <f t="shared" si="23"/>
        <v>0</v>
      </c>
      <c r="AE94" s="670"/>
      <c r="AF94" s="1222"/>
      <c r="AG94" s="1822"/>
      <c r="AH94" s="1821"/>
      <c r="AI94" s="199"/>
      <c r="AJ94" s="199">
        <f>VLOOKUP(C94,Manejos!$C$10:$M$101,11,FALSE)</f>
        <v>0</v>
      </c>
      <c r="AK94" s="998">
        <f t="shared" si="19"/>
        <v>0</v>
      </c>
      <c r="AL94"/>
      <c r="AM94"/>
    </row>
    <row r="95" spans="1:39" s="219" customFormat="1" ht="13.5" customHeight="1" x14ac:dyDescent="0.3">
      <c r="A95" s="534">
        <f t="shared" si="20"/>
        <v>13</v>
      </c>
      <c r="B95" s="1839"/>
      <c r="C95" s="230" t="str">
        <f t="shared" si="24"/>
        <v/>
      </c>
      <c r="D95" s="231" t="e">
        <f t="shared" si="16"/>
        <v>#VALUE!</v>
      </c>
      <c r="E95" s="658"/>
      <c r="F95" s="658"/>
      <c r="G95" s="659"/>
      <c r="H95" s="246">
        <f t="shared" si="21"/>
        <v>0</v>
      </c>
      <c r="I95" s="1217" t="str">
        <f>$I$11</f>
        <v>% Mort/Sel Acum :</v>
      </c>
      <c r="J95" s="1216">
        <f>IF(Levante!$N$1&gt;0,SUM($E$6:F96)/Levante!$N$1,0)</f>
        <v>0</v>
      </c>
      <c r="K95" s="1088"/>
      <c r="L95" s="663"/>
      <c r="M95" s="1086"/>
      <c r="N95" s="664"/>
      <c r="O95" s="665"/>
      <c r="P95" s="232">
        <f t="shared" si="17"/>
        <v>0</v>
      </c>
      <c r="Q95" s="665"/>
      <c r="R95" s="233">
        <f t="shared" si="22"/>
        <v>0</v>
      </c>
      <c r="S95" s="234">
        <f>IF(Levante!$N$1&gt;0,O95*$B$1/H95,0)</f>
        <v>0</v>
      </c>
      <c r="T95" s="238">
        <f>IF(SUM(H90:H95)&gt;0,SUM(U90:U95)/SUM(H90:H95),0)</f>
        <v>0</v>
      </c>
      <c r="U95" s="238">
        <f t="shared" si="18"/>
        <v>0</v>
      </c>
      <c r="V95" s="1212">
        <f>IF(Fnac="",0,IFERROR(LOOKUP(Linea,TL!$BY$5:$CJ$5,TL!BY95:CJ95),0))</f>
        <v>0</v>
      </c>
      <c r="W95" s="1795" t="str">
        <f>$W$11</f>
        <v xml:space="preserve">Cons ml /ave día: </v>
      </c>
      <c r="X95" s="1796"/>
      <c r="Y95" s="1789">
        <f>IFERROR(Y94/7*1000/H96,0)</f>
        <v>0</v>
      </c>
      <c r="Z95" s="1790"/>
      <c r="AA95" s="235">
        <f>IF($AB$3="NO",0,ROUNDDOWN(SUM($O$6:O95)/IF(Iniciar!$C$10="kilos",40,1),0)-SUM($AA$6:$AA94))</f>
        <v>0</v>
      </c>
      <c r="AB95" s="667"/>
      <c r="AC95" s="667"/>
      <c r="AD95" s="236">
        <f t="shared" si="23"/>
        <v>0</v>
      </c>
      <c r="AE95" s="670"/>
      <c r="AF95" s="1222"/>
      <c r="AG95" s="1822"/>
      <c r="AH95" s="1821"/>
      <c r="AI95" s="199"/>
      <c r="AJ95" s="199">
        <f>VLOOKUP(C95,Manejos!$C$10:$M$101,11,FALSE)</f>
        <v>0</v>
      </c>
      <c r="AK95" s="998">
        <f t="shared" si="19"/>
        <v>0</v>
      </c>
      <c r="AL95"/>
      <c r="AM95"/>
    </row>
    <row r="96" spans="1:39" s="219" customFormat="1" ht="13.5" customHeight="1" x14ac:dyDescent="0.3">
      <c r="A96" s="534">
        <f t="shared" si="20"/>
        <v>13</v>
      </c>
      <c r="B96" s="1840"/>
      <c r="C96" s="230" t="str">
        <f t="shared" si="24"/>
        <v/>
      </c>
      <c r="D96" s="231" t="e">
        <f t="shared" si="16"/>
        <v>#VALUE!</v>
      </c>
      <c r="E96" s="658"/>
      <c r="F96" s="658"/>
      <c r="G96" s="659"/>
      <c r="H96" s="246">
        <f t="shared" si="21"/>
        <v>0</v>
      </c>
      <c r="I96" s="1217" t="str">
        <f>$I$12</f>
        <v>% Mort/Sel Acm Tab :</v>
      </c>
      <c r="J96" s="1216">
        <f>$E$3*0.0085</f>
        <v>1.7000000000000001E-2</v>
      </c>
      <c r="K96" s="1088"/>
      <c r="L96" s="663"/>
      <c r="M96" s="1086"/>
      <c r="N96" s="664"/>
      <c r="O96" s="665"/>
      <c r="P96" s="232">
        <f t="shared" si="17"/>
        <v>0</v>
      </c>
      <c r="Q96" s="665"/>
      <c r="R96" s="233">
        <f t="shared" si="22"/>
        <v>0</v>
      </c>
      <c r="S96" s="234">
        <f>IF(Levante!$N$1&gt;0,O96/IF(SUM(O90:O95)=0,7,1)*$B$1/H96,0)</f>
        <v>0</v>
      </c>
      <c r="T96" s="238">
        <f>IF(SUM(H90:H96)&gt;0,SUM(U90:U96)/SUM(H90:H96),0)</f>
        <v>0</v>
      </c>
      <c r="U96" s="238">
        <f t="shared" si="18"/>
        <v>0</v>
      </c>
      <c r="V96" s="1212">
        <f>IF(Fnac="",0,IFERROR(LOOKUP(Linea,TL!$BY$5:$CJ$5,TL!BY96:CJ96),0))</f>
        <v>0</v>
      </c>
      <c r="W96" s="1825" t="str">
        <f>$W$12</f>
        <v xml:space="preserve">Relación Agua /Alimto: </v>
      </c>
      <c r="X96" s="1826"/>
      <c r="Y96" s="1791">
        <f>IFERROR(Y95/X90,0)</f>
        <v>0</v>
      </c>
      <c r="Z96" s="1792"/>
      <c r="AA96" s="235">
        <f>IF($AB$3="NO",0,ROUNDDOWN(SUM($O$6:O96)/IF(Iniciar!$C$10="kilos",40,1),0)-SUM($AA$6:$AA95))</f>
        <v>0</v>
      </c>
      <c r="AB96" s="667"/>
      <c r="AC96" s="667"/>
      <c r="AD96" s="236">
        <f t="shared" si="23"/>
        <v>0</v>
      </c>
      <c r="AE96" s="670"/>
      <c r="AF96" s="1222"/>
      <c r="AG96" s="1822"/>
      <c r="AH96" s="1821"/>
      <c r="AI96" s="199">
        <f>IF(OR(J90&gt;0,X90&gt;0),B89,AI89)</f>
        <v>0</v>
      </c>
      <c r="AJ96" s="199">
        <f>VLOOKUP(C96,Manejos!$C$10:$M$101,11,FALSE)</f>
        <v>0</v>
      </c>
      <c r="AK96" s="998">
        <f t="shared" si="19"/>
        <v>0</v>
      </c>
      <c r="AL96"/>
      <c r="AM96"/>
    </row>
    <row r="97" spans="1:39" s="219" customFormat="1" ht="13.5" customHeight="1" x14ac:dyDescent="0.3">
      <c r="A97" s="534">
        <f>B97</f>
        <v>14</v>
      </c>
      <c r="B97" s="1838">
        <f>B90+1</f>
        <v>14</v>
      </c>
      <c r="C97" s="230" t="str">
        <f t="shared" si="24"/>
        <v/>
      </c>
      <c r="D97" s="231" t="e">
        <f t="shared" si="16"/>
        <v>#VALUE!</v>
      </c>
      <c r="E97" s="658"/>
      <c r="F97" s="658"/>
      <c r="G97" s="659"/>
      <c r="H97" s="246">
        <f t="shared" si="21"/>
        <v>0</v>
      </c>
      <c r="I97" s="1210" t="str">
        <f>$I$6</f>
        <v>T. Salidas Sem :</v>
      </c>
      <c r="J97" s="1211">
        <f>SUMIF(E97:G103,"&gt;0")</f>
        <v>0</v>
      </c>
      <c r="K97" s="1088"/>
      <c r="L97" s="663"/>
      <c r="M97" s="1086"/>
      <c r="N97" s="664"/>
      <c r="O97" s="665"/>
      <c r="P97" s="232">
        <f t="shared" si="17"/>
        <v>0</v>
      </c>
      <c r="Q97" s="665"/>
      <c r="R97" s="233">
        <f t="shared" si="22"/>
        <v>0</v>
      </c>
      <c r="S97" s="234">
        <f>IF(Levante!$N$1&gt;0,O97*$B$1/H97,0)</f>
        <v>0</v>
      </c>
      <c r="T97" s="238">
        <f>IF(SUM(H97:H97)&gt;0,SUM(U97:U97)/SUM(H97:H97),0)</f>
        <v>0</v>
      </c>
      <c r="U97" s="238">
        <f t="shared" si="18"/>
        <v>0</v>
      </c>
      <c r="V97" s="1212">
        <f>IF(Fnac="",0,IFERROR(LOOKUP(Linea,TL!$BY$5:$CJ$5,TL!BY97:CJ97),0))</f>
        <v>0</v>
      </c>
      <c r="W97" s="1779" t="str">
        <f>$W$6</f>
        <v xml:space="preserve">Gr. Ave Dia : </v>
      </c>
      <c r="X97" s="1781">
        <f>IF(AND(COUNT(O97:O102)&gt;0,O103&gt;0),T103,S103)</f>
        <v>0</v>
      </c>
      <c r="Y97" s="1219">
        <f>IFERROR(LOOKUP(B97,TL!$A$6:$A$23,GSh!$O$6:$O$23),0)</f>
        <v>0</v>
      </c>
      <c r="Z97" s="1783">
        <f>IF(AND(Y97&gt;0,Y98&gt;0,X97&gt;0),(X97-(IF(X97&gt;Y98,Y98,IF(X97&lt;Y97,Y97,X97))))/(IF(X97&gt;Y98,Y98,IF(X97&lt;Y97,Y97,X97)))*100,0)</f>
        <v>0</v>
      </c>
      <c r="AA97" s="235">
        <f>IF($AB$3="NO",0,ROUNDDOWN(SUM($O$6:O97)/IF(Iniciar!$C$10="kilos",40,1),0)-SUM($AA$6:$AA96))</f>
        <v>0</v>
      </c>
      <c r="AB97" s="667"/>
      <c r="AC97" s="667"/>
      <c r="AD97" s="236">
        <f t="shared" si="23"/>
        <v>0</v>
      </c>
      <c r="AE97" s="670"/>
      <c r="AF97" s="1222"/>
      <c r="AG97" s="1822"/>
      <c r="AH97" s="1821">
        <f>AH90+1</f>
        <v>14</v>
      </c>
      <c r="AI97" s="538">
        <f>SUMPRODUCT(O97:O103,M97:M103)</f>
        <v>0</v>
      </c>
      <c r="AJ97" s="199">
        <f>VLOOKUP(C97,Manejos!$C$10:$M$101,11,FALSE)</f>
        <v>0</v>
      </c>
      <c r="AK97" s="998">
        <f t="shared" si="19"/>
        <v>0</v>
      </c>
      <c r="AL97"/>
      <c r="AM97"/>
    </row>
    <row r="98" spans="1:39" s="219" customFormat="1" ht="14.25" customHeight="1" x14ac:dyDescent="0.3">
      <c r="A98" s="534">
        <f t="shared" si="20"/>
        <v>14</v>
      </c>
      <c r="B98" s="1839"/>
      <c r="C98" s="230" t="str">
        <f t="shared" si="24"/>
        <v/>
      </c>
      <c r="D98" s="231" t="e">
        <f t="shared" si="16"/>
        <v>#VALUE!</v>
      </c>
      <c r="E98" s="658"/>
      <c r="F98" s="658"/>
      <c r="G98" s="659"/>
      <c r="H98" s="246">
        <f t="shared" si="21"/>
        <v>0</v>
      </c>
      <c r="I98" s="1210" t="str">
        <f>$I$7</f>
        <v>T. Salidas Acm :</v>
      </c>
      <c r="J98" s="1211">
        <f>J91+J97</f>
        <v>0</v>
      </c>
      <c r="K98" s="1088"/>
      <c r="L98" s="663"/>
      <c r="M98" s="1086"/>
      <c r="N98" s="664"/>
      <c r="O98" s="665"/>
      <c r="P98" s="232">
        <f t="shared" si="17"/>
        <v>0</v>
      </c>
      <c r="Q98" s="665"/>
      <c r="R98" s="233">
        <f t="shared" si="22"/>
        <v>0</v>
      </c>
      <c r="S98" s="234">
        <f>IF(Levante!$N$1&gt;0,O98*$B$1/H98,0)</f>
        <v>0</v>
      </c>
      <c r="T98" s="238">
        <f>IF(SUM(H97:H98)&gt;0,SUM(U97:U98)/SUM(H97:H98),0)</f>
        <v>0</v>
      </c>
      <c r="U98" s="238">
        <f t="shared" si="18"/>
        <v>0</v>
      </c>
      <c r="V98" s="1212">
        <f>IF(Fnac="",0,IFERROR(LOOKUP(Linea,TL!$BY$5:$CJ$5,TL!BY98:CJ98),0))</f>
        <v>0</v>
      </c>
      <c r="W98" s="1780"/>
      <c r="X98" s="1782"/>
      <c r="Y98" s="997">
        <f>IFERROR(LOOKUP(B97,TL!$A$6:$A$23,GSh!$P$6:$P$23),0)</f>
        <v>0</v>
      </c>
      <c r="Z98" s="1784">
        <f>IF(AND(X98&gt;0,Y98&gt;0,W98&gt;0),(W98-(IF(W98&gt;Y98,Y98,IF(W98&lt;X98,X98,W98))))/(IF(W98&gt;Y98,Y98,IF(W98&lt;X98,X98,W98)))*100,0)</f>
        <v>0</v>
      </c>
      <c r="AA98" s="235">
        <f>IF($AB$3="NO",0,ROUNDDOWN(SUM($O$6:O98)/IF(Iniciar!$C$10="kilos",40,1),0)-SUM($AA$6:$AA97))</f>
        <v>0</v>
      </c>
      <c r="AB98" s="667"/>
      <c r="AC98" s="667"/>
      <c r="AD98" s="236">
        <f t="shared" si="23"/>
        <v>0</v>
      </c>
      <c r="AE98" s="670"/>
      <c r="AF98" s="1222"/>
      <c r="AG98" s="1822"/>
      <c r="AH98" s="1821"/>
      <c r="AI98" s="199"/>
      <c r="AJ98" s="199">
        <f>VLOOKUP(C98,Manejos!$C$10:$M$101,11,FALSE)</f>
        <v>0</v>
      </c>
      <c r="AK98" s="998">
        <f t="shared" si="19"/>
        <v>0</v>
      </c>
      <c r="AL98"/>
      <c r="AM98"/>
    </row>
    <row r="99" spans="1:39" s="219" customFormat="1" ht="13.5" customHeight="1" x14ac:dyDescent="0.25">
      <c r="A99" s="534">
        <f t="shared" si="20"/>
        <v>14</v>
      </c>
      <c r="B99" s="1839"/>
      <c r="C99" s="230" t="str">
        <f t="shared" si="24"/>
        <v/>
      </c>
      <c r="D99" s="231" t="e">
        <f t="shared" si="16"/>
        <v>#VALUE!</v>
      </c>
      <c r="E99" s="658"/>
      <c r="F99" s="658"/>
      <c r="G99" s="659"/>
      <c r="H99" s="246">
        <f t="shared" si="21"/>
        <v>0</v>
      </c>
      <c r="I99" s="1213" t="str">
        <f>$I$8</f>
        <v>Saldo Aves :</v>
      </c>
      <c r="J99" s="1214">
        <f>H103</f>
        <v>0</v>
      </c>
      <c r="K99" s="1088"/>
      <c r="L99" s="663"/>
      <c r="M99" s="1086"/>
      <c r="N99" s="664"/>
      <c r="O99" s="665"/>
      <c r="P99" s="232">
        <f t="shared" si="17"/>
        <v>0</v>
      </c>
      <c r="Q99" s="665"/>
      <c r="R99" s="233">
        <f t="shared" si="22"/>
        <v>0</v>
      </c>
      <c r="S99" s="234">
        <f>IF(Levante!$N$1&gt;0,O99*$B$1/H99,0)</f>
        <v>0</v>
      </c>
      <c r="T99" s="238">
        <f>IF(SUM(H97:H99)&gt;0,SUM(U97:U99)/SUM(H97:H99),0)</f>
        <v>0</v>
      </c>
      <c r="U99" s="238">
        <f t="shared" si="18"/>
        <v>0</v>
      </c>
      <c r="V99" s="1212">
        <f>IF(Fnac="",0,IFERROR(LOOKUP(Linea,TL!$BY$5:$CJ$5,TL!BY99:CJ99),0))</f>
        <v>0</v>
      </c>
      <c r="W99" s="1785" t="str">
        <f>$W$8</f>
        <v xml:space="preserve">Gr. Ave Acu : </v>
      </c>
      <c r="X99" s="1775">
        <f>X92+X97*7</f>
        <v>0</v>
      </c>
      <c r="Y99" s="992">
        <f>IFERROR(LOOKUP(B97,TL!$A$6:$A$23,GSh!$V$6:$V$23),0)</f>
        <v>0</v>
      </c>
      <c r="Z99" s="1777">
        <f>IF(AND(Y99&gt;0,Y100&gt;0,X99&gt;0),(X99-(IF(X99&gt;Y100,Y100,IF(X99&lt;Y99,Y99,X99))))/(IF(X99&gt;Y100,Y100,IF(X99&lt;Y99,Y99,X99)))*100,0)</f>
        <v>0</v>
      </c>
      <c r="AA99" s="235">
        <f>IF($AB$3="NO",0,ROUNDDOWN(SUM($O$6:O99)/IF(Iniciar!$C$10="kilos",40,1),0)-SUM($AA$6:$AA98))</f>
        <v>0</v>
      </c>
      <c r="AB99" s="667"/>
      <c r="AC99" s="667"/>
      <c r="AD99" s="236">
        <f t="shared" si="23"/>
        <v>0</v>
      </c>
      <c r="AE99" s="670"/>
      <c r="AF99" s="1222"/>
      <c r="AG99" s="1822"/>
      <c r="AH99" s="1821"/>
      <c r="AI99" s="199"/>
      <c r="AJ99" s="199">
        <f>VLOOKUP(C99,Manejos!$C$10:$M$101,11,FALSE)</f>
        <v>0</v>
      </c>
      <c r="AK99" s="998">
        <f t="shared" si="19"/>
        <v>0</v>
      </c>
      <c r="AL99"/>
      <c r="AM99"/>
    </row>
    <row r="100" spans="1:39" s="219" customFormat="1" ht="13.5" customHeight="1" x14ac:dyDescent="0.3">
      <c r="A100" s="534">
        <f t="shared" si="20"/>
        <v>14</v>
      </c>
      <c r="B100" s="1839"/>
      <c r="C100" s="230" t="str">
        <f t="shared" si="24"/>
        <v/>
      </c>
      <c r="D100" s="231" t="e">
        <f t="shared" si="16"/>
        <v>#VALUE!</v>
      </c>
      <c r="E100" s="658"/>
      <c r="F100" s="658"/>
      <c r="G100" s="659"/>
      <c r="H100" s="246">
        <f t="shared" si="21"/>
        <v>0</v>
      </c>
      <c r="I100" s="1217" t="str">
        <f>$I$9</f>
        <v>% Mort/Sel Sem :</v>
      </c>
      <c r="J100" s="1216">
        <f>IF(Levante!$N$1&gt;0,SUM(E97:F103)/Levante!$N$1,0)</f>
        <v>0</v>
      </c>
      <c r="K100" s="1088"/>
      <c r="L100" s="663"/>
      <c r="M100" s="1086"/>
      <c r="N100" s="664"/>
      <c r="O100" s="665"/>
      <c r="P100" s="232">
        <f t="shared" si="17"/>
        <v>0</v>
      </c>
      <c r="Q100" s="665"/>
      <c r="R100" s="233">
        <f t="shared" si="22"/>
        <v>0</v>
      </c>
      <c r="S100" s="234">
        <f>IF(Levante!$N$1&gt;0,O100*$B$1/H100,0)</f>
        <v>0</v>
      </c>
      <c r="T100" s="238">
        <f>IF(SUM(H97:H100)&gt;0,SUM(U97:U100)/SUM(H97:H100),0)</f>
        <v>0</v>
      </c>
      <c r="U100" s="238">
        <f t="shared" si="18"/>
        <v>0</v>
      </c>
      <c r="V100" s="1212">
        <f>IF(Fnac="",0,IFERROR(LOOKUP(Linea,TL!$BY$5:$CJ$5,TL!BY100:CJ100),0))</f>
        <v>0</v>
      </c>
      <c r="W100" s="1786"/>
      <c r="X100" s="1776"/>
      <c r="Y100" s="993">
        <f>IFERROR(LOOKUP(B97,TL!$A$6:$A$23,GSh!$W$6:$W$23),0)</f>
        <v>0</v>
      </c>
      <c r="Z100" s="1778">
        <f>IF(AND(X100&gt;0,Y100&gt;0,W100&gt;0),(W100-(IF(W100&gt;Y100,Y100,IF(W100&lt;X100,X100,W100))))/(IF(W100&gt;Y100,Y100,IF(W100&lt;X100,X100,W100)))*100,0)</f>
        <v>0</v>
      </c>
      <c r="AA100" s="235">
        <f>IF($AB$3="NO",0,ROUNDDOWN(SUM($O$6:O100)/IF(Iniciar!$C$10="kilos",40,1),0)-SUM($AA$6:$AA99))</f>
        <v>0</v>
      </c>
      <c r="AB100" s="667"/>
      <c r="AC100" s="667"/>
      <c r="AD100" s="236">
        <f t="shared" si="23"/>
        <v>0</v>
      </c>
      <c r="AE100" s="670"/>
      <c r="AF100" s="1222"/>
      <c r="AG100" s="1822"/>
      <c r="AH100" s="1821"/>
      <c r="AI100" s="199"/>
      <c r="AJ100" s="199">
        <f>VLOOKUP(C100,Manejos!$C$10:$M$101,11,FALSE)</f>
        <v>0</v>
      </c>
      <c r="AK100" s="998">
        <f t="shared" si="19"/>
        <v>0</v>
      </c>
      <c r="AL100"/>
      <c r="AM100"/>
    </row>
    <row r="101" spans="1:39" s="219" customFormat="1" ht="13.5" customHeight="1" x14ac:dyDescent="0.3">
      <c r="A101" s="534">
        <f t="shared" si="20"/>
        <v>14</v>
      </c>
      <c r="B101" s="1839"/>
      <c r="C101" s="230" t="str">
        <f t="shared" si="24"/>
        <v/>
      </c>
      <c r="D101" s="231" t="e">
        <f t="shared" si="16"/>
        <v>#VALUE!</v>
      </c>
      <c r="E101" s="658"/>
      <c r="F101" s="658"/>
      <c r="G101" s="659"/>
      <c r="H101" s="246">
        <f t="shared" si="21"/>
        <v>0</v>
      </c>
      <c r="I101" s="1217" t="str">
        <f>$I$10</f>
        <v>% Mort/Sel Sem Tab :</v>
      </c>
      <c r="J101" s="1216">
        <f>J103-J96</f>
        <v>5.9999999999999984E-4</v>
      </c>
      <c r="K101" s="1088"/>
      <c r="L101" s="663"/>
      <c r="M101" s="1086"/>
      <c r="N101" s="664"/>
      <c r="O101" s="665"/>
      <c r="P101" s="232">
        <f t="shared" si="17"/>
        <v>0</v>
      </c>
      <c r="Q101" s="665"/>
      <c r="R101" s="233">
        <f t="shared" si="22"/>
        <v>0</v>
      </c>
      <c r="S101" s="234">
        <f>IF(Levante!$N$1&gt;0,O101*$B$1/H101,0)</f>
        <v>0</v>
      </c>
      <c r="T101" s="238">
        <f>IF(SUM(H97:H101)&gt;0,SUM(U97:U101)/SUM(H97:H101),0)</f>
        <v>0</v>
      </c>
      <c r="U101" s="238">
        <f t="shared" si="18"/>
        <v>0</v>
      </c>
      <c r="V101" s="1212">
        <f>IF(Fnac="",0,IFERROR(LOOKUP(Linea,TL!$BY$5:$CJ$5,TL!BY101:CJ101),0))</f>
        <v>0</v>
      </c>
      <c r="W101" s="1793" t="str">
        <f>$W$10</f>
        <v xml:space="preserve">Total Litros Sem: </v>
      </c>
      <c r="X101" s="1794"/>
      <c r="Y101" s="1787">
        <f>SUM(K97:K103)</f>
        <v>0</v>
      </c>
      <c r="Z101" s="1788"/>
      <c r="AA101" s="235">
        <f>IF($AB$3="NO",0,ROUNDDOWN(SUM($O$6:O101)/IF(Iniciar!$C$10="kilos",40,1),0)-SUM($AA$6:$AA100))</f>
        <v>0</v>
      </c>
      <c r="AB101" s="667"/>
      <c r="AC101" s="667"/>
      <c r="AD101" s="236">
        <f t="shared" si="23"/>
        <v>0</v>
      </c>
      <c r="AE101" s="670"/>
      <c r="AF101" s="1222"/>
      <c r="AG101" s="1822"/>
      <c r="AH101" s="1821"/>
      <c r="AI101" s="199"/>
      <c r="AJ101" s="199">
        <f>VLOOKUP(C101,Manejos!$C$10:$M$101,11,FALSE)</f>
        <v>0</v>
      </c>
      <c r="AK101" s="998">
        <f t="shared" si="19"/>
        <v>0</v>
      </c>
      <c r="AL101"/>
      <c r="AM101"/>
    </row>
    <row r="102" spans="1:39" s="219" customFormat="1" ht="13.5" customHeight="1" x14ac:dyDescent="0.3">
      <c r="A102" s="534">
        <f t="shared" si="20"/>
        <v>14</v>
      </c>
      <c r="B102" s="1839"/>
      <c r="C102" s="230" t="str">
        <f t="shared" si="24"/>
        <v/>
      </c>
      <c r="D102" s="231" t="e">
        <f t="shared" ref="D102:D131" si="25">IF(C102=0,0,(C102-Fnac+1)/7)</f>
        <v>#VALUE!</v>
      </c>
      <c r="E102" s="658"/>
      <c r="F102" s="658"/>
      <c r="G102" s="659"/>
      <c r="H102" s="246">
        <f t="shared" si="21"/>
        <v>0</v>
      </c>
      <c r="I102" s="1217" t="str">
        <f>$I$11</f>
        <v>% Mort/Sel Acum :</v>
      </c>
      <c r="J102" s="1216">
        <f>IF(Levante!$N$1&gt;0,SUM($E$6:F103)/Levante!$N$1,0)</f>
        <v>0</v>
      </c>
      <c r="K102" s="1088"/>
      <c r="L102" s="663"/>
      <c r="M102" s="1086"/>
      <c r="N102" s="664"/>
      <c r="O102" s="665"/>
      <c r="P102" s="232">
        <f t="shared" ref="P102:P131" si="26">V102*H102/$B$1</f>
        <v>0</v>
      </c>
      <c r="Q102" s="665"/>
      <c r="R102" s="233">
        <f t="shared" si="22"/>
        <v>0</v>
      </c>
      <c r="S102" s="234">
        <f>IF(Levante!$N$1&gt;0,O102*$B$1/H102,0)</f>
        <v>0</v>
      </c>
      <c r="T102" s="238">
        <f>IF(SUM(H97:H102)&gt;0,SUM(U97:U102)/SUM(H97:H102),0)</f>
        <v>0</v>
      </c>
      <c r="U102" s="238">
        <f t="shared" ref="U102:U131" si="27">S102*H102</f>
        <v>0</v>
      </c>
      <c r="V102" s="1212">
        <f>IF(Fnac="",0,IFERROR(LOOKUP(Linea,TL!$BY$5:$CJ$5,TL!BY102:CJ102),0))</f>
        <v>0</v>
      </c>
      <c r="W102" s="1795" t="str">
        <f>$W$11</f>
        <v xml:space="preserve">Cons ml /ave día: </v>
      </c>
      <c r="X102" s="1796"/>
      <c r="Y102" s="1789">
        <f>IFERROR(Y101/7*1000/H103,0)</f>
        <v>0</v>
      </c>
      <c r="Z102" s="1790"/>
      <c r="AA102" s="235">
        <f>IF($AB$3="NO",0,ROUNDDOWN(SUM($O$6:O102)/IF(Iniciar!$C$10="kilos",40,1),0)-SUM($AA$6:$AA101))</f>
        <v>0</v>
      </c>
      <c r="AB102" s="667"/>
      <c r="AC102" s="667"/>
      <c r="AD102" s="236">
        <f t="shared" si="23"/>
        <v>0</v>
      </c>
      <c r="AE102" s="670"/>
      <c r="AF102" s="1222"/>
      <c r="AG102" s="1822"/>
      <c r="AH102" s="1821"/>
      <c r="AI102" s="199"/>
      <c r="AJ102" s="199">
        <f>VLOOKUP(C102,Manejos!$C$10:$M$101,11,FALSE)</f>
        <v>0</v>
      </c>
      <c r="AK102" s="998">
        <f t="shared" si="19"/>
        <v>0</v>
      </c>
      <c r="AL102"/>
      <c r="AM102"/>
    </row>
    <row r="103" spans="1:39" s="219" customFormat="1" ht="13.5" customHeight="1" x14ac:dyDescent="0.3">
      <c r="A103" s="534">
        <f t="shared" si="20"/>
        <v>14</v>
      </c>
      <c r="B103" s="1840"/>
      <c r="C103" s="230" t="str">
        <f t="shared" si="24"/>
        <v/>
      </c>
      <c r="D103" s="231" t="e">
        <f t="shared" si="25"/>
        <v>#VALUE!</v>
      </c>
      <c r="E103" s="658"/>
      <c r="F103" s="658"/>
      <c r="G103" s="659"/>
      <c r="H103" s="246">
        <f t="shared" ref="H103:H131" si="28">H102-SUM(E103:G103)</f>
        <v>0</v>
      </c>
      <c r="I103" s="1217" t="str">
        <f>$I$12</f>
        <v>% Mort/Sel Acm Tab :</v>
      </c>
      <c r="J103" s="1216">
        <f>$E$3*0.0088</f>
        <v>1.7600000000000001E-2</v>
      </c>
      <c r="K103" s="1088"/>
      <c r="L103" s="663"/>
      <c r="M103" s="1086"/>
      <c r="N103" s="664"/>
      <c r="O103" s="665"/>
      <c r="P103" s="232">
        <f t="shared" si="26"/>
        <v>0</v>
      </c>
      <c r="Q103" s="665"/>
      <c r="R103" s="233">
        <f t="shared" ref="R103:R131" si="29">R102+N103-O103-Q103</f>
        <v>0</v>
      </c>
      <c r="S103" s="234">
        <f>IF(Levante!$N$1&gt;0,O103/IF(SUM(O97:O102)=0,7,1)*$B$1/H103,0)</f>
        <v>0</v>
      </c>
      <c r="T103" s="238">
        <f>IF(SUM(H97:H103)&gt;0,SUM(U97:U103)/SUM(H97:H103),0)</f>
        <v>0</v>
      </c>
      <c r="U103" s="238">
        <f t="shared" si="27"/>
        <v>0</v>
      </c>
      <c r="V103" s="1212">
        <f>IF(Fnac="",0,IFERROR(LOOKUP(Linea,TL!$BY$5:$CJ$5,TL!BY103:CJ103),0))</f>
        <v>0</v>
      </c>
      <c r="W103" s="1825" t="str">
        <f>$W$12</f>
        <v xml:space="preserve">Relación Agua /Alimto: </v>
      </c>
      <c r="X103" s="1826"/>
      <c r="Y103" s="1791">
        <f>IFERROR(Y102/X97,0)</f>
        <v>0</v>
      </c>
      <c r="Z103" s="1792"/>
      <c r="AA103" s="235">
        <f>IF($AB$3="NO",0,ROUNDDOWN(SUM($O$6:O103)/IF(Iniciar!$C$10="kilos",40,1),0)-SUM($AA$6:$AA102))</f>
        <v>0</v>
      </c>
      <c r="AB103" s="667"/>
      <c r="AC103" s="667"/>
      <c r="AD103" s="236">
        <f t="shared" ref="AD103:AD131" si="30">AD102+AA103+AB103-AC103</f>
        <v>0</v>
      </c>
      <c r="AE103" s="670"/>
      <c r="AF103" s="1222"/>
      <c r="AG103" s="1822"/>
      <c r="AH103" s="1821"/>
      <c r="AI103" s="199">
        <f>IF(OR(J97&gt;0,X97&gt;0),B96,AI96)</f>
        <v>0</v>
      </c>
      <c r="AJ103" s="199">
        <f>VLOOKUP(C103,Manejos!$C$10:$M$101,11,FALSE)</f>
        <v>0</v>
      </c>
      <c r="AK103" s="998">
        <f t="shared" si="19"/>
        <v>0</v>
      </c>
      <c r="AL103"/>
      <c r="AM103"/>
    </row>
    <row r="104" spans="1:39" s="219" customFormat="1" ht="13.5" customHeight="1" x14ac:dyDescent="0.3">
      <c r="A104" s="534">
        <f>B104</f>
        <v>15</v>
      </c>
      <c r="B104" s="1838">
        <f>B97+1</f>
        <v>15</v>
      </c>
      <c r="C104" s="230" t="str">
        <f t="shared" si="24"/>
        <v/>
      </c>
      <c r="D104" s="231" t="e">
        <f t="shared" si="25"/>
        <v>#VALUE!</v>
      </c>
      <c r="E104" s="658"/>
      <c r="F104" s="658"/>
      <c r="G104" s="659"/>
      <c r="H104" s="246">
        <f t="shared" si="28"/>
        <v>0</v>
      </c>
      <c r="I104" s="1210" t="str">
        <f>$I$6</f>
        <v>T. Salidas Sem :</v>
      </c>
      <c r="J104" s="1211">
        <f>SUMIF(E104:G110,"&gt;0")</f>
        <v>0</v>
      </c>
      <c r="K104" s="1088"/>
      <c r="L104" s="663"/>
      <c r="M104" s="1086"/>
      <c r="N104" s="664"/>
      <c r="O104" s="665"/>
      <c r="P104" s="232">
        <f t="shared" si="26"/>
        <v>0</v>
      </c>
      <c r="Q104" s="665"/>
      <c r="R104" s="233">
        <f t="shared" si="29"/>
        <v>0</v>
      </c>
      <c r="S104" s="234">
        <f>IF(Levante!$N$1&gt;0,O104*$B$1/H104,0)</f>
        <v>0</v>
      </c>
      <c r="T104" s="238">
        <f>IF(SUM(H104:H104)&gt;0,SUM(U104:U104)/SUM(H104:H104),0)</f>
        <v>0</v>
      </c>
      <c r="U104" s="238">
        <f t="shared" si="27"/>
        <v>0</v>
      </c>
      <c r="V104" s="1212">
        <f>IF(Fnac="",0,IFERROR(LOOKUP(Linea,TL!$BY$5:$CJ$5,TL!BY104:CJ104),0))</f>
        <v>0</v>
      </c>
      <c r="W104" s="1779" t="str">
        <f>$W$6</f>
        <v xml:space="preserve">Gr. Ave Dia : </v>
      </c>
      <c r="X104" s="1781">
        <f>IF(AND(COUNT(O104:O109)&gt;0,O110&gt;0),T110,S110)</f>
        <v>0</v>
      </c>
      <c r="Y104" s="1219">
        <f>IFERROR(LOOKUP(B104,TL!$A$6:$A$23,GSh!$O$6:$O$23),0)</f>
        <v>0</v>
      </c>
      <c r="Z104" s="1783">
        <f>IF(AND(Y104&gt;0,Y105&gt;0,X104&gt;0),(X104-(IF(X104&gt;Y105,Y105,IF(X104&lt;Y104,Y104,X104))))/(IF(X104&gt;Y105,Y105,IF(X104&lt;Y104,Y104,X104)))*100,0)</f>
        <v>0</v>
      </c>
      <c r="AA104" s="235">
        <f>IF($AB$3="NO",0,ROUNDDOWN(SUM($O$6:O104)/IF(Iniciar!$C$10="kilos",40,1),0)-SUM($AA$6:$AA103))</f>
        <v>0</v>
      </c>
      <c r="AB104" s="667"/>
      <c r="AC104" s="667"/>
      <c r="AD104" s="236">
        <f t="shared" si="30"/>
        <v>0</v>
      </c>
      <c r="AE104" s="670"/>
      <c r="AF104" s="1222"/>
      <c r="AG104" s="1822"/>
      <c r="AH104" s="1821">
        <f>AH97+1</f>
        <v>15</v>
      </c>
      <c r="AI104" s="538">
        <f>SUMPRODUCT(O104:O110,M104:M110)</f>
        <v>0</v>
      </c>
      <c r="AJ104" s="199">
        <f>VLOOKUP(C104,Manejos!$C$10:$M$101,11,FALSE)</f>
        <v>0</v>
      </c>
      <c r="AK104" s="998">
        <f t="shared" si="19"/>
        <v>0</v>
      </c>
      <c r="AL104"/>
      <c r="AM104"/>
    </row>
    <row r="105" spans="1:39" s="219" customFormat="1" ht="13.5" customHeight="1" x14ac:dyDescent="0.3">
      <c r="A105" s="534">
        <f t="shared" si="20"/>
        <v>15</v>
      </c>
      <c r="B105" s="1839"/>
      <c r="C105" s="230" t="str">
        <f t="shared" si="24"/>
        <v/>
      </c>
      <c r="D105" s="231" t="e">
        <f t="shared" si="25"/>
        <v>#VALUE!</v>
      </c>
      <c r="E105" s="658"/>
      <c r="F105" s="658"/>
      <c r="G105" s="659"/>
      <c r="H105" s="246">
        <f t="shared" si="28"/>
        <v>0</v>
      </c>
      <c r="I105" s="1210" t="str">
        <f>$I$7</f>
        <v>T. Salidas Acm :</v>
      </c>
      <c r="J105" s="1211">
        <f>J98+J104</f>
        <v>0</v>
      </c>
      <c r="K105" s="1088"/>
      <c r="L105" s="663"/>
      <c r="M105" s="1086"/>
      <c r="N105" s="664"/>
      <c r="O105" s="665"/>
      <c r="P105" s="232">
        <f t="shared" si="26"/>
        <v>0</v>
      </c>
      <c r="Q105" s="665"/>
      <c r="R105" s="233">
        <f t="shared" si="29"/>
        <v>0</v>
      </c>
      <c r="S105" s="234">
        <f>IF(Levante!$N$1&gt;0,O105*$B$1/H105,0)</f>
        <v>0</v>
      </c>
      <c r="T105" s="238">
        <f>IF(SUM(H104:H105)&gt;0,SUM(U104:U105)/SUM(H104:H105),0)</f>
        <v>0</v>
      </c>
      <c r="U105" s="238">
        <f t="shared" si="27"/>
        <v>0</v>
      </c>
      <c r="V105" s="1212">
        <f>IF(Fnac="",0,IFERROR(LOOKUP(Linea,TL!$BY$5:$CJ$5,TL!BY105:CJ105),0))</f>
        <v>0</v>
      </c>
      <c r="W105" s="1780"/>
      <c r="X105" s="1782"/>
      <c r="Y105" s="997">
        <f>IFERROR(LOOKUP(B104,TL!$A$6:$A$23,GSh!$P$6:$P$23),0)</f>
        <v>0</v>
      </c>
      <c r="Z105" s="1784">
        <f>IF(AND(X105&gt;0,Y105&gt;0,W105&gt;0),(W105-(IF(W105&gt;Y105,Y105,IF(W105&lt;X105,X105,W105))))/(IF(W105&gt;Y105,Y105,IF(W105&lt;X105,X105,W105)))*100,0)</f>
        <v>0</v>
      </c>
      <c r="AA105" s="235">
        <f>IF($AB$3="NO",0,ROUNDDOWN(SUM($O$6:O105)/IF(Iniciar!$C$10="kilos",40,1),0)-SUM($AA$6:$AA104))</f>
        <v>0</v>
      </c>
      <c r="AB105" s="667"/>
      <c r="AC105" s="667"/>
      <c r="AD105" s="236">
        <f t="shared" si="30"/>
        <v>0</v>
      </c>
      <c r="AE105" s="670"/>
      <c r="AF105" s="1222"/>
      <c r="AG105" s="1822"/>
      <c r="AH105" s="1821"/>
      <c r="AI105" s="199"/>
      <c r="AJ105" s="199">
        <f>VLOOKUP(C105,Manejos!$C$10:$M$101,11,FALSE)</f>
        <v>0</v>
      </c>
      <c r="AK105" s="998">
        <f t="shared" si="19"/>
        <v>0</v>
      </c>
      <c r="AL105"/>
      <c r="AM105"/>
    </row>
    <row r="106" spans="1:39" s="219" customFormat="1" ht="14.25" customHeight="1" x14ac:dyDescent="0.25">
      <c r="A106" s="534">
        <f t="shared" si="20"/>
        <v>15</v>
      </c>
      <c r="B106" s="1839"/>
      <c r="C106" s="230" t="str">
        <f t="shared" si="24"/>
        <v/>
      </c>
      <c r="D106" s="231" t="e">
        <f t="shared" si="25"/>
        <v>#VALUE!</v>
      </c>
      <c r="E106" s="658"/>
      <c r="F106" s="658"/>
      <c r="G106" s="659"/>
      <c r="H106" s="246">
        <f t="shared" si="28"/>
        <v>0</v>
      </c>
      <c r="I106" s="1213" t="str">
        <f>$I$8</f>
        <v>Saldo Aves :</v>
      </c>
      <c r="J106" s="1214">
        <f>H110</f>
        <v>0</v>
      </c>
      <c r="K106" s="1088"/>
      <c r="L106" s="663"/>
      <c r="M106" s="1086"/>
      <c r="N106" s="664"/>
      <c r="O106" s="665"/>
      <c r="P106" s="232">
        <f t="shared" si="26"/>
        <v>0</v>
      </c>
      <c r="Q106" s="665"/>
      <c r="R106" s="233">
        <f t="shared" si="29"/>
        <v>0</v>
      </c>
      <c r="S106" s="234">
        <f>IF(Levante!$N$1&gt;0,O106*$B$1/H106,0)</f>
        <v>0</v>
      </c>
      <c r="T106" s="238">
        <f>IF(SUM(H104:H106)&gt;0,SUM(U104:U106)/SUM(H104:H106),0)</f>
        <v>0</v>
      </c>
      <c r="U106" s="238">
        <f t="shared" si="27"/>
        <v>0</v>
      </c>
      <c r="V106" s="1212">
        <f>IF(Fnac="",0,IFERROR(LOOKUP(Linea,TL!$BY$5:$CJ$5,TL!BY106:CJ106),0))</f>
        <v>0</v>
      </c>
      <c r="W106" s="1785" t="str">
        <f>$W$8</f>
        <v xml:space="preserve">Gr. Ave Acu : </v>
      </c>
      <c r="X106" s="1775">
        <f>X99+X104*7</f>
        <v>0</v>
      </c>
      <c r="Y106" s="992">
        <f>IFERROR(LOOKUP(B104,TL!$A$6:$A$23,GSh!$V$6:$V$23),0)</f>
        <v>0</v>
      </c>
      <c r="Z106" s="1777">
        <f>IF(AND(Y106&gt;0,Y107&gt;0,X106&gt;0),(X106-(IF(X106&gt;Y107,Y107,IF(X106&lt;Y106,Y106,X106))))/(IF(X106&gt;Y107,Y107,IF(X106&lt;Y106,Y106,X106)))*100,0)</f>
        <v>0</v>
      </c>
      <c r="AA106" s="235">
        <f>IF($AB$3="NO",0,ROUNDDOWN(SUM($O$6:O106)/IF(Iniciar!$C$10="kilos",40,1),0)-SUM($AA$6:$AA105))</f>
        <v>0</v>
      </c>
      <c r="AB106" s="667"/>
      <c r="AC106" s="667"/>
      <c r="AD106" s="236">
        <f t="shared" si="30"/>
        <v>0</v>
      </c>
      <c r="AE106" s="670"/>
      <c r="AF106" s="1222"/>
      <c r="AG106" s="1822"/>
      <c r="AH106" s="1821"/>
      <c r="AI106" s="199"/>
      <c r="AJ106" s="199">
        <f>VLOOKUP(C106,Manejos!$C$10:$M$101,11,FALSE)</f>
        <v>0</v>
      </c>
      <c r="AK106" s="998">
        <f t="shared" si="19"/>
        <v>0</v>
      </c>
      <c r="AL106"/>
      <c r="AM106"/>
    </row>
    <row r="107" spans="1:39" s="219" customFormat="1" ht="13.5" customHeight="1" x14ac:dyDescent="0.3">
      <c r="A107" s="534">
        <f t="shared" si="20"/>
        <v>15</v>
      </c>
      <c r="B107" s="1839"/>
      <c r="C107" s="230" t="str">
        <f t="shared" si="24"/>
        <v/>
      </c>
      <c r="D107" s="231" t="e">
        <f t="shared" si="25"/>
        <v>#VALUE!</v>
      </c>
      <c r="E107" s="658"/>
      <c r="F107" s="658"/>
      <c r="G107" s="659"/>
      <c r="H107" s="246">
        <f t="shared" si="28"/>
        <v>0</v>
      </c>
      <c r="I107" s="1217" t="str">
        <f>$I$9</f>
        <v>% Mort/Sel Sem :</v>
      </c>
      <c r="J107" s="1216">
        <f>IF(Levante!$N$1&gt;0,SUM(E104:F110)/Levante!$N$1,0)</f>
        <v>0</v>
      </c>
      <c r="K107" s="1088"/>
      <c r="L107" s="663"/>
      <c r="M107" s="1086"/>
      <c r="N107" s="664"/>
      <c r="O107" s="665"/>
      <c r="P107" s="232">
        <f t="shared" si="26"/>
        <v>0</v>
      </c>
      <c r="Q107" s="665"/>
      <c r="R107" s="233">
        <f t="shared" si="29"/>
        <v>0</v>
      </c>
      <c r="S107" s="234">
        <f>IF(Levante!$N$1&gt;0,O107*$B$1/H107,0)</f>
        <v>0</v>
      </c>
      <c r="T107" s="238">
        <f>IF(SUM(H104:H107)&gt;0,SUM(U104:U107)/SUM(H104:H107),0)</f>
        <v>0</v>
      </c>
      <c r="U107" s="238">
        <f t="shared" si="27"/>
        <v>0</v>
      </c>
      <c r="V107" s="1212">
        <f>IF(Fnac="",0,IFERROR(LOOKUP(Linea,TL!$BY$5:$CJ$5,TL!BY107:CJ107),0))</f>
        <v>0</v>
      </c>
      <c r="W107" s="1786"/>
      <c r="X107" s="1776"/>
      <c r="Y107" s="993">
        <f>IFERROR(LOOKUP(B104,TL!$A$6:$A$23,GSh!$W$6:$W$23),0)</f>
        <v>0</v>
      </c>
      <c r="Z107" s="1778">
        <f>IF(AND(X107&gt;0,Y107&gt;0,W107&gt;0),(W107-(IF(W107&gt;Y107,Y107,IF(W107&lt;X107,X107,W107))))/(IF(W107&gt;Y107,Y107,IF(W107&lt;X107,X107,W107)))*100,0)</f>
        <v>0</v>
      </c>
      <c r="AA107" s="235">
        <f>IF($AB$3="NO",0,ROUNDDOWN(SUM($O$6:O107)/IF(Iniciar!$C$10="kilos",40,1),0)-SUM($AA$6:$AA106))</f>
        <v>0</v>
      </c>
      <c r="AB107" s="667"/>
      <c r="AC107" s="667"/>
      <c r="AD107" s="236">
        <f t="shared" si="30"/>
        <v>0</v>
      </c>
      <c r="AE107" s="670"/>
      <c r="AF107" s="1222"/>
      <c r="AG107" s="1822"/>
      <c r="AH107" s="1821"/>
      <c r="AI107" s="199"/>
      <c r="AJ107" s="199">
        <f>VLOOKUP(C107,Manejos!$C$10:$M$101,11,FALSE)</f>
        <v>0</v>
      </c>
      <c r="AK107" s="998">
        <f t="shared" si="19"/>
        <v>0</v>
      </c>
      <c r="AL107"/>
      <c r="AM107"/>
    </row>
    <row r="108" spans="1:39" s="219" customFormat="1" ht="13.5" customHeight="1" x14ac:dyDescent="0.3">
      <c r="A108" s="534">
        <f t="shared" si="20"/>
        <v>15</v>
      </c>
      <c r="B108" s="1839"/>
      <c r="C108" s="230" t="str">
        <f t="shared" si="24"/>
        <v/>
      </c>
      <c r="D108" s="231" t="e">
        <f t="shared" si="25"/>
        <v>#VALUE!</v>
      </c>
      <c r="E108" s="658"/>
      <c r="F108" s="658"/>
      <c r="G108" s="659"/>
      <c r="H108" s="246">
        <f t="shared" si="28"/>
        <v>0</v>
      </c>
      <c r="I108" s="1217" t="str">
        <f>$I$10</f>
        <v>% Mort/Sel Sem Tab :</v>
      </c>
      <c r="J108" s="1216">
        <f>J110-J103</f>
        <v>5.9999999999999984E-4</v>
      </c>
      <c r="K108" s="1088"/>
      <c r="L108" s="663"/>
      <c r="M108" s="1086"/>
      <c r="N108" s="664"/>
      <c r="O108" s="665"/>
      <c r="P108" s="232">
        <f t="shared" si="26"/>
        <v>0</v>
      </c>
      <c r="Q108" s="665"/>
      <c r="R108" s="233">
        <f t="shared" si="29"/>
        <v>0</v>
      </c>
      <c r="S108" s="234">
        <f>IF(Levante!$N$1&gt;0,O108*$B$1/H108,0)</f>
        <v>0</v>
      </c>
      <c r="T108" s="238">
        <f>IF(SUM(H104:H108)&gt;0,SUM(U104:U108)/SUM(H104:H108),0)</f>
        <v>0</v>
      </c>
      <c r="U108" s="238">
        <f t="shared" si="27"/>
        <v>0</v>
      </c>
      <c r="V108" s="1212">
        <f>IF(Fnac="",0,IFERROR(LOOKUP(Linea,TL!$BY$5:$CJ$5,TL!BY108:CJ108),0))</f>
        <v>0</v>
      </c>
      <c r="W108" s="1793" t="str">
        <f>$W$10</f>
        <v xml:space="preserve">Total Litros Sem: </v>
      </c>
      <c r="X108" s="1794"/>
      <c r="Y108" s="1787">
        <f>SUM(K104:K110)</f>
        <v>0</v>
      </c>
      <c r="Z108" s="1788"/>
      <c r="AA108" s="235">
        <f>IF($AB$3="NO",0,ROUNDDOWN(SUM($O$6:O108)/IF(Iniciar!$C$10="kilos",40,1),0)-SUM($AA$6:$AA107))</f>
        <v>0</v>
      </c>
      <c r="AB108" s="667"/>
      <c r="AC108" s="667"/>
      <c r="AD108" s="236">
        <f t="shared" si="30"/>
        <v>0</v>
      </c>
      <c r="AE108" s="670"/>
      <c r="AF108" s="1222"/>
      <c r="AG108" s="1822"/>
      <c r="AH108" s="1821"/>
      <c r="AI108" s="199"/>
      <c r="AJ108" s="199">
        <f>VLOOKUP(C108,Manejos!$C$10:$M$101,11,FALSE)</f>
        <v>0</v>
      </c>
      <c r="AK108" s="998">
        <f t="shared" si="19"/>
        <v>0</v>
      </c>
      <c r="AL108"/>
      <c r="AM108"/>
    </row>
    <row r="109" spans="1:39" s="219" customFormat="1" ht="13.5" customHeight="1" x14ac:dyDescent="0.3">
      <c r="A109" s="534">
        <f t="shared" si="20"/>
        <v>15</v>
      </c>
      <c r="B109" s="1839"/>
      <c r="C109" s="230" t="str">
        <f t="shared" si="24"/>
        <v/>
      </c>
      <c r="D109" s="231" t="e">
        <f t="shared" si="25"/>
        <v>#VALUE!</v>
      </c>
      <c r="E109" s="658"/>
      <c r="F109" s="658"/>
      <c r="G109" s="659"/>
      <c r="H109" s="246">
        <f t="shared" si="28"/>
        <v>0</v>
      </c>
      <c r="I109" s="1217" t="str">
        <f>$I$11</f>
        <v>% Mort/Sel Acum :</v>
      </c>
      <c r="J109" s="1216">
        <f>IF(Levante!$N$1&gt;0,SUM($E$6:F110)/Levante!$N$1,0)</f>
        <v>0</v>
      </c>
      <c r="K109" s="1088"/>
      <c r="L109" s="663"/>
      <c r="M109" s="1086"/>
      <c r="N109" s="664"/>
      <c r="O109" s="665"/>
      <c r="P109" s="232">
        <f t="shared" si="26"/>
        <v>0</v>
      </c>
      <c r="Q109" s="665"/>
      <c r="R109" s="233">
        <f t="shared" si="29"/>
        <v>0</v>
      </c>
      <c r="S109" s="234">
        <f>IF(Levante!$N$1&gt;0,O109*$B$1/H109,0)</f>
        <v>0</v>
      </c>
      <c r="T109" s="238">
        <f>IF(SUM(H104:H109)&gt;0,SUM(U104:U109)/SUM(H104:H109),0)</f>
        <v>0</v>
      </c>
      <c r="U109" s="238">
        <f t="shared" si="27"/>
        <v>0</v>
      </c>
      <c r="V109" s="1212">
        <f>IF(Fnac="",0,IFERROR(LOOKUP(Linea,TL!$BY$5:$CJ$5,TL!BY109:CJ109),0))</f>
        <v>0</v>
      </c>
      <c r="W109" s="1795" t="str">
        <f>$W$11</f>
        <v xml:space="preserve">Cons ml /ave día: </v>
      </c>
      <c r="X109" s="1796"/>
      <c r="Y109" s="1789">
        <f>IFERROR(Y108/7*1000/H110,0)</f>
        <v>0</v>
      </c>
      <c r="Z109" s="1790"/>
      <c r="AA109" s="235">
        <f>IF($AB$3="NO",0,ROUNDDOWN(SUM($O$6:O109)/IF(Iniciar!$C$10="kilos",40,1),0)-SUM($AA$6:$AA108))</f>
        <v>0</v>
      </c>
      <c r="AB109" s="667"/>
      <c r="AC109" s="667"/>
      <c r="AD109" s="236">
        <f t="shared" si="30"/>
        <v>0</v>
      </c>
      <c r="AE109" s="670"/>
      <c r="AF109" s="1222"/>
      <c r="AG109" s="1822"/>
      <c r="AH109" s="1821"/>
      <c r="AI109" s="199"/>
      <c r="AJ109" s="199">
        <f>VLOOKUP(C109,Manejos!$C$10:$M$101,11,FALSE)</f>
        <v>0</v>
      </c>
      <c r="AK109" s="998">
        <f t="shared" si="19"/>
        <v>0</v>
      </c>
      <c r="AL109"/>
      <c r="AM109"/>
    </row>
    <row r="110" spans="1:39" s="219" customFormat="1" ht="13.5" customHeight="1" x14ac:dyDescent="0.3">
      <c r="A110" s="534">
        <f t="shared" si="20"/>
        <v>15</v>
      </c>
      <c r="B110" s="1840"/>
      <c r="C110" s="230" t="str">
        <f t="shared" si="24"/>
        <v/>
      </c>
      <c r="D110" s="231" t="e">
        <f t="shared" si="25"/>
        <v>#VALUE!</v>
      </c>
      <c r="E110" s="658"/>
      <c r="F110" s="658"/>
      <c r="G110" s="659"/>
      <c r="H110" s="246">
        <f t="shared" si="28"/>
        <v>0</v>
      </c>
      <c r="I110" s="1217" t="str">
        <f>$I$12</f>
        <v>% Mort/Sel Acm Tab :</v>
      </c>
      <c r="J110" s="1216">
        <f>$E$3*0.0091</f>
        <v>1.8200000000000001E-2</v>
      </c>
      <c r="K110" s="1088"/>
      <c r="L110" s="663"/>
      <c r="M110" s="1086"/>
      <c r="N110" s="664"/>
      <c r="O110" s="665"/>
      <c r="P110" s="232">
        <f t="shared" si="26"/>
        <v>0</v>
      </c>
      <c r="Q110" s="665"/>
      <c r="R110" s="233">
        <f t="shared" si="29"/>
        <v>0</v>
      </c>
      <c r="S110" s="234">
        <f>IF(Levante!$N$1&gt;0,O110/IF(SUM(O104:O109)=0,7,1)*$B$1/H110,0)</f>
        <v>0</v>
      </c>
      <c r="T110" s="238">
        <f>IF(SUM(H104:H110)&gt;0,SUM(U104:U110)/SUM(H104:H110),0)</f>
        <v>0</v>
      </c>
      <c r="U110" s="238">
        <f t="shared" si="27"/>
        <v>0</v>
      </c>
      <c r="V110" s="1212">
        <f>IF(Fnac="",0,IFERROR(LOOKUP(Linea,TL!$BY$5:$CJ$5,TL!BY110:CJ110),0))</f>
        <v>0</v>
      </c>
      <c r="W110" s="1825" t="str">
        <f>$W$12</f>
        <v xml:space="preserve">Relación Agua /Alimto: </v>
      </c>
      <c r="X110" s="1826"/>
      <c r="Y110" s="1791">
        <f>IFERROR(Y109/X104,0)</f>
        <v>0</v>
      </c>
      <c r="Z110" s="1792"/>
      <c r="AA110" s="235">
        <f>IF($AB$3="NO",0,ROUNDDOWN(SUM($O$6:O110)/IF(Iniciar!$C$10="kilos",40,1),0)-SUM($AA$6:$AA109))</f>
        <v>0</v>
      </c>
      <c r="AB110" s="667"/>
      <c r="AC110" s="667"/>
      <c r="AD110" s="236">
        <f t="shared" si="30"/>
        <v>0</v>
      </c>
      <c r="AE110" s="670"/>
      <c r="AF110" s="1222"/>
      <c r="AG110" s="1822"/>
      <c r="AH110" s="1821"/>
      <c r="AI110" s="199">
        <f>IF(OR(J104&gt;0,X104&gt;0),B103,AI103)</f>
        <v>0</v>
      </c>
      <c r="AJ110" s="199">
        <f>VLOOKUP(C110,Manejos!$C$10:$M$101,11,FALSE)</f>
        <v>0</v>
      </c>
      <c r="AK110" s="998">
        <f t="shared" si="19"/>
        <v>0</v>
      </c>
      <c r="AL110"/>
      <c r="AM110"/>
    </row>
    <row r="111" spans="1:39" s="219" customFormat="1" ht="13.5" customHeight="1" x14ac:dyDescent="0.3">
      <c r="A111" s="534">
        <f>B111</f>
        <v>16</v>
      </c>
      <c r="B111" s="1838">
        <f>B104+1</f>
        <v>16</v>
      </c>
      <c r="C111" s="230" t="str">
        <f t="shared" si="24"/>
        <v/>
      </c>
      <c r="D111" s="231" t="e">
        <f t="shared" si="25"/>
        <v>#VALUE!</v>
      </c>
      <c r="E111" s="658"/>
      <c r="F111" s="658"/>
      <c r="G111" s="659"/>
      <c r="H111" s="246">
        <f t="shared" si="28"/>
        <v>0</v>
      </c>
      <c r="I111" s="1210" t="str">
        <f>$I$6</f>
        <v>T. Salidas Sem :</v>
      </c>
      <c r="J111" s="1211">
        <f>SUMIF(E111:G117,"&gt;0")</f>
        <v>0</v>
      </c>
      <c r="K111" s="1088"/>
      <c r="L111" s="663"/>
      <c r="M111" s="1086"/>
      <c r="N111" s="664"/>
      <c r="O111" s="665"/>
      <c r="P111" s="232">
        <f t="shared" si="26"/>
        <v>0</v>
      </c>
      <c r="Q111" s="665"/>
      <c r="R111" s="233">
        <f t="shared" si="29"/>
        <v>0</v>
      </c>
      <c r="S111" s="234">
        <f>IF(Levante!$N$1&gt;0,O111*$B$1/H111,0)</f>
        <v>0</v>
      </c>
      <c r="T111" s="238">
        <f>IF(SUM(H111:H111)&gt;0,SUM(U111:U111)/SUM(H111:H111),0)</f>
        <v>0</v>
      </c>
      <c r="U111" s="238">
        <f t="shared" si="27"/>
        <v>0</v>
      </c>
      <c r="V111" s="1212">
        <f>IF(Fnac="",0,IFERROR(LOOKUP(Linea,TL!$BY$5:$CJ$5,TL!BY111:CJ111),0))</f>
        <v>0</v>
      </c>
      <c r="W111" s="1779" t="str">
        <f>$W$6</f>
        <v xml:space="preserve">Gr. Ave Dia : </v>
      </c>
      <c r="X111" s="1781">
        <f>IF(AND(COUNT(O111:O116)&gt;0,O117&gt;0),T117,S117)</f>
        <v>0</v>
      </c>
      <c r="Y111" s="1219">
        <f>IFERROR(LOOKUP(B111,TL!$A$6:$A$23,GSh!$O$6:$O$23),0)</f>
        <v>0</v>
      </c>
      <c r="Z111" s="1783">
        <f>IF(AND(Y111&gt;0,Y112&gt;0,X111&gt;0),(X111-(IF(X111&gt;Y112,Y112,IF(X111&lt;Y111,Y111,X111))))/(IF(X111&gt;Y112,Y112,IF(X111&lt;Y111,Y111,X111)))*100,0)</f>
        <v>0</v>
      </c>
      <c r="AA111" s="235">
        <f>IF($AB$3="NO",0,ROUNDDOWN(SUM($O$6:O111)/IF(Iniciar!$C$10="kilos",40,1),0)-SUM($AA$6:$AA110))</f>
        <v>0</v>
      </c>
      <c r="AB111" s="667"/>
      <c r="AC111" s="667"/>
      <c r="AD111" s="236">
        <f t="shared" si="30"/>
        <v>0</v>
      </c>
      <c r="AE111" s="670"/>
      <c r="AF111" s="1222"/>
      <c r="AG111" s="1822"/>
      <c r="AH111" s="1821">
        <f>AH104+1</f>
        <v>16</v>
      </c>
      <c r="AI111" s="538">
        <f>SUMPRODUCT(O111:O117,M111:M117)</f>
        <v>0</v>
      </c>
      <c r="AJ111" s="199">
        <f>VLOOKUP(C111,Manejos!$C$10:$M$101,11,FALSE)</f>
        <v>0</v>
      </c>
      <c r="AK111" s="998">
        <f t="shared" si="19"/>
        <v>0</v>
      </c>
      <c r="AL111"/>
      <c r="AM111"/>
    </row>
    <row r="112" spans="1:39" s="219" customFormat="1" ht="13.5" customHeight="1" x14ac:dyDescent="0.3">
      <c r="A112" s="534">
        <f t="shared" si="20"/>
        <v>16</v>
      </c>
      <c r="B112" s="1839"/>
      <c r="C112" s="230" t="str">
        <f t="shared" si="24"/>
        <v/>
      </c>
      <c r="D112" s="231" t="e">
        <f t="shared" si="25"/>
        <v>#VALUE!</v>
      </c>
      <c r="E112" s="658"/>
      <c r="F112" s="658"/>
      <c r="G112" s="659"/>
      <c r="H112" s="246">
        <f t="shared" si="28"/>
        <v>0</v>
      </c>
      <c r="I112" s="1210" t="str">
        <f>$I$7</f>
        <v>T. Salidas Acm :</v>
      </c>
      <c r="J112" s="1211">
        <f>J105+J111</f>
        <v>0</v>
      </c>
      <c r="K112" s="1088"/>
      <c r="L112" s="663"/>
      <c r="M112" s="1086"/>
      <c r="N112" s="664"/>
      <c r="O112" s="665"/>
      <c r="P112" s="232">
        <f t="shared" si="26"/>
        <v>0</v>
      </c>
      <c r="Q112" s="665"/>
      <c r="R112" s="233">
        <f t="shared" si="29"/>
        <v>0</v>
      </c>
      <c r="S112" s="234">
        <f>IF(Levante!$N$1&gt;0,O112*$B$1/H112,0)</f>
        <v>0</v>
      </c>
      <c r="T112" s="238">
        <f>IF(SUM(H111:H112)&gt;0,SUM(U111:U112)/SUM(H111:H112),0)</f>
        <v>0</v>
      </c>
      <c r="U112" s="238">
        <f t="shared" si="27"/>
        <v>0</v>
      </c>
      <c r="V112" s="1212">
        <f>IF(Fnac="",0,IFERROR(LOOKUP(Linea,TL!$BY$5:$CJ$5,TL!BY112:CJ112),0))</f>
        <v>0</v>
      </c>
      <c r="W112" s="1780"/>
      <c r="X112" s="1782"/>
      <c r="Y112" s="997">
        <f>IFERROR(LOOKUP(B111,TL!$A$6:$A$23,GSh!$P$6:$P$23),0)</f>
        <v>0</v>
      </c>
      <c r="Z112" s="1784">
        <f>IF(AND(X112&gt;0,Y112&gt;0,W112&gt;0),(W112-(IF(W112&gt;Y112,Y112,IF(W112&lt;X112,X112,W112))))/(IF(W112&gt;Y112,Y112,IF(W112&lt;X112,X112,W112)))*100,0)</f>
        <v>0</v>
      </c>
      <c r="AA112" s="235">
        <f>IF($AB$3="NO",0,ROUNDDOWN(SUM($O$6:O112)/IF(Iniciar!$C$10="kilos",40,1),0)-SUM($AA$6:$AA111))</f>
        <v>0</v>
      </c>
      <c r="AB112" s="667"/>
      <c r="AC112" s="667"/>
      <c r="AD112" s="236">
        <f t="shared" si="30"/>
        <v>0</v>
      </c>
      <c r="AE112" s="670"/>
      <c r="AF112" s="1222"/>
      <c r="AG112" s="1822"/>
      <c r="AH112" s="1821"/>
      <c r="AI112" s="199"/>
      <c r="AJ112" s="199">
        <f>VLOOKUP(C112,Manejos!$C$10:$M$101,11,FALSE)</f>
        <v>0</v>
      </c>
      <c r="AK112" s="998">
        <f t="shared" si="19"/>
        <v>0</v>
      </c>
      <c r="AL112"/>
      <c r="AM112"/>
    </row>
    <row r="113" spans="1:39" s="219" customFormat="1" ht="13.5" customHeight="1" x14ac:dyDescent="0.25">
      <c r="A113" s="534">
        <f t="shared" si="20"/>
        <v>16</v>
      </c>
      <c r="B113" s="1839"/>
      <c r="C113" s="230" t="str">
        <f t="shared" si="24"/>
        <v/>
      </c>
      <c r="D113" s="231" t="e">
        <f t="shared" si="25"/>
        <v>#VALUE!</v>
      </c>
      <c r="E113" s="658"/>
      <c r="F113" s="658"/>
      <c r="G113" s="659"/>
      <c r="H113" s="246">
        <f t="shared" si="28"/>
        <v>0</v>
      </c>
      <c r="I113" s="1213" t="str">
        <f>$I$8</f>
        <v>Saldo Aves :</v>
      </c>
      <c r="J113" s="1214">
        <f>H117</f>
        <v>0</v>
      </c>
      <c r="K113" s="1088"/>
      <c r="L113" s="663"/>
      <c r="M113" s="1086"/>
      <c r="N113" s="664"/>
      <c r="O113" s="665"/>
      <c r="P113" s="232">
        <f t="shared" si="26"/>
        <v>0</v>
      </c>
      <c r="Q113" s="665"/>
      <c r="R113" s="233">
        <f t="shared" si="29"/>
        <v>0</v>
      </c>
      <c r="S113" s="234">
        <f>IF(Levante!$N$1&gt;0,O113*$B$1/H113,0)</f>
        <v>0</v>
      </c>
      <c r="T113" s="238">
        <f>IF(SUM(H111:H113)&gt;0,SUM(U111:U113)/SUM(H111:H113),0)</f>
        <v>0</v>
      </c>
      <c r="U113" s="238">
        <f t="shared" si="27"/>
        <v>0</v>
      </c>
      <c r="V113" s="1212">
        <f>IF(Fnac="",0,IFERROR(LOOKUP(Linea,TL!$BY$5:$CJ$5,TL!BY113:CJ113),0))</f>
        <v>0</v>
      </c>
      <c r="W113" s="1785" t="str">
        <f>$W$8</f>
        <v xml:space="preserve">Gr. Ave Acu : </v>
      </c>
      <c r="X113" s="1775">
        <f>X106+X111*7</f>
        <v>0</v>
      </c>
      <c r="Y113" s="992">
        <f>IFERROR(LOOKUP(B111,TL!$A$6:$A$23,GSh!$V$6:$V$23),0)</f>
        <v>0</v>
      </c>
      <c r="Z113" s="1777">
        <f>IF(AND(Y113&gt;0,Y114&gt;0,X113&gt;0),(X113-(IF(X113&gt;Y114,Y114,IF(X113&lt;Y113,Y113,X113))))/(IF(X113&gt;Y114,Y114,IF(X113&lt;Y113,Y113,X113)))*100,0)</f>
        <v>0</v>
      </c>
      <c r="AA113" s="235">
        <f>IF($AB$3="NO",0,ROUNDDOWN(SUM($O$6:O113)/IF(Iniciar!$C$10="kilos",40,1),0)-SUM($AA$6:$AA112))</f>
        <v>0</v>
      </c>
      <c r="AB113" s="667"/>
      <c r="AC113" s="667"/>
      <c r="AD113" s="236">
        <f t="shared" si="30"/>
        <v>0</v>
      </c>
      <c r="AE113" s="670"/>
      <c r="AF113" s="1222"/>
      <c r="AG113" s="1822"/>
      <c r="AH113" s="1821"/>
      <c r="AI113" s="199"/>
      <c r="AJ113" s="199">
        <f>VLOOKUP(C113,Manejos!$C$10:$M$101,11,FALSE)</f>
        <v>0</v>
      </c>
      <c r="AK113" s="998">
        <f t="shared" si="19"/>
        <v>0</v>
      </c>
      <c r="AL113"/>
      <c r="AM113"/>
    </row>
    <row r="114" spans="1:39" s="219" customFormat="1" ht="14.25" customHeight="1" x14ac:dyDescent="0.3">
      <c r="A114" s="534">
        <f t="shared" si="20"/>
        <v>16</v>
      </c>
      <c r="B114" s="1839"/>
      <c r="C114" s="230" t="str">
        <f t="shared" si="24"/>
        <v/>
      </c>
      <c r="D114" s="231" t="e">
        <f t="shared" si="25"/>
        <v>#VALUE!</v>
      </c>
      <c r="E114" s="658"/>
      <c r="F114" s="658"/>
      <c r="G114" s="659"/>
      <c r="H114" s="246">
        <f t="shared" si="28"/>
        <v>0</v>
      </c>
      <c r="I114" s="1217" t="str">
        <f>$I$9</f>
        <v>% Mort/Sel Sem :</v>
      </c>
      <c r="J114" s="1216">
        <f>IF(Levante!$N$1&gt;0,SUM(E111:F117)/Levante!$N$1,0)</f>
        <v>0</v>
      </c>
      <c r="K114" s="1088"/>
      <c r="L114" s="663"/>
      <c r="M114" s="1086"/>
      <c r="N114" s="664"/>
      <c r="O114" s="665"/>
      <c r="P114" s="232">
        <f t="shared" si="26"/>
        <v>0</v>
      </c>
      <c r="Q114" s="665"/>
      <c r="R114" s="233">
        <f t="shared" si="29"/>
        <v>0</v>
      </c>
      <c r="S114" s="234">
        <f>IF(Levante!$N$1&gt;0,O114*$B$1/H114,0)</f>
        <v>0</v>
      </c>
      <c r="T114" s="238">
        <f>IF(SUM(H111:H114)&gt;0,SUM(U111:U114)/SUM(H111:H114),0)</f>
        <v>0</v>
      </c>
      <c r="U114" s="238">
        <f t="shared" si="27"/>
        <v>0</v>
      </c>
      <c r="V114" s="1212">
        <f>IF(Fnac="",0,IFERROR(LOOKUP(Linea,TL!$BY$5:$CJ$5,TL!BY114:CJ114),0))</f>
        <v>0</v>
      </c>
      <c r="W114" s="1786"/>
      <c r="X114" s="1776"/>
      <c r="Y114" s="993">
        <f>IFERROR(LOOKUP(B111,TL!$A$6:$A$23,GSh!$W$6:$W$23),0)</f>
        <v>0</v>
      </c>
      <c r="Z114" s="1778">
        <f>IF(AND(X114&gt;0,Y114&gt;0,W114&gt;0),(W114-(IF(W114&gt;Y114,Y114,IF(W114&lt;X114,X114,W114))))/(IF(W114&gt;Y114,Y114,IF(W114&lt;X114,X114,W114)))*100,0)</f>
        <v>0</v>
      </c>
      <c r="AA114" s="235">
        <f>IF($AB$3="NO",0,ROUNDDOWN(SUM($O$6:O114)/IF(Iniciar!$C$10="kilos",40,1),0)-SUM($AA$6:$AA113))</f>
        <v>0</v>
      </c>
      <c r="AB114" s="667"/>
      <c r="AC114" s="667"/>
      <c r="AD114" s="236">
        <f t="shared" si="30"/>
        <v>0</v>
      </c>
      <c r="AE114" s="670"/>
      <c r="AF114" s="1222"/>
      <c r="AG114" s="1822"/>
      <c r="AH114" s="1821"/>
      <c r="AI114" s="199"/>
      <c r="AJ114" s="199">
        <f>VLOOKUP(C114,Manejos!$C$10:$M$101,11,FALSE)</f>
        <v>0</v>
      </c>
      <c r="AK114" s="998">
        <f t="shared" si="19"/>
        <v>0</v>
      </c>
      <c r="AL114"/>
      <c r="AM114"/>
    </row>
    <row r="115" spans="1:39" s="219" customFormat="1" ht="13.5" customHeight="1" x14ac:dyDescent="0.3">
      <c r="A115" s="534">
        <f t="shared" si="20"/>
        <v>16</v>
      </c>
      <c r="B115" s="1839"/>
      <c r="C115" s="230" t="str">
        <f t="shared" si="24"/>
        <v/>
      </c>
      <c r="D115" s="231" t="e">
        <f t="shared" si="25"/>
        <v>#VALUE!</v>
      </c>
      <c r="E115" s="658"/>
      <c r="F115" s="658"/>
      <c r="G115" s="659"/>
      <c r="H115" s="246">
        <f t="shared" si="28"/>
        <v>0</v>
      </c>
      <c r="I115" s="1217" t="str">
        <f>$I$10</f>
        <v>% Mort/Sel Sem Tab :</v>
      </c>
      <c r="J115" s="1216">
        <f>J117-J110</f>
        <v>5.9999999999999984E-4</v>
      </c>
      <c r="K115" s="1088"/>
      <c r="L115" s="663"/>
      <c r="M115" s="1086"/>
      <c r="N115" s="664"/>
      <c r="O115" s="665"/>
      <c r="P115" s="232">
        <f t="shared" si="26"/>
        <v>0</v>
      </c>
      <c r="Q115" s="665"/>
      <c r="R115" s="233">
        <f t="shared" si="29"/>
        <v>0</v>
      </c>
      <c r="S115" s="234">
        <f>IF(Levante!$N$1&gt;0,O115*$B$1/H115,0)</f>
        <v>0</v>
      </c>
      <c r="T115" s="238">
        <f>IF(SUM(H111:H115)&gt;0,SUM(U111:U115)/SUM(H111:H115),0)</f>
        <v>0</v>
      </c>
      <c r="U115" s="238">
        <f t="shared" si="27"/>
        <v>0</v>
      </c>
      <c r="V115" s="1212">
        <f>IF(Fnac="",0,IFERROR(LOOKUP(Linea,TL!$BY$5:$CJ$5,TL!BY115:CJ115),0))</f>
        <v>0</v>
      </c>
      <c r="W115" s="1793" t="str">
        <f>$W$10</f>
        <v xml:space="preserve">Total Litros Sem: </v>
      </c>
      <c r="X115" s="1794"/>
      <c r="Y115" s="1787">
        <f>SUM(K111:K117)</f>
        <v>0</v>
      </c>
      <c r="Z115" s="1788"/>
      <c r="AA115" s="235">
        <f>IF($AB$3="NO",0,ROUNDDOWN(SUM($O$6:O115)/IF(Iniciar!$C$10="kilos",40,1),0)-SUM($AA$6:$AA114))</f>
        <v>0</v>
      </c>
      <c r="AB115" s="667"/>
      <c r="AC115" s="667"/>
      <c r="AD115" s="236">
        <f t="shared" si="30"/>
        <v>0</v>
      </c>
      <c r="AE115" s="670"/>
      <c r="AF115" s="1222"/>
      <c r="AG115" s="1822"/>
      <c r="AH115" s="1821"/>
      <c r="AI115" s="199"/>
      <c r="AJ115" s="199">
        <f>VLOOKUP(C115,Manejos!$C$10:$M$101,11,FALSE)</f>
        <v>0</v>
      </c>
      <c r="AK115" s="998">
        <f t="shared" si="19"/>
        <v>0</v>
      </c>
      <c r="AL115"/>
      <c r="AM115"/>
    </row>
    <row r="116" spans="1:39" s="219" customFormat="1" ht="13.5" customHeight="1" x14ac:dyDescent="0.3">
      <c r="A116" s="534">
        <f t="shared" si="20"/>
        <v>16</v>
      </c>
      <c r="B116" s="1839"/>
      <c r="C116" s="230" t="str">
        <f t="shared" si="24"/>
        <v/>
      </c>
      <c r="D116" s="231" t="e">
        <f t="shared" si="25"/>
        <v>#VALUE!</v>
      </c>
      <c r="E116" s="658"/>
      <c r="F116" s="658"/>
      <c r="G116" s="659"/>
      <c r="H116" s="246">
        <f t="shared" si="28"/>
        <v>0</v>
      </c>
      <c r="I116" s="1217" t="str">
        <f>$I$11</f>
        <v>% Mort/Sel Acum :</v>
      </c>
      <c r="J116" s="1216">
        <f>IF(Levante!$N$1&gt;0,SUM($E$6:F117)/Levante!$N$1,0)</f>
        <v>0</v>
      </c>
      <c r="K116" s="1088"/>
      <c r="L116" s="663"/>
      <c r="M116" s="1086"/>
      <c r="N116" s="664"/>
      <c r="O116" s="665"/>
      <c r="P116" s="232">
        <f t="shared" si="26"/>
        <v>0</v>
      </c>
      <c r="Q116" s="665"/>
      <c r="R116" s="233">
        <f t="shared" si="29"/>
        <v>0</v>
      </c>
      <c r="S116" s="234">
        <f>IF(Levante!$N$1&gt;0,O116*$B$1/H116,0)</f>
        <v>0</v>
      </c>
      <c r="T116" s="238">
        <f>IF(SUM(H111:H116)&gt;0,SUM(U111:U116)/SUM(H111:H116),0)</f>
        <v>0</v>
      </c>
      <c r="U116" s="238">
        <f t="shared" si="27"/>
        <v>0</v>
      </c>
      <c r="V116" s="1212">
        <f>IF(Fnac="",0,IFERROR(LOOKUP(Linea,TL!$BY$5:$CJ$5,TL!BY116:CJ116),0))</f>
        <v>0</v>
      </c>
      <c r="W116" s="1795" t="str">
        <f>$W$11</f>
        <v xml:space="preserve">Cons ml /ave día: </v>
      </c>
      <c r="X116" s="1796"/>
      <c r="Y116" s="1789">
        <f>IFERROR(Y115/7*1000/H117,0)</f>
        <v>0</v>
      </c>
      <c r="Z116" s="1790"/>
      <c r="AA116" s="235">
        <f>IF($AB$3="NO",0,ROUNDDOWN(SUM($O$6:O116)/IF(Iniciar!$C$10="kilos",40,1),0)-SUM($AA$6:$AA115))</f>
        <v>0</v>
      </c>
      <c r="AB116" s="667"/>
      <c r="AC116" s="667"/>
      <c r="AD116" s="236">
        <f t="shared" si="30"/>
        <v>0</v>
      </c>
      <c r="AE116" s="670"/>
      <c r="AF116" s="1222"/>
      <c r="AG116" s="1822"/>
      <c r="AH116" s="1821"/>
      <c r="AI116" s="199"/>
      <c r="AJ116" s="199">
        <f>VLOOKUP(C116,Manejos!$C$10:$M$101,11,FALSE)</f>
        <v>0</v>
      </c>
      <c r="AK116" s="998">
        <f t="shared" si="19"/>
        <v>0</v>
      </c>
      <c r="AL116"/>
      <c r="AM116"/>
    </row>
    <row r="117" spans="1:39" s="219" customFormat="1" ht="13.5" customHeight="1" x14ac:dyDescent="0.3">
      <c r="A117" s="534">
        <f t="shared" si="20"/>
        <v>16</v>
      </c>
      <c r="B117" s="1840"/>
      <c r="C117" s="230" t="str">
        <f t="shared" si="24"/>
        <v/>
      </c>
      <c r="D117" s="231" t="e">
        <f t="shared" si="25"/>
        <v>#VALUE!</v>
      </c>
      <c r="E117" s="658"/>
      <c r="F117" s="658"/>
      <c r="G117" s="659"/>
      <c r="H117" s="246">
        <f t="shared" si="28"/>
        <v>0</v>
      </c>
      <c r="I117" s="1217" t="str">
        <f>$I$12</f>
        <v>% Mort/Sel Acm Tab :</v>
      </c>
      <c r="J117" s="1216">
        <f>$E$3*0.0094</f>
        <v>1.8800000000000001E-2</v>
      </c>
      <c r="K117" s="1088"/>
      <c r="L117" s="663"/>
      <c r="M117" s="1086"/>
      <c r="N117" s="664"/>
      <c r="O117" s="665"/>
      <c r="P117" s="232">
        <f t="shared" si="26"/>
        <v>0</v>
      </c>
      <c r="Q117" s="665"/>
      <c r="R117" s="233">
        <f t="shared" si="29"/>
        <v>0</v>
      </c>
      <c r="S117" s="234">
        <f>IF(Levante!$N$1&gt;0,O117/IF(SUM(O111:O116)=0,7,1)*$B$1/H117,0)</f>
        <v>0</v>
      </c>
      <c r="T117" s="238">
        <f>IF(SUM(H111:H117)&gt;0,SUM(U111:U117)/SUM(H111:H117),0)</f>
        <v>0</v>
      </c>
      <c r="U117" s="238">
        <f t="shared" si="27"/>
        <v>0</v>
      </c>
      <c r="V117" s="1212">
        <f>IF(Fnac="",0,IFERROR(LOOKUP(Linea,TL!$BY$5:$CJ$5,TL!BY117:CJ117),0))</f>
        <v>0</v>
      </c>
      <c r="W117" s="1825" t="str">
        <f>$W$12</f>
        <v xml:space="preserve">Relación Agua /Alimto: </v>
      </c>
      <c r="X117" s="1826"/>
      <c r="Y117" s="1791">
        <f>IFERROR(Y116/X111,0)</f>
        <v>0</v>
      </c>
      <c r="Z117" s="1792"/>
      <c r="AA117" s="235">
        <f>IF($AB$3="NO",0,ROUNDDOWN(SUM($O$6:O117)/IF(Iniciar!$C$10="kilos",40,1),0)-SUM($AA$6:$AA116))</f>
        <v>0</v>
      </c>
      <c r="AB117" s="667"/>
      <c r="AC117" s="667"/>
      <c r="AD117" s="236">
        <f t="shared" si="30"/>
        <v>0</v>
      </c>
      <c r="AE117" s="670"/>
      <c r="AF117" s="1222"/>
      <c r="AG117" s="1822"/>
      <c r="AH117" s="1821"/>
      <c r="AI117" s="199">
        <f>IF(OR(J111&gt;0,X111&gt;0),B110,AI110)</f>
        <v>0</v>
      </c>
      <c r="AJ117" s="199">
        <f>VLOOKUP(C117,Manejos!$C$10:$M$101,11,FALSE)</f>
        <v>0</v>
      </c>
      <c r="AK117" s="998">
        <f t="shared" si="19"/>
        <v>0</v>
      </c>
      <c r="AL117"/>
      <c r="AM117"/>
    </row>
    <row r="118" spans="1:39" s="219" customFormat="1" ht="13.5" customHeight="1" x14ac:dyDescent="0.3">
      <c r="A118" s="534">
        <f>B118</f>
        <v>17</v>
      </c>
      <c r="B118" s="1838">
        <f>B111+1</f>
        <v>17</v>
      </c>
      <c r="C118" s="230" t="str">
        <f t="shared" si="24"/>
        <v/>
      </c>
      <c r="D118" s="231" t="e">
        <f t="shared" si="25"/>
        <v>#VALUE!</v>
      </c>
      <c r="E118" s="658"/>
      <c r="F118" s="658"/>
      <c r="G118" s="659"/>
      <c r="H118" s="246">
        <f t="shared" si="28"/>
        <v>0</v>
      </c>
      <c r="I118" s="1210" t="str">
        <f>$I$6</f>
        <v>T. Salidas Sem :</v>
      </c>
      <c r="J118" s="1211">
        <f>SUMIF(E118:G124,"&gt;0")</f>
        <v>0</v>
      </c>
      <c r="K118" s="1088"/>
      <c r="L118" s="663"/>
      <c r="M118" s="1086"/>
      <c r="N118" s="664"/>
      <c r="O118" s="665"/>
      <c r="P118" s="232">
        <f t="shared" si="26"/>
        <v>0</v>
      </c>
      <c r="Q118" s="665"/>
      <c r="R118" s="233">
        <f t="shared" si="29"/>
        <v>0</v>
      </c>
      <c r="S118" s="234">
        <f>IF(Levante!$N$1&gt;0,O118*$B$1/H118,0)</f>
        <v>0</v>
      </c>
      <c r="T118" s="238">
        <f>IF(SUM(H118:H118)&gt;0,SUM(U118:U118)/SUM(H118:H118),0)</f>
        <v>0</v>
      </c>
      <c r="U118" s="238">
        <f t="shared" si="27"/>
        <v>0</v>
      </c>
      <c r="V118" s="1212">
        <f>IF(Fnac="",0,IFERROR(LOOKUP(Linea,TL!$BY$5:$CJ$5,TL!BY118:CJ118),0))</f>
        <v>0</v>
      </c>
      <c r="W118" s="1779" t="str">
        <f>$W$6</f>
        <v xml:space="preserve">Gr. Ave Dia : </v>
      </c>
      <c r="X118" s="1781">
        <f>IF(AND(COUNT(O118:O123)&gt;0,O124&gt;0),T124,S124)</f>
        <v>0</v>
      </c>
      <c r="Y118" s="1219">
        <f>IFERROR(LOOKUP(B118,TL!$A$6:$A$23,GSh!$O$6:$O$23),0)</f>
        <v>0</v>
      </c>
      <c r="Z118" s="1783">
        <f>IF(AND(Y118&gt;0,Y119&gt;0,X118&gt;0),(X118-(IF(X118&gt;Y119,Y119,IF(X118&lt;Y118,Y118,X118))))/(IF(X118&gt;Y119,Y119,IF(X118&lt;Y118,Y118,X118)))*100,0)</f>
        <v>0</v>
      </c>
      <c r="AA118" s="235">
        <f>IF($AB$3="NO",0,ROUNDDOWN(SUM($O$6:O118)/IF(Iniciar!$C$10="kilos",40,1),0)-SUM($AA$6:$AA117))</f>
        <v>0</v>
      </c>
      <c r="AB118" s="667"/>
      <c r="AC118" s="667"/>
      <c r="AD118" s="236">
        <f t="shared" si="30"/>
        <v>0</v>
      </c>
      <c r="AE118" s="670"/>
      <c r="AF118" s="1222"/>
      <c r="AG118" s="1822"/>
      <c r="AH118" s="1821">
        <f>AH111+1</f>
        <v>17</v>
      </c>
      <c r="AI118" s="538">
        <f>SUMPRODUCT(O118:O124,M118:M124)</f>
        <v>0</v>
      </c>
      <c r="AJ118" s="199">
        <f>VLOOKUP(C118,Manejos!$C$10:$M$101,11,FALSE)</f>
        <v>0</v>
      </c>
      <c r="AK118" s="998">
        <f t="shared" si="19"/>
        <v>0</v>
      </c>
      <c r="AL118"/>
      <c r="AM118"/>
    </row>
    <row r="119" spans="1:39" s="219" customFormat="1" ht="13.5" customHeight="1" x14ac:dyDescent="0.3">
      <c r="A119" s="534">
        <f t="shared" si="20"/>
        <v>17</v>
      </c>
      <c r="B119" s="1839"/>
      <c r="C119" s="230" t="str">
        <f t="shared" si="24"/>
        <v/>
      </c>
      <c r="D119" s="231" t="e">
        <f t="shared" si="25"/>
        <v>#VALUE!</v>
      </c>
      <c r="E119" s="658"/>
      <c r="F119" s="658"/>
      <c r="G119" s="659"/>
      <c r="H119" s="246">
        <f t="shared" si="28"/>
        <v>0</v>
      </c>
      <c r="I119" s="1210" t="str">
        <f>$I$7</f>
        <v>T. Salidas Acm :</v>
      </c>
      <c r="J119" s="1211">
        <f>J112+J118</f>
        <v>0</v>
      </c>
      <c r="K119" s="1088"/>
      <c r="L119" s="663"/>
      <c r="M119" s="1086"/>
      <c r="N119" s="664"/>
      <c r="O119" s="665"/>
      <c r="P119" s="232">
        <f t="shared" si="26"/>
        <v>0</v>
      </c>
      <c r="Q119" s="665"/>
      <c r="R119" s="233">
        <f t="shared" si="29"/>
        <v>0</v>
      </c>
      <c r="S119" s="234">
        <f>IF(Levante!$N$1&gt;0,O119*$B$1/H119,0)</f>
        <v>0</v>
      </c>
      <c r="T119" s="238">
        <f>IF(SUM(H118:H119)&gt;0,SUM(U118:U119)/SUM(H118:H119),0)</f>
        <v>0</v>
      </c>
      <c r="U119" s="238">
        <f t="shared" si="27"/>
        <v>0</v>
      </c>
      <c r="V119" s="1212">
        <f>IF(Fnac="",0,IFERROR(LOOKUP(Linea,TL!$BY$5:$CJ$5,TL!BY119:CJ119),0))</f>
        <v>0</v>
      </c>
      <c r="W119" s="1780"/>
      <c r="X119" s="1782"/>
      <c r="Y119" s="997">
        <f>IFERROR(LOOKUP(B118,TL!$A$6:$A$23,GSh!$P$6:$P$23),0)</f>
        <v>0</v>
      </c>
      <c r="Z119" s="1784">
        <f>IF(AND(X119&gt;0,Y119&gt;0,W119&gt;0),(W119-(IF(W119&gt;Y119,Y119,IF(W119&lt;X119,X119,W119))))/(IF(W119&gt;Y119,Y119,IF(W119&lt;X119,X119,W119)))*100,0)</f>
        <v>0</v>
      </c>
      <c r="AA119" s="235">
        <f>IF($AB$3="NO",0,ROUNDDOWN(SUM($O$6:O119)/IF(Iniciar!$C$10="kilos",40,1),0)-SUM($AA$6:$AA118))</f>
        <v>0</v>
      </c>
      <c r="AB119" s="667"/>
      <c r="AC119" s="667"/>
      <c r="AD119" s="236">
        <f t="shared" si="30"/>
        <v>0</v>
      </c>
      <c r="AE119" s="670"/>
      <c r="AF119" s="1222"/>
      <c r="AG119" s="1822"/>
      <c r="AH119" s="1821"/>
      <c r="AI119" s="199"/>
      <c r="AJ119" s="199">
        <f>VLOOKUP(C119,Manejos!$C$10:$M$101,11,FALSE)</f>
        <v>0</v>
      </c>
      <c r="AK119" s="998">
        <f t="shared" si="19"/>
        <v>0</v>
      </c>
      <c r="AL119"/>
      <c r="AM119"/>
    </row>
    <row r="120" spans="1:39" s="219" customFormat="1" ht="13.5" customHeight="1" x14ac:dyDescent="0.25">
      <c r="A120" s="534">
        <f t="shared" si="20"/>
        <v>17</v>
      </c>
      <c r="B120" s="1839"/>
      <c r="C120" s="230" t="str">
        <f t="shared" si="24"/>
        <v/>
      </c>
      <c r="D120" s="231" t="e">
        <f t="shared" si="25"/>
        <v>#VALUE!</v>
      </c>
      <c r="E120" s="658"/>
      <c r="F120" s="658"/>
      <c r="G120" s="659"/>
      <c r="H120" s="246">
        <f t="shared" si="28"/>
        <v>0</v>
      </c>
      <c r="I120" s="1213" t="str">
        <f>$I$8</f>
        <v>Saldo Aves :</v>
      </c>
      <c r="J120" s="1214">
        <f>H124</f>
        <v>0</v>
      </c>
      <c r="K120" s="1088"/>
      <c r="L120" s="663"/>
      <c r="M120" s="1086"/>
      <c r="N120" s="664"/>
      <c r="O120" s="665"/>
      <c r="P120" s="232">
        <f t="shared" si="26"/>
        <v>0</v>
      </c>
      <c r="Q120" s="665"/>
      <c r="R120" s="233">
        <f t="shared" si="29"/>
        <v>0</v>
      </c>
      <c r="S120" s="234">
        <f>IF(Levante!$N$1&gt;0,O120*$B$1/H120,0)</f>
        <v>0</v>
      </c>
      <c r="T120" s="238">
        <f>IF(SUM(H118:H120)&gt;0,SUM(U118:U120)/SUM(H118:H120),0)</f>
        <v>0</v>
      </c>
      <c r="U120" s="238">
        <f t="shared" si="27"/>
        <v>0</v>
      </c>
      <c r="V120" s="1212">
        <f>IF(Fnac="",0,IFERROR(LOOKUP(Linea,TL!$BY$5:$CJ$5,TL!BY120:CJ120),0))</f>
        <v>0</v>
      </c>
      <c r="W120" s="1785" t="str">
        <f>$W$8</f>
        <v xml:space="preserve">Gr. Ave Acu : </v>
      </c>
      <c r="X120" s="1775">
        <f>X113+X118*7</f>
        <v>0</v>
      </c>
      <c r="Y120" s="992">
        <f>IFERROR(LOOKUP(B118,TL!$A$6:$A$23,GSh!$V$6:$V$23),0)</f>
        <v>0</v>
      </c>
      <c r="Z120" s="1777">
        <f>IF(AND(Y120&gt;0,Y121&gt;0,X120&gt;0),(X120-(IF(X120&gt;Y121,Y121,IF(X120&lt;Y120,Y120,X120))))/(IF(X120&gt;Y121,Y121,IF(X120&lt;Y120,Y120,X120)))*100,0)</f>
        <v>0</v>
      </c>
      <c r="AA120" s="235">
        <f>IF($AB$3="NO",0,ROUNDDOWN(SUM($O$6:O120)/IF(Iniciar!$C$10="kilos",40,1),0)-SUM($AA$6:$AA119))</f>
        <v>0</v>
      </c>
      <c r="AB120" s="667"/>
      <c r="AC120" s="667"/>
      <c r="AD120" s="236">
        <f t="shared" si="30"/>
        <v>0</v>
      </c>
      <c r="AE120" s="670"/>
      <c r="AF120" s="1222"/>
      <c r="AG120" s="1822"/>
      <c r="AH120" s="1821"/>
      <c r="AI120" s="199"/>
      <c r="AJ120" s="199">
        <f>VLOOKUP(C120,Manejos!$C$10:$M$101,11,FALSE)</f>
        <v>0</v>
      </c>
      <c r="AK120" s="998">
        <f t="shared" si="19"/>
        <v>0</v>
      </c>
      <c r="AL120"/>
      <c r="AM120"/>
    </row>
    <row r="121" spans="1:39" s="219" customFormat="1" ht="13.5" customHeight="1" x14ac:dyDescent="0.3">
      <c r="A121" s="534">
        <f t="shared" si="20"/>
        <v>17</v>
      </c>
      <c r="B121" s="1839"/>
      <c r="C121" s="230" t="str">
        <f t="shared" si="24"/>
        <v/>
      </c>
      <c r="D121" s="231" t="e">
        <f t="shared" si="25"/>
        <v>#VALUE!</v>
      </c>
      <c r="E121" s="658"/>
      <c r="F121" s="658"/>
      <c r="G121" s="659"/>
      <c r="H121" s="246">
        <f t="shared" si="28"/>
        <v>0</v>
      </c>
      <c r="I121" s="1217" t="str">
        <f>$I$9</f>
        <v>% Mort/Sel Sem :</v>
      </c>
      <c r="J121" s="1216">
        <f>IF(Levante!$N$1&gt;0,SUM(E118:F124)/Levante!$N$1,0)</f>
        <v>0</v>
      </c>
      <c r="K121" s="1088"/>
      <c r="L121" s="663"/>
      <c r="M121" s="1086"/>
      <c r="N121" s="664"/>
      <c r="O121" s="665"/>
      <c r="P121" s="232">
        <f t="shared" si="26"/>
        <v>0</v>
      </c>
      <c r="Q121" s="665"/>
      <c r="R121" s="233">
        <f t="shared" si="29"/>
        <v>0</v>
      </c>
      <c r="S121" s="234">
        <f>IF(Levante!$N$1&gt;0,O121*$B$1/H121,0)</f>
        <v>0</v>
      </c>
      <c r="T121" s="238">
        <f>IF(SUM(H118:H121)&gt;0,SUM(U118:U121)/SUM(H118:H121),0)</f>
        <v>0</v>
      </c>
      <c r="U121" s="238">
        <f t="shared" si="27"/>
        <v>0</v>
      </c>
      <c r="V121" s="1212">
        <f>IF(Fnac="",0,IFERROR(LOOKUP(Linea,TL!$BY$5:$CJ$5,TL!BY121:CJ121),0))</f>
        <v>0</v>
      </c>
      <c r="W121" s="1786"/>
      <c r="X121" s="1776"/>
      <c r="Y121" s="993">
        <f>IFERROR(LOOKUP(B118,TL!$A$6:$A$23,GSh!$W$6:$W$23),0)</f>
        <v>0</v>
      </c>
      <c r="Z121" s="1778">
        <f>IF(AND(X121&gt;0,Y121&gt;0,W121&gt;0),(W121-(IF(W121&gt;Y121,Y121,IF(W121&lt;X121,X121,W121))))/(IF(W121&gt;Y121,Y121,IF(W121&lt;X121,X121,W121)))*100,0)</f>
        <v>0</v>
      </c>
      <c r="AA121" s="235">
        <f>IF($AB$3="NO",0,ROUNDDOWN(SUM($O$6:O121)/IF(Iniciar!$C$10="kilos",40,1),0)-SUM($AA$6:$AA120))</f>
        <v>0</v>
      </c>
      <c r="AB121" s="667"/>
      <c r="AC121" s="667"/>
      <c r="AD121" s="236">
        <f t="shared" si="30"/>
        <v>0</v>
      </c>
      <c r="AE121" s="670"/>
      <c r="AF121" s="1222"/>
      <c r="AG121" s="1822"/>
      <c r="AH121" s="1821"/>
      <c r="AI121" s="199"/>
      <c r="AJ121" s="199">
        <f>VLOOKUP(C121,Manejos!$C$10:$M$101,11,FALSE)</f>
        <v>0</v>
      </c>
      <c r="AK121" s="998">
        <f t="shared" si="19"/>
        <v>0</v>
      </c>
      <c r="AL121"/>
      <c r="AM121"/>
    </row>
    <row r="122" spans="1:39" s="219" customFormat="1" ht="14.25" customHeight="1" x14ac:dyDescent="0.3">
      <c r="A122" s="534">
        <f t="shared" si="20"/>
        <v>17</v>
      </c>
      <c r="B122" s="1839"/>
      <c r="C122" s="230" t="str">
        <f t="shared" si="24"/>
        <v/>
      </c>
      <c r="D122" s="231" t="e">
        <f t="shared" si="25"/>
        <v>#VALUE!</v>
      </c>
      <c r="E122" s="658"/>
      <c r="F122" s="658"/>
      <c r="G122" s="659"/>
      <c r="H122" s="246">
        <f t="shared" si="28"/>
        <v>0</v>
      </c>
      <c r="I122" s="1217" t="str">
        <f>$I$10</f>
        <v>% Mort/Sel Sem Tab :</v>
      </c>
      <c r="J122" s="1216">
        <f>J124-J117</f>
        <v>5.9999999999999984E-4</v>
      </c>
      <c r="K122" s="1088"/>
      <c r="L122" s="663"/>
      <c r="M122" s="1086"/>
      <c r="N122" s="664"/>
      <c r="O122" s="665"/>
      <c r="P122" s="232">
        <f t="shared" si="26"/>
        <v>0</v>
      </c>
      <c r="Q122" s="665"/>
      <c r="R122" s="233">
        <f t="shared" si="29"/>
        <v>0</v>
      </c>
      <c r="S122" s="234">
        <f>IF(Levante!$N$1&gt;0,O122*$B$1/H122,0)</f>
        <v>0</v>
      </c>
      <c r="T122" s="238">
        <f>IF(SUM(H118:H122)&gt;0,SUM(U118:U122)/SUM(H118:H122),0)</f>
        <v>0</v>
      </c>
      <c r="U122" s="238">
        <f t="shared" si="27"/>
        <v>0</v>
      </c>
      <c r="V122" s="1212">
        <f>IF(Fnac="",0,IFERROR(LOOKUP(Linea,TL!$BY$5:$CJ$5,TL!BY122:CJ122),0))</f>
        <v>0</v>
      </c>
      <c r="W122" s="1793" t="str">
        <f>$W$10</f>
        <v xml:space="preserve">Total Litros Sem: </v>
      </c>
      <c r="X122" s="1794"/>
      <c r="Y122" s="1787">
        <f>SUM(K118:K124)</f>
        <v>0</v>
      </c>
      <c r="Z122" s="1788"/>
      <c r="AA122" s="235">
        <f>IF($AB$3="NO",0,ROUNDDOWN(SUM($O$6:O122)/IF(Iniciar!$C$10="kilos",40,1),0)-SUM($AA$6:$AA121))</f>
        <v>0</v>
      </c>
      <c r="AB122" s="667"/>
      <c r="AC122" s="667"/>
      <c r="AD122" s="236">
        <f t="shared" si="30"/>
        <v>0</v>
      </c>
      <c r="AE122" s="670"/>
      <c r="AF122" s="1222"/>
      <c r="AG122" s="1822"/>
      <c r="AH122" s="1821"/>
      <c r="AI122" s="199"/>
      <c r="AJ122" s="199">
        <f>VLOOKUP(C122,Manejos!$C$10:$M$101,11,FALSE)</f>
        <v>0</v>
      </c>
      <c r="AK122" s="998">
        <f t="shared" si="19"/>
        <v>0</v>
      </c>
      <c r="AL122"/>
      <c r="AM122"/>
    </row>
    <row r="123" spans="1:39" s="219" customFormat="1" ht="13.5" customHeight="1" x14ac:dyDescent="0.3">
      <c r="A123" s="534">
        <f t="shared" si="20"/>
        <v>17</v>
      </c>
      <c r="B123" s="1839"/>
      <c r="C123" s="230" t="str">
        <f t="shared" si="24"/>
        <v/>
      </c>
      <c r="D123" s="231" t="e">
        <f t="shared" si="25"/>
        <v>#VALUE!</v>
      </c>
      <c r="E123" s="658"/>
      <c r="F123" s="658"/>
      <c r="G123" s="659"/>
      <c r="H123" s="246">
        <f t="shared" si="28"/>
        <v>0</v>
      </c>
      <c r="I123" s="1217" t="str">
        <f>$I$11</f>
        <v>% Mort/Sel Acum :</v>
      </c>
      <c r="J123" s="1216">
        <f>IF(Levante!$N$1&gt;0,SUM($E$6:F124)/Levante!$N$1,0)</f>
        <v>0</v>
      </c>
      <c r="K123" s="1088"/>
      <c r="L123" s="663"/>
      <c r="M123" s="1086"/>
      <c r="N123" s="664"/>
      <c r="O123" s="665"/>
      <c r="P123" s="232">
        <f t="shared" si="26"/>
        <v>0</v>
      </c>
      <c r="Q123" s="665"/>
      <c r="R123" s="233">
        <f t="shared" si="29"/>
        <v>0</v>
      </c>
      <c r="S123" s="234">
        <f>IF(Levante!$N$1&gt;0,O123*$B$1/H123,0)</f>
        <v>0</v>
      </c>
      <c r="T123" s="238">
        <f>IF(SUM(H118:H123)&gt;0,SUM(U118:U123)/SUM(H118:H123),0)</f>
        <v>0</v>
      </c>
      <c r="U123" s="238">
        <f t="shared" si="27"/>
        <v>0</v>
      </c>
      <c r="V123" s="1212">
        <f>IF(Fnac="",0,IFERROR(LOOKUP(Linea,TL!$BY$5:$CJ$5,TL!BY123:CJ123),0))</f>
        <v>0</v>
      </c>
      <c r="W123" s="1795" t="str">
        <f>$W$11</f>
        <v xml:space="preserve">Cons ml /ave día: </v>
      </c>
      <c r="X123" s="1796"/>
      <c r="Y123" s="1789">
        <f>IFERROR(Y122/7*1000/H124,0)</f>
        <v>0</v>
      </c>
      <c r="Z123" s="1790"/>
      <c r="AA123" s="235">
        <f>IF($AB$3="NO",0,ROUNDDOWN(SUM($O$6:O123)/IF(Iniciar!$C$10="kilos",40,1),0)-SUM($AA$6:$AA122))</f>
        <v>0</v>
      </c>
      <c r="AB123" s="667"/>
      <c r="AC123" s="667"/>
      <c r="AD123" s="236">
        <f t="shared" si="30"/>
        <v>0</v>
      </c>
      <c r="AE123" s="670"/>
      <c r="AF123" s="1222"/>
      <c r="AG123" s="1822"/>
      <c r="AH123" s="1821"/>
      <c r="AI123" s="199"/>
      <c r="AJ123" s="199">
        <f>VLOOKUP(C123,Manejos!$C$10:$M$101,11,FALSE)</f>
        <v>0</v>
      </c>
      <c r="AK123" s="998">
        <f t="shared" si="19"/>
        <v>0</v>
      </c>
      <c r="AL123"/>
      <c r="AM123"/>
    </row>
    <row r="124" spans="1:39" s="219" customFormat="1" ht="13.5" customHeight="1" x14ac:dyDescent="0.3">
      <c r="A124" s="534">
        <f t="shared" si="20"/>
        <v>17</v>
      </c>
      <c r="B124" s="1840"/>
      <c r="C124" s="230" t="str">
        <f t="shared" si="24"/>
        <v/>
      </c>
      <c r="D124" s="231" t="e">
        <f t="shared" si="25"/>
        <v>#VALUE!</v>
      </c>
      <c r="E124" s="658"/>
      <c r="F124" s="658"/>
      <c r="G124" s="659"/>
      <c r="H124" s="246">
        <f t="shared" si="28"/>
        <v>0</v>
      </c>
      <c r="I124" s="1217" t="str">
        <f>$I$12</f>
        <v>% Mort/Sel Acm Tab :</v>
      </c>
      <c r="J124" s="1216">
        <f>$E$3*0.0097</f>
        <v>1.9400000000000001E-2</v>
      </c>
      <c r="K124" s="1088"/>
      <c r="L124" s="663"/>
      <c r="M124" s="1086"/>
      <c r="N124" s="664"/>
      <c r="O124" s="665"/>
      <c r="P124" s="232">
        <f t="shared" si="26"/>
        <v>0</v>
      </c>
      <c r="Q124" s="665"/>
      <c r="R124" s="233">
        <f t="shared" si="29"/>
        <v>0</v>
      </c>
      <c r="S124" s="234">
        <f>IF(Levante!$N$1&gt;0,O124/IF(SUM(O118:O123)=0,7,1)*$B$1/H124,0)</f>
        <v>0</v>
      </c>
      <c r="T124" s="238">
        <f>IF(SUM(H118:H124)&gt;0,SUM(U118:U124)/SUM(H118:H124),0)</f>
        <v>0</v>
      </c>
      <c r="U124" s="238">
        <f t="shared" si="27"/>
        <v>0</v>
      </c>
      <c r="V124" s="1212">
        <f>IF(Fnac="",0,IFERROR(LOOKUP(Linea,TL!$BY$5:$CJ$5,TL!BY124:CJ124),0))</f>
        <v>0</v>
      </c>
      <c r="W124" s="1825" t="str">
        <f>$W$12</f>
        <v xml:space="preserve">Relación Agua /Alimto: </v>
      </c>
      <c r="X124" s="1826"/>
      <c r="Y124" s="1791">
        <f>IFERROR(Y123/X118,0)</f>
        <v>0</v>
      </c>
      <c r="Z124" s="1792"/>
      <c r="AA124" s="235">
        <f>IF($AB$3="NO",0,ROUNDDOWN(SUM($O$6:O124)/IF(Iniciar!$C$10="kilos",40,1),0)-SUM($AA$6:$AA123))</f>
        <v>0</v>
      </c>
      <c r="AB124" s="667"/>
      <c r="AC124" s="667"/>
      <c r="AD124" s="236">
        <f t="shared" si="30"/>
        <v>0</v>
      </c>
      <c r="AE124" s="670"/>
      <c r="AF124" s="1222"/>
      <c r="AG124" s="1822"/>
      <c r="AH124" s="1821"/>
      <c r="AI124" s="199">
        <f>IF(OR(J118&gt;0,X118&gt;0),B117,AI117)</f>
        <v>0</v>
      </c>
      <c r="AJ124" s="199">
        <f>VLOOKUP(C124,Manejos!$C$10:$M$101,11,FALSE)</f>
        <v>0</v>
      </c>
      <c r="AK124" s="998">
        <f t="shared" si="19"/>
        <v>0</v>
      </c>
      <c r="AL124"/>
      <c r="AM124"/>
    </row>
    <row r="125" spans="1:39" s="219" customFormat="1" ht="13.5" customHeight="1" x14ac:dyDescent="0.3">
      <c r="A125" s="534">
        <f>B125</f>
        <v>18</v>
      </c>
      <c r="B125" s="1838">
        <f>B118+1</f>
        <v>18</v>
      </c>
      <c r="C125" s="230" t="str">
        <f t="shared" si="24"/>
        <v/>
      </c>
      <c r="D125" s="231" t="e">
        <f t="shared" si="25"/>
        <v>#VALUE!</v>
      </c>
      <c r="E125" s="658"/>
      <c r="F125" s="658"/>
      <c r="G125" s="659"/>
      <c r="H125" s="246">
        <f t="shared" si="28"/>
        <v>0</v>
      </c>
      <c r="I125" s="1210" t="str">
        <f>$I$6</f>
        <v>T. Salidas Sem :</v>
      </c>
      <c r="J125" s="1211">
        <f>SUMIF(E125:G131,"&gt;0")</f>
        <v>0</v>
      </c>
      <c r="K125" s="1088"/>
      <c r="L125" s="663"/>
      <c r="M125" s="1086"/>
      <c r="N125" s="664"/>
      <c r="O125" s="665"/>
      <c r="P125" s="232">
        <f t="shared" si="26"/>
        <v>0</v>
      </c>
      <c r="Q125" s="665"/>
      <c r="R125" s="233">
        <f t="shared" si="29"/>
        <v>0</v>
      </c>
      <c r="S125" s="234">
        <f>IF(Levante!$N$1&gt;0,O125*$B$1/H125,0)</f>
        <v>0</v>
      </c>
      <c r="T125" s="238">
        <f>IF(SUM(H125:H125)&gt;0,SUM(U125:U125)/SUM(H125:H125),0)</f>
        <v>0</v>
      </c>
      <c r="U125" s="238">
        <f t="shared" si="27"/>
        <v>0</v>
      </c>
      <c r="V125" s="1212">
        <f>IF(Fnac="",0,IFERROR(LOOKUP(Linea,TL!$BY$5:$CJ$5,TL!BY125:CJ125),0))</f>
        <v>0</v>
      </c>
      <c r="W125" s="1779" t="str">
        <f>$W$6</f>
        <v xml:space="preserve">Gr. Ave Dia : </v>
      </c>
      <c r="X125" s="1781">
        <f>IF(AND(COUNT(O125:O130)&gt;0,O131&gt;0),T131,S131)</f>
        <v>0</v>
      </c>
      <c r="Y125" s="1219">
        <f>IFERROR(LOOKUP(B125,TL!$A$6:$A$23,GSh!$O$6:$O$23),0)</f>
        <v>0</v>
      </c>
      <c r="Z125" s="1783">
        <f>IF(AND(Y125&gt;0,Y126&gt;0,X125&gt;0),(X125-(IF(X125&gt;Y126,Y126,IF(X125&lt;Y125,Y125,X125))))/(IF(X125&gt;Y126,Y126,IF(X125&lt;Y125,Y125,X125)))*100,0)</f>
        <v>0</v>
      </c>
      <c r="AA125" s="235">
        <f>IF($AB$3="NO",0,ROUNDDOWN(SUM($O$6:O125)/IF(Iniciar!$C$10="kilos",40,1),0)-SUM($AA$6:$AA124))</f>
        <v>0</v>
      </c>
      <c r="AB125" s="667"/>
      <c r="AC125" s="667"/>
      <c r="AD125" s="236">
        <f t="shared" si="30"/>
        <v>0</v>
      </c>
      <c r="AE125" s="670"/>
      <c r="AF125" s="1222"/>
      <c r="AG125" s="1822"/>
      <c r="AH125" s="1821">
        <f>AH118+1</f>
        <v>18</v>
      </c>
      <c r="AI125" s="538">
        <f>SUMPRODUCT(O125:O131,M125:M131)</f>
        <v>0</v>
      </c>
      <c r="AJ125" s="199">
        <f>VLOOKUP(C125,Manejos!$C$10:$M$101,11,FALSE)</f>
        <v>0</v>
      </c>
      <c r="AK125" s="998">
        <f t="shared" si="19"/>
        <v>0</v>
      </c>
      <c r="AL125"/>
      <c r="AM125"/>
    </row>
    <row r="126" spans="1:39" s="219" customFormat="1" ht="13.5" customHeight="1" x14ac:dyDescent="0.3">
      <c r="A126" s="534">
        <f t="shared" si="20"/>
        <v>18</v>
      </c>
      <c r="B126" s="1839"/>
      <c r="C126" s="230" t="str">
        <f t="shared" si="24"/>
        <v/>
      </c>
      <c r="D126" s="231" t="e">
        <f t="shared" si="25"/>
        <v>#VALUE!</v>
      </c>
      <c r="E126" s="658"/>
      <c r="F126" s="658"/>
      <c r="G126" s="659"/>
      <c r="H126" s="246">
        <f t="shared" si="28"/>
        <v>0</v>
      </c>
      <c r="I126" s="1210" t="str">
        <f>$I$7</f>
        <v>T. Salidas Acm :</v>
      </c>
      <c r="J126" s="1211">
        <f>J119+J125</f>
        <v>0</v>
      </c>
      <c r="K126" s="1088"/>
      <c r="L126" s="663"/>
      <c r="M126" s="1086"/>
      <c r="N126" s="664"/>
      <c r="O126" s="665"/>
      <c r="P126" s="232">
        <f t="shared" si="26"/>
        <v>0</v>
      </c>
      <c r="Q126" s="665"/>
      <c r="R126" s="233">
        <f t="shared" si="29"/>
        <v>0</v>
      </c>
      <c r="S126" s="234">
        <f>IF(Levante!$N$1&gt;0,O126*$B$1/H126,0)</f>
        <v>0</v>
      </c>
      <c r="T126" s="238">
        <f>IF(SUM(H125:H126)&gt;0,SUM(U125:U126)/SUM(H125:H126),0)</f>
        <v>0</v>
      </c>
      <c r="U126" s="238">
        <f t="shared" si="27"/>
        <v>0</v>
      </c>
      <c r="V126" s="1212">
        <f>IF(Fnac="",0,IFERROR(LOOKUP(Linea,TL!$BY$5:$CJ$5,TL!BY126:CJ126),0))</f>
        <v>0</v>
      </c>
      <c r="W126" s="1780"/>
      <c r="X126" s="1782"/>
      <c r="Y126" s="997">
        <f>IFERROR(LOOKUP(B125,TL!$A$6:$A$23,GSh!$P$6:$P$23),0)</f>
        <v>0</v>
      </c>
      <c r="Z126" s="1784">
        <f>IF(AND(X126&gt;0,Y126&gt;0,W126&gt;0),(W126-(IF(W126&gt;Y126,Y126,IF(W126&lt;X126,X126,W126))))/(IF(W126&gt;Y126,Y126,IF(W126&lt;X126,X126,W126)))*100,0)</f>
        <v>0</v>
      </c>
      <c r="AA126" s="235">
        <f>IF($AB$3="NO",0,ROUNDDOWN(SUM($O$6:O126)/IF(Iniciar!$C$10="kilos",40,1),0)-SUM($AA$6:$AA125))</f>
        <v>0</v>
      </c>
      <c r="AB126" s="667"/>
      <c r="AC126" s="667"/>
      <c r="AD126" s="236">
        <f t="shared" si="30"/>
        <v>0</v>
      </c>
      <c r="AE126" s="670"/>
      <c r="AF126" s="1222"/>
      <c r="AG126" s="1822"/>
      <c r="AH126" s="1821"/>
      <c r="AI126" s="199"/>
      <c r="AJ126" s="199">
        <f>VLOOKUP(C126,Manejos!$C$10:$M$101,11,FALSE)</f>
        <v>0</v>
      </c>
      <c r="AK126" s="998">
        <f t="shared" si="19"/>
        <v>0</v>
      </c>
      <c r="AL126"/>
      <c r="AM126"/>
    </row>
    <row r="127" spans="1:39" s="219" customFormat="1" ht="13.5" customHeight="1" x14ac:dyDescent="0.25">
      <c r="A127" s="534">
        <f t="shared" si="20"/>
        <v>18</v>
      </c>
      <c r="B127" s="1839"/>
      <c r="C127" s="230" t="str">
        <f t="shared" si="24"/>
        <v/>
      </c>
      <c r="D127" s="231" t="e">
        <f t="shared" si="25"/>
        <v>#VALUE!</v>
      </c>
      <c r="E127" s="658"/>
      <c r="F127" s="658"/>
      <c r="G127" s="659"/>
      <c r="H127" s="246">
        <f t="shared" si="28"/>
        <v>0</v>
      </c>
      <c r="I127" s="1213" t="str">
        <f>$I$8</f>
        <v>Saldo Aves :</v>
      </c>
      <c r="J127" s="1214">
        <f>H131</f>
        <v>0</v>
      </c>
      <c r="K127" s="1088"/>
      <c r="L127" s="663"/>
      <c r="M127" s="1086"/>
      <c r="N127" s="664"/>
      <c r="O127" s="665"/>
      <c r="P127" s="232">
        <f t="shared" si="26"/>
        <v>0</v>
      </c>
      <c r="Q127" s="665"/>
      <c r="R127" s="233">
        <f t="shared" si="29"/>
        <v>0</v>
      </c>
      <c r="S127" s="234">
        <f>IF(Levante!$N$1&gt;0,O127*$B$1/H127,0)</f>
        <v>0</v>
      </c>
      <c r="T127" s="238">
        <f>IF(SUM(H125:H127)&gt;0,SUM(U125:U127)/SUM(H125:H127),0)</f>
        <v>0</v>
      </c>
      <c r="U127" s="238">
        <f t="shared" si="27"/>
        <v>0</v>
      </c>
      <c r="V127" s="1212">
        <f>IF(Fnac="",0,IFERROR(LOOKUP(Linea,TL!$BY$5:$CJ$5,TL!BY127:CJ127),0))</f>
        <v>0</v>
      </c>
      <c r="W127" s="1785" t="str">
        <f>$W$8</f>
        <v xml:space="preserve">Gr. Ave Acu : </v>
      </c>
      <c r="X127" s="1775">
        <f>X120+X125*7</f>
        <v>0</v>
      </c>
      <c r="Y127" s="992">
        <f>IFERROR(LOOKUP(B125,TL!$A$6:$A$23,GSh!$V$6:$V$23),0)</f>
        <v>0</v>
      </c>
      <c r="Z127" s="1777">
        <f>IF(AND(Y127&gt;0,Y128&gt;0,X127&gt;0),(X127-(IF(X127&gt;Y128,Y128,IF(X127&lt;Y127,Y127,X127))))/(IF(X127&gt;Y128,Y128,IF(X127&lt;Y127,Y127,X127)))*100,0)</f>
        <v>0</v>
      </c>
      <c r="AA127" s="235">
        <f>IF($AB$3="NO",0,ROUNDDOWN(SUM($O$6:O127)/IF(Iniciar!$C$10="kilos",40,1),0)-SUM($AA$6:$AA126))</f>
        <v>0</v>
      </c>
      <c r="AB127" s="667"/>
      <c r="AC127" s="667"/>
      <c r="AD127" s="236">
        <f t="shared" si="30"/>
        <v>0</v>
      </c>
      <c r="AE127" s="670"/>
      <c r="AF127" s="1222"/>
      <c r="AG127" s="1822"/>
      <c r="AH127" s="1821"/>
      <c r="AI127" s="199"/>
      <c r="AJ127" s="199">
        <f>VLOOKUP(C127,Manejos!$C$10:$M$101,11,FALSE)</f>
        <v>0</v>
      </c>
      <c r="AK127" s="998">
        <f t="shared" si="19"/>
        <v>0</v>
      </c>
      <c r="AL127"/>
      <c r="AM127"/>
    </row>
    <row r="128" spans="1:39" s="219" customFormat="1" ht="13.5" customHeight="1" x14ac:dyDescent="0.3">
      <c r="A128" s="534">
        <f t="shared" si="20"/>
        <v>18</v>
      </c>
      <c r="B128" s="1839"/>
      <c r="C128" s="230" t="str">
        <f t="shared" si="24"/>
        <v/>
      </c>
      <c r="D128" s="231" t="e">
        <f t="shared" si="25"/>
        <v>#VALUE!</v>
      </c>
      <c r="E128" s="658"/>
      <c r="F128" s="658"/>
      <c r="G128" s="659"/>
      <c r="H128" s="246">
        <f t="shared" si="28"/>
        <v>0</v>
      </c>
      <c r="I128" s="1217" t="str">
        <f>$I$9</f>
        <v>% Mort/Sel Sem :</v>
      </c>
      <c r="J128" s="1216">
        <f>IF(Levante!$N$1&gt;0,SUM(E125:F131)/Levante!$N$1,0)</f>
        <v>0</v>
      </c>
      <c r="K128" s="1088"/>
      <c r="L128" s="663"/>
      <c r="M128" s="1086"/>
      <c r="N128" s="664"/>
      <c r="O128" s="665"/>
      <c r="P128" s="232">
        <f t="shared" si="26"/>
        <v>0</v>
      </c>
      <c r="Q128" s="665"/>
      <c r="R128" s="233">
        <f t="shared" si="29"/>
        <v>0</v>
      </c>
      <c r="S128" s="234">
        <f>IF(Levante!$N$1&gt;0,O128*$B$1/H128,0)</f>
        <v>0</v>
      </c>
      <c r="T128" s="238">
        <f>IF(SUM(H125:H128)&gt;0,SUM(U125:U128)/SUM(H125:H128),0)</f>
        <v>0</v>
      </c>
      <c r="U128" s="238">
        <f t="shared" si="27"/>
        <v>0</v>
      </c>
      <c r="V128" s="1212">
        <f>IF(Fnac="",0,IFERROR(LOOKUP(Linea,TL!$BY$5:$CJ$5,TL!BY128:CJ128),0))</f>
        <v>0</v>
      </c>
      <c r="W128" s="1786"/>
      <c r="X128" s="1776"/>
      <c r="Y128" s="993">
        <f>IFERROR(LOOKUP(B125,TL!$A$6:$A$23,GSh!$W$6:$W$23),0)</f>
        <v>0</v>
      </c>
      <c r="Z128" s="1778">
        <f>IF(AND(X128&gt;0,Y128&gt;0,W128&gt;0),(W128-(IF(W128&gt;Y128,Y128,IF(W128&lt;X128,X128,W128))))/(IF(W128&gt;Y128,Y128,IF(W128&lt;X128,X128,W128)))*100,0)</f>
        <v>0</v>
      </c>
      <c r="AA128" s="235">
        <f>IF($AB$3="NO",0,ROUNDDOWN(SUM($O$6:O128)/IF(Iniciar!$C$10="kilos",40,1),0)-SUM($AA$6:$AA127))</f>
        <v>0</v>
      </c>
      <c r="AB128" s="667"/>
      <c r="AC128" s="667"/>
      <c r="AD128" s="236">
        <f t="shared" si="30"/>
        <v>0</v>
      </c>
      <c r="AE128" s="670"/>
      <c r="AF128" s="1222"/>
      <c r="AG128" s="1822"/>
      <c r="AH128" s="1821"/>
      <c r="AI128" s="199"/>
      <c r="AJ128" s="199">
        <f>VLOOKUP(C128,Manejos!$C$10:$M$101,11,FALSE)</f>
        <v>0</v>
      </c>
      <c r="AK128" s="998">
        <f t="shared" si="19"/>
        <v>0</v>
      </c>
      <c r="AL128"/>
      <c r="AM128"/>
    </row>
    <row r="129" spans="1:39" s="219" customFormat="1" ht="13.5" customHeight="1" x14ac:dyDescent="0.3">
      <c r="A129" s="534">
        <f t="shared" si="20"/>
        <v>18</v>
      </c>
      <c r="B129" s="1839"/>
      <c r="C129" s="230" t="str">
        <f>IF(C128="","",C128+1)</f>
        <v/>
      </c>
      <c r="D129" s="231" t="e">
        <f t="shared" si="25"/>
        <v>#VALUE!</v>
      </c>
      <c r="E129" s="658"/>
      <c r="F129" s="658"/>
      <c r="G129" s="659"/>
      <c r="H129" s="246">
        <f t="shared" si="28"/>
        <v>0</v>
      </c>
      <c r="I129" s="1217" t="str">
        <f>$I$10</f>
        <v>% Mort/Sel Sem Tab :</v>
      </c>
      <c r="J129" s="1216">
        <f>J131-J124</f>
        <v>5.9999999999999984E-4</v>
      </c>
      <c r="K129" s="1088"/>
      <c r="L129" s="663"/>
      <c r="M129" s="1086"/>
      <c r="N129" s="664"/>
      <c r="O129" s="665"/>
      <c r="P129" s="232">
        <f t="shared" si="26"/>
        <v>0</v>
      </c>
      <c r="Q129" s="665"/>
      <c r="R129" s="233">
        <f t="shared" si="29"/>
        <v>0</v>
      </c>
      <c r="S129" s="234">
        <f>IF(Levante!$N$1&gt;0,O129*$B$1/H129,0)</f>
        <v>0</v>
      </c>
      <c r="T129" s="238">
        <f>IF(SUM(H125:H129)&gt;0,SUM(U125:U129)/SUM(H125:H129),0)</f>
        <v>0</v>
      </c>
      <c r="U129" s="238">
        <f t="shared" si="27"/>
        <v>0</v>
      </c>
      <c r="V129" s="1212">
        <f>IF(Fnac="",0,IFERROR(LOOKUP(Linea,TL!$BY$5:$CJ$5,TL!BY129:CJ129),0))</f>
        <v>0</v>
      </c>
      <c r="W129" s="1793" t="str">
        <f>$W$10</f>
        <v xml:space="preserve">Total Litros Sem: </v>
      </c>
      <c r="X129" s="1794"/>
      <c r="Y129" s="1787">
        <f>SUM(K125:K131)</f>
        <v>0</v>
      </c>
      <c r="Z129" s="1788"/>
      <c r="AA129" s="235">
        <f>IF($AB$3="NO",0,ROUNDDOWN(SUM($O$6:O129)/IF(Iniciar!$C$10="kilos",40,1),0)-SUM($AA$6:$AA128))</f>
        <v>0</v>
      </c>
      <c r="AB129" s="667"/>
      <c r="AC129" s="667"/>
      <c r="AD129" s="236">
        <f t="shared" si="30"/>
        <v>0</v>
      </c>
      <c r="AE129" s="670"/>
      <c r="AF129" s="1222"/>
      <c r="AG129" s="1822"/>
      <c r="AH129" s="1821"/>
      <c r="AI129" s="199"/>
      <c r="AJ129" s="199">
        <f>VLOOKUP(C129,Manejos!$C$10:$M$101,11,FALSE)</f>
        <v>0</v>
      </c>
      <c r="AK129" s="998">
        <f t="shared" si="19"/>
        <v>0</v>
      </c>
      <c r="AL129"/>
      <c r="AM129"/>
    </row>
    <row r="130" spans="1:39" s="219" customFormat="1" ht="14.25" customHeight="1" x14ac:dyDescent="0.3">
      <c r="A130" s="534">
        <f t="shared" si="20"/>
        <v>18</v>
      </c>
      <c r="B130" s="1839"/>
      <c r="C130" s="230" t="str">
        <f>IF(C129="","",C129+1)</f>
        <v/>
      </c>
      <c r="D130" s="231" t="e">
        <f t="shared" si="25"/>
        <v>#VALUE!</v>
      </c>
      <c r="E130" s="658"/>
      <c r="F130" s="658"/>
      <c r="G130" s="659"/>
      <c r="H130" s="246">
        <f t="shared" si="28"/>
        <v>0</v>
      </c>
      <c r="I130" s="1217" t="str">
        <f>$I$11</f>
        <v>% Mort/Sel Acum :</v>
      </c>
      <c r="J130" s="1216">
        <f>IF(Levante!$N$1&gt;0,SUM($E$6:F131)/Levante!$N$1,0)</f>
        <v>0</v>
      </c>
      <c r="K130" s="1088"/>
      <c r="L130" s="663"/>
      <c r="M130" s="1086"/>
      <c r="N130" s="664"/>
      <c r="O130" s="665"/>
      <c r="P130" s="232">
        <f t="shared" si="26"/>
        <v>0</v>
      </c>
      <c r="Q130" s="665"/>
      <c r="R130" s="233">
        <f t="shared" si="29"/>
        <v>0</v>
      </c>
      <c r="S130" s="234">
        <f>IF(Levante!$N$1&gt;0,O130*$B$1/H130,0)</f>
        <v>0</v>
      </c>
      <c r="T130" s="238">
        <f>IF(SUM(H125:H130)&gt;0,SUM(U125:U130)/SUM(H125:H130),0)</f>
        <v>0</v>
      </c>
      <c r="U130" s="238">
        <f t="shared" si="27"/>
        <v>0</v>
      </c>
      <c r="V130" s="1212">
        <f>IF(Fnac="",0,IFERROR(LOOKUP(Linea,TL!$BY$5:$CJ$5,TL!BY130:CJ130),0))</f>
        <v>0</v>
      </c>
      <c r="W130" s="1795" t="str">
        <f>$W$11</f>
        <v xml:space="preserve">Cons ml /ave día: </v>
      </c>
      <c r="X130" s="1796"/>
      <c r="Y130" s="1789">
        <f>IFERROR(Y129/7*1000/H131,0)</f>
        <v>0</v>
      </c>
      <c r="Z130" s="1790"/>
      <c r="AA130" s="235">
        <f>IF($AB$3="NO",0,ROUNDDOWN(SUM($O$6:O130)/IF(Iniciar!$C$10="kilos",40,1),0)-SUM($AA$6:$AA129))</f>
        <v>0</v>
      </c>
      <c r="AB130" s="667"/>
      <c r="AC130" s="667"/>
      <c r="AD130" s="236">
        <f t="shared" si="30"/>
        <v>0</v>
      </c>
      <c r="AE130" s="670"/>
      <c r="AF130" s="1222"/>
      <c r="AG130" s="1822"/>
      <c r="AH130" s="1821"/>
      <c r="AI130" s="199"/>
      <c r="AJ130" s="199">
        <f>VLOOKUP(C130,Manejos!$C$10:$M$101,11,FALSE)</f>
        <v>0</v>
      </c>
      <c r="AK130" s="998">
        <f t="shared" si="19"/>
        <v>0</v>
      </c>
      <c r="AL130"/>
      <c r="AM130"/>
    </row>
    <row r="131" spans="1:39" s="219" customFormat="1" ht="13.5" customHeight="1" x14ac:dyDescent="0.3">
      <c r="A131" s="534">
        <f t="shared" si="20"/>
        <v>18</v>
      </c>
      <c r="B131" s="1840"/>
      <c r="C131" s="230" t="str">
        <f>IF(C130="","",C130+1)</f>
        <v/>
      </c>
      <c r="D131" s="231" t="e">
        <f t="shared" si="25"/>
        <v>#VALUE!</v>
      </c>
      <c r="E131" s="658"/>
      <c r="F131" s="658"/>
      <c r="G131" s="659"/>
      <c r="H131" s="246">
        <f t="shared" si="28"/>
        <v>0</v>
      </c>
      <c r="I131" s="1217" t="str">
        <f>$I$12</f>
        <v>% Mort/Sel Acm Tab :</v>
      </c>
      <c r="J131" s="1216">
        <f>$E$3*0.01</f>
        <v>0.02</v>
      </c>
      <c r="K131" s="1088"/>
      <c r="L131" s="663"/>
      <c r="M131" s="1086"/>
      <c r="N131" s="664"/>
      <c r="O131" s="665"/>
      <c r="P131" s="232">
        <f t="shared" si="26"/>
        <v>0</v>
      </c>
      <c r="Q131" s="665"/>
      <c r="R131" s="233">
        <f t="shared" si="29"/>
        <v>0</v>
      </c>
      <c r="S131" s="234">
        <f>IF(Levante!$N$1&gt;0,O131/IF(SUM(O125:O130)=0,7,1)*$B$1/H131,0)</f>
        <v>0</v>
      </c>
      <c r="T131" s="238">
        <f>IF(SUM(H125:H131)&gt;0,SUM(U125:U131)/SUM(H125:H131),0)</f>
        <v>0</v>
      </c>
      <c r="U131" s="238">
        <f t="shared" si="27"/>
        <v>0</v>
      </c>
      <c r="V131" s="1212">
        <f>IF(Fnac="",0,IFERROR(LOOKUP(Linea,TL!$BY$5:$CJ$5,TL!BY131:CJ131),0))</f>
        <v>0</v>
      </c>
      <c r="W131" s="1825" t="str">
        <f>$W$12</f>
        <v xml:space="preserve">Relación Agua /Alimto: </v>
      </c>
      <c r="X131" s="1826"/>
      <c r="Y131" s="1791">
        <f>IFERROR(Y130/X125,0)</f>
        <v>0</v>
      </c>
      <c r="Z131" s="1792"/>
      <c r="AA131" s="235">
        <f>IF($AB$3="NO",0,ROUNDDOWN(SUM($O$6:O131)/IF(Iniciar!$C$10="kilos",40,1),0)-SUM($AA$6:$AA130))</f>
        <v>0</v>
      </c>
      <c r="AB131" s="667"/>
      <c r="AC131" s="667"/>
      <c r="AD131" s="236">
        <f t="shared" si="30"/>
        <v>0</v>
      </c>
      <c r="AE131" s="670"/>
      <c r="AF131" s="1222"/>
      <c r="AG131" s="1822"/>
      <c r="AH131" s="1821"/>
      <c r="AI131" s="199">
        <f>IF(OR(J125&gt;0,X125&gt;0),B124,AI124)</f>
        <v>0</v>
      </c>
      <c r="AJ131" s="199">
        <f>VLOOKUP(C131,Manejos!$C$10:$M$101,11,FALSE)</f>
        <v>0</v>
      </c>
      <c r="AK131" s="998">
        <f t="shared" si="19"/>
        <v>0</v>
      </c>
      <c r="AL131"/>
      <c r="AM131"/>
    </row>
    <row r="132" spans="1:39" s="219" customFormat="1" ht="13.5" customHeight="1" thickBot="1" x14ac:dyDescent="0.3">
      <c r="AJ132" s="217"/>
      <c r="AK132" s="217"/>
      <c r="AL132"/>
      <c r="AM132"/>
    </row>
    <row r="133" spans="1:39" s="219" customFormat="1" ht="13.5" customHeight="1" x14ac:dyDescent="0.25">
      <c r="A133" s="215"/>
      <c r="B133" s="1827">
        <f>SUBTOTAL(5,C6:C131)</f>
        <v>0</v>
      </c>
      <c r="C133" s="1828"/>
      <c r="D133" s="239" t="s">
        <v>305</v>
      </c>
      <c r="E133" s="1823">
        <f>SUBTOTAL(9,E6:E131)</f>
        <v>0</v>
      </c>
      <c r="F133" s="1798">
        <f>SUBTOTAL(9,F6:F131)</f>
        <v>0</v>
      </c>
      <c r="G133" s="1798">
        <f>SUBTOTAL(9,G6:G131)</f>
        <v>0</v>
      </c>
      <c r="H133" s="1858" t="str">
        <f>IF(Fnac="","",LOOKUP($B$134,$C$6:$C$131,H$6:H$131))</f>
        <v/>
      </c>
      <c r="K133" s="1902">
        <f>SUBTOTAL(9,K6:K131)</f>
        <v>0</v>
      </c>
      <c r="L133" s="241"/>
      <c r="M133" s="1904">
        <f>IFERROR(SUBTOTAL(9,AK6:AK131)/O133,0)</f>
        <v>0</v>
      </c>
      <c r="N133" s="1860">
        <f>SUBTOTAL(9,N6:N131)</f>
        <v>0</v>
      </c>
      <c r="O133" s="1860">
        <f>SUBTOTAL(9,O6:O131)</f>
        <v>0</v>
      </c>
      <c r="P133" s="1860">
        <f>SUBTOTAL(9,P6:P131)</f>
        <v>0</v>
      </c>
      <c r="Q133" s="1860">
        <f>SUBTOTAL(9,Q6:Q131)</f>
        <v>0</v>
      </c>
      <c r="R133" s="1858" t="str">
        <f>IF(Fnac="","",LOOKUP($B$134,$C$6:$C$131,R$6:R$131))</f>
        <v/>
      </c>
      <c r="AA133" s="1823">
        <f>SUBTOTAL(9,AA6:AA131)</f>
        <v>0</v>
      </c>
      <c r="AB133" s="1798">
        <f>SUBTOTAL(9,AB6:AB131)</f>
        <v>0</v>
      </c>
      <c r="AC133" s="1798">
        <f>SUBTOTAL(9,AC6:AC131)</f>
        <v>0</v>
      </c>
      <c r="AD133" s="1888" t="str">
        <f>IF(Fnac="","",LOOKUP($B$134,$C$6:$C$131,AD$6:AD$131))</f>
        <v/>
      </c>
      <c r="AE133" s="240"/>
      <c r="AF133" s="241"/>
      <c r="AJ133" s="217"/>
      <c r="AK133" s="217"/>
      <c r="AL133"/>
      <c r="AM133"/>
    </row>
    <row r="134" spans="1:39" s="219" customFormat="1" ht="13.5" customHeight="1" thickBot="1" x14ac:dyDescent="0.3">
      <c r="A134" s="215"/>
      <c r="B134" s="1829">
        <f>SUBTOTAL(4,C6:C131)</f>
        <v>0</v>
      </c>
      <c r="C134" s="1830"/>
      <c r="D134" s="242" t="s">
        <v>306</v>
      </c>
      <c r="E134" s="1824"/>
      <c r="F134" s="1799"/>
      <c r="G134" s="1799"/>
      <c r="H134" s="1859"/>
      <c r="K134" s="1903"/>
      <c r="L134" s="241"/>
      <c r="M134" s="1905"/>
      <c r="N134" s="1861"/>
      <c r="O134" s="1861"/>
      <c r="P134" s="1861"/>
      <c r="Q134" s="1861"/>
      <c r="R134" s="1859"/>
      <c r="AA134" s="1824"/>
      <c r="AB134" s="1799"/>
      <c r="AC134" s="1799"/>
      <c r="AD134" s="1889"/>
      <c r="AE134" s="240"/>
      <c r="AF134" s="241"/>
      <c r="AJ134" s="217"/>
      <c r="AK134" s="217"/>
      <c r="AL134"/>
      <c r="AM134"/>
    </row>
    <row r="135" spans="1:39" s="219" customFormat="1" ht="13.5" hidden="1" customHeight="1" x14ac:dyDescent="0.25">
      <c r="AJ135" s="217"/>
      <c r="AK135" s="217"/>
      <c r="AL135"/>
      <c r="AM135"/>
    </row>
    <row r="136" spans="1:39" s="219" customFormat="1" ht="13.5" hidden="1" customHeight="1" x14ac:dyDescent="0.25">
      <c r="AJ136" s="217"/>
      <c r="AK136" s="217"/>
      <c r="AL136"/>
      <c r="AM136"/>
    </row>
    <row r="137" spans="1:39" s="219" customFormat="1" ht="13.5" hidden="1" customHeight="1" x14ac:dyDescent="0.25">
      <c r="AJ137" s="217"/>
      <c r="AK137" s="217"/>
      <c r="AL137"/>
      <c r="AM137"/>
    </row>
    <row r="138" spans="1:39" s="219" customFormat="1" ht="14.25" hidden="1" customHeight="1" x14ac:dyDescent="0.25">
      <c r="AJ138" s="217"/>
      <c r="AK138" s="217"/>
      <c r="AL138"/>
      <c r="AM138"/>
    </row>
    <row r="139" spans="1:39" s="219" customFormat="1" ht="13.5" hidden="1" customHeight="1" x14ac:dyDescent="0.25">
      <c r="AJ139" s="217"/>
      <c r="AK139" s="217"/>
      <c r="AL139"/>
      <c r="AM139"/>
    </row>
    <row r="140" spans="1:39" s="219" customFormat="1" ht="13.5" hidden="1" customHeight="1" x14ac:dyDescent="0.25">
      <c r="AJ140" s="217"/>
      <c r="AK140" s="217"/>
      <c r="AL140"/>
      <c r="AM140"/>
    </row>
    <row r="141" spans="1:39" s="219" customFormat="1" ht="13.5" hidden="1" customHeight="1" x14ac:dyDescent="0.25">
      <c r="AJ141" s="217"/>
      <c r="AK141" s="217"/>
      <c r="AL141"/>
      <c r="AM141"/>
    </row>
    <row r="142" spans="1:39" s="219" customFormat="1" ht="13.5" hidden="1" customHeight="1" x14ac:dyDescent="0.25">
      <c r="AJ142" s="217"/>
      <c r="AK142" s="217"/>
      <c r="AL142"/>
      <c r="AM142"/>
    </row>
    <row r="143" spans="1:39" s="219" customFormat="1" ht="13.5" hidden="1" customHeight="1" x14ac:dyDescent="0.25">
      <c r="AJ143" s="217"/>
      <c r="AK143" s="217"/>
      <c r="AL143"/>
      <c r="AM143"/>
    </row>
    <row r="144" spans="1:39" s="219" customFormat="1" ht="13.5" hidden="1" customHeight="1" x14ac:dyDescent="0.25">
      <c r="AJ144" s="217"/>
      <c r="AK144" s="217"/>
      <c r="AL144"/>
      <c r="AM144"/>
    </row>
    <row r="145" spans="2:39" s="219" customFormat="1" ht="13.5" hidden="1" customHeight="1" x14ac:dyDescent="0.25">
      <c r="AJ145" s="217"/>
      <c r="AK145" s="217"/>
      <c r="AL145"/>
      <c r="AM145"/>
    </row>
    <row r="146" spans="2:39" ht="13.5" hidden="1" customHeight="1" x14ac:dyDescent="0.25">
      <c r="B146" s="219"/>
      <c r="I146" s="219"/>
      <c r="J146" s="219"/>
      <c r="W146" s="219"/>
      <c r="X146" s="219"/>
      <c r="Y146" s="219"/>
      <c r="Z146" s="219"/>
      <c r="AG146" s="219"/>
      <c r="AH146" s="219"/>
      <c r="AI146" s="219"/>
    </row>
    <row r="147" spans="2:39" ht="13.5" hidden="1" customHeight="1" x14ac:dyDescent="0.25">
      <c r="I147" s="219"/>
      <c r="J147" s="219"/>
      <c r="W147" s="219"/>
      <c r="X147" s="219"/>
      <c r="Y147" s="219"/>
      <c r="Z147" s="219"/>
      <c r="AG147" s="219"/>
      <c r="AH147" s="219"/>
      <c r="AI147" s="219"/>
    </row>
    <row r="148" spans="2:39" ht="13.5" hidden="1" customHeight="1" x14ac:dyDescent="0.25">
      <c r="I148" s="219"/>
      <c r="J148" s="219"/>
      <c r="W148" s="219"/>
      <c r="X148" s="219"/>
      <c r="Y148" s="219"/>
      <c r="Z148" s="219"/>
      <c r="AG148" s="219"/>
      <c r="AH148" s="219"/>
      <c r="AI148" s="219"/>
    </row>
    <row r="149" spans="2:39" ht="13.5" hidden="1" customHeight="1" x14ac:dyDescent="0.25">
      <c r="I149" s="219"/>
      <c r="J149" s="219"/>
      <c r="W149" s="219"/>
      <c r="X149" s="219"/>
      <c r="Y149" s="219"/>
      <c r="Z149" s="219"/>
      <c r="AG149" s="219"/>
      <c r="AH149" s="219"/>
      <c r="AI149" s="219"/>
    </row>
    <row r="150" spans="2:39" ht="13.5" hidden="1" customHeight="1" x14ac:dyDescent="0.25">
      <c r="I150" s="219"/>
      <c r="J150" s="219"/>
      <c r="W150" s="219"/>
      <c r="X150" s="219"/>
      <c r="Y150" s="219"/>
      <c r="Z150" s="219"/>
      <c r="AG150" s="219"/>
      <c r="AH150" s="219"/>
      <c r="AI150" s="219"/>
    </row>
    <row r="151" spans="2:39" ht="13.5" hidden="1" customHeight="1" x14ac:dyDescent="0.25">
      <c r="I151" s="219"/>
      <c r="J151" s="219"/>
      <c r="W151" s="219"/>
      <c r="X151" s="219"/>
      <c r="Y151" s="219"/>
      <c r="Z151" s="219"/>
      <c r="AG151" s="219"/>
      <c r="AH151" s="219"/>
      <c r="AI151" s="219"/>
    </row>
    <row r="152" spans="2:39" ht="13.5" hidden="1" customHeight="1" x14ac:dyDescent="0.25">
      <c r="I152" s="219"/>
      <c r="J152" s="219"/>
      <c r="W152" s="219"/>
      <c r="X152" s="219"/>
      <c r="Y152" s="219"/>
      <c r="Z152" s="219"/>
      <c r="AG152" s="219"/>
      <c r="AH152" s="219"/>
      <c r="AI152" s="219"/>
    </row>
    <row r="153" spans="2:39" ht="13.5" hidden="1" customHeight="1" x14ac:dyDescent="0.25">
      <c r="I153" s="219"/>
      <c r="J153" s="219"/>
      <c r="W153" s="219"/>
      <c r="X153" s="219"/>
      <c r="Y153" s="219"/>
      <c r="Z153" s="219"/>
      <c r="AG153" s="219"/>
      <c r="AH153" s="219"/>
      <c r="AI153" s="219"/>
    </row>
    <row r="154" spans="2:39" ht="13.5" hidden="1" customHeight="1" x14ac:dyDescent="0.25">
      <c r="I154" s="219"/>
      <c r="J154" s="219"/>
      <c r="W154" s="219"/>
      <c r="X154" s="219"/>
      <c r="Y154" s="219"/>
      <c r="Z154" s="219"/>
      <c r="AG154" s="219"/>
      <c r="AH154" s="219"/>
      <c r="AI154" s="219"/>
    </row>
    <row r="155" spans="2:39" ht="13.5" hidden="1" customHeight="1" x14ac:dyDescent="0.25">
      <c r="I155" s="219"/>
      <c r="J155" s="219"/>
      <c r="W155" s="219"/>
      <c r="X155" s="219"/>
      <c r="Y155" s="219"/>
      <c r="Z155" s="219"/>
      <c r="AG155" s="219"/>
      <c r="AH155" s="219"/>
      <c r="AI155" s="219"/>
    </row>
    <row r="156" spans="2:39" ht="13.5" hidden="1" customHeight="1" x14ac:dyDescent="0.25">
      <c r="I156" s="219"/>
      <c r="J156" s="219"/>
      <c r="W156" s="219"/>
      <c r="X156" s="219"/>
      <c r="Y156" s="219"/>
      <c r="Z156" s="219"/>
      <c r="AG156" s="219"/>
      <c r="AH156" s="219"/>
      <c r="AI156" s="219"/>
    </row>
    <row r="157" spans="2:39" ht="13.5" hidden="1" customHeight="1" x14ac:dyDescent="0.25">
      <c r="I157" s="219"/>
      <c r="J157" s="219"/>
      <c r="W157" s="219"/>
      <c r="X157" s="219"/>
      <c r="Y157" s="219"/>
      <c r="Z157" s="219"/>
      <c r="AG157" s="219"/>
      <c r="AH157" s="219"/>
      <c r="AI157" s="219"/>
    </row>
    <row r="158" spans="2:39" ht="13.5" hidden="1" customHeight="1" x14ac:dyDescent="0.25">
      <c r="I158" s="219"/>
      <c r="J158" s="219"/>
      <c r="W158" s="219"/>
      <c r="X158" s="219"/>
      <c r="Y158" s="219"/>
      <c r="Z158" s="219"/>
      <c r="AG158" s="219"/>
      <c r="AH158" s="219"/>
      <c r="AI158" s="219"/>
    </row>
    <row r="159" spans="2:39" ht="13.5" hidden="1" customHeight="1" x14ac:dyDescent="0.25">
      <c r="I159" s="219"/>
      <c r="J159" s="219"/>
      <c r="W159" s="219"/>
      <c r="X159" s="219"/>
      <c r="Y159" s="219"/>
      <c r="Z159" s="219"/>
      <c r="AG159" s="219"/>
      <c r="AH159" s="219"/>
      <c r="AI159" s="219"/>
    </row>
    <row r="160" spans="2:39" ht="13.5" hidden="1" customHeight="1" x14ac:dyDescent="0.25">
      <c r="I160" s="219"/>
      <c r="J160" s="219"/>
      <c r="W160" s="219"/>
      <c r="X160" s="219"/>
      <c r="Y160" s="219"/>
      <c r="Z160" s="219"/>
      <c r="AG160" s="219"/>
      <c r="AH160" s="219"/>
      <c r="AI160" s="219"/>
    </row>
    <row r="161" spans="9:35" ht="13.5" hidden="1" customHeight="1" x14ac:dyDescent="0.25">
      <c r="I161" s="219"/>
      <c r="J161" s="219"/>
      <c r="W161" s="219"/>
      <c r="X161" s="219"/>
      <c r="Y161" s="219"/>
      <c r="Z161" s="219"/>
      <c r="AG161" s="219"/>
      <c r="AH161" s="219"/>
      <c r="AI161" s="219"/>
    </row>
  </sheetData>
  <sheetProtection algorithmName="SHA-512" hashValue="qSoBP1sHfaP8dg8UmpaeZ+VdTb/MEinlxlgIb0matjuF0qzDI8URccSHBYO853sSA15FcYSxuHD9XunPpPlHCQ==" saltValue="XC6buSsGe2wRDoNjT75Zzg==" spinCount="100000" sheet="1" objects="1" scenarios="1" formatCells="0" formatColumns="0" formatRows="0" autoFilter="0" pivotTables="0"/>
  <autoFilter ref="C5:C131" xr:uid="{3BF4BDE9-A533-4794-8881-764F3EE94DEA}"/>
  <customSheetViews>
    <customSheetView guid="{2AFB78BD-0AA0-48F7-9FB9-7ECB21AAFE3F}" showGridLines="0" zeroValues="0" fitToPage="1" showAutoFilter="1" hiddenRows="1" hiddenColumns="1">
      <pane xSplit="3" ySplit="5" topLeftCell="E115" activePane="bottomRight" state="frozen"/>
      <selection pane="bottomRight" activeCell="B133" sqref="B133:C133"/>
      <pageMargins left="0.31496062992125984" right="0.19685039370078741" top="0.78740157480314965" bottom="0.39370078740157483" header="0.23622047244094491" footer="0.23622047244094491"/>
      <pageSetup scale="51" fitToHeight="0" orientation="landscape" r:id="rId1"/>
      <headerFooter alignWithMargins="0"/>
      <autoFilter ref="C5:C131" xr:uid="{51A8F706-E7E4-4367-9429-DCC25F688919}"/>
    </customSheetView>
  </customSheetViews>
  <mergeCells count="335">
    <mergeCell ref="Y101:Z101"/>
    <mergeCell ref="Y102:Z102"/>
    <mergeCell ref="Y103:Z103"/>
    <mergeCell ref="Y108:Z108"/>
    <mergeCell ref="Y109:Z109"/>
    <mergeCell ref="K133:K134"/>
    <mergeCell ref="M133:M134"/>
    <mergeCell ref="R1:U1"/>
    <mergeCell ref="Y10:Z10"/>
    <mergeCell ref="Y11:Z11"/>
    <mergeCell ref="K1:M1"/>
    <mergeCell ref="M4:M5"/>
    <mergeCell ref="N1:Q1"/>
    <mergeCell ref="N2:Q2"/>
    <mergeCell ref="K2:M2"/>
    <mergeCell ref="Y33:Z33"/>
    <mergeCell ref="Z6:Z7"/>
    <mergeCell ref="Z8:Z9"/>
    <mergeCell ref="Z13:Z14"/>
    <mergeCell ref="W15:W16"/>
    <mergeCell ref="X15:X16"/>
    <mergeCell ref="Z15:Z16"/>
    <mergeCell ref="W20:W21"/>
    <mergeCell ref="X20:X21"/>
    <mergeCell ref="Z20:Z21"/>
    <mergeCell ref="W22:W23"/>
    <mergeCell ref="X22:X23"/>
    <mergeCell ref="Z22:Z23"/>
    <mergeCell ref="W27:W28"/>
    <mergeCell ref="X27:X28"/>
    <mergeCell ref="Z27:Z28"/>
    <mergeCell ref="AG97:AG103"/>
    <mergeCell ref="AG90:AG96"/>
    <mergeCell ref="AG55:AG61"/>
    <mergeCell ref="AG83:AG89"/>
    <mergeCell ref="AG69:AG75"/>
    <mergeCell ref="Z36:Z37"/>
    <mergeCell ref="W32:X32"/>
    <mergeCell ref="W41:W42"/>
    <mergeCell ref="X41:X42"/>
    <mergeCell ref="Z41:Z42"/>
    <mergeCell ref="W43:W44"/>
    <mergeCell ref="X43:X44"/>
    <mergeCell ref="Z43:Z44"/>
    <mergeCell ref="W48:W49"/>
    <mergeCell ref="X48:X49"/>
    <mergeCell ref="Z48:Z49"/>
    <mergeCell ref="W50:W51"/>
    <mergeCell ref="B76:B82"/>
    <mergeCell ref="B83:B89"/>
    <mergeCell ref="W88:X88"/>
    <mergeCell ref="W89:X89"/>
    <mergeCell ref="AG76:AG82"/>
    <mergeCell ref="K3:Z3"/>
    <mergeCell ref="R2:W2"/>
    <mergeCell ref="Y38:Z38"/>
    <mergeCell ref="Y39:Z39"/>
    <mergeCell ref="Y40:Z40"/>
    <mergeCell ref="Y45:Z45"/>
    <mergeCell ref="Y46:Z46"/>
    <mergeCell ref="Y47:Z47"/>
    <mergeCell ref="Y52:Z52"/>
    <mergeCell ref="Y53:Z53"/>
    <mergeCell ref="Y54:Z54"/>
    <mergeCell ref="Y59:Z59"/>
    <mergeCell ref="Y60:Z60"/>
    <mergeCell ref="Y61:Z61"/>
    <mergeCell ref="Y66:Z66"/>
    <mergeCell ref="Y67:Z67"/>
    <mergeCell ref="Y68:Z68"/>
    <mergeCell ref="B55:B61"/>
    <mergeCell ref="B41:B47"/>
    <mergeCell ref="B34:B40"/>
    <mergeCell ref="B48:B54"/>
    <mergeCell ref="AD133:AD134"/>
    <mergeCell ref="AF4:AF5"/>
    <mergeCell ref="B6:B12"/>
    <mergeCell ref="B13:B19"/>
    <mergeCell ref="AA4:AA5"/>
    <mergeCell ref="AC4:AC5"/>
    <mergeCell ref="AE4:AE5"/>
    <mergeCell ref="AD4:AD5"/>
    <mergeCell ref="B118:B124"/>
    <mergeCell ref="B125:B131"/>
    <mergeCell ref="B90:B96"/>
    <mergeCell ref="B69:B75"/>
    <mergeCell ref="Y73:Z73"/>
    <mergeCell ref="Y74:Z74"/>
    <mergeCell ref="Y75:Z75"/>
    <mergeCell ref="Y80:Z80"/>
    <mergeCell ref="Y81:Z81"/>
    <mergeCell ref="Y82:Z82"/>
    <mergeCell ref="Y87:Z87"/>
    <mergeCell ref="Y88:Z88"/>
    <mergeCell ref="E4:E5"/>
    <mergeCell ref="F4:F5"/>
    <mergeCell ref="AH125:AH131"/>
    <mergeCell ref="W129:X129"/>
    <mergeCell ref="W130:X130"/>
    <mergeCell ref="W131:X131"/>
    <mergeCell ref="AG118:AG124"/>
    <mergeCell ref="AH118:AH124"/>
    <mergeCell ref="W122:X122"/>
    <mergeCell ref="W123:X123"/>
    <mergeCell ref="W124:X124"/>
    <mergeCell ref="AG125:AG131"/>
    <mergeCell ref="Y122:Z122"/>
    <mergeCell ref="Y123:Z123"/>
    <mergeCell ref="Y124:Z124"/>
    <mergeCell ref="Y129:Z129"/>
    <mergeCell ref="Y130:Z130"/>
    <mergeCell ref="Y131:Z131"/>
    <mergeCell ref="W127:W128"/>
    <mergeCell ref="X127:X128"/>
    <mergeCell ref="Z127:Z128"/>
    <mergeCell ref="AH111:AH117"/>
    <mergeCell ref="W115:X115"/>
    <mergeCell ref="W116:X116"/>
    <mergeCell ref="W117:X117"/>
    <mergeCell ref="AG104:AG110"/>
    <mergeCell ref="AH104:AH110"/>
    <mergeCell ref="W108:X108"/>
    <mergeCell ref="W109:X109"/>
    <mergeCell ref="W110:X110"/>
    <mergeCell ref="AG111:AG117"/>
    <mergeCell ref="Y117:Z117"/>
    <mergeCell ref="Y110:Z110"/>
    <mergeCell ref="Y115:Z115"/>
    <mergeCell ref="Y116:Z116"/>
    <mergeCell ref="W104:W105"/>
    <mergeCell ref="X104:X105"/>
    <mergeCell ref="Z104:Z105"/>
    <mergeCell ref="W106:W107"/>
    <mergeCell ref="X106:X107"/>
    <mergeCell ref="Z106:Z107"/>
    <mergeCell ref="W111:W112"/>
    <mergeCell ref="X111:X112"/>
    <mergeCell ref="Z111:Z112"/>
    <mergeCell ref="W113:W114"/>
    <mergeCell ref="AH76:AH82"/>
    <mergeCell ref="W80:X80"/>
    <mergeCell ref="W81:X81"/>
    <mergeCell ref="W82:X82"/>
    <mergeCell ref="W87:X87"/>
    <mergeCell ref="B62:B68"/>
    <mergeCell ref="AG62:AG68"/>
    <mergeCell ref="AH62:AH68"/>
    <mergeCell ref="W66:X66"/>
    <mergeCell ref="W67:X67"/>
    <mergeCell ref="W68:X68"/>
    <mergeCell ref="AH69:AH75"/>
    <mergeCell ref="W73:X73"/>
    <mergeCell ref="W74:X74"/>
    <mergeCell ref="W75:X75"/>
    <mergeCell ref="W62:W63"/>
    <mergeCell ref="X62:X63"/>
    <mergeCell ref="Z62:Z63"/>
    <mergeCell ref="W64:W65"/>
    <mergeCell ref="X64:X65"/>
    <mergeCell ref="Z64:Z65"/>
    <mergeCell ref="W69:W70"/>
    <mergeCell ref="X69:X70"/>
    <mergeCell ref="Z69:Z70"/>
    <mergeCell ref="G4:G5"/>
    <mergeCell ref="O4:O5"/>
    <mergeCell ref="W17:X17"/>
    <mergeCell ref="W18:X18"/>
    <mergeCell ref="B27:B33"/>
    <mergeCell ref="AG41:AG47"/>
    <mergeCell ref="H4:H5"/>
    <mergeCell ref="W19:X19"/>
    <mergeCell ref="I5:J5"/>
    <mergeCell ref="Q4:Q5"/>
    <mergeCell ref="K4:K5"/>
    <mergeCell ref="Y12:Z12"/>
    <mergeCell ref="Y17:Z17"/>
    <mergeCell ref="Y18:Z18"/>
    <mergeCell ref="Y19:Z19"/>
    <mergeCell ref="AG13:AG19"/>
    <mergeCell ref="W6:W7"/>
    <mergeCell ref="X6:X7"/>
    <mergeCell ref="W8:W9"/>
    <mergeCell ref="X8:X9"/>
    <mergeCell ref="W13:W14"/>
    <mergeCell ref="W10:X10"/>
    <mergeCell ref="AB4:AB5"/>
    <mergeCell ref="X13:X14"/>
    <mergeCell ref="AH41:AH47"/>
    <mergeCell ref="W45:X45"/>
    <mergeCell ref="W46:X46"/>
    <mergeCell ref="W47:X47"/>
    <mergeCell ref="W24:X24"/>
    <mergeCell ref="W25:X25"/>
    <mergeCell ref="AG34:AG40"/>
    <mergeCell ref="AH34:AH40"/>
    <mergeCell ref="W38:X38"/>
    <mergeCell ref="W39:X39"/>
    <mergeCell ref="W40:X40"/>
    <mergeCell ref="W26:X26"/>
    <mergeCell ref="Y24:Z24"/>
    <mergeCell ref="Y25:Z25"/>
    <mergeCell ref="Y26:Z26"/>
    <mergeCell ref="Y31:Z31"/>
    <mergeCell ref="Y32:Z32"/>
    <mergeCell ref="AH27:AH33"/>
    <mergeCell ref="Z29:Z30"/>
    <mergeCell ref="W34:W35"/>
    <mergeCell ref="X34:X35"/>
    <mergeCell ref="Z34:Z35"/>
    <mergeCell ref="W36:W37"/>
    <mergeCell ref="X36:X37"/>
    <mergeCell ref="AH83:AH89"/>
    <mergeCell ref="AH6:AH12"/>
    <mergeCell ref="G133:G134"/>
    <mergeCell ref="H133:H134"/>
    <mergeCell ref="U4:U5"/>
    <mergeCell ref="N133:N134"/>
    <mergeCell ref="O133:O134"/>
    <mergeCell ref="P133:P134"/>
    <mergeCell ref="Q133:Q134"/>
    <mergeCell ref="R133:R134"/>
    <mergeCell ref="S4:S5"/>
    <mergeCell ref="AG6:AG12"/>
    <mergeCell ref="W11:X11"/>
    <mergeCell ref="W12:X12"/>
    <mergeCell ref="W59:X59"/>
    <mergeCell ref="W60:X60"/>
    <mergeCell ref="W54:X54"/>
    <mergeCell ref="AH90:AH96"/>
    <mergeCell ref="W94:X94"/>
    <mergeCell ref="W95:X95"/>
    <mergeCell ref="W96:X96"/>
    <mergeCell ref="W31:X31"/>
    <mergeCell ref="W29:W30"/>
    <mergeCell ref="X29:X30"/>
    <mergeCell ref="B133:C133"/>
    <mergeCell ref="B134:C134"/>
    <mergeCell ref="E1:H1"/>
    <mergeCell ref="E2:H2"/>
    <mergeCell ref="I1:J1"/>
    <mergeCell ref="I2:J2"/>
    <mergeCell ref="W1:X1"/>
    <mergeCell ref="B20:B26"/>
    <mergeCell ref="B97:B103"/>
    <mergeCell ref="B104:B110"/>
    <mergeCell ref="B111:B117"/>
    <mergeCell ref="L4:L5"/>
    <mergeCell ref="F3:J3"/>
    <mergeCell ref="W4:Z4"/>
    <mergeCell ref="E133:E134"/>
    <mergeCell ref="F133:F134"/>
    <mergeCell ref="W33:X33"/>
    <mergeCell ref="T4:T5"/>
    <mergeCell ref="V4:V5"/>
    <mergeCell ref="N4:N5"/>
    <mergeCell ref="P4:P5"/>
    <mergeCell ref="R4:R5"/>
    <mergeCell ref="W101:X101"/>
    <mergeCell ref="W102:X102"/>
    <mergeCell ref="AC3:AF3"/>
    <mergeCell ref="AB133:AB134"/>
    <mergeCell ref="AG2:AH2"/>
    <mergeCell ref="AG1:AH1"/>
    <mergeCell ref="X2:Z2"/>
    <mergeCell ref="AA1:AD1"/>
    <mergeCell ref="AA2:AD2"/>
    <mergeCell ref="AE2:AF2"/>
    <mergeCell ref="Y1:Z1"/>
    <mergeCell ref="AE1:AF1"/>
    <mergeCell ref="AH3:AH5"/>
    <mergeCell ref="AG3:AG5"/>
    <mergeCell ref="AH13:AH19"/>
    <mergeCell ref="AG20:AG26"/>
    <mergeCell ref="AH20:AH26"/>
    <mergeCell ref="AA133:AA134"/>
    <mergeCell ref="AC133:AC134"/>
    <mergeCell ref="AG27:AG33"/>
    <mergeCell ref="AH97:AH103"/>
    <mergeCell ref="W103:X103"/>
    <mergeCell ref="AH55:AH61"/>
    <mergeCell ref="W61:X61"/>
    <mergeCell ref="AG48:AG54"/>
    <mergeCell ref="AH48:AH54"/>
    <mergeCell ref="X50:X51"/>
    <mergeCell ref="Z50:Z51"/>
    <mergeCell ref="W55:W56"/>
    <mergeCell ref="X55:X56"/>
    <mergeCell ref="Z55:Z56"/>
    <mergeCell ref="W57:W58"/>
    <mergeCell ref="X57:X58"/>
    <mergeCell ref="Z57:Z58"/>
    <mergeCell ref="W52:X52"/>
    <mergeCell ref="W53:X53"/>
    <mergeCell ref="W71:W72"/>
    <mergeCell ref="X71:X72"/>
    <mergeCell ref="Z71:Z72"/>
    <mergeCell ref="W76:W77"/>
    <mergeCell ref="X76:X77"/>
    <mergeCell ref="Z76:Z77"/>
    <mergeCell ref="W78:W79"/>
    <mergeCell ref="X78:X79"/>
    <mergeCell ref="Z78:Z79"/>
    <mergeCell ref="W83:W84"/>
    <mergeCell ref="X83:X84"/>
    <mergeCell ref="Z83:Z84"/>
    <mergeCell ref="W85:W86"/>
    <mergeCell ref="X85:X86"/>
    <mergeCell ref="Z85:Z86"/>
    <mergeCell ref="W90:W91"/>
    <mergeCell ref="X90:X91"/>
    <mergeCell ref="Z90:Z91"/>
    <mergeCell ref="Y89:Z89"/>
    <mergeCell ref="W92:W93"/>
    <mergeCell ref="X92:X93"/>
    <mergeCell ref="Z92:Z93"/>
    <mergeCell ref="W97:W98"/>
    <mergeCell ref="X97:X98"/>
    <mergeCell ref="Z97:Z98"/>
    <mergeCell ref="W99:W100"/>
    <mergeCell ref="X99:X100"/>
    <mergeCell ref="Z99:Z100"/>
    <mergeCell ref="Y94:Z94"/>
    <mergeCell ref="Y95:Z95"/>
    <mergeCell ref="Y96:Z96"/>
    <mergeCell ref="X113:X114"/>
    <mergeCell ref="Z113:Z114"/>
    <mergeCell ref="W118:W119"/>
    <mergeCell ref="X118:X119"/>
    <mergeCell ref="Z118:Z119"/>
    <mergeCell ref="W120:W121"/>
    <mergeCell ref="X120:X121"/>
    <mergeCell ref="Z120:Z121"/>
    <mergeCell ref="W125:W126"/>
    <mergeCell ref="X125:X126"/>
    <mergeCell ref="Z125:Z126"/>
  </mergeCells>
  <phoneticPr fontId="0" type="noConversion"/>
  <conditionalFormatting sqref="B6:AH131">
    <cfRule type="expression" dxfId="31" priority="1">
      <formula>AND(INT(($C6+1-Fnac)/7)=($C6+1-Fnac)/7)</formula>
    </cfRule>
  </conditionalFormatting>
  <conditionalFormatting sqref="C6:H131">
    <cfRule type="expression" dxfId="30" priority="530">
      <formula>AND($AJ6=1)</formula>
    </cfRule>
  </conditionalFormatting>
  <conditionalFormatting sqref="J27:J131">
    <cfRule type="expression" dxfId="29" priority="2">
      <formula>AND($I27=$I$9,$J27&gt;0.002)</formula>
    </cfRule>
  </conditionalFormatting>
  <dataValidations disablePrompts="1" count="6">
    <dataValidation allowBlank="1" showInputMessage="1" showErrorMessage="1" promptTitle="Acumulado Esperado de Mortalidad" prompt="Digite en esta celda el Porcentaje Esperado para este lote de Mortalidad Acumulada en el Levante.   Se estima que en toda ocasión no debería sobrepasar el 2% a semana 18." sqref="E3" xr:uid="{00000000-0002-0000-0300-000001000000}"/>
    <dataValidation type="date" allowBlank="1" showInputMessage="1" showErrorMessage="1" errorTitle="ERROR DE FECHA" error="La Fecha Inicial y la Final deben estar contenidas dentro de la fecha de nacimiento y la de cierre de semana 18" sqref="B133" xr:uid="{00000000-0002-0000-0300-000002000000}">
      <formula1>$C$6</formula1>
      <formula2>$C$131</formula2>
    </dataValidation>
    <dataValidation type="custom" allowBlank="1" showInputMessage="1" showErrorMessage="1" sqref="F27:F131 G20:G131" xr:uid="{00000000-0002-0000-0300-000003000000}">
      <formula1>AND(F20&gt;0)</formula1>
    </dataValidation>
    <dataValidation showInputMessage="1" showErrorMessage="1" sqref="AE2" xr:uid="{00000000-0002-0000-0300-000000000000}"/>
    <dataValidation type="list" allowBlank="1" showInputMessage="1" showErrorMessage="1" sqref="AB3" xr:uid="{0D73DE95-31F3-48A6-A9FC-23765F402312}">
      <formula1>"SI,NO"</formula1>
    </dataValidation>
    <dataValidation allowBlank="1" showInputMessage="1" showErrorMessage="1" prompt="Para los consumos Tabla, primera fila = Tab Min  y  segunda fila = Tab Máx." sqref="Y5" xr:uid="{3A37064A-CEE5-4AC2-A829-17C498B18A5B}"/>
  </dataValidations>
  <printOptions gridLinesSet="0"/>
  <pageMargins left="0.31496062992125984" right="0.19685039370078741" top="0.78740157480314965" bottom="0.39370078740157483" header="0.23622047244094491" footer="0.23622047244094491"/>
  <pageSetup scale="51" fitToHeight="0" orientation="landscape" r:id="rId2"/>
  <headerFooter alignWithMargins="0"/>
  <drawing r:id="rId3"/>
  <extLst>
    <ext xmlns:x14="http://schemas.microsoft.com/office/spreadsheetml/2009/9/main" uri="{78C0D931-6437-407d-A8EE-F0AAD7539E65}">
      <x14:conditionalFormattings>
        <x14:conditionalFormatting xmlns:xm="http://schemas.microsoft.com/office/excel/2006/main">
          <x14:cfRule type="expression" priority="51" id="{38CA8974-99E1-4495-B638-C91D526866AE}">
            <xm:f>OR($N$2=Var!$I$2,$N$2=Var!$I$3,$N$2=Var!$I$5)</xm:f>
            <x14:dxf>
              <font>
                <b/>
                <i val="0"/>
                <strike val="0"/>
                <color rgb="FF222E9E"/>
              </font>
              <fill>
                <patternFill patternType="none">
                  <bgColor auto="1"/>
                </patternFill>
              </fill>
            </x14:dxf>
          </x14:cfRule>
          <xm:sqref>N2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CL39"/>
  <sheetViews>
    <sheetView showGridLines="0" showRowColHeaders="0" showZeros="0" zoomScaleNormal="100" workbookViewId="0">
      <pane xSplit="2" ySplit="5" topLeftCell="C6" activePane="bottomRight" state="frozen"/>
      <selection pane="topRight" activeCell="C1" sqref="C1"/>
      <selection pane="bottomLeft" activeCell="A6" sqref="A6"/>
      <selection pane="bottomRight" activeCell="U4" sqref="U4"/>
    </sheetView>
  </sheetViews>
  <sheetFormatPr baseColWidth="10" defaultColWidth="0" defaultRowHeight="13.5" zeroHeight="1" x14ac:dyDescent="0.25"/>
  <cols>
    <col min="1" max="1" width="4.875" style="43" customWidth="1"/>
    <col min="2" max="2" width="7.625" style="43" customWidth="1"/>
    <col min="3" max="3" width="7.5" style="43" customWidth="1"/>
    <col min="4" max="4" width="7.625" style="43" customWidth="1"/>
    <col min="5" max="5" width="7.75" style="43" customWidth="1"/>
    <col min="6" max="6" width="8.5" style="43" customWidth="1"/>
    <col min="7" max="7" width="8.75" style="43" customWidth="1"/>
    <col min="8" max="8" width="8.5" style="43" customWidth="1"/>
    <col min="9" max="9" width="7.375" style="43" bestFit="1" customWidth="1"/>
    <col min="10" max="10" width="7.5" style="43" customWidth="1"/>
    <col min="11" max="11" width="6" style="43" customWidth="1"/>
    <col min="12" max="12" width="6" style="43" hidden="1" customWidth="1"/>
    <col min="13" max="13" width="6" style="43" customWidth="1"/>
    <col min="14" max="14" width="6.875" style="43" customWidth="1"/>
    <col min="15" max="15" width="6.5" style="43" customWidth="1"/>
    <col min="16" max="16" width="7.875" style="43" customWidth="1"/>
    <col min="17" max="17" width="7.625" style="43" customWidth="1"/>
    <col min="18" max="19" width="6" style="43" customWidth="1"/>
    <col min="20" max="20" width="6.5" style="43" customWidth="1"/>
    <col min="21" max="21" width="7.875" style="43" customWidth="1"/>
    <col min="22" max="23" width="5.625" style="43" customWidth="1"/>
    <col min="24" max="24" width="5.625" style="43" hidden="1" customWidth="1"/>
    <col min="25" max="25" width="7.5" style="43" customWidth="1"/>
    <col min="26" max="26" width="7.75" style="43" customWidth="1"/>
    <col min="27" max="27" width="7.125" style="43" customWidth="1"/>
    <col min="28" max="29" width="6.5" style="43" customWidth="1"/>
    <col min="30" max="30" width="5.625" style="43" hidden="1" customWidth="1"/>
    <col min="31" max="31" width="9.125" style="43" customWidth="1"/>
    <col min="32" max="32" width="4.625" style="43" customWidth="1"/>
    <col min="33" max="33" width="6.125" style="43" customWidth="1"/>
    <col min="34" max="34" width="4.375" style="43" customWidth="1"/>
    <col min="35" max="35" width="6.25" style="43" customWidth="1"/>
    <col min="36" max="36" width="6.75" style="43" customWidth="1"/>
    <col min="37" max="37" width="5.625" style="43" customWidth="1"/>
    <col min="38" max="38" width="7.375"/>
    <col min="39" max="39" width="12.875"/>
    <col min="40" max="40" width="13.25" bestFit="1"/>
    <col min="41" max="41" width="11.375"/>
    <col min="42" max="46" width="9.625"/>
    <col min="47" max="47" width="8"/>
    <col min="48" max="48" width="29.375"/>
    <col min="49" max="51" width="9.625"/>
    <col min="52" max="52" width="10.375"/>
    <col min="53" max="55" width="9.625"/>
    <col min="56" max="56" width="10.375"/>
    <col min="57" max="57" width="15.5"/>
    <col min="58" max="58" width="11.625"/>
    <col min="59" max="59" width="11.375"/>
    <col min="60" max="60" width="3.875"/>
    <col min="61" max="63" width="9.625"/>
    <col min="64" max="65" width="8.125"/>
    <col min="66" max="67" width="9.625"/>
    <col min="68" max="90" width="0" style="43" hidden="1" customWidth="1"/>
    <col min="91" max="16384" width="9.625" style="43" hidden="1"/>
  </cols>
  <sheetData>
    <row r="1" spans="1:69" ht="23.25" customHeight="1" thickBot="1" x14ac:dyDescent="0.3">
      <c r="A1" s="1946"/>
      <c r="B1" s="1946"/>
      <c r="C1" s="1946"/>
      <c r="D1" s="1946"/>
      <c r="E1" s="1947"/>
      <c r="F1" s="1916" t="str">
        <f>CONCATENATE(Iniciar!B2," : ")</f>
        <v xml:space="preserve">Nombre / Razón Social  : </v>
      </c>
      <c r="G1" s="1917"/>
      <c r="H1" s="1917"/>
      <c r="I1" s="1963" t="str">
        <f>Iniciar!C2</f>
        <v xml:space="preserve"> </v>
      </c>
      <c r="J1" s="1963"/>
      <c r="K1" s="1963"/>
      <c r="L1" s="1963"/>
      <c r="M1" s="1963"/>
      <c r="N1" s="1964"/>
      <c r="O1" s="1926" t="str">
        <f>Iniciar!B3</f>
        <v xml:space="preserve">Estirpe / Línea : </v>
      </c>
      <c r="P1" s="1916"/>
      <c r="Q1" s="1916"/>
      <c r="R1" s="1934">
        <f>Linea</f>
        <v>0</v>
      </c>
      <c r="S1" s="1935"/>
      <c r="T1" s="1935"/>
      <c r="U1" s="1936"/>
      <c r="V1" s="1961" t="str">
        <f>Levante!AA1</f>
        <v xml:space="preserve">Asesor Técnico : </v>
      </c>
      <c r="W1" s="1962"/>
      <c r="X1" s="1962"/>
      <c r="Y1" s="1962"/>
      <c r="Z1" s="1962"/>
      <c r="AA1" s="1958">
        <f>Levante!AE1</f>
        <v>0</v>
      </c>
      <c r="AB1" s="1958"/>
      <c r="AC1" s="1959"/>
      <c r="AD1" s="1959"/>
      <c r="AE1" s="1958"/>
      <c r="AF1" s="1958"/>
      <c r="AG1" s="1958"/>
      <c r="AH1" s="1958"/>
      <c r="AI1" s="1958"/>
      <c r="AJ1" s="1960"/>
    </row>
    <row r="2" spans="1:69" ht="23.25" customHeight="1" x14ac:dyDescent="0.25">
      <c r="A2" s="1946"/>
      <c r="B2" s="1946"/>
      <c r="C2" s="1946"/>
      <c r="D2" s="1946"/>
      <c r="E2" s="1947"/>
      <c r="F2" s="1918" t="str">
        <f>Iniciar!B14</f>
        <v xml:space="preserve">Nombre de la Granja : </v>
      </c>
      <c r="G2" s="1919"/>
      <c r="H2" s="1920"/>
      <c r="I2" s="1965">
        <f>GRANJALEV</f>
        <v>0</v>
      </c>
      <c r="J2" s="1965"/>
      <c r="K2" s="1965"/>
      <c r="L2" s="1965"/>
      <c r="M2" s="1965"/>
      <c r="N2" s="1966"/>
      <c r="O2" s="1968" t="s">
        <v>353</v>
      </c>
      <c r="P2" s="1918"/>
      <c r="Q2" s="1918"/>
      <c r="R2" s="1937">
        <f>Fnac</f>
        <v>0</v>
      </c>
      <c r="S2" s="1938"/>
      <c r="T2" s="1938"/>
      <c r="U2" s="1939"/>
      <c r="V2" s="1951" t="str">
        <f>Levante!AA2</f>
        <v xml:space="preserve">Manejo de la Luz : </v>
      </c>
      <c r="W2" s="1952"/>
      <c r="X2" s="1952"/>
      <c r="Y2" s="1953"/>
      <c r="Z2" s="1953"/>
      <c r="AA2" s="1953"/>
      <c r="AB2" s="1953"/>
      <c r="AC2" s="1952"/>
      <c r="AD2" s="1952"/>
      <c r="AE2" s="1954"/>
      <c r="AF2" s="1940" t="str">
        <f>Levante!AG2</f>
        <v xml:space="preserve">Clima : </v>
      </c>
      <c r="AG2" s="1941"/>
      <c r="AH2" s="1941"/>
      <c r="AI2" s="1941"/>
      <c r="AJ2" s="1942"/>
    </row>
    <row r="3" spans="1:69" ht="23.25" customHeight="1" thickBot="1" x14ac:dyDescent="0.3">
      <c r="A3" s="1946"/>
      <c r="B3" s="1946"/>
      <c r="C3" s="1946"/>
      <c r="D3" s="1946"/>
      <c r="E3" s="1947"/>
      <c r="F3" s="1325" t="str">
        <f>Iniciar!B4</f>
        <v xml:space="preserve">Lote # : </v>
      </c>
      <c r="G3" s="1914">
        <f>LOTE</f>
        <v>0</v>
      </c>
      <c r="H3" s="1915"/>
      <c r="I3" s="1967" t="s">
        <v>337</v>
      </c>
      <c r="J3" s="1925"/>
      <c r="K3" s="1921">
        <f>Iniciar!C18</f>
        <v>0</v>
      </c>
      <c r="L3" s="1922"/>
      <c r="M3" s="1922"/>
      <c r="N3" s="1923"/>
      <c r="O3" s="1924" t="s">
        <v>258</v>
      </c>
      <c r="P3" s="1925"/>
      <c r="Q3" s="1925"/>
      <c r="R3" s="1948">
        <f>AvesIni</f>
        <v>0</v>
      </c>
      <c r="S3" s="1949"/>
      <c r="T3" s="1949"/>
      <c r="U3" s="1950"/>
      <c r="V3" s="1955" t="str">
        <f>Levante!AE2</f>
        <v xml:space="preserve">Equipo de Comederos : </v>
      </c>
      <c r="W3" s="1956"/>
      <c r="X3" s="1956"/>
      <c r="Y3" s="1956"/>
      <c r="Z3" s="1956"/>
      <c r="AA3" s="1956"/>
      <c r="AB3" s="1956"/>
      <c r="AC3" s="1956"/>
      <c r="AD3" s="1956"/>
      <c r="AE3" s="1957"/>
      <c r="AF3" s="1943"/>
      <c r="AG3" s="1944"/>
      <c r="AH3" s="1944"/>
      <c r="AI3" s="1944"/>
      <c r="AJ3" s="1945"/>
    </row>
    <row r="4" spans="1:69" ht="23.25" customHeight="1" thickBot="1" x14ac:dyDescent="0.3">
      <c r="A4" s="1324"/>
      <c r="B4" s="1930" t="s">
        <v>195</v>
      </c>
      <c r="C4" s="1931"/>
      <c r="D4" s="1931"/>
      <c r="E4" s="1931"/>
      <c r="F4" s="1931"/>
      <c r="G4" s="1931"/>
      <c r="H4" s="1932"/>
      <c r="I4" s="1933" t="s">
        <v>191</v>
      </c>
      <c r="J4" s="1928"/>
      <c r="K4" s="1928"/>
      <c r="L4" s="1928"/>
      <c r="M4" s="1928"/>
      <c r="N4" s="1928"/>
      <c r="O4" s="1928"/>
      <c r="P4" s="1928"/>
      <c r="Q4" s="1928"/>
      <c r="R4" s="1928"/>
      <c r="S4" s="1928"/>
      <c r="T4" s="1929"/>
      <c r="U4" s="536"/>
      <c r="V4" s="537">
        <v>35</v>
      </c>
      <c r="W4" s="537">
        <v>38</v>
      </c>
      <c r="X4" s="804">
        <f>(W4-V4)</f>
        <v>3</v>
      </c>
      <c r="Y4" s="1927" t="s">
        <v>190</v>
      </c>
      <c r="Z4" s="1928"/>
      <c r="AA4" s="1928"/>
      <c r="AB4" s="1928"/>
      <c r="AC4" s="1928"/>
      <c r="AD4" s="1928"/>
      <c r="AE4" s="1928"/>
      <c r="AF4" s="1928"/>
      <c r="AG4" s="1928"/>
      <c r="AH4" s="1928"/>
      <c r="AI4" s="1928"/>
      <c r="AJ4" s="1929"/>
    </row>
    <row r="5" spans="1:69" s="59" customFormat="1" ht="54" customHeight="1" thickBot="1" x14ac:dyDescent="0.3">
      <c r="A5" s="467" t="s">
        <v>0</v>
      </c>
      <c r="B5" s="1368" t="s">
        <v>172</v>
      </c>
      <c r="C5" s="1354" t="s">
        <v>214</v>
      </c>
      <c r="D5" s="1354" t="s">
        <v>215</v>
      </c>
      <c r="E5" s="1355" t="s">
        <v>188</v>
      </c>
      <c r="F5" s="1369" t="s">
        <v>477</v>
      </c>
      <c r="G5" s="1355" t="s">
        <v>189</v>
      </c>
      <c r="H5" s="1370" t="s">
        <v>477</v>
      </c>
      <c r="I5" s="1356" t="s">
        <v>400</v>
      </c>
      <c r="J5" s="879" t="s">
        <v>252</v>
      </c>
      <c r="K5" s="1371" t="s">
        <v>478</v>
      </c>
      <c r="L5" s="1372" t="s">
        <v>479</v>
      </c>
      <c r="M5" s="1371" t="s">
        <v>480</v>
      </c>
      <c r="N5" s="989" t="s">
        <v>251</v>
      </c>
      <c r="O5" s="1357" t="s">
        <v>413</v>
      </c>
      <c r="P5" s="1358" t="s">
        <v>414</v>
      </c>
      <c r="Q5" s="1359" t="s">
        <v>192</v>
      </c>
      <c r="R5" s="1373" t="s">
        <v>481</v>
      </c>
      <c r="S5" s="1373" t="s">
        <v>482</v>
      </c>
      <c r="T5" s="990" t="s">
        <v>200</v>
      </c>
      <c r="U5" s="1360" t="s">
        <v>193</v>
      </c>
      <c r="V5" s="1374" t="s">
        <v>483</v>
      </c>
      <c r="W5" s="1374" t="s">
        <v>484</v>
      </c>
      <c r="X5" s="1375" t="s">
        <v>485</v>
      </c>
      <c r="Y5" s="1361" t="s">
        <v>244</v>
      </c>
      <c r="Z5" s="745" t="s">
        <v>308</v>
      </c>
      <c r="AA5" s="1362" t="s">
        <v>194</v>
      </c>
      <c r="AB5" s="1376" t="s">
        <v>486</v>
      </c>
      <c r="AC5" s="1376" t="s">
        <v>487</v>
      </c>
      <c r="AD5" s="1377" t="s">
        <v>488</v>
      </c>
      <c r="AE5" s="1363" t="s">
        <v>249</v>
      </c>
      <c r="AF5" s="1364" t="s">
        <v>475</v>
      </c>
      <c r="AG5" s="1365" t="s">
        <v>309</v>
      </c>
      <c r="AH5" s="1366" t="s">
        <v>476</v>
      </c>
      <c r="AI5" s="1378" t="s">
        <v>489</v>
      </c>
      <c r="AJ5" s="1367" t="s">
        <v>424</v>
      </c>
      <c r="BP5" s="43"/>
      <c r="BQ5" s="43"/>
    </row>
    <row r="6" spans="1:69" ht="25.5" customHeight="1" thickTop="1" x14ac:dyDescent="0.25">
      <c r="A6" s="1523">
        <v>1</v>
      </c>
      <c r="B6" s="742">
        <f>LOOKUP($A6,Levante!$B$6:$B$131,Levante!$H$12:$H$137)</f>
        <v>0</v>
      </c>
      <c r="C6" s="70">
        <f>SUMIFS(Levante!$E$6:$E$131,Levante!$D$6:$D$131,"&gt;"&amp;('Sem-L'!$A6-1),Levante!$D$6:$D$131,"&lt;"&amp;('Sem-L'!$A6+1/7))+SUMIFS(Levante!$F$6:$F$131,Levante!$D$6:$D$131,"&gt;"&amp;('Sem-L'!$A6-1),Levante!$D$6:$D$131,"&lt;"&amp;('Sem-L'!$A6+1/7))</f>
        <v>0</v>
      </c>
      <c r="D6" s="461">
        <f>SUMIFS(Levante!$G$6:$G$131,Levante!$D$6:$D$131,"&gt;"&amp;('Sem-L'!$A6-1),Levante!$D$6:$D$131,"&lt;"&amp;('Sem-L'!$A6+1/7))</f>
        <v>0</v>
      </c>
      <c r="E6" s="1526">
        <f t="shared" ref="E6" si="0">MSL</f>
        <v>0</v>
      </c>
      <c r="F6" s="1527">
        <f>LOOKUP($A6,Levante!$B$6:$B$145,Levante!$J$10:$J$149)</f>
        <v>5.0000000000000001E-3</v>
      </c>
      <c r="G6" s="1528">
        <f t="shared" ref="G6" si="1">MACL</f>
        <v>0</v>
      </c>
      <c r="H6" s="1529">
        <f>LOOKUP($A6,Levante!$B$6:$B$145,Levante!$J$12:$J$151)</f>
        <v>5.0000000000000001E-3</v>
      </c>
      <c r="I6" s="1530">
        <f>GSh!L6</f>
        <v>0</v>
      </c>
      <c r="J6" s="1531">
        <f t="shared" ref="J6" si="2">GADL</f>
        <v>0</v>
      </c>
      <c r="K6" s="1532">
        <f>GSh!O6</f>
        <v>0</v>
      </c>
      <c r="L6" s="1532">
        <f t="shared" ref="L6:L23" si="3">M6-K6</f>
        <v>0</v>
      </c>
      <c r="M6" s="1532">
        <f>GSh!P6</f>
        <v>0</v>
      </c>
      <c r="N6" s="880">
        <f t="shared" ref="N6" si="4">CGADL</f>
        <v>0</v>
      </c>
      <c r="O6" s="1533">
        <f t="shared" ref="O6" si="5">MLADL</f>
        <v>0</v>
      </c>
      <c r="P6" s="1534">
        <f>GSh!T6</f>
        <v>0</v>
      </c>
      <c r="Q6" s="1535">
        <f t="shared" ref="Q6" ca="1" si="6">GrAcRL</f>
        <v>0</v>
      </c>
      <c r="R6" s="1536">
        <f>GSh!V6</f>
        <v>0</v>
      </c>
      <c r="S6" s="1536">
        <f>GSh!W6</f>
        <v>0</v>
      </c>
      <c r="T6" s="1582">
        <f t="shared" ref="T6" ca="1" si="7">CGrAcRL</f>
        <v>0</v>
      </c>
      <c r="U6" s="1537"/>
      <c r="V6" s="1538">
        <f>GSh!C6</f>
        <v>0</v>
      </c>
      <c r="W6" s="1538">
        <f>GSh!D6</f>
        <v>0</v>
      </c>
      <c r="X6" s="1539">
        <f t="shared" ref="X6:X23" si="8">(W6-V6)</f>
        <v>0</v>
      </c>
      <c r="Y6" s="1582">
        <f t="shared" ref="Y6" si="9">CPL</f>
        <v>0</v>
      </c>
      <c r="Z6" s="1583">
        <f t="shared" ref="Z6:Z23" si="10">DIAS</f>
        <v>0</v>
      </c>
      <c r="AA6" s="1540">
        <f t="shared" ref="AA6" si="11">GPRL</f>
        <v>0</v>
      </c>
      <c r="AB6" s="1541">
        <f>IF(AND(V4&gt;0,V6&gt;0),V6-V4,0)</f>
        <v>0</v>
      </c>
      <c r="AC6" s="1541">
        <f>IF(AND(W4&gt;0,W6&gt;0),W6-W4,0)</f>
        <v>0</v>
      </c>
      <c r="AD6" s="1539">
        <f t="shared" ref="AD6:AD23" si="12">(AC6-AB6)</f>
        <v>0</v>
      </c>
      <c r="AE6" s="1581">
        <f t="shared" ref="AE6" si="13">CGPL</f>
        <v>0</v>
      </c>
      <c r="AF6" s="1542">
        <f t="shared" ref="AF6:AF23" si="14">IF(AG6&gt;0,IF(AH6&gt;0,100-SUM(AG6:AH6),0),0)</f>
        <v>0</v>
      </c>
      <c r="AG6" s="1543"/>
      <c r="AH6" s="1544"/>
      <c r="AI6" s="1545">
        <v>90</v>
      </c>
      <c r="AJ6" s="1585">
        <f t="shared" ref="AJ6:AJ23" si="15">IF(AND(AG6&gt;0,AI6&gt;0),(AG6-AI6)/AI6*100,0)</f>
        <v>0</v>
      </c>
      <c r="BP6" s="59"/>
      <c r="BQ6" s="59"/>
    </row>
    <row r="7" spans="1:69" ht="25.5" customHeight="1" x14ac:dyDescent="0.25">
      <c r="A7" s="1524">
        <f t="shared" ref="A7:A23" si="16">A6+1</f>
        <v>2</v>
      </c>
      <c r="B7" s="743">
        <f>LOOKUP($A7,Levante!$B$6:$B$131,Levante!$H$12:$H$137)</f>
        <v>0</v>
      </c>
      <c r="C7" s="70">
        <f>SUMIFS(Levante!$E$6:$E$131,Levante!$D$6:$D$131,"&gt;"&amp;('Sem-L'!$A7-1),Levante!$D$6:$D$131,"&lt;"&amp;('Sem-L'!$A7+1/7))+SUMIFS(Levante!$F$6:$F$131,Levante!$D$6:$D$131,"&gt;"&amp;('Sem-L'!$A7-1),Levante!$D$6:$D$131,"&lt;"&amp;('Sem-L'!$A7+1/7))</f>
        <v>0</v>
      </c>
      <c r="D7" s="462">
        <f>SUMIFS(Levante!$G$6:$G$131,Levante!$D$6:$D$131,"&gt;"&amp;('Sem-L'!$A7-1),Levante!$D$6:$D$131,"&lt;"&amp;('Sem-L'!$A7+1/7))</f>
        <v>0</v>
      </c>
      <c r="E7" s="1587"/>
      <c r="F7" s="1546">
        <f>LOOKUP($A7,Levante!$B$6:$B$145,Levante!$J$10:$J$149)</f>
        <v>3.0000000000000001E-3</v>
      </c>
      <c r="G7" s="1588"/>
      <c r="H7" s="1547">
        <f>LOOKUP($A7,Levante!$B$6:$B$145,Levante!$J$12:$J$151)</f>
        <v>8.0000000000000002E-3</v>
      </c>
      <c r="I7" s="1530">
        <f>GSh!L7</f>
        <v>0</v>
      </c>
      <c r="J7" s="1589"/>
      <c r="K7" s="1548">
        <f>GSh!O7</f>
        <v>0</v>
      </c>
      <c r="L7" s="1548">
        <f t="shared" si="3"/>
        <v>0</v>
      </c>
      <c r="M7" s="1548">
        <f>GSh!P7</f>
        <v>0</v>
      </c>
      <c r="N7" s="1590"/>
      <c r="O7" s="1592"/>
      <c r="P7" s="1549">
        <f>GSh!T7</f>
        <v>0</v>
      </c>
      <c r="Q7" s="1593"/>
      <c r="R7" s="1550">
        <f>GSh!V7</f>
        <v>0</v>
      </c>
      <c r="S7" s="1550">
        <f>GSh!W7</f>
        <v>0</v>
      </c>
      <c r="T7" s="1594"/>
      <c r="U7" s="1537"/>
      <c r="V7" s="1551">
        <f>GSh!C7</f>
        <v>0</v>
      </c>
      <c r="W7" s="1551">
        <f>GSh!D7</f>
        <v>0</v>
      </c>
      <c r="X7" s="1539">
        <f t="shared" si="8"/>
        <v>0</v>
      </c>
      <c r="Y7" s="1594"/>
      <c r="Z7" s="1584">
        <f t="shared" si="10"/>
        <v>0</v>
      </c>
      <c r="AA7" s="1595"/>
      <c r="AB7" s="1552">
        <f t="shared" ref="AB7:AB23" si="17">(V7-V6)</f>
        <v>0</v>
      </c>
      <c r="AC7" s="1552">
        <f t="shared" ref="AC7:AC23" si="18">(W7-W6)</f>
        <v>0</v>
      </c>
      <c r="AD7" s="1539">
        <f t="shared" si="12"/>
        <v>0</v>
      </c>
      <c r="AE7" s="1596"/>
      <c r="AF7" s="1542">
        <f t="shared" si="14"/>
        <v>0</v>
      </c>
      <c r="AG7" s="1543"/>
      <c r="AH7" s="1544"/>
      <c r="AI7" s="1545">
        <f t="shared" ref="AI7:AI23" si="19">AI6</f>
        <v>90</v>
      </c>
      <c r="AJ7" s="1585">
        <f t="shared" si="15"/>
        <v>0</v>
      </c>
    </row>
    <row r="8" spans="1:69" ht="25.5" customHeight="1" x14ac:dyDescent="0.25">
      <c r="A8" s="1524">
        <f t="shared" si="16"/>
        <v>3</v>
      </c>
      <c r="B8" s="743">
        <f>LOOKUP($A8,Levante!$B$6:$B$131,Levante!$H$12:$H$137)</f>
        <v>0</v>
      </c>
      <c r="C8" s="70">
        <f>SUMIFS(Levante!$E$6:$E$131,Levante!$D$6:$D$131,"&gt;"&amp;('Sem-L'!$A8-1),Levante!$D$6:$D$131,"&lt;"&amp;('Sem-L'!$A8+1/7))+SUMIFS(Levante!$F$6:$F$131,Levante!$D$6:$D$131,"&gt;"&amp;('Sem-L'!$A8-1),Levante!$D$6:$D$131,"&lt;"&amp;('Sem-L'!$A8+1/7))</f>
        <v>0</v>
      </c>
      <c r="D8" s="462">
        <f>SUMIFS(Levante!$G$6:$G$131,Levante!$D$6:$D$131,"&gt;"&amp;('Sem-L'!$A8-1),Levante!$D$6:$D$131,"&lt;"&amp;('Sem-L'!$A8+1/7))</f>
        <v>0</v>
      </c>
      <c r="E8" s="1587"/>
      <c r="F8" s="1546">
        <f>LOOKUP($A8,Levante!$B$6:$B$145,Levante!$J$10:$J$149)</f>
        <v>8.0000000000000036E-4</v>
      </c>
      <c r="G8" s="1588"/>
      <c r="H8" s="1547">
        <f>LOOKUP($A8,Levante!$B$6:$B$145,Levante!$J$12:$J$151)</f>
        <v>8.8000000000000005E-3</v>
      </c>
      <c r="I8" s="1530">
        <f>GSh!L8</f>
        <v>0</v>
      </c>
      <c r="J8" s="1589"/>
      <c r="K8" s="1548">
        <f>GSh!O8</f>
        <v>0</v>
      </c>
      <c r="L8" s="1548">
        <f t="shared" si="3"/>
        <v>0</v>
      </c>
      <c r="M8" s="1548">
        <f>GSh!P8</f>
        <v>0</v>
      </c>
      <c r="N8" s="1590"/>
      <c r="O8" s="1592"/>
      <c r="P8" s="1549">
        <f>GSh!T8</f>
        <v>0</v>
      </c>
      <c r="Q8" s="1593"/>
      <c r="R8" s="1550">
        <f>GSh!V8</f>
        <v>0</v>
      </c>
      <c r="S8" s="1550">
        <f>GSh!W8</f>
        <v>0</v>
      </c>
      <c r="T8" s="1594"/>
      <c r="U8" s="1537"/>
      <c r="V8" s="1551">
        <f>GSh!C8</f>
        <v>0</v>
      </c>
      <c r="W8" s="1551">
        <f>GSh!D8</f>
        <v>0</v>
      </c>
      <c r="X8" s="1539">
        <f t="shared" si="8"/>
        <v>0</v>
      </c>
      <c r="Y8" s="1594"/>
      <c r="Z8" s="1584">
        <f t="shared" si="10"/>
        <v>0</v>
      </c>
      <c r="AA8" s="1595"/>
      <c r="AB8" s="1552">
        <f t="shared" si="17"/>
        <v>0</v>
      </c>
      <c r="AC8" s="1552">
        <f t="shared" si="18"/>
        <v>0</v>
      </c>
      <c r="AD8" s="1539">
        <f t="shared" si="12"/>
        <v>0</v>
      </c>
      <c r="AE8" s="1596"/>
      <c r="AF8" s="1542">
        <f t="shared" si="14"/>
        <v>0</v>
      </c>
      <c r="AG8" s="1543"/>
      <c r="AH8" s="1544"/>
      <c r="AI8" s="1545">
        <f t="shared" si="19"/>
        <v>90</v>
      </c>
      <c r="AJ8" s="1585">
        <f t="shared" si="15"/>
        <v>0</v>
      </c>
    </row>
    <row r="9" spans="1:69" ht="25.5" customHeight="1" x14ac:dyDescent="0.25">
      <c r="A9" s="1524">
        <f t="shared" si="16"/>
        <v>4</v>
      </c>
      <c r="B9" s="743">
        <f>LOOKUP($A9,Levante!$B$6:$B$131,Levante!$H$12:$H$137)</f>
        <v>0</v>
      </c>
      <c r="C9" s="70">
        <f>SUMIFS(Levante!$E$6:$E$131,Levante!$D$6:$D$131,"&gt;"&amp;('Sem-L'!$A9-1),Levante!$D$6:$D$131,"&lt;"&amp;('Sem-L'!$A9+1/7))+SUMIFS(Levante!$F$6:$F$131,Levante!$D$6:$D$131,"&gt;"&amp;('Sem-L'!$A9-1),Levante!$D$6:$D$131,"&lt;"&amp;('Sem-L'!$A9+1/7))</f>
        <v>0</v>
      </c>
      <c r="D9" s="462">
        <f>SUMIFS(Levante!$G$6:$G$131,Levante!$D$6:$D$131,"&gt;"&amp;('Sem-L'!$A9-1),Levante!$D$6:$D$131,"&lt;"&amp;('Sem-L'!$A9+1/7))</f>
        <v>0</v>
      </c>
      <c r="E9" s="1587"/>
      <c r="F9" s="1546">
        <f>LOOKUP($A9,Levante!$B$6:$B$145,Levante!$J$10:$J$149)</f>
        <v>7.9999999999999863E-4</v>
      </c>
      <c r="G9" s="1588"/>
      <c r="H9" s="1547">
        <f>LOOKUP($A9,Levante!$B$6:$B$145,Levante!$J$12:$J$151)</f>
        <v>9.5999999999999992E-3</v>
      </c>
      <c r="I9" s="1530">
        <f>GSh!L9</f>
        <v>0</v>
      </c>
      <c r="J9" s="1589"/>
      <c r="K9" s="1548">
        <f>GSh!O9</f>
        <v>0</v>
      </c>
      <c r="L9" s="1548">
        <f t="shared" si="3"/>
        <v>0</v>
      </c>
      <c r="M9" s="1548">
        <f>GSh!P9</f>
        <v>0</v>
      </c>
      <c r="N9" s="1590"/>
      <c r="O9" s="1592"/>
      <c r="P9" s="1549">
        <f>GSh!T9</f>
        <v>0</v>
      </c>
      <c r="Q9" s="1593"/>
      <c r="R9" s="1550">
        <f>GSh!V9</f>
        <v>0</v>
      </c>
      <c r="S9" s="1550">
        <f>GSh!W9</f>
        <v>0</v>
      </c>
      <c r="T9" s="1594"/>
      <c r="U9" s="1537"/>
      <c r="V9" s="1551">
        <f>GSh!C9</f>
        <v>0</v>
      </c>
      <c r="W9" s="1551">
        <f>GSh!D9</f>
        <v>0</v>
      </c>
      <c r="X9" s="1539">
        <f t="shared" si="8"/>
        <v>0</v>
      </c>
      <c r="Y9" s="1594"/>
      <c r="Z9" s="1584">
        <f t="shared" si="10"/>
        <v>0</v>
      </c>
      <c r="AA9" s="1595"/>
      <c r="AB9" s="1552">
        <f t="shared" si="17"/>
        <v>0</v>
      </c>
      <c r="AC9" s="1552">
        <f t="shared" si="18"/>
        <v>0</v>
      </c>
      <c r="AD9" s="1539">
        <f t="shared" si="12"/>
        <v>0</v>
      </c>
      <c r="AE9" s="1596"/>
      <c r="AF9" s="1542">
        <f t="shared" si="14"/>
        <v>0</v>
      </c>
      <c r="AG9" s="1543"/>
      <c r="AH9" s="1544"/>
      <c r="AI9" s="1545">
        <f t="shared" si="19"/>
        <v>90</v>
      </c>
      <c r="AJ9" s="1585">
        <f t="shared" si="15"/>
        <v>0</v>
      </c>
    </row>
    <row r="10" spans="1:69" ht="25.5" customHeight="1" x14ac:dyDescent="0.25">
      <c r="A10" s="1524">
        <f t="shared" si="16"/>
        <v>5</v>
      </c>
      <c r="B10" s="743">
        <f>LOOKUP($A10,Levante!$B$6:$B$131,Levante!$H$12:$H$137)</f>
        <v>0</v>
      </c>
      <c r="C10" s="70">
        <f>SUMIFS(Levante!$E$6:$E$131,Levante!$D$6:$D$131,"&gt;"&amp;('Sem-L'!$A10-1),Levante!$D$6:$D$131,"&lt;"&amp;('Sem-L'!$A10+1/7))+SUMIFS(Levante!$F$6:$F$131,Levante!$D$6:$D$131,"&gt;"&amp;('Sem-L'!$A10-1),Levante!$D$6:$D$131,"&lt;"&amp;('Sem-L'!$A10+1/7))</f>
        <v>0</v>
      </c>
      <c r="D10" s="462">
        <f>SUMIFS(Levante!$G$6:$G$131,Levante!$D$6:$D$131,"&gt;"&amp;('Sem-L'!$A10-1),Levante!$D$6:$D$131,"&lt;"&amp;('Sem-L'!$A10+1/7))</f>
        <v>0</v>
      </c>
      <c r="E10" s="1587"/>
      <c r="F10" s="1546">
        <f>LOOKUP($A10,Levante!$B$6:$B$145,Levante!$J$10:$J$149)</f>
        <v>1.2000000000000014E-3</v>
      </c>
      <c r="G10" s="1588"/>
      <c r="H10" s="1547">
        <f>LOOKUP($A10,Levante!$B$6:$B$145,Levante!$J$12:$J$151)</f>
        <v>1.0800000000000001E-2</v>
      </c>
      <c r="I10" s="1530">
        <f>GSh!L10</f>
        <v>0</v>
      </c>
      <c r="J10" s="1589"/>
      <c r="K10" s="1548">
        <f>GSh!O10</f>
        <v>0</v>
      </c>
      <c r="L10" s="1548">
        <f t="shared" si="3"/>
        <v>0</v>
      </c>
      <c r="M10" s="1548">
        <f>GSh!P10</f>
        <v>0</v>
      </c>
      <c r="N10" s="1590"/>
      <c r="O10" s="1592"/>
      <c r="P10" s="1549">
        <f>GSh!T10</f>
        <v>0</v>
      </c>
      <c r="Q10" s="1593"/>
      <c r="R10" s="1550">
        <f>GSh!V10</f>
        <v>0</v>
      </c>
      <c r="S10" s="1550">
        <f>GSh!W10</f>
        <v>0</v>
      </c>
      <c r="T10" s="1594"/>
      <c r="U10" s="1537"/>
      <c r="V10" s="1551">
        <f>GSh!C10</f>
        <v>0</v>
      </c>
      <c r="W10" s="1551">
        <f>GSh!D10</f>
        <v>0</v>
      </c>
      <c r="X10" s="1539">
        <f t="shared" si="8"/>
        <v>0</v>
      </c>
      <c r="Y10" s="1594"/>
      <c r="Z10" s="1584">
        <f t="shared" si="10"/>
        <v>0</v>
      </c>
      <c r="AA10" s="1595"/>
      <c r="AB10" s="1552">
        <f t="shared" si="17"/>
        <v>0</v>
      </c>
      <c r="AC10" s="1552">
        <f t="shared" si="18"/>
        <v>0</v>
      </c>
      <c r="AD10" s="1539">
        <f t="shared" si="12"/>
        <v>0</v>
      </c>
      <c r="AE10" s="1596"/>
      <c r="AF10" s="1542">
        <f t="shared" si="14"/>
        <v>0</v>
      </c>
      <c r="AG10" s="1543"/>
      <c r="AH10" s="1544"/>
      <c r="AI10" s="1545">
        <f t="shared" si="19"/>
        <v>90</v>
      </c>
      <c r="AJ10" s="1585">
        <f t="shared" si="15"/>
        <v>0</v>
      </c>
    </row>
    <row r="11" spans="1:69" ht="25.5" customHeight="1" x14ac:dyDescent="0.25">
      <c r="A11" s="1524">
        <f t="shared" si="16"/>
        <v>6</v>
      </c>
      <c r="B11" s="743">
        <f>LOOKUP($A11,Levante!$B$6:$B$131,Levante!$H$12:$H$137)</f>
        <v>0</v>
      </c>
      <c r="C11" s="70">
        <f>SUMIFS(Levante!$E$6:$E$131,Levante!$D$6:$D$131,"&gt;"&amp;('Sem-L'!$A11-1),Levante!$D$6:$D$131,"&lt;"&amp;('Sem-L'!$A11+1/7))+SUMIFS(Levante!$F$6:$F$131,Levante!$D$6:$D$131,"&gt;"&amp;('Sem-L'!$A11-1),Levante!$D$6:$D$131,"&lt;"&amp;('Sem-L'!$A11+1/7))</f>
        <v>0</v>
      </c>
      <c r="D11" s="462">
        <f>SUMIFS(Levante!$G$6:$G$131,Levante!$D$6:$D$131,"&gt;"&amp;('Sem-L'!$A11-1),Levante!$D$6:$D$131,"&lt;"&amp;('Sem-L'!$A11+1/7))</f>
        <v>0</v>
      </c>
      <c r="E11" s="1587"/>
      <c r="F11" s="1546">
        <f>LOOKUP($A11,Levante!$B$6:$B$145,Levante!$J$10:$J$149)</f>
        <v>1.1999999999999997E-3</v>
      </c>
      <c r="G11" s="1588"/>
      <c r="H11" s="1547">
        <f>LOOKUP($A11,Levante!$B$6:$B$145,Levante!$J$12:$J$151)</f>
        <v>1.2E-2</v>
      </c>
      <c r="I11" s="1530">
        <f>GSh!L11</f>
        <v>0</v>
      </c>
      <c r="J11" s="1589"/>
      <c r="K11" s="1548">
        <f>GSh!O11</f>
        <v>0</v>
      </c>
      <c r="L11" s="1548">
        <f t="shared" si="3"/>
        <v>0</v>
      </c>
      <c r="M11" s="1548">
        <f>GSh!P11</f>
        <v>0</v>
      </c>
      <c r="N11" s="1590"/>
      <c r="O11" s="1592"/>
      <c r="P11" s="1549">
        <f>GSh!T11</f>
        <v>0</v>
      </c>
      <c r="Q11" s="1593"/>
      <c r="R11" s="1550">
        <f>GSh!V11</f>
        <v>0</v>
      </c>
      <c r="S11" s="1550">
        <f>GSh!W11</f>
        <v>0</v>
      </c>
      <c r="T11" s="1594"/>
      <c r="U11" s="1537"/>
      <c r="V11" s="1551">
        <f>GSh!C11</f>
        <v>0</v>
      </c>
      <c r="W11" s="1551">
        <f>GSh!D11</f>
        <v>0</v>
      </c>
      <c r="X11" s="1539">
        <f t="shared" si="8"/>
        <v>0</v>
      </c>
      <c r="Y11" s="1594"/>
      <c r="Z11" s="1584">
        <f t="shared" si="10"/>
        <v>0</v>
      </c>
      <c r="AA11" s="1595"/>
      <c r="AB11" s="1552">
        <f t="shared" si="17"/>
        <v>0</v>
      </c>
      <c r="AC11" s="1552">
        <f t="shared" si="18"/>
        <v>0</v>
      </c>
      <c r="AD11" s="1539">
        <f t="shared" si="12"/>
        <v>0</v>
      </c>
      <c r="AE11" s="1596"/>
      <c r="AF11" s="1542">
        <f t="shared" si="14"/>
        <v>0</v>
      </c>
      <c r="AG11" s="1543"/>
      <c r="AH11" s="1544"/>
      <c r="AI11" s="1545">
        <f t="shared" si="19"/>
        <v>90</v>
      </c>
      <c r="AJ11" s="1585">
        <f t="shared" si="15"/>
        <v>0</v>
      </c>
    </row>
    <row r="12" spans="1:69" ht="25.5" customHeight="1" x14ac:dyDescent="0.25">
      <c r="A12" s="1524">
        <f t="shared" si="16"/>
        <v>7</v>
      </c>
      <c r="B12" s="743">
        <f>LOOKUP($A12,Levante!$B$6:$B$131,Levante!$H$12:$H$137)</f>
        <v>0</v>
      </c>
      <c r="C12" s="70">
        <f>SUMIFS(Levante!$E$6:$E$131,Levante!$D$6:$D$131,"&gt;"&amp;('Sem-L'!$A12-1),Levante!$D$6:$D$131,"&lt;"&amp;('Sem-L'!$A12+1/7))+SUMIFS(Levante!$F$6:$F$131,Levante!$D$6:$D$131,"&gt;"&amp;('Sem-L'!$A12-1),Levante!$D$6:$D$131,"&lt;"&amp;('Sem-L'!$A12+1/7))</f>
        <v>0</v>
      </c>
      <c r="D12" s="462">
        <f>SUMIFS(Levante!$G$6:$G$131,Levante!$D$6:$D$131,"&gt;"&amp;('Sem-L'!$A12-1),Levante!$D$6:$D$131,"&lt;"&amp;('Sem-L'!$A12+1/7))</f>
        <v>0</v>
      </c>
      <c r="E12" s="1587"/>
      <c r="F12" s="1546">
        <f>LOOKUP($A12,Levante!$B$6:$B$145,Levante!$J$10:$J$149)</f>
        <v>8.0000000000000036E-4</v>
      </c>
      <c r="G12" s="1588"/>
      <c r="H12" s="1547">
        <f>LOOKUP($A12,Levante!$B$6:$B$145,Levante!$J$12:$J$151)</f>
        <v>1.2800000000000001E-2</v>
      </c>
      <c r="I12" s="1530">
        <f>GSh!L12</f>
        <v>0</v>
      </c>
      <c r="J12" s="1589"/>
      <c r="K12" s="1548">
        <f>GSh!O12</f>
        <v>0</v>
      </c>
      <c r="L12" s="1548">
        <f t="shared" si="3"/>
        <v>0</v>
      </c>
      <c r="M12" s="1548">
        <f>GSh!P12</f>
        <v>0</v>
      </c>
      <c r="N12" s="1590"/>
      <c r="O12" s="1592"/>
      <c r="P12" s="1549">
        <f>GSh!T12</f>
        <v>0</v>
      </c>
      <c r="Q12" s="1593"/>
      <c r="R12" s="1550">
        <f>GSh!V12</f>
        <v>0</v>
      </c>
      <c r="S12" s="1550">
        <f>GSh!W12</f>
        <v>0</v>
      </c>
      <c r="T12" s="1594"/>
      <c r="U12" s="1537"/>
      <c r="V12" s="1551">
        <f>GSh!C12</f>
        <v>0</v>
      </c>
      <c r="W12" s="1551">
        <f>GSh!D12</f>
        <v>0</v>
      </c>
      <c r="X12" s="1539">
        <f t="shared" si="8"/>
        <v>0</v>
      </c>
      <c r="Y12" s="1594"/>
      <c r="Z12" s="1584">
        <f t="shared" si="10"/>
        <v>0</v>
      </c>
      <c r="AA12" s="1595"/>
      <c r="AB12" s="1552">
        <f t="shared" si="17"/>
        <v>0</v>
      </c>
      <c r="AC12" s="1552">
        <f t="shared" si="18"/>
        <v>0</v>
      </c>
      <c r="AD12" s="1539">
        <f t="shared" si="12"/>
        <v>0</v>
      </c>
      <c r="AE12" s="1596"/>
      <c r="AF12" s="1542">
        <f t="shared" si="14"/>
        <v>0</v>
      </c>
      <c r="AG12" s="1543"/>
      <c r="AH12" s="1544"/>
      <c r="AI12" s="1545">
        <f t="shared" si="19"/>
        <v>90</v>
      </c>
      <c r="AJ12" s="1585">
        <f t="shared" si="15"/>
        <v>0</v>
      </c>
    </row>
    <row r="13" spans="1:69" ht="25.5" customHeight="1" x14ac:dyDescent="0.25">
      <c r="A13" s="1524">
        <f t="shared" si="16"/>
        <v>8</v>
      </c>
      <c r="B13" s="743">
        <f>LOOKUP($A13,Levante!$B$6:$B$131,Levante!$H$12:$H$137)</f>
        <v>0</v>
      </c>
      <c r="C13" s="70">
        <f>SUMIFS(Levante!$E$6:$E$131,Levante!$D$6:$D$131,"&gt;"&amp;('Sem-L'!$A13-1),Levante!$D$6:$D$131,"&lt;"&amp;('Sem-L'!$A13+1/7))+SUMIFS(Levante!$F$6:$F$131,Levante!$D$6:$D$131,"&gt;"&amp;('Sem-L'!$A13-1),Levante!$D$6:$D$131,"&lt;"&amp;('Sem-L'!$A13+1/7))</f>
        <v>0</v>
      </c>
      <c r="D13" s="462">
        <f>SUMIFS(Levante!$G$6:$G$131,Levante!$D$6:$D$131,"&gt;"&amp;('Sem-L'!$A13-1),Levante!$D$6:$D$131,"&lt;"&amp;('Sem-L'!$A13+1/7))</f>
        <v>0</v>
      </c>
      <c r="E13" s="1587"/>
      <c r="F13" s="1546">
        <f>LOOKUP($A13,Levante!$B$6:$B$145,Levante!$J$10:$J$149)</f>
        <v>7.9999999999999863E-4</v>
      </c>
      <c r="G13" s="1588"/>
      <c r="H13" s="1547">
        <f>LOOKUP($A13,Levante!$B$6:$B$145,Levante!$J$12:$J$151)</f>
        <v>1.3599999999999999E-2</v>
      </c>
      <c r="I13" s="1530">
        <f>GSh!L13</f>
        <v>0</v>
      </c>
      <c r="J13" s="1589"/>
      <c r="K13" s="1548">
        <f>GSh!O13</f>
        <v>0</v>
      </c>
      <c r="L13" s="1548">
        <f t="shared" si="3"/>
        <v>0</v>
      </c>
      <c r="M13" s="1548">
        <f>GSh!P13</f>
        <v>0</v>
      </c>
      <c r="N13" s="1590"/>
      <c r="O13" s="1592"/>
      <c r="P13" s="1549">
        <f>GSh!T13</f>
        <v>0</v>
      </c>
      <c r="Q13" s="1593"/>
      <c r="R13" s="1550">
        <f>GSh!V13</f>
        <v>0</v>
      </c>
      <c r="S13" s="1550">
        <f>GSh!W13</f>
        <v>0</v>
      </c>
      <c r="T13" s="1594"/>
      <c r="U13" s="1537"/>
      <c r="V13" s="1551">
        <f>GSh!C13</f>
        <v>0</v>
      </c>
      <c r="W13" s="1551">
        <f>GSh!D13</f>
        <v>0</v>
      </c>
      <c r="X13" s="1539">
        <f t="shared" si="8"/>
        <v>0</v>
      </c>
      <c r="Y13" s="1594"/>
      <c r="Z13" s="1584">
        <f t="shared" si="10"/>
        <v>0</v>
      </c>
      <c r="AA13" s="1595"/>
      <c r="AB13" s="1552">
        <f t="shared" si="17"/>
        <v>0</v>
      </c>
      <c r="AC13" s="1552">
        <f t="shared" si="18"/>
        <v>0</v>
      </c>
      <c r="AD13" s="1539">
        <f t="shared" si="12"/>
        <v>0</v>
      </c>
      <c r="AE13" s="1596"/>
      <c r="AF13" s="1542">
        <f t="shared" si="14"/>
        <v>0</v>
      </c>
      <c r="AG13" s="1543"/>
      <c r="AH13" s="1544"/>
      <c r="AI13" s="1545">
        <f t="shared" si="19"/>
        <v>90</v>
      </c>
      <c r="AJ13" s="1585">
        <f t="shared" si="15"/>
        <v>0</v>
      </c>
    </row>
    <row r="14" spans="1:69" ht="25.5" customHeight="1" x14ac:dyDescent="0.25">
      <c r="A14" s="1524">
        <f t="shared" si="16"/>
        <v>9</v>
      </c>
      <c r="B14" s="743">
        <f>LOOKUP($A14,Levante!$B$6:$B$131,Levante!$H$12:$H$137)</f>
        <v>0</v>
      </c>
      <c r="C14" s="70">
        <f>SUMIFS(Levante!$E$6:$E$131,Levante!$D$6:$D$131,"&gt;"&amp;('Sem-L'!$A14-1),Levante!$D$6:$D$131,"&lt;"&amp;('Sem-L'!$A14+1/7))+SUMIFS(Levante!$F$6:$F$131,Levante!$D$6:$D$131,"&gt;"&amp;('Sem-L'!$A14-1),Levante!$D$6:$D$131,"&lt;"&amp;('Sem-L'!$A14+1/7))</f>
        <v>0</v>
      </c>
      <c r="D14" s="462">
        <f>SUMIFS(Levante!$G$6:$G$131,Levante!$D$6:$D$131,"&gt;"&amp;('Sem-L'!$A14-1),Levante!$D$6:$D$131,"&lt;"&amp;('Sem-L'!$A14+1/7))</f>
        <v>0</v>
      </c>
      <c r="E14" s="1587"/>
      <c r="F14" s="1546">
        <f>LOOKUP($A14,Levante!$B$6:$B$145,Levante!$J$10:$J$149)</f>
        <v>6.0000000000000157E-4</v>
      </c>
      <c r="G14" s="1588"/>
      <c r="H14" s="1547">
        <f>LOOKUP($A14,Levante!$B$6:$B$145,Levante!$J$12:$J$151)</f>
        <v>1.4200000000000001E-2</v>
      </c>
      <c r="I14" s="1530">
        <f>GSh!L14</f>
        <v>0</v>
      </c>
      <c r="J14" s="1589"/>
      <c r="K14" s="1548">
        <f>GSh!O14</f>
        <v>0</v>
      </c>
      <c r="L14" s="1548">
        <f t="shared" si="3"/>
        <v>0</v>
      </c>
      <c r="M14" s="1548">
        <f>GSh!P14</f>
        <v>0</v>
      </c>
      <c r="N14" s="1590"/>
      <c r="O14" s="1592"/>
      <c r="P14" s="1549">
        <f>GSh!T14</f>
        <v>0</v>
      </c>
      <c r="Q14" s="1593"/>
      <c r="R14" s="1550">
        <f>GSh!V14</f>
        <v>0</v>
      </c>
      <c r="S14" s="1550">
        <f>GSh!W14</f>
        <v>0</v>
      </c>
      <c r="T14" s="1594"/>
      <c r="U14" s="1537"/>
      <c r="V14" s="1551">
        <f>GSh!C14</f>
        <v>0</v>
      </c>
      <c r="W14" s="1551">
        <f>GSh!D14</f>
        <v>0</v>
      </c>
      <c r="X14" s="1539">
        <f t="shared" si="8"/>
        <v>0</v>
      </c>
      <c r="Y14" s="1594"/>
      <c r="Z14" s="1584">
        <f t="shared" si="10"/>
        <v>0</v>
      </c>
      <c r="AA14" s="1595"/>
      <c r="AB14" s="1552">
        <f t="shared" si="17"/>
        <v>0</v>
      </c>
      <c r="AC14" s="1552">
        <f t="shared" si="18"/>
        <v>0</v>
      </c>
      <c r="AD14" s="1539">
        <f t="shared" si="12"/>
        <v>0</v>
      </c>
      <c r="AE14" s="1596"/>
      <c r="AF14" s="1542">
        <f t="shared" si="14"/>
        <v>0</v>
      </c>
      <c r="AG14" s="1543"/>
      <c r="AH14" s="1544"/>
      <c r="AI14" s="1545">
        <f t="shared" si="19"/>
        <v>90</v>
      </c>
      <c r="AJ14" s="1585">
        <f t="shared" si="15"/>
        <v>0</v>
      </c>
    </row>
    <row r="15" spans="1:69" ht="25.5" customHeight="1" x14ac:dyDescent="0.25">
      <c r="A15" s="1524">
        <f t="shared" si="16"/>
        <v>10</v>
      </c>
      <c r="B15" s="743">
        <f>LOOKUP($A15,Levante!$B$6:$B$131,Levante!$H$12:$H$137)</f>
        <v>0</v>
      </c>
      <c r="C15" s="70">
        <f>SUMIFS(Levante!$E$6:$E$131,Levante!$D$6:$D$131,"&gt;"&amp;('Sem-L'!$A15-1),Levante!$D$6:$D$131,"&lt;"&amp;('Sem-L'!$A15+1/7))+SUMIFS(Levante!$F$6:$F$131,Levante!$D$6:$D$131,"&gt;"&amp;('Sem-L'!$A15-1),Levante!$D$6:$D$131,"&lt;"&amp;('Sem-L'!$A15+1/7))</f>
        <v>0</v>
      </c>
      <c r="D15" s="462">
        <f>SUMIFS(Levante!$G$6:$G$131,Levante!$D$6:$D$131,"&gt;"&amp;('Sem-L'!$A15-1),Levante!$D$6:$D$131,"&lt;"&amp;('Sem-L'!$A15+1/7))</f>
        <v>0</v>
      </c>
      <c r="E15" s="1587"/>
      <c r="F15" s="1546">
        <f>LOOKUP($A15,Levante!$B$6:$B$145,Levante!$J$10:$J$149)</f>
        <v>5.9999999999999984E-4</v>
      </c>
      <c r="G15" s="1588"/>
      <c r="H15" s="1547">
        <f>LOOKUP($A15,Levante!$B$6:$B$145,Levante!$J$12:$J$151)</f>
        <v>1.4800000000000001E-2</v>
      </c>
      <c r="I15" s="1530">
        <f>GSh!L15</f>
        <v>0</v>
      </c>
      <c r="J15" s="1589"/>
      <c r="K15" s="1548">
        <f>GSh!O15</f>
        <v>0</v>
      </c>
      <c r="L15" s="1548">
        <f t="shared" si="3"/>
        <v>0</v>
      </c>
      <c r="M15" s="1548">
        <f>GSh!P15</f>
        <v>0</v>
      </c>
      <c r="N15" s="1590"/>
      <c r="O15" s="1592"/>
      <c r="P15" s="1549">
        <f>GSh!T15</f>
        <v>0</v>
      </c>
      <c r="Q15" s="1593"/>
      <c r="R15" s="1550">
        <f>GSh!V15</f>
        <v>0</v>
      </c>
      <c r="S15" s="1550">
        <f>GSh!W15</f>
        <v>0</v>
      </c>
      <c r="T15" s="1594"/>
      <c r="U15" s="1537"/>
      <c r="V15" s="1551">
        <f>GSh!C15</f>
        <v>0</v>
      </c>
      <c r="W15" s="1551">
        <f>GSh!D15</f>
        <v>0</v>
      </c>
      <c r="X15" s="1539">
        <f t="shared" si="8"/>
        <v>0</v>
      </c>
      <c r="Y15" s="1594"/>
      <c r="Z15" s="1584">
        <f t="shared" si="10"/>
        <v>0</v>
      </c>
      <c r="AA15" s="1595"/>
      <c r="AB15" s="1552">
        <f t="shared" si="17"/>
        <v>0</v>
      </c>
      <c r="AC15" s="1552">
        <f t="shared" si="18"/>
        <v>0</v>
      </c>
      <c r="AD15" s="1539">
        <f t="shared" si="12"/>
        <v>0</v>
      </c>
      <c r="AE15" s="1596"/>
      <c r="AF15" s="1542">
        <f t="shared" si="14"/>
        <v>0</v>
      </c>
      <c r="AG15" s="1543"/>
      <c r="AH15" s="1544"/>
      <c r="AI15" s="1545">
        <f t="shared" si="19"/>
        <v>90</v>
      </c>
      <c r="AJ15" s="1585">
        <f t="shared" si="15"/>
        <v>0</v>
      </c>
    </row>
    <row r="16" spans="1:69" ht="25.5" customHeight="1" x14ac:dyDescent="0.25">
      <c r="A16" s="1524">
        <f t="shared" si="16"/>
        <v>11</v>
      </c>
      <c r="B16" s="743">
        <f>LOOKUP($A16,Levante!$B$6:$B$131,Levante!$H$12:$H$137)</f>
        <v>0</v>
      </c>
      <c r="C16" s="70">
        <f>SUMIFS(Levante!$E$6:$E$131,Levante!$D$6:$D$131,"&gt;"&amp;('Sem-L'!$A16-1),Levante!$D$6:$D$131,"&lt;"&amp;('Sem-L'!$A16+1/7))+SUMIFS(Levante!$F$6:$F$131,Levante!$D$6:$D$131,"&gt;"&amp;('Sem-L'!$A16-1),Levante!$D$6:$D$131,"&lt;"&amp;('Sem-L'!$A16+1/7))</f>
        <v>0</v>
      </c>
      <c r="D16" s="462">
        <f>SUMIFS(Levante!$G$6:$G$131,Levante!$D$6:$D$131,"&gt;"&amp;('Sem-L'!$A16-1),Levante!$D$6:$D$131,"&lt;"&amp;('Sem-L'!$A16+1/7))</f>
        <v>0</v>
      </c>
      <c r="E16" s="1587"/>
      <c r="F16" s="1546">
        <f>LOOKUP($A16,Levante!$B$6:$B$145,Levante!$J$10:$J$149)</f>
        <v>5.9999999999999984E-4</v>
      </c>
      <c r="G16" s="1588"/>
      <c r="H16" s="1547">
        <f>LOOKUP($A16,Levante!$B$6:$B$145,Levante!$J$12:$J$151)</f>
        <v>1.54E-2</v>
      </c>
      <c r="I16" s="1530">
        <f>GSh!L16</f>
        <v>0</v>
      </c>
      <c r="J16" s="1589"/>
      <c r="K16" s="1548">
        <f>GSh!O16</f>
        <v>0</v>
      </c>
      <c r="L16" s="1548">
        <f t="shared" si="3"/>
        <v>0</v>
      </c>
      <c r="M16" s="1548">
        <f>GSh!P16</f>
        <v>0</v>
      </c>
      <c r="N16" s="1590"/>
      <c r="O16" s="1592"/>
      <c r="P16" s="1549">
        <f>GSh!T16</f>
        <v>0</v>
      </c>
      <c r="Q16" s="1593"/>
      <c r="R16" s="1550">
        <f>GSh!V16</f>
        <v>0</v>
      </c>
      <c r="S16" s="1550">
        <f>GSh!W16</f>
        <v>0</v>
      </c>
      <c r="T16" s="1594"/>
      <c r="U16" s="1537"/>
      <c r="V16" s="1551">
        <f>GSh!C16</f>
        <v>0</v>
      </c>
      <c r="W16" s="1551">
        <f>GSh!D16</f>
        <v>0</v>
      </c>
      <c r="X16" s="1539">
        <f t="shared" si="8"/>
        <v>0</v>
      </c>
      <c r="Y16" s="1594"/>
      <c r="Z16" s="1584">
        <f t="shared" si="10"/>
        <v>0</v>
      </c>
      <c r="AA16" s="1595"/>
      <c r="AB16" s="1552">
        <f t="shared" si="17"/>
        <v>0</v>
      </c>
      <c r="AC16" s="1552">
        <f t="shared" si="18"/>
        <v>0</v>
      </c>
      <c r="AD16" s="1539">
        <f t="shared" si="12"/>
        <v>0</v>
      </c>
      <c r="AE16" s="1596"/>
      <c r="AF16" s="1542">
        <f t="shared" si="14"/>
        <v>0</v>
      </c>
      <c r="AG16" s="1543"/>
      <c r="AH16" s="1544"/>
      <c r="AI16" s="1545">
        <f t="shared" si="19"/>
        <v>90</v>
      </c>
      <c r="AJ16" s="1585">
        <f t="shared" si="15"/>
        <v>0</v>
      </c>
    </row>
    <row r="17" spans="1:36" ht="25.5" customHeight="1" x14ac:dyDescent="0.25">
      <c r="A17" s="1524">
        <f t="shared" si="16"/>
        <v>12</v>
      </c>
      <c r="B17" s="743">
        <f>LOOKUP($A17,Levante!$B$6:$B$131,Levante!$H$12:$H$137)</f>
        <v>0</v>
      </c>
      <c r="C17" s="70">
        <f>SUMIFS(Levante!$E$6:$E$131,Levante!$D$6:$D$131,"&gt;"&amp;('Sem-L'!$A17-1),Levante!$D$6:$D$131,"&lt;"&amp;('Sem-L'!$A17+1/7))+SUMIFS(Levante!$F$6:$F$131,Levante!$D$6:$D$131,"&gt;"&amp;('Sem-L'!$A17-1),Levante!$D$6:$D$131,"&lt;"&amp;('Sem-L'!$A17+1/7))</f>
        <v>0</v>
      </c>
      <c r="D17" s="462">
        <f>SUMIFS(Levante!$G$6:$G$131,Levante!$D$6:$D$131,"&gt;"&amp;('Sem-L'!$A17-1),Levante!$D$6:$D$131,"&lt;"&amp;('Sem-L'!$A17+1/7))</f>
        <v>0</v>
      </c>
      <c r="E17" s="1587"/>
      <c r="F17" s="1546">
        <f>LOOKUP($A17,Levante!$B$6:$B$145,Levante!$J$10:$J$149)</f>
        <v>7.9999999999999863E-4</v>
      </c>
      <c r="G17" s="1588"/>
      <c r="H17" s="1547">
        <f>LOOKUP($A17,Levante!$B$6:$B$145,Levante!$J$12:$J$151)</f>
        <v>1.6199999999999999E-2</v>
      </c>
      <c r="I17" s="1530">
        <f>GSh!L17</f>
        <v>0</v>
      </c>
      <c r="J17" s="1589"/>
      <c r="K17" s="1548">
        <f>GSh!O17</f>
        <v>0</v>
      </c>
      <c r="L17" s="1548">
        <f t="shared" si="3"/>
        <v>0</v>
      </c>
      <c r="M17" s="1548">
        <f>GSh!P17</f>
        <v>0</v>
      </c>
      <c r="N17" s="1590"/>
      <c r="O17" s="1592"/>
      <c r="P17" s="1549">
        <f>GSh!T17</f>
        <v>0</v>
      </c>
      <c r="Q17" s="1593"/>
      <c r="R17" s="1550">
        <f>GSh!V17</f>
        <v>0</v>
      </c>
      <c r="S17" s="1550">
        <f>GSh!W17</f>
        <v>0</v>
      </c>
      <c r="T17" s="1594"/>
      <c r="U17" s="1537"/>
      <c r="V17" s="1551">
        <f>GSh!C17</f>
        <v>0</v>
      </c>
      <c r="W17" s="1551">
        <f>GSh!D17</f>
        <v>0</v>
      </c>
      <c r="X17" s="1539">
        <f t="shared" si="8"/>
        <v>0</v>
      </c>
      <c r="Y17" s="1594"/>
      <c r="Z17" s="1584">
        <f t="shared" si="10"/>
        <v>0</v>
      </c>
      <c r="AA17" s="1595"/>
      <c r="AB17" s="1552">
        <f t="shared" si="17"/>
        <v>0</v>
      </c>
      <c r="AC17" s="1552">
        <f t="shared" si="18"/>
        <v>0</v>
      </c>
      <c r="AD17" s="1539">
        <f t="shared" si="12"/>
        <v>0</v>
      </c>
      <c r="AE17" s="1596"/>
      <c r="AF17" s="1542">
        <f t="shared" si="14"/>
        <v>0</v>
      </c>
      <c r="AG17" s="1543"/>
      <c r="AH17" s="1544"/>
      <c r="AI17" s="1545">
        <f t="shared" si="19"/>
        <v>90</v>
      </c>
      <c r="AJ17" s="1585">
        <f t="shared" si="15"/>
        <v>0</v>
      </c>
    </row>
    <row r="18" spans="1:36" ht="25.5" customHeight="1" x14ac:dyDescent="0.25">
      <c r="A18" s="1524">
        <f t="shared" si="16"/>
        <v>13</v>
      </c>
      <c r="B18" s="743">
        <f>LOOKUP($A18,Levante!$B$6:$B$131,Levante!$H$12:$H$137)</f>
        <v>0</v>
      </c>
      <c r="C18" s="70">
        <f>SUMIFS(Levante!$E$6:$E$131,Levante!$D$6:$D$131,"&gt;"&amp;('Sem-L'!$A18-1),Levante!$D$6:$D$131,"&lt;"&amp;('Sem-L'!$A18+1/7))+SUMIFS(Levante!$F$6:$F$131,Levante!$D$6:$D$131,"&gt;"&amp;('Sem-L'!$A18-1),Levante!$D$6:$D$131,"&lt;"&amp;('Sem-L'!$A18+1/7))</f>
        <v>0</v>
      </c>
      <c r="D18" s="462">
        <f>SUMIFS(Levante!$G$6:$G$131,Levante!$D$6:$D$131,"&gt;"&amp;('Sem-L'!$A18-1),Levante!$D$6:$D$131,"&lt;"&amp;('Sem-L'!$A18+1/7))</f>
        <v>0</v>
      </c>
      <c r="E18" s="1587"/>
      <c r="F18" s="1546">
        <f>LOOKUP($A18,Levante!$B$6:$B$145,Levante!$J$10:$J$149)</f>
        <v>8.000000000000021E-4</v>
      </c>
      <c r="G18" s="1588"/>
      <c r="H18" s="1547">
        <f>LOOKUP($A18,Levante!$B$6:$B$145,Levante!$J$12:$J$151)</f>
        <v>1.7000000000000001E-2</v>
      </c>
      <c r="I18" s="1530">
        <f>GSh!L18</f>
        <v>0</v>
      </c>
      <c r="J18" s="1589"/>
      <c r="K18" s="1548">
        <f>GSh!O18</f>
        <v>0</v>
      </c>
      <c r="L18" s="1548">
        <f t="shared" si="3"/>
        <v>0</v>
      </c>
      <c r="M18" s="1548">
        <f>GSh!P18</f>
        <v>0</v>
      </c>
      <c r="N18" s="1590"/>
      <c r="O18" s="1592"/>
      <c r="P18" s="1549">
        <f>GSh!T18</f>
        <v>0</v>
      </c>
      <c r="Q18" s="1593"/>
      <c r="R18" s="1550">
        <f>GSh!V18</f>
        <v>0</v>
      </c>
      <c r="S18" s="1550">
        <f>GSh!W18</f>
        <v>0</v>
      </c>
      <c r="T18" s="1594"/>
      <c r="U18" s="1537"/>
      <c r="V18" s="1551">
        <f>GSh!C18</f>
        <v>0</v>
      </c>
      <c r="W18" s="1551">
        <f>GSh!D18</f>
        <v>0</v>
      </c>
      <c r="X18" s="1539">
        <f t="shared" si="8"/>
        <v>0</v>
      </c>
      <c r="Y18" s="1594"/>
      <c r="Z18" s="1584">
        <f t="shared" si="10"/>
        <v>0</v>
      </c>
      <c r="AA18" s="1595"/>
      <c r="AB18" s="1552">
        <f t="shared" si="17"/>
        <v>0</v>
      </c>
      <c r="AC18" s="1552">
        <f t="shared" si="18"/>
        <v>0</v>
      </c>
      <c r="AD18" s="1539">
        <f t="shared" si="12"/>
        <v>0</v>
      </c>
      <c r="AE18" s="1596"/>
      <c r="AF18" s="1542">
        <f t="shared" si="14"/>
        <v>0</v>
      </c>
      <c r="AG18" s="1543"/>
      <c r="AH18" s="1544"/>
      <c r="AI18" s="1545">
        <f t="shared" si="19"/>
        <v>90</v>
      </c>
      <c r="AJ18" s="1585">
        <f t="shared" si="15"/>
        <v>0</v>
      </c>
    </row>
    <row r="19" spans="1:36" ht="25.5" customHeight="1" x14ac:dyDescent="0.25">
      <c r="A19" s="1524">
        <f t="shared" si="16"/>
        <v>14</v>
      </c>
      <c r="B19" s="743">
        <f>LOOKUP($A19,Levante!$B$6:$B$131,Levante!$H$12:$H$137)</f>
        <v>0</v>
      </c>
      <c r="C19" s="70">
        <f>SUMIFS(Levante!$E$6:$E$131,Levante!$D$6:$D$131,"&gt;"&amp;('Sem-L'!$A19-1),Levante!$D$6:$D$131,"&lt;"&amp;('Sem-L'!$A19+1/7))+SUMIFS(Levante!$F$6:$F$131,Levante!$D$6:$D$131,"&gt;"&amp;('Sem-L'!$A19-1),Levante!$D$6:$D$131,"&lt;"&amp;('Sem-L'!$A19+1/7))</f>
        <v>0</v>
      </c>
      <c r="D19" s="462">
        <f>SUMIFS(Levante!$G$6:$G$131,Levante!$D$6:$D$131,"&gt;"&amp;('Sem-L'!$A19-1),Levante!$D$6:$D$131,"&lt;"&amp;('Sem-L'!$A19+1/7))</f>
        <v>0</v>
      </c>
      <c r="E19" s="1587"/>
      <c r="F19" s="1546">
        <f>LOOKUP($A19,Levante!$B$6:$B$145,Levante!$J$10:$J$149)</f>
        <v>5.9999999999999984E-4</v>
      </c>
      <c r="G19" s="1588"/>
      <c r="H19" s="1547">
        <f>LOOKUP($A19,Levante!$B$6:$B$145,Levante!$J$12:$J$151)</f>
        <v>1.7600000000000001E-2</v>
      </c>
      <c r="I19" s="1530">
        <f>GSh!L19</f>
        <v>0</v>
      </c>
      <c r="J19" s="1589"/>
      <c r="K19" s="1548">
        <f>GSh!O19</f>
        <v>0</v>
      </c>
      <c r="L19" s="1548">
        <f t="shared" si="3"/>
        <v>0</v>
      </c>
      <c r="M19" s="1548">
        <f>GSh!P19</f>
        <v>0</v>
      </c>
      <c r="N19" s="1590"/>
      <c r="O19" s="1592"/>
      <c r="P19" s="1549">
        <f>GSh!T19</f>
        <v>0</v>
      </c>
      <c r="Q19" s="1593"/>
      <c r="R19" s="1550">
        <f>GSh!V19</f>
        <v>0</v>
      </c>
      <c r="S19" s="1550">
        <f>GSh!W19</f>
        <v>0</v>
      </c>
      <c r="T19" s="1594"/>
      <c r="U19" s="1537"/>
      <c r="V19" s="1551">
        <f>GSh!C19</f>
        <v>0</v>
      </c>
      <c r="W19" s="1551">
        <f>GSh!D19</f>
        <v>0</v>
      </c>
      <c r="X19" s="1539">
        <f t="shared" si="8"/>
        <v>0</v>
      </c>
      <c r="Y19" s="1594"/>
      <c r="Z19" s="1584">
        <f t="shared" si="10"/>
        <v>0</v>
      </c>
      <c r="AA19" s="1595"/>
      <c r="AB19" s="1552">
        <f t="shared" si="17"/>
        <v>0</v>
      </c>
      <c r="AC19" s="1552">
        <f t="shared" si="18"/>
        <v>0</v>
      </c>
      <c r="AD19" s="1539">
        <f t="shared" si="12"/>
        <v>0</v>
      </c>
      <c r="AE19" s="1596"/>
      <c r="AF19" s="1542">
        <f t="shared" si="14"/>
        <v>0</v>
      </c>
      <c r="AG19" s="1543"/>
      <c r="AH19" s="1544"/>
      <c r="AI19" s="1545">
        <f t="shared" si="19"/>
        <v>90</v>
      </c>
      <c r="AJ19" s="1585">
        <f t="shared" si="15"/>
        <v>0</v>
      </c>
    </row>
    <row r="20" spans="1:36" ht="25.5" customHeight="1" x14ac:dyDescent="0.25">
      <c r="A20" s="1524">
        <f t="shared" si="16"/>
        <v>15</v>
      </c>
      <c r="B20" s="743">
        <f>LOOKUP($A20,Levante!$B$6:$B$131,Levante!$H$12:$H$137)</f>
        <v>0</v>
      </c>
      <c r="C20" s="70">
        <f>SUMIFS(Levante!$E$6:$E$131,Levante!$D$6:$D$131,"&gt;"&amp;('Sem-L'!$A20-1),Levante!$D$6:$D$131,"&lt;"&amp;('Sem-L'!$A20+1/7))+SUMIFS(Levante!$F$6:$F$131,Levante!$D$6:$D$131,"&gt;"&amp;('Sem-L'!$A20-1),Levante!$D$6:$D$131,"&lt;"&amp;('Sem-L'!$A20+1/7))</f>
        <v>0</v>
      </c>
      <c r="D20" s="462">
        <f>SUMIFS(Levante!$G$6:$G$131,Levante!$D$6:$D$131,"&gt;"&amp;('Sem-L'!$A20-1),Levante!$D$6:$D$131,"&lt;"&amp;('Sem-L'!$A20+1/7))</f>
        <v>0</v>
      </c>
      <c r="E20" s="1587"/>
      <c r="F20" s="1546">
        <f>LOOKUP($A20,Levante!$B$6:$B$145,Levante!$J$10:$J$149)</f>
        <v>5.9999999999999984E-4</v>
      </c>
      <c r="G20" s="1588"/>
      <c r="H20" s="1547">
        <f>LOOKUP($A20,Levante!$B$6:$B$145,Levante!$J$12:$J$151)</f>
        <v>1.8200000000000001E-2</v>
      </c>
      <c r="I20" s="1530">
        <f>GSh!L20</f>
        <v>0</v>
      </c>
      <c r="J20" s="1589"/>
      <c r="K20" s="1548">
        <f>GSh!O20</f>
        <v>0</v>
      </c>
      <c r="L20" s="1548">
        <f t="shared" si="3"/>
        <v>0</v>
      </c>
      <c r="M20" s="1548">
        <f>GSh!P20</f>
        <v>0</v>
      </c>
      <c r="N20" s="1590"/>
      <c r="O20" s="1592"/>
      <c r="P20" s="1549">
        <f>GSh!T20</f>
        <v>0</v>
      </c>
      <c r="Q20" s="1593"/>
      <c r="R20" s="1550">
        <f>GSh!V20</f>
        <v>0</v>
      </c>
      <c r="S20" s="1550">
        <f>GSh!W20</f>
        <v>0</v>
      </c>
      <c r="T20" s="1594"/>
      <c r="U20" s="1537"/>
      <c r="V20" s="1551">
        <f>GSh!C20</f>
        <v>0</v>
      </c>
      <c r="W20" s="1551">
        <f>GSh!D20</f>
        <v>0</v>
      </c>
      <c r="X20" s="1539">
        <f t="shared" si="8"/>
        <v>0</v>
      </c>
      <c r="Y20" s="1594"/>
      <c r="Z20" s="1584">
        <f t="shared" si="10"/>
        <v>0</v>
      </c>
      <c r="AA20" s="1595"/>
      <c r="AB20" s="1552">
        <f t="shared" si="17"/>
        <v>0</v>
      </c>
      <c r="AC20" s="1552">
        <f t="shared" si="18"/>
        <v>0</v>
      </c>
      <c r="AD20" s="1539">
        <f t="shared" si="12"/>
        <v>0</v>
      </c>
      <c r="AE20" s="1596"/>
      <c r="AF20" s="1542">
        <f t="shared" si="14"/>
        <v>0</v>
      </c>
      <c r="AG20" s="1543"/>
      <c r="AH20" s="1544"/>
      <c r="AI20" s="1545">
        <f t="shared" si="19"/>
        <v>90</v>
      </c>
      <c r="AJ20" s="1585">
        <f t="shared" si="15"/>
        <v>0</v>
      </c>
    </row>
    <row r="21" spans="1:36" ht="25.5" customHeight="1" x14ac:dyDescent="0.25">
      <c r="A21" s="1524">
        <f t="shared" si="16"/>
        <v>16</v>
      </c>
      <c r="B21" s="743">
        <f>LOOKUP($A21,Levante!$B$6:$B$131,Levante!$H$12:$H$137)</f>
        <v>0</v>
      </c>
      <c r="C21" s="70">
        <f>SUMIFS(Levante!$E$6:$E$131,Levante!$D$6:$D$131,"&gt;"&amp;('Sem-L'!$A21-1),Levante!$D$6:$D$131,"&lt;"&amp;('Sem-L'!$A21+1/7))+SUMIFS(Levante!$F$6:$F$131,Levante!$D$6:$D$131,"&gt;"&amp;('Sem-L'!$A21-1),Levante!$D$6:$D$131,"&lt;"&amp;('Sem-L'!$A21+1/7))</f>
        <v>0</v>
      </c>
      <c r="D21" s="462">
        <f>SUMIFS(Levante!$G$6:$G$131,Levante!$D$6:$D$131,"&gt;"&amp;('Sem-L'!$A21-1),Levante!$D$6:$D$131,"&lt;"&amp;('Sem-L'!$A21+1/7))</f>
        <v>0</v>
      </c>
      <c r="E21" s="1587"/>
      <c r="F21" s="1546">
        <f>LOOKUP($A21,Levante!$B$6:$B$145,Levante!$J$10:$J$149)</f>
        <v>5.9999999999999984E-4</v>
      </c>
      <c r="G21" s="1588"/>
      <c r="H21" s="1547">
        <f>LOOKUP($A21,Levante!$B$6:$B$145,Levante!$J$12:$J$151)</f>
        <v>1.8800000000000001E-2</v>
      </c>
      <c r="I21" s="1530">
        <f>GSh!L21</f>
        <v>0</v>
      </c>
      <c r="J21" s="1589"/>
      <c r="K21" s="1548">
        <f>GSh!O21</f>
        <v>0</v>
      </c>
      <c r="L21" s="1548">
        <f t="shared" si="3"/>
        <v>0</v>
      </c>
      <c r="M21" s="1548">
        <f>GSh!P21</f>
        <v>0</v>
      </c>
      <c r="N21" s="1590"/>
      <c r="O21" s="1592"/>
      <c r="P21" s="1549">
        <f>GSh!T21</f>
        <v>0</v>
      </c>
      <c r="Q21" s="1593"/>
      <c r="R21" s="1550">
        <f>GSh!V21</f>
        <v>0</v>
      </c>
      <c r="S21" s="1550">
        <f>GSh!W21</f>
        <v>0</v>
      </c>
      <c r="T21" s="1594"/>
      <c r="U21" s="1537"/>
      <c r="V21" s="1551">
        <f>GSh!C21</f>
        <v>0</v>
      </c>
      <c r="W21" s="1551">
        <f>GSh!D21</f>
        <v>0</v>
      </c>
      <c r="X21" s="1539">
        <f t="shared" si="8"/>
        <v>0</v>
      </c>
      <c r="Y21" s="1594"/>
      <c r="Z21" s="1584">
        <f t="shared" si="10"/>
        <v>0</v>
      </c>
      <c r="AA21" s="1595"/>
      <c r="AB21" s="1552">
        <f t="shared" si="17"/>
        <v>0</v>
      </c>
      <c r="AC21" s="1552">
        <f t="shared" si="18"/>
        <v>0</v>
      </c>
      <c r="AD21" s="1539">
        <f t="shared" si="12"/>
        <v>0</v>
      </c>
      <c r="AE21" s="1596"/>
      <c r="AF21" s="1542">
        <f t="shared" si="14"/>
        <v>0</v>
      </c>
      <c r="AG21" s="1543"/>
      <c r="AH21" s="1544"/>
      <c r="AI21" s="1545">
        <f t="shared" si="19"/>
        <v>90</v>
      </c>
      <c r="AJ21" s="1585">
        <f t="shared" si="15"/>
        <v>0</v>
      </c>
    </row>
    <row r="22" spans="1:36" ht="25.5" customHeight="1" x14ac:dyDescent="0.25">
      <c r="A22" s="1524">
        <f t="shared" si="16"/>
        <v>17</v>
      </c>
      <c r="B22" s="743">
        <f>LOOKUP($A22,Levante!$B$6:$B$131,Levante!$H$12:$H$137)</f>
        <v>0</v>
      </c>
      <c r="C22" s="70">
        <f>SUMIFS(Levante!$E$6:$E$131,Levante!$D$6:$D$131,"&gt;"&amp;('Sem-L'!$A22-1),Levante!$D$6:$D$131,"&lt;"&amp;('Sem-L'!$A22+1/7))+SUMIFS(Levante!$F$6:$F$131,Levante!$D$6:$D$131,"&gt;"&amp;('Sem-L'!$A22-1),Levante!$D$6:$D$131,"&lt;"&amp;('Sem-L'!$A22+1/7))</f>
        <v>0</v>
      </c>
      <c r="D22" s="462">
        <f>SUMIFS(Levante!$G$6:$G$131,Levante!$D$6:$D$131,"&gt;"&amp;('Sem-L'!$A22-1),Levante!$D$6:$D$131,"&lt;"&amp;('Sem-L'!$A22+1/7))</f>
        <v>0</v>
      </c>
      <c r="E22" s="1587"/>
      <c r="F22" s="1546">
        <f>LOOKUP($A22,Levante!$B$6:$B$145,Levante!$J$10:$J$149)</f>
        <v>0</v>
      </c>
      <c r="G22" s="1588"/>
      <c r="H22" s="1547">
        <f>LOOKUP($A22,Levante!$B$6:$B$145,Levante!$J$12:$J$151)</f>
        <v>0</v>
      </c>
      <c r="I22" s="1530">
        <f>GSh!L22</f>
        <v>0</v>
      </c>
      <c r="J22" s="1589"/>
      <c r="K22" s="1548">
        <f>GSh!O22</f>
        <v>0</v>
      </c>
      <c r="L22" s="1548">
        <f t="shared" si="3"/>
        <v>0</v>
      </c>
      <c r="M22" s="1548">
        <f>GSh!P22</f>
        <v>0</v>
      </c>
      <c r="N22" s="1590"/>
      <c r="O22" s="1592"/>
      <c r="P22" s="1549">
        <f>GSh!T22</f>
        <v>0</v>
      </c>
      <c r="Q22" s="1593"/>
      <c r="R22" s="1550">
        <f>GSh!V22</f>
        <v>0</v>
      </c>
      <c r="S22" s="1550">
        <f>GSh!W22</f>
        <v>0</v>
      </c>
      <c r="T22" s="1594"/>
      <c r="U22" s="1537"/>
      <c r="V22" s="1551">
        <f>GSh!C22</f>
        <v>0</v>
      </c>
      <c r="W22" s="1551">
        <f>GSh!D22</f>
        <v>0</v>
      </c>
      <c r="X22" s="1539">
        <f t="shared" si="8"/>
        <v>0</v>
      </c>
      <c r="Y22" s="1594"/>
      <c r="Z22" s="1584">
        <f t="shared" si="10"/>
        <v>0</v>
      </c>
      <c r="AA22" s="1595"/>
      <c r="AB22" s="1552">
        <f t="shared" si="17"/>
        <v>0</v>
      </c>
      <c r="AC22" s="1552">
        <f t="shared" si="18"/>
        <v>0</v>
      </c>
      <c r="AD22" s="1539">
        <f t="shared" si="12"/>
        <v>0</v>
      </c>
      <c r="AE22" s="1596"/>
      <c r="AF22" s="1542">
        <f t="shared" si="14"/>
        <v>0</v>
      </c>
      <c r="AG22" s="1543"/>
      <c r="AH22" s="1544"/>
      <c r="AI22" s="1545">
        <f t="shared" si="19"/>
        <v>90</v>
      </c>
      <c r="AJ22" s="1585">
        <f t="shared" si="15"/>
        <v>0</v>
      </c>
    </row>
    <row r="23" spans="1:36" ht="25.5" customHeight="1" thickBot="1" x14ac:dyDescent="0.3">
      <c r="A23" s="1525">
        <f t="shared" si="16"/>
        <v>18</v>
      </c>
      <c r="B23" s="744">
        <f>LOOKUP($A23,Levante!$B$6:$B$131,Levante!$H$12:$H$137)</f>
        <v>0</v>
      </c>
      <c r="C23" s="464">
        <f>SUMIFS(Levante!$E$6:$E$131,Levante!$D$6:$D$131,"&gt;"&amp;('Sem-L'!$A23-1),Levante!$D$6:$D$131,"&lt;"&amp;('Sem-L'!$A23+1/7))+SUMIFS(Levante!$F$6:$F$131,Levante!$D$6:$D$131,"&gt;"&amp;('Sem-L'!$A23-1),Levante!$D$6:$D$131,"&lt;"&amp;('Sem-L'!$A23+1/7))</f>
        <v>0</v>
      </c>
      <c r="D23" s="465">
        <f>SUMIFS(Levante!$G$6:$G$131,Levante!$D$6:$D$131,"&gt;"&amp;('Sem-L'!$A23-1),Levante!$D$6:$D$131,"&lt;"&amp;('Sem-L'!$A23+1/7))</f>
        <v>0</v>
      </c>
      <c r="E23" s="1587"/>
      <c r="F23" s="1553">
        <f>LOOKUP($A23,Levante!$B$6:$B$145,Levante!$J$10:$J$149)</f>
        <v>0</v>
      </c>
      <c r="G23" s="1588"/>
      <c r="H23" s="1554">
        <f>LOOKUP($A23,Levante!$B$6:$B$145,Levante!$J$12:$J$151)</f>
        <v>0</v>
      </c>
      <c r="I23" s="1555">
        <f>GSh!L23</f>
        <v>0</v>
      </c>
      <c r="J23" s="1589"/>
      <c r="K23" s="1556">
        <f>GSh!O23</f>
        <v>0</v>
      </c>
      <c r="L23" s="1557">
        <f t="shared" si="3"/>
        <v>0</v>
      </c>
      <c r="M23" s="1556">
        <f>GSh!P23</f>
        <v>0</v>
      </c>
      <c r="N23" s="1591"/>
      <c r="O23" s="1592"/>
      <c r="P23" s="1558">
        <f>GSh!T23</f>
        <v>0</v>
      </c>
      <c r="Q23" s="1593"/>
      <c r="R23" s="1559">
        <f>GSh!V23</f>
        <v>0</v>
      </c>
      <c r="S23" s="1559">
        <f>GSh!W23</f>
        <v>0</v>
      </c>
      <c r="T23" s="1594"/>
      <c r="U23" s="1537"/>
      <c r="V23" s="1560">
        <f>GSh!C23</f>
        <v>0</v>
      </c>
      <c r="W23" s="1560">
        <f>GSh!D23</f>
        <v>0</v>
      </c>
      <c r="X23" s="1561">
        <f t="shared" si="8"/>
        <v>0</v>
      </c>
      <c r="Y23" s="1594"/>
      <c r="Z23" s="1584">
        <f t="shared" si="10"/>
        <v>0</v>
      </c>
      <c r="AA23" s="1595"/>
      <c r="AB23" s="1562">
        <f t="shared" si="17"/>
        <v>0</v>
      </c>
      <c r="AC23" s="1562">
        <f t="shared" si="18"/>
        <v>0</v>
      </c>
      <c r="AD23" s="1561">
        <f t="shared" si="12"/>
        <v>0</v>
      </c>
      <c r="AE23" s="1596"/>
      <c r="AF23" s="1563">
        <f t="shared" si="14"/>
        <v>0</v>
      </c>
      <c r="AG23" s="1564"/>
      <c r="AH23" s="1565"/>
      <c r="AI23" s="1566">
        <f t="shared" si="19"/>
        <v>90</v>
      </c>
      <c r="AJ23" s="1586">
        <f t="shared" si="15"/>
        <v>0</v>
      </c>
    </row>
    <row r="24" spans="1:36" ht="15.75" customHeight="1" thickTop="1" x14ac:dyDescent="0.25">
      <c r="A24" s="463"/>
      <c r="B24" s="466"/>
      <c r="C24" s="466"/>
      <c r="D24" s="466"/>
      <c r="E24" s="463"/>
      <c r="F24" s="463"/>
      <c r="G24" s="463"/>
      <c r="H24" s="463"/>
      <c r="I24" s="463"/>
      <c r="J24" s="463"/>
      <c r="K24" s="463"/>
      <c r="L24" s="463"/>
      <c r="M24" s="463"/>
      <c r="N24" s="485"/>
      <c r="O24" s="463"/>
      <c r="P24" s="463"/>
      <c r="Q24" s="463"/>
      <c r="R24" s="463"/>
      <c r="S24" s="463"/>
      <c r="T24" s="463"/>
      <c r="U24" s="463"/>
      <c r="V24" s="463"/>
      <c r="W24" s="463"/>
      <c r="X24" s="463"/>
      <c r="Y24" s="485"/>
      <c r="Z24" s="485"/>
      <c r="AA24" s="463"/>
      <c r="AB24" s="463"/>
      <c r="AC24" s="463"/>
      <c r="AD24" s="463"/>
      <c r="AE24" s="485"/>
      <c r="AF24" s="485"/>
      <c r="AG24" s="463"/>
    </row>
    <row r="25" spans="1:36" hidden="1" x14ac:dyDescent="0.25">
      <c r="F25" s="60"/>
      <c r="H25" s="60"/>
      <c r="K25" s="60"/>
      <c r="L25" s="60"/>
      <c r="M25" s="60"/>
      <c r="R25" s="60"/>
      <c r="S25" s="60"/>
    </row>
    <row r="26" spans="1:36" ht="14.25" hidden="1" x14ac:dyDescent="0.3">
      <c r="A26" s="61"/>
      <c r="F26" s="60"/>
      <c r="H26" s="60"/>
      <c r="K26" s="60"/>
      <c r="L26" s="60"/>
      <c r="M26" s="60"/>
      <c r="R26" s="60"/>
      <c r="S26" s="60"/>
    </row>
    <row r="27" spans="1:36" ht="14.25" hidden="1" x14ac:dyDescent="0.3">
      <c r="A27" s="61"/>
      <c r="F27" s="60"/>
      <c r="H27" s="60"/>
      <c r="K27" s="60"/>
      <c r="L27" s="60"/>
      <c r="M27" s="60"/>
      <c r="R27" s="60"/>
      <c r="S27" s="60"/>
    </row>
    <row r="28" spans="1:36" hidden="1" x14ac:dyDescent="0.25">
      <c r="A28" s="62"/>
      <c r="F28" s="60"/>
      <c r="H28" s="60"/>
      <c r="K28" s="60"/>
      <c r="L28" s="60"/>
      <c r="M28" s="60"/>
      <c r="R28" s="60"/>
      <c r="S28" s="60"/>
    </row>
    <row r="29" spans="1:36" hidden="1" x14ac:dyDescent="0.25">
      <c r="F29" s="60"/>
      <c r="H29" s="60"/>
      <c r="K29" s="60"/>
      <c r="L29" s="60"/>
      <c r="M29" s="60"/>
      <c r="R29" s="60"/>
      <c r="S29" s="60"/>
    </row>
    <row r="30" spans="1:36" hidden="1" x14ac:dyDescent="0.25">
      <c r="F30" s="60"/>
      <c r="H30" s="60"/>
      <c r="K30" s="60"/>
      <c r="L30" s="60"/>
      <c r="M30" s="60"/>
      <c r="R30" s="60"/>
      <c r="S30" s="60"/>
    </row>
    <row r="31" spans="1:36" hidden="1" x14ac:dyDescent="0.25">
      <c r="F31" s="60"/>
      <c r="H31" s="60"/>
      <c r="K31" s="60"/>
      <c r="L31" s="60"/>
      <c r="M31" s="60"/>
      <c r="R31" s="60"/>
      <c r="S31" s="60"/>
    </row>
    <row r="32" spans="1:36" hidden="1" x14ac:dyDescent="0.25">
      <c r="F32" s="60"/>
      <c r="H32" s="60"/>
      <c r="K32" s="60"/>
      <c r="L32" s="60"/>
      <c r="M32" s="60"/>
      <c r="R32" s="60"/>
      <c r="S32" s="60"/>
    </row>
    <row r="33" spans="5:36" hidden="1" x14ac:dyDescent="0.25">
      <c r="F33" s="60"/>
      <c r="H33" s="60"/>
      <c r="K33" s="60"/>
      <c r="L33" s="60"/>
      <c r="M33" s="60"/>
      <c r="R33" s="60"/>
      <c r="S33" s="60"/>
    </row>
    <row r="34" spans="5:36" hidden="1" x14ac:dyDescent="0.25">
      <c r="F34" s="60"/>
      <c r="H34" s="60"/>
      <c r="K34" s="60"/>
      <c r="L34" s="60"/>
      <c r="M34" s="60"/>
      <c r="R34" s="60"/>
      <c r="S34" s="60"/>
    </row>
    <row r="35" spans="5:36" hidden="1" x14ac:dyDescent="0.25">
      <c r="F35" s="60"/>
      <c r="H35" s="60"/>
      <c r="K35" s="60"/>
      <c r="L35" s="60"/>
      <c r="M35" s="60"/>
      <c r="R35" s="60"/>
      <c r="S35" s="60"/>
    </row>
    <row r="36" spans="5:36" hidden="1" x14ac:dyDescent="0.25">
      <c r="F36" s="60"/>
      <c r="H36" s="60"/>
      <c r="K36" s="60"/>
      <c r="L36" s="60"/>
      <c r="M36" s="60"/>
      <c r="R36" s="60"/>
      <c r="S36" s="60"/>
    </row>
    <row r="37" spans="5:36" hidden="1" x14ac:dyDescent="0.25">
      <c r="F37" s="60"/>
      <c r="H37" s="60"/>
      <c r="K37" s="60"/>
      <c r="L37" s="60"/>
      <c r="M37" s="60"/>
      <c r="R37" s="60"/>
      <c r="S37" s="60"/>
    </row>
    <row r="39" spans="5:36" hidden="1" x14ac:dyDescent="0.25">
      <c r="E39" s="63"/>
      <c r="G39" s="63"/>
      <c r="U39" s="69"/>
      <c r="V39" s="69"/>
      <c r="W39" s="69"/>
      <c r="X39" s="69"/>
      <c r="AA39" s="69"/>
      <c r="AB39" s="69"/>
      <c r="AC39" s="69"/>
      <c r="AD39" s="69"/>
      <c r="AG39" s="69"/>
      <c r="AH39" s="69"/>
      <c r="AI39" s="69"/>
      <c r="AJ39" s="69"/>
    </row>
  </sheetData>
  <sheetProtection algorithmName="SHA-512" hashValue="1twQ1z0gcxGgsdwvjQyJjlewiRbP80zQITI3t4PTtV0h5QOrzi7ZdQHZ1AqPh/140fhc6XvfkEsiRMOHMxgsKQ==" saltValue="G7fVEa7+iBLcGJR13OtLfQ==" spinCount="100000" sheet="1" objects="1" scenarios="1" formatCells="0" formatColumns="0" formatRows="0" pivotTables="0"/>
  <customSheetViews>
    <customSheetView guid="{2AFB78BD-0AA0-48F7-9FB9-7ECB21AAFE3F}" showGridLines="0" zeroValues="0" fitToPage="1" hiddenRows="1" hiddenColumns="1">
      <pane xSplit="1" ySplit="6" topLeftCell="B7" activePane="bottomRight" state="frozen"/>
      <selection pane="bottomRight" activeCell="A7" sqref="A7"/>
      <pageMargins left="0.39370078740157483" right="0.39370078740157483" top="0.47244094488188981" bottom="0.55118110236220474" header="0.39370078740157483" footer="0.31496062992125984"/>
      <printOptions horizontalCentered="1"/>
      <pageSetup scale="84" orientation="landscape" verticalDpi="300" r:id="rId1"/>
      <headerFooter alignWithMargins="0">
        <oddFooter>&amp;L&amp;"Arial,Normal"&amp;8&amp;F;&amp;A&amp;C&amp;"Arial,Normal"&amp;8Página&amp;P</oddFooter>
      </headerFooter>
    </customSheetView>
  </customSheetViews>
  <mergeCells count="22">
    <mergeCell ref="Y4:AJ4"/>
    <mergeCell ref="B4:H4"/>
    <mergeCell ref="I4:T4"/>
    <mergeCell ref="R1:U1"/>
    <mergeCell ref="R2:U2"/>
    <mergeCell ref="AF2:AJ3"/>
    <mergeCell ref="A1:E3"/>
    <mergeCell ref="R3:U3"/>
    <mergeCell ref="V2:AE2"/>
    <mergeCell ref="V3:AE3"/>
    <mergeCell ref="AA1:AJ1"/>
    <mergeCell ref="V1:Z1"/>
    <mergeCell ref="I1:N1"/>
    <mergeCell ref="I2:N2"/>
    <mergeCell ref="I3:J3"/>
    <mergeCell ref="O2:Q2"/>
    <mergeCell ref="G3:H3"/>
    <mergeCell ref="F1:H1"/>
    <mergeCell ref="F2:H2"/>
    <mergeCell ref="K3:N3"/>
    <mergeCell ref="O3:Q3"/>
    <mergeCell ref="O1:Q1"/>
  </mergeCells>
  <phoneticPr fontId="0" type="noConversion"/>
  <conditionalFormatting sqref="AF6:AF23">
    <cfRule type="expression" dxfId="26" priority="2">
      <formula>AND($AF6&gt;$AH6)</formula>
    </cfRule>
  </conditionalFormatting>
  <conditionalFormatting sqref="AG6:AG23">
    <cfRule type="expression" dxfId="25" priority="3">
      <formula>AND($AG6&lt;$AI6*0.98)</formula>
    </cfRule>
  </conditionalFormatting>
  <dataValidations count="3">
    <dataValidation allowBlank="1" showInputMessage="1" showErrorMessage="1" promptTitle="Importante!  Para Graficar ...." prompt="PARA LOGRAR UNA OPTIMA PRESENTACION DE LOS DATOS EN EL GRAFICO DE LEVANTE SOLO NECESITA COPIAR LAS FORMULAS HACIA ABAJO DE LAS CELDAS QUE TIENEN EL SIMBOLO ▼_x000a_COPIAR SOLO HASTA LA SEMANA EN QUE SE REGISTRA INFORMACION PARA EVITAR GRAFICAR LOS VALORES CERO." sqref="B4 I4 Y4" xr:uid="{00000000-0002-0000-0400-000000000000}"/>
    <dataValidation allowBlank="1" showInputMessage="1" showErrorMessage="1" prompt="Digite Peso de Llegada o de PRIMER DÍA" sqref="U4" xr:uid="{FAE5C5CE-12EC-4E44-9125-429E6A079A8A}"/>
    <dataValidation type="custom" allowBlank="1" showInputMessage="1" showErrorMessage="1" errorTitle="Valor no válido" error="La suma de las uniformidades debe totalizar máximo 100" sqref="AH6:AH23" xr:uid="{C46B01EC-42CF-43B4-9BCF-908501286B21}">
      <formula1>AND((AG6+AH6)&lt;=100)</formula1>
    </dataValidation>
  </dataValidations>
  <printOptions horizontalCentered="1"/>
  <pageMargins left="0.39370078740157483" right="0.39370078740157483" top="0.47244094488188981" bottom="0.55118110236220474" header="0.39370078740157483" footer="0.31496062992125984"/>
  <pageSetup scale="84" orientation="landscape" verticalDpi="300" r:id="rId2"/>
  <headerFooter alignWithMargins="0">
    <oddFooter>&amp;L&amp;"Arial,Normal"&amp;8&amp;F;&amp;A&amp;C&amp;"Arial,Normal"&amp;8Página&amp;P</oddFooter>
  </headerFooter>
  <drawing r:id="rId3"/>
  <extLst>
    <ext xmlns:x14="http://schemas.microsoft.com/office/spreadsheetml/2009/9/main" uri="{78C0D931-6437-407d-A8EE-F0AAD7539E65}">
      <x14:conditionalFormattings>
        <x14:conditionalFormatting xmlns:xm="http://schemas.microsoft.com/office/excel/2006/main">
          <x14:cfRule type="cellIs" priority="1" operator="equal" id="{D7F95730-EE93-4335-903A-282CA51A24DB}">
            <xm:f>Var!$I$2</xm:f>
            <x14:dxf>
              <font>
                <b/>
                <i val="0"/>
                <strike val="0"/>
                <color rgb="FF222E9E"/>
              </font>
              <fill>
                <patternFill patternType="none">
                  <bgColor auto="1"/>
                </patternFill>
              </fill>
            </x14:dxf>
          </x14:cfRule>
          <xm:sqref>R1:S3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16</vt:i4>
      </vt:variant>
      <vt:variant>
        <vt:lpstr>Gráficos</vt:lpstr>
      </vt:variant>
      <vt:variant>
        <vt:i4>13</vt:i4>
      </vt:variant>
      <vt:variant>
        <vt:lpstr>Rangos con nombre</vt:lpstr>
      </vt:variant>
      <vt:variant>
        <vt:i4>63</vt:i4>
      </vt:variant>
    </vt:vector>
  </HeadingPairs>
  <TitlesOfParts>
    <vt:vector size="92" baseType="lpstr">
      <vt:lpstr>Iniciar</vt:lpstr>
      <vt:lpstr>PROG-DENS</vt:lpstr>
      <vt:lpstr>PROGR-ALIM</vt:lpstr>
      <vt:lpstr>PROGR-ILUM</vt:lpstr>
      <vt:lpstr>Manejos</vt:lpstr>
      <vt:lpstr>TL</vt:lpstr>
      <vt:lpstr>Levante</vt:lpstr>
      <vt:lpstr>Sem-L</vt:lpstr>
      <vt:lpstr>CostosLev</vt:lpstr>
      <vt:lpstr>TP</vt:lpstr>
      <vt:lpstr>PROD</vt:lpstr>
      <vt:lpstr>INVENTARIOS</vt:lpstr>
      <vt:lpstr>Pr-Sem</vt:lpstr>
      <vt:lpstr>Cumpl</vt:lpstr>
      <vt:lpstr>ECONO</vt:lpstr>
      <vt:lpstr>Var</vt:lpstr>
      <vt:lpstr>Gráfico1</vt:lpstr>
      <vt:lpstr>Gráfico2</vt:lpstr>
      <vt:lpstr>Gráfico3</vt:lpstr>
      <vt:lpstr>Gráfico4</vt:lpstr>
      <vt:lpstr>Gráfico Mort-Sel</vt:lpstr>
      <vt:lpstr>Gráf Prod</vt:lpstr>
      <vt:lpstr>Gráf Masa - Conv</vt:lpstr>
      <vt:lpstr>Gráf HAA</vt:lpstr>
      <vt:lpstr>Gráf Cv-$</vt:lpstr>
      <vt:lpstr>Gráf Cumpl</vt:lpstr>
      <vt:lpstr>Gráf ClasH</vt:lpstr>
      <vt:lpstr>Gráf H-Seg</vt:lpstr>
      <vt:lpstr>Clasif Acum H</vt:lpstr>
      <vt:lpstr>AA</vt:lpstr>
      <vt:lpstr>AAA</vt:lpstr>
      <vt:lpstr>AAAA</vt:lpstr>
      <vt:lpstr>AGUA</vt:lpstr>
      <vt:lpstr>Manejos!Área_de_impresión</vt:lpstr>
      <vt:lpstr>'PROG-DENS'!Área_de_impresión</vt:lpstr>
      <vt:lpstr>'PROGR-ALIM'!Área_de_impresión</vt:lpstr>
      <vt:lpstr>AvesIni</vt:lpstr>
      <vt:lpstr>BALANCE</vt:lpstr>
      <vt:lpstr>CASC</vt:lpstr>
      <vt:lpstr>CGADL</vt:lpstr>
      <vt:lpstr>CGPL</vt:lpstr>
      <vt:lpstr>CGrAcRL</vt:lpstr>
      <vt:lpstr>CLIMA</vt:lpstr>
      <vt:lpstr>COLOR</vt:lpstr>
      <vt:lpstr>COSTO</vt:lpstr>
      <vt:lpstr>CPL</vt:lpstr>
      <vt:lpstr>DIAS</vt:lpstr>
      <vt:lpstr>DURAPICO</vt:lpstr>
      <vt:lpstr>Empaque_Alimto</vt:lpstr>
      <vt:lpstr>Fnac</vt:lpstr>
      <vt:lpstr>GADL</vt:lpstr>
      <vt:lpstr>GPR</vt:lpstr>
      <vt:lpstr>GPRL</vt:lpstr>
      <vt:lpstr>GrAcRL</vt:lpstr>
      <vt:lpstr>GRADP</vt:lpstr>
      <vt:lpstr>GRANJALEV</vt:lpstr>
      <vt:lpstr>GRANJAPROD</vt:lpstr>
      <vt:lpstr>GXH</vt:lpstr>
      <vt:lpstr>HA</vt:lpstr>
      <vt:lpstr>HAA</vt:lpstr>
      <vt:lpstr>HB</vt:lpstr>
      <vt:lpstr>HC</vt:lpstr>
      <vt:lpstr>HCG</vt:lpstr>
      <vt:lpstr>IPP</vt:lpstr>
      <vt:lpstr>KLSEM</vt:lpstr>
      <vt:lpstr>Linea</vt:lpstr>
      <vt:lpstr>LOTE</vt:lpstr>
      <vt:lpstr>MAC</vt:lpstr>
      <vt:lpstr>MACL</vt:lpstr>
      <vt:lpstr>MACP</vt:lpstr>
      <vt:lpstr>MHAC</vt:lpstr>
      <vt:lpstr>MHS</vt:lpstr>
      <vt:lpstr>MLADL</vt:lpstr>
      <vt:lpstr>MOSL</vt:lpstr>
      <vt:lpstr>MSH</vt:lpstr>
      <vt:lpstr>MSL</vt:lpstr>
      <vt:lpstr>MSP</vt:lpstr>
      <vt:lpstr>PH</vt:lpstr>
      <vt:lpstr>PP</vt:lpstr>
      <vt:lpstr>PVENTAH</vt:lpstr>
      <vt:lpstr>RELAGUA</vt:lpstr>
      <vt:lpstr>Responsable_Técnico</vt:lpstr>
      <vt:lpstr>RMD</vt:lpstr>
      <vt:lpstr>ROTO</vt:lpstr>
      <vt:lpstr>RVG</vt:lpstr>
      <vt:lpstr>RVP</vt:lpstr>
      <vt:lpstr>SMxTb</vt:lpstr>
      <vt:lpstr>SPVP</vt:lpstr>
      <vt:lpstr>Tabmes</vt:lpstr>
      <vt:lpstr>Manejos!Títulos_a_imprimir</vt:lpstr>
      <vt:lpstr>VENTA</vt:lpstr>
      <vt:lpstr>VNC</vt:lpstr>
    </vt:vector>
  </TitlesOfParts>
  <Manager>GERENCIA de VENTAS</Manager>
  <Company>ITALCOL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REGISTRO DE PRODUCCION</dc:title>
  <dc:subject>CONTROL PRODUCCION ITALCOL</dc:subject>
  <dc:creator>Victor Hugo Massey Gomez</dc:creator>
  <cp:keywords>Consolidados - Costos - Desempeño</cp:keywords>
  <cp:lastModifiedBy>Victor Hugo Massey Gomez</cp:lastModifiedBy>
  <cp:revision>3</cp:revision>
  <cp:lastPrinted>2018-07-31T18:35:51Z</cp:lastPrinted>
  <dcterms:created xsi:type="dcterms:W3CDTF">1999-06-24T01:56:08Z</dcterms:created>
  <dcterms:modified xsi:type="dcterms:W3CDTF">2024-11-15T03:40:23Z</dcterms:modified>
  <cp:category>Herramientas en Excel</cp:category>
</cp:coreProperties>
</file>